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pivotCache/pivotCacheDefinition5.xml" ContentType="application/vnd.openxmlformats-officedocument.spreadsheetml.pivotCacheDefinition+xml"/>
  <Override PartName="/xl/pivotCache/pivotCacheRecords5.xml" ContentType="application/vnd.openxmlformats-officedocument.spreadsheetml.pivotCacheRecords+xml"/>
  <Override PartName="/xl/pivotCache/pivotCacheDefinition6.xml" ContentType="application/vnd.openxmlformats-officedocument.spreadsheetml.pivotCacheDefinition+xml"/>
  <Override PartName="/xl/pivotCache/pivotCacheRecords6.xml" ContentType="application/vnd.openxmlformats-officedocument.spreadsheetml.pivotCacheRecords+xml"/>
  <Override PartName="/xl/pivotCache/pivotCacheDefinition7.xml" ContentType="application/vnd.openxmlformats-officedocument.spreadsheetml.pivotCacheDefinition+xml"/>
  <Override PartName="/xl/pivotCache/pivotCacheRecords7.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xl/drawings/drawing2.xml" ContentType="application/vnd.openxmlformats-officedocument.drawing+xml"/>
  <Override PartName="/xl/pivotTables/pivotTable2.xml" ContentType="application/vnd.openxmlformats-officedocument.spreadsheetml.pivotTable+xml"/>
  <Override PartName="/xl/drawings/drawing3.xml" ContentType="application/vnd.openxmlformats-officedocument.drawing+xml"/>
  <Override PartName="/xl/slicers/slicer1.xml" ContentType="application/vnd.ms-excel.slicer+xml"/>
  <Override PartName="/xl/pivotTables/pivotTable3.xml" ContentType="application/vnd.openxmlformats-officedocument.spreadsheetml.pivotTable+xml"/>
  <Override PartName="/xl/drawings/drawing4.xml" ContentType="application/vnd.openxmlformats-officedocument.drawing+xml"/>
  <Override PartName="/xl/slicers/slicer2.xml" ContentType="application/vnd.ms-excel.slicer+xml"/>
  <Override PartName="/xl/drawings/drawing5.xml" ContentType="application/vnd.openxmlformats-officedocument.drawing+xml"/>
  <Override PartName="/xl/comments1.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comments2.xml" ContentType="application/vnd.openxmlformats-officedocument.spreadsheetml.comments+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drawings/drawing8.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omments3.xml" ContentType="application/vnd.openxmlformats-officedocument.spreadsheetml.comments+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omments4.xml" ContentType="application/vnd.openxmlformats-officedocument.spreadsheetml.comments+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hidePivotFieldList="1" defaultThemeVersion="124226"/>
  <mc:AlternateContent xmlns:mc="http://schemas.openxmlformats.org/markup-compatibility/2006">
    <mc:Choice Requires="x15">
      <x15ac:absPath xmlns:x15ac="http://schemas.microsoft.com/office/spreadsheetml/2010/11/ac" url="C:\Users\NARAMÍREZ\Documents\LABORES WEB MASTER\JUNIO\27\"/>
    </mc:Choice>
  </mc:AlternateContent>
  <bookViews>
    <workbookView xWindow="0" yWindow="0" windowWidth="24000" windowHeight="9735" tabRatio="897" firstSheet="4" activeTab="4"/>
  </bookViews>
  <sheets>
    <sheet name="Inicio" sheetId="1" r:id="rId1"/>
    <sheet name="Tiempo de ejecución" sheetId="18" state="hidden" r:id="rId2"/>
    <sheet name="Estado de Giros" sheetId="19" state="hidden" r:id="rId3"/>
    <sheet name="Giros Vs Tiempo" sheetId="20" state="hidden" r:id="rId4"/>
    <sheet name="Base de Datos" sheetId="2" r:id="rId5"/>
    <sheet name="Hoja1" sheetId="6" state="hidden" r:id="rId6"/>
    <sheet name="Instructivo" sheetId="14" state="hidden" r:id="rId7"/>
    <sheet name="Modificaciones" sheetId="17" state="hidden" r:id="rId8"/>
    <sheet name="Gráficos" sheetId="22" state="hidden" r:id="rId9"/>
    <sheet name="Hoja2" sheetId="21" state="hidden" r:id="rId10"/>
    <sheet name="Tablero de Control" sheetId="23" state="hidden" r:id="rId11"/>
    <sheet name="Actualizada - presupuesto" sheetId="24" state="hidden" r:id="rId12"/>
    <sheet name="Resumen_Seguimiento Presupuesto" sheetId="25" state="hidden" r:id="rId13"/>
    <sheet name="Presupuesto - PAA 2015" sheetId="26" state="hidden" r:id="rId14"/>
    <sheet name="Presupuesto Resúmen" sheetId="27" state="hidden" r:id="rId15"/>
    <sheet name="Presupuesto - PAA 2016" sheetId="28" state="hidden" r:id="rId16"/>
    <sheet name="Presupuesto - PAA 2017" sheetId="30" state="hidden" r:id="rId17"/>
    <sheet name="Presupuesto - PAA 2018" sheetId="32" state="hidden" r:id="rId18"/>
    <sheet name="liquidaciones " sheetId="31" state="hidden" r:id="rId19"/>
    <sheet name="Hoja3" sheetId="33" state="hidden" r:id="rId20"/>
  </sheets>
  <externalReferences>
    <externalReference r:id="rId21"/>
    <externalReference r:id="rId22"/>
    <externalReference r:id="rId23"/>
    <externalReference r:id="rId24"/>
    <externalReference r:id="rId25"/>
    <externalReference r:id="rId26"/>
    <externalReference r:id="rId27"/>
    <externalReference r:id="rId28"/>
  </externalReferences>
  <definedNames>
    <definedName name="_xlnm._FilterDatabase" localSheetId="11" hidden="1">'Actualizada - presupuesto'!$B$6:$AZ$111</definedName>
    <definedName name="_xlnm._FilterDatabase" localSheetId="4" hidden="1">'Base de Datos'!$A$6:$BA$1000</definedName>
    <definedName name="_xlnm._FilterDatabase" localSheetId="9" hidden="1">Hoja2!$B$2:$AY$261</definedName>
    <definedName name="_xlnm._FilterDatabase" localSheetId="18" hidden="1">'liquidaciones '!$A$1:$I$801</definedName>
    <definedName name="_xlnm._FilterDatabase" localSheetId="7" hidden="1">Modificaciones!$A$6:$AW$920</definedName>
    <definedName name="_xlnm._FilterDatabase" localSheetId="13" hidden="1">'Presupuesto - PAA 2015'!$A$2:$AA$265</definedName>
    <definedName name="_xlnm._FilterDatabase" localSheetId="16" hidden="1">'Presupuesto - PAA 2017'!$A$2:$AA$265</definedName>
    <definedName name="_xlnm._FilterDatabase" localSheetId="17" hidden="1">'Presupuesto - PAA 2018'!$A$2:$AA$265</definedName>
    <definedName name="_xlnm._FilterDatabase" localSheetId="10" hidden="1">'Tablero de Control'!$A$6:$U$311</definedName>
    <definedName name="SegmentaciónDeDatos___Ejecución_física">#N/A</definedName>
    <definedName name="SegmentaciónDeDatos___Ejecución_recursos">#N/A</definedName>
    <definedName name="SegmentaciónDeDatos___Ejecución_recursos1">#N/A</definedName>
    <definedName name="_xlnm.Print_Titles" localSheetId="4">'Base de Datos'!$6:$6</definedName>
  </definedNames>
  <calcPr calcId="152511"/>
  <pivotCaches>
    <pivotCache cacheId="0" r:id="rId29"/>
    <pivotCache cacheId="1" r:id="rId30"/>
    <pivotCache cacheId="14" r:id="rId31"/>
    <pivotCache cacheId="17" r:id="rId32"/>
    <pivotCache cacheId="20" r:id="rId33"/>
    <pivotCache cacheId="23" r:id="rId34"/>
    <pivotCache cacheId="30" r:id="rId35"/>
  </pivotCaches>
  <extLst>
    <ext xmlns:x14="http://schemas.microsoft.com/office/spreadsheetml/2009/9/main" uri="{BBE1A952-AA13-448e-AADC-164F8A28A991}">
      <x14:slicerCaches>
        <x14:slicerCache r:id="rId36"/>
        <x14:slicerCache r:id="rId37"/>
        <x14:slicerCache r:id="rId38"/>
      </x14:slicerCaches>
    </ext>
    <ext xmlns:x14="http://schemas.microsoft.com/office/spreadsheetml/2009/9/main" uri="{79F54976-1DA5-4618-B147-4CDE4B953A38}">
      <x14:workbookPr/>
    </ext>
  </extLst>
</workbook>
</file>

<file path=xl/calcChain.xml><?xml version="1.0" encoding="utf-8"?>
<calcChain xmlns="http://schemas.openxmlformats.org/spreadsheetml/2006/main">
  <c r="AU648" i="17" l="1"/>
  <c r="R595" i="2" l="1"/>
  <c r="C787" i="17" l="1"/>
  <c r="C788" i="17"/>
  <c r="C789" i="17"/>
  <c r="C790" i="17"/>
  <c r="C791" i="17"/>
  <c r="C792" i="17"/>
  <c r="C793" i="17"/>
  <c r="C794" i="17"/>
  <c r="C795" i="17"/>
  <c r="C796" i="17"/>
  <c r="C797" i="17"/>
  <c r="C798" i="17"/>
  <c r="C799" i="17"/>
  <c r="C800" i="17"/>
  <c r="C801" i="17"/>
  <c r="C802" i="17"/>
  <c r="C803" i="17"/>
  <c r="C804" i="17"/>
  <c r="C805" i="17"/>
  <c r="C806" i="17"/>
  <c r="C807" i="17"/>
  <c r="C808" i="17"/>
  <c r="C809" i="17"/>
  <c r="C810" i="17"/>
  <c r="C811" i="17"/>
  <c r="C812" i="17"/>
  <c r="C813" i="17"/>
  <c r="C814" i="17"/>
  <c r="C815" i="17"/>
  <c r="C816" i="17"/>
  <c r="C817" i="17"/>
  <c r="C818" i="17"/>
  <c r="C819" i="17"/>
  <c r="C820" i="17"/>
  <c r="C821" i="17"/>
  <c r="C822" i="17"/>
  <c r="C823" i="17"/>
  <c r="C824" i="17"/>
  <c r="C825" i="17"/>
  <c r="C826" i="17"/>
  <c r="C827" i="17"/>
  <c r="C828" i="17"/>
  <c r="C829" i="17"/>
  <c r="C830" i="17"/>
  <c r="C831" i="17"/>
  <c r="C832" i="17"/>
  <c r="C833" i="17"/>
  <c r="C834" i="17"/>
  <c r="C835" i="17"/>
  <c r="C836" i="17"/>
  <c r="C837" i="17"/>
  <c r="C838" i="17"/>
  <c r="C839" i="17"/>
  <c r="C840" i="17"/>
  <c r="C841" i="17"/>
  <c r="C842" i="17"/>
  <c r="C843" i="17"/>
  <c r="C844" i="17"/>
  <c r="C845" i="17"/>
  <c r="C846" i="17"/>
  <c r="C847" i="17"/>
  <c r="C848" i="17"/>
  <c r="C849" i="17"/>
  <c r="C850" i="17"/>
  <c r="C851" i="17"/>
  <c r="C852" i="17"/>
  <c r="C853" i="17"/>
  <c r="C854" i="17"/>
  <c r="C855" i="17"/>
  <c r="C856" i="17"/>
  <c r="C857" i="17"/>
  <c r="C858" i="17"/>
  <c r="C859" i="17"/>
  <c r="C860" i="17"/>
  <c r="C861" i="17"/>
  <c r="C862" i="17"/>
  <c r="C863" i="17"/>
  <c r="C864" i="17"/>
  <c r="C865" i="17"/>
  <c r="C866" i="17"/>
  <c r="C867" i="17"/>
  <c r="C868" i="17"/>
  <c r="C869" i="17"/>
  <c r="C870" i="17"/>
  <c r="C871" i="17"/>
  <c r="C872" i="17"/>
  <c r="C873" i="17"/>
  <c r="C874" i="17"/>
  <c r="C875" i="17"/>
  <c r="C876" i="17"/>
  <c r="C877" i="17"/>
  <c r="C878" i="17"/>
  <c r="C879" i="17"/>
  <c r="C880" i="17"/>
  <c r="C881" i="17"/>
  <c r="C882" i="17"/>
  <c r="C883" i="17"/>
  <c r="C884" i="17"/>
  <c r="C885" i="17"/>
  <c r="C886" i="17"/>
  <c r="C887" i="17"/>
  <c r="C888" i="17"/>
  <c r="C889" i="17"/>
  <c r="C890" i="17"/>
  <c r="C891" i="17"/>
  <c r="C892" i="17"/>
  <c r="C893" i="17"/>
  <c r="C894" i="17"/>
  <c r="C895" i="17"/>
  <c r="C896" i="17"/>
  <c r="C897" i="17"/>
  <c r="C898" i="17"/>
  <c r="C899" i="17"/>
  <c r="C900" i="17"/>
  <c r="C901" i="17"/>
  <c r="C902" i="17"/>
  <c r="C903" i="17"/>
  <c r="C904" i="17"/>
  <c r="C905" i="17"/>
  <c r="C906" i="17"/>
  <c r="C907" i="17"/>
  <c r="C908" i="17"/>
  <c r="C909" i="17"/>
  <c r="C910" i="17"/>
  <c r="C911" i="17"/>
  <c r="C912" i="17"/>
  <c r="C913" i="17"/>
  <c r="C914" i="17"/>
  <c r="C915" i="17"/>
  <c r="C916" i="17"/>
  <c r="C917" i="17"/>
  <c r="C918" i="17"/>
  <c r="C919" i="17"/>
  <c r="C920" i="17"/>
  <c r="H786" i="17"/>
  <c r="G786" i="17"/>
  <c r="F786" i="17"/>
  <c r="E786" i="17"/>
  <c r="D786" i="17"/>
  <c r="C786" i="17"/>
  <c r="B787" i="17"/>
  <c r="B788" i="17"/>
  <c r="B789" i="17"/>
  <c r="B790" i="17"/>
  <c r="B791" i="17"/>
  <c r="B792" i="17"/>
  <c r="B793" i="17"/>
  <c r="B794" i="17"/>
  <c r="B795" i="17"/>
  <c r="B796" i="17"/>
  <c r="B797" i="17"/>
  <c r="B798" i="17"/>
  <c r="B799" i="17"/>
  <c r="B800" i="17"/>
  <c r="B801" i="17"/>
  <c r="B802" i="17"/>
  <c r="B803" i="17"/>
  <c r="B804" i="17"/>
  <c r="B805" i="17"/>
  <c r="B806" i="17"/>
  <c r="B807" i="17"/>
  <c r="B808" i="17"/>
  <c r="B809" i="17"/>
  <c r="B810" i="17"/>
  <c r="B811" i="17"/>
  <c r="B812" i="17"/>
  <c r="B813" i="17"/>
  <c r="B814" i="17"/>
  <c r="B815" i="17"/>
  <c r="B816" i="17"/>
  <c r="B817" i="17"/>
  <c r="B818" i="17"/>
  <c r="B819" i="17"/>
  <c r="B820" i="17"/>
  <c r="B821" i="17"/>
  <c r="B822" i="17"/>
  <c r="B823" i="17"/>
  <c r="B824" i="17"/>
  <c r="B825" i="17"/>
  <c r="B826" i="17"/>
  <c r="B827" i="17"/>
  <c r="B828" i="17"/>
  <c r="B829" i="17"/>
  <c r="B830" i="17"/>
  <c r="B831" i="17"/>
  <c r="B832" i="17"/>
  <c r="B833" i="17"/>
  <c r="B834" i="17"/>
  <c r="B835" i="17"/>
  <c r="B836" i="17"/>
  <c r="B837" i="17"/>
  <c r="B838" i="17"/>
  <c r="B839" i="17"/>
  <c r="B840" i="17"/>
  <c r="B841" i="17"/>
  <c r="B842" i="17"/>
  <c r="B843" i="17"/>
  <c r="B844" i="17"/>
  <c r="B845" i="17"/>
  <c r="B846" i="17"/>
  <c r="B847" i="17"/>
  <c r="B848" i="17"/>
  <c r="B849" i="17"/>
  <c r="B850" i="17"/>
  <c r="B851" i="17"/>
  <c r="B852" i="17"/>
  <c r="B853" i="17"/>
  <c r="B854" i="17"/>
  <c r="B855" i="17"/>
  <c r="B856" i="17"/>
  <c r="B857" i="17"/>
  <c r="B858" i="17"/>
  <c r="B859" i="17"/>
  <c r="B860" i="17"/>
  <c r="B861" i="17"/>
  <c r="B862" i="17"/>
  <c r="B863" i="17"/>
  <c r="B864" i="17"/>
  <c r="B865" i="17"/>
  <c r="B866" i="17"/>
  <c r="B867" i="17"/>
  <c r="B868" i="17"/>
  <c r="B869" i="17"/>
  <c r="B870" i="17"/>
  <c r="B871" i="17"/>
  <c r="B872" i="17"/>
  <c r="B873" i="17"/>
  <c r="B874" i="17"/>
  <c r="B875" i="17"/>
  <c r="B876" i="17"/>
  <c r="B877" i="17"/>
  <c r="B878" i="17"/>
  <c r="B879" i="17"/>
  <c r="B880" i="17"/>
  <c r="B881" i="17"/>
  <c r="B882" i="17"/>
  <c r="B883" i="17"/>
  <c r="B884" i="17"/>
  <c r="B885" i="17"/>
  <c r="B886" i="17"/>
  <c r="B887" i="17"/>
  <c r="B888" i="17"/>
  <c r="B889" i="17"/>
  <c r="B890" i="17"/>
  <c r="B891" i="17"/>
  <c r="B892" i="17"/>
  <c r="B893" i="17"/>
  <c r="B894" i="17"/>
  <c r="B895" i="17"/>
  <c r="B896" i="17"/>
  <c r="B897" i="17"/>
  <c r="B898" i="17"/>
  <c r="B899" i="17"/>
  <c r="B900" i="17"/>
  <c r="B901" i="17"/>
  <c r="B902" i="17"/>
  <c r="B903" i="17"/>
  <c r="B904" i="17"/>
  <c r="B905" i="17"/>
  <c r="B906" i="17"/>
  <c r="B907" i="17"/>
  <c r="B908" i="17"/>
  <c r="B909" i="17"/>
  <c r="B910" i="17"/>
  <c r="B911" i="17"/>
  <c r="B912" i="17"/>
  <c r="B913" i="17"/>
  <c r="B914" i="17"/>
  <c r="B915" i="17"/>
  <c r="B916" i="17"/>
  <c r="B917" i="17"/>
  <c r="B918" i="17"/>
  <c r="B919" i="17"/>
  <c r="B920" i="17"/>
  <c r="B786" i="17"/>
  <c r="AO1000" i="2" l="1"/>
  <c r="AN1000" i="2"/>
  <c r="S1000" i="2"/>
  <c r="T1000" i="2" s="1"/>
  <c r="R1000" i="2"/>
  <c r="Q1000" i="2"/>
  <c r="O1000" i="2"/>
  <c r="AO999" i="2"/>
  <c r="AN999" i="2"/>
  <c r="S999" i="2"/>
  <c r="T999" i="2" s="1"/>
  <c r="R999" i="2"/>
  <c r="Q999" i="2"/>
  <c r="O999" i="2"/>
  <c r="AO998" i="2"/>
  <c r="AN998" i="2"/>
  <c r="S998" i="2"/>
  <c r="T998" i="2" s="1"/>
  <c r="R998" i="2"/>
  <c r="Q998" i="2"/>
  <c r="O998" i="2"/>
  <c r="AO997" i="2"/>
  <c r="AN997" i="2"/>
  <c r="S997" i="2"/>
  <c r="T997" i="2" s="1"/>
  <c r="R997" i="2"/>
  <c r="Q997" i="2"/>
  <c r="O997" i="2"/>
  <c r="AO996" i="2"/>
  <c r="AN996" i="2"/>
  <c r="S996" i="2"/>
  <c r="T996" i="2" s="1"/>
  <c r="R996" i="2"/>
  <c r="Q996" i="2"/>
  <c r="O996" i="2"/>
  <c r="AO995" i="2"/>
  <c r="AN995" i="2"/>
  <c r="S995" i="2"/>
  <c r="T995" i="2" s="1"/>
  <c r="R995" i="2"/>
  <c r="Q995" i="2"/>
  <c r="O995" i="2"/>
  <c r="AO994" i="2"/>
  <c r="AN994" i="2"/>
  <c r="S994" i="2"/>
  <c r="T994" i="2" s="1"/>
  <c r="R994" i="2"/>
  <c r="Q994" i="2"/>
  <c r="O994" i="2"/>
  <c r="AO993" i="2"/>
  <c r="AN993" i="2"/>
  <c r="S993" i="2"/>
  <c r="T993" i="2" s="1"/>
  <c r="R993" i="2"/>
  <c r="Q993" i="2"/>
  <c r="O993" i="2"/>
  <c r="AO992" i="2"/>
  <c r="AN992" i="2"/>
  <c r="S992" i="2"/>
  <c r="T992" i="2" s="1"/>
  <c r="R992" i="2"/>
  <c r="Q992" i="2"/>
  <c r="O992" i="2"/>
  <c r="AO991" i="2"/>
  <c r="AN991" i="2"/>
  <c r="S991" i="2"/>
  <c r="T991" i="2" s="1"/>
  <c r="R991" i="2"/>
  <c r="Q991" i="2"/>
  <c r="O991" i="2"/>
  <c r="AO990" i="2"/>
  <c r="AN990" i="2"/>
  <c r="S990" i="2"/>
  <c r="T990" i="2" s="1"/>
  <c r="R990" i="2"/>
  <c r="Q990" i="2"/>
  <c r="O990" i="2"/>
  <c r="AO989" i="2"/>
  <c r="AN989" i="2"/>
  <c r="S989" i="2"/>
  <c r="T989" i="2" s="1"/>
  <c r="R989" i="2"/>
  <c r="Q989" i="2"/>
  <c r="O989" i="2"/>
  <c r="AO988" i="2"/>
  <c r="AN988" i="2"/>
  <c r="S988" i="2"/>
  <c r="T988" i="2" s="1"/>
  <c r="R988" i="2"/>
  <c r="Q988" i="2"/>
  <c r="O988" i="2"/>
  <c r="AO987" i="2"/>
  <c r="AN987" i="2"/>
  <c r="S987" i="2"/>
  <c r="T987" i="2" s="1"/>
  <c r="R987" i="2"/>
  <c r="Q987" i="2"/>
  <c r="O987" i="2"/>
  <c r="AO986" i="2"/>
  <c r="AN986" i="2"/>
  <c r="S986" i="2"/>
  <c r="T986" i="2" s="1"/>
  <c r="R986" i="2"/>
  <c r="Q986" i="2"/>
  <c r="O986" i="2"/>
  <c r="AO985" i="2"/>
  <c r="AN985" i="2"/>
  <c r="S985" i="2"/>
  <c r="T985" i="2" s="1"/>
  <c r="R985" i="2"/>
  <c r="Q985" i="2"/>
  <c r="O985" i="2"/>
  <c r="AO984" i="2"/>
  <c r="AN984" i="2"/>
  <c r="S984" i="2"/>
  <c r="T984" i="2" s="1"/>
  <c r="R984" i="2"/>
  <c r="Q984" i="2"/>
  <c r="O984" i="2"/>
  <c r="AO983" i="2"/>
  <c r="AN983" i="2"/>
  <c r="S983" i="2"/>
  <c r="T983" i="2" s="1"/>
  <c r="R983" i="2"/>
  <c r="Q983" i="2"/>
  <c r="O983" i="2"/>
  <c r="AO982" i="2"/>
  <c r="AN982" i="2"/>
  <c r="S982" i="2"/>
  <c r="T982" i="2" s="1"/>
  <c r="R982" i="2"/>
  <c r="Q982" i="2"/>
  <c r="O982" i="2"/>
  <c r="AO981" i="2"/>
  <c r="AN981" i="2"/>
  <c r="S981" i="2"/>
  <c r="T981" i="2" s="1"/>
  <c r="R981" i="2"/>
  <c r="Q981" i="2"/>
  <c r="O981" i="2"/>
  <c r="AO980" i="2"/>
  <c r="AN980" i="2"/>
  <c r="S980" i="2"/>
  <c r="T980" i="2" s="1"/>
  <c r="R980" i="2"/>
  <c r="Q980" i="2"/>
  <c r="O980" i="2"/>
  <c r="AO979" i="2"/>
  <c r="AN979" i="2"/>
  <c r="S979" i="2"/>
  <c r="T979" i="2" s="1"/>
  <c r="R979" i="2"/>
  <c r="Q979" i="2"/>
  <c r="O979" i="2"/>
  <c r="AO978" i="2"/>
  <c r="AN978" i="2"/>
  <c r="S978" i="2"/>
  <c r="T978" i="2" s="1"/>
  <c r="R978" i="2"/>
  <c r="Q978" i="2"/>
  <c r="O978" i="2"/>
  <c r="AO977" i="2"/>
  <c r="AN977" i="2"/>
  <c r="S977" i="2"/>
  <c r="T977" i="2" s="1"/>
  <c r="R977" i="2"/>
  <c r="Q977" i="2"/>
  <c r="O977" i="2"/>
  <c r="AO976" i="2"/>
  <c r="AN976" i="2"/>
  <c r="S976" i="2"/>
  <c r="T976" i="2" s="1"/>
  <c r="R976" i="2"/>
  <c r="Q976" i="2"/>
  <c r="O976" i="2"/>
  <c r="AO975" i="2"/>
  <c r="AN975" i="2"/>
  <c r="S975" i="2"/>
  <c r="T975" i="2" s="1"/>
  <c r="R975" i="2"/>
  <c r="Q975" i="2"/>
  <c r="O975" i="2"/>
  <c r="AO974" i="2"/>
  <c r="AN974" i="2"/>
  <c r="S974" i="2"/>
  <c r="T974" i="2" s="1"/>
  <c r="R974" i="2"/>
  <c r="Q974" i="2"/>
  <c r="O974" i="2"/>
  <c r="AO973" i="2"/>
  <c r="AN973" i="2"/>
  <c r="S973" i="2"/>
  <c r="T973" i="2" s="1"/>
  <c r="R973" i="2"/>
  <c r="Q973" i="2"/>
  <c r="O973" i="2"/>
  <c r="AO972" i="2"/>
  <c r="AN972" i="2"/>
  <c r="S972" i="2"/>
  <c r="T972" i="2" s="1"/>
  <c r="R972" i="2"/>
  <c r="Q972" i="2"/>
  <c r="O972" i="2"/>
  <c r="AO971" i="2"/>
  <c r="AN971" i="2"/>
  <c r="S971" i="2"/>
  <c r="T971" i="2" s="1"/>
  <c r="R971" i="2"/>
  <c r="Q971" i="2"/>
  <c r="O971" i="2"/>
  <c r="AO970" i="2"/>
  <c r="AN970" i="2"/>
  <c r="S970" i="2"/>
  <c r="T970" i="2" s="1"/>
  <c r="R970" i="2"/>
  <c r="Q970" i="2"/>
  <c r="O970" i="2"/>
  <c r="AO969" i="2"/>
  <c r="AN969" i="2"/>
  <c r="S969" i="2"/>
  <c r="T969" i="2" s="1"/>
  <c r="R969" i="2"/>
  <c r="Q969" i="2"/>
  <c r="O969" i="2"/>
  <c r="AO968" i="2"/>
  <c r="AN968" i="2"/>
  <c r="S968" i="2"/>
  <c r="T968" i="2" s="1"/>
  <c r="R968" i="2"/>
  <c r="Q968" i="2"/>
  <c r="O968" i="2"/>
  <c r="AO967" i="2"/>
  <c r="AN967" i="2"/>
  <c r="S967" i="2"/>
  <c r="T967" i="2" s="1"/>
  <c r="R967" i="2"/>
  <c r="Q967" i="2"/>
  <c r="O967" i="2"/>
  <c r="AO966" i="2"/>
  <c r="AN966" i="2"/>
  <c r="S966" i="2"/>
  <c r="T966" i="2" s="1"/>
  <c r="R966" i="2"/>
  <c r="Q966" i="2"/>
  <c r="O966" i="2"/>
  <c r="AO965" i="2"/>
  <c r="AN965" i="2"/>
  <c r="S965" i="2"/>
  <c r="T965" i="2" s="1"/>
  <c r="R965" i="2"/>
  <c r="Q965" i="2"/>
  <c r="O965" i="2"/>
  <c r="AO964" i="2"/>
  <c r="AN964" i="2"/>
  <c r="S964" i="2"/>
  <c r="T964" i="2" s="1"/>
  <c r="R964" i="2"/>
  <c r="Q964" i="2"/>
  <c r="O964" i="2"/>
  <c r="AO963" i="2"/>
  <c r="AN963" i="2"/>
  <c r="S963" i="2"/>
  <c r="T963" i="2" s="1"/>
  <c r="R963" i="2"/>
  <c r="Q963" i="2"/>
  <c r="O963" i="2"/>
  <c r="AO962" i="2"/>
  <c r="AN962" i="2"/>
  <c r="S962" i="2"/>
  <c r="T962" i="2" s="1"/>
  <c r="R962" i="2"/>
  <c r="Q962" i="2"/>
  <c r="O962" i="2"/>
  <c r="AO961" i="2"/>
  <c r="AN961" i="2"/>
  <c r="S961" i="2"/>
  <c r="T961" i="2" s="1"/>
  <c r="R961" i="2"/>
  <c r="Q961" i="2"/>
  <c r="O961" i="2"/>
  <c r="AO960" i="2"/>
  <c r="AN960" i="2"/>
  <c r="S960" i="2"/>
  <c r="T960" i="2" s="1"/>
  <c r="R960" i="2"/>
  <c r="Q960" i="2"/>
  <c r="O960" i="2"/>
  <c r="AO959" i="2"/>
  <c r="AN959" i="2"/>
  <c r="S959" i="2"/>
  <c r="T959" i="2" s="1"/>
  <c r="R959" i="2"/>
  <c r="Q959" i="2"/>
  <c r="O959" i="2"/>
  <c r="AO958" i="2"/>
  <c r="AN958" i="2"/>
  <c r="S958" i="2"/>
  <c r="T958" i="2" s="1"/>
  <c r="R958" i="2"/>
  <c r="Q958" i="2"/>
  <c r="O958" i="2"/>
  <c r="AO957" i="2"/>
  <c r="AN957" i="2"/>
  <c r="S957" i="2"/>
  <c r="T957" i="2" s="1"/>
  <c r="R957" i="2"/>
  <c r="Q957" i="2"/>
  <c r="O957" i="2"/>
  <c r="AO956" i="2"/>
  <c r="AN956" i="2"/>
  <c r="S956" i="2"/>
  <c r="T956" i="2" s="1"/>
  <c r="R956" i="2"/>
  <c r="Q956" i="2"/>
  <c r="O956" i="2"/>
  <c r="AO955" i="2"/>
  <c r="AN955" i="2"/>
  <c r="S955" i="2"/>
  <c r="T955" i="2" s="1"/>
  <c r="R955" i="2"/>
  <c r="Q955" i="2"/>
  <c r="O955" i="2"/>
  <c r="AO954" i="2"/>
  <c r="AN954" i="2"/>
  <c r="S954" i="2"/>
  <c r="T954" i="2" s="1"/>
  <c r="R954" i="2"/>
  <c r="Q954" i="2"/>
  <c r="O954" i="2"/>
  <c r="AO953" i="2"/>
  <c r="AN953" i="2"/>
  <c r="S953" i="2"/>
  <c r="T953" i="2" s="1"/>
  <c r="R953" i="2"/>
  <c r="Q953" i="2"/>
  <c r="O953" i="2"/>
  <c r="AO952" i="2"/>
  <c r="AN952" i="2"/>
  <c r="S952" i="2"/>
  <c r="T952" i="2" s="1"/>
  <c r="R952" i="2"/>
  <c r="Q952" i="2"/>
  <c r="O952" i="2"/>
  <c r="AO951" i="2"/>
  <c r="AN951" i="2"/>
  <c r="S951" i="2"/>
  <c r="T951" i="2" s="1"/>
  <c r="R951" i="2"/>
  <c r="Q951" i="2"/>
  <c r="O951" i="2"/>
  <c r="AO950" i="2"/>
  <c r="AN950" i="2"/>
  <c r="S950" i="2"/>
  <c r="T950" i="2" s="1"/>
  <c r="R950" i="2"/>
  <c r="Q950" i="2"/>
  <c r="O950" i="2"/>
  <c r="AO949" i="2"/>
  <c r="AN949" i="2"/>
  <c r="S949" i="2"/>
  <c r="T949" i="2" s="1"/>
  <c r="R949" i="2"/>
  <c r="Q949" i="2"/>
  <c r="O949" i="2"/>
  <c r="AO948" i="2"/>
  <c r="AN948" i="2"/>
  <c r="S948" i="2"/>
  <c r="T948" i="2" s="1"/>
  <c r="R948" i="2"/>
  <c r="Q948" i="2"/>
  <c r="O948" i="2"/>
  <c r="AO947" i="2"/>
  <c r="AN947" i="2"/>
  <c r="S947" i="2"/>
  <c r="T947" i="2" s="1"/>
  <c r="R947" i="2"/>
  <c r="Q947" i="2"/>
  <c r="O947" i="2"/>
  <c r="AO946" i="2"/>
  <c r="AN946" i="2"/>
  <c r="S946" i="2"/>
  <c r="T946" i="2" s="1"/>
  <c r="R946" i="2"/>
  <c r="Q946" i="2"/>
  <c r="O946" i="2"/>
  <c r="AO945" i="2"/>
  <c r="AN945" i="2"/>
  <c r="S945" i="2"/>
  <c r="T945" i="2" s="1"/>
  <c r="R945" i="2"/>
  <c r="Q945" i="2"/>
  <c r="O945" i="2"/>
  <c r="AO944" i="2"/>
  <c r="AN944" i="2"/>
  <c r="S944" i="2"/>
  <c r="T944" i="2" s="1"/>
  <c r="R944" i="2"/>
  <c r="Q944" i="2"/>
  <c r="O944" i="2"/>
  <c r="AO943" i="2"/>
  <c r="AN943" i="2"/>
  <c r="S943" i="2"/>
  <c r="T943" i="2" s="1"/>
  <c r="R943" i="2"/>
  <c r="Q943" i="2"/>
  <c r="O943" i="2"/>
  <c r="AO942" i="2"/>
  <c r="AN942" i="2"/>
  <c r="S942" i="2"/>
  <c r="T942" i="2" s="1"/>
  <c r="R942" i="2"/>
  <c r="Q942" i="2"/>
  <c r="O942" i="2"/>
  <c r="AO941" i="2"/>
  <c r="AN941" i="2"/>
  <c r="S941" i="2"/>
  <c r="T941" i="2" s="1"/>
  <c r="R941" i="2"/>
  <c r="Q941" i="2"/>
  <c r="O941" i="2"/>
  <c r="AO940" i="2"/>
  <c r="AN940" i="2"/>
  <c r="S940" i="2"/>
  <c r="T940" i="2" s="1"/>
  <c r="R940" i="2"/>
  <c r="Q940" i="2"/>
  <c r="O940" i="2"/>
  <c r="AO939" i="2"/>
  <c r="AN939" i="2"/>
  <c r="S939" i="2"/>
  <c r="T939" i="2" s="1"/>
  <c r="R939" i="2"/>
  <c r="Q939" i="2"/>
  <c r="O939" i="2"/>
  <c r="AO938" i="2"/>
  <c r="AN938" i="2"/>
  <c r="S938" i="2"/>
  <c r="T938" i="2" s="1"/>
  <c r="R938" i="2"/>
  <c r="Q938" i="2"/>
  <c r="O938" i="2"/>
  <c r="AO937" i="2"/>
  <c r="AN937" i="2"/>
  <c r="S937" i="2"/>
  <c r="T937" i="2" s="1"/>
  <c r="R937" i="2"/>
  <c r="Q937" i="2"/>
  <c r="O937" i="2"/>
  <c r="AO936" i="2"/>
  <c r="AN936" i="2"/>
  <c r="S936" i="2"/>
  <c r="T936" i="2" s="1"/>
  <c r="R936" i="2"/>
  <c r="Q936" i="2"/>
  <c r="O936" i="2"/>
  <c r="AO935" i="2"/>
  <c r="AN935" i="2"/>
  <c r="S935" i="2"/>
  <c r="T935" i="2" s="1"/>
  <c r="R935" i="2"/>
  <c r="Q935" i="2"/>
  <c r="O935" i="2"/>
  <c r="AO934" i="2"/>
  <c r="AN934" i="2"/>
  <c r="S934" i="2"/>
  <c r="T934" i="2" s="1"/>
  <c r="R934" i="2"/>
  <c r="Q934" i="2"/>
  <c r="O934" i="2"/>
  <c r="AO933" i="2"/>
  <c r="AN933" i="2"/>
  <c r="S933" i="2"/>
  <c r="T933" i="2" s="1"/>
  <c r="R933" i="2"/>
  <c r="Q933" i="2"/>
  <c r="O933" i="2"/>
  <c r="AO932" i="2"/>
  <c r="AN932" i="2"/>
  <c r="S932" i="2"/>
  <c r="T932" i="2" s="1"/>
  <c r="R932" i="2"/>
  <c r="Q932" i="2"/>
  <c r="O932" i="2"/>
  <c r="AO931" i="2"/>
  <c r="AN931" i="2"/>
  <c r="S931" i="2"/>
  <c r="T931" i="2" s="1"/>
  <c r="R931" i="2"/>
  <c r="Q931" i="2"/>
  <c r="O931" i="2"/>
  <c r="AO930" i="2"/>
  <c r="AN930" i="2"/>
  <c r="S930" i="2"/>
  <c r="T930" i="2" s="1"/>
  <c r="R930" i="2"/>
  <c r="Q930" i="2"/>
  <c r="O930" i="2"/>
  <c r="AO929" i="2"/>
  <c r="AN929" i="2"/>
  <c r="S929" i="2"/>
  <c r="T929" i="2" s="1"/>
  <c r="R929" i="2"/>
  <c r="Q929" i="2"/>
  <c r="O929" i="2"/>
  <c r="AO928" i="2"/>
  <c r="AN928" i="2"/>
  <c r="S928" i="2"/>
  <c r="T928" i="2" s="1"/>
  <c r="R928" i="2"/>
  <c r="Q928" i="2"/>
  <c r="O928" i="2"/>
  <c r="AO927" i="2"/>
  <c r="AN927" i="2"/>
  <c r="S927" i="2"/>
  <c r="T927" i="2" s="1"/>
  <c r="R927" i="2"/>
  <c r="Q927" i="2"/>
  <c r="O927" i="2"/>
  <c r="AO926" i="2"/>
  <c r="AN926" i="2"/>
  <c r="S926" i="2"/>
  <c r="T926" i="2" s="1"/>
  <c r="R926" i="2"/>
  <c r="Q926" i="2"/>
  <c r="O926" i="2"/>
  <c r="AO925" i="2"/>
  <c r="AN925" i="2"/>
  <c r="S925" i="2"/>
  <c r="T925" i="2" s="1"/>
  <c r="R925" i="2"/>
  <c r="Q925" i="2"/>
  <c r="O925" i="2"/>
  <c r="AO924" i="2"/>
  <c r="AN924" i="2"/>
  <c r="S924" i="2"/>
  <c r="T924" i="2" s="1"/>
  <c r="R924" i="2"/>
  <c r="Q924" i="2"/>
  <c r="O924" i="2"/>
  <c r="AO923" i="2"/>
  <c r="AN923" i="2"/>
  <c r="S923" i="2"/>
  <c r="T923" i="2" s="1"/>
  <c r="R923" i="2"/>
  <c r="Q923" i="2"/>
  <c r="O923" i="2"/>
  <c r="AO922" i="2"/>
  <c r="AN922" i="2"/>
  <c r="S922" i="2"/>
  <c r="T922" i="2" s="1"/>
  <c r="R922" i="2"/>
  <c r="Q922" i="2"/>
  <c r="O922" i="2"/>
  <c r="AO921" i="2"/>
  <c r="AN921" i="2"/>
  <c r="S921" i="2"/>
  <c r="T921" i="2" s="1"/>
  <c r="R921" i="2"/>
  <c r="Q921" i="2"/>
  <c r="O921" i="2"/>
  <c r="AO920" i="2"/>
  <c r="AN920" i="2"/>
  <c r="S920" i="2"/>
  <c r="T920" i="2" s="1"/>
  <c r="R920" i="2"/>
  <c r="Q920" i="2"/>
  <c r="O920" i="2"/>
  <c r="AO919" i="2"/>
  <c r="AN919" i="2"/>
  <c r="S919" i="2"/>
  <c r="T919" i="2" s="1"/>
  <c r="R919" i="2"/>
  <c r="Q919" i="2"/>
  <c r="O919" i="2"/>
  <c r="AO918" i="2"/>
  <c r="AN918" i="2"/>
  <c r="S918" i="2"/>
  <c r="T918" i="2" s="1"/>
  <c r="R918" i="2"/>
  <c r="Q918" i="2"/>
  <c r="O918" i="2"/>
  <c r="AO917" i="2"/>
  <c r="AN917" i="2"/>
  <c r="S917" i="2"/>
  <c r="T917" i="2" s="1"/>
  <c r="R917" i="2"/>
  <c r="Q917" i="2"/>
  <c r="O917" i="2"/>
  <c r="AO916" i="2"/>
  <c r="AN916" i="2"/>
  <c r="S916" i="2"/>
  <c r="T916" i="2" s="1"/>
  <c r="R916" i="2"/>
  <c r="Q916" i="2"/>
  <c r="O916" i="2"/>
  <c r="AO915" i="2"/>
  <c r="AN915" i="2"/>
  <c r="S915" i="2"/>
  <c r="T915" i="2" s="1"/>
  <c r="R915" i="2"/>
  <c r="Q915" i="2"/>
  <c r="O915" i="2"/>
  <c r="AO914" i="2"/>
  <c r="AN914" i="2"/>
  <c r="S914" i="2"/>
  <c r="T914" i="2" s="1"/>
  <c r="R914" i="2"/>
  <c r="Q914" i="2"/>
  <c r="O914" i="2"/>
  <c r="AO913" i="2"/>
  <c r="AN913" i="2"/>
  <c r="S913" i="2"/>
  <c r="T913" i="2" s="1"/>
  <c r="R913" i="2"/>
  <c r="Q913" i="2"/>
  <c r="O913" i="2"/>
  <c r="AO912" i="2"/>
  <c r="AN912" i="2"/>
  <c r="S912" i="2"/>
  <c r="T912" i="2" s="1"/>
  <c r="R912" i="2"/>
  <c r="Q912" i="2"/>
  <c r="O912" i="2"/>
  <c r="AO911" i="2"/>
  <c r="AN911" i="2"/>
  <c r="S911" i="2"/>
  <c r="T911" i="2" s="1"/>
  <c r="R911" i="2"/>
  <c r="Q911" i="2"/>
  <c r="O911" i="2"/>
  <c r="AO910" i="2"/>
  <c r="AN910" i="2"/>
  <c r="S910" i="2"/>
  <c r="T910" i="2" s="1"/>
  <c r="R910" i="2"/>
  <c r="Q910" i="2"/>
  <c r="O910" i="2"/>
  <c r="AO909" i="2"/>
  <c r="AN909" i="2"/>
  <c r="S909" i="2"/>
  <c r="T909" i="2" s="1"/>
  <c r="R909" i="2"/>
  <c r="Q909" i="2"/>
  <c r="O909" i="2"/>
  <c r="AO908" i="2"/>
  <c r="AN908" i="2"/>
  <c r="S908" i="2"/>
  <c r="T908" i="2" s="1"/>
  <c r="R908" i="2"/>
  <c r="Q908" i="2"/>
  <c r="O908" i="2"/>
  <c r="AO907" i="2"/>
  <c r="AN907" i="2"/>
  <c r="S907" i="2"/>
  <c r="T907" i="2" s="1"/>
  <c r="R907" i="2"/>
  <c r="Q907" i="2"/>
  <c r="O907" i="2"/>
  <c r="AO906" i="2"/>
  <c r="AN906" i="2"/>
  <c r="S906" i="2"/>
  <c r="T906" i="2" s="1"/>
  <c r="R906" i="2"/>
  <c r="Q906" i="2"/>
  <c r="O906" i="2"/>
  <c r="AO905" i="2"/>
  <c r="AN905" i="2"/>
  <c r="S905" i="2"/>
  <c r="T905" i="2" s="1"/>
  <c r="R905" i="2"/>
  <c r="Q905" i="2"/>
  <c r="O905" i="2"/>
  <c r="AO904" i="2"/>
  <c r="AN904" i="2"/>
  <c r="S904" i="2"/>
  <c r="T904" i="2" s="1"/>
  <c r="R904" i="2"/>
  <c r="Q904" i="2"/>
  <c r="O904" i="2"/>
  <c r="AO903" i="2"/>
  <c r="AN903" i="2"/>
  <c r="S903" i="2"/>
  <c r="T903" i="2" s="1"/>
  <c r="R903" i="2"/>
  <c r="Q903" i="2"/>
  <c r="O903" i="2"/>
  <c r="AO902" i="2"/>
  <c r="AN902" i="2"/>
  <c r="S902" i="2"/>
  <c r="T902" i="2" s="1"/>
  <c r="R902" i="2"/>
  <c r="Q902" i="2"/>
  <c r="O902" i="2"/>
  <c r="AO901" i="2"/>
  <c r="AN901" i="2"/>
  <c r="S901" i="2"/>
  <c r="T901" i="2" s="1"/>
  <c r="R901" i="2"/>
  <c r="Q901" i="2"/>
  <c r="O901" i="2"/>
  <c r="AO900" i="2"/>
  <c r="AN900" i="2"/>
  <c r="S900" i="2"/>
  <c r="T900" i="2" s="1"/>
  <c r="R900" i="2"/>
  <c r="Q900" i="2"/>
  <c r="O900" i="2"/>
  <c r="AO899" i="2"/>
  <c r="AN899" i="2"/>
  <c r="S899" i="2"/>
  <c r="T899" i="2" s="1"/>
  <c r="R899" i="2"/>
  <c r="Q899" i="2"/>
  <c r="O899" i="2"/>
  <c r="AO898" i="2"/>
  <c r="AN898" i="2"/>
  <c r="S898" i="2"/>
  <c r="T898" i="2" s="1"/>
  <c r="R898" i="2"/>
  <c r="Q898" i="2"/>
  <c r="O898" i="2"/>
  <c r="AO897" i="2"/>
  <c r="AN897" i="2"/>
  <c r="S897" i="2"/>
  <c r="T897" i="2" s="1"/>
  <c r="R897" i="2"/>
  <c r="Q897" i="2"/>
  <c r="O897" i="2"/>
  <c r="AO896" i="2"/>
  <c r="AN896" i="2"/>
  <c r="S896" i="2"/>
  <c r="T896" i="2" s="1"/>
  <c r="R896" i="2"/>
  <c r="Q896" i="2"/>
  <c r="O896" i="2"/>
  <c r="AO895" i="2"/>
  <c r="AN895" i="2"/>
  <c r="S895" i="2"/>
  <c r="T895" i="2" s="1"/>
  <c r="R895" i="2"/>
  <c r="Q895" i="2"/>
  <c r="O895" i="2"/>
  <c r="AO894" i="2"/>
  <c r="AN894" i="2"/>
  <c r="S894" i="2"/>
  <c r="T894" i="2" s="1"/>
  <c r="R894" i="2"/>
  <c r="Q894" i="2"/>
  <c r="O894" i="2"/>
  <c r="AO893" i="2"/>
  <c r="AN893" i="2"/>
  <c r="S893" i="2"/>
  <c r="T893" i="2" s="1"/>
  <c r="R893" i="2"/>
  <c r="Q893" i="2"/>
  <c r="O893" i="2"/>
  <c r="AO892" i="2"/>
  <c r="AN892" i="2"/>
  <c r="S892" i="2"/>
  <c r="T892" i="2" s="1"/>
  <c r="R892" i="2"/>
  <c r="Q892" i="2"/>
  <c r="O892" i="2"/>
  <c r="AO891" i="2"/>
  <c r="AN891" i="2"/>
  <c r="S891" i="2"/>
  <c r="T891" i="2" s="1"/>
  <c r="R891" i="2"/>
  <c r="Q891" i="2"/>
  <c r="O891" i="2"/>
  <c r="AO890" i="2"/>
  <c r="AN890" i="2"/>
  <c r="S890" i="2"/>
  <c r="T890" i="2" s="1"/>
  <c r="R890" i="2"/>
  <c r="Q890" i="2"/>
  <c r="O890" i="2"/>
  <c r="AO889" i="2"/>
  <c r="AN889" i="2"/>
  <c r="S889" i="2"/>
  <c r="T889" i="2" s="1"/>
  <c r="R889" i="2"/>
  <c r="Q889" i="2"/>
  <c r="O889" i="2"/>
  <c r="AO888" i="2"/>
  <c r="AN888" i="2"/>
  <c r="S888" i="2"/>
  <c r="T888" i="2" s="1"/>
  <c r="R888" i="2"/>
  <c r="Q888" i="2"/>
  <c r="O888" i="2"/>
  <c r="AO887" i="2"/>
  <c r="AN887" i="2"/>
  <c r="S887" i="2"/>
  <c r="T887" i="2" s="1"/>
  <c r="R887" i="2"/>
  <c r="Q887" i="2"/>
  <c r="O887" i="2"/>
  <c r="AO886" i="2"/>
  <c r="AN886" i="2"/>
  <c r="S886" i="2"/>
  <c r="T886" i="2" s="1"/>
  <c r="R886" i="2"/>
  <c r="Q886" i="2"/>
  <c r="O886" i="2"/>
  <c r="AO885" i="2"/>
  <c r="AN885" i="2"/>
  <c r="S885" i="2"/>
  <c r="T885" i="2" s="1"/>
  <c r="R885" i="2"/>
  <c r="Q885" i="2"/>
  <c r="O885" i="2"/>
  <c r="AO884" i="2"/>
  <c r="AN884" i="2"/>
  <c r="S884" i="2"/>
  <c r="T884" i="2" s="1"/>
  <c r="R884" i="2"/>
  <c r="Q884" i="2"/>
  <c r="O884" i="2"/>
  <c r="AO883" i="2"/>
  <c r="AN883" i="2"/>
  <c r="S883" i="2"/>
  <c r="T883" i="2" s="1"/>
  <c r="R883" i="2"/>
  <c r="Q883" i="2"/>
  <c r="O883" i="2"/>
  <c r="AO882" i="2"/>
  <c r="AN882" i="2"/>
  <c r="S882" i="2"/>
  <c r="T882" i="2" s="1"/>
  <c r="R882" i="2"/>
  <c r="Q882" i="2"/>
  <c r="O882" i="2"/>
  <c r="AO881" i="2"/>
  <c r="AN881" i="2"/>
  <c r="S881" i="2"/>
  <c r="T881" i="2" s="1"/>
  <c r="R881" i="2"/>
  <c r="Q881" i="2"/>
  <c r="O881" i="2"/>
  <c r="AO880" i="2"/>
  <c r="AN880" i="2"/>
  <c r="S880" i="2"/>
  <c r="T880" i="2" s="1"/>
  <c r="R880" i="2"/>
  <c r="Q880" i="2"/>
  <c r="O880" i="2"/>
  <c r="AO879" i="2"/>
  <c r="AN879" i="2"/>
  <c r="S879" i="2"/>
  <c r="T879" i="2" s="1"/>
  <c r="R879" i="2"/>
  <c r="Q879" i="2"/>
  <c r="O879" i="2"/>
  <c r="AO878" i="2"/>
  <c r="AN878" i="2"/>
  <c r="S878" i="2"/>
  <c r="T878" i="2" s="1"/>
  <c r="R878" i="2"/>
  <c r="Q878" i="2"/>
  <c r="O878" i="2"/>
  <c r="AO877" i="2"/>
  <c r="AN877" i="2"/>
  <c r="S877" i="2"/>
  <c r="T877" i="2" s="1"/>
  <c r="R877" i="2"/>
  <c r="Q877" i="2"/>
  <c r="O877" i="2"/>
  <c r="AO876" i="2"/>
  <c r="AN876" i="2"/>
  <c r="S876" i="2"/>
  <c r="T876" i="2" s="1"/>
  <c r="R876" i="2"/>
  <c r="Q876" i="2"/>
  <c r="O876" i="2"/>
  <c r="AO875" i="2"/>
  <c r="AN875" i="2"/>
  <c r="S875" i="2"/>
  <c r="T875" i="2" s="1"/>
  <c r="R875" i="2"/>
  <c r="Q875" i="2"/>
  <c r="O875" i="2"/>
  <c r="AO874" i="2"/>
  <c r="AN874" i="2"/>
  <c r="S874" i="2"/>
  <c r="T874" i="2" s="1"/>
  <c r="R874" i="2"/>
  <c r="Q874" i="2"/>
  <c r="O874" i="2"/>
  <c r="AO873" i="2"/>
  <c r="AN873" i="2"/>
  <c r="S873" i="2"/>
  <c r="T873" i="2" s="1"/>
  <c r="R873" i="2"/>
  <c r="Q873" i="2"/>
  <c r="O873" i="2"/>
  <c r="AO872" i="2"/>
  <c r="AN872" i="2"/>
  <c r="S872" i="2"/>
  <c r="T872" i="2" s="1"/>
  <c r="R872" i="2"/>
  <c r="Q872" i="2"/>
  <c r="O872" i="2"/>
  <c r="AO871" i="2"/>
  <c r="AN871" i="2"/>
  <c r="S871" i="2"/>
  <c r="T871" i="2" s="1"/>
  <c r="R871" i="2"/>
  <c r="Q871" i="2"/>
  <c r="O871" i="2"/>
  <c r="AO870" i="2"/>
  <c r="AN870" i="2"/>
  <c r="S870" i="2"/>
  <c r="T870" i="2" s="1"/>
  <c r="R870" i="2"/>
  <c r="Q870" i="2"/>
  <c r="O870" i="2"/>
  <c r="AO869" i="2"/>
  <c r="AN869" i="2"/>
  <c r="S869" i="2"/>
  <c r="T869" i="2" s="1"/>
  <c r="R869" i="2"/>
  <c r="Q869" i="2"/>
  <c r="O869" i="2"/>
  <c r="AO868" i="2"/>
  <c r="AN868" i="2"/>
  <c r="S868" i="2"/>
  <c r="T868" i="2" s="1"/>
  <c r="R868" i="2"/>
  <c r="Q868" i="2"/>
  <c r="O868" i="2"/>
  <c r="AO867" i="2"/>
  <c r="AN867" i="2"/>
  <c r="S867" i="2"/>
  <c r="T867" i="2" s="1"/>
  <c r="R867" i="2"/>
  <c r="Q867" i="2"/>
  <c r="O867" i="2"/>
  <c r="AO866" i="2"/>
  <c r="AN866" i="2"/>
  <c r="S866" i="2"/>
  <c r="T866" i="2" s="1"/>
  <c r="R866" i="2"/>
  <c r="Q866" i="2"/>
  <c r="O866" i="2"/>
  <c r="AO865" i="2"/>
  <c r="AN865" i="2"/>
  <c r="S865" i="2"/>
  <c r="T865" i="2" s="1"/>
  <c r="R865" i="2"/>
  <c r="Q865" i="2"/>
  <c r="O865" i="2"/>
  <c r="AO864" i="2"/>
  <c r="AN864" i="2"/>
  <c r="S864" i="2"/>
  <c r="T864" i="2" s="1"/>
  <c r="R864" i="2"/>
  <c r="Q864" i="2"/>
  <c r="O864" i="2"/>
  <c r="AO863" i="2"/>
  <c r="AN863" i="2"/>
  <c r="S863" i="2"/>
  <c r="T863" i="2" s="1"/>
  <c r="R863" i="2"/>
  <c r="Q863" i="2"/>
  <c r="O863" i="2"/>
  <c r="AO862" i="2"/>
  <c r="AN862" i="2"/>
  <c r="S862" i="2"/>
  <c r="T862" i="2" s="1"/>
  <c r="R862" i="2"/>
  <c r="Q862" i="2"/>
  <c r="O862" i="2"/>
  <c r="AO861" i="2"/>
  <c r="AN861" i="2"/>
  <c r="S861" i="2"/>
  <c r="T861" i="2" s="1"/>
  <c r="R861" i="2"/>
  <c r="Q861" i="2"/>
  <c r="O861" i="2"/>
  <c r="AO860" i="2"/>
  <c r="AN860" i="2"/>
  <c r="S860" i="2"/>
  <c r="T860" i="2" s="1"/>
  <c r="R860" i="2"/>
  <c r="Q860" i="2"/>
  <c r="O860" i="2"/>
  <c r="AO859" i="2"/>
  <c r="AN859" i="2"/>
  <c r="S859" i="2"/>
  <c r="T859" i="2" s="1"/>
  <c r="R859" i="2"/>
  <c r="Q859" i="2"/>
  <c r="O859" i="2"/>
  <c r="AO858" i="2"/>
  <c r="AN858" i="2"/>
  <c r="S858" i="2"/>
  <c r="T858" i="2" s="1"/>
  <c r="R858" i="2"/>
  <c r="Q858" i="2"/>
  <c r="O858" i="2"/>
  <c r="AO857" i="2"/>
  <c r="AN857" i="2"/>
  <c r="S857" i="2"/>
  <c r="T857" i="2" s="1"/>
  <c r="R857" i="2"/>
  <c r="Q857" i="2"/>
  <c r="O857" i="2"/>
  <c r="AO856" i="2"/>
  <c r="AN856" i="2"/>
  <c r="S856" i="2"/>
  <c r="T856" i="2" s="1"/>
  <c r="R856" i="2"/>
  <c r="Q856" i="2"/>
  <c r="O856" i="2"/>
  <c r="AO855" i="2"/>
  <c r="AN855" i="2"/>
  <c r="S855" i="2"/>
  <c r="T855" i="2" s="1"/>
  <c r="R855" i="2"/>
  <c r="Q855" i="2"/>
  <c r="O855" i="2"/>
  <c r="AO854" i="2"/>
  <c r="AN854" i="2"/>
  <c r="S854" i="2"/>
  <c r="T854" i="2" s="1"/>
  <c r="R854" i="2"/>
  <c r="Q854" i="2"/>
  <c r="O854" i="2"/>
  <c r="AO853" i="2"/>
  <c r="AN853" i="2"/>
  <c r="S853" i="2"/>
  <c r="T853" i="2" s="1"/>
  <c r="R853" i="2"/>
  <c r="Q853" i="2"/>
  <c r="O853" i="2"/>
  <c r="AO852" i="2"/>
  <c r="AN852" i="2"/>
  <c r="S852" i="2"/>
  <c r="T852" i="2" s="1"/>
  <c r="R852" i="2"/>
  <c r="Q852" i="2"/>
  <c r="O852" i="2"/>
  <c r="AO851" i="2"/>
  <c r="AN851" i="2"/>
  <c r="S851" i="2"/>
  <c r="T851" i="2" s="1"/>
  <c r="R851" i="2"/>
  <c r="Q851" i="2"/>
  <c r="O851" i="2"/>
  <c r="AO850" i="2"/>
  <c r="AN850" i="2"/>
  <c r="S850" i="2"/>
  <c r="T850" i="2" s="1"/>
  <c r="R850" i="2"/>
  <c r="Q850" i="2"/>
  <c r="O850" i="2"/>
  <c r="AO849" i="2"/>
  <c r="AN849" i="2"/>
  <c r="S849" i="2"/>
  <c r="T849" i="2" s="1"/>
  <c r="R849" i="2"/>
  <c r="Q849" i="2"/>
  <c r="O849" i="2"/>
  <c r="AO848" i="2"/>
  <c r="AN848" i="2"/>
  <c r="S848" i="2"/>
  <c r="T848" i="2" s="1"/>
  <c r="R848" i="2"/>
  <c r="Q848" i="2"/>
  <c r="O848" i="2"/>
  <c r="AO847" i="2"/>
  <c r="AN847" i="2"/>
  <c r="S847" i="2"/>
  <c r="T847" i="2" s="1"/>
  <c r="R847" i="2"/>
  <c r="Q847" i="2"/>
  <c r="O847" i="2"/>
  <c r="AO846" i="2"/>
  <c r="AN846" i="2"/>
  <c r="S846" i="2"/>
  <c r="T846" i="2" s="1"/>
  <c r="R846" i="2"/>
  <c r="Q846" i="2"/>
  <c r="O846" i="2"/>
  <c r="AO845" i="2"/>
  <c r="AN845" i="2"/>
  <c r="S845" i="2"/>
  <c r="T845" i="2" s="1"/>
  <c r="R845" i="2"/>
  <c r="Q845" i="2"/>
  <c r="O845" i="2"/>
  <c r="AO844" i="2"/>
  <c r="AN844" i="2"/>
  <c r="S844" i="2"/>
  <c r="T844" i="2" s="1"/>
  <c r="R844" i="2"/>
  <c r="Q844" i="2"/>
  <c r="O844" i="2"/>
  <c r="AO843" i="2"/>
  <c r="AN843" i="2"/>
  <c r="S843" i="2"/>
  <c r="T843" i="2" s="1"/>
  <c r="R843" i="2"/>
  <c r="Q843" i="2"/>
  <c r="O843" i="2"/>
  <c r="AO842" i="2"/>
  <c r="AN842" i="2"/>
  <c r="S842" i="2"/>
  <c r="T842" i="2" s="1"/>
  <c r="R842" i="2"/>
  <c r="Q842" i="2"/>
  <c r="O842" i="2"/>
  <c r="AO841" i="2"/>
  <c r="AN841" i="2"/>
  <c r="S841" i="2"/>
  <c r="T841" i="2" s="1"/>
  <c r="R841" i="2"/>
  <c r="Q841" i="2"/>
  <c r="O841" i="2"/>
  <c r="AO840" i="2"/>
  <c r="AN840" i="2"/>
  <c r="S840" i="2"/>
  <c r="T840" i="2" s="1"/>
  <c r="R840" i="2"/>
  <c r="Q840" i="2"/>
  <c r="O840" i="2"/>
  <c r="AO839" i="2"/>
  <c r="AN839" i="2"/>
  <c r="S839" i="2"/>
  <c r="T839" i="2" s="1"/>
  <c r="R839" i="2"/>
  <c r="Q839" i="2"/>
  <c r="O839" i="2"/>
  <c r="AO838" i="2"/>
  <c r="AN838" i="2"/>
  <c r="S838" i="2"/>
  <c r="T838" i="2" s="1"/>
  <c r="R838" i="2"/>
  <c r="Q838" i="2"/>
  <c r="O838" i="2"/>
  <c r="AO837" i="2"/>
  <c r="AN837" i="2"/>
  <c r="S837" i="2"/>
  <c r="T837" i="2" s="1"/>
  <c r="R837" i="2"/>
  <c r="Q837" i="2"/>
  <c r="O837" i="2"/>
  <c r="AO836" i="2"/>
  <c r="AN836" i="2"/>
  <c r="S836" i="2"/>
  <c r="T836" i="2" s="1"/>
  <c r="R836" i="2"/>
  <c r="Q836" i="2"/>
  <c r="O836" i="2"/>
  <c r="AO835" i="2"/>
  <c r="AN835" i="2"/>
  <c r="S835" i="2"/>
  <c r="T835" i="2" s="1"/>
  <c r="R835" i="2"/>
  <c r="Q835" i="2"/>
  <c r="O835" i="2"/>
  <c r="AO834" i="2"/>
  <c r="AN834" i="2"/>
  <c r="S834" i="2"/>
  <c r="T834" i="2" s="1"/>
  <c r="R834" i="2"/>
  <c r="Q834" i="2"/>
  <c r="O834" i="2"/>
  <c r="AO833" i="2"/>
  <c r="AN833" i="2"/>
  <c r="S833" i="2"/>
  <c r="T833" i="2" s="1"/>
  <c r="R833" i="2"/>
  <c r="Q833" i="2"/>
  <c r="O833" i="2"/>
  <c r="AO832" i="2"/>
  <c r="AN832" i="2"/>
  <c r="S832" i="2"/>
  <c r="T832" i="2" s="1"/>
  <c r="R832" i="2"/>
  <c r="Q832" i="2"/>
  <c r="O832" i="2"/>
  <c r="AO831" i="2"/>
  <c r="AN831" i="2"/>
  <c r="S831" i="2"/>
  <c r="T831" i="2" s="1"/>
  <c r="R831" i="2"/>
  <c r="Q831" i="2"/>
  <c r="O831" i="2"/>
  <c r="AO830" i="2"/>
  <c r="AN830" i="2"/>
  <c r="S830" i="2"/>
  <c r="T830" i="2" s="1"/>
  <c r="R830" i="2"/>
  <c r="Q830" i="2"/>
  <c r="O830" i="2"/>
  <c r="AO829" i="2"/>
  <c r="AN829" i="2"/>
  <c r="S829" i="2"/>
  <c r="T829" i="2" s="1"/>
  <c r="R829" i="2"/>
  <c r="Q829" i="2"/>
  <c r="O829" i="2"/>
  <c r="AO828" i="2"/>
  <c r="AN828" i="2"/>
  <c r="S828" i="2"/>
  <c r="T828" i="2" s="1"/>
  <c r="R828" i="2"/>
  <c r="Q828" i="2"/>
  <c r="O828" i="2"/>
  <c r="AO827" i="2"/>
  <c r="AN827" i="2"/>
  <c r="S827" i="2"/>
  <c r="T827" i="2" s="1"/>
  <c r="R827" i="2"/>
  <c r="Q827" i="2"/>
  <c r="O827" i="2"/>
  <c r="AO826" i="2"/>
  <c r="AN826" i="2"/>
  <c r="S826" i="2"/>
  <c r="T826" i="2" s="1"/>
  <c r="R826" i="2"/>
  <c r="Q826" i="2"/>
  <c r="O826" i="2"/>
  <c r="AO825" i="2"/>
  <c r="AN825" i="2"/>
  <c r="S825" i="2"/>
  <c r="T825" i="2" s="1"/>
  <c r="R825" i="2"/>
  <c r="Q825" i="2"/>
  <c r="O825" i="2"/>
  <c r="AO824" i="2"/>
  <c r="AN824" i="2"/>
  <c r="S824" i="2"/>
  <c r="T824" i="2" s="1"/>
  <c r="R824" i="2"/>
  <c r="Q824" i="2"/>
  <c r="O824" i="2"/>
  <c r="AO823" i="2"/>
  <c r="AN823" i="2"/>
  <c r="S823" i="2"/>
  <c r="T823" i="2" s="1"/>
  <c r="R823" i="2"/>
  <c r="Q823" i="2"/>
  <c r="O823" i="2"/>
  <c r="AO822" i="2"/>
  <c r="AN822" i="2"/>
  <c r="S822" i="2"/>
  <c r="T822" i="2" s="1"/>
  <c r="R822" i="2"/>
  <c r="Q822" i="2"/>
  <c r="O822" i="2"/>
  <c r="AO821" i="2"/>
  <c r="AN821" i="2"/>
  <c r="S821" i="2"/>
  <c r="T821" i="2" s="1"/>
  <c r="R821" i="2"/>
  <c r="Q821" i="2"/>
  <c r="O821" i="2"/>
  <c r="AO820" i="2"/>
  <c r="AN820" i="2"/>
  <c r="S820" i="2"/>
  <c r="T820" i="2" s="1"/>
  <c r="R820" i="2"/>
  <c r="Q820" i="2"/>
  <c r="O820" i="2"/>
  <c r="AO819" i="2"/>
  <c r="AN819" i="2"/>
  <c r="S819" i="2"/>
  <c r="T819" i="2" s="1"/>
  <c r="R819" i="2"/>
  <c r="Q819" i="2"/>
  <c r="O819" i="2"/>
  <c r="AO818" i="2"/>
  <c r="AN818" i="2"/>
  <c r="S818" i="2"/>
  <c r="T818" i="2" s="1"/>
  <c r="R818" i="2"/>
  <c r="Q818" i="2"/>
  <c r="O818" i="2"/>
  <c r="AO817" i="2"/>
  <c r="AN817" i="2"/>
  <c r="S817" i="2"/>
  <c r="T817" i="2" s="1"/>
  <c r="R817" i="2"/>
  <c r="Q817" i="2"/>
  <c r="O817" i="2"/>
  <c r="AO816" i="2"/>
  <c r="AN816" i="2"/>
  <c r="S816" i="2"/>
  <c r="T816" i="2" s="1"/>
  <c r="R816" i="2"/>
  <c r="Q816" i="2"/>
  <c r="O816" i="2"/>
  <c r="AO815" i="2"/>
  <c r="AN815" i="2"/>
  <c r="S815" i="2"/>
  <c r="T815" i="2" s="1"/>
  <c r="R815" i="2"/>
  <c r="Q815" i="2"/>
  <c r="O815" i="2"/>
  <c r="AO814" i="2"/>
  <c r="AN814" i="2"/>
  <c r="S814" i="2"/>
  <c r="T814" i="2" s="1"/>
  <c r="R814" i="2"/>
  <c r="Q814" i="2"/>
  <c r="O814" i="2"/>
  <c r="AO813" i="2"/>
  <c r="AN813" i="2"/>
  <c r="S813" i="2"/>
  <c r="T813" i="2" s="1"/>
  <c r="R813" i="2"/>
  <c r="Q813" i="2"/>
  <c r="O813" i="2"/>
  <c r="AO812" i="2"/>
  <c r="AN812" i="2"/>
  <c r="S812" i="2"/>
  <c r="T812" i="2" s="1"/>
  <c r="R812" i="2"/>
  <c r="Q812" i="2"/>
  <c r="O812" i="2"/>
  <c r="AO811" i="2"/>
  <c r="AN811" i="2"/>
  <c r="S811" i="2"/>
  <c r="T811" i="2" s="1"/>
  <c r="R811" i="2"/>
  <c r="Q811" i="2"/>
  <c r="O811" i="2"/>
  <c r="AO810" i="2"/>
  <c r="AN810" i="2"/>
  <c r="R810" i="2"/>
  <c r="Q810" i="2"/>
  <c r="O810" i="2"/>
  <c r="AO809" i="2"/>
  <c r="AN809" i="2"/>
  <c r="R809" i="2"/>
  <c r="Q809" i="2"/>
  <c r="O809" i="2"/>
  <c r="AO808" i="2"/>
  <c r="AN808" i="2"/>
  <c r="R808" i="2"/>
  <c r="Q808" i="2"/>
  <c r="O808" i="2"/>
  <c r="AO807" i="2"/>
  <c r="AN807" i="2"/>
  <c r="R807" i="2"/>
  <c r="Q807" i="2"/>
  <c r="O807" i="2"/>
  <c r="AO806" i="2"/>
  <c r="AN806" i="2"/>
  <c r="R806" i="2"/>
  <c r="Q806" i="2"/>
  <c r="O806" i="2"/>
  <c r="AO805" i="2"/>
  <c r="AN805" i="2"/>
  <c r="R805" i="2"/>
  <c r="Q805" i="2"/>
  <c r="O805" i="2"/>
  <c r="AO804" i="2"/>
  <c r="AN804" i="2"/>
  <c r="R804" i="2"/>
  <c r="Q804" i="2"/>
  <c r="O804" i="2"/>
  <c r="AO803" i="2"/>
  <c r="AN803" i="2"/>
  <c r="R803" i="2"/>
  <c r="Q803" i="2"/>
  <c r="O803" i="2"/>
  <c r="AO802" i="2"/>
  <c r="AN802" i="2"/>
  <c r="R802" i="2"/>
  <c r="Q802" i="2"/>
  <c r="O802" i="2"/>
  <c r="AO801" i="2"/>
  <c r="AN801" i="2"/>
  <c r="R801" i="2"/>
  <c r="Q801" i="2"/>
  <c r="O801" i="2"/>
  <c r="AO800" i="2"/>
  <c r="AN800" i="2"/>
  <c r="R800" i="2"/>
  <c r="Q800" i="2"/>
  <c r="O800" i="2"/>
  <c r="AO799" i="2"/>
  <c r="AN799" i="2"/>
  <c r="R799" i="2"/>
  <c r="Q799" i="2"/>
  <c r="O799" i="2"/>
  <c r="AO798" i="2"/>
  <c r="AN798" i="2"/>
  <c r="R798" i="2"/>
  <c r="Q798" i="2"/>
  <c r="O798" i="2"/>
  <c r="AO797" i="2"/>
  <c r="AN797" i="2"/>
  <c r="R797" i="2"/>
  <c r="Q797" i="2"/>
  <c r="O797" i="2"/>
  <c r="AO796" i="2"/>
  <c r="AN796" i="2"/>
  <c r="R796" i="2"/>
  <c r="Q796" i="2"/>
  <c r="O796" i="2"/>
  <c r="AO795" i="2"/>
  <c r="AN795" i="2"/>
  <c r="R795" i="2"/>
  <c r="Q795" i="2"/>
  <c r="O795" i="2"/>
  <c r="AA628" i="17" l="1"/>
  <c r="O762" i="2" l="1"/>
  <c r="O763" i="2"/>
  <c r="O764" i="2"/>
  <c r="O765" i="2"/>
  <c r="O766" i="2"/>
  <c r="O767" i="2"/>
  <c r="O768" i="2"/>
  <c r="O769" i="2"/>
  <c r="O770" i="2"/>
  <c r="O771" i="2"/>
  <c r="O772" i="2"/>
  <c r="O773" i="2"/>
  <c r="O774" i="2"/>
  <c r="O775" i="2"/>
  <c r="O776" i="2"/>
  <c r="O777" i="2"/>
  <c r="O778" i="2"/>
  <c r="O779" i="2"/>
  <c r="O780" i="2"/>
  <c r="O781" i="2"/>
  <c r="O782" i="2"/>
  <c r="O783" i="2"/>
  <c r="O784" i="2"/>
  <c r="O785" i="2"/>
  <c r="O786" i="2"/>
  <c r="O787" i="2"/>
  <c r="O788" i="2"/>
  <c r="O789" i="2"/>
  <c r="O790" i="2"/>
  <c r="O791" i="2"/>
  <c r="O792" i="2"/>
  <c r="O793" i="2"/>
  <c r="O794" i="2"/>
  <c r="AU651" i="17" l="1"/>
  <c r="AN791" i="2" l="1"/>
  <c r="AO791" i="2"/>
  <c r="AN792" i="2"/>
  <c r="AO792" i="2"/>
  <c r="AN793" i="2"/>
  <c r="AO793" i="2"/>
  <c r="AN794" i="2"/>
  <c r="AO794" i="2"/>
  <c r="R775" i="2"/>
  <c r="R776" i="2"/>
  <c r="R777" i="2"/>
  <c r="R778" i="2"/>
  <c r="R779" i="2"/>
  <c r="R780" i="2"/>
  <c r="R781" i="2"/>
  <c r="R782" i="2"/>
  <c r="R783" i="2"/>
  <c r="R784" i="2"/>
  <c r="R785" i="2"/>
  <c r="R786" i="2"/>
  <c r="R787" i="2"/>
  <c r="R788" i="2"/>
  <c r="R789" i="2"/>
  <c r="R790" i="2"/>
  <c r="R791" i="2"/>
  <c r="R792" i="2"/>
  <c r="R793" i="2"/>
  <c r="R794" i="2"/>
  <c r="Q762" i="2"/>
  <c r="Q763" i="2"/>
  <c r="Q764" i="2"/>
  <c r="Q765" i="2"/>
  <c r="Q766" i="2"/>
  <c r="Q767" i="2"/>
  <c r="Q768" i="2"/>
  <c r="Q769" i="2"/>
  <c r="Q770" i="2"/>
  <c r="Q771" i="2"/>
  <c r="Q772" i="2"/>
  <c r="Q773" i="2"/>
  <c r="Q774" i="2"/>
  <c r="Q775" i="2"/>
  <c r="Q776" i="2"/>
  <c r="Q777" i="2"/>
  <c r="Q778" i="2"/>
  <c r="Q779" i="2"/>
  <c r="Q780" i="2"/>
  <c r="Q781" i="2"/>
  <c r="Q782" i="2"/>
  <c r="Q783" i="2"/>
  <c r="Q784" i="2"/>
  <c r="Q785" i="2"/>
  <c r="Q786" i="2"/>
  <c r="Q787" i="2"/>
  <c r="Q788" i="2"/>
  <c r="Q789" i="2"/>
  <c r="Q790" i="2"/>
  <c r="Q791" i="2"/>
  <c r="Q792" i="2"/>
  <c r="Q793" i="2"/>
  <c r="Q794" i="2"/>
  <c r="R756" i="2" l="1"/>
  <c r="R757" i="2"/>
  <c r="R759" i="2"/>
  <c r="R760" i="2"/>
  <c r="R761" i="2"/>
  <c r="R762" i="2"/>
  <c r="R763" i="2"/>
  <c r="R764" i="2"/>
  <c r="R765" i="2"/>
  <c r="R766" i="2"/>
  <c r="R767" i="2"/>
  <c r="R768" i="2"/>
  <c r="R769" i="2"/>
  <c r="R770" i="2"/>
  <c r="R771" i="2"/>
  <c r="R772" i="2"/>
  <c r="R773" i="2"/>
  <c r="R774" i="2"/>
  <c r="AN402" i="2" l="1"/>
  <c r="Q757" i="2" l="1"/>
  <c r="Q758" i="2"/>
  <c r="Q759" i="2"/>
  <c r="Q760" i="2"/>
  <c r="Q761" i="2"/>
  <c r="H758" i="17" l="1"/>
  <c r="H759" i="17"/>
  <c r="H760" i="17"/>
  <c r="H761" i="17"/>
  <c r="G758" i="17"/>
  <c r="G759" i="17"/>
  <c r="G760" i="17"/>
  <c r="G761" i="17"/>
  <c r="F758" i="17"/>
  <c r="F759" i="17"/>
  <c r="F760" i="17"/>
  <c r="F761" i="17"/>
  <c r="E758" i="17"/>
  <c r="E759" i="17"/>
  <c r="E760" i="17"/>
  <c r="E761" i="17"/>
  <c r="D758" i="17"/>
  <c r="D759" i="17"/>
  <c r="D760" i="17"/>
  <c r="D761" i="17"/>
  <c r="B757" i="17"/>
  <c r="C758" i="17"/>
  <c r="C759" i="17"/>
  <c r="C760" i="17"/>
  <c r="C761" i="17"/>
  <c r="B758" i="17"/>
  <c r="B759" i="17"/>
  <c r="B760" i="17"/>
  <c r="B761" i="17"/>
  <c r="AO758" i="2"/>
  <c r="AO759" i="2"/>
  <c r="AO760" i="2"/>
  <c r="AO761" i="2"/>
  <c r="AO762" i="2"/>
  <c r="AO763" i="2"/>
  <c r="AO764" i="2"/>
  <c r="AO765" i="2"/>
  <c r="AO766" i="2"/>
  <c r="AO767" i="2"/>
  <c r="AO768" i="2"/>
  <c r="AO769" i="2"/>
  <c r="AO770" i="2"/>
  <c r="AO771" i="2"/>
  <c r="AO772" i="2"/>
  <c r="AO773" i="2"/>
  <c r="AO774" i="2"/>
  <c r="AO775" i="2"/>
  <c r="AO776" i="2"/>
  <c r="AO777" i="2"/>
  <c r="AO778" i="2"/>
  <c r="AO779" i="2"/>
  <c r="AO780" i="2"/>
  <c r="AO781" i="2"/>
  <c r="AO782" i="2"/>
  <c r="AO783" i="2"/>
  <c r="AO784" i="2"/>
  <c r="AO785" i="2"/>
  <c r="AO786" i="2"/>
  <c r="AO787" i="2"/>
  <c r="AO788" i="2"/>
  <c r="AO789" i="2"/>
  <c r="AO790" i="2"/>
  <c r="AN758" i="2"/>
  <c r="AN759" i="2"/>
  <c r="AN760" i="2"/>
  <c r="AN761" i="2"/>
  <c r="AN762" i="2"/>
  <c r="AN763" i="2"/>
  <c r="AN764" i="2"/>
  <c r="AN765" i="2"/>
  <c r="AN766" i="2"/>
  <c r="AN767" i="2"/>
  <c r="AN768" i="2"/>
  <c r="AN769" i="2"/>
  <c r="AN770" i="2"/>
  <c r="AN771" i="2"/>
  <c r="AN772" i="2"/>
  <c r="AN773" i="2"/>
  <c r="AN774" i="2"/>
  <c r="AN775" i="2"/>
  <c r="AN776" i="2"/>
  <c r="AN777" i="2"/>
  <c r="AN778" i="2"/>
  <c r="AN779" i="2"/>
  <c r="AN780" i="2"/>
  <c r="AN781" i="2"/>
  <c r="AN782" i="2"/>
  <c r="AN783" i="2"/>
  <c r="AN784" i="2"/>
  <c r="AN785" i="2"/>
  <c r="AN786" i="2"/>
  <c r="AN787" i="2"/>
  <c r="AN788" i="2"/>
  <c r="AN789" i="2"/>
  <c r="AN790" i="2"/>
  <c r="O758" i="2"/>
  <c r="O759" i="2"/>
  <c r="O760" i="2"/>
  <c r="O761" i="2"/>
  <c r="AU758" i="17"/>
  <c r="AU759" i="17"/>
  <c r="AU760" i="17"/>
  <c r="AU761" i="17"/>
  <c r="AU762" i="17"/>
  <c r="AU763" i="17"/>
  <c r="AU764" i="17"/>
  <c r="AU765" i="17"/>
  <c r="AU766" i="17"/>
  <c r="AU767" i="17"/>
  <c r="AU768" i="17"/>
  <c r="AU769" i="17"/>
  <c r="AU770" i="17"/>
  <c r="AU771" i="17"/>
  <c r="AU772" i="17"/>
  <c r="AU773" i="17"/>
  <c r="AU774" i="17"/>
  <c r="AU775" i="17"/>
  <c r="AU776" i="17"/>
  <c r="AU777" i="17"/>
  <c r="AU778" i="17"/>
  <c r="AU779" i="17"/>
  <c r="AU780" i="17"/>
  <c r="AU781" i="17"/>
  <c r="AU782" i="17"/>
  <c r="AU783" i="17"/>
  <c r="AU784" i="17"/>
  <c r="AU785" i="17"/>
  <c r="AU786" i="17"/>
  <c r="AA758" i="17"/>
  <c r="AA759" i="17"/>
  <c r="AA760" i="17"/>
  <c r="AA761" i="17"/>
  <c r="AA762" i="17"/>
  <c r="AA763" i="17"/>
  <c r="AA764" i="17"/>
  <c r="AA765" i="17"/>
  <c r="AA766" i="17"/>
  <c r="AA767" i="17"/>
  <c r="AA768" i="17"/>
  <c r="AA769" i="17"/>
  <c r="AA770" i="17"/>
  <c r="AA771" i="17"/>
  <c r="AA772" i="17"/>
  <c r="AA773" i="17"/>
  <c r="AA774" i="17"/>
  <c r="AA775" i="17"/>
  <c r="AA776" i="17"/>
  <c r="AA777" i="17"/>
  <c r="AA778" i="17"/>
  <c r="AA779" i="17"/>
  <c r="AA780" i="17"/>
  <c r="AA781" i="17"/>
  <c r="AA782" i="17"/>
  <c r="AA783" i="17"/>
  <c r="AA784" i="17"/>
  <c r="AA785" i="17"/>
  <c r="AA786" i="17"/>
  <c r="S810" i="2" s="1"/>
  <c r="T810" i="2" s="1"/>
  <c r="Q758" i="17"/>
  <c r="Q759" i="17"/>
  <c r="Q760" i="17"/>
  <c r="Q761" i="17"/>
  <c r="Q762" i="17"/>
  <c r="Q763" i="17"/>
  <c r="Q764" i="17"/>
  <c r="Q765" i="17"/>
  <c r="Q766" i="17"/>
  <c r="Q767" i="17"/>
  <c r="Q768" i="17"/>
  <c r="Q769" i="17"/>
  <c r="Q770" i="17"/>
  <c r="Q771" i="17"/>
  <c r="Q772" i="17"/>
  <c r="Q773" i="17"/>
  <c r="Q774" i="17"/>
  <c r="Q775" i="17"/>
  <c r="Q776" i="17"/>
  <c r="Q777" i="17"/>
  <c r="Q778" i="17"/>
  <c r="Q779" i="17"/>
  <c r="Q780" i="17"/>
  <c r="Q781" i="17"/>
  <c r="Q782" i="17"/>
  <c r="Q783" i="17"/>
  <c r="Q784" i="17"/>
  <c r="Q785" i="17"/>
  <c r="Q786" i="17"/>
  <c r="H762" i="17"/>
  <c r="H763" i="17"/>
  <c r="H764" i="17"/>
  <c r="H765" i="17"/>
  <c r="H766" i="17"/>
  <c r="H767" i="17"/>
  <c r="H768" i="17"/>
  <c r="H769" i="17"/>
  <c r="H770" i="17"/>
  <c r="H771" i="17"/>
  <c r="H772" i="17"/>
  <c r="H773" i="17"/>
  <c r="H774" i="17"/>
  <c r="H775" i="17"/>
  <c r="H776" i="17"/>
  <c r="H777" i="17"/>
  <c r="H778" i="17"/>
  <c r="H779" i="17"/>
  <c r="H780" i="17"/>
  <c r="H781" i="17"/>
  <c r="H782" i="17"/>
  <c r="H783" i="17"/>
  <c r="H784" i="17"/>
  <c r="H785" i="17"/>
  <c r="G762" i="17"/>
  <c r="G763" i="17"/>
  <c r="G764" i="17"/>
  <c r="G765" i="17"/>
  <c r="G766" i="17"/>
  <c r="G767" i="17"/>
  <c r="G768" i="17"/>
  <c r="G769" i="17"/>
  <c r="G770" i="17"/>
  <c r="G771" i="17"/>
  <c r="G772" i="17"/>
  <c r="G773" i="17"/>
  <c r="G774" i="17"/>
  <c r="G775" i="17"/>
  <c r="G776" i="17"/>
  <c r="G777" i="17"/>
  <c r="G778" i="17"/>
  <c r="G779" i="17"/>
  <c r="G780" i="17"/>
  <c r="G781" i="17"/>
  <c r="G782" i="17"/>
  <c r="G783" i="17"/>
  <c r="G784" i="17"/>
  <c r="G785" i="17"/>
  <c r="F762" i="17"/>
  <c r="F763" i="17"/>
  <c r="F764" i="17"/>
  <c r="F765" i="17"/>
  <c r="F766" i="17"/>
  <c r="F767" i="17"/>
  <c r="F768" i="17"/>
  <c r="F769" i="17"/>
  <c r="F770" i="17"/>
  <c r="F771" i="17"/>
  <c r="F772" i="17"/>
  <c r="F773" i="17"/>
  <c r="F774" i="17"/>
  <c r="F775" i="17"/>
  <c r="F776" i="17"/>
  <c r="F777" i="17"/>
  <c r="F778" i="17"/>
  <c r="F779" i="17"/>
  <c r="F780" i="17"/>
  <c r="F781" i="17"/>
  <c r="F782" i="17"/>
  <c r="F783" i="17"/>
  <c r="F784" i="17"/>
  <c r="F785" i="17"/>
  <c r="E762" i="17"/>
  <c r="E763" i="17"/>
  <c r="E764" i="17"/>
  <c r="E765" i="17"/>
  <c r="E766" i="17"/>
  <c r="E767" i="17"/>
  <c r="E768" i="17"/>
  <c r="E769" i="17"/>
  <c r="E770" i="17"/>
  <c r="E771" i="17"/>
  <c r="E772" i="17"/>
  <c r="E773" i="17"/>
  <c r="E774" i="17"/>
  <c r="E775" i="17"/>
  <c r="E776" i="17"/>
  <c r="E777" i="17"/>
  <c r="E778" i="17"/>
  <c r="E779" i="17"/>
  <c r="E780" i="17"/>
  <c r="E781" i="17"/>
  <c r="E782" i="17"/>
  <c r="E783" i="17"/>
  <c r="E784" i="17"/>
  <c r="E785" i="17"/>
  <c r="D762" i="17"/>
  <c r="D763" i="17"/>
  <c r="D764" i="17"/>
  <c r="D765" i="17"/>
  <c r="D766" i="17"/>
  <c r="D767" i="17"/>
  <c r="D768" i="17"/>
  <c r="D769" i="17"/>
  <c r="D770" i="17"/>
  <c r="D771" i="17"/>
  <c r="D772" i="17"/>
  <c r="D773" i="17"/>
  <c r="D774" i="17"/>
  <c r="D775" i="17"/>
  <c r="D776" i="17"/>
  <c r="D777" i="17"/>
  <c r="D778" i="17"/>
  <c r="D779" i="17"/>
  <c r="D780" i="17"/>
  <c r="D781" i="17"/>
  <c r="D782" i="17"/>
  <c r="D783" i="17"/>
  <c r="D784" i="17"/>
  <c r="D785" i="17"/>
  <c r="C762" i="17"/>
  <c r="C763" i="17"/>
  <c r="C764" i="17"/>
  <c r="C765" i="17"/>
  <c r="C766" i="17"/>
  <c r="C767" i="17"/>
  <c r="C768" i="17"/>
  <c r="C769" i="17"/>
  <c r="C770" i="17"/>
  <c r="C771" i="17"/>
  <c r="C772" i="17"/>
  <c r="C773" i="17"/>
  <c r="C774" i="17"/>
  <c r="C775" i="17"/>
  <c r="C776" i="17"/>
  <c r="C777" i="17"/>
  <c r="C778" i="17"/>
  <c r="C779" i="17"/>
  <c r="C780" i="17"/>
  <c r="C781" i="17"/>
  <c r="C782" i="17"/>
  <c r="C783" i="17"/>
  <c r="C784" i="17"/>
  <c r="C785" i="17"/>
  <c r="B762" i="17"/>
  <c r="B763" i="17"/>
  <c r="B764" i="17"/>
  <c r="B765" i="17"/>
  <c r="B766" i="17"/>
  <c r="B767" i="17"/>
  <c r="B768" i="17"/>
  <c r="B769" i="17"/>
  <c r="B770" i="17"/>
  <c r="B771" i="17"/>
  <c r="B772" i="17"/>
  <c r="B773" i="17"/>
  <c r="B774" i="17"/>
  <c r="B775" i="17"/>
  <c r="B776" i="17"/>
  <c r="B777" i="17"/>
  <c r="B778" i="17"/>
  <c r="B779" i="17"/>
  <c r="B780" i="17"/>
  <c r="B781" i="17"/>
  <c r="B782" i="17"/>
  <c r="B783" i="17"/>
  <c r="B784" i="17"/>
  <c r="B785" i="17"/>
  <c r="S808" i="2" l="1"/>
  <c r="T808" i="2" s="1"/>
  <c r="S796" i="2"/>
  <c r="T796" i="2" s="1"/>
  <c r="S807" i="2"/>
  <c r="T807" i="2" s="1"/>
  <c r="S795" i="2"/>
  <c r="T795" i="2" s="1"/>
  <c r="S809" i="2"/>
  <c r="T809" i="2" s="1"/>
  <c r="S805" i="2"/>
  <c r="T805" i="2" s="1"/>
  <c r="S804" i="2"/>
  <c r="T804" i="2" s="1"/>
  <c r="S806" i="2"/>
  <c r="T806" i="2" s="1"/>
  <c r="S803" i="2"/>
  <c r="T803" i="2" s="1"/>
  <c r="S802" i="2"/>
  <c r="T802" i="2" s="1"/>
  <c r="S801" i="2"/>
  <c r="T801" i="2" s="1"/>
  <c r="S800" i="2"/>
  <c r="T800" i="2" s="1"/>
  <c r="S799" i="2"/>
  <c r="T799" i="2" s="1"/>
  <c r="S797" i="2"/>
  <c r="T797" i="2" s="1"/>
  <c r="S798" i="2"/>
  <c r="T798" i="2" s="1"/>
  <c r="S772" i="2"/>
  <c r="T772" i="2" s="1"/>
  <c r="S783" i="2"/>
  <c r="T783" i="2" s="1"/>
  <c r="S782" i="2"/>
  <c r="T782" i="2" s="1"/>
  <c r="S781" i="2"/>
  <c r="T781" i="2" s="1"/>
  <c r="S780" i="2"/>
  <c r="T780" i="2" s="1"/>
  <c r="S779" i="2"/>
  <c r="T779" i="2" s="1"/>
  <c r="S784" i="2"/>
  <c r="T784" i="2" s="1"/>
  <c r="S778" i="2"/>
  <c r="T778" i="2" s="1"/>
  <c r="S777" i="2"/>
  <c r="T777" i="2" s="1"/>
  <c r="S776" i="2"/>
  <c r="T776" i="2" s="1"/>
  <c r="S775" i="2"/>
  <c r="T775" i="2" s="1"/>
  <c r="S771" i="2"/>
  <c r="T771" i="2" s="1"/>
  <c r="S774" i="2"/>
  <c r="T774" i="2" s="1"/>
  <c r="S785" i="2"/>
  <c r="T785" i="2" s="1"/>
  <c r="S773" i="2"/>
  <c r="T773" i="2" s="1"/>
  <c r="S760" i="2"/>
  <c r="T760" i="2" s="1"/>
  <c r="S792" i="2"/>
  <c r="T792" i="2" s="1"/>
  <c r="S768" i="2"/>
  <c r="T768" i="2" s="1"/>
  <c r="S791" i="2"/>
  <c r="T791" i="2" s="1"/>
  <c r="S767" i="2"/>
  <c r="T767" i="2" s="1"/>
  <c r="S759" i="2"/>
  <c r="T759" i="2" s="1"/>
  <c r="S790" i="2"/>
  <c r="T790" i="2" s="1"/>
  <c r="S766" i="2"/>
  <c r="T766" i="2" s="1"/>
  <c r="S788" i="2"/>
  <c r="T788" i="2" s="1"/>
  <c r="S764" i="2"/>
  <c r="T764" i="2" s="1"/>
  <c r="S787" i="2"/>
  <c r="T787" i="2" s="1"/>
  <c r="S763" i="2"/>
  <c r="T763" i="2" s="1"/>
  <c r="S786" i="2"/>
  <c r="T786" i="2" s="1"/>
  <c r="S762" i="2"/>
  <c r="T762" i="2" s="1"/>
  <c r="S761" i="2"/>
  <c r="T761" i="2" s="1"/>
  <c r="S789" i="2"/>
  <c r="T789" i="2" s="1"/>
  <c r="S765" i="2"/>
  <c r="T765" i="2" s="1"/>
  <c r="S794" i="2"/>
  <c r="T794" i="2" s="1"/>
  <c r="S770" i="2"/>
  <c r="T770" i="2" s="1"/>
  <c r="S793" i="2"/>
  <c r="T793" i="2" s="1"/>
  <c r="S769" i="2"/>
  <c r="T769" i="2" s="1"/>
  <c r="AO757" i="2"/>
  <c r="AN757" i="2"/>
  <c r="H757" i="17"/>
  <c r="G757" i="17"/>
  <c r="F757" i="17"/>
  <c r="E757" i="17"/>
  <c r="D757" i="17"/>
  <c r="C757" i="17"/>
  <c r="O757" i="2" l="1"/>
  <c r="O756" i="2"/>
  <c r="R745" i="2" l="1"/>
  <c r="R746" i="2"/>
  <c r="R747" i="2"/>
  <c r="R748" i="2"/>
  <c r="R749" i="2"/>
  <c r="R750" i="2"/>
  <c r="R751" i="2"/>
  <c r="R752" i="2"/>
  <c r="R754" i="2"/>
  <c r="R755" i="2"/>
  <c r="AS516" i="17" l="1"/>
  <c r="Q709" i="2" l="1"/>
  <c r="R709" i="2"/>
  <c r="Q710" i="2"/>
  <c r="Q711" i="2"/>
  <c r="R711" i="2"/>
  <c r="Q712" i="2"/>
  <c r="Q713" i="2"/>
  <c r="R713" i="2"/>
  <c r="Q714" i="2"/>
  <c r="R714" i="2"/>
  <c r="Q715" i="2"/>
  <c r="R715" i="2"/>
  <c r="Q716" i="2"/>
  <c r="Q717" i="2"/>
  <c r="R717" i="2"/>
  <c r="Q718" i="2"/>
  <c r="R718" i="2"/>
  <c r="Q719" i="2"/>
  <c r="R719" i="2"/>
  <c r="Q720" i="2"/>
  <c r="R720" i="2"/>
  <c r="Q721" i="2"/>
  <c r="R721" i="2"/>
  <c r="Q722" i="2"/>
  <c r="R722" i="2"/>
  <c r="Q723" i="2"/>
  <c r="R723" i="2"/>
  <c r="Q724" i="2"/>
  <c r="R724" i="2"/>
  <c r="Q725" i="2"/>
  <c r="R725" i="2"/>
  <c r="Q726" i="2"/>
  <c r="R726" i="2"/>
  <c r="Q727" i="2"/>
  <c r="R727" i="2"/>
  <c r="Q728" i="2"/>
  <c r="R728" i="2"/>
  <c r="Q729" i="2"/>
  <c r="R729" i="2"/>
  <c r="Q730" i="2"/>
  <c r="R730" i="2"/>
  <c r="Q731" i="2"/>
  <c r="R731" i="2"/>
  <c r="Q732" i="2"/>
  <c r="R732" i="2"/>
  <c r="Q733" i="2"/>
  <c r="R733" i="2"/>
  <c r="Q734" i="2"/>
  <c r="Q735" i="2"/>
  <c r="R735" i="2"/>
  <c r="Q736" i="2"/>
  <c r="R736" i="2"/>
  <c r="Q737" i="2"/>
  <c r="R737" i="2"/>
  <c r="Q738" i="2"/>
  <c r="R738" i="2"/>
  <c r="Q739" i="2"/>
  <c r="R739" i="2"/>
  <c r="Q740" i="2"/>
  <c r="R740" i="2"/>
  <c r="Q741" i="2"/>
  <c r="R741" i="2"/>
  <c r="Q742" i="2"/>
  <c r="R742" i="2"/>
  <c r="Q743" i="2"/>
  <c r="R743" i="2"/>
  <c r="Q744" i="2"/>
  <c r="R744" i="2"/>
  <c r="Q745" i="2"/>
  <c r="Q746" i="2"/>
  <c r="Q747" i="2"/>
  <c r="Q748" i="2"/>
  <c r="Q749" i="2"/>
  <c r="Q750" i="2"/>
  <c r="Q751" i="2"/>
  <c r="Q752" i="2"/>
  <c r="Q753" i="2"/>
  <c r="Q754" i="2"/>
  <c r="Q755" i="2"/>
  <c r="Q756" i="2"/>
  <c r="Q707" i="2"/>
  <c r="Q708" i="2"/>
  <c r="R708" i="2"/>
  <c r="Q666" i="2"/>
  <c r="R666" i="2"/>
  <c r="Q667" i="2"/>
  <c r="Q668" i="2"/>
  <c r="R668" i="2"/>
  <c r="Q669" i="2"/>
  <c r="Q670" i="2"/>
  <c r="R670" i="2"/>
  <c r="Q671" i="2"/>
  <c r="Q672" i="2"/>
  <c r="R672" i="2"/>
  <c r="Q673" i="2"/>
  <c r="R673" i="2"/>
  <c r="Q674" i="2"/>
  <c r="Q675" i="2"/>
  <c r="R675" i="2"/>
  <c r="Q676" i="2"/>
  <c r="R676" i="2"/>
  <c r="Q677" i="2"/>
  <c r="R677" i="2"/>
  <c r="Q678" i="2"/>
  <c r="Q679" i="2"/>
  <c r="R679" i="2"/>
  <c r="Q680" i="2"/>
  <c r="R680" i="2"/>
  <c r="Q681" i="2"/>
  <c r="Q682" i="2"/>
  <c r="R682" i="2"/>
  <c r="Q683" i="2"/>
  <c r="R683" i="2"/>
  <c r="Q684" i="2"/>
  <c r="R684" i="2"/>
  <c r="Q685" i="2"/>
  <c r="R685" i="2"/>
  <c r="Q686" i="2"/>
  <c r="R686" i="2"/>
  <c r="Q687" i="2"/>
  <c r="R687" i="2"/>
  <c r="Q688" i="2"/>
  <c r="R688" i="2"/>
  <c r="Q689" i="2"/>
  <c r="R689" i="2"/>
  <c r="Q690" i="2"/>
  <c r="Q691" i="2"/>
  <c r="R691" i="2"/>
  <c r="Q692" i="2"/>
  <c r="Q693" i="2"/>
  <c r="R693" i="2"/>
  <c r="Q694" i="2"/>
  <c r="R694" i="2"/>
  <c r="Q695" i="2"/>
  <c r="R695" i="2"/>
  <c r="Q696" i="2"/>
  <c r="Q697" i="2"/>
  <c r="R697" i="2"/>
  <c r="Q698" i="2"/>
  <c r="R698" i="2"/>
  <c r="Q699" i="2"/>
  <c r="R699" i="2"/>
  <c r="Q700" i="2"/>
  <c r="R700" i="2"/>
  <c r="Q701" i="2"/>
  <c r="R701" i="2"/>
  <c r="Q702" i="2"/>
  <c r="R702" i="2"/>
  <c r="Q703" i="2"/>
  <c r="Q704" i="2"/>
  <c r="R704" i="2"/>
  <c r="Q705" i="2"/>
  <c r="R705" i="2"/>
  <c r="Q706" i="2"/>
  <c r="R706" i="2"/>
  <c r="R665" i="2"/>
  <c r="R658" i="2"/>
  <c r="R662" i="2"/>
  <c r="R663" i="2"/>
  <c r="B727" i="17" l="1"/>
  <c r="C727" i="17"/>
  <c r="D727" i="17"/>
  <c r="E727" i="17"/>
  <c r="F727" i="17"/>
  <c r="G727" i="17"/>
  <c r="H727" i="17"/>
  <c r="Q727" i="17"/>
  <c r="AA727" i="17"/>
  <c r="AU727" i="17"/>
  <c r="B728" i="17"/>
  <c r="C728" i="17"/>
  <c r="D728" i="17"/>
  <c r="E728" i="17"/>
  <c r="F728" i="17"/>
  <c r="G728" i="17"/>
  <c r="H728" i="17"/>
  <c r="Q728" i="17"/>
  <c r="AA728" i="17"/>
  <c r="AU728" i="17"/>
  <c r="B729" i="17"/>
  <c r="C729" i="17"/>
  <c r="D729" i="17"/>
  <c r="E729" i="17"/>
  <c r="F729" i="17"/>
  <c r="G729" i="17"/>
  <c r="H729" i="17"/>
  <c r="Q729" i="17"/>
  <c r="AA729" i="17"/>
  <c r="AU729" i="17"/>
  <c r="B730" i="17"/>
  <c r="C730" i="17"/>
  <c r="D730" i="17"/>
  <c r="E730" i="17"/>
  <c r="F730" i="17"/>
  <c r="G730" i="17"/>
  <c r="H730" i="17"/>
  <c r="Q730" i="17"/>
  <c r="AA730" i="17"/>
  <c r="AU730" i="17"/>
  <c r="B731" i="17"/>
  <c r="C731" i="17"/>
  <c r="D731" i="17"/>
  <c r="E731" i="17"/>
  <c r="F731" i="17"/>
  <c r="G731" i="17"/>
  <c r="H731" i="17"/>
  <c r="Q731" i="17"/>
  <c r="AA731" i="17"/>
  <c r="AU731" i="17"/>
  <c r="B732" i="17"/>
  <c r="C732" i="17"/>
  <c r="D732" i="17"/>
  <c r="E732" i="17"/>
  <c r="F732" i="17"/>
  <c r="G732" i="17"/>
  <c r="H732" i="17"/>
  <c r="Q732" i="17"/>
  <c r="AA732" i="17"/>
  <c r="AU732" i="17"/>
  <c r="B733" i="17"/>
  <c r="C733" i="17"/>
  <c r="D733" i="17"/>
  <c r="E733" i="17"/>
  <c r="F733" i="17"/>
  <c r="G733" i="17"/>
  <c r="H733" i="17"/>
  <c r="Q733" i="17"/>
  <c r="AA733" i="17"/>
  <c r="AU733" i="17"/>
  <c r="B734" i="17"/>
  <c r="C734" i="17"/>
  <c r="D734" i="17"/>
  <c r="E734" i="17"/>
  <c r="F734" i="17"/>
  <c r="G734" i="17"/>
  <c r="H734" i="17"/>
  <c r="Q734" i="17"/>
  <c r="AA734" i="17"/>
  <c r="AU734" i="17"/>
  <c r="B735" i="17"/>
  <c r="C735" i="17"/>
  <c r="D735" i="17"/>
  <c r="E735" i="17"/>
  <c r="F735" i="17"/>
  <c r="G735" i="17"/>
  <c r="H735" i="17"/>
  <c r="Q735" i="17"/>
  <c r="AA735" i="17"/>
  <c r="AU735" i="17"/>
  <c r="B736" i="17"/>
  <c r="C736" i="17"/>
  <c r="D736" i="17"/>
  <c r="E736" i="17"/>
  <c r="F736" i="17"/>
  <c r="G736" i="17"/>
  <c r="H736" i="17"/>
  <c r="Q736" i="17"/>
  <c r="AA736" i="17"/>
  <c r="AU736" i="17"/>
  <c r="B737" i="17"/>
  <c r="C737" i="17"/>
  <c r="D737" i="17"/>
  <c r="E737" i="17"/>
  <c r="F737" i="17"/>
  <c r="G737" i="17"/>
  <c r="H737" i="17"/>
  <c r="Q737" i="17"/>
  <c r="AA737" i="17"/>
  <c r="AU737" i="17"/>
  <c r="B738" i="17"/>
  <c r="C738" i="17"/>
  <c r="D738" i="17"/>
  <c r="E738" i="17"/>
  <c r="F738" i="17"/>
  <c r="G738" i="17"/>
  <c r="H738" i="17"/>
  <c r="Q738" i="17"/>
  <c r="AA738" i="17"/>
  <c r="AU738" i="17"/>
  <c r="B739" i="17"/>
  <c r="C739" i="17"/>
  <c r="D739" i="17"/>
  <c r="E739" i="17"/>
  <c r="F739" i="17"/>
  <c r="G739" i="17"/>
  <c r="H739" i="17"/>
  <c r="Q739" i="17"/>
  <c r="AA739" i="17"/>
  <c r="AU739" i="17"/>
  <c r="B740" i="17"/>
  <c r="C740" i="17"/>
  <c r="D740" i="17"/>
  <c r="E740" i="17"/>
  <c r="F740" i="17"/>
  <c r="G740" i="17"/>
  <c r="H740" i="17"/>
  <c r="Q740" i="17"/>
  <c r="AA740" i="17"/>
  <c r="AU740" i="17"/>
  <c r="B741" i="17"/>
  <c r="C741" i="17"/>
  <c r="D741" i="17"/>
  <c r="E741" i="17"/>
  <c r="F741" i="17"/>
  <c r="G741" i="17"/>
  <c r="H741" i="17"/>
  <c r="Q741" i="17"/>
  <c r="AA741" i="17"/>
  <c r="AU741" i="17"/>
  <c r="B742" i="17"/>
  <c r="C742" i="17"/>
  <c r="D742" i="17"/>
  <c r="E742" i="17"/>
  <c r="F742" i="17"/>
  <c r="G742" i="17"/>
  <c r="H742" i="17"/>
  <c r="Q742" i="17"/>
  <c r="AA742" i="17"/>
  <c r="AU742" i="17"/>
  <c r="B743" i="17"/>
  <c r="C743" i="17"/>
  <c r="D743" i="17"/>
  <c r="E743" i="17"/>
  <c r="F743" i="17"/>
  <c r="G743" i="17"/>
  <c r="H743" i="17"/>
  <c r="Q743" i="17"/>
  <c r="AA743" i="17"/>
  <c r="AU743" i="17"/>
  <c r="B744" i="17"/>
  <c r="C744" i="17"/>
  <c r="D744" i="17"/>
  <c r="E744" i="17"/>
  <c r="F744" i="17"/>
  <c r="G744" i="17"/>
  <c r="H744" i="17"/>
  <c r="Q744" i="17"/>
  <c r="AA744" i="17"/>
  <c r="AU744" i="17"/>
  <c r="B745" i="17"/>
  <c r="C745" i="17"/>
  <c r="D745" i="17"/>
  <c r="E745" i="17"/>
  <c r="F745" i="17"/>
  <c r="G745" i="17"/>
  <c r="H745" i="17"/>
  <c r="Q745" i="17"/>
  <c r="AA745" i="17"/>
  <c r="AU745" i="17"/>
  <c r="B746" i="17"/>
  <c r="C746" i="17"/>
  <c r="D746" i="17"/>
  <c r="E746" i="17"/>
  <c r="F746" i="17"/>
  <c r="G746" i="17"/>
  <c r="H746" i="17"/>
  <c r="Q746" i="17"/>
  <c r="AA746" i="17"/>
  <c r="AU746" i="17"/>
  <c r="B747" i="17"/>
  <c r="C747" i="17"/>
  <c r="D747" i="17"/>
  <c r="E747" i="17"/>
  <c r="F747" i="17"/>
  <c r="G747" i="17"/>
  <c r="H747" i="17"/>
  <c r="Q747" i="17"/>
  <c r="AA747" i="17"/>
  <c r="AU747" i="17"/>
  <c r="B748" i="17"/>
  <c r="C748" i="17"/>
  <c r="D748" i="17"/>
  <c r="E748" i="17"/>
  <c r="F748" i="17"/>
  <c r="G748" i="17"/>
  <c r="H748" i="17"/>
  <c r="Q748" i="17"/>
  <c r="AA748" i="17"/>
  <c r="AU748" i="17"/>
  <c r="B749" i="17"/>
  <c r="C749" i="17"/>
  <c r="D749" i="17"/>
  <c r="E749" i="17"/>
  <c r="F749" i="17"/>
  <c r="G749" i="17"/>
  <c r="H749" i="17"/>
  <c r="Q749" i="17"/>
  <c r="AA749" i="17"/>
  <c r="AU749" i="17"/>
  <c r="B750" i="17"/>
  <c r="C750" i="17"/>
  <c r="D750" i="17"/>
  <c r="E750" i="17"/>
  <c r="F750" i="17"/>
  <c r="G750" i="17"/>
  <c r="H750" i="17"/>
  <c r="Q750" i="17"/>
  <c r="AA750" i="17"/>
  <c r="AU750" i="17"/>
  <c r="B751" i="17"/>
  <c r="C751" i="17"/>
  <c r="D751" i="17"/>
  <c r="E751" i="17"/>
  <c r="F751" i="17"/>
  <c r="G751" i="17"/>
  <c r="H751" i="17"/>
  <c r="Q751" i="17"/>
  <c r="AA751" i="17"/>
  <c r="AU751" i="17"/>
  <c r="B752" i="17"/>
  <c r="C752" i="17"/>
  <c r="D752" i="17"/>
  <c r="E752" i="17"/>
  <c r="F752" i="17"/>
  <c r="G752" i="17"/>
  <c r="H752" i="17"/>
  <c r="Q752" i="17"/>
  <c r="AA752" i="17"/>
  <c r="AU752" i="17"/>
  <c r="B753" i="17"/>
  <c r="C753" i="17"/>
  <c r="D753" i="17"/>
  <c r="E753" i="17"/>
  <c r="F753" i="17"/>
  <c r="G753" i="17"/>
  <c r="H753" i="17"/>
  <c r="Q753" i="17"/>
  <c r="AA753" i="17"/>
  <c r="AU753" i="17"/>
  <c r="B754" i="17"/>
  <c r="C754" i="17"/>
  <c r="D754" i="17"/>
  <c r="E754" i="17"/>
  <c r="F754" i="17"/>
  <c r="G754" i="17"/>
  <c r="H754" i="17"/>
  <c r="Q754" i="17"/>
  <c r="AA754" i="17"/>
  <c r="AU754" i="17"/>
  <c r="B755" i="17"/>
  <c r="C755" i="17"/>
  <c r="D755" i="17"/>
  <c r="E755" i="17"/>
  <c r="F755" i="17"/>
  <c r="G755" i="17"/>
  <c r="H755" i="17"/>
  <c r="Q755" i="17"/>
  <c r="AA755" i="17"/>
  <c r="AU755" i="17"/>
  <c r="C756" i="17"/>
  <c r="D756" i="17"/>
  <c r="E756" i="17"/>
  <c r="F756" i="17"/>
  <c r="G756" i="17"/>
  <c r="H756" i="17"/>
  <c r="Q756" i="17"/>
  <c r="AA756" i="17"/>
  <c r="AU756" i="17"/>
  <c r="B756" i="17"/>
  <c r="Q757" i="17"/>
  <c r="AA757" i="17"/>
  <c r="AU757" i="17"/>
  <c r="S744" i="2" l="1"/>
  <c r="S738" i="2"/>
  <c r="S732" i="2"/>
  <c r="S756" i="2"/>
  <c r="S750" i="2"/>
  <c r="S751" i="2"/>
  <c r="S745" i="2"/>
  <c r="S733" i="2"/>
  <c r="S752" i="2"/>
  <c r="S746" i="2"/>
  <c r="S740" i="2"/>
  <c r="S728" i="2"/>
  <c r="S727" i="2"/>
  <c r="S739" i="2"/>
  <c r="S747" i="2"/>
  <c r="S741" i="2"/>
  <c r="S735" i="2"/>
  <c r="S729" i="2"/>
  <c r="S754" i="2"/>
  <c r="S748" i="2"/>
  <c r="S742" i="2"/>
  <c r="S736" i="2"/>
  <c r="S730" i="2"/>
  <c r="S755" i="2"/>
  <c r="S749" i="2"/>
  <c r="S743" i="2"/>
  <c r="S737" i="2"/>
  <c r="S731" i="2"/>
  <c r="S757" i="2"/>
  <c r="T757" i="2" s="1"/>
  <c r="AU516" i="17"/>
  <c r="AD302" i="17" l="1"/>
  <c r="AN431" i="2" l="1"/>
  <c r="AO756" i="2" l="1"/>
  <c r="AN756" i="2"/>
  <c r="T756" i="2"/>
  <c r="AO755" i="2"/>
  <c r="AN755" i="2"/>
  <c r="T755" i="2"/>
  <c r="AQ755" i="2" s="1"/>
  <c r="O755" i="2"/>
  <c r="AO754" i="2"/>
  <c r="AN754" i="2"/>
  <c r="T754" i="2"/>
  <c r="AQ754" i="2" s="1"/>
  <c r="O754" i="2"/>
  <c r="AO753" i="2"/>
  <c r="AN753" i="2"/>
  <c r="O753" i="2"/>
  <c r="AO752" i="2"/>
  <c r="AN752" i="2"/>
  <c r="T752" i="2"/>
  <c r="O752" i="2"/>
  <c r="AO751" i="2"/>
  <c r="AN751" i="2"/>
  <c r="T751" i="2"/>
  <c r="O751" i="2"/>
  <c r="AO750" i="2"/>
  <c r="AN750" i="2"/>
  <c r="T750" i="2"/>
  <c r="O750" i="2"/>
  <c r="AO749" i="2"/>
  <c r="AN749" i="2"/>
  <c r="T749" i="2"/>
  <c r="O749" i="2"/>
  <c r="AO748" i="2"/>
  <c r="AN748" i="2"/>
  <c r="T748" i="2"/>
  <c r="AQ748" i="2" s="1"/>
  <c r="O748" i="2"/>
  <c r="AO747" i="2"/>
  <c r="AN747" i="2"/>
  <c r="T747" i="2"/>
  <c r="O747" i="2"/>
  <c r="AO746" i="2"/>
  <c r="AN746" i="2"/>
  <c r="T746" i="2"/>
  <c r="O746" i="2"/>
  <c r="AO745" i="2"/>
  <c r="AN745" i="2"/>
  <c r="T745" i="2"/>
  <c r="O745" i="2"/>
  <c r="AO744" i="2"/>
  <c r="AN744" i="2"/>
  <c r="T744" i="2"/>
  <c r="O744" i="2"/>
  <c r="AO743" i="2"/>
  <c r="AN743" i="2"/>
  <c r="T743" i="2"/>
  <c r="O743" i="2"/>
  <c r="AO742" i="2"/>
  <c r="AN742" i="2"/>
  <c r="T742" i="2"/>
  <c r="O742" i="2"/>
  <c r="AO741" i="2"/>
  <c r="AN741" i="2"/>
  <c r="T741" i="2"/>
  <c r="O741" i="2"/>
  <c r="AO740" i="2"/>
  <c r="AN740" i="2"/>
  <c r="T740" i="2"/>
  <c r="O740" i="2"/>
  <c r="AO739" i="2"/>
  <c r="AN739" i="2"/>
  <c r="T739" i="2"/>
  <c r="O739" i="2"/>
  <c r="AO738" i="2"/>
  <c r="AN738" i="2"/>
  <c r="T738" i="2"/>
  <c r="O738" i="2"/>
  <c r="AO737" i="2"/>
  <c r="AN737" i="2"/>
  <c r="T737" i="2"/>
  <c r="O737" i="2"/>
  <c r="AO736" i="2"/>
  <c r="AN736" i="2"/>
  <c r="T736" i="2"/>
  <c r="O736" i="2"/>
  <c r="AO735" i="2"/>
  <c r="AN735" i="2"/>
  <c r="T735" i="2"/>
  <c r="O735" i="2"/>
  <c r="AO734" i="2"/>
  <c r="AN734" i="2"/>
  <c r="O734" i="2"/>
  <c r="AO733" i="2"/>
  <c r="AN733" i="2"/>
  <c r="T733" i="2"/>
  <c r="O733" i="2"/>
  <c r="AO732" i="2"/>
  <c r="AN732" i="2"/>
  <c r="T732" i="2"/>
  <c r="O732" i="2"/>
  <c r="AO731" i="2"/>
  <c r="AN731" i="2"/>
  <c r="T731" i="2"/>
  <c r="O731" i="2"/>
  <c r="AO730" i="2"/>
  <c r="AN730" i="2"/>
  <c r="T730" i="2"/>
  <c r="O730" i="2"/>
  <c r="AO729" i="2"/>
  <c r="AN729" i="2"/>
  <c r="T729" i="2"/>
  <c r="O729" i="2"/>
  <c r="AO728" i="2"/>
  <c r="AN728" i="2"/>
  <c r="T728" i="2"/>
  <c r="O728" i="2"/>
  <c r="AO727" i="2"/>
  <c r="AN727" i="2"/>
  <c r="T727" i="2"/>
  <c r="O727" i="2"/>
  <c r="AO726" i="2"/>
  <c r="AN726" i="2"/>
  <c r="O726" i="2"/>
  <c r="AO725" i="2"/>
  <c r="AN725" i="2"/>
  <c r="O725" i="2"/>
  <c r="AO724" i="2"/>
  <c r="AN724" i="2"/>
  <c r="O724" i="2"/>
  <c r="AO723" i="2"/>
  <c r="AN723" i="2"/>
  <c r="O723" i="2"/>
  <c r="AO722" i="2"/>
  <c r="AN722" i="2"/>
  <c r="O722" i="2"/>
  <c r="AO721" i="2"/>
  <c r="AN721" i="2"/>
  <c r="O721" i="2"/>
  <c r="AO720" i="2"/>
  <c r="AN720" i="2"/>
  <c r="O720" i="2"/>
  <c r="AO719" i="2"/>
  <c r="AN719" i="2"/>
  <c r="O719" i="2"/>
  <c r="AO718" i="2"/>
  <c r="AN718" i="2"/>
  <c r="O718" i="2"/>
  <c r="AO717" i="2"/>
  <c r="AN717" i="2"/>
  <c r="O717" i="2"/>
  <c r="AO716" i="2"/>
  <c r="AN716" i="2"/>
  <c r="O716" i="2"/>
  <c r="AA673" i="17" l="1"/>
  <c r="S673" i="2" l="1"/>
  <c r="AO715" i="2"/>
  <c r="AN715" i="2"/>
  <c r="O715" i="2"/>
  <c r="AO714" i="2"/>
  <c r="AN714" i="2"/>
  <c r="O714" i="2"/>
  <c r="AO713" i="2"/>
  <c r="AN713" i="2"/>
  <c r="O713" i="2"/>
  <c r="AO712" i="2"/>
  <c r="AN712" i="2"/>
  <c r="O712" i="2"/>
  <c r="AO711" i="2"/>
  <c r="AN711" i="2"/>
  <c r="O711" i="2"/>
  <c r="AO710" i="2"/>
  <c r="AN710" i="2"/>
  <c r="O710" i="2"/>
  <c r="AO709" i="2"/>
  <c r="AN709" i="2"/>
  <c r="O709" i="2"/>
  <c r="AO708" i="2"/>
  <c r="AN708" i="2"/>
  <c r="O708" i="2"/>
  <c r="AO707" i="2"/>
  <c r="AN707" i="2"/>
  <c r="O707" i="2"/>
  <c r="AO706" i="2"/>
  <c r="AN706" i="2"/>
  <c r="O706" i="2"/>
  <c r="AO705" i="2"/>
  <c r="AN705" i="2"/>
  <c r="O705" i="2"/>
  <c r="AO704" i="2"/>
  <c r="AN704" i="2"/>
  <c r="O704" i="2"/>
  <c r="AO703" i="2"/>
  <c r="AN703" i="2"/>
  <c r="O703" i="2"/>
  <c r="AO702" i="2"/>
  <c r="AN702" i="2"/>
  <c r="O702" i="2"/>
  <c r="AO701" i="2"/>
  <c r="AN701" i="2"/>
  <c r="O701" i="2"/>
  <c r="AO700" i="2"/>
  <c r="AN700" i="2"/>
  <c r="O700" i="2"/>
  <c r="AO699" i="2"/>
  <c r="AN699" i="2"/>
  <c r="O699" i="2"/>
  <c r="AO698" i="2"/>
  <c r="AN698" i="2"/>
  <c r="O698" i="2"/>
  <c r="AO697" i="2"/>
  <c r="AN697" i="2"/>
  <c r="O697" i="2"/>
  <c r="AO696" i="2"/>
  <c r="AN696" i="2"/>
  <c r="O696" i="2"/>
  <c r="AO695" i="2"/>
  <c r="AN695" i="2"/>
  <c r="O695" i="2"/>
  <c r="AO694" i="2"/>
  <c r="AN694" i="2"/>
  <c r="O694" i="2"/>
  <c r="AO693" i="2"/>
  <c r="AN693" i="2"/>
  <c r="O693" i="2"/>
  <c r="AO692" i="2"/>
  <c r="AN692" i="2"/>
  <c r="O692" i="2"/>
  <c r="C555" i="17" l="1"/>
  <c r="AU497" i="17" l="1"/>
  <c r="B677" i="17" l="1"/>
  <c r="C677" i="17"/>
  <c r="D677" i="17"/>
  <c r="E677" i="17"/>
  <c r="F677" i="17"/>
  <c r="G677" i="17"/>
  <c r="H677" i="17"/>
  <c r="Q677" i="17"/>
  <c r="AA677" i="17"/>
  <c r="AU677" i="17"/>
  <c r="B678" i="17"/>
  <c r="C678" i="17"/>
  <c r="D678" i="17"/>
  <c r="E678" i="17"/>
  <c r="F678" i="17"/>
  <c r="G678" i="17"/>
  <c r="H678" i="17"/>
  <c r="Q678" i="17"/>
  <c r="AA678" i="17"/>
  <c r="AU678" i="17"/>
  <c r="B679" i="17"/>
  <c r="C679" i="17"/>
  <c r="D679" i="17"/>
  <c r="E679" i="17"/>
  <c r="F679" i="17"/>
  <c r="G679" i="17"/>
  <c r="H679" i="17"/>
  <c r="Q679" i="17"/>
  <c r="AA679" i="17"/>
  <c r="AU679" i="17"/>
  <c r="B680" i="17"/>
  <c r="C680" i="17"/>
  <c r="D680" i="17"/>
  <c r="E680" i="17"/>
  <c r="F680" i="17"/>
  <c r="G680" i="17"/>
  <c r="H680" i="17"/>
  <c r="Q680" i="17"/>
  <c r="AA680" i="17"/>
  <c r="AU680" i="17"/>
  <c r="B681" i="17"/>
  <c r="C681" i="17"/>
  <c r="D681" i="17"/>
  <c r="E681" i="17"/>
  <c r="F681" i="17"/>
  <c r="G681" i="17"/>
  <c r="H681" i="17"/>
  <c r="Q681" i="17"/>
  <c r="AA681" i="17"/>
  <c r="AU681" i="17"/>
  <c r="B682" i="17"/>
  <c r="C682" i="17"/>
  <c r="D682" i="17"/>
  <c r="E682" i="17"/>
  <c r="F682" i="17"/>
  <c r="G682" i="17"/>
  <c r="H682" i="17"/>
  <c r="Q682" i="17"/>
  <c r="AA682" i="17"/>
  <c r="AU682" i="17"/>
  <c r="B683" i="17"/>
  <c r="C683" i="17"/>
  <c r="D683" i="17"/>
  <c r="E683" i="17"/>
  <c r="F683" i="17"/>
  <c r="G683" i="17"/>
  <c r="H683" i="17"/>
  <c r="Q683" i="17"/>
  <c r="AA683" i="17"/>
  <c r="AU683" i="17"/>
  <c r="B684" i="17"/>
  <c r="C684" i="17"/>
  <c r="D684" i="17"/>
  <c r="E684" i="17"/>
  <c r="F684" i="17"/>
  <c r="G684" i="17"/>
  <c r="H684" i="17"/>
  <c r="Q684" i="17"/>
  <c r="AA684" i="17"/>
  <c r="AU684" i="17"/>
  <c r="B685" i="17"/>
  <c r="C685" i="17"/>
  <c r="D685" i="17"/>
  <c r="E685" i="17"/>
  <c r="F685" i="17"/>
  <c r="G685" i="17"/>
  <c r="H685" i="17"/>
  <c r="Q685" i="17"/>
  <c r="AA685" i="17"/>
  <c r="AU685" i="17"/>
  <c r="B686" i="17"/>
  <c r="C686" i="17"/>
  <c r="D686" i="17"/>
  <c r="E686" i="17"/>
  <c r="F686" i="17"/>
  <c r="G686" i="17"/>
  <c r="H686" i="17"/>
  <c r="Q686" i="17"/>
  <c r="AA686" i="17"/>
  <c r="AU686" i="17"/>
  <c r="B687" i="17"/>
  <c r="C687" i="17"/>
  <c r="D687" i="17"/>
  <c r="E687" i="17"/>
  <c r="F687" i="17"/>
  <c r="G687" i="17"/>
  <c r="H687" i="17"/>
  <c r="Q687" i="17"/>
  <c r="AA687" i="17"/>
  <c r="AU687" i="17"/>
  <c r="B688" i="17"/>
  <c r="C688" i="17"/>
  <c r="D688" i="17"/>
  <c r="E688" i="17"/>
  <c r="F688" i="17"/>
  <c r="G688" i="17"/>
  <c r="H688" i="17"/>
  <c r="Q688" i="17"/>
  <c r="AA688" i="17"/>
  <c r="AU688" i="17"/>
  <c r="B689" i="17"/>
  <c r="C689" i="17"/>
  <c r="D689" i="17"/>
  <c r="E689" i="17"/>
  <c r="F689" i="17"/>
  <c r="G689" i="17"/>
  <c r="H689" i="17"/>
  <c r="Q689" i="17"/>
  <c r="AA689" i="17"/>
  <c r="AU689" i="17"/>
  <c r="B690" i="17"/>
  <c r="C690" i="17"/>
  <c r="D690" i="17"/>
  <c r="E690" i="17"/>
  <c r="F690" i="17"/>
  <c r="G690" i="17"/>
  <c r="H690" i="17"/>
  <c r="Q690" i="17"/>
  <c r="AA690" i="17"/>
  <c r="AU690" i="17"/>
  <c r="B691" i="17"/>
  <c r="C691" i="17"/>
  <c r="D691" i="17"/>
  <c r="E691" i="17"/>
  <c r="F691" i="17"/>
  <c r="G691" i="17"/>
  <c r="H691" i="17"/>
  <c r="Q691" i="17"/>
  <c r="AA691" i="17"/>
  <c r="AU691" i="17"/>
  <c r="B692" i="17"/>
  <c r="C692" i="17"/>
  <c r="D692" i="17"/>
  <c r="E692" i="17"/>
  <c r="F692" i="17"/>
  <c r="G692" i="17"/>
  <c r="H692" i="17"/>
  <c r="Q692" i="17"/>
  <c r="AA692" i="17"/>
  <c r="AU692" i="17"/>
  <c r="B693" i="17"/>
  <c r="C693" i="17"/>
  <c r="D693" i="17"/>
  <c r="E693" i="17"/>
  <c r="F693" i="17"/>
  <c r="G693" i="17"/>
  <c r="H693" i="17"/>
  <c r="Q693" i="17"/>
  <c r="AA693" i="17"/>
  <c r="AU693" i="17"/>
  <c r="B694" i="17"/>
  <c r="C694" i="17"/>
  <c r="D694" i="17"/>
  <c r="E694" i="17"/>
  <c r="F694" i="17"/>
  <c r="G694" i="17"/>
  <c r="H694" i="17"/>
  <c r="Q694" i="17"/>
  <c r="AA694" i="17"/>
  <c r="AU694" i="17"/>
  <c r="B695" i="17"/>
  <c r="C695" i="17"/>
  <c r="D695" i="17"/>
  <c r="E695" i="17"/>
  <c r="F695" i="17"/>
  <c r="G695" i="17"/>
  <c r="H695" i="17"/>
  <c r="Q695" i="17"/>
  <c r="AA695" i="17"/>
  <c r="AU695" i="17"/>
  <c r="B696" i="17"/>
  <c r="C696" i="17"/>
  <c r="D696" i="17"/>
  <c r="E696" i="17"/>
  <c r="F696" i="17"/>
  <c r="G696" i="17"/>
  <c r="H696" i="17"/>
  <c r="Q696" i="17"/>
  <c r="AA696" i="17"/>
  <c r="AU696" i="17"/>
  <c r="B697" i="17"/>
  <c r="C697" i="17"/>
  <c r="D697" i="17"/>
  <c r="E697" i="17"/>
  <c r="F697" i="17"/>
  <c r="G697" i="17"/>
  <c r="H697" i="17"/>
  <c r="Q697" i="17"/>
  <c r="AA697" i="17"/>
  <c r="AU697" i="17"/>
  <c r="B698" i="17"/>
  <c r="C698" i="17"/>
  <c r="D698" i="17"/>
  <c r="E698" i="17"/>
  <c r="F698" i="17"/>
  <c r="G698" i="17"/>
  <c r="H698" i="17"/>
  <c r="Q698" i="17"/>
  <c r="AA698" i="17"/>
  <c r="AU698" i="17"/>
  <c r="B699" i="17"/>
  <c r="C699" i="17"/>
  <c r="D699" i="17"/>
  <c r="E699" i="17"/>
  <c r="F699" i="17"/>
  <c r="G699" i="17"/>
  <c r="H699" i="17"/>
  <c r="Q699" i="17"/>
  <c r="AA699" i="17"/>
  <c r="AU699" i="17"/>
  <c r="B700" i="17"/>
  <c r="C700" i="17"/>
  <c r="D700" i="17"/>
  <c r="E700" i="17"/>
  <c r="F700" i="17"/>
  <c r="G700" i="17"/>
  <c r="H700" i="17"/>
  <c r="Q700" i="17"/>
  <c r="AA700" i="17"/>
  <c r="AU700" i="17"/>
  <c r="B701" i="17"/>
  <c r="C701" i="17"/>
  <c r="D701" i="17"/>
  <c r="E701" i="17"/>
  <c r="F701" i="17"/>
  <c r="G701" i="17"/>
  <c r="H701" i="17"/>
  <c r="Q701" i="17"/>
  <c r="AA701" i="17"/>
  <c r="AU701" i="17"/>
  <c r="B702" i="17"/>
  <c r="C702" i="17"/>
  <c r="D702" i="17"/>
  <c r="E702" i="17"/>
  <c r="F702" i="17"/>
  <c r="G702" i="17"/>
  <c r="H702" i="17"/>
  <c r="Q702" i="17"/>
  <c r="AA702" i="17"/>
  <c r="AU702" i="17"/>
  <c r="B703" i="17"/>
  <c r="C703" i="17"/>
  <c r="D703" i="17"/>
  <c r="E703" i="17"/>
  <c r="F703" i="17"/>
  <c r="G703" i="17"/>
  <c r="H703" i="17"/>
  <c r="Q703" i="17"/>
  <c r="AA703" i="17"/>
  <c r="AU703" i="17"/>
  <c r="B704" i="17"/>
  <c r="C704" i="17"/>
  <c r="D704" i="17"/>
  <c r="E704" i="17"/>
  <c r="F704" i="17"/>
  <c r="G704" i="17"/>
  <c r="H704" i="17"/>
  <c r="Q704" i="17"/>
  <c r="AA704" i="17"/>
  <c r="AU704" i="17"/>
  <c r="B705" i="17"/>
  <c r="C705" i="17"/>
  <c r="D705" i="17"/>
  <c r="E705" i="17"/>
  <c r="F705" i="17"/>
  <c r="G705" i="17"/>
  <c r="H705" i="17"/>
  <c r="Q705" i="17"/>
  <c r="AA705" i="17"/>
  <c r="AU705" i="17"/>
  <c r="B706" i="17"/>
  <c r="C706" i="17"/>
  <c r="D706" i="17"/>
  <c r="E706" i="17"/>
  <c r="F706" i="17"/>
  <c r="G706" i="17"/>
  <c r="H706" i="17"/>
  <c r="Q706" i="17"/>
  <c r="AA706" i="17"/>
  <c r="AU706" i="17"/>
  <c r="B707" i="17"/>
  <c r="C707" i="17"/>
  <c r="D707" i="17"/>
  <c r="E707" i="17"/>
  <c r="F707" i="17"/>
  <c r="G707" i="17"/>
  <c r="H707" i="17"/>
  <c r="Q707" i="17"/>
  <c r="AA707" i="17"/>
  <c r="AU707" i="17"/>
  <c r="B708" i="17"/>
  <c r="C708" i="17"/>
  <c r="D708" i="17"/>
  <c r="E708" i="17"/>
  <c r="F708" i="17"/>
  <c r="G708" i="17"/>
  <c r="H708" i="17"/>
  <c r="Q708" i="17"/>
  <c r="AA708" i="17"/>
  <c r="AU708" i="17"/>
  <c r="B709" i="17"/>
  <c r="C709" i="17"/>
  <c r="D709" i="17"/>
  <c r="E709" i="17"/>
  <c r="F709" i="17"/>
  <c r="G709" i="17"/>
  <c r="H709" i="17"/>
  <c r="Q709" i="17"/>
  <c r="AA709" i="17"/>
  <c r="AU709" i="17"/>
  <c r="B710" i="17"/>
  <c r="C710" i="17"/>
  <c r="D710" i="17"/>
  <c r="E710" i="17"/>
  <c r="F710" i="17"/>
  <c r="G710" i="17"/>
  <c r="H710" i="17"/>
  <c r="Q710" i="17"/>
  <c r="AA710" i="17"/>
  <c r="AU710" i="17"/>
  <c r="B711" i="17"/>
  <c r="C711" i="17"/>
  <c r="D711" i="17"/>
  <c r="E711" i="17"/>
  <c r="F711" i="17"/>
  <c r="G711" i="17"/>
  <c r="H711" i="17"/>
  <c r="Q711" i="17"/>
  <c r="AA711" i="17"/>
  <c r="AU711" i="17"/>
  <c r="B712" i="17"/>
  <c r="C712" i="17"/>
  <c r="D712" i="17"/>
  <c r="E712" i="17"/>
  <c r="F712" i="17"/>
  <c r="G712" i="17"/>
  <c r="H712" i="17"/>
  <c r="Q712" i="17"/>
  <c r="AA712" i="17"/>
  <c r="AU712" i="17"/>
  <c r="B713" i="17"/>
  <c r="C713" i="17"/>
  <c r="D713" i="17"/>
  <c r="E713" i="17"/>
  <c r="F713" i="17"/>
  <c r="G713" i="17"/>
  <c r="H713" i="17"/>
  <c r="Q713" i="17"/>
  <c r="AA713" i="17"/>
  <c r="AU713" i="17"/>
  <c r="B714" i="17"/>
  <c r="C714" i="17"/>
  <c r="D714" i="17"/>
  <c r="E714" i="17"/>
  <c r="F714" i="17"/>
  <c r="G714" i="17"/>
  <c r="H714" i="17"/>
  <c r="Q714" i="17"/>
  <c r="AA714" i="17"/>
  <c r="AU714" i="17"/>
  <c r="B715" i="17"/>
  <c r="C715" i="17"/>
  <c r="D715" i="17"/>
  <c r="E715" i="17"/>
  <c r="F715" i="17"/>
  <c r="G715" i="17"/>
  <c r="H715" i="17"/>
  <c r="Q715" i="17"/>
  <c r="AA715" i="17"/>
  <c r="AU715" i="17"/>
  <c r="B716" i="17"/>
  <c r="C716" i="17"/>
  <c r="D716" i="17"/>
  <c r="E716" i="17"/>
  <c r="F716" i="17"/>
  <c r="G716" i="17"/>
  <c r="H716" i="17"/>
  <c r="Q716" i="17"/>
  <c r="AA716" i="17"/>
  <c r="AU716" i="17"/>
  <c r="B717" i="17"/>
  <c r="C717" i="17"/>
  <c r="D717" i="17"/>
  <c r="E717" i="17"/>
  <c r="F717" i="17"/>
  <c r="G717" i="17"/>
  <c r="H717" i="17"/>
  <c r="Q717" i="17"/>
  <c r="AA717" i="17"/>
  <c r="AU717" i="17"/>
  <c r="B718" i="17"/>
  <c r="C718" i="17"/>
  <c r="D718" i="17"/>
  <c r="E718" i="17"/>
  <c r="F718" i="17"/>
  <c r="G718" i="17"/>
  <c r="H718" i="17"/>
  <c r="Q718" i="17"/>
  <c r="AA718" i="17"/>
  <c r="AU718" i="17"/>
  <c r="B719" i="17"/>
  <c r="C719" i="17"/>
  <c r="D719" i="17"/>
  <c r="E719" i="17"/>
  <c r="F719" i="17"/>
  <c r="G719" i="17"/>
  <c r="H719" i="17"/>
  <c r="Q719" i="17"/>
  <c r="AA719" i="17"/>
  <c r="AU719" i="17"/>
  <c r="B720" i="17"/>
  <c r="C720" i="17"/>
  <c r="D720" i="17"/>
  <c r="E720" i="17"/>
  <c r="F720" i="17"/>
  <c r="G720" i="17"/>
  <c r="H720" i="17"/>
  <c r="Q720" i="17"/>
  <c r="AA720" i="17"/>
  <c r="AU720" i="17"/>
  <c r="B721" i="17"/>
  <c r="C721" i="17"/>
  <c r="D721" i="17"/>
  <c r="E721" i="17"/>
  <c r="F721" i="17"/>
  <c r="G721" i="17"/>
  <c r="H721" i="17"/>
  <c r="Q721" i="17"/>
  <c r="AA721" i="17"/>
  <c r="AU721" i="17"/>
  <c r="B722" i="17"/>
  <c r="C722" i="17"/>
  <c r="D722" i="17"/>
  <c r="E722" i="17"/>
  <c r="F722" i="17"/>
  <c r="G722" i="17"/>
  <c r="H722" i="17"/>
  <c r="Q722" i="17"/>
  <c r="AA722" i="17"/>
  <c r="AU722" i="17"/>
  <c r="B723" i="17"/>
  <c r="C723" i="17"/>
  <c r="D723" i="17"/>
  <c r="E723" i="17"/>
  <c r="F723" i="17"/>
  <c r="G723" i="17"/>
  <c r="H723" i="17"/>
  <c r="Q723" i="17"/>
  <c r="AA723" i="17"/>
  <c r="AU723" i="17"/>
  <c r="B724" i="17"/>
  <c r="C724" i="17"/>
  <c r="D724" i="17"/>
  <c r="E724" i="17"/>
  <c r="F724" i="17"/>
  <c r="G724" i="17"/>
  <c r="H724" i="17"/>
  <c r="Q724" i="17"/>
  <c r="AA724" i="17"/>
  <c r="AU724" i="17"/>
  <c r="B725" i="17"/>
  <c r="C725" i="17"/>
  <c r="D725" i="17"/>
  <c r="E725" i="17"/>
  <c r="F725" i="17"/>
  <c r="G725" i="17"/>
  <c r="H725" i="17"/>
  <c r="Q725" i="17"/>
  <c r="AA725" i="17"/>
  <c r="AU725" i="17"/>
  <c r="B726" i="17"/>
  <c r="C726" i="17"/>
  <c r="D726" i="17"/>
  <c r="E726" i="17"/>
  <c r="F726" i="17"/>
  <c r="G726" i="17"/>
  <c r="H726" i="17"/>
  <c r="Q726" i="17"/>
  <c r="AA726" i="17"/>
  <c r="AU726" i="17"/>
  <c r="S688" i="2" l="1"/>
  <c r="T688" i="2" s="1"/>
  <c r="S689" i="2"/>
  <c r="T689" i="2" s="1"/>
  <c r="S683" i="2"/>
  <c r="T683" i="2" s="1"/>
  <c r="S677" i="2"/>
  <c r="T677" i="2" s="1"/>
  <c r="S684" i="2"/>
  <c r="T684" i="2" s="1"/>
  <c r="S691" i="2"/>
  <c r="T691" i="2" s="1"/>
  <c r="S685" i="2"/>
  <c r="T685" i="2" s="1"/>
  <c r="S679" i="2"/>
  <c r="T679" i="2" s="1"/>
  <c r="S682" i="2"/>
  <c r="T682" i="2" s="1"/>
  <c r="S686" i="2"/>
  <c r="T686" i="2" s="1"/>
  <c r="S680" i="2"/>
  <c r="T680" i="2" s="1"/>
  <c r="S687" i="2"/>
  <c r="T687" i="2" s="1"/>
  <c r="S724" i="2"/>
  <c r="T724" i="2" s="1"/>
  <c r="S718" i="2"/>
  <c r="T718" i="2" s="1"/>
  <c r="S706" i="2"/>
  <c r="T706" i="2" s="1"/>
  <c r="S700" i="2"/>
  <c r="T700" i="2" s="1"/>
  <c r="S694" i="2"/>
  <c r="T694" i="2" s="1"/>
  <c r="S725" i="2"/>
  <c r="T725" i="2" s="1"/>
  <c r="S719" i="2"/>
  <c r="T719" i="2" s="1"/>
  <c r="S713" i="2"/>
  <c r="T713" i="2" s="1"/>
  <c r="S701" i="2"/>
  <c r="T701" i="2" s="1"/>
  <c r="S695" i="2"/>
  <c r="T695" i="2" s="1"/>
  <c r="S726" i="2"/>
  <c r="T726" i="2" s="1"/>
  <c r="S720" i="2"/>
  <c r="T720" i="2" s="1"/>
  <c r="S714" i="2"/>
  <c r="T714" i="2" s="1"/>
  <c r="S708" i="2"/>
  <c r="T708" i="2" s="1"/>
  <c r="S702" i="2"/>
  <c r="T702" i="2" s="1"/>
  <c r="S721" i="2"/>
  <c r="T721" i="2" s="1"/>
  <c r="S715" i="2"/>
  <c r="T715" i="2" s="1"/>
  <c r="S709" i="2"/>
  <c r="T709" i="2" s="1"/>
  <c r="S697" i="2"/>
  <c r="T697" i="2" s="1"/>
  <c r="S722" i="2"/>
  <c r="T722" i="2" s="1"/>
  <c r="S704" i="2"/>
  <c r="T704" i="2" s="1"/>
  <c r="S698" i="2"/>
  <c r="T698" i="2" s="1"/>
  <c r="S723" i="2"/>
  <c r="T723" i="2" s="1"/>
  <c r="S717" i="2"/>
  <c r="T717" i="2" s="1"/>
  <c r="S711" i="2"/>
  <c r="T711" i="2" s="1"/>
  <c r="S705" i="2"/>
  <c r="T705" i="2" s="1"/>
  <c r="S699" i="2"/>
  <c r="T699" i="2" s="1"/>
  <c r="S693" i="2"/>
  <c r="T693" i="2" s="1"/>
  <c r="AO691" i="2"/>
  <c r="AN691" i="2"/>
  <c r="O691" i="2"/>
  <c r="AO690" i="2"/>
  <c r="AN690" i="2"/>
  <c r="O690" i="2"/>
  <c r="AO689" i="2"/>
  <c r="AN689" i="2"/>
  <c r="O689" i="2"/>
  <c r="AO688" i="2"/>
  <c r="AN688" i="2"/>
  <c r="O688" i="2"/>
  <c r="AO687" i="2"/>
  <c r="AN687" i="2"/>
  <c r="O687" i="2"/>
  <c r="AO686" i="2"/>
  <c r="AN686" i="2"/>
  <c r="O686" i="2"/>
  <c r="AO685" i="2"/>
  <c r="AN685" i="2"/>
  <c r="O685" i="2"/>
  <c r="AO684" i="2"/>
  <c r="AN684" i="2"/>
  <c r="O684" i="2"/>
  <c r="AO683" i="2"/>
  <c r="AN683" i="2"/>
  <c r="O683" i="2"/>
  <c r="AO682" i="2"/>
  <c r="AN682" i="2"/>
  <c r="O682" i="2"/>
  <c r="AO681" i="2"/>
  <c r="AN681" i="2"/>
  <c r="O681" i="2"/>
  <c r="AO680" i="2"/>
  <c r="AN680" i="2"/>
  <c r="O680" i="2"/>
  <c r="AO679" i="2"/>
  <c r="AN679" i="2"/>
  <c r="O679" i="2"/>
  <c r="AO678" i="2"/>
  <c r="AN678" i="2"/>
  <c r="O678" i="2"/>
  <c r="AO677" i="2"/>
  <c r="AN677" i="2"/>
  <c r="O677" i="2"/>
  <c r="AO676" i="2"/>
  <c r="AN676" i="2"/>
  <c r="O676" i="2"/>
  <c r="AU617" i="17" l="1"/>
  <c r="R540" i="2" l="1"/>
  <c r="R534" i="2"/>
  <c r="AO675" i="2" l="1"/>
  <c r="AN675" i="2"/>
  <c r="O675" i="2"/>
  <c r="AO674" i="2"/>
  <c r="AN674" i="2"/>
  <c r="O674" i="2"/>
  <c r="AO673" i="2"/>
  <c r="AN673" i="2"/>
  <c r="O673" i="2"/>
  <c r="AO672" i="2"/>
  <c r="AN672" i="2"/>
  <c r="O672" i="2"/>
  <c r="AO671" i="2"/>
  <c r="AN671" i="2"/>
  <c r="O671" i="2"/>
  <c r="AO670" i="2"/>
  <c r="AN670" i="2"/>
  <c r="O670" i="2"/>
  <c r="AO669" i="2"/>
  <c r="AN669" i="2"/>
  <c r="O669" i="2"/>
  <c r="AO668" i="2"/>
  <c r="AN668" i="2"/>
  <c r="O668" i="2"/>
  <c r="AO667" i="2"/>
  <c r="AN667" i="2"/>
  <c r="O667" i="2"/>
  <c r="AO666" i="2"/>
  <c r="AN666" i="2"/>
  <c r="O666" i="2"/>
  <c r="AO665" i="2"/>
  <c r="AN665" i="2"/>
  <c r="Q665" i="2"/>
  <c r="O665" i="2"/>
  <c r="AO664" i="2"/>
  <c r="AN664" i="2"/>
  <c r="Q664" i="2"/>
  <c r="O664" i="2"/>
  <c r="AO663" i="2"/>
  <c r="AN663" i="2"/>
  <c r="Q663" i="2"/>
  <c r="O663" i="2"/>
  <c r="AO662" i="2"/>
  <c r="AN662" i="2"/>
  <c r="Q662" i="2"/>
  <c r="O662" i="2"/>
  <c r="AO661" i="2"/>
  <c r="AN661" i="2"/>
  <c r="Q661" i="2"/>
  <c r="O661" i="2"/>
  <c r="AO660" i="2"/>
  <c r="AN660" i="2"/>
  <c r="Q660" i="2"/>
  <c r="O660" i="2"/>
  <c r="AO659" i="2"/>
  <c r="AN659" i="2"/>
  <c r="Q659" i="2"/>
  <c r="O659" i="2"/>
  <c r="AO658" i="2"/>
  <c r="AN658" i="2"/>
  <c r="Q658" i="2"/>
  <c r="O658" i="2"/>
  <c r="AO657" i="2"/>
  <c r="AN657" i="2"/>
  <c r="Q657" i="2"/>
  <c r="O657" i="2"/>
  <c r="AO656" i="2"/>
  <c r="AN656" i="2"/>
  <c r="Q656" i="2"/>
  <c r="O656" i="2"/>
  <c r="AO655" i="2"/>
  <c r="AN655" i="2"/>
  <c r="Q655" i="2"/>
  <c r="O655" i="2"/>
  <c r="AO654" i="2"/>
  <c r="AN654" i="2"/>
  <c r="Q654" i="2"/>
  <c r="O654" i="2"/>
  <c r="AO653" i="2"/>
  <c r="AN653" i="2"/>
  <c r="Q653" i="2"/>
  <c r="O653" i="2"/>
  <c r="AO652" i="2"/>
  <c r="AN652" i="2"/>
  <c r="Q652" i="2"/>
  <c r="O652" i="2"/>
  <c r="AO651" i="2"/>
  <c r="AN651" i="2"/>
  <c r="Q651" i="2"/>
  <c r="O651" i="2"/>
  <c r="AO650" i="2"/>
  <c r="AN650" i="2"/>
  <c r="Q650" i="2"/>
  <c r="O650" i="2"/>
  <c r="AO649" i="2"/>
  <c r="AN649" i="2"/>
  <c r="Q649" i="2"/>
  <c r="O649" i="2"/>
  <c r="AO648" i="2"/>
  <c r="AN648" i="2"/>
  <c r="Q648" i="2"/>
  <c r="O648" i="2"/>
  <c r="AO647" i="2"/>
  <c r="AN647" i="2"/>
  <c r="R647" i="2"/>
  <c r="Q647" i="2"/>
  <c r="O647" i="2"/>
  <c r="AO646" i="2"/>
  <c r="AN646" i="2"/>
  <c r="R646" i="2"/>
  <c r="Q646" i="2"/>
  <c r="O646" i="2"/>
  <c r="R538" i="2" l="1"/>
  <c r="R537" i="2"/>
  <c r="R536" i="2"/>
  <c r="O611" i="2" l="1"/>
  <c r="R510" i="2" l="1"/>
  <c r="R517" i="2"/>
  <c r="R522" i="2"/>
  <c r="R523" i="2"/>
  <c r="AO551" i="2" l="1"/>
  <c r="O607" i="2" l="1"/>
  <c r="Q607" i="2"/>
  <c r="R607" i="2"/>
  <c r="AN607" i="2"/>
  <c r="AO607" i="2"/>
  <c r="O608" i="2"/>
  <c r="Q608" i="2"/>
  <c r="R608" i="2"/>
  <c r="AN608" i="2"/>
  <c r="AO608" i="2"/>
  <c r="O609" i="2"/>
  <c r="Q609" i="2"/>
  <c r="R609" i="2"/>
  <c r="AN609" i="2"/>
  <c r="AO609" i="2"/>
  <c r="O610" i="2"/>
  <c r="Q610" i="2"/>
  <c r="AN610" i="2"/>
  <c r="AO610" i="2"/>
  <c r="Q611" i="2"/>
  <c r="R611" i="2"/>
  <c r="AN611" i="2"/>
  <c r="AO611" i="2"/>
  <c r="O612" i="2"/>
  <c r="Q612" i="2"/>
  <c r="R612" i="2"/>
  <c r="AN612" i="2"/>
  <c r="AO612" i="2"/>
  <c r="O613" i="2"/>
  <c r="Q613" i="2"/>
  <c r="R613" i="2"/>
  <c r="AN613" i="2"/>
  <c r="AO613" i="2"/>
  <c r="O614" i="2"/>
  <c r="Q614" i="2"/>
  <c r="R614" i="2"/>
  <c r="AN614" i="2"/>
  <c r="AO614" i="2"/>
  <c r="O615" i="2"/>
  <c r="Q615" i="2"/>
  <c r="AN615" i="2"/>
  <c r="AO615" i="2"/>
  <c r="O616" i="2"/>
  <c r="Q616" i="2"/>
  <c r="R616" i="2"/>
  <c r="AN616" i="2"/>
  <c r="AO616" i="2"/>
  <c r="O617" i="2"/>
  <c r="Q617" i="2"/>
  <c r="R617" i="2"/>
  <c r="AN617" i="2"/>
  <c r="AO617" i="2"/>
  <c r="O618" i="2"/>
  <c r="Q618" i="2"/>
  <c r="R618" i="2"/>
  <c r="AN618" i="2"/>
  <c r="AO618" i="2"/>
  <c r="O619" i="2"/>
  <c r="Q619" i="2"/>
  <c r="R619" i="2"/>
  <c r="AN619" i="2"/>
  <c r="AO619" i="2"/>
  <c r="O620" i="2"/>
  <c r="Q620" i="2"/>
  <c r="R620" i="2"/>
  <c r="AN620" i="2"/>
  <c r="AO620" i="2"/>
  <c r="O621" i="2"/>
  <c r="Q621" i="2"/>
  <c r="AN621" i="2"/>
  <c r="AO621" i="2"/>
  <c r="O622" i="2"/>
  <c r="Q622" i="2"/>
  <c r="R622" i="2"/>
  <c r="AN622" i="2"/>
  <c r="AO622" i="2"/>
  <c r="O623" i="2"/>
  <c r="Q623" i="2"/>
  <c r="AN623" i="2"/>
  <c r="AO623" i="2"/>
  <c r="O624" i="2"/>
  <c r="Q624" i="2"/>
  <c r="R624" i="2"/>
  <c r="AN624" i="2"/>
  <c r="AO624" i="2"/>
  <c r="O625" i="2"/>
  <c r="Q625" i="2"/>
  <c r="R625" i="2"/>
  <c r="AN625" i="2"/>
  <c r="AO625" i="2"/>
  <c r="O626" i="2"/>
  <c r="Q626" i="2"/>
  <c r="R626" i="2"/>
  <c r="AN626" i="2"/>
  <c r="AO626" i="2"/>
  <c r="O627" i="2"/>
  <c r="Q627" i="2"/>
  <c r="R627" i="2"/>
  <c r="AN627" i="2"/>
  <c r="AO627" i="2"/>
  <c r="O628" i="2"/>
  <c r="Q628" i="2"/>
  <c r="AN628" i="2"/>
  <c r="AO628" i="2"/>
  <c r="O629" i="2"/>
  <c r="Q629" i="2"/>
  <c r="R629" i="2"/>
  <c r="AN629" i="2"/>
  <c r="AO629" i="2"/>
  <c r="O630" i="2"/>
  <c r="Q630" i="2"/>
  <c r="AN630" i="2"/>
  <c r="AO630" i="2"/>
  <c r="O631" i="2"/>
  <c r="Q631" i="2"/>
  <c r="R631" i="2"/>
  <c r="AN631" i="2"/>
  <c r="AO631" i="2"/>
  <c r="O632" i="2"/>
  <c r="Q632" i="2"/>
  <c r="R632" i="2"/>
  <c r="AN632" i="2"/>
  <c r="AO632" i="2"/>
  <c r="O633" i="2"/>
  <c r="Q633" i="2"/>
  <c r="R633" i="2"/>
  <c r="AN633" i="2"/>
  <c r="AO633" i="2"/>
  <c r="O634" i="2"/>
  <c r="Q634" i="2"/>
  <c r="R634" i="2"/>
  <c r="AN634" i="2"/>
  <c r="AO634" i="2"/>
  <c r="O635" i="2"/>
  <c r="Q635" i="2"/>
  <c r="AN635" i="2"/>
  <c r="AO635" i="2"/>
  <c r="O636" i="2"/>
  <c r="Q636" i="2"/>
  <c r="R636" i="2"/>
  <c r="AN636" i="2"/>
  <c r="AO636" i="2"/>
  <c r="O637" i="2"/>
  <c r="Q637" i="2"/>
  <c r="AN637" i="2"/>
  <c r="AO637" i="2"/>
  <c r="O638" i="2"/>
  <c r="Q638" i="2"/>
  <c r="AN638" i="2"/>
  <c r="AO638" i="2"/>
  <c r="O639" i="2"/>
  <c r="Q639" i="2"/>
  <c r="R639" i="2"/>
  <c r="AN639" i="2"/>
  <c r="AO639" i="2"/>
  <c r="O640" i="2"/>
  <c r="Q640" i="2"/>
  <c r="R640" i="2"/>
  <c r="AN640" i="2"/>
  <c r="AO640" i="2"/>
  <c r="O641" i="2"/>
  <c r="Q641" i="2"/>
  <c r="R641" i="2"/>
  <c r="AN641" i="2"/>
  <c r="AO641" i="2"/>
  <c r="O642" i="2"/>
  <c r="Q642" i="2"/>
  <c r="AN642" i="2"/>
  <c r="AO642" i="2"/>
  <c r="O643" i="2"/>
  <c r="Q643" i="2"/>
  <c r="R643" i="2"/>
  <c r="AN643" i="2"/>
  <c r="AO643" i="2"/>
  <c r="O644" i="2"/>
  <c r="Q644" i="2"/>
  <c r="R644" i="2"/>
  <c r="AN644" i="2"/>
  <c r="AO644" i="2"/>
  <c r="O645" i="2"/>
  <c r="Q645" i="2"/>
  <c r="AN645" i="2"/>
  <c r="AO645" i="2"/>
  <c r="AU507" i="17" l="1"/>
  <c r="B602" i="17" l="1"/>
  <c r="C602" i="17"/>
  <c r="D602" i="17"/>
  <c r="E602" i="17"/>
  <c r="F602" i="17"/>
  <c r="G602" i="17"/>
  <c r="H602" i="17"/>
  <c r="Q602" i="17"/>
  <c r="AA602" i="17"/>
  <c r="AU602" i="17"/>
  <c r="B603" i="17"/>
  <c r="C603" i="17"/>
  <c r="D603" i="17"/>
  <c r="E603" i="17"/>
  <c r="F603" i="17"/>
  <c r="G603" i="17"/>
  <c r="H603" i="17"/>
  <c r="Q603" i="17"/>
  <c r="AA603" i="17"/>
  <c r="AU603" i="17"/>
  <c r="B604" i="17"/>
  <c r="C604" i="17"/>
  <c r="D604" i="17"/>
  <c r="E604" i="17"/>
  <c r="F604" i="17"/>
  <c r="G604" i="17"/>
  <c r="H604" i="17"/>
  <c r="Q604" i="17"/>
  <c r="AA604" i="17"/>
  <c r="AU604" i="17"/>
  <c r="B605" i="17"/>
  <c r="C605" i="17"/>
  <c r="D605" i="17"/>
  <c r="E605" i="17"/>
  <c r="F605" i="17"/>
  <c r="G605" i="17"/>
  <c r="H605" i="17"/>
  <c r="Q605" i="17"/>
  <c r="AA605" i="17"/>
  <c r="AU605" i="17"/>
  <c r="B606" i="17"/>
  <c r="C606" i="17"/>
  <c r="D606" i="17"/>
  <c r="E606" i="17"/>
  <c r="F606" i="17"/>
  <c r="G606" i="17"/>
  <c r="H606" i="17"/>
  <c r="Q606" i="17"/>
  <c r="AA606" i="17"/>
  <c r="AU606" i="17"/>
  <c r="B607" i="17"/>
  <c r="C607" i="17"/>
  <c r="D607" i="17"/>
  <c r="E607" i="17"/>
  <c r="F607" i="17"/>
  <c r="G607" i="17"/>
  <c r="H607" i="17"/>
  <c r="Q607" i="17"/>
  <c r="AA607" i="17"/>
  <c r="AU607" i="17"/>
  <c r="B608" i="17"/>
  <c r="C608" i="17"/>
  <c r="D608" i="17"/>
  <c r="E608" i="17"/>
  <c r="F608" i="17"/>
  <c r="G608" i="17"/>
  <c r="H608" i="17"/>
  <c r="Q608" i="17"/>
  <c r="AA608" i="17"/>
  <c r="AU608" i="17"/>
  <c r="B609" i="17"/>
  <c r="C609" i="17"/>
  <c r="D609" i="17"/>
  <c r="E609" i="17"/>
  <c r="F609" i="17"/>
  <c r="G609" i="17"/>
  <c r="H609" i="17"/>
  <c r="Q609" i="17"/>
  <c r="AA609" i="17"/>
  <c r="AU609" i="17"/>
  <c r="B610" i="17"/>
  <c r="C610" i="17"/>
  <c r="D610" i="17"/>
  <c r="E610" i="17"/>
  <c r="F610" i="17"/>
  <c r="G610" i="17"/>
  <c r="H610" i="17"/>
  <c r="Q610" i="17"/>
  <c r="AA610" i="17"/>
  <c r="AU610" i="17"/>
  <c r="B611" i="17"/>
  <c r="C611" i="17"/>
  <c r="D611" i="17"/>
  <c r="E611" i="17"/>
  <c r="F611" i="17"/>
  <c r="G611" i="17"/>
  <c r="H611" i="17"/>
  <c r="Q611" i="17"/>
  <c r="AA611" i="17"/>
  <c r="AU611" i="17"/>
  <c r="B612" i="17"/>
  <c r="C612" i="17"/>
  <c r="D612" i="17"/>
  <c r="E612" i="17"/>
  <c r="F612" i="17"/>
  <c r="G612" i="17"/>
  <c r="H612" i="17"/>
  <c r="Q612" i="17"/>
  <c r="AA612" i="17"/>
  <c r="AU612" i="17"/>
  <c r="B613" i="17"/>
  <c r="C613" i="17"/>
  <c r="D613" i="17"/>
  <c r="E613" i="17"/>
  <c r="F613" i="17"/>
  <c r="G613" i="17"/>
  <c r="H613" i="17"/>
  <c r="Q613" i="17"/>
  <c r="AA613" i="17"/>
  <c r="AU613" i="17"/>
  <c r="B614" i="17"/>
  <c r="C614" i="17"/>
  <c r="D614" i="17"/>
  <c r="E614" i="17"/>
  <c r="F614" i="17"/>
  <c r="G614" i="17"/>
  <c r="H614" i="17"/>
  <c r="Q614" i="17"/>
  <c r="AA614" i="17"/>
  <c r="AU614" i="17"/>
  <c r="B615" i="17"/>
  <c r="C615" i="17"/>
  <c r="D615" i="17"/>
  <c r="E615" i="17"/>
  <c r="F615" i="17"/>
  <c r="G615" i="17"/>
  <c r="H615" i="17"/>
  <c r="Q615" i="17"/>
  <c r="AA615" i="17"/>
  <c r="AU615" i="17"/>
  <c r="B616" i="17"/>
  <c r="C616" i="17"/>
  <c r="D616" i="17"/>
  <c r="E616" i="17"/>
  <c r="F616" i="17"/>
  <c r="G616" i="17"/>
  <c r="H616" i="17"/>
  <c r="Q616" i="17"/>
  <c r="AA616" i="17"/>
  <c r="AU616" i="17"/>
  <c r="B617" i="17"/>
  <c r="C617" i="17"/>
  <c r="D617" i="17"/>
  <c r="E617" i="17"/>
  <c r="F617" i="17"/>
  <c r="G617" i="17"/>
  <c r="H617" i="17"/>
  <c r="Q617" i="17"/>
  <c r="AA617" i="17"/>
  <c r="B618" i="17"/>
  <c r="C618" i="17"/>
  <c r="D618" i="17"/>
  <c r="E618" i="17"/>
  <c r="F618" i="17"/>
  <c r="G618" i="17"/>
  <c r="H618" i="17"/>
  <c r="Q618" i="17"/>
  <c r="AA618" i="17"/>
  <c r="AU618" i="17"/>
  <c r="B619" i="17"/>
  <c r="C619" i="17"/>
  <c r="D619" i="17"/>
  <c r="E619" i="17"/>
  <c r="F619" i="17"/>
  <c r="G619" i="17"/>
  <c r="H619" i="17"/>
  <c r="Q619" i="17"/>
  <c r="AA619" i="17"/>
  <c r="AU619" i="17"/>
  <c r="B620" i="17"/>
  <c r="C620" i="17"/>
  <c r="D620" i="17"/>
  <c r="E620" i="17"/>
  <c r="F620" i="17"/>
  <c r="G620" i="17"/>
  <c r="H620" i="17"/>
  <c r="Q620" i="17"/>
  <c r="AA620" i="17"/>
  <c r="AU620" i="17"/>
  <c r="B621" i="17"/>
  <c r="C621" i="17"/>
  <c r="D621" i="17"/>
  <c r="E621" i="17"/>
  <c r="F621" i="17"/>
  <c r="G621" i="17"/>
  <c r="H621" i="17"/>
  <c r="Q621" i="17"/>
  <c r="AA621" i="17"/>
  <c r="AU621" i="17"/>
  <c r="B622" i="17"/>
  <c r="C622" i="17"/>
  <c r="D622" i="17"/>
  <c r="E622" i="17"/>
  <c r="F622" i="17"/>
  <c r="G622" i="17"/>
  <c r="H622" i="17"/>
  <c r="Q622" i="17"/>
  <c r="AA622" i="17"/>
  <c r="AU622" i="17"/>
  <c r="B623" i="17"/>
  <c r="C623" i="17"/>
  <c r="D623" i="17"/>
  <c r="E623" i="17"/>
  <c r="F623" i="17"/>
  <c r="G623" i="17"/>
  <c r="H623" i="17"/>
  <c r="Q623" i="17"/>
  <c r="AA623" i="17"/>
  <c r="AU623" i="17"/>
  <c r="B624" i="17"/>
  <c r="C624" i="17"/>
  <c r="D624" i="17"/>
  <c r="E624" i="17"/>
  <c r="F624" i="17"/>
  <c r="G624" i="17"/>
  <c r="H624" i="17"/>
  <c r="Q624" i="17"/>
  <c r="AA624" i="17"/>
  <c r="AU624" i="17"/>
  <c r="B625" i="17"/>
  <c r="C625" i="17"/>
  <c r="D625" i="17"/>
  <c r="E625" i="17"/>
  <c r="F625" i="17"/>
  <c r="G625" i="17"/>
  <c r="H625" i="17"/>
  <c r="Q625" i="17"/>
  <c r="AA625" i="17"/>
  <c r="AU625" i="17"/>
  <c r="B626" i="17"/>
  <c r="C626" i="17"/>
  <c r="D626" i="17"/>
  <c r="E626" i="17"/>
  <c r="F626" i="17"/>
  <c r="G626" i="17"/>
  <c r="H626" i="17"/>
  <c r="Q626" i="17"/>
  <c r="AA626" i="17"/>
  <c r="AU626" i="17"/>
  <c r="B627" i="17"/>
  <c r="C627" i="17"/>
  <c r="D627" i="17"/>
  <c r="E627" i="17"/>
  <c r="F627" i="17"/>
  <c r="G627" i="17"/>
  <c r="H627" i="17"/>
  <c r="Q627" i="17"/>
  <c r="AA627" i="17"/>
  <c r="AU627" i="17"/>
  <c r="B628" i="17"/>
  <c r="C628" i="17"/>
  <c r="D628" i="17"/>
  <c r="E628" i="17"/>
  <c r="F628" i="17"/>
  <c r="G628" i="17"/>
  <c r="H628" i="17"/>
  <c r="Q628" i="17"/>
  <c r="AU628" i="17"/>
  <c r="B629" i="17"/>
  <c r="C629" i="17"/>
  <c r="D629" i="17"/>
  <c r="E629" i="17"/>
  <c r="F629" i="17"/>
  <c r="G629" i="17"/>
  <c r="H629" i="17"/>
  <c r="Q629" i="17"/>
  <c r="AA629" i="17"/>
  <c r="AU629" i="17"/>
  <c r="B630" i="17"/>
  <c r="C630" i="17"/>
  <c r="D630" i="17"/>
  <c r="E630" i="17"/>
  <c r="F630" i="17"/>
  <c r="G630" i="17"/>
  <c r="H630" i="17"/>
  <c r="Q630" i="17"/>
  <c r="AA630" i="17"/>
  <c r="AU630" i="17"/>
  <c r="B631" i="17"/>
  <c r="C631" i="17"/>
  <c r="D631" i="17"/>
  <c r="E631" i="17"/>
  <c r="F631" i="17"/>
  <c r="G631" i="17"/>
  <c r="H631" i="17"/>
  <c r="Q631" i="17"/>
  <c r="AA631" i="17"/>
  <c r="AU631" i="17"/>
  <c r="B632" i="17"/>
  <c r="C632" i="17"/>
  <c r="D632" i="17"/>
  <c r="E632" i="17"/>
  <c r="F632" i="17"/>
  <c r="G632" i="17"/>
  <c r="H632" i="17"/>
  <c r="Q632" i="17"/>
  <c r="AA632" i="17"/>
  <c r="AU632" i="17"/>
  <c r="B633" i="17"/>
  <c r="C633" i="17"/>
  <c r="D633" i="17"/>
  <c r="E633" i="17"/>
  <c r="F633" i="17"/>
  <c r="G633" i="17"/>
  <c r="H633" i="17"/>
  <c r="Q633" i="17"/>
  <c r="AA633" i="17"/>
  <c r="AU633" i="17"/>
  <c r="B634" i="17"/>
  <c r="C634" i="17"/>
  <c r="D634" i="17"/>
  <c r="E634" i="17"/>
  <c r="F634" i="17"/>
  <c r="G634" i="17"/>
  <c r="H634" i="17"/>
  <c r="Q634" i="17"/>
  <c r="AA634" i="17"/>
  <c r="AU634" i="17"/>
  <c r="B635" i="17"/>
  <c r="C635" i="17"/>
  <c r="D635" i="17"/>
  <c r="E635" i="17"/>
  <c r="F635" i="17"/>
  <c r="G635" i="17"/>
  <c r="H635" i="17"/>
  <c r="Q635" i="17"/>
  <c r="AA635" i="17"/>
  <c r="AU635" i="17"/>
  <c r="B636" i="17"/>
  <c r="C636" i="17"/>
  <c r="D636" i="17"/>
  <c r="E636" i="17"/>
  <c r="F636" i="17"/>
  <c r="G636" i="17"/>
  <c r="H636" i="17"/>
  <c r="Q636" i="17"/>
  <c r="AA636" i="17"/>
  <c r="AU636" i="17"/>
  <c r="B637" i="17"/>
  <c r="C637" i="17"/>
  <c r="D637" i="17"/>
  <c r="E637" i="17"/>
  <c r="F637" i="17"/>
  <c r="G637" i="17"/>
  <c r="H637" i="17"/>
  <c r="Q637" i="17"/>
  <c r="AA637" i="17"/>
  <c r="AU637" i="17"/>
  <c r="B638" i="17"/>
  <c r="C638" i="17"/>
  <c r="D638" i="17"/>
  <c r="E638" i="17"/>
  <c r="F638" i="17"/>
  <c r="G638" i="17"/>
  <c r="H638" i="17"/>
  <c r="Q638" i="17"/>
  <c r="AA638" i="17"/>
  <c r="AU638" i="17"/>
  <c r="B639" i="17"/>
  <c r="C639" i="17"/>
  <c r="D639" i="17"/>
  <c r="E639" i="17"/>
  <c r="F639" i="17"/>
  <c r="G639" i="17"/>
  <c r="H639" i="17"/>
  <c r="Q639" i="17"/>
  <c r="AA639" i="17"/>
  <c r="AU639" i="17"/>
  <c r="B640" i="17"/>
  <c r="C640" i="17"/>
  <c r="D640" i="17"/>
  <c r="E640" i="17"/>
  <c r="F640" i="17"/>
  <c r="G640" i="17"/>
  <c r="H640" i="17"/>
  <c r="Q640" i="17"/>
  <c r="AA640" i="17"/>
  <c r="AU640" i="17"/>
  <c r="B641" i="17"/>
  <c r="C641" i="17"/>
  <c r="D641" i="17"/>
  <c r="E641" i="17"/>
  <c r="F641" i="17"/>
  <c r="G641" i="17"/>
  <c r="H641" i="17"/>
  <c r="Q641" i="17"/>
  <c r="AA641" i="17"/>
  <c r="AU641" i="17"/>
  <c r="B642" i="17"/>
  <c r="C642" i="17"/>
  <c r="D642" i="17"/>
  <c r="E642" i="17"/>
  <c r="F642" i="17"/>
  <c r="G642" i="17"/>
  <c r="H642" i="17"/>
  <c r="Q642" i="17"/>
  <c r="AA642" i="17"/>
  <c r="AU642" i="17"/>
  <c r="B643" i="17"/>
  <c r="C643" i="17"/>
  <c r="D643" i="17"/>
  <c r="E643" i="17"/>
  <c r="F643" i="17"/>
  <c r="G643" i="17"/>
  <c r="H643" i="17"/>
  <c r="Q643" i="17"/>
  <c r="AA643" i="17"/>
  <c r="AU643" i="17"/>
  <c r="B644" i="17"/>
  <c r="C644" i="17"/>
  <c r="D644" i="17"/>
  <c r="E644" i="17"/>
  <c r="F644" i="17"/>
  <c r="G644" i="17"/>
  <c r="H644" i="17"/>
  <c r="Q644" i="17"/>
  <c r="AA644" i="17"/>
  <c r="AU644" i="17"/>
  <c r="B645" i="17"/>
  <c r="C645" i="17"/>
  <c r="D645" i="17"/>
  <c r="E645" i="17"/>
  <c r="F645" i="17"/>
  <c r="G645" i="17"/>
  <c r="H645" i="17"/>
  <c r="Q645" i="17"/>
  <c r="AA645" i="17"/>
  <c r="AU645" i="17"/>
  <c r="B646" i="17"/>
  <c r="C646" i="17"/>
  <c r="D646" i="17"/>
  <c r="E646" i="17"/>
  <c r="F646" i="17"/>
  <c r="G646" i="17"/>
  <c r="H646" i="17"/>
  <c r="Q646" i="17"/>
  <c r="AA646" i="17"/>
  <c r="AU646" i="17"/>
  <c r="B647" i="17"/>
  <c r="C647" i="17"/>
  <c r="D647" i="17"/>
  <c r="E647" i="17"/>
  <c r="F647" i="17"/>
  <c r="G647" i="17"/>
  <c r="H647" i="17"/>
  <c r="Q647" i="17"/>
  <c r="AA647" i="17"/>
  <c r="AU647" i="17"/>
  <c r="B648" i="17"/>
  <c r="C648" i="17"/>
  <c r="D648" i="17"/>
  <c r="E648" i="17"/>
  <c r="F648" i="17"/>
  <c r="G648" i="17"/>
  <c r="H648" i="17"/>
  <c r="Q648" i="17"/>
  <c r="AA648" i="17"/>
  <c r="B649" i="17"/>
  <c r="C649" i="17"/>
  <c r="D649" i="17"/>
  <c r="E649" i="17"/>
  <c r="F649" i="17"/>
  <c r="G649" i="17"/>
  <c r="H649" i="17"/>
  <c r="Q649" i="17"/>
  <c r="AA649" i="17"/>
  <c r="AU649" i="17"/>
  <c r="B650" i="17"/>
  <c r="C650" i="17"/>
  <c r="D650" i="17"/>
  <c r="E650" i="17"/>
  <c r="F650" i="17"/>
  <c r="G650" i="17"/>
  <c r="H650" i="17"/>
  <c r="Q650" i="17"/>
  <c r="AA650" i="17"/>
  <c r="AU650" i="17"/>
  <c r="B651" i="17"/>
  <c r="C651" i="17"/>
  <c r="D651" i="17"/>
  <c r="E651" i="17"/>
  <c r="F651" i="17"/>
  <c r="G651" i="17"/>
  <c r="H651" i="17"/>
  <c r="Q651" i="17"/>
  <c r="AA651" i="17"/>
  <c r="B652" i="17"/>
  <c r="C652" i="17"/>
  <c r="D652" i="17"/>
  <c r="E652" i="17"/>
  <c r="F652" i="17"/>
  <c r="G652" i="17"/>
  <c r="H652" i="17"/>
  <c r="Q652" i="17"/>
  <c r="AA652" i="17"/>
  <c r="AU652" i="17"/>
  <c r="B653" i="17"/>
  <c r="C653" i="17"/>
  <c r="D653" i="17"/>
  <c r="E653" i="17"/>
  <c r="F653" i="17"/>
  <c r="G653" i="17"/>
  <c r="H653" i="17"/>
  <c r="Q653" i="17"/>
  <c r="AA653" i="17"/>
  <c r="AU653" i="17"/>
  <c r="B654" i="17"/>
  <c r="C654" i="17"/>
  <c r="D654" i="17"/>
  <c r="E654" i="17"/>
  <c r="F654" i="17"/>
  <c r="G654" i="17"/>
  <c r="H654" i="17"/>
  <c r="Q654" i="17"/>
  <c r="AA654" i="17"/>
  <c r="AU654" i="17"/>
  <c r="B655" i="17"/>
  <c r="C655" i="17"/>
  <c r="D655" i="17"/>
  <c r="E655" i="17"/>
  <c r="F655" i="17"/>
  <c r="G655" i="17"/>
  <c r="H655" i="17"/>
  <c r="Q655" i="17"/>
  <c r="AA655" i="17"/>
  <c r="AU655" i="17"/>
  <c r="B656" i="17"/>
  <c r="C656" i="17"/>
  <c r="D656" i="17"/>
  <c r="E656" i="17"/>
  <c r="F656" i="17"/>
  <c r="G656" i="17"/>
  <c r="H656" i="17"/>
  <c r="Q656" i="17"/>
  <c r="AA656" i="17"/>
  <c r="AU656" i="17"/>
  <c r="B657" i="17"/>
  <c r="C657" i="17"/>
  <c r="D657" i="17"/>
  <c r="E657" i="17"/>
  <c r="F657" i="17"/>
  <c r="G657" i="17"/>
  <c r="H657" i="17"/>
  <c r="Q657" i="17"/>
  <c r="AA657" i="17"/>
  <c r="AU657" i="17"/>
  <c r="B658" i="17"/>
  <c r="C658" i="17"/>
  <c r="D658" i="17"/>
  <c r="E658" i="17"/>
  <c r="F658" i="17"/>
  <c r="G658" i="17"/>
  <c r="H658" i="17"/>
  <c r="Q658" i="17"/>
  <c r="AA658" i="17"/>
  <c r="AU658" i="17"/>
  <c r="B659" i="17"/>
  <c r="C659" i="17"/>
  <c r="D659" i="17"/>
  <c r="E659" i="17"/>
  <c r="F659" i="17"/>
  <c r="G659" i="17"/>
  <c r="H659" i="17"/>
  <c r="Q659" i="17"/>
  <c r="AA659" i="17"/>
  <c r="AU659" i="17"/>
  <c r="B660" i="17"/>
  <c r="C660" i="17"/>
  <c r="D660" i="17"/>
  <c r="E660" i="17"/>
  <c r="F660" i="17"/>
  <c r="G660" i="17"/>
  <c r="H660" i="17"/>
  <c r="Q660" i="17"/>
  <c r="AA660" i="17"/>
  <c r="AU660" i="17"/>
  <c r="B661" i="17"/>
  <c r="C661" i="17"/>
  <c r="D661" i="17"/>
  <c r="E661" i="17"/>
  <c r="F661" i="17"/>
  <c r="G661" i="17"/>
  <c r="H661" i="17"/>
  <c r="Q661" i="17"/>
  <c r="AA661" i="17"/>
  <c r="AU661" i="17"/>
  <c r="B662" i="17"/>
  <c r="C662" i="17"/>
  <c r="D662" i="17"/>
  <c r="E662" i="17"/>
  <c r="F662" i="17"/>
  <c r="G662" i="17"/>
  <c r="H662" i="17"/>
  <c r="Q662" i="17"/>
  <c r="AA662" i="17"/>
  <c r="AU662" i="17"/>
  <c r="B663" i="17"/>
  <c r="C663" i="17"/>
  <c r="D663" i="17"/>
  <c r="E663" i="17"/>
  <c r="F663" i="17"/>
  <c r="G663" i="17"/>
  <c r="H663" i="17"/>
  <c r="Q663" i="17"/>
  <c r="AA663" i="17"/>
  <c r="AU663" i="17"/>
  <c r="B664" i="17"/>
  <c r="C664" i="17"/>
  <c r="D664" i="17"/>
  <c r="E664" i="17"/>
  <c r="F664" i="17"/>
  <c r="G664" i="17"/>
  <c r="H664" i="17"/>
  <c r="Q664" i="17"/>
  <c r="AU664" i="17"/>
  <c r="B665" i="17"/>
  <c r="C665" i="17"/>
  <c r="D665" i="17"/>
  <c r="E665" i="17"/>
  <c r="F665" i="17"/>
  <c r="G665" i="17"/>
  <c r="H665" i="17"/>
  <c r="Q665" i="17"/>
  <c r="AA665" i="17"/>
  <c r="AU665" i="17"/>
  <c r="B666" i="17"/>
  <c r="C666" i="17"/>
  <c r="D666" i="17"/>
  <c r="E666" i="17"/>
  <c r="F666" i="17"/>
  <c r="G666" i="17"/>
  <c r="H666" i="17"/>
  <c r="Q666" i="17"/>
  <c r="AA666" i="17"/>
  <c r="AU666" i="17"/>
  <c r="B667" i="17"/>
  <c r="C667" i="17"/>
  <c r="D667" i="17"/>
  <c r="E667" i="17"/>
  <c r="F667" i="17"/>
  <c r="G667" i="17"/>
  <c r="H667" i="17"/>
  <c r="Q667" i="17"/>
  <c r="AA667" i="17"/>
  <c r="AU667" i="17"/>
  <c r="B668" i="17"/>
  <c r="C668" i="17"/>
  <c r="D668" i="17"/>
  <c r="E668" i="17"/>
  <c r="F668" i="17"/>
  <c r="G668" i="17"/>
  <c r="H668" i="17"/>
  <c r="Q668" i="17"/>
  <c r="AA668" i="17"/>
  <c r="AU668" i="17"/>
  <c r="B669" i="17"/>
  <c r="C669" i="17"/>
  <c r="D669" i="17"/>
  <c r="E669" i="17"/>
  <c r="F669" i="17"/>
  <c r="G669" i="17"/>
  <c r="H669" i="17"/>
  <c r="Q669" i="17"/>
  <c r="AA669" i="17"/>
  <c r="AU669" i="17"/>
  <c r="B670" i="17"/>
  <c r="C670" i="17"/>
  <c r="D670" i="17"/>
  <c r="E670" i="17"/>
  <c r="F670" i="17"/>
  <c r="G670" i="17"/>
  <c r="H670" i="17"/>
  <c r="Q670" i="17"/>
  <c r="AA670" i="17"/>
  <c r="AU670" i="17"/>
  <c r="B671" i="17"/>
  <c r="C671" i="17"/>
  <c r="D671" i="17"/>
  <c r="E671" i="17"/>
  <c r="F671" i="17"/>
  <c r="G671" i="17"/>
  <c r="H671" i="17"/>
  <c r="Q671" i="17"/>
  <c r="AA671" i="17"/>
  <c r="AU671" i="17"/>
  <c r="B672" i="17"/>
  <c r="C672" i="17"/>
  <c r="D672" i="17"/>
  <c r="E672" i="17"/>
  <c r="F672" i="17"/>
  <c r="G672" i="17"/>
  <c r="H672" i="17"/>
  <c r="Q672" i="17"/>
  <c r="AA672" i="17"/>
  <c r="AU672" i="17"/>
  <c r="B673" i="17"/>
  <c r="C673" i="17"/>
  <c r="D673" i="17"/>
  <c r="E673" i="17"/>
  <c r="F673" i="17"/>
  <c r="G673" i="17"/>
  <c r="H673" i="17"/>
  <c r="Q673" i="17"/>
  <c r="T673" i="2"/>
  <c r="AU673" i="17"/>
  <c r="B674" i="17"/>
  <c r="C674" i="17"/>
  <c r="D674" i="17"/>
  <c r="E674" i="17"/>
  <c r="F674" i="17"/>
  <c r="G674" i="17"/>
  <c r="H674" i="17"/>
  <c r="Q674" i="17"/>
  <c r="AA674" i="17"/>
  <c r="AU674" i="17"/>
  <c r="B675" i="17"/>
  <c r="C675" i="17"/>
  <c r="D675" i="17"/>
  <c r="E675" i="17"/>
  <c r="F675" i="17"/>
  <c r="G675" i="17"/>
  <c r="H675" i="17"/>
  <c r="Q675" i="17"/>
  <c r="AA675" i="17"/>
  <c r="AU675" i="17"/>
  <c r="B676" i="17"/>
  <c r="C676" i="17"/>
  <c r="D676" i="17"/>
  <c r="E676" i="17"/>
  <c r="F676" i="17"/>
  <c r="G676" i="17"/>
  <c r="H676" i="17"/>
  <c r="Q676" i="17"/>
  <c r="AA676" i="17"/>
  <c r="AU676" i="17"/>
  <c r="S613" i="2" l="1"/>
  <c r="T613" i="2" s="1"/>
  <c r="S607" i="2"/>
  <c r="T607" i="2" s="1"/>
  <c r="S631" i="2"/>
  <c r="T631" i="2" s="1"/>
  <c r="S625" i="2"/>
  <c r="T625" i="2" s="1"/>
  <c r="S614" i="2"/>
  <c r="T614" i="2" s="1"/>
  <c r="S608" i="2"/>
  <c r="T608" i="2" s="1"/>
  <c r="S644" i="2"/>
  <c r="T644" i="2" s="1"/>
  <c r="S632" i="2"/>
  <c r="T632" i="2" s="1"/>
  <c r="S626" i="2"/>
  <c r="T626" i="2" s="1"/>
  <c r="S620" i="2"/>
  <c r="T620" i="2" s="1"/>
  <c r="S624" i="2"/>
  <c r="T624" i="2" s="1"/>
  <c r="S643" i="2"/>
  <c r="T643" i="2" s="1"/>
  <c r="S609" i="2"/>
  <c r="T609" i="2" s="1"/>
  <c r="AQ609" i="2" s="1"/>
  <c r="S636" i="2"/>
  <c r="T636" i="2" s="1"/>
  <c r="S639" i="2"/>
  <c r="T639" i="2" s="1"/>
  <c r="AQ639" i="2" s="1"/>
  <c r="S633" i="2"/>
  <c r="T633" i="2" s="1"/>
  <c r="S627" i="2"/>
  <c r="T627" i="2" s="1"/>
  <c r="S616" i="2"/>
  <c r="T616" i="2" s="1"/>
  <c r="S619" i="2"/>
  <c r="T619" i="2" s="1"/>
  <c r="S646" i="2"/>
  <c r="T646" i="2" s="1"/>
  <c r="S640" i="2"/>
  <c r="T640" i="2" s="1"/>
  <c r="S634" i="2"/>
  <c r="T634" i="2" s="1"/>
  <c r="S622" i="2"/>
  <c r="T622" i="2" s="1"/>
  <c r="S618" i="2"/>
  <c r="T618" i="2" s="1"/>
  <c r="S617" i="2"/>
  <c r="T617" i="2" s="1"/>
  <c r="S611" i="2"/>
  <c r="T611" i="2" s="1"/>
  <c r="S647" i="2"/>
  <c r="T647" i="2" s="1"/>
  <c r="S641" i="2"/>
  <c r="T641" i="2" s="1"/>
  <c r="S629" i="2"/>
  <c r="T629" i="2" s="1"/>
  <c r="S612" i="2"/>
  <c r="T612" i="2" s="1"/>
  <c r="S672" i="2"/>
  <c r="T672" i="2" s="1"/>
  <c r="S666" i="2"/>
  <c r="T666" i="2" s="1"/>
  <c r="S662" i="2"/>
  <c r="T662" i="2" s="1"/>
  <c r="S668" i="2"/>
  <c r="T668" i="2" s="1"/>
  <c r="S663" i="2"/>
  <c r="T663" i="2" s="1"/>
  <c r="S675" i="2"/>
  <c r="T675" i="2" s="1"/>
  <c r="S658" i="2"/>
  <c r="T658" i="2" s="1"/>
  <c r="S676" i="2"/>
  <c r="T676" i="2" s="1"/>
  <c r="S670" i="2"/>
  <c r="T670" i="2" s="1"/>
  <c r="S665" i="2"/>
  <c r="T665" i="2" s="1"/>
  <c r="T397" i="32"/>
  <c r="R397" i="32"/>
  <c r="E397" i="32"/>
  <c r="D397" i="32"/>
  <c r="T396" i="32"/>
  <c r="R396" i="32"/>
  <c r="E396" i="32"/>
  <c r="D396" i="32"/>
  <c r="T395" i="32"/>
  <c r="R395" i="32"/>
  <c r="E395" i="32"/>
  <c r="D395" i="32"/>
  <c r="T394" i="32"/>
  <c r="R394" i="32"/>
  <c r="E394" i="32"/>
  <c r="D394" i="32"/>
  <c r="T393" i="32"/>
  <c r="R393" i="32"/>
  <c r="E393" i="32"/>
  <c r="D393" i="32"/>
  <c r="T392" i="32"/>
  <c r="R392" i="32"/>
  <c r="E392" i="32"/>
  <c r="D392" i="32"/>
  <c r="T391" i="32"/>
  <c r="R391" i="32"/>
  <c r="E391" i="32"/>
  <c r="D391" i="32"/>
  <c r="T390" i="32"/>
  <c r="R390" i="32"/>
  <c r="E390" i="32"/>
  <c r="D390" i="32"/>
  <c r="S388" i="32"/>
  <c r="R388" i="32"/>
  <c r="P388" i="32"/>
  <c r="S387" i="32"/>
  <c r="R387" i="32"/>
  <c r="P387" i="32"/>
  <c r="I387" i="32"/>
  <c r="I386" i="32" s="1"/>
  <c r="I385" i="32" s="1"/>
  <c r="I384" i="32" s="1"/>
  <c r="I383" i="32" s="1"/>
  <c r="H387" i="32"/>
  <c r="H386" i="32" s="1"/>
  <c r="H385" i="32" s="1"/>
  <c r="H384" i="32" s="1"/>
  <c r="H383" i="32" s="1"/>
  <c r="G387" i="32"/>
  <c r="G386" i="32" s="1"/>
  <c r="G385" i="32" s="1"/>
  <c r="G384" i="32" s="1"/>
  <c r="G383" i="32" s="1"/>
  <c r="S386" i="32"/>
  <c r="R386" i="32"/>
  <c r="P386" i="32"/>
  <c r="S385" i="32"/>
  <c r="R385" i="32"/>
  <c r="P385" i="32"/>
  <c r="S384" i="32"/>
  <c r="R384" i="32"/>
  <c r="P384" i="32"/>
  <c r="S383" i="32"/>
  <c r="R383" i="32"/>
  <c r="T381" i="32"/>
  <c r="R381" i="32"/>
  <c r="E381" i="32"/>
  <c r="E379" i="32" s="1"/>
  <c r="E378" i="32" s="1"/>
  <c r="D381" i="32"/>
  <c r="S379" i="32"/>
  <c r="R379" i="32"/>
  <c r="P379" i="32"/>
  <c r="N379" i="32"/>
  <c r="N378" i="32" s="1"/>
  <c r="S378" i="32"/>
  <c r="R378" i="32"/>
  <c r="P378" i="32"/>
  <c r="T376" i="32"/>
  <c r="R376" i="32"/>
  <c r="E376" i="32"/>
  <c r="D376" i="32"/>
  <c r="T375" i="32"/>
  <c r="R375" i="32"/>
  <c r="E375" i="32"/>
  <c r="D375" i="32"/>
  <c r="S373" i="32"/>
  <c r="R373" i="32"/>
  <c r="P373" i="32"/>
  <c r="T371" i="32"/>
  <c r="R371" i="32"/>
  <c r="E371" i="32"/>
  <c r="D371" i="32"/>
  <c r="T370" i="32"/>
  <c r="R370" i="32"/>
  <c r="E370" i="32"/>
  <c r="D370" i="32"/>
  <c r="S368" i="32"/>
  <c r="R368" i="32"/>
  <c r="P368" i="32"/>
  <c r="T366" i="32"/>
  <c r="R366" i="32"/>
  <c r="E366" i="32"/>
  <c r="D366" i="32"/>
  <c r="T365" i="32"/>
  <c r="R365" i="32"/>
  <c r="E365" i="32"/>
  <c r="D365" i="32"/>
  <c r="S363" i="32"/>
  <c r="R363" i="32"/>
  <c r="P363" i="32"/>
  <c r="T361" i="32"/>
  <c r="R361" i="32"/>
  <c r="E361" i="32"/>
  <c r="E359" i="32" s="1"/>
  <c r="D361" i="32"/>
  <c r="S359" i="32"/>
  <c r="R359" i="32"/>
  <c r="P359" i="32"/>
  <c r="T357" i="32"/>
  <c r="R357" i="32"/>
  <c r="E357" i="32"/>
  <c r="D357" i="32"/>
  <c r="T356" i="32"/>
  <c r="R356" i="32"/>
  <c r="E356" i="32"/>
  <c r="D356" i="32"/>
  <c r="S354" i="32"/>
  <c r="R354" i="32"/>
  <c r="P354" i="32"/>
  <c r="S353" i="32"/>
  <c r="R353" i="32"/>
  <c r="P353" i="32"/>
  <c r="R351" i="32"/>
  <c r="O351" i="32"/>
  <c r="N351" i="32" s="1"/>
  <c r="N348" i="32" s="1"/>
  <c r="N347" i="32" s="1"/>
  <c r="E351" i="32"/>
  <c r="E348" i="32" s="1"/>
  <c r="E347" i="32" s="1"/>
  <c r="D351" i="32"/>
  <c r="S350" i="32"/>
  <c r="R350" i="32"/>
  <c r="S348" i="32"/>
  <c r="R348" i="32"/>
  <c r="P348" i="32"/>
  <c r="S347" i="32"/>
  <c r="R347" i="32"/>
  <c r="P347" i="32"/>
  <c r="T345" i="32"/>
  <c r="R345" i="32"/>
  <c r="E345" i="32"/>
  <c r="D345" i="32"/>
  <c r="T344" i="32"/>
  <c r="R344" i="32"/>
  <c r="E344" i="32"/>
  <c r="D344" i="32"/>
  <c r="T343" i="32"/>
  <c r="R343" i="32"/>
  <c r="E343" i="32"/>
  <c r="D343" i="32"/>
  <c r="T342" i="32"/>
  <c r="R342" i="32"/>
  <c r="E342" i="32"/>
  <c r="D342" i="32"/>
  <c r="T341" i="32"/>
  <c r="R341" i="32"/>
  <c r="E341" i="32"/>
  <c r="D341" i="32"/>
  <c r="T340" i="32"/>
  <c r="R340" i="32"/>
  <c r="E340" i="32"/>
  <c r="D340" i="32"/>
  <c r="T339" i="32"/>
  <c r="E339" i="32"/>
  <c r="D339" i="32"/>
  <c r="T338" i="32"/>
  <c r="R338" i="32"/>
  <c r="E338" i="32"/>
  <c r="D338" i="32"/>
  <c r="T337" i="32"/>
  <c r="R337" i="32"/>
  <c r="E337" i="32"/>
  <c r="D337" i="32"/>
  <c r="T336" i="32"/>
  <c r="R336" i="32"/>
  <c r="E336" i="32"/>
  <c r="D336" i="32"/>
  <c r="T335" i="32"/>
  <c r="R335" i="32"/>
  <c r="E335" i="32"/>
  <c r="D335" i="32"/>
  <c r="T334" i="32"/>
  <c r="R334" i="32"/>
  <c r="E334" i="32"/>
  <c r="D334" i="32"/>
  <c r="T333" i="32"/>
  <c r="R333" i="32"/>
  <c r="E333" i="32"/>
  <c r="D333" i="32"/>
  <c r="T332" i="32"/>
  <c r="R332" i="32"/>
  <c r="E332" i="32"/>
  <c r="D332" i="32"/>
  <c r="T331" i="32"/>
  <c r="R331" i="32"/>
  <c r="E331" i="32"/>
  <c r="D331" i="32"/>
  <c r="T330" i="32"/>
  <c r="R330" i="32"/>
  <c r="N330" i="32"/>
  <c r="E330" i="32"/>
  <c r="D330" i="32"/>
  <c r="S328" i="32"/>
  <c r="R328" i="32"/>
  <c r="P328" i="32"/>
  <c r="S327" i="32"/>
  <c r="R327" i="32"/>
  <c r="P327" i="32"/>
  <c r="T325" i="32"/>
  <c r="R325" i="32"/>
  <c r="E325" i="32"/>
  <c r="E323" i="32" s="1"/>
  <c r="D325" i="32"/>
  <c r="S323" i="32"/>
  <c r="R323" i="32"/>
  <c r="P323" i="32"/>
  <c r="T321" i="32"/>
  <c r="R321" i="32"/>
  <c r="E321" i="32"/>
  <c r="D321" i="32"/>
  <c r="T320" i="32"/>
  <c r="R320" i="32"/>
  <c r="N320" i="32"/>
  <c r="E320" i="32"/>
  <c r="D320" i="32"/>
  <c r="T319" i="32"/>
  <c r="R319" i="32"/>
  <c r="E319" i="32"/>
  <c r="D319" i="32"/>
  <c r="S317" i="32"/>
  <c r="R317" i="32"/>
  <c r="P317" i="32"/>
  <c r="T315" i="32"/>
  <c r="R315" i="32"/>
  <c r="O315" i="32"/>
  <c r="N315" i="32" s="1"/>
  <c r="E315" i="32"/>
  <c r="D315" i="32"/>
  <c r="S313" i="32"/>
  <c r="R313" i="32"/>
  <c r="P313" i="32"/>
  <c r="S312" i="32"/>
  <c r="R312" i="32"/>
  <c r="T310" i="32"/>
  <c r="R310" i="32"/>
  <c r="E310" i="32"/>
  <c r="D310" i="32"/>
  <c r="T309" i="32"/>
  <c r="R309" i="32"/>
  <c r="E309" i="32"/>
  <c r="D309" i="32"/>
  <c r="S307" i="32"/>
  <c r="R307" i="32"/>
  <c r="P307" i="32"/>
  <c r="T305" i="32"/>
  <c r="R305" i="32"/>
  <c r="E305" i="32"/>
  <c r="D305" i="32"/>
  <c r="T304" i="32"/>
  <c r="R304" i="32"/>
  <c r="E304" i="32"/>
  <c r="D304" i="32"/>
  <c r="T303" i="32"/>
  <c r="R303" i="32"/>
  <c r="E303" i="32"/>
  <c r="D303" i="32"/>
  <c r="T302" i="32"/>
  <c r="R302" i="32"/>
  <c r="E302" i="32"/>
  <c r="D302" i="32"/>
  <c r="S300" i="32"/>
  <c r="R300" i="32"/>
  <c r="P300" i="32"/>
  <c r="T298" i="32"/>
  <c r="R298" i="32"/>
  <c r="E298" i="32"/>
  <c r="D298" i="32"/>
  <c r="T297" i="32"/>
  <c r="R297" i="32"/>
  <c r="E297" i="32"/>
  <c r="D297" i="32"/>
  <c r="T296" i="32"/>
  <c r="R296" i="32"/>
  <c r="E296" i="32"/>
  <c r="D296" i="32"/>
  <c r="T295" i="32"/>
  <c r="R295" i="32"/>
  <c r="E295" i="32"/>
  <c r="D295" i="32"/>
  <c r="T294" i="32"/>
  <c r="R294" i="32"/>
  <c r="E294" i="32"/>
  <c r="D294" i="32"/>
  <c r="T293" i="32"/>
  <c r="R293" i="32"/>
  <c r="E293" i="32"/>
  <c r="D293" i="32"/>
  <c r="S291" i="32"/>
  <c r="R291" i="32"/>
  <c r="P291" i="32"/>
  <c r="S290" i="32"/>
  <c r="R290" i="32"/>
  <c r="P290" i="32"/>
  <c r="S289" i="32"/>
  <c r="R289" i="32"/>
  <c r="T287" i="32"/>
  <c r="R287" i="32"/>
  <c r="E287" i="32"/>
  <c r="E285" i="32" s="1"/>
  <c r="D287" i="32"/>
  <c r="S285" i="32"/>
  <c r="R285" i="32"/>
  <c r="P285" i="32"/>
  <c r="T283" i="32"/>
  <c r="R283" i="32"/>
  <c r="E283" i="32"/>
  <c r="D283" i="32"/>
  <c r="T282" i="32"/>
  <c r="R282" i="32"/>
  <c r="E282" i="32"/>
  <c r="D282" i="32"/>
  <c r="T281" i="32"/>
  <c r="R281" i="32"/>
  <c r="E281" i="32"/>
  <c r="D281" i="32"/>
  <c r="T280" i="32"/>
  <c r="R280" i="32"/>
  <c r="E280" i="32"/>
  <c r="D280" i="32"/>
  <c r="T279" i="32"/>
  <c r="R279" i="32"/>
  <c r="E279" i="32"/>
  <c r="H279" i="32" s="1"/>
  <c r="D279" i="32"/>
  <c r="G279" i="32" s="1"/>
  <c r="I277" i="32"/>
  <c r="I276" i="32" s="1"/>
  <c r="I275" i="32" s="1"/>
  <c r="I274" i="32" s="1"/>
  <c r="I273" i="32" s="1"/>
  <c r="I272" i="32" s="1"/>
  <c r="H276" i="32"/>
  <c r="H275" i="32" s="1"/>
  <c r="H274" i="32" s="1"/>
  <c r="H273" i="32" s="1"/>
  <c r="G276" i="32"/>
  <c r="G275" i="32" s="1"/>
  <c r="G274" i="32" s="1"/>
  <c r="G273" i="32" s="1"/>
  <c r="T270" i="32"/>
  <c r="S270" i="32"/>
  <c r="R270" i="32"/>
  <c r="Q270" i="32"/>
  <c r="P270" i="32"/>
  <c r="O270" i="32"/>
  <c r="N270" i="32"/>
  <c r="L270" i="32"/>
  <c r="K270" i="32"/>
  <c r="J270" i="32"/>
  <c r="I270" i="32"/>
  <c r="H270" i="32"/>
  <c r="G270" i="32"/>
  <c r="F270" i="32"/>
  <c r="S265" i="32"/>
  <c r="R265" i="32"/>
  <c r="P265" i="32"/>
  <c r="O265" i="32"/>
  <c r="J265" i="32"/>
  <c r="N265" i="32" s="1"/>
  <c r="N264" i="32" s="1"/>
  <c r="D265" i="32"/>
  <c r="E264" i="32"/>
  <c r="S260" i="32"/>
  <c r="R260" i="32"/>
  <c r="P260" i="32"/>
  <c r="O260" i="32"/>
  <c r="J260" i="32"/>
  <c r="L260" i="32" s="1"/>
  <c r="D260" i="32"/>
  <c r="S259" i="32"/>
  <c r="R259" i="32"/>
  <c r="P259" i="32"/>
  <c r="O259" i="32"/>
  <c r="J259" i="32"/>
  <c r="L259" i="32" s="1"/>
  <c r="D259" i="32"/>
  <c r="S258" i="32"/>
  <c r="R258" i="32"/>
  <c r="P258" i="32"/>
  <c r="O258" i="32"/>
  <c r="J258" i="32"/>
  <c r="L258" i="32" s="1"/>
  <c r="D258" i="32"/>
  <c r="S257" i="32"/>
  <c r="R257" i="32"/>
  <c r="P257" i="32"/>
  <c r="O257" i="32"/>
  <c r="N257" i="32"/>
  <c r="L257" i="32"/>
  <c r="D257" i="32"/>
  <c r="S256" i="32"/>
  <c r="R256" i="32"/>
  <c r="P256" i="32"/>
  <c r="O256" i="32"/>
  <c r="J256" i="32"/>
  <c r="L256" i="32" s="1"/>
  <c r="D256" i="32"/>
  <c r="S255" i="32"/>
  <c r="R255" i="32"/>
  <c r="P255" i="32"/>
  <c r="O255" i="32"/>
  <c r="J255" i="32"/>
  <c r="L255" i="32" s="1"/>
  <c r="D255" i="32"/>
  <c r="S254" i="32"/>
  <c r="R254" i="32"/>
  <c r="P254" i="32"/>
  <c r="O254" i="32"/>
  <c r="J254" i="32"/>
  <c r="L254" i="32" s="1"/>
  <c r="C254" i="32"/>
  <c r="T254" i="32" s="1"/>
  <c r="S253" i="32"/>
  <c r="R253" i="32"/>
  <c r="P253" i="32"/>
  <c r="O253" i="32"/>
  <c r="J253" i="32"/>
  <c r="L253" i="32" s="1"/>
  <c r="D253" i="32"/>
  <c r="S252" i="32"/>
  <c r="R252" i="32"/>
  <c r="P252" i="32"/>
  <c r="O252" i="32"/>
  <c r="J252" i="32"/>
  <c r="N252" i="32" s="1"/>
  <c r="D252" i="32"/>
  <c r="S251" i="32"/>
  <c r="R251" i="32"/>
  <c r="P251" i="32"/>
  <c r="E251" i="32"/>
  <c r="S250" i="32"/>
  <c r="R250" i="32"/>
  <c r="P250" i="32"/>
  <c r="O250" i="32"/>
  <c r="J250" i="32"/>
  <c r="N250" i="32" s="1"/>
  <c r="F250" i="32"/>
  <c r="C250" i="32"/>
  <c r="T250" i="32" s="1"/>
  <c r="S249" i="32"/>
  <c r="R249" i="32"/>
  <c r="P249" i="32"/>
  <c r="L249" i="32"/>
  <c r="E249" i="32"/>
  <c r="S248" i="32"/>
  <c r="R248" i="32"/>
  <c r="P248" i="32"/>
  <c r="O248" i="32"/>
  <c r="J248" i="32"/>
  <c r="F248" i="32"/>
  <c r="S247" i="32"/>
  <c r="R247" i="32"/>
  <c r="P247" i="32"/>
  <c r="O247" i="32"/>
  <c r="J247" i="32"/>
  <c r="N247" i="32" s="1"/>
  <c r="F247" i="32"/>
  <c r="S246" i="32"/>
  <c r="R246" i="32"/>
  <c r="P246" i="32"/>
  <c r="O246" i="32"/>
  <c r="N246" i="32"/>
  <c r="L246" i="32"/>
  <c r="S245" i="32"/>
  <c r="R245" i="32"/>
  <c r="P245" i="32"/>
  <c r="O245" i="32"/>
  <c r="J245" i="32"/>
  <c r="L245" i="32" s="1"/>
  <c r="D245" i="32"/>
  <c r="S244" i="32"/>
  <c r="R244" i="32"/>
  <c r="P244" i="32"/>
  <c r="E244" i="32"/>
  <c r="T243" i="32"/>
  <c r="S243" i="32"/>
  <c r="R243" i="32"/>
  <c r="P243" i="32"/>
  <c r="J243" i="32"/>
  <c r="F243" i="32"/>
  <c r="S242" i="32"/>
  <c r="R242" i="32"/>
  <c r="P242" i="32"/>
  <c r="S241" i="32"/>
  <c r="R241" i="32"/>
  <c r="P241" i="32"/>
  <c r="S240" i="32"/>
  <c r="R240" i="32"/>
  <c r="P240" i="32"/>
  <c r="N240" i="32"/>
  <c r="S239" i="32"/>
  <c r="R239" i="32"/>
  <c r="P239" i="32"/>
  <c r="T238" i="32"/>
  <c r="S238" i="32"/>
  <c r="R238" i="32"/>
  <c r="P238" i="32"/>
  <c r="O238" i="32"/>
  <c r="J238" i="32"/>
  <c r="F238" i="32"/>
  <c r="E238" i="32"/>
  <c r="D238" i="32"/>
  <c r="C238" i="32"/>
  <c r="T237" i="32"/>
  <c r="S237" i="32"/>
  <c r="R237" i="32"/>
  <c r="P237" i="32"/>
  <c r="O237" i="32"/>
  <c r="J237" i="32"/>
  <c r="L237" i="32" s="1"/>
  <c r="F237" i="32"/>
  <c r="E237" i="32"/>
  <c r="D237" i="32"/>
  <c r="C237" i="32"/>
  <c r="T236" i="32"/>
  <c r="S236" i="32"/>
  <c r="R236" i="32"/>
  <c r="P236" i="32"/>
  <c r="O236" i="32"/>
  <c r="J236" i="32"/>
  <c r="F236" i="32"/>
  <c r="E236" i="32"/>
  <c r="D236" i="32"/>
  <c r="C236" i="32"/>
  <c r="T235" i="32"/>
  <c r="S235" i="32"/>
  <c r="R235" i="32"/>
  <c r="P235" i="32"/>
  <c r="O235" i="32"/>
  <c r="J235" i="32"/>
  <c r="L235" i="32" s="1"/>
  <c r="F235" i="32"/>
  <c r="E235" i="32"/>
  <c r="D235" i="32"/>
  <c r="C235" i="32"/>
  <c r="S234" i="32"/>
  <c r="R234" i="32"/>
  <c r="P234" i="32"/>
  <c r="S233" i="32"/>
  <c r="R233" i="32"/>
  <c r="P233" i="32"/>
  <c r="E233" i="32"/>
  <c r="S231" i="32"/>
  <c r="R231" i="32"/>
  <c r="P231" i="32"/>
  <c r="F231" i="32"/>
  <c r="S230" i="32"/>
  <c r="R230" i="32"/>
  <c r="P230" i="32"/>
  <c r="I230" i="32"/>
  <c r="I229" i="32" s="1"/>
  <c r="I228" i="32" s="1"/>
  <c r="I227" i="32" s="1"/>
  <c r="I226" i="32" s="1"/>
  <c r="H230" i="32"/>
  <c r="H229" i="32" s="1"/>
  <c r="H228" i="32" s="1"/>
  <c r="H227" i="32" s="1"/>
  <c r="H226" i="32" s="1"/>
  <c r="G230" i="32"/>
  <c r="G229" i="32" s="1"/>
  <c r="G228" i="32" s="1"/>
  <c r="G227" i="32" s="1"/>
  <c r="G226" i="32" s="1"/>
  <c r="S229" i="32"/>
  <c r="R229" i="32"/>
  <c r="P229" i="32"/>
  <c r="S228" i="32"/>
  <c r="R228" i="32"/>
  <c r="P228" i="32"/>
  <c r="S227" i="32"/>
  <c r="R227" i="32"/>
  <c r="P227" i="32"/>
  <c r="S226" i="32"/>
  <c r="R226" i="32"/>
  <c r="S224" i="32"/>
  <c r="R224" i="32"/>
  <c r="P224" i="32"/>
  <c r="O224" i="32"/>
  <c r="J224" i="32"/>
  <c r="D224" i="32"/>
  <c r="S223" i="32"/>
  <c r="R223" i="32"/>
  <c r="P223" i="32"/>
  <c r="O223" i="32"/>
  <c r="J223" i="32"/>
  <c r="L223" i="32" s="1"/>
  <c r="D223" i="32"/>
  <c r="S221" i="32"/>
  <c r="R221" i="32"/>
  <c r="P221" i="32"/>
  <c r="L219" i="32"/>
  <c r="L217" i="32" s="1"/>
  <c r="L216" i="32" s="1"/>
  <c r="S217" i="32"/>
  <c r="R217" i="32"/>
  <c r="P217" i="32"/>
  <c r="J217" i="32"/>
  <c r="K217" i="32" s="1"/>
  <c r="S216" i="32"/>
  <c r="R216" i="32"/>
  <c r="P216" i="32"/>
  <c r="O214" i="32"/>
  <c r="T213" i="32"/>
  <c r="S213" i="32"/>
  <c r="R213" i="32"/>
  <c r="P213" i="32"/>
  <c r="O213" i="32"/>
  <c r="J213" i="32"/>
  <c r="F213" i="32"/>
  <c r="E213" i="32"/>
  <c r="D213" i="32"/>
  <c r="C213" i="32"/>
  <c r="T212" i="32"/>
  <c r="S212" i="32"/>
  <c r="R212" i="32"/>
  <c r="P212" i="32"/>
  <c r="O212" i="32"/>
  <c r="J212" i="32"/>
  <c r="L212" i="32" s="1"/>
  <c r="F212" i="32"/>
  <c r="E212" i="32"/>
  <c r="D212" i="32"/>
  <c r="C212" i="32"/>
  <c r="T211" i="32"/>
  <c r="S211" i="32"/>
  <c r="R211" i="32"/>
  <c r="P211" i="32"/>
  <c r="O211" i="32"/>
  <c r="J211" i="32"/>
  <c r="F211" i="32"/>
  <c r="E211" i="32"/>
  <c r="D211" i="32"/>
  <c r="C211" i="32"/>
  <c r="S209" i="32"/>
  <c r="R209" i="32"/>
  <c r="P209" i="32"/>
  <c r="F209" i="32"/>
  <c r="S205" i="32"/>
  <c r="R205" i="32"/>
  <c r="P205" i="32"/>
  <c r="J205" i="32"/>
  <c r="J204" i="32" s="1"/>
  <c r="K204" i="32" s="1"/>
  <c r="F205" i="32"/>
  <c r="S204" i="32"/>
  <c r="R204" i="32"/>
  <c r="P204" i="32"/>
  <c r="N204" i="32"/>
  <c r="F204" i="32"/>
  <c r="S202" i="32"/>
  <c r="R202" i="32"/>
  <c r="P202" i="32"/>
  <c r="O202" i="32"/>
  <c r="T201" i="32"/>
  <c r="S201" i="32"/>
  <c r="R201" i="32"/>
  <c r="P201" i="32"/>
  <c r="O201" i="32"/>
  <c r="J201" i="32"/>
  <c r="L201" i="32" s="1"/>
  <c r="F201" i="32"/>
  <c r="E201" i="32"/>
  <c r="D201" i="32"/>
  <c r="C201" i="32"/>
  <c r="T200" i="32"/>
  <c r="S200" i="32"/>
  <c r="R200" i="32"/>
  <c r="P200" i="32"/>
  <c r="O200" i="32"/>
  <c r="J200" i="32"/>
  <c r="L200" i="32" s="1"/>
  <c r="F200" i="32"/>
  <c r="E200" i="32"/>
  <c r="D200" i="32"/>
  <c r="C200" i="32"/>
  <c r="T199" i="32"/>
  <c r="S199" i="32"/>
  <c r="R199" i="32"/>
  <c r="P199" i="32"/>
  <c r="O199" i="32"/>
  <c r="J199" i="32"/>
  <c r="L199" i="32" s="1"/>
  <c r="F199" i="32"/>
  <c r="E199" i="32"/>
  <c r="D199" i="32"/>
  <c r="C199" i="32"/>
  <c r="T198" i="32"/>
  <c r="S198" i="32"/>
  <c r="R198" i="32"/>
  <c r="P198" i="32"/>
  <c r="O198" i="32"/>
  <c r="J198" i="32"/>
  <c r="F198" i="32"/>
  <c r="E198" i="32"/>
  <c r="D198" i="32"/>
  <c r="C198" i="32"/>
  <c r="S196" i="32"/>
  <c r="R196" i="32"/>
  <c r="P196" i="32"/>
  <c r="F196" i="32"/>
  <c r="S194" i="32"/>
  <c r="R194" i="32"/>
  <c r="P194" i="32"/>
  <c r="T193" i="32"/>
  <c r="S193" i="32"/>
  <c r="R193" i="32"/>
  <c r="P193" i="32"/>
  <c r="O193" i="32"/>
  <c r="J193" i="32"/>
  <c r="F193" i="32"/>
  <c r="E193" i="32"/>
  <c r="D193" i="32"/>
  <c r="C193" i="32"/>
  <c r="T192" i="32"/>
  <c r="S192" i="32"/>
  <c r="R192" i="32"/>
  <c r="P192" i="32"/>
  <c r="O192" i="32"/>
  <c r="J192" i="32"/>
  <c r="F192" i="32"/>
  <c r="E192" i="32"/>
  <c r="D192" i="32"/>
  <c r="C192" i="32"/>
  <c r="T191" i="32"/>
  <c r="S191" i="32"/>
  <c r="R191" i="32"/>
  <c r="P191" i="32"/>
  <c r="O191" i="32"/>
  <c r="J191" i="32"/>
  <c r="L191" i="32" s="1"/>
  <c r="F191" i="32"/>
  <c r="E191" i="32"/>
  <c r="D191" i="32"/>
  <c r="C191" i="32"/>
  <c r="T190" i="32"/>
  <c r="S190" i="32"/>
  <c r="R190" i="32"/>
  <c r="P190" i="32"/>
  <c r="O190" i="32"/>
  <c r="J190" i="32"/>
  <c r="L190" i="32" s="1"/>
  <c r="F190" i="32"/>
  <c r="E190" i="32"/>
  <c r="D190" i="32"/>
  <c r="C190" i="32"/>
  <c r="S188" i="32"/>
  <c r="R188" i="32"/>
  <c r="P188" i="32"/>
  <c r="F188" i="32"/>
  <c r="S186" i="32"/>
  <c r="R186" i="32"/>
  <c r="P186" i="32"/>
  <c r="T185" i="32"/>
  <c r="S185" i="32"/>
  <c r="R185" i="32"/>
  <c r="P185" i="32"/>
  <c r="O185" i="32"/>
  <c r="J185" i="32"/>
  <c r="F185" i="32"/>
  <c r="E185" i="32"/>
  <c r="D185" i="32"/>
  <c r="C185" i="32"/>
  <c r="T184" i="32"/>
  <c r="S184" i="32"/>
  <c r="R184" i="32"/>
  <c r="P184" i="32"/>
  <c r="O184" i="32"/>
  <c r="J184" i="32"/>
  <c r="F184" i="32"/>
  <c r="E184" i="32"/>
  <c r="D184" i="32"/>
  <c r="C184" i="32"/>
  <c r="T183" i="32"/>
  <c r="S183" i="32"/>
  <c r="R183" i="32"/>
  <c r="P183" i="32"/>
  <c r="O183" i="32"/>
  <c r="J183" i="32"/>
  <c r="L183" i="32" s="1"/>
  <c r="F183" i="32"/>
  <c r="E183" i="32"/>
  <c r="D183" i="32"/>
  <c r="C183" i="32"/>
  <c r="T182" i="32"/>
  <c r="S182" i="32"/>
  <c r="R182" i="32"/>
  <c r="P182" i="32"/>
  <c r="O182" i="32"/>
  <c r="J182" i="32"/>
  <c r="F182" i="32"/>
  <c r="E182" i="32"/>
  <c r="D182" i="32"/>
  <c r="C182" i="32"/>
  <c r="S180" i="32"/>
  <c r="R180" i="32"/>
  <c r="P180" i="32"/>
  <c r="F180" i="32"/>
  <c r="T178" i="32"/>
  <c r="S178" i="32"/>
  <c r="R178" i="32"/>
  <c r="P178" i="32"/>
  <c r="O178" i="32"/>
  <c r="J178" i="32"/>
  <c r="F178" i="32"/>
  <c r="E178" i="32"/>
  <c r="D178" i="32"/>
  <c r="C178" i="32"/>
  <c r="S176" i="32"/>
  <c r="R176" i="32"/>
  <c r="P176" i="32"/>
  <c r="F176" i="32"/>
  <c r="S175" i="32"/>
  <c r="R175" i="32"/>
  <c r="P175" i="32"/>
  <c r="L173" i="32"/>
  <c r="L171" i="32" s="1"/>
  <c r="S171" i="32"/>
  <c r="R171" i="32"/>
  <c r="P171" i="32"/>
  <c r="N171" i="32"/>
  <c r="J171" i="32"/>
  <c r="K171" i="32" s="1"/>
  <c r="L169" i="32"/>
  <c r="S167" i="32"/>
  <c r="R167" i="32"/>
  <c r="P167" i="32"/>
  <c r="N167" i="32"/>
  <c r="J167" i="32"/>
  <c r="K167" i="32" s="1"/>
  <c r="L165" i="32"/>
  <c r="S163" i="32"/>
  <c r="R163" i="32"/>
  <c r="P163" i="32"/>
  <c r="N163" i="32"/>
  <c r="L163" i="32"/>
  <c r="J163" i="32"/>
  <c r="K163" i="32" s="1"/>
  <c r="L161" i="32"/>
  <c r="S159" i="32"/>
  <c r="R159" i="32"/>
  <c r="P159" i="32"/>
  <c r="N159" i="32"/>
  <c r="J159" i="32"/>
  <c r="K159" i="32" s="1"/>
  <c r="S158" i="32"/>
  <c r="R158" i="32"/>
  <c r="P158" i="32"/>
  <c r="L156" i="32"/>
  <c r="L154" i="32" s="1"/>
  <c r="S154" i="32"/>
  <c r="R154" i="32"/>
  <c r="P154" i="32"/>
  <c r="J154" i="32"/>
  <c r="T149" i="32"/>
  <c r="S149" i="32"/>
  <c r="R149" i="32"/>
  <c r="P149" i="32"/>
  <c r="O149" i="32"/>
  <c r="J149" i="32"/>
  <c r="F149" i="32"/>
  <c r="E149" i="32"/>
  <c r="E152" i="32" s="1"/>
  <c r="N152" i="32" s="1"/>
  <c r="D149" i="32"/>
  <c r="C149" i="32"/>
  <c r="S147" i="32"/>
  <c r="R147" i="32"/>
  <c r="P147" i="32"/>
  <c r="F147" i="32"/>
  <c r="S145" i="32"/>
  <c r="R145" i="32"/>
  <c r="P145" i="32"/>
  <c r="T144" i="32"/>
  <c r="S144" i="32"/>
  <c r="R144" i="32"/>
  <c r="P144" i="32"/>
  <c r="O144" i="32"/>
  <c r="J144" i="32"/>
  <c r="F144" i="32"/>
  <c r="E144" i="32"/>
  <c r="D144" i="32"/>
  <c r="C144" i="32"/>
  <c r="T143" i="32"/>
  <c r="S143" i="32"/>
  <c r="R143" i="32"/>
  <c r="P143" i="32"/>
  <c r="O143" i="32"/>
  <c r="J143" i="32"/>
  <c r="F143" i="32"/>
  <c r="E143" i="32"/>
  <c r="D143" i="32"/>
  <c r="C143" i="32"/>
  <c r="T142" i="32"/>
  <c r="S142" i="32"/>
  <c r="R142" i="32"/>
  <c r="P142" i="32"/>
  <c r="O142" i="32"/>
  <c r="J142" i="32"/>
  <c r="F142" i="32"/>
  <c r="E142" i="32"/>
  <c r="D142" i="32"/>
  <c r="C142" i="32"/>
  <c r="S140" i="32"/>
  <c r="R140" i="32"/>
  <c r="P140" i="32"/>
  <c r="K140" i="32"/>
  <c r="F140" i="32"/>
  <c r="S139" i="32"/>
  <c r="R139" i="32"/>
  <c r="P139" i="32"/>
  <c r="K139" i="32"/>
  <c r="F139" i="32"/>
  <c r="S136" i="32"/>
  <c r="R136" i="32"/>
  <c r="P136" i="32"/>
  <c r="T135" i="32"/>
  <c r="S135" i="32"/>
  <c r="R135" i="32"/>
  <c r="P135" i="32"/>
  <c r="O135" i="32"/>
  <c r="J135" i="32"/>
  <c r="F135" i="32"/>
  <c r="E135" i="32"/>
  <c r="D135" i="32"/>
  <c r="C135" i="32"/>
  <c r="T134" i="32"/>
  <c r="S134" i="32"/>
  <c r="R134" i="32"/>
  <c r="P134" i="32"/>
  <c r="O134" i="32"/>
  <c r="J134" i="32"/>
  <c r="F134" i="32"/>
  <c r="E134" i="32"/>
  <c r="D134" i="32"/>
  <c r="C134" i="32"/>
  <c r="T133" i="32"/>
  <c r="S133" i="32"/>
  <c r="R133" i="32"/>
  <c r="P133" i="32"/>
  <c r="O133" i="32"/>
  <c r="J133" i="32"/>
  <c r="F133" i="32"/>
  <c r="E133" i="32"/>
  <c r="D133" i="32"/>
  <c r="C133" i="32"/>
  <c r="T132" i="32"/>
  <c r="S132" i="32"/>
  <c r="R132" i="32"/>
  <c r="P132" i="32"/>
  <c r="O132" i="32"/>
  <c r="J132" i="32"/>
  <c r="F132" i="32"/>
  <c r="E132" i="32"/>
  <c r="D132" i="32"/>
  <c r="C132" i="32"/>
  <c r="T131" i="32"/>
  <c r="S131" i="32"/>
  <c r="R131" i="32"/>
  <c r="P131" i="32"/>
  <c r="O131" i="32"/>
  <c r="J131" i="32"/>
  <c r="F131" i="32"/>
  <c r="E131" i="32"/>
  <c r="D131" i="32"/>
  <c r="C131" i="32"/>
  <c r="T130" i="32"/>
  <c r="S130" i="32"/>
  <c r="R130" i="32"/>
  <c r="P130" i="32"/>
  <c r="O130" i="32"/>
  <c r="J130" i="32"/>
  <c r="F130" i="32"/>
  <c r="E130" i="32"/>
  <c r="D130" i="32"/>
  <c r="C130" i="32"/>
  <c r="T129" i="32"/>
  <c r="S129" i="32"/>
  <c r="R129" i="32"/>
  <c r="P129" i="32"/>
  <c r="O129" i="32"/>
  <c r="J129" i="32"/>
  <c r="F129" i="32"/>
  <c r="E129" i="32"/>
  <c r="D129" i="32"/>
  <c r="C129" i="32"/>
  <c r="T128" i="32"/>
  <c r="S128" i="32"/>
  <c r="R128" i="32"/>
  <c r="P128" i="32"/>
  <c r="O128" i="32"/>
  <c r="J128" i="32"/>
  <c r="F128" i="32"/>
  <c r="E128" i="32"/>
  <c r="D128" i="32"/>
  <c r="C128" i="32"/>
  <c r="T127" i="32"/>
  <c r="S127" i="32"/>
  <c r="R127" i="32"/>
  <c r="P127" i="32"/>
  <c r="O127" i="32"/>
  <c r="J127" i="32"/>
  <c r="F127" i="32"/>
  <c r="E127" i="32"/>
  <c r="D127" i="32"/>
  <c r="C127" i="32"/>
  <c r="T126" i="32"/>
  <c r="S126" i="32"/>
  <c r="R126" i="32"/>
  <c r="P126" i="32"/>
  <c r="O126" i="32"/>
  <c r="J126" i="32"/>
  <c r="F126" i="32"/>
  <c r="E126" i="32"/>
  <c r="D126" i="32"/>
  <c r="C126" i="32"/>
  <c r="T125" i="32"/>
  <c r="S125" i="32"/>
  <c r="R125" i="32"/>
  <c r="P125" i="32"/>
  <c r="O125" i="32"/>
  <c r="J125" i="32"/>
  <c r="F125" i="32"/>
  <c r="E125" i="32"/>
  <c r="D125" i="32"/>
  <c r="C125" i="32"/>
  <c r="T124" i="32"/>
  <c r="S124" i="32"/>
  <c r="R124" i="32"/>
  <c r="P124" i="32"/>
  <c r="O124" i="32"/>
  <c r="J124" i="32"/>
  <c r="F124" i="32"/>
  <c r="E124" i="32"/>
  <c r="D124" i="32"/>
  <c r="C124" i="32"/>
  <c r="T123" i="32"/>
  <c r="S123" i="32"/>
  <c r="R123" i="32"/>
  <c r="P123" i="32"/>
  <c r="O123" i="32"/>
  <c r="J123" i="32"/>
  <c r="F123" i="32"/>
  <c r="E123" i="32"/>
  <c r="D123" i="32"/>
  <c r="C123" i="32"/>
  <c r="S122" i="32"/>
  <c r="R122" i="32"/>
  <c r="P122" i="32"/>
  <c r="O122" i="32"/>
  <c r="J122" i="32"/>
  <c r="F122" i="32"/>
  <c r="E122" i="32"/>
  <c r="D122" i="32"/>
  <c r="C122" i="32"/>
  <c r="T121" i="32"/>
  <c r="S121" i="32"/>
  <c r="R121" i="32"/>
  <c r="P121" i="32"/>
  <c r="O121" i="32"/>
  <c r="J121" i="32"/>
  <c r="F121" i="32"/>
  <c r="E121" i="32"/>
  <c r="D121" i="32"/>
  <c r="C121" i="32"/>
  <c r="T120" i="32"/>
  <c r="S120" i="32"/>
  <c r="R120" i="32"/>
  <c r="P120" i="32"/>
  <c r="O120" i="32"/>
  <c r="J120" i="32"/>
  <c r="F120" i="32"/>
  <c r="E120" i="32"/>
  <c r="D120" i="32"/>
  <c r="C120" i="32"/>
  <c r="T119" i="32"/>
  <c r="S119" i="32"/>
  <c r="R119" i="32"/>
  <c r="P119" i="32"/>
  <c r="O119" i="32"/>
  <c r="J119" i="32"/>
  <c r="F119" i="32"/>
  <c r="E119" i="32"/>
  <c r="D119" i="32"/>
  <c r="C119" i="32"/>
  <c r="S117" i="32"/>
  <c r="R117" i="32"/>
  <c r="P117" i="32"/>
  <c r="F117" i="32"/>
  <c r="S116" i="32"/>
  <c r="R116" i="32"/>
  <c r="P116" i="32"/>
  <c r="F116" i="32"/>
  <c r="S114" i="32"/>
  <c r="R114" i="32"/>
  <c r="P114" i="32"/>
  <c r="T113" i="32"/>
  <c r="S113" i="32"/>
  <c r="R113" i="32"/>
  <c r="P113" i="32"/>
  <c r="O113" i="32"/>
  <c r="J113" i="32"/>
  <c r="F113" i="32"/>
  <c r="E113" i="32"/>
  <c r="D113" i="32"/>
  <c r="C113" i="32"/>
  <c r="T112" i="32"/>
  <c r="S112" i="32"/>
  <c r="R112" i="32"/>
  <c r="P112" i="32"/>
  <c r="O112" i="32"/>
  <c r="J112" i="32"/>
  <c r="F112" i="32"/>
  <c r="E112" i="32"/>
  <c r="D112" i="32"/>
  <c r="C112" i="32"/>
  <c r="T111" i="32"/>
  <c r="S111" i="32"/>
  <c r="R111" i="32"/>
  <c r="P111" i="32"/>
  <c r="O111" i="32"/>
  <c r="J111" i="32"/>
  <c r="F111" i="32"/>
  <c r="E111" i="32"/>
  <c r="D111" i="32"/>
  <c r="C111" i="32"/>
  <c r="T110" i="32"/>
  <c r="S110" i="32"/>
  <c r="R110" i="32"/>
  <c r="P110" i="32"/>
  <c r="O110" i="32"/>
  <c r="J110" i="32"/>
  <c r="F110" i="32"/>
  <c r="E110" i="32"/>
  <c r="D110" i="32"/>
  <c r="C110" i="32"/>
  <c r="T109" i="32"/>
  <c r="S109" i="32"/>
  <c r="R109" i="32"/>
  <c r="P109" i="32"/>
  <c r="O109" i="32"/>
  <c r="J109" i="32"/>
  <c r="F109" i="32"/>
  <c r="E109" i="32"/>
  <c r="D109" i="32"/>
  <c r="C109" i="32"/>
  <c r="T108" i="32"/>
  <c r="S108" i="32"/>
  <c r="R108" i="32"/>
  <c r="P108" i="32"/>
  <c r="O108" i="32"/>
  <c r="J108" i="32"/>
  <c r="F108" i="32"/>
  <c r="E108" i="32"/>
  <c r="D108" i="32"/>
  <c r="C108" i="32"/>
  <c r="T107" i="32"/>
  <c r="S107" i="32"/>
  <c r="R107" i="32"/>
  <c r="P107" i="32"/>
  <c r="O107" i="32"/>
  <c r="J107" i="32"/>
  <c r="F107" i="32"/>
  <c r="E107" i="32"/>
  <c r="D107" i="32"/>
  <c r="C107" i="32"/>
  <c r="T106" i="32"/>
  <c r="S106" i="32"/>
  <c r="R106" i="32"/>
  <c r="P106" i="32"/>
  <c r="O106" i="32"/>
  <c r="J106" i="32"/>
  <c r="F106" i="32"/>
  <c r="E106" i="32"/>
  <c r="D106" i="32"/>
  <c r="C106" i="32"/>
  <c r="T105" i="32"/>
  <c r="S105" i="32"/>
  <c r="R105" i="32"/>
  <c r="P105" i="32"/>
  <c r="O105" i="32"/>
  <c r="J105" i="32"/>
  <c r="F105" i="32"/>
  <c r="E105" i="32"/>
  <c r="D105" i="32"/>
  <c r="C105" i="32"/>
  <c r="T104" i="32"/>
  <c r="S104" i="32"/>
  <c r="R104" i="32"/>
  <c r="P104" i="32"/>
  <c r="O104" i="32"/>
  <c r="J104" i="32"/>
  <c r="F104" i="32"/>
  <c r="E104" i="32"/>
  <c r="D104" i="32"/>
  <c r="C104" i="32"/>
  <c r="T103" i="32"/>
  <c r="S103" i="32"/>
  <c r="R103" i="32"/>
  <c r="P103" i="32"/>
  <c r="O103" i="32"/>
  <c r="J103" i="32"/>
  <c r="F103" i="32"/>
  <c r="E103" i="32"/>
  <c r="D103" i="32"/>
  <c r="C103" i="32"/>
  <c r="T102" i="32"/>
  <c r="S102" i="32"/>
  <c r="R102" i="32"/>
  <c r="P102" i="32"/>
  <c r="O102" i="32"/>
  <c r="J102" i="32"/>
  <c r="F102" i="32"/>
  <c r="E102" i="32"/>
  <c r="D102" i="32"/>
  <c r="C102" i="32"/>
  <c r="S100" i="32"/>
  <c r="R100" i="32"/>
  <c r="P100" i="32"/>
  <c r="F100" i="32"/>
  <c r="S98" i="32"/>
  <c r="R98" i="32"/>
  <c r="P98" i="32"/>
  <c r="T97" i="32"/>
  <c r="S97" i="32"/>
  <c r="R97" i="32"/>
  <c r="P97" i="32"/>
  <c r="O97" i="32"/>
  <c r="J97" i="32"/>
  <c r="F97" i="32"/>
  <c r="E97" i="32"/>
  <c r="D97" i="32"/>
  <c r="C97" i="32"/>
  <c r="T96" i="32"/>
  <c r="S96" i="32"/>
  <c r="R96" i="32"/>
  <c r="P96" i="32"/>
  <c r="O96" i="32"/>
  <c r="J96" i="32"/>
  <c r="F96" i="32"/>
  <c r="E96" i="32"/>
  <c r="D96" i="32"/>
  <c r="C96" i="32"/>
  <c r="T95" i="32"/>
  <c r="S95" i="32"/>
  <c r="R95" i="32"/>
  <c r="P95" i="32"/>
  <c r="O95" i="32"/>
  <c r="J95" i="32"/>
  <c r="F95" i="32"/>
  <c r="E95" i="32"/>
  <c r="D95" i="32"/>
  <c r="C95" i="32"/>
  <c r="T94" i="32"/>
  <c r="S94" i="32"/>
  <c r="R94" i="32"/>
  <c r="P94" i="32"/>
  <c r="O94" i="32"/>
  <c r="J94" i="32"/>
  <c r="F94" i="32"/>
  <c r="E94" i="32"/>
  <c r="D94" i="32"/>
  <c r="C94" i="32"/>
  <c r="T93" i="32"/>
  <c r="S93" i="32"/>
  <c r="R93" i="32"/>
  <c r="P93" i="32"/>
  <c r="O93" i="32"/>
  <c r="J93" i="32"/>
  <c r="F93" i="32"/>
  <c r="E93" i="32"/>
  <c r="D93" i="32"/>
  <c r="C93" i="32"/>
  <c r="S91" i="32"/>
  <c r="R91" i="32"/>
  <c r="P91" i="32"/>
  <c r="F91" i="32"/>
  <c r="S90" i="32"/>
  <c r="R90" i="32"/>
  <c r="F90" i="32"/>
  <c r="S88" i="32"/>
  <c r="R88" i="32"/>
  <c r="P88" i="32"/>
  <c r="T87" i="32"/>
  <c r="S87" i="32"/>
  <c r="R87" i="32"/>
  <c r="P87" i="32"/>
  <c r="O87" i="32"/>
  <c r="J87" i="32"/>
  <c r="F87" i="32"/>
  <c r="E87" i="32"/>
  <c r="D87" i="32"/>
  <c r="C87" i="32"/>
  <c r="T86" i="32"/>
  <c r="S86" i="32"/>
  <c r="R86" i="32"/>
  <c r="P86" i="32"/>
  <c r="O86" i="32"/>
  <c r="J86" i="32"/>
  <c r="F86" i="32"/>
  <c r="E86" i="32"/>
  <c r="D86" i="32"/>
  <c r="C86" i="32"/>
  <c r="T85" i="32"/>
  <c r="S85" i="32"/>
  <c r="R85" i="32"/>
  <c r="P85" i="32"/>
  <c r="O85" i="32"/>
  <c r="J85" i="32"/>
  <c r="F85" i="32"/>
  <c r="E85" i="32"/>
  <c r="D85" i="32"/>
  <c r="C85" i="32"/>
  <c r="T84" i="32"/>
  <c r="S84" i="32"/>
  <c r="R84" i="32"/>
  <c r="P84" i="32"/>
  <c r="O84" i="32"/>
  <c r="J84" i="32"/>
  <c r="F84" i="32"/>
  <c r="E84" i="32"/>
  <c r="D84" i="32"/>
  <c r="C84" i="32"/>
  <c r="S82" i="32"/>
  <c r="R82" i="32"/>
  <c r="P82" i="32"/>
  <c r="F82" i="32"/>
  <c r="S80" i="32"/>
  <c r="R80" i="32"/>
  <c r="P80" i="32"/>
  <c r="S79" i="32"/>
  <c r="R79" i="32"/>
  <c r="P79" i="32"/>
  <c r="O79" i="32"/>
  <c r="J79" i="32"/>
  <c r="L79" i="32" s="1"/>
  <c r="F79" i="32"/>
  <c r="D79" i="32"/>
  <c r="C79" i="32"/>
  <c r="T79" i="32" s="1"/>
  <c r="T78" i="32"/>
  <c r="S78" i="32"/>
  <c r="R78" i="32"/>
  <c r="P78" i="32"/>
  <c r="O78" i="32"/>
  <c r="J78" i="32"/>
  <c r="F78" i="32"/>
  <c r="E78" i="32"/>
  <c r="D78" i="32"/>
  <c r="C78" i="32"/>
  <c r="S77" i="32"/>
  <c r="R77" i="32"/>
  <c r="P77" i="32"/>
  <c r="O77" i="32"/>
  <c r="J77" i="32"/>
  <c r="L77" i="32" s="1"/>
  <c r="F77" i="32"/>
  <c r="E77" i="32"/>
  <c r="D77" i="32"/>
  <c r="C77" i="32"/>
  <c r="S75" i="32"/>
  <c r="R75" i="32"/>
  <c r="P75" i="32"/>
  <c r="F75" i="32"/>
  <c r="S72" i="32"/>
  <c r="R72" i="32"/>
  <c r="P72" i="32"/>
  <c r="O72" i="32"/>
  <c r="T71" i="32"/>
  <c r="S71" i="32"/>
  <c r="R71" i="32"/>
  <c r="P71" i="32"/>
  <c r="O71" i="32"/>
  <c r="J71" i="32"/>
  <c r="F71" i="32"/>
  <c r="E71" i="32"/>
  <c r="D71" i="32"/>
  <c r="C71" i="32"/>
  <c r="T70" i="32"/>
  <c r="S70" i="32"/>
  <c r="R70" i="32"/>
  <c r="P70" i="32"/>
  <c r="O70" i="32"/>
  <c r="J70" i="32"/>
  <c r="F70" i="32"/>
  <c r="E70" i="32"/>
  <c r="D70" i="32"/>
  <c r="C70" i="32"/>
  <c r="T69" i="32"/>
  <c r="S69" i="32"/>
  <c r="R69" i="32"/>
  <c r="P69" i="32"/>
  <c r="O69" i="32"/>
  <c r="J69" i="32"/>
  <c r="F69" i="32"/>
  <c r="E69" i="32"/>
  <c r="D69" i="32"/>
  <c r="C69" i="32"/>
  <c r="T68" i="32"/>
  <c r="S68" i="32"/>
  <c r="R68" i="32"/>
  <c r="P68" i="32"/>
  <c r="O68" i="32"/>
  <c r="J68" i="32"/>
  <c r="F68" i="32"/>
  <c r="E68" i="32"/>
  <c r="D68" i="32"/>
  <c r="C68" i="32"/>
  <c r="T67" i="32"/>
  <c r="S67" i="32"/>
  <c r="R67" i="32"/>
  <c r="P67" i="32"/>
  <c r="O67" i="32"/>
  <c r="J67" i="32"/>
  <c r="F67" i="32"/>
  <c r="E67" i="32"/>
  <c r="D67" i="32"/>
  <c r="C67" i="32"/>
  <c r="T66" i="32"/>
  <c r="S66" i="32"/>
  <c r="R66" i="32"/>
  <c r="P66" i="32"/>
  <c r="O66" i="32"/>
  <c r="J66" i="32"/>
  <c r="F66" i="32"/>
  <c r="E66" i="32"/>
  <c r="D66" i="32"/>
  <c r="C66" i="32"/>
  <c r="T65" i="32"/>
  <c r="S65" i="32"/>
  <c r="R65" i="32"/>
  <c r="P65" i="32"/>
  <c r="O65" i="32"/>
  <c r="J65" i="32"/>
  <c r="F65" i="32"/>
  <c r="E65" i="32"/>
  <c r="D65" i="32"/>
  <c r="C65" i="32"/>
  <c r="T64" i="32"/>
  <c r="S64" i="32"/>
  <c r="R64" i="32"/>
  <c r="P64" i="32"/>
  <c r="O64" i="32"/>
  <c r="J64" i="32"/>
  <c r="F64" i="32"/>
  <c r="E64" i="32"/>
  <c r="D64" i="32"/>
  <c r="C64" i="32"/>
  <c r="T63" i="32"/>
  <c r="S63" i="32"/>
  <c r="R63" i="32"/>
  <c r="P63" i="32"/>
  <c r="O63" i="32"/>
  <c r="J63" i="32"/>
  <c r="F63" i="32"/>
  <c r="E63" i="32"/>
  <c r="D63" i="32"/>
  <c r="C63" i="32"/>
  <c r="T62" i="32"/>
  <c r="S62" i="32"/>
  <c r="R62" i="32"/>
  <c r="P62" i="32"/>
  <c r="O62" i="32"/>
  <c r="J62" i="32"/>
  <c r="F62" i="32"/>
  <c r="E62" i="32"/>
  <c r="D62" i="32"/>
  <c r="C62" i="32"/>
  <c r="T61" i="32"/>
  <c r="S61" i="32"/>
  <c r="R61" i="32"/>
  <c r="P61" i="32"/>
  <c r="O61" i="32"/>
  <c r="J61" i="32"/>
  <c r="F61" i="32"/>
  <c r="E61" i="32"/>
  <c r="D61" i="32"/>
  <c r="C61" i="32"/>
  <c r="T60" i="32"/>
  <c r="S60" i="32"/>
  <c r="R60" i="32"/>
  <c r="P60" i="32"/>
  <c r="O60" i="32"/>
  <c r="J60" i="32"/>
  <c r="F60" i="32"/>
  <c r="E60" i="32"/>
  <c r="D60" i="32"/>
  <c r="C60" i="32"/>
  <c r="T59" i="32"/>
  <c r="S59" i="32"/>
  <c r="R59" i="32"/>
  <c r="P59" i="32"/>
  <c r="O59" i="32"/>
  <c r="J59" i="32"/>
  <c r="F59" i="32"/>
  <c r="E59" i="32"/>
  <c r="D59" i="32"/>
  <c r="C59" i="32"/>
  <c r="S58" i="32"/>
  <c r="R58" i="32"/>
  <c r="P58" i="32"/>
  <c r="O58" i="32"/>
  <c r="J58" i="32"/>
  <c r="F58" i="32"/>
  <c r="E58" i="32"/>
  <c r="D58" i="32"/>
  <c r="C58" i="32"/>
  <c r="T57" i="32"/>
  <c r="S57" i="32"/>
  <c r="R57" i="32"/>
  <c r="P57" i="32"/>
  <c r="O57" i="32"/>
  <c r="J57" i="32"/>
  <c r="F57" i="32"/>
  <c r="E57" i="32"/>
  <c r="D57" i="32"/>
  <c r="C57" i="32"/>
  <c r="T56" i="32"/>
  <c r="S56" i="32"/>
  <c r="R56" i="32"/>
  <c r="P56" i="32"/>
  <c r="O56" i="32"/>
  <c r="J56" i="32"/>
  <c r="F56" i="32"/>
  <c r="E56" i="32"/>
  <c r="D56" i="32"/>
  <c r="C56" i="32"/>
  <c r="T55" i="32"/>
  <c r="S55" i="32"/>
  <c r="R55" i="32"/>
  <c r="P55" i="32"/>
  <c r="O55" i="32"/>
  <c r="J55" i="32"/>
  <c r="F55" i="32"/>
  <c r="E55" i="32"/>
  <c r="D55" i="32"/>
  <c r="C55" i="32"/>
  <c r="T54" i="32"/>
  <c r="S54" i="32"/>
  <c r="R54" i="32"/>
  <c r="P54" i="32"/>
  <c r="O54" i="32"/>
  <c r="J54" i="32"/>
  <c r="F54" i="32"/>
  <c r="E54" i="32"/>
  <c r="D54" i="32"/>
  <c r="C54" i="32"/>
  <c r="T53" i="32"/>
  <c r="S53" i="32"/>
  <c r="R53" i="32"/>
  <c r="P53" i="32"/>
  <c r="O53" i="32"/>
  <c r="J53" i="32"/>
  <c r="F53" i="32"/>
  <c r="E53" i="32"/>
  <c r="D53" i="32"/>
  <c r="C53" i="32"/>
  <c r="S51" i="32"/>
  <c r="R51" i="32"/>
  <c r="P51" i="32"/>
  <c r="F51" i="32"/>
  <c r="S50" i="32"/>
  <c r="R50" i="32"/>
  <c r="P50" i="32"/>
  <c r="S49" i="32"/>
  <c r="R49" i="32"/>
  <c r="T46" i="32"/>
  <c r="S46" i="32"/>
  <c r="R46" i="32"/>
  <c r="P46" i="32"/>
  <c r="O46" i="32"/>
  <c r="J46" i="32"/>
  <c r="F46" i="32"/>
  <c r="E46" i="32"/>
  <c r="D46" i="32"/>
  <c r="C46" i="32"/>
  <c r="T45" i="32"/>
  <c r="S45" i="32"/>
  <c r="R45" i="32"/>
  <c r="P45" i="32"/>
  <c r="O45" i="32"/>
  <c r="J45" i="32"/>
  <c r="F45" i="32"/>
  <c r="E45" i="32"/>
  <c r="D45" i="32"/>
  <c r="C45" i="32"/>
  <c r="T44" i="32"/>
  <c r="S44" i="32"/>
  <c r="R44" i="32"/>
  <c r="P44" i="32"/>
  <c r="O44" i="32"/>
  <c r="J44" i="32"/>
  <c r="F44" i="32"/>
  <c r="E44" i="32"/>
  <c r="D44" i="32"/>
  <c r="C44" i="32"/>
  <c r="T43" i="32"/>
  <c r="S43" i="32"/>
  <c r="R43" i="32"/>
  <c r="P43" i="32"/>
  <c r="O43" i="32"/>
  <c r="J43" i="32"/>
  <c r="F43" i="32"/>
  <c r="E43" i="32"/>
  <c r="D43" i="32"/>
  <c r="C43" i="32"/>
  <c r="T42" i="32"/>
  <c r="S42" i="32"/>
  <c r="R42" i="32"/>
  <c r="P42" i="32"/>
  <c r="O42" i="32"/>
  <c r="J42" i="32"/>
  <c r="F42" i="32"/>
  <c r="E42" i="32"/>
  <c r="D42" i="32"/>
  <c r="C42" i="32"/>
  <c r="T41" i="32"/>
  <c r="S41" i="32"/>
  <c r="R41" i="32"/>
  <c r="P41" i="32"/>
  <c r="O41" i="32"/>
  <c r="J41" i="32"/>
  <c r="L41" i="32" s="1"/>
  <c r="F41" i="32"/>
  <c r="E41" i="32"/>
  <c r="D41" i="32"/>
  <c r="C41" i="32"/>
  <c r="T40" i="32"/>
  <c r="S40" i="32"/>
  <c r="R40" i="32"/>
  <c r="P40" i="32"/>
  <c r="O40" i="32"/>
  <c r="J40" i="32"/>
  <c r="F40" i="32"/>
  <c r="E40" i="32"/>
  <c r="D40" i="32"/>
  <c r="C40" i="32"/>
  <c r="T39" i="32"/>
  <c r="S39" i="32"/>
  <c r="R39" i="32"/>
  <c r="P39" i="32"/>
  <c r="O39" i="32"/>
  <c r="J39" i="32"/>
  <c r="F39" i="32"/>
  <c r="E39" i="32"/>
  <c r="D39" i="32"/>
  <c r="C39" i="32"/>
  <c r="S37" i="32"/>
  <c r="R37" i="32"/>
  <c r="P37" i="32"/>
  <c r="S34" i="32"/>
  <c r="R34" i="32"/>
  <c r="P34" i="32"/>
  <c r="K34" i="32"/>
  <c r="J34" i="32"/>
  <c r="F34" i="32"/>
  <c r="S31" i="32"/>
  <c r="R31" i="32"/>
  <c r="P31" i="32"/>
  <c r="N31" i="32"/>
  <c r="L31" i="32"/>
  <c r="T30" i="32"/>
  <c r="S30" i="32"/>
  <c r="R30" i="32"/>
  <c r="P30" i="32"/>
  <c r="O30" i="32"/>
  <c r="J30" i="32"/>
  <c r="F30" i="32"/>
  <c r="E30" i="32"/>
  <c r="D30" i="32"/>
  <c r="C30" i="32"/>
  <c r="T29" i="32"/>
  <c r="S29" i="32"/>
  <c r="R29" i="32"/>
  <c r="P29" i="32"/>
  <c r="O29" i="32"/>
  <c r="J29" i="32"/>
  <c r="F29" i="32"/>
  <c r="E29" i="32"/>
  <c r="D29" i="32"/>
  <c r="C29" i="32"/>
  <c r="T28" i="32"/>
  <c r="S28" i="32"/>
  <c r="R28" i="32"/>
  <c r="P28" i="32"/>
  <c r="O28" i="32"/>
  <c r="J28" i="32"/>
  <c r="F28" i="32"/>
  <c r="E28" i="32"/>
  <c r="D28" i="32"/>
  <c r="C28" i="32"/>
  <c r="S27" i="32"/>
  <c r="R27" i="32"/>
  <c r="P27" i="32"/>
  <c r="O27" i="32"/>
  <c r="J27" i="32"/>
  <c r="F27" i="32"/>
  <c r="E27" i="32"/>
  <c r="D27" i="32"/>
  <c r="C27" i="32"/>
  <c r="S26" i="32"/>
  <c r="R26" i="32"/>
  <c r="P26" i="32"/>
  <c r="O26" i="32"/>
  <c r="J26" i="32"/>
  <c r="F26" i="32"/>
  <c r="E26" i="32"/>
  <c r="D26" i="32"/>
  <c r="C26" i="32"/>
  <c r="T25" i="32"/>
  <c r="S25" i="32"/>
  <c r="R25" i="32"/>
  <c r="P25" i="32"/>
  <c r="O25" i="32"/>
  <c r="J25" i="32"/>
  <c r="F25" i="32"/>
  <c r="E25" i="32"/>
  <c r="D25" i="32"/>
  <c r="C25" i="32"/>
  <c r="T24" i="32"/>
  <c r="S24" i="32"/>
  <c r="R24" i="32"/>
  <c r="P24" i="32"/>
  <c r="O24" i="32"/>
  <c r="J24" i="32"/>
  <c r="F24" i="32"/>
  <c r="E24" i="32"/>
  <c r="D24" i="32"/>
  <c r="C24" i="32"/>
  <c r="T23" i="32"/>
  <c r="S23" i="32"/>
  <c r="R23" i="32"/>
  <c r="P23" i="32"/>
  <c r="O23" i="32"/>
  <c r="J23" i="32"/>
  <c r="F23" i="32"/>
  <c r="E23" i="32"/>
  <c r="D23" i="32"/>
  <c r="C23" i="32"/>
  <c r="T22" i="32"/>
  <c r="S22" i="32"/>
  <c r="R22" i="32"/>
  <c r="P22" i="32"/>
  <c r="O22" i="32"/>
  <c r="J22" i="32"/>
  <c r="F22" i="32"/>
  <c r="E22" i="32"/>
  <c r="D22" i="32"/>
  <c r="C22" i="32"/>
  <c r="S21" i="32"/>
  <c r="R21" i="32"/>
  <c r="P21" i="32"/>
  <c r="O21" i="32"/>
  <c r="J21" i="32"/>
  <c r="F21" i="32"/>
  <c r="E21" i="32"/>
  <c r="D21" i="32"/>
  <c r="C21" i="32"/>
  <c r="T20" i="32"/>
  <c r="S20" i="32"/>
  <c r="R20" i="32"/>
  <c r="P20" i="32"/>
  <c r="O20" i="32"/>
  <c r="J20" i="32"/>
  <c r="F20" i="32"/>
  <c r="E20" i="32"/>
  <c r="D20" i="32"/>
  <c r="C20" i="32"/>
  <c r="S19" i="32"/>
  <c r="R19" i="32"/>
  <c r="P19" i="32"/>
  <c r="O19" i="32"/>
  <c r="J19" i="32"/>
  <c r="F19" i="32"/>
  <c r="E19" i="32"/>
  <c r="D19" i="32"/>
  <c r="C19" i="32"/>
  <c r="T18" i="32"/>
  <c r="S18" i="32"/>
  <c r="R18" i="32"/>
  <c r="P18" i="32"/>
  <c r="O18" i="32"/>
  <c r="J18" i="32"/>
  <c r="F18" i="32"/>
  <c r="E18" i="32"/>
  <c r="D18" i="32"/>
  <c r="C18" i="32"/>
  <c r="T17" i="32"/>
  <c r="S17" i="32"/>
  <c r="R17" i="32"/>
  <c r="P17" i="32"/>
  <c r="O17" i="32"/>
  <c r="J17" i="32"/>
  <c r="F17" i="32"/>
  <c r="E17" i="32"/>
  <c r="D17" i="32"/>
  <c r="C17" i="32"/>
  <c r="T16" i="32"/>
  <c r="S16" i="32"/>
  <c r="R16" i="32"/>
  <c r="P16" i="32"/>
  <c r="O16" i="32"/>
  <c r="J16" i="32"/>
  <c r="F16" i="32"/>
  <c r="E16" i="32"/>
  <c r="D16" i="32"/>
  <c r="C16" i="32"/>
  <c r="T15" i="32"/>
  <c r="S15" i="32"/>
  <c r="R15" i="32"/>
  <c r="P15" i="32"/>
  <c r="O15" i="32"/>
  <c r="J15" i="32"/>
  <c r="F15" i="32"/>
  <c r="E15" i="32"/>
  <c r="D15" i="32"/>
  <c r="C15" i="32"/>
  <c r="T14" i="32"/>
  <c r="S14" i="32"/>
  <c r="R14" i="32"/>
  <c r="P14" i="32"/>
  <c r="O14" i="32"/>
  <c r="J14" i="32"/>
  <c r="F14" i="32"/>
  <c r="E14" i="32"/>
  <c r="D14" i="32"/>
  <c r="C14" i="32"/>
  <c r="S13" i="32"/>
  <c r="R13" i="32"/>
  <c r="P13" i="32"/>
  <c r="O13" i="32"/>
  <c r="J13" i="32"/>
  <c r="F13" i="32"/>
  <c r="E13" i="32"/>
  <c r="D13" i="32"/>
  <c r="C13" i="32"/>
  <c r="T12" i="32"/>
  <c r="S12" i="32"/>
  <c r="R12" i="32"/>
  <c r="P12" i="32"/>
  <c r="O12" i="32"/>
  <c r="J12" i="32"/>
  <c r="F12" i="32"/>
  <c r="E12" i="32"/>
  <c r="D12" i="32"/>
  <c r="C12" i="32"/>
  <c r="S11" i="32"/>
  <c r="R11" i="32"/>
  <c r="P11" i="32"/>
  <c r="O11" i="32"/>
  <c r="J11" i="32"/>
  <c r="F11" i="32"/>
  <c r="E11" i="32"/>
  <c r="D11" i="32"/>
  <c r="C11" i="32"/>
  <c r="S10" i="32"/>
  <c r="R10" i="32"/>
  <c r="P10" i="32"/>
  <c r="O10" i="32"/>
  <c r="J10" i="32"/>
  <c r="F10" i="32"/>
  <c r="E10" i="32"/>
  <c r="D10" i="32"/>
  <c r="C10" i="32"/>
  <c r="I8" i="32"/>
  <c r="I7" i="32"/>
  <c r="I6" i="32" s="1"/>
  <c r="I5" i="32" s="1"/>
  <c r="I4" i="32" s="1"/>
  <c r="H7" i="32"/>
  <c r="H6" i="32" s="1"/>
  <c r="H5" i="32" s="1"/>
  <c r="H4" i="32" s="1"/>
  <c r="G7" i="32"/>
  <c r="G6" i="32" s="1"/>
  <c r="G5" i="32" s="1"/>
  <c r="G4" i="32" s="1"/>
  <c r="L167" i="32" l="1"/>
  <c r="L159" i="32"/>
  <c r="L158" i="32" s="1"/>
  <c r="J158" i="32"/>
  <c r="K158" i="32" s="1"/>
  <c r="J216" i="32"/>
  <c r="K216" i="32" s="1"/>
  <c r="L244" i="32"/>
  <c r="N154" i="32"/>
  <c r="N158" i="32"/>
  <c r="I3" i="32"/>
  <c r="E241" i="32"/>
  <c r="L34" i="32"/>
  <c r="N34" i="32" s="1"/>
  <c r="E368" i="32"/>
  <c r="E354" i="32"/>
  <c r="E353" i="32" s="1"/>
  <c r="E388" i="32"/>
  <c r="E387" i="32" s="1"/>
  <c r="E386" i="32" s="1"/>
  <c r="E385" i="32" s="1"/>
  <c r="E384" i="32" s="1"/>
  <c r="E383" i="32" s="1"/>
  <c r="E80" i="32"/>
  <c r="N80" i="32" s="1"/>
  <c r="N120" i="32"/>
  <c r="N122" i="32"/>
  <c r="N142" i="32"/>
  <c r="N144" i="32"/>
  <c r="L193" i="32"/>
  <c r="E114" i="32"/>
  <c r="N114" i="32" s="1"/>
  <c r="N103" i="32"/>
  <c r="N105" i="32"/>
  <c r="N107" i="32"/>
  <c r="N109" i="32"/>
  <c r="N111" i="32"/>
  <c r="N113" i="32"/>
  <c r="L149" i="32"/>
  <c r="L147" i="32" s="1"/>
  <c r="E186" i="32"/>
  <c r="N186" i="32" s="1"/>
  <c r="N185" i="32"/>
  <c r="E373" i="32"/>
  <c r="E88" i="32"/>
  <c r="N88" i="32" s="1"/>
  <c r="E194" i="32"/>
  <c r="N194" i="32" s="1"/>
  <c r="N11" i="32"/>
  <c r="N14" i="32"/>
  <c r="N18" i="32"/>
  <c r="N23" i="32"/>
  <c r="N28" i="32"/>
  <c r="N30" i="32"/>
  <c r="L40" i="32"/>
  <c r="L44" i="32"/>
  <c r="E72" i="32"/>
  <c r="N72" i="32" s="1"/>
  <c r="N60" i="32"/>
  <c r="N62" i="32"/>
  <c r="N64" i="32"/>
  <c r="N66" i="32"/>
  <c r="N68" i="32"/>
  <c r="N70" i="32"/>
  <c r="E145" i="32"/>
  <c r="N145" i="32" s="1"/>
  <c r="N236" i="32"/>
  <c r="E239" i="32"/>
  <c r="N239" i="32" s="1"/>
  <c r="L238" i="32"/>
  <c r="E98" i="32"/>
  <c r="N98" i="32" s="1"/>
  <c r="N16" i="32"/>
  <c r="N25" i="32"/>
  <c r="N12" i="32"/>
  <c r="N21" i="32"/>
  <c r="N54" i="32"/>
  <c r="N56" i="32"/>
  <c r="N58" i="32"/>
  <c r="N124" i="32"/>
  <c r="N126" i="32"/>
  <c r="N128" i="32"/>
  <c r="N130" i="32"/>
  <c r="N132" i="32"/>
  <c r="N134" i="32"/>
  <c r="E202" i="32"/>
  <c r="N202" i="32" s="1"/>
  <c r="E136" i="32"/>
  <c r="N136" i="32" s="1"/>
  <c r="N17" i="32"/>
  <c r="N26" i="32"/>
  <c r="E47" i="32"/>
  <c r="N47" i="32" s="1"/>
  <c r="N45" i="32"/>
  <c r="N106" i="32"/>
  <c r="N112" i="32"/>
  <c r="N123" i="32"/>
  <c r="N125" i="32"/>
  <c r="N127" i="32"/>
  <c r="N129" i="32"/>
  <c r="N131" i="32"/>
  <c r="N133" i="32"/>
  <c r="N135" i="32"/>
  <c r="E214" i="32"/>
  <c r="N15" i="32"/>
  <c r="N19" i="32"/>
  <c r="N22" i="32"/>
  <c r="N24" i="32"/>
  <c r="N29" i="32"/>
  <c r="N39" i="32"/>
  <c r="L43" i="32"/>
  <c r="N59" i="32"/>
  <c r="N61" i="32"/>
  <c r="N63" i="32"/>
  <c r="N65" i="32"/>
  <c r="N67" i="32"/>
  <c r="N69" i="32"/>
  <c r="N71" i="32"/>
  <c r="N102" i="32"/>
  <c r="N104" i="32"/>
  <c r="N108" i="32"/>
  <c r="N110" i="32"/>
  <c r="N10" i="32"/>
  <c r="N13" i="32"/>
  <c r="N20" i="32"/>
  <c r="N27" i="32"/>
  <c r="N53" i="32"/>
  <c r="N55" i="32"/>
  <c r="N57" i="32"/>
  <c r="N119" i="32"/>
  <c r="N121" i="32"/>
  <c r="N143" i="32"/>
  <c r="L192" i="32"/>
  <c r="L188" i="32" s="1"/>
  <c r="J147" i="32"/>
  <c r="K147" i="32" s="1"/>
  <c r="J264" i="32"/>
  <c r="K264" i="32" s="1"/>
  <c r="E317" i="32"/>
  <c r="E313" i="32" s="1"/>
  <c r="N243" i="32"/>
  <c r="N242" i="32" s="1"/>
  <c r="J242" i="32"/>
  <c r="K242" i="32" s="1"/>
  <c r="L243" i="32"/>
  <c r="L242" i="32" s="1"/>
  <c r="J249" i="32"/>
  <c r="K249" i="32" s="1"/>
  <c r="E300" i="32"/>
  <c r="E291" i="32"/>
  <c r="E328" i="32"/>
  <c r="E327" i="32" s="1"/>
  <c r="E363" i="32"/>
  <c r="L18" i="32"/>
  <c r="J82" i="32"/>
  <c r="K82" i="32" s="1"/>
  <c r="L113" i="32"/>
  <c r="L64" i="32"/>
  <c r="L13" i="32"/>
  <c r="L252" i="32"/>
  <c r="L251" i="32" s="1"/>
  <c r="L57" i="32"/>
  <c r="L105" i="32"/>
  <c r="L27" i="32"/>
  <c r="L16" i="32"/>
  <c r="L22" i="32"/>
  <c r="J75" i="32"/>
  <c r="K75" i="32" s="1"/>
  <c r="L107" i="32"/>
  <c r="J188" i="32"/>
  <c r="K188" i="32" s="1"/>
  <c r="J51" i="32"/>
  <c r="K51" i="32" s="1"/>
  <c r="L66" i="32"/>
  <c r="L78" i="32"/>
  <c r="L75" i="32" s="1"/>
  <c r="L142" i="32"/>
  <c r="N183" i="32"/>
  <c r="N199" i="32"/>
  <c r="L14" i="32"/>
  <c r="L21" i="32"/>
  <c r="L26" i="32"/>
  <c r="L28" i="32"/>
  <c r="N41" i="32"/>
  <c r="L53" i="32"/>
  <c r="L60" i="32"/>
  <c r="L68" i="32"/>
  <c r="N78" i="32"/>
  <c r="L103" i="32"/>
  <c r="L111" i="32"/>
  <c r="L144" i="32"/>
  <c r="N193" i="32"/>
  <c r="L24" i="32"/>
  <c r="L109" i="32"/>
  <c r="L30" i="32"/>
  <c r="L55" i="32"/>
  <c r="L62" i="32"/>
  <c r="L70" i="32"/>
  <c r="N79" i="32"/>
  <c r="N256" i="32"/>
  <c r="N258" i="32"/>
  <c r="N259" i="32"/>
  <c r="N260" i="32"/>
  <c r="N223" i="32"/>
  <c r="N245" i="32"/>
  <c r="L10" i="32"/>
  <c r="L12" i="32"/>
  <c r="L15" i="32"/>
  <c r="L19" i="32"/>
  <c r="L25" i="32"/>
  <c r="L56" i="32"/>
  <c r="L59" i="32"/>
  <c r="L63" i="32"/>
  <c r="L67" i="32"/>
  <c r="L71" i="32"/>
  <c r="N77" i="32"/>
  <c r="J100" i="32"/>
  <c r="L104" i="32"/>
  <c r="L108" i="32"/>
  <c r="L112" i="32"/>
  <c r="L143" i="32"/>
  <c r="N192" i="32"/>
  <c r="N201" i="32"/>
  <c r="N212" i="32"/>
  <c r="L265" i="32"/>
  <c r="L264" i="32" s="1"/>
  <c r="N191" i="32"/>
  <c r="J8" i="32"/>
  <c r="L11" i="32"/>
  <c r="L17" i="32"/>
  <c r="L20" i="32"/>
  <c r="L23" i="32"/>
  <c r="L29" i="32"/>
  <c r="N43" i="32"/>
  <c r="L54" i="32"/>
  <c r="L58" i="32"/>
  <c r="L61" i="32"/>
  <c r="L65" i="32"/>
  <c r="L69" i="32"/>
  <c r="L102" i="32"/>
  <c r="L106" i="32"/>
  <c r="L110" i="32"/>
  <c r="N238" i="32"/>
  <c r="L42" i="32"/>
  <c r="L46" i="32"/>
  <c r="L93" i="32"/>
  <c r="J91" i="32"/>
  <c r="N93" i="32"/>
  <c r="L95" i="32"/>
  <c r="N95" i="32"/>
  <c r="L97" i="32"/>
  <c r="N97" i="32"/>
  <c r="N42" i="32"/>
  <c r="L45" i="32"/>
  <c r="N46" i="32"/>
  <c r="L85" i="32"/>
  <c r="N85" i="32"/>
  <c r="L87" i="32"/>
  <c r="N87" i="32"/>
  <c r="L94" i="32"/>
  <c r="N94" i="32"/>
  <c r="L96" i="32"/>
  <c r="N96" i="32"/>
  <c r="L39" i="32"/>
  <c r="J37" i="32"/>
  <c r="N40" i="32"/>
  <c r="N44" i="32"/>
  <c r="L84" i="32"/>
  <c r="N84" i="32"/>
  <c r="L86" i="32"/>
  <c r="N86" i="32"/>
  <c r="L182" i="32"/>
  <c r="J180" i="32"/>
  <c r="L211" i="32"/>
  <c r="J209" i="32"/>
  <c r="J117" i="32"/>
  <c r="L119" i="32"/>
  <c r="L120" i="32"/>
  <c r="L121" i="32"/>
  <c r="L122" i="32"/>
  <c r="L123" i="32"/>
  <c r="L124" i="32"/>
  <c r="L125" i="32"/>
  <c r="L126" i="32"/>
  <c r="L127" i="32"/>
  <c r="L128" i="32"/>
  <c r="L129" i="32"/>
  <c r="L130" i="32"/>
  <c r="L131" i="32"/>
  <c r="L132" i="32"/>
  <c r="L133" i="32"/>
  <c r="L134" i="32"/>
  <c r="L135" i="32"/>
  <c r="N147" i="32"/>
  <c r="N149" i="32"/>
  <c r="K154" i="32"/>
  <c r="N182" i="32"/>
  <c r="L185" i="32"/>
  <c r="N190" i="32"/>
  <c r="N200" i="32"/>
  <c r="N211" i="32"/>
  <c r="N235" i="32"/>
  <c r="N248" i="32"/>
  <c r="J244" i="32"/>
  <c r="N253" i="32"/>
  <c r="N254" i="32"/>
  <c r="N255" i="32"/>
  <c r="L178" i="32"/>
  <c r="L176" i="32" s="1"/>
  <c r="L175" i="32" s="1"/>
  <c r="J176" i="32"/>
  <c r="L184" i="32"/>
  <c r="L198" i="32"/>
  <c r="L196" i="32" s="1"/>
  <c r="J196" i="32"/>
  <c r="L213" i="32"/>
  <c r="L224" i="32"/>
  <c r="L221" i="32" s="1"/>
  <c r="J221" i="32"/>
  <c r="N178" i="32"/>
  <c r="N184" i="32"/>
  <c r="N198" i="32"/>
  <c r="N213" i="32"/>
  <c r="N224" i="32"/>
  <c r="J234" i="32"/>
  <c r="L236" i="32"/>
  <c r="N237" i="32"/>
  <c r="E277" i="32"/>
  <c r="J251" i="32"/>
  <c r="K251" i="32" s="1"/>
  <c r="E307" i="32"/>
  <c r="AO606" i="2"/>
  <c r="AN606" i="2"/>
  <c r="S606" i="2"/>
  <c r="T606" i="2" s="1"/>
  <c r="R606" i="2"/>
  <c r="Q606" i="2"/>
  <c r="O606" i="2"/>
  <c r="AO605" i="2"/>
  <c r="AN605" i="2"/>
  <c r="S605" i="2"/>
  <c r="T605" i="2" s="1"/>
  <c r="R605" i="2"/>
  <c r="Q605" i="2"/>
  <c r="O605" i="2"/>
  <c r="AO604" i="2"/>
  <c r="AN604" i="2"/>
  <c r="S604" i="2"/>
  <c r="T604" i="2" s="1"/>
  <c r="R604" i="2"/>
  <c r="Q604" i="2"/>
  <c r="O604" i="2"/>
  <c r="AO603" i="2"/>
  <c r="AN603" i="2"/>
  <c r="Q603" i="2"/>
  <c r="O603" i="2"/>
  <c r="AO602" i="2"/>
  <c r="AN602" i="2"/>
  <c r="S602" i="2"/>
  <c r="T602" i="2" s="1"/>
  <c r="R602" i="2"/>
  <c r="Q602" i="2"/>
  <c r="O602" i="2"/>
  <c r="AO601" i="2"/>
  <c r="AN601" i="2"/>
  <c r="R601" i="2"/>
  <c r="Q601" i="2"/>
  <c r="O601" i="2"/>
  <c r="M34" i="32" l="1"/>
  <c r="L234" i="32"/>
  <c r="L233" i="32" s="1"/>
  <c r="L37" i="32"/>
  <c r="N37" i="32" s="1"/>
  <c r="E290" i="32"/>
  <c r="N249" i="32"/>
  <c r="E312" i="32"/>
  <c r="J50" i="32"/>
  <c r="N75" i="32"/>
  <c r="L51" i="32"/>
  <c r="N51" i="32" s="1"/>
  <c r="N221" i="32"/>
  <c r="N217" i="32" s="1"/>
  <c r="N216" i="32" s="1"/>
  <c r="N188" i="32"/>
  <c r="L140" i="32"/>
  <c r="N140" i="32" s="1"/>
  <c r="N139" i="32" s="1"/>
  <c r="L241" i="32"/>
  <c r="L100" i="32"/>
  <c r="N100" i="32" s="1"/>
  <c r="K100" i="32"/>
  <c r="L8" i="32"/>
  <c r="K8" i="32"/>
  <c r="J233" i="32"/>
  <c r="J116" i="32"/>
  <c r="K116" i="32" s="1"/>
  <c r="K117" i="32"/>
  <c r="K209" i="32"/>
  <c r="N251" i="32"/>
  <c r="E276" i="32"/>
  <c r="L209" i="32"/>
  <c r="N209" i="32" s="1"/>
  <c r="L82" i="32"/>
  <c r="N176" i="32"/>
  <c r="N175" i="32" s="1"/>
  <c r="J175" i="32"/>
  <c r="K176" i="32"/>
  <c r="K180" i="32"/>
  <c r="J7" i="32"/>
  <c r="K37" i="32"/>
  <c r="K91" i="32"/>
  <c r="N196" i="32"/>
  <c r="K196" i="32"/>
  <c r="K244" i="32"/>
  <c r="N244" i="32"/>
  <c r="J241" i="32"/>
  <c r="L117" i="32"/>
  <c r="L116" i="32" s="1"/>
  <c r="L180" i="32"/>
  <c r="N180" i="32" s="1"/>
  <c r="L91" i="32"/>
  <c r="N91" i="32" s="1"/>
  <c r="B589" i="17"/>
  <c r="C589" i="17"/>
  <c r="D589" i="17"/>
  <c r="E589" i="17"/>
  <c r="F589" i="17"/>
  <c r="G589" i="17"/>
  <c r="H589" i="17"/>
  <c r="Q589" i="17"/>
  <c r="AA589" i="17"/>
  <c r="AU589" i="17"/>
  <c r="B590" i="17"/>
  <c r="C590" i="17"/>
  <c r="D590" i="17"/>
  <c r="E590" i="17"/>
  <c r="F590" i="17"/>
  <c r="G590" i="17"/>
  <c r="H590" i="17"/>
  <c r="Q590" i="17"/>
  <c r="AA590" i="17"/>
  <c r="AU590" i="17"/>
  <c r="B591" i="17"/>
  <c r="C591" i="17"/>
  <c r="D591" i="17"/>
  <c r="E591" i="17"/>
  <c r="F591" i="17"/>
  <c r="G591" i="17"/>
  <c r="H591" i="17"/>
  <c r="Q591" i="17"/>
  <c r="AA591" i="17"/>
  <c r="AU591" i="17"/>
  <c r="B592" i="17"/>
  <c r="C592" i="17"/>
  <c r="D592" i="17"/>
  <c r="E592" i="17"/>
  <c r="F592" i="17"/>
  <c r="G592" i="17"/>
  <c r="H592" i="17"/>
  <c r="Q592" i="17"/>
  <c r="AA592" i="17"/>
  <c r="AU592" i="17"/>
  <c r="B593" i="17"/>
  <c r="C593" i="17"/>
  <c r="D593" i="17"/>
  <c r="E593" i="17"/>
  <c r="F593" i="17"/>
  <c r="G593" i="17"/>
  <c r="H593" i="17"/>
  <c r="Q593" i="17"/>
  <c r="AA593" i="17"/>
  <c r="AU593" i="17"/>
  <c r="B594" i="17"/>
  <c r="C594" i="17"/>
  <c r="D594" i="17"/>
  <c r="E594" i="17"/>
  <c r="F594" i="17"/>
  <c r="G594" i="17"/>
  <c r="H594" i="17"/>
  <c r="Q594" i="17"/>
  <c r="AA594" i="17"/>
  <c r="AU594" i="17"/>
  <c r="B595" i="17"/>
  <c r="C595" i="17"/>
  <c r="D595" i="17"/>
  <c r="E595" i="17"/>
  <c r="F595" i="17"/>
  <c r="G595" i="17"/>
  <c r="H595" i="17"/>
  <c r="Q595" i="17"/>
  <c r="AA595" i="17"/>
  <c r="AU595" i="17"/>
  <c r="B596" i="17"/>
  <c r="C596" i="17"/>
  <c r="D596" i="17"/>
  <c r="E596" i="17"/>
  <c r="F596" i="17"/>
  <c r="G596" i="17"/>
  <c r="H596" i="17"/>
  <c r="Q596" i="17"/>
  <c r="AA596" i="17"/>
  <c r="AU596" i="17"/>
  <c r="B597" i="17"/>
  <c r="C597" i="17"/>
  <c r="D597" i="17"/>
  <c r="E597" i="17"/>
  <c r="F597" i="17"/>
  <c r="G597" i="17"/>
  <c r="H597" i="17"/>
  <c r="Q597" i="17"/>
  <c r="AA597" i="17"/>
  <c r="AU597" i="17"/>
  <c r="B598" i="17"/>
  <c r="C598" i="17"/>
  <c r="D598" i="17"/>
  <c r="E598" i="17"/>
  <c r="F598" i="17"/>
  <c r="G598" i="17"/>
  <c r="H598" i="17"/>
  <c r="Q598" i="17"/>
  <c r="AA598" i="17"/>
  <c r="AU598" i="17"/>
  <c r="B599" i="17"/>
  <c r="C599" i="17"/>
  <c r="D599" i="17"/>
  <c r="E599" i="17"/>
  <c r="F599" i="17"/>
  <c r="G599" i="17"/>
  <c r="H599" i="17"/>
  <c r="Q599" i="17"/>
  <c r="AA599" i="17"/>
  <c r="AU599" i="17"/>
  <c r="B600" i="17"/>
  <c r="C600" i="17"/>
  <c r="D600" i="17"/>
  <c r="E600" i="17"/>
  <c r="F600" i="17"/>
  <c r="G600" i="17"/>
  <c r="H600" i="17"/>
  <c r="Q600" i="17"/>
  <c r="AA600" i="17"/>
  <c r="AU600" i="17"/>
  <c r="B601" i="17"/>
  <c r="C601" i="17"/>
  <c r="D601" i="17"/>
  <c r="E601" i="17"/>
  <c r="F601" i="17"/>
  <c r="G601" i="17"/>
  <c r="H601" i="17"/>
  <c r="Q601" i="17"/>
  <c r="AA601" i="17"/>
  <c r="AU601" i="17"/>
  <c r="L231" i="32" l="1"/>
  <c r="L230" i="32" s="1"/>
  <c r="L229" i="32" s="1"/>
  <c r="L228" i="32" s="1"/>
  <c r="L227" i="32" s="1"/>
  <c r="L226" i="32" s="1"/>
  <c r="N234" i="32"/>
  <c r="N233" i="32" s="1"/>
  <c r="S601" i="2"/>
  <c r="T601" i="2" s="1"/>
  <c r="L7" i="32"/>
  <c r="L6" i="32" s="1"/>
  <c r="L5" i="32" s="1"/>
  <c r="E289" i="32"/>
  <c r="J90" i="32"/>
  <c r="K90" i="32" s="1"/>
  <c r="L139" i="32"/>
  <c r="L90" i="32" s="1"/>
  <c r="M51" i="32"/>
  <c r="M8" i="32"/>
  <c r="M7" i="32" s="1"/>
  <c r="M6" i="32" s="1"/>
  <c r="M5" i="32" s="1"/>
  <c r="N117" i="32"/>
  <c r="N116" i="32" s="1"/>
  <c r="N90" i="32" s="1"/>
  <c r="N8" i="32"/>
  <c r="N7" i="32" s="1"/>
  <c r="N6" i="32" s="1"/>
  <c r="N5" i="32" s="1"/>
  <c r="K241" i="32"/>
  <c r="N241" i="32"/>
  <c r="E275" i="32"/>
  <c r="K7" i="32"/>
  <c r="J6" i="32"/>
  <c r="M82" i="32"/>
  <c r="N82" i="32"/>
  <c r="N50" i="32" s="1"/>
  <c r="L50" i="32"/>
  <c r="J231" i="32"/>
  <c r="K233" i="32"/>
  <c r="J49" i="32" l="1"/>
  <c r="K49" i="32" s="1"/>
  <c r="M50" i="32"/>
  <c r="M49" i="32" s="1"/>
  <c r="M4" i="32" s="1"/>
  <c r="M3" i="32" s="1"/>
  <c r="N49" i="32"/>
  <c r="N4" i="32" s="1"/>
  <c r="J230" i="32"/>
  <c r="J229" i="32" s="1"/>
  <c r="J228" i="32" s="1"/>
  <c r="J227" i="32" s="1"/>
  <c r="J226" i="32" s="1"/>
  <c r="N231" i="32"/>
  <c r="N230" i="32" s="1"/>
  <c r="N229" i="32" s="1"/>
  <c r="N228" i="32" s="1"/>
  <c r="N227" i="32" s="1"/>
  <c r="N226" i="32" s="1"/>
  <c r="K231" i="32"/>
  <c r="K230" i="32" s="1"/>
  <c r="K229" i="32" s="1"/>
  <c r="K228" i="32" s="1"/>
  <c r="K227" i="32" s="1"/>
  <c r="K226" i="32" s="1"/>
  <c r="L49" i="32"/>
  <c r="L4" i="32" s="1"/>
  <c r="L3" i="32" s="1"/>
  <c r="E274" i="32"/>
  <c r="K6" i="32"/>
  <c r="J5" i="32"/>
  <c r="AD568" i="2"/>
  <c r="N3" i="32" l="1"/>
  <c r="E273" i="32"/>
  <c r="K5" i="32"/>
  <c r="J4" i="32"/>
  <c r="AU435" i="17"/>
  <c r="K4" i="32" l="1"/>
  <c r="J3" i="32"/>
  <c r="K3" i="32" s="1"/>
  <c r="E272" i="32"/>
  <c r="AO8" i="2"/>
  <c r="AO9" i="2"/>
  <c r="AO10" i="2"/>
  <c r="AO11" i="2"/>
  <c r="AO12" i="2"/>
  <c r="AO13" i="2"/>
  <c r="AO14" i="2"/>
  <c r="AO15" i="2"/>
  <c r="AO16" i="2"/>
  <c r="AO17" i="2"/>
  <c r="AO18" i="2"/>
  <c r="AO19" i="2"/>
  <c r="AO20" i="2"/>
  <c r="AO21" i="2"/>
  <c r="AO22" i="2"/>
  <c r="AO23" i="2"/>
  <c r="AO24" i="2"/>
  <c r="AO25" i="2"/>
  <c r="AO26" i="2"/>
  <c r="AO27" i="2"/>
  <c r="AO28" i="2"/>
  <c r="AO29" i="2"/>
  <c r="AO30" i="2"/>
  <c r="AO31" i="2"/>
  <c r="AO32" i="2"/>
  <c r="AO33" i="2"/>
  <c r="AO34" i="2"/>
  <c r="AO35" i="2"/>
  <c r="AO36" i="2"/>
  <c r="AO37" i="2"/>
  <c r="AO38" i="2"/>
  <c r="AO39" i="2"/>
  <c r="AO40" i="2"/>
  <c r="AO41" i="2"/>
  <c r="AO42" i="2"/>
  <c r="AO43" i="2"/>
  <c r="AO44" i="2"/>
  <c r="AO45" i="2"/>
  <c r="AO46" i="2"/>
  <c r="AO47" i="2"/>
  <c r="AO48" i="2"/>
  <c r="AO49" i="2"/>
  <c r="AO50" i="2"/>
  <c r="AO51" i="2"/>
  <c r="AO52" i="2"/>
  <c r="AO53" i="2"/>
  <c r="AO54" i="2"/>
  <c r="AO55" i="2"/>
  <c r="AO56" i="2"/>
  <c r="AO57" i="2"/>
  <c r="AO58" i="2"/>
  <c r="AO59" i="2"/>
  <c r="AO60" i="2"/>
  <c r="AO61" i="2"/>
  <c r="AO62" i="2"/>
  <c r="AO63" i="2"/>
  <c r="AO64" i="2"/>
  <c r="AO65" i="2"/>
  <c r="AO66" i="2"/>
  <c r="AO67" i="2"/>
  <c r="AO68" i="2"/>
  <c r="AO69" i="2"/>
  <c r="AO70" i="2"/>
  <c r="AO71" i="2"/>
  <c r="AO72" i="2"/>
  <c r="AO73" i="2"/>
  <c r="AO74" i="2"/>
  <c r="AO75" i="2"/>
  <c r="AO76" i="2"/>
  <c r="AO77" i="2"/>
  <c r="AO78" i="2"/>
  <c r="AO79" i="2"/>
  <c r="AO80" i="2"/>
  <c r="AO81" i="2"/>
  <c r="AO82" i="2"/>
  <c r="AO83" i="2"/>
  <c r="AO84" i="2"/>
  <c r="AO85" i="2"/>
  <c r="AO86" i="2"/>
  <c r="AO87" i="2"/>
  <c r="AO88" i="2"/>
  <c r="AO89" i="2"/>
  <c r="AO90" i="2"/>
  <c r="AO91" i="2"/>
  <c r="AO92" i="2"/>
  <c r="AO93" i="2"/>
  <c r="AO94" i="2"/>
  <c r="AO95" i="2"/>
  <c r="AO96" i="2"/>
  <c r="AO97" i="2"/>
  <c r="AO98" i="2"/>
  <c r="AO99" i="2"/>
  <c r="AO100" i="2"/>
  <c r="AO101" i="2"/>
  <c r="AO102" i="2"/>
  <c r="AO103" i="2"/>
  <c r="AO104" i="2"/>
  <c r="AO105" i="2"/>
  <c r="AO106" i="2"/>
  <c r="AO107" i="2"/>
  <c r="AO108" i="2"/>
  <c r="AO109" i="2"/>
  <c r="AO110" i="2"/>
  <c r="AO111" i="2"/>
  <c r="AO112" i="2"/>
  <c r="AO113" i="2"/>
  <c r="AO114" i="2"/>
  <c r="AO115" i="2"/>
  <c r="AO116" i="2"/>
  <c r="AO117" i="2"/>
  <c r="AO118" i="2"/>
  <c r="AO119" i="2"/>
  <c r="AO120" i="2"/>
  <c r="AO121" i="2"/>
  <c r="AO122" i="2"/>
  <c r="AO123" i="2"/>
  <c r="AO124" i="2"/>
  <c r="AO125" i="2"/>
  <c r="AO126" i="2"/>
  <c r="AO127" i="2"/>
  <c r="AO128" i="2"/>
  <c r="AO129" i="2"/>
  <c r="AO130" i="2"/>
  <c r="AO131" i="2"/>
  <c r="AO132" i="2"/>
  <c r="AO133" i="2"/>
  <c r="AO134" i="2"/>
  <c r="AO135" i="2"/>
  <c r="AO136" i="2"/>
  <c r="AO137" i="2"/>
  <c r="AO138" i="2"/>
  <c r="AO139" i="2"/>
  <c r="AO140" i="2"/>
  <c r="AO141" i="2"/>
  <c r="AO142" i="2"/>
  <c r="AO143" i="2"/>
  <c r="AO144" i="2"/>
  <c r="AO145" i="2"/>
  <c r="AO146" i="2"/>
  <c r="AO147" i="2"/>
  <c r="AO148" i="2"/>
  <c r="AO149" i="2"/>
  <c r="AO150" i="2"/>
  <c r="AO151" i="2"/>
  <c r="AO152" i="2"/>
  <c r="AO153" i="2"/>
  <c r="AO154" i="2"/>
  <c r="AO155" i="2"/>
  <c r="AO156" i="2"/>
  <c r="AO157" i="2"/>
  <c r="AO158" i="2"/>
  <c r="AO159" i="2"/>
  <c r="AO160" i="2"/>
  <c r="AO161" i="2"/>
  <c r="AO162" i="2"/>
  <c r="AO163" i="2"/>
  <c r="AO164" i="2"/>
  <c r="AO165" i="2"/>
  <c r="AO166" i="2"/>
  <c r="AO167" i="2"/>
  <c r="AO168" i="2"/>
  <c r="AO169" i="2"/>
  <c r="AO170" i="2"/>
  <c r="AO171" i="2"/>
  <c r="AO172" i="2"/>
  <c r="AO173" i="2"/>
  <c r="AO174" i="2"/>
  <c r="AO175" i="2"/>
  <c r="AO176" i="2"/>
  <c r="AO177" i="2"/>
  <c r="AO178" i="2"/>
  <c r="AO179" i="2"/>
  <c r="AO180" i="2"/>
  <c r="AO181" i="2"/>
  <c r="AO182" i="2"/>
  <c r="AO183" i="2"/>
  <c r="AO184" i="2"/>
  <c r="AO185" i="2"/>
  <c r="AO186" i="2"/>
  <c r="AO187" i="2"/>
  <c r="AO188" i="2"/>
  <c r="AO189" i="2"/>
  <c r="AO190" i="2"/>
  <c r="AO191" i="2"/>
  <c r="AO192" i="2"/>
  <c r="AO193" i="2"/>
  <c r="AO194" i="2"/>
  <c r="AO195" i="2"/>
  <c r="AO196" i="2"/>
  <c r="AO197" i="2"/>
  <c r="AO198" i="2"/>
  <c r="AO199" i="2"/>
  <c r="AO200" i="2"/>
  <c r="AO201" i="2"/>
  <c r="AO202" i="2"/>
  <c r="AO203" i="2"/>
  <c r="AO204" i="2"/>
  <c r="AO205" i="2"/>
  <c r="AO206" i="2"/>
  <c r="AO207" i="2"/>
  <c r="AO208" i="2"/>
  <c r="AO209" i="2"/>
  <c r="AO210" i="2"/>
  <c r="AO211" i="2"/>
  <c r="AO212" i="2"/>
  <c r="AO213" i="2"/>
  <c r="AO214" i="2"/>
  <c r="AO215" i="2"/>
  <c r="AO216" i="2"/>
  <c r="AO217" i="2"/>
  <c r="AO218" i="2"/>
  <c r="AO219" i="2"/>
  <c r="AO220" i="2"/>
  <c r="AO221" i="2"/>
  <c r="AO222" i="2"/>
  <c r="AO223" i="2"/>
  <c r="AO224" i="2"/>
  <c r="AO225" i="2"/>
  <c r="AO226" i="2"/>
  <c r="AO227" i="2"/>
  <c r="AO228" i="2"/>
  <c r="AO229" i="2"/>
  <c r="AO230" i="2"/>
  <c r="AO231" i="2"/>
  <c r="AO232" i="2"/>
  <c r="AO233" i="2"/>
  <c r="AO234" i="2"/>
  <c r="AO235" i="2"/>
  <c r="AO236" i="2"/>
  <c r="AO237" i="2"/>
  <c r="AO238" i="2"/>
  <c r="AO239" i="2"/>
  <c r="AO240" i="2"/>
  <c r="AO241" i="2"/>
  <c r="AO242" i="2"/>
  <c r="AO243" i="2"/>
  <c r="AO244" i="2"/>
  <c r="AO245" i="2"/>
  <c r="AO246" i="2"/>
  <c r="AO247" i="2"/>
  <c r="AO248" i="2"/>
  <c r="AO249" i="2"/>
  <c r="AO250" i="2"/>
  <c r="AO251" i="2"/>
  <c r="AO252" i="2"/>
  <c r="AO253" i="2"/>
  <c r="AO254" i="2"/>
  <c r="AO255" i="2"/>
  <c r="AO256" i="2"/>
  <c r="AO257" i="2"/>
  <c r="AO258" i="2"/>
  <c r="AO259" i="2"/>
  <c r="AO260" i="2"/>
  <c r="AO261" i="2"/>
  <c r="AO262" i="2"/>
  <c r="AO263" i="2"/>
  <c r="AO264" i="2"/>
  <c r="AO265" i="2"/>
  <c r="AO266" i="2"/>
  <c r="AO267" i="2"/>
  <c r="AO268" i="2"/>
  <c r="AO269" i="2"/>
  <c r="AO270" i="2"/>
  <c r="AO271" i="2"/>
  <c r="AO272" i="2"/>
  <c r="AO273" i="2"/>
  <c r="AO274" i="2"/>
  <c r="AO275" i="2"/>
  <c r="AO276" i="2"/>
  <c r="AO277" i="2"/>
  <c r="AO278" i="2"/>
  <c r="AO279" i="2"/>
  <c r="AO280" i="2"/>
  <c r="AO281" i="2"/>
  <c r="AO282" i="2"/>
  <c r="AO283" i="2"/>
  <c r="AO284" i="2"/>
  <c r="AO285" i="2"/>
  <c r="AO286" i="2"/>
  <c r="AO287" i="2"/>
  <c r="AO288" i="2"/>
  <c r="AO289" i="2"/>
  <c r="AO290" i="2"/>
  <c r="AO291" i="2"/>
  <c r="AO292" i="2"/>
  <c r="AO293" i="2"/>
  <c r="AO294" i="2"/>
  <c r="AO295" i="2"/>
  <c r="AO296" i="2"/>
  <c r="AO297" i="2"/>
  <c r="AO298" i="2"/>
  <c r="AO299" i="2"/>
  <c r="AO300" i="2"/>
  <c r="AO301" i="2"/>
  <c r="AO302" i="2"/>
  <c r="AO303" i="2"/>
  <c r="AO304" i="2"/>
  <c r="AO305" i="2"/>
  <c r="AO306" i="2"/>
  <c r="AO307" i="2"/>
  <c r="AO308" i="2"/>
  <c r="AO309" i="2"/>
  <c r="AO310" i="2"/>
  <c r="AO311" i="2"/>
  <c r="AO312" i="2"/>
  <c r="AO313" i="2"/>
  <c r="AO314" i="2"/>
  <c r="AO315" i="2"/>
  <c r="AO316" i="2"/>
  <c r="AO317" i="2"/>
  <c r="AO318" i="2"/>
  <c r="AO319" i="2"/>
  <c r="AO320" i="2"/>
  <c r="AO321" i="2"/>
  <c r="AO322" i="2"/>
  <c r="AO323" i="2"/>
  <c r="AO324" i="2"/>
  <c r="AO325" i="2"/>
  <c r="AO326" i="2"/>
  <c r="AO327" i="2"/>
  <c r="AO328" i="2"/>
  <c r="AO329" i="2"/>
  <c r="AO330" i="2"/>
  <c r="AO331" i="2"/>
  <c r="AO332" i="2"/>
  <c r="AO333" i="2"/>
  <c r="AO334" i="2"/>
  <c r="AO335" i="2"/>
  <c r="AO336" i="2"/>
  <c r="AO337" i="2"/>
  <c r="AO338" i="2"/>
  <c r="AO339" i="2"/>
  <c r="AO340" i="2"/>
  <c r="AO341" i="2"/>
  <c r="AO342" i="2"/>
  <c r="AO343" i="2"/>
  <c r="AO344" i="2"/>
  <c r="AO345" i="2"/>
  <c r="AO346" i="2"/>
  <c r="AO347" i="2"/>
  <c r="AO348" i="2"/>
  <c r="AO349" i="2"/>
  <c r="AO350" i="2"/>
  <c r="AO351" i="2"/>
  <c r="AO352" i="2"/>
  <c r="AO353" i="2"/>
  <c r="AO354" i="2"/>
  <c r="AO355" i="2"/>
  <c r="AO356" i="2"/>
  <c r="AO357" i="2"/>
  <c r="AO358" i="2"/>
  <c r="AO359" i="2"/>
  <c r="AO360" i="2"/>
  <c r="AO361" i="2"/>
  <c r="AO362" i="2"/>
  <c r="AO363" i="2"/>
  <c r="AO364" i="2"/>
  <c r="AO365" i="2"/>
  <c r="AO366" i="2"/>
  <c r="AO367" i="2"/>
  <c r="AO368" i="2"/>
  <c r="AO369" i="2"/>
  <c r="AO370" i="2"/>
  <c r="AO371" i="2"/>
  <c r="AO372" i="2"/>
  <c r="AO373" i="2"/>
  <c r="AO374" i="2"/>
  <c r="AO375" i="2"/>
  <c r="AO376" i="2"/>
  <c r="AO377" i="2"/>
  <c r="AO378" i="2"/>
  <c r="AO379" i="2"/>
  <c r="AO380" i="2"/>
  <c r="AO381" i="2"/>
  <c r="AO382" i="2"/>
  <c r="AO383" i="2"/>
  <c r="AO384" i="2"/>
  <c r="AO385" i="2"/>
  <c r="AO386" i="2"/>
  <c r="AO387" i="2"/>
  <c r="AO388" i="2"/>
  <c r="AO389" i="2"/>
  <c r="AO390" i="2"/>
  <c r="AO391" i="2"/>
  <c r="AO392" i="2"/>
  <c r="AO393" i="2"/>
  <c r="AO394" i="2"/>
  <c r="AO395" i="2"/>
  <c r="AO396" i="2"/>
  <c r="AO397" i="2"/>
  <c r="AO398" i="2"/>
  <c r="AO399" i="2"/>
  <c r="AO400" i="2"/>
  <c r="AO401" i="2"/>
  <c r="AO402" i="2"/>
  <c r="AO403" i="2"/>
  <c r="AO404" i="2"/>
  <c r="AO405" i="2"/>
  <c r="AO406" i="2"/>
  <c r="AO407" i="2"/>
  <c r="AO408" i="2"/>
  <c r="AO409" i="2"/>
  <c r="AO410" i="2"/>
  <c r="AO411" i="2"/>
  <c r="AO412" i="2"/>
  <c r="AO413" i="2"/>
  <c r="AO414" i="2"/>
  <c r="AO415" i="2"/>
  <c r="AO416" i="2"/>
  <c r="AO417" i="2"/>
  <c r="AO418" i="2"/>
  <c r="AO419" i="2"/>
  <c r="AO420" i="2"/>
  <c r="AO421" i="2"/>
  <c r="AO422" i="2"/>
  <c r="AO423" i="2"/>
  <c r="AO424" i="2"/>
  <c r="AO425" i="2"/>
  <c r="AO426" i="2"/>
  <c r="AO427" i="2"/>
  <c r="AO428" i="2"/>
  <c r="AO429" i="2"/>
  <c r="AO430" i="2"/>
  <c r="AO431" i="2"/>
  <c r="AO432" i="2"/>
  <c r="AO433" i="2"/>
  <c r="AO434" i="2"/>
  <c r="AO435" i="2"/>
  <c r="AO436" i="2"/>
  <c r="AO437" i="2"/>
  <c r="AO438" i="2"/>
  <c r="AO439" i="2"/>
  <c r="AO440" i="2"/>
  <c r="AO441" i="2"/>
  <c r="AO442" i="2"/>
  <c r="AO443" i="2"/>
  <c r="AO444" i="2"/>
  <c r="AO445" i="2"/>
  <c r="AO446" i="2"/>
  <c r="AO447" i="2"/>
  <c r="AO448" i="2"/>
  <c r="AO449" i="2"/>
  <c r="AO450" i="2"/>
  <c r="AO451" i="2"/>
  <c r="AO452" i="2"/>
  <c r="AO453" i="2"/>
  <c r="AO454" i="2"/>
  <c r="AO455" i="2"/>
  <c r="AO456" i="2"/>
  <c r="AO457" i="2"/>
  <c r="AO458" i="2"/>
  <c r="AO459" i="2"/>
  <c r="AO460" i="2"/>
  <c r="AO461" i="2"/>
  <c r="AO462" i="2"/>
  <c r="AO463" i="2"/>
  <c r="AO464" i="2"/>
  <c r="AO465" i="2"/>
  <c r="AO466" i="2"/>
  <c r="AO467" i="2"/>
  <c r="AO468" i="2"/>
  <c r="AO469" i="2"/>
  <c r="AO470" i="2"/>
  <c r="AO471" i="2"/>
  <c r="AO472" i="2"/>
  <c r="AO473" i="2"/>
  <c r="AO474" i="2"/>
  <c r="AO475" i="2"/>
  <c r="AO476" i="2"/>
  <c r="AO477" i="2"/>
  <c r="AO478" i="2"/>
  <c r="AO479" i="2"/>
  <c r="AO480" i="2"/>
  <c r="AO481" i="2"/>
  <c r="AO482" i="2"/>
  <c r="AO483" i="2"/>
  <c r="AO484" i="2"/>
  <c r="AO485" i="2"/>
  <c r="AO486" i="2"/>
  <c r="AO487" i="2"/>
  <c r="AO488" i="2"/>
  <c r="AO489" i="2"/>
  <c r="AO490" i="2"/>
  <c r="AO491" i="2"/>
  <c r="AO492" i="2"/>
  <c r="AO493" i="2"/>
  <c r="AO494" i="2"/>
  <c r="AO495" i="2"/>
  <c r="AO496" i="2"/>
  <c r="AO497" i="2"/>
  <c r="AO498" i="2"/>
  <c r="AO499" i="2"/>
  <c r="AO500" i="2"/>
  <c r="AO501" i="2"/>
  <c r="AO502" i="2"/>
  <c r="AO503" i="2"/>
  <c r="AO504" i="2"/>
  <c r="AO505" i="2"/>
  <c r="AO506" i="2"/>
  <c r="AO507" i="2"/>
  <c r="AO508" i="2"/>
  <c r="AO509" i="2"/>
  <c r="AO510" i="2"/>
  <c r="AO511" i="2"/>
  <c r="AO512" i="2"/>
  <c r="AO513" i="2"/>
  <c r="AO514" i="2"/>
  <c r="AO515" i="2"/>
  <c r="AO516" i="2"/>
  <c r="AO517" i="2"/>
  <c r="AO518" i="2"/>
  <c r="AO519" i="2"/>
  <c r="AO520" i="2"/>
  <c r="AO521" i="2"/>
  <c r="AO522" i="2"/>
  <c r="AO523" i="2"/>
  <c r="AO524" i="2"/>
  <c r="AO525" i="2"/>
  <c r="AO526" i="2"/>
  <c r="AO527" i="2"/>
  <c r="AO528" i="2"/>
  <c r="AO529" i="2"/>
  <c r="AO530" i="2"/>
  <c r="AO531" i="2"/>
  <c r="AO532" i="2"/>
  <c r="AO533" i="2"/>
  <c r="AO534" i="2"/>
  <c r="AO535" i="2"/>
  <c r="AO536" i="2"/>
  <c r="AO537" i="2"/>
  <c r="AO538" i="2"/>
  <c r="AO539" i="2"/>
  <c r="AO540" i="2"/>
  <c r="AO541" i="2"/>
  <c r="AO542" i="2"/>
  <c r="AO543" i="2"/>
  <c r="AO544" i="2"/>
  <c r="AO545" i="2"/>
  <c r="AO546" i="2"/>
  <c r="AO547" i="2"/>
  <c r="AO548" i="2"/>
  <c r="AO549" i="2"/>
  <c r="AO550" i="2"/>
  <c r="AO552" i="2"/>
  <c r="AO553" i="2"/>
  <c r="AO554" i="2"/>
  <c r="AO555" i="2"/>
  <c r="AO556" i="2"/>
  <c r="AO557" i="2"/>
  <c r="AO558" i="2"/>
  <c r="AO559" i="2"/>
  <c r="AO560" i="2"/>
  <c r="AO561" i="2"/>
  <c r="AO562" i="2"/>
  <c r="AO563" i="2"/>
  <c r="AO564" i="2"/>
  <c r="AO565" i="2"/>
  <c r="AO566" i="2"/>
  <c r="AO567" i="2"/>
  <c r="AO568" i="2"/>
  <c r="AO569" i="2"/>
  <c r="AO570" i="2"/>
  <c r="AO571" i="2"/>
  <c r="AO572" i="2"/>
  <c r="AO573" i="2"/>
  <c r="AO574" i="2"/>
  <c r="AO575" i="2"/>
  <c r="AO576" i="2"/>
  <c r="AO577" i="2"/>
  <c r="AO578" i="2"/>
  <c r="AO579" i="2"/>
  <c r="AO580" i="2"/>
  <c r="AO581" i="2"/>
  <c r="AO582" i="2"/>
  <c r="AO583" i="2"/>
  <c r="AO584" i="2"/>
  <c r="AO585" i="2"/>
  <c r="AO586" i="2"/>
  <c r="AO587" i="2"/>
  <c r="AO588" i="2"/>
  <c r="AO589" i="2"/>
  <c r="AO590" i="2"/>
  <c r="AO591" i="2"/>
  <c r="AO592" i="2"/>
  <c r="AO593" i="2"/>
  <c r="AO594" i="2"/>
  <c r="AO595" i="2"/>
  <c r="AO596" i="2"/>
  <c r="AO597" i="2"/>
  <c r="AO598" i="2"/>
  <c r="AO599" i="2"/>
  <c r="AO600" i="2"/>
  <c r="AO7" i="2"/>
  <c r="AN550" i="2" l="1"/>
  <c r="AN551" i="2"/>
  <c r="AN552" i="2"/>
  <c r="AN553" i="2"/>
  <c r="AN554" i="2"/>
  <c r="AN555" i="2"/>
  <c r="AN556" i="2"/>
  <c r="AN557" i="2"/>
  <c r="AN558" i="2"/>
  <c r="AN559" i="2"/>
  <c r="AN560" i="2"/>
  <c r="AN561" i="2"/>
  <c r="AN562" i="2"/>
  <c r="AN563" i="2"/>
  <c r="AN564" i="2"/>
  <c r="AN565" i="2"/>
  <c r="AN566" i="2"/>
  <c r="AN567" i="2"/>
  <c r="AN568" i="2"/>
  <c r="AN569" i="2"/>
  <c r="AN570" i="2"/>
  <c r="AN571" i="2"/>
  <c r="AN572" i="2"/>
  <c r="AN573" i="2"/>
  <c r="AN574" i="2"/>
  <c r="AN575" i="2"/>
  <c r="AN576" i="2"/>
  <c r="AN577" i="2"/>
  <c r="AN578" i="2"/>
  <c r="AN579" i="2"/>
  <c r="AN580" i="2"/>
  <c r="AN581" i="2"/>
  <c r="AN582" i="2"/>
  <c r="AN583" i="2"/>
  <c r="AN584" i="2"/>
  <c r="AN585" i="2"/>
  <c r="AN586" i="2"/>
  <c r="AN587" i="2"/>
  <c r="AN588" i="2"/>
  <c r="AN589" i="2"/>
  <c r="AN590" i="2"/>
  <c r="AN591" i="2"/>
  <c r="AN592" i="2"/>
  <c r="AN593" i="2"/>
  <c r="AN594" i="2"/>
  <c r="AN595" i="2"/>
  <c r="AN596" i="2"/>
  <c r="AN597" i="2"/>
  <c r="AN598" i="2"/>
  <c r="AN599" i="2"/>
  <c r="AN600" i="2"/>
  <c r="AN8" i="2"/>
  <c r="AN9" i="2"/>
  <c r="AN10" i="2"/>
  <c r="AN11" i="2"/>
  <c r="AN12" i="2"/>
  <c r="AN13" i="2"/>
  <c r="AN14" i="2"/>
  <c r="AN15" i="2"/>
  <c r="AN16" i="2"/>
  <c r="AN17" i="2"/>
  <c r="AN18" i="2"/>
  <c r="AN19" i="2"/>
  <c r="AN20" i="2"/>
  <c r="AN21" i="2"/>
  <c r="AN22" i="2"/>
  <c r="AN23" i="2"/>
  <c r="AN24" i="2"/>
  <c r="AN25" i="2"/>
  <c r="AN26" i="2"/>
  <c r="AN27" i="2"/>
  <c r="AN28" i="2"/>
  <c r="AN29" i="2"/>
  <c r="AN30" i="2"/>
  <c r="AN31" i="2"/>
  <c r="AN32" i="2"/>
  <c r="AN33" i="2"/>
  <c r="AN34" i="2"/>
  <c r="AN35" i="2"/>
  <c r="AN36" i="2"/>
  <c r="AN37" i="2"/>
  <c r="AN38" i="2"/>
  <c r="AN39" i="2"/>
  <c r="AN40" i="2"/>
  <c r="AN41" i="2"/>
  <c r="AN42" i="2"/>
  <c r="AN43" i="2"/>
  <c r="AN44" i="2"/>
  <c r="AN45" i="2"/>
  <c r="AN46" i="2"/>
  <c r="AN47" i="2"/>
  <c r="AN48" i="2"/>
  <c r="AN49" i="2"/>
  <c r="AN50" i="2"/>
  <c r="AN51" i="2"/>
  <c r="AN52" i="2"/>
  <c r="AN53" i="2"/>
  <c r="AN54" i="2"/>
  <c r="AN55" i="2"/>
  <c r="AN56" i="2"/>
  <c r="AN57" i="2"/>
  <c r="AN58" i="2"/>
  <c r="AN59" i="2"/>
  <c r="AN60" i="2"/>
  <c r="AN61" i="2"/>
  <c r="AN62" i="2"/>
  <c r="AN63" i="2"/>
  <c r="AN64" i="2"/>
  <c r="AN65" i="2"/>
  <c r="AN66" i="2"/>
  <c r="AN67" i="2"/>
  <c r="AN68" i="2"/>
  <c r="AN69" i="2"/>
  <c r="AN70" i="2"/>
  <c r="AN71" i="2"/>
  <c r="AN72" i="2"/>
  <c r="AN73" i="2"/>
  <c r="AN74" i="2"/>
  <c r="AN75" i="2"/>
  <c r="AN76" i="2"/>
  <c r="AN77" i="2"/>
  <c r="AN78" i="2"/>
  <c r="AN79" i="2"/>
  <c r="AN80" i="2"/>
  <c r="AN81" i="2"/>
  <c r="AN82" i="2"/>
  <c r="AN83" i="2"/>
  <c r="AN84" i="2"/>
  <c r="AN85" i="2"/>
  <c r="AN86" i="2"/>
  <c r="AN87" i="2"/>
  <c r="AN88" i="2"/>
  <c r="AN89" i="2"/>
  <c r="AN90" i="2"/>
  <c r="AN91" i="2"/>
  <c r="AN92" i="2"/>
  <c r="AN93" i="2"/>
  <c r="AN94" i="2"/>
  <c r="AN95" i="2"/>
  <c r="AN96" i="2"/>
  <c r="AN97" i="2"/>
  <c r="AN98" i="2"/>
  <c r="AN99" i="2"/>
  <c r="AN100" i="2"/>
  <c r="AN101" i="2"/>
  <c r="AN102" i="2"/>
  <c r="AN103" i="2"/>
  <c r="AN104" i="2"/>
  <c r="AN105" i="2"/>
  <c r="AN106" i="2"/>
  <c r="AN107" i="2"/>
  <c r="AN108" i="2"/>
  <c r="AN109" i="2"/>
  <c r="AN110" i="2"/>
  <c r="AN111" i="2"/>
  <c r="AN112" i="2"/>
  <c r="AN113" i="2"/>
  <c r="AN114" i="2"/>
  <c r="AN115" i="2"/>
  <c r="AN116" i="2"/>
  <c r="AN117" i="2"/>
  <c r="AN118" i="2"/>
  <c r="AN119" i="2"/>
  <c r="AN120" i="2"/>
  <c r="AN121" i="2"/>
  <c r="AN122" i="2"/>
  <c r="AN123" i="2"/>
  <c r="AN124" i="2"/>
  <c r="AN125" i="2"/>
  <c r="AN126" i="2"/>
  <c r="AN127" i="2"/>
  <c r="AN128" i="2"/>
  <c r="AN129" i="2"/>
  <c r="AN130" i="2"/>
  <c r="AN131" i="2"/>
  <c r="AN132" i="2"/>
  <c r="AN133" i="2"/>
  <c r="AN134" i="2"/>
  <c r="AN135" i="2"/>
  <c r="AN136" i="2"/>
  <c r="AN137" i="2"/>
  <c r="AN138" i="2"/>
  <c r="AN139" i="2"/>
  <c r="AN140" i="2"/>
  <c r="AN141" i="2"/>
  <c r="AN142" i="2"/>
  <c r="AN143" i="2"/>
  <c r="AN144" i="2"/>
  <c r="AN145" i="2"/>
  <c r="AN146" i="2"/>
  <c r="AN147" i="2"/>
  <c r="AN148" i="2"/>
  <c r="AN149" i="2"/>
  <c r="AN150" i="2"/>
  <c r="AN151" i="2"/>
  <c r="AN152" i="2"/>
  <c r="AN153" i="2"/>
  <c r="AN154" i="2"/>
  <c r="AN155" i="2"/>
  <c r="AN156" i="2"/>
  <c r="AN157" i="2"/>
  <c r="AN158" i="2"/>
  <c r="AN159" i="2"/>
  <c r="AN160" i="2"/>
  <c r="AN161" i="2"/>
  <c r="AN162" i="2"/>
  <c r="AN163" i="2"/>
  <c r="AN164" i="2"/>
  <c r="AN165" i="2"/>
  <c r="AN166" i="2"/>
  <c r="AN167" i="2"/>
  <c r="AN168" i="2"/>
  <c r="AN169" i="2"/>
  <c r="AN170" i="2"/>
  <c r="AN171" i="2"/>
  <c r="AN172" i="2"/>
  <c r="AN173" i="2"/>
  <c r="AN174" i="2"/>
  <c r="AN175" i="2"/>
  <c r="AN176" i="2"/>
  <c r="AN177" i="2"/>
  <c r="AN178" i="2"/>
  <c r="AN179" i="2"/>
  <c r="AN180" i="2"/>
  <c r="AN181" i="2"/>
  <c r="AN182" i="2"/>
  <c r="AN183" i="2"/>
  <c r="AN184" i="2"/>
  <c r="AN185" i="2"/>
  <c r="AN186" i="2"/>
  <c r="AN187" i="2"/>
  <c r="AN188" i="2"/>
  <c r="AN189" i="2"/>
  <c r="AN190" i="2"/>
  <c r="AN191" i="2"/>
  <c r="AN192" i="2"/>
  <c r="AN193" i="2"/>
  <c r="AN194" i="2"/>
  <c r="AN195" i="2"/>
  <c r="AN196" i="2"/>
  <c r="AN197" i="2"/>
  <c r="AN198" i="2"/>
  <c r="AN199" i="2"/>
  <c r="AN200" i="2"/>
  <c r="AN201" i="2"/>
  <c r="AN202" i="2"/>
  <c r="AN203" i="2"/>
  <c r="AN204" i="2"/>
  <c r="AN205" i="2"/>
  <c r="AN206" i="2"/>
  <c r="AN207" i="2"/>
  <c r="AN208" i="2"/>
  <c r="AN209" i="2"/>
  <c r="AN210" i="2"/>
  <c r="AN211" i="2"/>
  <c r="AN212" i="2"/>
  <c r="AN213" i="2"/>
  <c r="AN214" i="2"/>
  <c r="AN215" i="2"/>
  <c r="AN216" i="2"/>
  <c r="AN217" i="2"/>
  <c r="AN218" i="2"/>
  <c r="AN219" i="2"/>
  <c r="AN220" i="2"/>
  <c r="AN221" i="2"/>
  <c r="AN222" i="2"/>
  <c r="AN223" i="2"/>
  <c r="AN224" i="2"/>
  <c r="AN225" i="2"/>
  <c r="AN226" i="2"/>
  <c r="AN227" i="2"/>
  <c r="AN228" i="2"/>
  <c r="AN229" i="2"/>
  <c r="AN230" i="2"/>
  <c r="AN231" i="2"/>
  <c r="AN232" i="2"/>
  <c r="AN233" i="2"/>
  <c r="AN234" i="2"/>
  <c r="AN235" i="2"/>
  <c r="AN236" i="2"/>
  <c r="AN237" i="2"/>
  <c r="AN238" i="2"/>
  <c r="AN239" i="2"/>
  <c r="AN240" i="2"/>
  <c r="AN241" i="2"/>
  <c r="AN242" i="2"/>
  <c r="AN243" i="2"/>
  <c r="AN244" i="2"/>
  <c r="AN245" i="2"/>
  <c r="AN246" i="2"/>
  <c r="AN247" i="2"/>
  <c r="AN248" i="2"/>
  <c r="AN249" i="2"/>
  <c r="AN250" i="2"/>
  <c r="AN251" i="2"/>
  <c r="AN252" i="2"/>
  <c r="AN253" i="2"/>
  <c r="AN254" i="2"/>
  <c r="AN255" i="2"/>
  <c r="AN256" i="2"/>
  <c r="AN257" i="2"/>
  <c r="AN258" i="2"/>
  <c r="AN259" i="2"/>
  <c r="AN260" i="2"/>
  <c r="AN261" i="2"/>
  <c r="AN262" i="2"/>
  <c r="AN263" i="2"/>
  <c r="AN264" i="2"/>
  <c r="AN265" i="2"/>
  <c r="AN266" i="2"/>
  <c r="AN267" i="2"/>
  <c r="AN268" i="2"/>
  <c r="AN269" i="2"/>
  <c r="AN270" i="2"/>
  <c r="AN271" i="2"/>
  <c r="AN272" i="2"/>
  <c r="AN273" i="2"/>
  <c r="AN274" i="2"/>
  <c r="AN275" i="2"/>
  <c r="AN276" i="2"/>
  <c r="AN277" i="2"/>
  <c r="AN278" i="2"/>
  <c r="AN279" i="2"/>
  <c r="AN280" i="2"/>
  <c r="AN281" i="2"/>
  <c r="AN282" i="2"/>
  <c r="AN283" i="2"/>
  <c r="AN284" i="2"/>
  <c r="AN285" i="2"/>
  <c r="AN286" i="2"/>
  <c r="AN287" i="2"/>
  <c r="AN288" i="2"/>
  <c r="AN289" i="2"/>
  <c r="AN290" i="2"/>
  <c r="AN291" i="2"/>
  <c r="AN292" i="2"/>
  <c r="AN293" i="2"/>
  <c r="AN294" i="2"/>
  <c r="AN295" i="2"/>
  <c r="AN296" i="2"/>
  <c r="AN297" i="2"/>
  <c r="AN298" i="2"/>
  <c r="AN299" i="2"/>
  <c r="AN300" i="2"/>
  <c r="AN301" i="2"/>
  <c r="AN302" i="2"/>
  <c r="AN303" i="2"/>
  <c r="AN304" i="2"/>
  <c r="AN305" i="2"/>
  <c r="AN306" i="2"/>
  <c r="AN307" i="2"/>
  <c r="AN308" i="2"/>
  <c r="AN309" i="2"/>
  <c r="AN310" i="2"/>
  <c r="AN311" i="2"/>
  <c r="AN312" i="2"/>
  <c r="AN313" i="2"/>
  <c r="AN314" i="2"/>
  <c r="AN315" i="2"/>
  <c r="AN316" i="2"/>
  <c r="AN317" i="2"/>
  <c r="AN318" i="2"/>
  <c r="AN319" i="2"/>
  <c r="AN320" i="2"/>
  <c r="AN321" i="2"/>
  <c r="AN322" i="2"/>
  <c r="AN323" i="2"/>
  <c r="AN324" i="2"/>
  <c r="AN325" i="2"/>
  <c r="AN326" i="2"/>
  <c r="AN327" i="2"/>
  <c r="AN328" i="2"/>
  <c r="AN329" i="2"/>
  <c r="AN330" i="2"/>
  <c r="AN331" i="2"/>
  <c r="AN332" i="2"/>
  <c r="AN333" i="2"/>
  <c r="AN334" i="2"/>
  <c r="AN335" i="2"/>
  <c r="AN336" i="2"/>
  <c r="AN337" i="2"/>
  <c r="AN338" i="2"/>
  <c r="AN339" i="2"/>
  <c r="AN340" i="2"/>
  <c r="AN341" i="2"/>
  <c r="AN342" i="2"/>
  <c r="AN343" i="2"/>
  <c r="AN344" i="2"/>
  <c r="AN345" i="2"/>
  <c r="AN346" i="2"/>
  <c r="AN347" i="2"/>
  <c r="AN348" i="2"/>
  <c r="AN349" i="2"/>
  <c r="AN350" i="2"/>
  <c r="AN351" i="2"/>
  <c r="AN352" i="2"/>
  <c r="AN353" i="2"/>
  <c r="AN354" i="2"/>
  <c r="AN355" i="2"/>
  <c r="AN356" i="2"/>
  <c r="AN357" i="2"/>
  <c r="AN358" i="2"/>
  <c r="AN359" i="2"/>
  <c r="AN360" i="2"/>
  <c r="AN361" i="2"/>
  <c r="AN362" i="2"/>
  <c r="AN363" i="2"/>
  <c r="AN364" i="2"/>
  <c r="AN365" i="2"/>
  <c r="AN366" i="2"/>
  <c r="AN367" i="2"/>
  <c r="AN368" i="2"/>
  <c r="AN369" i="2"/>
  <c r="AN370" i="2"/>
  <c r="AN371" i="2"/>
  <c r="AN372" i="2"/>
  <c r="AN373" i="2"/>
  <c r="AN374" i="2"/>
  <c r="AN375" i="2"/>
  <c r="AN376" i="2"/>
  <c r="AN377" i="2"/>
  <c r="AN378" i="2"/>
  <c r="AN379" i="2"/>
  <c r="AN380" i="2"/>
  <c r="AN381" i="2"/>
  <c r="AN382" i="2"/>
  <c r="AN383" i="2"/>
  <c r="AN384" i="2"/>
  <c r="AN385" i="2"/>
  <c r="AN386" i="2"/>
  <c r="AN387" i="2"/>
  <c r="AN388" i="2"/>
  <c r="AN389" i="2"/>
  <c r="AN390" i="2"/>
  <c r="AN391" i="2"/>
  <c r="AN392" i="2"/>
  <c r="AN393" i="2"/>
  <c r="AN394" i="2"/>
  <c r="AN395" i="2"/>
  <c r="AN396" i="2"/>
  <c r="AN397" i="2"/>
  <c r="AN398" i="2"/>
  <c r="AN399" i="2"/>
  <c r="AN400" i="2"/>
  <c r="AN401" i="2"/>
  <c r="AN403" i="2"/>
  <c r="AN404" i="2"/>
  <c r="AN405" i="2"/>
  <c r="AN406" i="2"/>
  <c r="AN407" i="2"/>
  <c r="AN408" i="2"/>
  <c r="AN409" i="2"/>
  <c r="AN410" i="2"/>
  <c r="AN411" i="2"/>
  <c r="AN412" i="2"/>
  <c r="AN413" i="2"/>
  <c r="AN414" i="2"/>
  <c r="AN415" i="2"/>
  <c r="AN416" i="2"/>
  <c r="AN417" i="2"/>
  <c r="AN418" i="2"/>
  <c r="AN419" i="2"/>
  <c r="AN420" i="2"/>
  <c r="AN421" i="2"/>
  <c r="AN422" i="2"/>
  <c r="AN423" i="2"/>
  <c r="AN424" i="2"/>
  <c r="AN425" i="2"/>
  <c r="AN426" i="2"/>
  <c r="AN427" i="2"/>
  <c r="AN428" i="2"/>
  <c r="AN429" i="2"/>
  <c r="AN430" i="2"/>
  <c r="AN432" i="2"/>
  <c r="AN433" i="2"/>
  <c r="AN434" i="2"/>
  <c r="AN435" i="2"/>
  <c r="AN436" i="2"/>
  <c r="AN437" i="2"/>
  <c r="AN438" i="2"/>
  <c r="AN439" i="2"/>
  <c r="AN440" i="2"/>
  <c r="AN441" i="2"/>
  <c r="AN442" i="2"/>
  <c r="AN443" i="2"/>
  <c r="AN444" i="2"/>
  <c r="AN445" i="2"/>
  <c r="AN446" i="2"/>
  <c r="AN447" i="2"/>
  <c r="AN448" i="2"/>
  <c r="AN449" i="2"/>
  <c r="AN450" i="2"/>
  <c r="AN451" i="2"/>
  <c r="AN452" i="2"/>
  <c r="AN453" i="2"/>
  <c r="AN454" i="2"/>
  <c r="AN455" i="2"/>
  <c r="AN456" i="2"/>
  <c r="AN457" i="2"/>
  <c r="AN458" i="2"/>
  <c r="AN459" i="2"/>
  <c r="AN460" i="2"/>
  <c r="AN461" i="2"/>
  <c r="AN462" i="2"/>
  <c r="AN463" i="2"/>
  <c r="AN464" i="2"/>
  <c r="AN465" i="2"/>
  <c r="AN466" i="2"/>
  <c r="AN467" i="2"/>
  <c r="AN468" i="2"/>
  <c r="AN469" i="2"/>
  <c r="AN470" i="2"/>
  <c r="AN471" i="2"/>
  <c r="AN472" i="2"/>
  <c r="AN473" i="2"/>
  <c r="AN474" i="2"/>
  <c r="AN475" i="2"/>
  <c r="AN476" i="2"/>
  <c r="AN477" i="2"/>
  <c r="AN478" i="2"/>
  <c r="AN479" i="2"/>
  <c r="AN480" i="2"/>
  <c r="AN481" i="2"/>
  <c r="AN482" i="2"/>
  <c r="AN483" i="2"/>
  <c r="AN484" i="2"/>
  <c r="AN485" i="2"/>
  <c r="AN486" i="2"/>
  <c r="AN487" i="2"/>
  <c r="AN488" i="2"/>
  <c r="AN489" i="2"/>
  <c r="AN490" i="2"/>
  <c r="AN491" i="2"/>
  <c r="AN492" i="2"/>
  <c r="AN493" i="2"/>
  <c r="AN494" i="2"/>
  <c r="AN495" i="2"/>
  <c r="AN496" i="2"/>
  <c r="AN497" i="2"/>
  <c r="AN498" i="2"/>
  <c r="AN499" i="2"/>
  <c r="AN500" i="2"/>
  <c r="AN501" i="2"/>
  <c r="AN502" i="2"/>
  <c r="AN503" i="2"/>
  <c r="AN504" i="2"/>
  <c r="AN505" i="2"/>
  <c r="AN506" i="2"/>
  <c r="AN507" i="2"/>
  <c r="AN508" i="2"/>
  <c r="AN509" i="2"/>
  <c r="AN510" i="2"/>
  <c r="AN511" i="2"/>
  <c r="AN512" i="2"/>
  <c r="AN513" i="2"/>
  <c r="AN514" i="2"/>
  <c r="AN515" i="2"/>
  <c r="AN516" i="2"/>
  <c r="AN517" i="2"/>
  <c r="AN518" i="2"/>
  <c r="AN519" i="2"/>
  <c r="AN520" i="2"/>
  <c r="AN521" i="2"/>
  <c r="AN522" i="2"/>
  <c r="AN523" i="2"/>
  <c r="AN524" i="2"/>
  <c r="AN525" i="2"/>
  <c r="AN526" i="2"/>
  <c r="AN527" i="2"/>
  <c r="AN528" i="2"/>
  <c r="AN529" i="2"/>
  <c r="AN530" i="2"/>
  <c r="AN531" i="2"/>
  <c r="AN532" i="2"/>
  <c r="AN533" i="2"/>
  <c r="AN534" i="2"/>
  <c r="AN535" i="2"/>
  <c r="AN536" i="2"/>
  <c r="AN537" i="2"/>
  <c r="AN538" i="2"/>
  <c r="AN539" i="2"/>
  <c r="AN540" i="2"/>
  <c r="AN541" i="2"/>
  <c r="AN542" i="2"/>
  <c r="AN543" i="2"/>
  <c r="AN544" i="2"/>
  <c r="AN545" i="2"/>
  <c r="AN546" i="2"/>
  <c r="AN547" i="2"/>
  <c r="AN548" i="2"/>
  <c r="AN549" i="2"/>
  <c r="AN7" i="2"/>
  <c r="AU519" i="17" l="1"/>
  <c r="O429" i="2" l="1"/>
  <c r="AS356" i="17" l="1"/>
  <c r="T397" i="30" l="1"/>
  <c r="R397" i="30"/>
  <c r="E397" i="30"/>
  <c r="D397" i="30"/>
  <c r="T396" i="30"/>
  <c r="R396" i="30"/>
  <c r="E396" i="30"/>
  <c r="D396" i="30"/>
  <c r="T395" i="30"/>
  <c r="R395" i="30"/>
  <c r="E395" i="30"/>
  <c r="D395" i="30"/>
  <c r="T394" i="30"/>
  <c r="R394" i="30"/>
  <c r="E394" i="30"/>
  <c r="D394" i="30"/>
  <c r="T393" i="30"/>
  <c r="R393" i="30"/>
  <c r="E393" i="30"/>
  <c r="D393" i="30"/>
  <c r="T392" i="30"/>
  <c r="R392" i="30"/>
  <c r="E392" i="30"/>
  <c r="D392" i="30"/>
  <c r="T391" i="30"/>
  <c r="R391" i="30"/>
  <c r="E391" i="30"/>
  <c r="D391" i="30"/>
  <c r="T390" i="30"/>
  <c r="R390" i="30"/>
  <c r="E390" i="30"/>
  <c r="D390" i="30"/>
  <c r="S388" i="30"/>
  <c r="R388" i="30"/>
  <c r="P388" i="30"/>
  <c r="S387" i="30"/>
  <c r="R387" i="30"/>
  <c r="P387" i="30"/>
  <c r="I387" i="30"/>
  <c r="I386" i="30" s="1"/>
  <c r="I385" i="30" s="1"/>
  <c r="I384" i="30" s="1"/>
  <c r="I383" i="30" s="1"/>
  <c r="H387" i="30"/>
  <c r="H386" i="30" s="1"/>
  <c r="H385" i="30" s="1"/>
  <c r="H384" i="30" s="1"/>
  <c r="H383" i="30" s="1"/>
  <c r="G387" i="30"/>
  <c r="G386" i="30" s="1"/>
  <c r="G385" i="30" s="1"/>
  <c r="G384" i="30" s="1"/>
  <c r="G383" i="30" s="1"/>
  <c r="S386" i="30"/>
  <c r="R386" i="30"/>
  <c r="P386" i="30"/>
  <c r="S385" i="30"/>
  <c r="R385" i="30"/>
  <c r="P385" i="30"/>
  <c r="S384" i="30"/>
  <c r="R384" i="30"/>
  <c r="P384" i="30"/>
  <c r="S383" i="30"/>
  <c r="R383" i="30"/>
  <c r="T381" i="30"/>
  <c r="R381" i="30"/>
  <c r="E381" i="30"/>
  <c r="E379" i="30" s="1"/>
  <c r="E378" i="30" s="1"/>
  <c r="D381" i="30"/>
  <c r="S379" i="30"/>
  <c r="R379" i="30"/>
  <c r="P379" i="30"/>
  <c r="N379" i="30"/>
  <c r="N378" i="30" s="1"/>
  <c r="S378" i="30"/>
  <c r="R378" i="30"/>
  <c r="P378" i="30"/>
  <c r="T376" i="30"/>
  <c r="R376" i="30"/>
  <c r="E376" i="30"/>
  <c r="D376" i="30"/>
  <c r="T375" i="30"/>
  <c r="R375" i="30"/>
  <c r="E375" i="30"/>
  <c r="D375" i="30"/>
  <c r="S373" i="30"/>
  <c r="R373" i="30"/>
  <c r="P373" i="30"/>
  <c r="T371" i="30"/>
  <c r="R371" i="30"/>
  <c r="E371" i="30"/>
  <c r="D371" i="30"/>
  <c r="T370" i="30"/>
  <c r="R370" i="30"/>
  <c r="E370" i="30"/>
  <c r="D370" i="30"/>
  <c r="S368" i="30"/>
  <c r="R368" i="30"/>
  <c r="P368" i="30"/>
  <c r="T366" i="30"/>
  <c r="R366" i="30"/>
  <c r="E366" i="30"/>
  <c r="D366" i="30"/>
  <c r="T365" i="30"/>
  <c r="R365" i="30"/>
  <c r="E365" i="30"/>
  <c r="D365" i="30"/>
  <c r="S363" i="30"/>
  <c r="R363" i="30"/>
  <c r="P363" i="30"/>
  <c r="T361" i="30"/>
  <c r="R361" i="30"/>
  <c r="E361" i="30"/>
  <c r="E359" i="30" s="1"/>
  <c r="D361" i="30"/>
  <c r="S359" i="30"/>
  <c r="R359" i="30"/>
  <c r="P359" i="30"/>
  <c r="T357" i="30"/>
  <c r="R357" i="30"/>
  <c r="E357" i="30"/>
  <c r="D357" i="30"/>
  <c r="T356" i="30"/>
  <c r="R356" i="30"/>
  <c r="E356" i="30"/>
  <c r="D356" i="30"/>
  <c r="S354" i="30"/>
  <c r="R354" i="30"/>
  <c r="P354" i="30"/>
  <c r="S353" i="30"/>
  <c r="R353" i="30"/>
  <c r="P353" i="30"/>
  <c r="R351" i="30"/>
  <c r="O351" i="30"/>
  <c r="N351" i="30" s="1"/>
  <c r="N348" i="30" s="1"/>
  <c r="N347" i="30" s="1"/>
  <c r="E351" i="30"/>
  <c r="E348" i="30" s="1"/>
  <c r="E347" i="30" s="1"/>
  <c r="D351" i="30"/>
  <c r="S350" i="30"/>
  <c r="R350" i="30"/>
  <c r="S348" i="30"/>
  <c r="R348" i="30"/>
  <c r="P348" i="30"/>
  <c r="S347" i="30"/>
  <c r="R347" i="30"/>
  <c r="P347" i="30"/>
  <c r="T345" i="30"/>
  <c r="R345" i="30"/>
  <c r="E345" i="30"/>
  <c r="D345" i="30"/>
  <c r="T344" i="30"/>
  <c r="R344" i="30"/>
  <c r="E344" i="30"/>
  <c r="D344" i="30"/>
  <c r="T343" i="30"/>
  <c r="R343" i="30"/>
  <c r="E343" i="30"/>
  <c r="D343" i="30"/>
  <c r="T342" i="30"/>
  <c r="R342" i="30"/>
  <c r="E342" i="30"/>
  <c r="D342" i="30"/>
  <c r="T341" i="30"/>
  <c r="R341" i="30"/>
  <c r="E341" i="30"/>
  <c r="D341" i="30"/>
  <c r="T340" i="30"/>
  <c r="R340" i="30"/>
  <c r="E340" i="30"/>
  <c r="D340" i="30"/>
  <c r="T339" i="30"/>
  <c r="E339" i="30"/>
  <c r="D339" i="30"/>
  <c r="T338" i="30"/>
  <c r="R338" i="30"/>
  <c r="E338" i="30"/>
  <c r="D338" i="30"/>
  <c r="T337" i="30"/>
  <c r="R337" i="30"/>
  <c r="E337" i="30"/>
  <c r="D337" i="30"/>
  <c r="T336" i="30"/>
  <c r="R336" i="30"/>
  <c r="E336" i="30"/>
  <c r="D336" i="30"/>
  <c r="T335" i="30"/>
  <c r="R335" i="30"/>
  <c r="E335" i="30"/>
  <c r="D335" i="30"/>
  <c r="T334" i="30"/>
  <c r="R334" i="30"/>
  <c r="E334" i="30"/>
  <c r="D334" i="30"/>
  <c r="T333" i="30"/>
  <c r="R333" i="30"/>
  <c r="E333" i="30"/>
  <c r="D333" i="30"/>
  <c r="T332" i="30"/>
  <c r="R332" i="30"/>
  <c r="E332" i="30"/>
  <c r="D332" i="30"/>
  <c r="T331" i="30"/>
  <c r="R331" i="30"/>
  <c r="E331" i="30"/>
  <c r="D331" i="30"/>
  <c r="T330" i="30"/>
  <c r="R330" i="30"/>
  <c r="N330" i="30"/>
  <c r="E330" i="30"/>
  <c r="D330" i="30"/>
  <c r="S328" i="30"/>
  <c r="R328" i="30"/>
  <c r="P328" i="30"/>
  <c r="S327" i="30"/>
  <c r="R327" i="30"/>
  <c r="P327" i="30"/>
  <c r="T325" i="30"/>
  <c r="R325" i="30"/>
  <c r="E325" i="30"/>
  <c r="E323" i="30" s="1"/>
  <c r="D325" i="30"/>
  <c r="S323" i="30"/>
  <c r="R323" i="30"/>
  <c r="P323" i="30"/>
  <c r="T321" i="30"/>
  <c r="R321" i="30"/>
  <c r="E321" i="30"/>
  <c r="D321" i="30"/>
  <c r="T320" i="30"/>
  <c r="R320" i="30"/>
  <c r="N320" i="30"/>
  <c r="E320" i="30"/>
  <c r="D320" i="30"/>
  <c r="T319" i="30"/>
  <c r="R319" i="30"/>
  <c r="E319" i="30"/>
  <c r="D319" i="30"/>
  <c r="S317" i="30"/>
  <c r="R317" i="30"/>
  <c r="P317" i="30"/>
  <c r="T315" i="30"/>
  <c r="R315" i="30"/>
  <c r="O315" i="30"/>
  <c r="N315" i="30" s="1"/>
  <c r="E315" i="30"/>
  <c r="D315" i="30"/>
  <c r="S313" i="30"/>
  <c r="R313" i="30"/>
  <c r="P313" i="30"/>
  <c r="S312" i="30"/>
  <c r="R312" i="30"/>
  <c r="T310" i="30"/>
  <c r="R310" i="30"/>
  <c r="E310" i="30"/>
  <c r="D310" i="30"/>
  <c r="T309" i="30"/>
  <c r="R309" i="30"/>
  <c r="E309" i="30"/>
  <c r="D309" i="30"/>
  <c r="S307" i="30"/>
  <c r="R307" i="30"/>
  <c r="P307" i="30"/>
  <c r="T305" i="30"/>
  <c r="R305" i="30"/>
  <c r="E305" i="30"/>
  <c r="D305" i="30"/>
  <c r="T304" i="30"/>
  <c r="R304" i="30"/>
  <c r="E304" i="30"/>
  <c r="D304" i="30"/>
  <c r="T303" i="30"/>
  <c r="R303" i="30"/>
  <c r="E303" i="30"/>
  <c r="D303" i="30"/>
  <c r="T302" i="30"/>
  <c r="R302" i="30"/>
  <c r="E302" i="30"/>
  <c r="D302" i="30"/>
  <c r="S300" i="30"/>
  <c r="R300" i="30"/>
  <c r="P300" i="30"/>
  <c r="T298" i="30"/>
  <c r="R298" i="30"/>
  <c r="E298" i="30"/>
  <c r="D298" i="30"/>
  <c r="T297" i="30"/>
  <c r="R297" i="30"/>
  <c r="E297" i="30"/>
  <c r="D297" i="30"/>
  <c r="T296" i="30"/>
  <c r="R296" i="30"/>
  <c r="E296" i="30"/>
  <c r="D296" i="30"/>
  <c r="T295" i="30"/>
  <c r="R295" i="30"/>
  <c r="E295" i="30"/>
  <c r="D295" i="30"/>
  <c r="T294" i="30"/>
  <c r="R294" i="30"/>
  <c r="E294" i="30"/>
  <c r="D294" i="30"/>
  <c r="T293" i="30"/>
  <c r="R293" i="30"/>
  <c r="E293" i="30"/>
  <c r="D293" i="30"/>
  <c r="S291" i="30"/>
  <c r="R291" i="30"/>
  <c r="P291" i="30"/>
  <c r="S290" i="30"/>
  <c r="R290" i="30"/>
  <c r="P290" i="30"/>
  <c r="S289" i="30"/>
  <c r="R289" i="30"/>
  <c r="T287" i="30"/>
  <c r="R287" i="30"/>
  <c r="E287" i="30"/>
  <c r="E285" i="30" s="1"/>
  <c r="D287" i="30"/>
  <c r="S285" i="30"/>
  <c r="R285" i="30"/>
  <c r="P285" i="30"/>
  <c r="T283" i="30"/>
  <c r="R283" i="30"/>
  <c r="E283" i="30"/>
  <c r="D283" i="30"/>
  <c r="T282" i="30"/>
  <c r="R282" i="30"/>
  <c r="E282" i="30"/>
  <c r="D282" i="30"/>
  <c r="T281" i="30"/>
  <c r="R281" i="30"/>
  <c r="E281" i="30"/>
  <c r="D281" i="30"/>
  <c r="T280" i="30"/>
  <c r="R280" i="30"/>
  <c r="E280" i="30"/>
  <c r="D280" i="30"/>
  <c r="T279" i="30"/>
  <c r="R279" i="30"/>
  <c r="E279" i="30"/>
  <c r="D279" i="30"/>
  <c r="G279" i="30" s="1"/>
  <c r="I277" i="30"/>
  <c r="I276" i="30" s="1"/>
  <c r="I275" i="30" s="1"/>
  <c r="I274" i="30" s="1"/>
  <c r="I273" i="30" s="1"/>
  <c r="I272" i="30" s="1"/>
  <c r="H276" i="30"/>
  <c r="H275" i="30" s="1"/>
  <c r="H274" i="30" s="1"/>
  <c r="H273" i="30" s="1"/>
  <c r="G276" i="30"/>
  <c r="G275" i="30" s="1"/>
  <c r="G274" i="30" s="1"/>
  <c r="G273" i="30" s="1"/>
  <c r="T270" i="30"/>
  <c r="S270" i="30"/>
  <c r="R270" i="30"/>
  <c r="Q270" i="30"/>
  <c r="P270" i="30"/>
  <c r="O270" i="30"/>
  <c r="N270" i="30"/>
  <c r="L270" i="30"/>
  <c r="K270" i="30"/>
  <c r="J270" i="30"/>
  <c r="I270" i="30"/>
  <c r="H270" i="30"/>
  <c r="G270" i="30"/>
  <c r="F270" i="30"/>
  <c r="S265" i="30"/>
  <c r="R265" i="30"/>
  <c r="P265" i="30"/>
  <c r="O265" i="30"/>
  <c r="J265" i="30"/>
  <c r="D265" i="30"/>
  <c r="E264" i="30"/>
  <c r="S260" i="30"/>
  <c r="R260" i="30"/>
  <c r="P260" i="30"/>
  <c r="O260" i="30"/>
  <c r="J260" i="30"/>
  <c r="L260" i="30" s="1"/>
  <c r="D260" i="30"/>
  <c r="S259" i="30"/>
  <c r="R259" i="30"/>
  <c r="P259" i="30"/>
  <c r="O259" i="30"/>
  <c r="J259" i="30"/>
  <c r="D259" i="30"/>
  <c r="S258" i="30"/>
  <c r="R258" i="30"/>
  <c r="P258" i="30"/>
  <c r="O258" i="30"/>
  <c r="J258" i="30"/>
  <c r="L258" i="30" s="1"/>
  <c r="D258" i="30"/>
  <c r="S257" i="30"/>
  <c r="R257" i="30"/>
  <c r="P257" i="30"/>
  <c r="O257" i="30"/>
  <c r="N257" i="30"/>
  <c r="L257" i="30"/>
  <c r="D257" i="30"/>
  <c r="S256" i="30"/>
  <c r="R256" i="30"/>
  <c r="P256" i="30"/>
  <c r="O256" i="30"/>
  <c r="J256" i="30"/>
  <c r="N256" i="30" s="1"/>
  <c r="D256" i="30"/>
  <c r="S255" i="30"/>
  <c r="R255" i="30"/>
  <c r="P255" i="30"/>
  <c r="O255" i="30"/>
  <c r="J255" i="30"/>
  <c r="L255" i="30" s="1"/>
  <c r="D255" i="30"/>
  <c r="S254" i="30"/>
  <c r="R254" i="30"/>
  <c r="P254" i="30"/>
  <c r="O254" i="30"/>
  <c r="J254" i="30"/>
  <c r="L254" i="30" s="1"/>
  <c r="C254" i="30"/>
  <c r="T254" i="30" s="1"/>
  <c r="S253" i="30"/>
  <c r="R253" i="30"/>
  <c r="P253" i="30"/>
  <c r="O253" i="30"/>
  <c r="J253" i="30"/>
  <c r="D253" i="30"/>
  <c r="S252" i="30"/>
  <c r="R252" i="30"/>
  <c r="P252" i="30"/>
  <c r="O252" i="30"/>
  <c r="J252" i="30"/>
  <c r="L252" i="30" s="1"/>
  <c r="D252" i="30"/>
  <c r="S251" i="30"/>
  <c r="R251" i="30"/>
  <c r="P251" i="30"/>
  <c r="E251" i="30"/>
  <c r="S250" i="30"/>
  <c r="R250" i="30"/>
  <c r="P250" i="30"/>
  <c r="O250" i="30"/>
  <c r="J250" i="30"/>
  <c r="F250" i="30"/>
  <c r="C250" i="30"/>
  <c r="T250" i="30" s="1"/>
  <c r="S249" i="30"/>
  <c r="R249" i="30"/>
  <c r="P249" i="30"/>
  <c r="L249" i="30"/>
  <c r="E249" i="30"/>
  <c r="S248" i="30"/>
  <c r="R248" i="30"/>
  <c r="P248" i="30"/>
  <c r="O248" i="30"/>
  <c r="J248" i="30"/>
  <c r="N248" i="30" s="1"/>
  <c r="F248" i="30"/>
  <c r="S247" i="30"/>
  <c r="R247" i="30"/>
  <c r="P247" i="30"/>
  <c r="O247" i="30"/>
  <c r="J247" i="30"/>
  <c r="N247" i="30" s="1"/>
  <c r="F247" i="30"/>
  <c r="S246" i="30"/>
  <c r="R246" i="30"/>
  <c r="P246" i="30"/>
  <c r="O246" i="30"/>
  <c r="N246" i="30"/>
  <c r="L246" i="30"/>
  <c r="S245" i="30"/>
  <c r="R245" i="30"/>
  <c r="P245" i="30"/>
  <c r="O245" i="30"/>
  <c r="J245" i="30"/>
  <c r="N245" i="30" s="1"/>
  <c r="D245" i="30"/>
  <c r="S244" i="30"/>
  <c r="R244" i="30"/>
  <c r="P244" i="30"/>
  <c r="E244" i="30"/>
  <c r="T243" i="30"/>
  <c r="S243" i="30"/>
  <c r="R243" i="30"/>
  <c r="P243" i="30"/>
  <c r="J243" i="30"/>
  <c r="F243" i="30"/>
  <c r="S242" i="30"/>
  <c r="R242" i="30"/>
  <c r="P242" i="30"/>
  <c r="S241" i="30"/>
  <c r="R241" i="30"/>
  <c r="P241" i="30"/>
  <c r="S240" i="30"/>
  <c r="R240" i="30"/>
  <c r="P240" i="30"/>
  <c r="N240" i="30"/>
  <c r="S239" i="30"/>
  <c r="R239" i="30"/>
  <c r="P239" i="30"/>
  <c r="T238" i="30"/>
  <c r="S238" i="30"/>
  <c r="R238" i="30"/>
  <c r="P238" i="30"/>
  <c r="O238" i="30"/>
  <c r="J238" i="30"/>
  <c r="F238" i="30"/>
  <c r="E238" i="30"/>
  <c r="D238" i="30"/>
  <c r="C238" i="30"/>
  <c r="T237" i="30"/>
  <c r="S237" i="30"/>
  <c r="R237" i="30"/>
  <c r="P237" i="30"/>
  <c r="O237" i="30"/>
  <c r="J237" i="30"/>
  <c r="L237" i="30" s="1"/>
  <c r="F237" i="30"/>
  <c r="E237" i="30"/>
  <c r="D237" i="30"/>
  <c r="C237" i="30"/>
  <c r="T236" i="30"/>
  <c r="S236" i="30"/>
  <c r="R236" i="30"/>
  <c r="P236" i="30"/>
  <c r="O236" i="30"/>
  <c r="J236" i="30"/>
  <c r="F236" i="30"/>
  <c r="E236" i="30"/>
  <c r="D236" i="30"/>
  <c r="C236" i="30"/>
  <c r="T235" i="30"/>
  <c r="S235" i="30"/>
  <c r="R235" i="30"/>
  <c r="P235" i="30"/>
  <c r="O235" i="30"/>
  <c r="J235" i="30"/>
  <c r="F235" i="30"/>
  <c r="E235" i="30"/>
  <c r="D235" i="30"/>
  <c r="C235" i="30"/>
  <c r="S234" i="30"/>
  <c r="R234" i="30"/>
  <c r="P234" i="30"/>
  <c r="S233" i="30"/>
  <c r="R233" i="30"/>
  <c r="P233" i="30"/>
  <c r="E233" i="30"/>
  <c r="S231" i="30"/>
  <c r="R231" i="30"/>
  <c r="P231" i="30"/>
  <c r="F231" i="30"/>
  <c r="S230" i="30"/>
  <c r="R230" i="30"/>
  <c r="P230" i="30"/>
  <c r="I230" i="30"/>
  <c r="I229" i="30" s="1"/>
  <c r="I228" i="30" s="1"/>
  <c r="I227" i="30" s="1"/>
  <c r="I226" i="30" s="1"/>
  <c r="H230" i="30"/>
  <c r="H229" i="30" s="1"/>
  <c r="H228" i="30" s="1"/>
  <c r="H227" i="30" s="1"/>
  <c r="H226" i="30" s="1"/>
  <c r="G230" i="30"/>
  <c r="G229" i="30" s="1"/>
  <c r="G228" i="30" s="1"/>
  <c r="G227" i="30" s="1"/>
  <c r="G226" i="30" s="1"/>
  <c r="S229" i="30"/>
  <c r="R229" i="30"/>
  <c r="P229" i="30"/>
  <c r="S228" i="30"/>
  <c r="R228" i="30"/>
  <c r="P228" i="30"/>
  <c r="S227" i="30"/>
  <c r="R227" i="30"/>
  <c r="P227" i="30"/>
  <c r="S226" i="30"/>
  <c r="R226" i="30"/>
  <c r="S224" i="30"/>
  <c r="R224" i="30"/>
  <c r="P224" i="30"/>
  <c r="O224" i="30"/>
  <c r="J224" i="30"/>
  <c r="D224" i="30"/>
  <c r="S223" i="30"/>
  <c r="R223" i="30"/>
  <c r="P223" i="30"/>
  <c r="O223" i="30"/>
  <c r="J223" i="30"/>
  <c r="N223" i="30" s="1"/>
  <c r="D223" i="30"/>
  <c r="S221" i="30"/>
  <c r="R221" i="30"/>
  <c r="P221" i="30"/>
  <c r="L219" i="30"/>
  <c r="L217" i="30" s="1"/>
  <c r="L216" i="30" s="1"/>
  <c r="S217" i="30"/>
  <c r="R217" i="30"/>
  <c r="P217" i="30"/>
  <c r="J217" i="30"/>
  <c r="K217" i="30" s="1"/>
  <c r="S216" i="30"/>
  <c r="R216" i="30"/>
  <c r="P216" i="30"/>
  <c r="J216" i="30"/>
  <c r="K216" i="30" s="1"/>
  <c r="O214" i="30"/>
  <c r="T213" i="30"/>
  <c r="S213" i="30"/>
  <c r="R213" i="30"/>
  <c r="P213" i="30"/>
  <c r="O213" i="30"/>
  <c r="J213" i="30"/>
  <c r="F213" i="30"/>
  <c r="E213" i="30"/>
  <c r="D213" i="30"/>
  <c r="C213" i="30"/>
  <c r="T212" i="30"/>
  <c r="S212" i="30"/>
  <c r="R212" i="30"/>
  <c r="P212" i="30"/>
  <c r="O212" i="30"/>
  <c r="J212" i="30"/>
  <c r="F212" i="30"/>
  <c r="E212" i="30"/>
  <c r="D212" i="30"/>
  <c r="C212" i="30"/>
  <c r="T211" i="30"/>
  <c r="S211" i="30"/>
  <c r="R211" i="30"/>
  <c r="P211" i="30"/>
  <c r="O211" i="30"/>
  <c r="J211" i="30"/>
  <c r="L211" i="30" s="1"/>
  <c r="F211" i="30"/>
  <c r="E211" i="30"/>
  <c r="D211" i="30"/>
  <c r="C211" i="30"/>
  <c r="S209" i="30"/>
  <c r="R209" i="30"/>
  <c r="P209" i="30"/>
  <c r="F209" i="30"/>
  <c r="S205" i="30"/>
  <c r="R205" i="30"/>
  <c r="P205" i="30"/>
  <c r="J205" i="30"/>
  <c r="J204" i="30" s="1"/>
  <c r="K204" i="30" s="1"/>
  <c r="F205" i="30"/>
  <c r="S204" i="30"/>
  <c r="R204" i="30"/>
  <c r="P204" i="30"/>
  <c r="N204" i="30"/>
  <c r="F204" i="30"/>
  <c r="S202" i="30"/>
  <c r="R202" i="30"/>
  <c r="P202" i="30"/>
  <c r="O202" i="30"/>
  <c r="T201" i="30"/>
  <c r="S201" i="30"/>
  <c r="R201" i="30"/>
  <c r="P201" i="30"/>
  <c r="O201" i="30"/>
  <c r="J201" i="30"/>
  <c r="F201" i="30"/>
  <c r="E201" i="30"/>
  <c r="D201" i="30"/>
  <c r="T200" i="30"/>
  <c r="S200" i="30"/>
  <c r="R200" i="30"/>
  <c r="P200" i="30"/>
  <c r="O200" i="30"/>
  <c r="J200" i="30"/>
  <c r="F200" i="30"/>
  <c r="E200" i="30"/>
  <c r="D200" i="30"/>
  <c r="C200" i="30"/>
  <c r="T199" i="30"/>
  <c r="S199" i="30"/>
  <c r="R199" i="30"/>
  <c r="P199" i="30"/>
  <c r="O199" i="30"/>
  <c r="J199" i="30"/>
  <c r="F199" i="30"/>
  <c r="E199" i="30"/>
  <c r="D199" i="30"/>
  <c r="C199" i="30"/>
  <c r="T198" i="30"/>
  <c r="S198" i="30"/>
  <c r="R198" i="30"/>
  <c r="P198" i="30"/>
  <c r="O198" i="30"/>
  <c r="J198" i="30"/>
  <c r="F198" i="30"/>
  <c r="E198" i="30"/>
  <c r="D198" i="30"/>
  <c r="S196" i="30"/>
  <c r="R196" i="30"/>
  <c r="P196" i="30"/>
  <c r="F196" i="30"/>
  <c r="S194" i="30"/>
  <c r="R194" i="30"/>
  <c r="P194" i="30"/>
  <c r="T193" i="30"/>
  <c r="S193" i="30"/>
  <c r="R193" i="30"/>
  <c r="P193" i="30"/>
  <c r="O193" i="30"/>
  <c r="J193" i="30"/>
  <c r="F193" i="30"/>
  <c r="E193" i="30"/>
  <c r="D193" i="30"/>
  <c r="C193" i="30"/>
  <c r="T192" i="30"/>
  <c r="S192" i="30"/>
  <c r="R192" i="30"/>
  <c r="P192" i="30"/>
  <c r="O192" i="30"/>
  <c r="J192" i="30"/>
  <c r="F192" i="30"/>
  <c r="E192" i="30"/>
  <c r="D192" i="30"/>
  <c r="C192" i="30"/>
  <c r="T191" i="30"/>
  <c r="S191" i="30"/>
  <c r="R191" i="30"/>
  <c r="P191" i="30"/>
  <c r="O191" i="30"/>
  <c r="J191" i="30"/>
  <c r="L191" i="30" s="1"/>
  <c r="F191" i="30"/>
  <c r="E191" i="30"/>
  <c r="D191" i="30"/>
  <c r="C191" i="30"/>
  <c r="T190" i="30"/>
  <c r="S190" i="30"/>
  <c r="R190" i="30"/>
  <c r="P190" i="30"/>
  <c r="O190" i="30"/>
  <c r="J190" i="30"/>
  <c r="F190" i="30"/>
  <c r="E190" i="30"/>
  <c r="D190" i="30"/>
  <c r="C190" i="30"/>
  <c r="S188" i="30"/>
  <c r="R188" i="30"/>
  <c r="P188" i="30"/>
  <c r="F188" i="30"/>
  <c r="S186" i="30"/>
  <c r="R186" i="30"/>
  <c r="P186" i="30"/>
  <c r="T185" i="30"/>
  <c r="S185" i="30"/>
  <c r="R185" i="30"/>
  <c r="P185" i="30"/>
  <c r="O185" i="30"/>
  <c r="J185" i="30"/>
  <c r="F185" i="30"/>
  <c r="E185" i="30"/>
  <c r="D185" i="30"/>
  <c r="C185" i="30"/>
  <c r="T184" i="30"/>
  <c r="S184" i="30"/>
  <c r="R184" i="30"/>
  <c r="P184" i="30"/>
  <c r="O184" i="30"/>
  <c r="J184" i="30"/>
  <c r="F184" i="30"/>
  <c r="E184" i="30"/>
  <c r="D184" i="30"/>
  <c r="C184" i="30"/>
  <c r="T183" i="30"/>
  <c r="S183" i="30"/>
  <c r="R183" i="30"/>
  <c r="P183" i="30"/>
  <c r="O183" i="30"/>
  <c r="J183" i="30"/>
  <c r="F183" i="30"/>
  <c r="E183" i="30"/>
  <c r="D183" i="30"/>
  <c r="C183" i="30"/>
  <c r="T182" i="30"/>
  <c r="S182" i="30"/>
  <c r="R182" i="30"/>
  <c r="P182" i="30"/>
  <c r="O182" i="30"/>
  <c r="J182" i="30"/>
  <c r="F182" i="30"/>
  <c r="E182" i="30"/>
  <c r="D182" i="30"/>
  <c r="C182" i="30"/>
  <c r="S180" i="30"/>
  <c r="R180" i="30"/>
  <c r="P180" i="30"/>
  <c r="F180" i="30"/>
  <c r="T178" i="30"/>
  <c r="S178" i="30"/>
  <c r="R178" i="30"/>
  <c r="P178" i="30"/>
  <c r="O178" i="30"/>
  <c r="J178" i="30"/>
  <c r="F178" i="30"/>
  <c r="E178" i="30"/>
  <c r="D178" i="30"/>
  <c r="C178" i="30"/>
  <c r="S176" i="30"/>
  <c r="R176" i="30"/>
  <c r="P176" i="30"/>
  <c r="F176" i="30"/>
  <c r="S175" i="30"/>
  <c r="R175" i="30"/>
  <c r="P175" i="30"/>
  <c r="L173" i="30"/>
  <c r="L171" i="30" s="1"/>
  <c r="S171" i="30"/>
  <c r="R171" i="30"/>
  <c r="P171" i="30"/>
  <c r="N171" i="30"/>
  <c r="J171" i="30"/>
  <c r="K171" i="30" s="1"/>
  <c r="L169" i="30"/>
  <c r="S167" i="30"/>
  <c r="R167" i="30"/>
  <c r="P167" i="30"/>
  <c r="N167" i="30"/>
  <c r="J167" i="30"/>
  <c r="L167" i="30" s="1"/>
  <c r="L165" i="30"/>
  <c r="S163" i="30"/>
  <c r="R163" i="30"/>
  <c r="P163" i="30"/>
  <c r="N163" i="30"/>
  <c r="J163" i="30"/>
  <c r="L163" i="30" s="1"/>
  <c r="L161" i="30"/>
  <c r="S159" i="30"/>
  <c r="R159" i="30"/>
  <c r="P159" i="30"/>
  <c r="N159" i="30"/>
  <c r="J159" i="30"/>
  <c r="S158" i="30"/>
  <c r="R158" i="30"/>
  <c r="P158" i="30"/>
  <c r="L156" i="30"/>
  <c r="L154" i="30" s="1"/>
  <c r="S154" i="30"/>
  <c r="R154" i="30"/>
  <c r="P154" i="30"/>
  <c r="J154" i="30"/>
  <c r="K154" i="30" s="1"/>
  <c r="T149" i="30"/>
  <c r="S149" i="30"/>
  <c r="R149" i="30"/>
  <c r="P149" i="30"/>
  <c r="O149" i="30"/>
  <c r="J149" i="30"/>
  <c r="J147" i="30" s="1"/>
  <c r="F149" i="30"/>
  <c r="E149" i="30"/>
  <c r="D149" i="30"/>
  <c r="C149" i="30"/>
  <c r="S147" i="30"/>
  <c r="R147" i="30"/>
  <c r="P147" i="30"/>
  <c r="F147" i="30"/>
  <c r="S145" i="30"/>
  <c r="R145" i="30"/>
  <c r="P145" i="30"/>
  <c r="T144" i="30"/>
  <c r="S144" i="30"/>
  <c r="R144" i="30"/>
  <c r="P144" i="30"/>
  <c r="O144" i="30"/>
  <c r="J144" i="30"/>
  <c r="F144" i="30"/>
  <c r="E144" i="30"/>
  <c r="D144" i="30"/>
  <c r="C144" i="30"/>
  <c r="T143" i="30"/>
  <c r="S143" i="30"/>
  <c r="R143" i="30"/>
  <c r="P143" i="30"/>
  <c r="O143" i="30"/>
  <c r="J143" i="30"/>
  <c r="F143" i="30"/>
  <c r="E143" i="30"/>
  <c r="D143" i="30"/>
  <c r="C143" i="30"/>
  <c r="T142" i="30"/>
  <c r="S142" i="30"/>
  <c r="R142" i="30"/>
  <c r="P142" i="30"/>
  <c r="O142" i="30"/>
  <c r="J142" i="30"/>
  <c r="F142" i="30"/>
  <c r="E142" i="30"/>
  <c r="D142" i="30"/>
  <c r="C142" i="30"/>
  <c r="S140" i="30"/>
  <c r="R140" i="30"/>
  <c r="P140" i="30"/>
  <c r="K140" i="30"/>
  <c r="F140" i="30"/>
  <c r="S139" i="30"/>
  <c r="R139" i="30"/>
  <c r="P139" i="30"/>
  <c r="K139" i="30"/>
  <c r="F139" i="30"/>
  <c r="S136" i="30"/>
  <c r="R136" i="30"/>
  <c r="P136" i="30"/>
  <c r="T135" i="30"/>
  <c r="S135" i="30"/>
  <c r="R135" i="30"/>
  <c r="P135" i="30"/>
  <c r="O135" i="30"/>
  <c r="J135" i="30"/>
  <c r="F135" i="30"/>
  <c r="E135" i="30"/>
  <c r="D135" i="30"/>
  <c r="C135" i="30"/>
  <c r="T134" i="30"/>
  <c r="S134" i="30"/>
  <c r="R134" i="30"/>
  <c r="P134" i="30"/>
  <c r="O134" i="30"/>
  <c r="J134" i="30"/>
  <c r="F134" i="30"/>
  <c r="E134" i="30"/>
  <c r="D134" i="30"/>
  <c r="C134" i="30"/>
  <c r="T133" i="30"/>
  <c r="S133" i="30"/>
  <c r="R133" i="30"/>
  <c r="P133" i="30"/>
  <c r="O133" i="30"/>
  <c r="J133" i="30"/>
  <c r="F133" i="30"/>
  <c r="E133" i="30"/>
  <c r="D133" i="30"/>
  <c r="C133" i="30"/>
  <c r="T132" i="30"/>
  <c r="S132" i="30"/>
  <c r="R132" i="30"/>
  <c r="P132" i="30"/>
  <c r="O132" i="30"/>
  <c r="J132" i="30"/>
  <c r="F132" i="30"/>
  <c r="E132" i="30"/>
  <c r="D132" i="30"/>
  <c r="C132" i="30"/>
  <c r="T131" i="30"/>
  <c r="S131" i="30"/>
  <c r="R131" i="30"/>
  <c r="P131" i="30"/>
  <c r="O131" i="30"/>
  <c r="J131" i="30"/>
  <c r="F131" i="30"/>
  <c r="E131" i="30"/>
  <c r="D131" i="30"/>
  <c r="C131" i="30"/>
  <c r="T130" i="30"/>
  <c r="S130" i="30"/>
  <c r="R130" i="30"/>
  <c r="P130" i="30"/>
  <c r="O130" i="30"/>
  <c r="J130" i="30"/>
  <c r="F130" i="30"/>
  <c r="E130" i="30"/>
  <c r="D130" i="30"/>
  <c r="C130" i="30"/>
  <c r="T129" i="30"/>
  <c r="S129" i="30"/>
  <c r="R129" i="30"/>
  <c r="P129" i="30"/>
  <c r="O129" i="30"/>
  <c r="J129" i="30"/>
  <c r="F129" i="30"/>
  <c r="E129" i="30"/>
  <c r="D129" i="30"/>
  <c r="C129" i="30"/>
  <c r="T128" i="30"/>
  <c r="S128" i="30"/>
  <c r="R128" i="30"/>
  <c r="P128" i="30"/>
  <c r="O128" i="30"/>
  <c r="J128" i="30"/>
  <c r="F128" i="30"/>
  <c r="E128" i="30"/>
  <c r="D128" i="30"/>
  <c r="C128" i="30"/>
  <c r="T127" i="30"/>
  <c r="S127" i="30"/>
  <c r="R127" i="30"/>
  <c r="P127" i="30"/>
  <c r="O127" i="30"/>
  <c r="J127" i="30"/>
  <c r="F127" i="30"/>
  <c r="E127" i="30"/>
  <c r="D127" i="30"/>
  <c r="C127" i="30"/>
  <c r="T126" i="30"/>
  <c r="S126" i="30"/>
  <c r="R126" i="30"/>
  <c r="P126" i="30"/>
  <c r="O126" i="30"/>
  <c r="J126" i="30"/>
  <c r="F126" i="30"/>
  <c r="E126" i="30"/>
  <c r="D126" i="30"/>
  <c r="C126" i="30"/>
  <c r="T125" i="30"/>
  <c r="S125" i="30"/>
  <c r="R125" i="30"/>
  <c r="P125" i="30"/>
  <c r="O125" i="30"/>
  <c r="J125" i="30"/>
  <c r="L125" i="30" s="1"/>
  <c r="F125" i="30"/>
  <c r="E125" i="30"/>
  <c r="D125" i="30"/>
  <c r="C125" i="30"/>
  <c r="T124" i="30"/>
  <c r="S124" i="30"/>
  <c r="R124" i="30"/>
  <c r="P124" i="30"/>
  <c r="O124" i="30"/>
  <c r="J124" i="30"/>
  <c r="F124" i="30"/>
  <c r="E124" i="30"/>
  <c r="D124" i="30"/>
  <c r="C124" i="30"/>
  <c r="T123" i="30"/>
  <c r="S123" i="30"/>
  <c r="R123" i="30"/>
  <c r="P123" i="30"/>
  <c r="O123" i="30"/>
  <c r="J123" i="30"/>
  <c r="F123" i="30"/>
  <c r="E123" i="30"/>
  <c r="D123" i="30"/>
  <c r="C123" i="30"/>
  <c r="S122" i="30"/>
  <c r="R122" i="30"/>
  <c r="P122" i="30"/>
  <c r="O122" i="30"/>
  <c r="J122" i="30"/>
  <c r="F122" i="30"/>
  <c r="E122" i="30"/>
  <c r="D122" i="30"/>
  <c r="C122" i="30"/>
  <c r="T121" i="30"/>
  <c r="S121" i="30"/>
  <c r="R121" i="30"/>
  <c r="P121" i="30"/>
  <c r="O121" i="30"/>
  <c r="J121" i="30"/>
  <c r="F121" i="30"/>
  <c r="E121" i="30"/>
  <c r="D121" i="30"/>
  <c r="C121" i="30"/>
  <c r="T120" i="30"/>
  <c r="S120" i="30"/>
  <c r="R120" i="30"/>
  <c r="P120" i="30"/>
  <c r="O120" i="30"/>
  <c r="J120" i="30"/>
  <c r="F120" i="30"/>
  <c r="E120" i="30"/>
  <c r="D120" i="30"/>
  <c r="C120" i="30"/>
  <c r="T119" i="30"/>
  <c r="S119" i="30"/>
  <c r="R119" i="30"/>
  <c r="P119" i="30"/>
  <c r="O119" i="30"/>
  <c r="J119" i="30"/>
  <c r="F119" i="30"/>
  <c r="E119" i="30"/>
  <c r="D119" i="30"/>
  <c r="C119" i="30"/>
  <c r="S117" i="30"/>
  <c r="R117" i="30"/>
  <c r="P117" i="30"/>
  <c r="F117" i="30"/>
  <c r="S116" i="30"/>
  <c r="R116" i="30"/>
  <c r="P116" i="30"/>
  <c r="F116" i="30"/>
  <c r="S114" i="30"/>
  <c r="R114" i="30"/>
  <c r="P114" i="30"/>
  <c r="T113" i="30"/>
  <c r="S113" i="30"/>
  <c r="R113" i="30"/>
  <c r="P113" i="30"/>
  <c r="O113" i="30"/>
  <c r="J113" i="30"/>
  <c r="F113" i="30"/>
  <c r="E113" i="30"/>
  <c r="D113" i="30"/>
  <c r="C113" i="30"/>
  <c r="T112" i="30"/>
  <c r="S112" i="30"/>
  <c r="R112" i="30"/>
  <c r="P112" i="30"/>
  <c r="O112" i="30"/>
  <c r="J112" i="30"/>
  <c r="F112" i="30"/>
  <c r="E112" i="30"/>
  <c r="D112" i="30"/>
  <c r="C112" i="30"/>
  <c r="T111" i="30"/>
  <c r="S111" i="30"/>
  <c r="R111" i="30"/>
  <c r="P111" i="30"/>
  <c r="O111" i="30"/>
  <c r="J111" i="30"/>
  <c r="F111" i="30"/>
  <c r="E111" i="30"/>
  <c r="D111" i="30"/>
  <c r="C111" i="30"/>
  <c r="T110" i="30"/>
  <c r="S110" i="30"/>
  <c r="R110" i="30"/>
  <c r="P110" i="30"/>
  <c r="O110" i="30"/>
  <c r="J110" i="30"/>
  <c r="F110" i="30"/>
  <c r="E110" i="30"/>
  <c r="D110" i="30"/>
  <c r="C110" i="30"/>
  <c r="T109" i="30"/>
  <c r="S109" i="30"/>
  <c r="R109" i="30"/>
  <c r="P109" i="30"/>
  <c r="O109" i="30"/>
  <c r="J109" i="30"/>
  <c r="F109" i="30"/>
  <c r="E109" i="30"/>
  <c r="D109" i="30"/>
  <c r="C109" i="30"/>
  <c r="T108" i="30"/>
  <c r="S108" i="30"/>
  <c r="R108" i="30"/>
  <c r="P108" i="30"/>
  <c r="O108" i="30"/>
  <c r="J108" i="30"/>
  <c r="F108" i="30"/>
  <c r="E108" i="30"/>
  <c r="D108" i="30"/>
  <c r="C108" i="30"/>
  <c r="T107" i="30"/>
  <c r="S107" i="30"/>
  <c r="R107" i="30"/>
  <c r="P107" i="30"/>
  <c r="O107" i="30"/>
  <c r="J107" i="30"/>
  <c r="F107" i="30"/>
  <c r="E107" i="30"/>
  <c r="D107" i="30"/>
  <c r="C107" i="30"/>
  <c r="T106" i="30"/>
  <c r="S106" i="30"/>
  <c r="R106" i="30"/>
  <c r="P106" i="30"/>
  <c r="O106" i="30"/>
  <c r="J106" i="30"/>
  <c r="F106" i="30"/>
  <c r="E106" i="30"/>
  <c r="D106" i="30"/>
  <c r="C106" i="30"/>
  <c r="T105" i="30"/>
  <c r="S105" i="30"/>
  <c r="R105" i="30"/>
  <c r="P105" i="30"/>
  <c r="O105" i="30"/>
  <c r="J105" i="30"/>
  <c r="L105" i="30" s="1"/>
  <c r="F105" i="30"/>
  <c r="E105" i="30"/>
  <c r="D105" i="30"/>
  <c r="C105" i="30"/>
  <c r="T104" i="30"/>
  <c r="S104" i="30"/>
  <c r="R104" i="30"/>
  <c r="P104" i="30"/>
  <c r="O104" i="30"/>
  <c r="J104" i="30"/>
  <c r="F104" i="30"/>
  <c r="E104" i="30"/>
  <c r="D104" i="30"/>
  <c r="C104" i="30"/>
  <c r="T103" i="30"/>
  <c r="S103" i="30"/>
  <c r="R103" i="30"/>
  <c r="P103" i="30"/>
  <c r="O103" i="30"/>
  <c r="J103" i="30"/>
  <c r="L103" i="30" s="1"/>
  <c r="F103" i="30"/>
  <c r="E103" i="30"/>
  <c r="D103" i="30"/>
  <c r="C103" i="30"/>
  <c r="T102" i="30"/>
  <c r="S102" i="30"/>
  <c r="R102" i="30"/>
  <c r="P102" i="30"/>
  <c r="O102" i="30"/>
  <c r="J102" i="30"/>
  <c r="F102" i="30"/>
  <c r="E102" i="30"/>
  <c r="D102" i="30"/>
  <c r="C102" i="30"/>
  <c r="S100" i="30"/>
  <c r="R100" i="30"/>
  <c r="P100" i="30"/>
  <c r="F100" i="30"/>
  <c r="S98" i="30"/>
  <c r="R98" i="30"/>
  <c r="P98" i="30"/>
  <c r="T97" i="30"/>
  <c r="S97" i="30"/>
  <c r="R97" i="30"/>
  <c r="P97" i="30"/>
  <c r="O97" i="30"/>
  <c r="J97" i="30"/>
  <c r="F97" i="30"/>
  <c r="E97" i="30"/>
  <c r="D97" i="30"/>
  <c r="C97" i="30"/>
  <c r="T96" i="30"/>
  <c r="S96" i="30"/>
  <c r="R96" i="30"/>
  <c r="P96" i="30"/>
  <c r="O96" i="30"/>
  <c r="J96" i="30"/>
  <c r="F96" i="30"/>
  <c r="E96" i="30"/>
  <c r="D96" i="30"/>
  <c r="C96" i="30"/>
  <c r="T95" i="30"/>
  <c r="S95" i="30"/>
  <c r="R95" i="30"/>
  <c r="P95" i="30"/>
  <c r="O95" i="30"/>
  <c r="J95" i="30"/>
  <c r="F95" i="30"/>
  <c r="E95" i="30"/>
  <c r="D95" i="30"/>
  <c r="C95" i="30"/>
  <c r="T94" i="30"/>
  <c r="S94" i="30"/>
  <c r="R94" i="30"/>
  <c r="P94" i="30"/>
  <c r="O94" i="30"/>
  <c r="J94" i="30"/>
  <c r="F94" i="30"/>
  <c r="E94" i="30"/>
  <c r="D94" i="30"/>
  <c r="T93" i="30"/>
  <c r="S93" i="30"/>
  <c r="R93" i="30"/>
  <c r="P93" i="30"/>
  <c r="O93" i="30"/>
  <c r="J93" i="30"/>
  <c r="F93" i="30"/>
  <c r="E93" i="30"/>
  <c r="D93" i="30"/>
  <c r="C93" i="30"/>
  <c r="S91" i="30"/>
  <c r="R91" i="30"/>
  <c r="P91" i="30"/>
  <c r="F91" i="30"/>
  <c r="S90" i="30"/>
  <c r="R90" i="30"/>
  <c r="F90" i="30"/>
  <c r="S88" i="30"/>
  <c r="R88" i="30"/>
  <c r="P88" i="30"/>
  <c r="T87" i="30"/>
  <c r="S87" i="30"/>
  <c r="R87" i="30"/>
  <c r="P87" i="30"/>
  <c r="O87" i="30"/>
  <c r="J87" i="30"/>
  <c r="F87" i="30"/>
  <c r="E87" i="30"/>
  <c r="D87" i="30"/>
  <c r="C87" i="30"/>
  <c r="T86" i="30"/>
  <c r="S86" i="30"/>
  <c r="R86" i="30"/>
  <c r="P86" i="30"/>
  <c r="O86" i="30"/>
  <c r="J86" i="30"/>
  <c r="F86" i="30"/>
  <c r="E86" i="30"/>
  <c r="D86" i="30"/>
  <c r="C86" i="30"/>
  <c r="T85" i="30"/>
  <c r="S85" i="30"/>
  <c r="R85" i="30"/>
  <c r="P85" i="30"/>
  <c r="O85" i="30"/>
  <c r="J85" i="30"/>
  <c r="F85" i="30"/>
  <c r="E85" i="30"/>
  <c r="D85" i="30"/>
  <c r="C85" i="30"/>
  <c r="T84" i="30"/>
  <c r="S84" i="30"/>
  <c r="R84" i="30"/>
  <c r="P84" i="30"/>
  <c r="O84" i="30"/>
  <c r="J84" i="30"/>
  <c r="F84" i="30"/>
  <c r="E84" i="30"/>
  <c r="D84" i="30"/>
  <c r="C84" i="30"/>
  <c r="S82" i="30"/>
  <c r="R82" i="30"/>
  <c r="P82" i="30"/>
  <c r="F82" i="30"/>
  <c r="S80" i="30"/>
  <c r="R80" i="30"/>
  <c r="P80" i="30"/>
  <c r="S79" i="30"/>
  <c r="R79" i="30"/>
  <c r="P79" i="30"/>
  <c r="O79" i="30"/>
  <c r="J79" i="30"/>
  <c r="N79" i="30" s="1"/>
  <c r="F79" i="30"/>
  <c r="D79" i="30"/>
  <c r="C79" i="30"/>
  <c r="T79" i="30" s="1"/>
  <c r="T78" i="30"/>
  <c r="S78" i="30"/>
  <c r="R78" i="30"/>
  <c r="P78" i="30"/>
  <c r="O78" i="30"/>
  <c r="J78" i="30"/>
  <c r="F78" i="30"/>
  <c r="E78" i="30"/>
  <c r="D78" i="30"/>
  <c r="C78" i="30"/>
  <c r="S77" i="30"/>
  <c r="R77" i="30"/>
  <c r="P77" i="30"/>
  <c r="O77" i="30"/>
  <c r="J77" i="30"/>
  <c r="F77" i="30"/>
  <c r="E77" i="30"/>
  <c r="D77" i="30"/>
  <c r="C77" i="30"/>
  <c r="S75" i="30"/>
  <c r="R75" i="30"/>
  <c r="P75" i="30"/>
  <c r="F75" i="30"/>
  <c r="S72" i="30"/>
  <c r="R72" i="30"/>
  <c r="P72" i="30"/>
  <c r="O72" i="30"/>
  <c r="T71" i="30"/>
  <c r="S71" i="30"/>
  <c r="R71" i="30"/>
  <c r="P71" i="30"/>
  <c r="O71" i="30"/>
  <c r="J71" i="30"/>
  <c r="F71" i="30"/>
  <c r="E71" i="30"/>
  <c r="D71" i="30"/>
  <c r="C71" i="30"/>
  <c r="T70" i="30"/>
  <c r="S70" i="30"/>
  <c r="R70" i="30"/>
  <c r="P70" i="30"/>
  <c r="O70" i="30"/>
  <c r="J70" i="30"/>
  <c r="F70" i="30"/>
  <c r="E70" i="30"/>
  <c r="D70" i="30"/>
  <c r="C70" i="30"/>
  <c r="T69" i="30"/>
  <c r="S69" i="30"/>
  <c r="R69" i="30"/>
  <c r="P69" i="30"/>
  <c r="O69" i="30"/>
  <c r="J69" i="30"/>
  <c r="F69" i="30"/>
  <c r="E69" i="30"/>
  <c r="D69" i="30"/>
  <c r="C69" i="30"/>
  <c r="T68" i="30"/>
  <c r="S68" i="30"/>
  <c r="R68" i="30"/>
  <c r="P68" i="30"/>
  <c r="O68" i="30"/>
  <c r="J68" i="30"/>
  <c r="F68" i="30"/>
  <c r="E68" i="30"/>
  <c r="D68" i="30"/>
  <c r="T67" i="30"/>
  <c r="S67" i="30"/>
  <c r="R67" i="30"/>
  <c r="P67" i="30"/>
  <c r="O67" i="30"/>
  <c r="J67" i="30"/>
  <c r="F67" i="30"/>
  <c r="E67" i="30"/>
  <c r="D67" i="30"/>
  <c r="C67" i="30"/>
  <c r="T66" i="30"/>
  <c r="S66" i="30"/>
  <c r="R66" i="30"/>
  <c r="P66" i="30"/>
  <c r="O66" i="30"/>
  <c r="J66" i="30"/>
  <c r="F66" i="30"/>
  <c r="E66" i="30"/>
  <c r="D66" i="30"/>
  <c r="C66" i="30"/>
  <c r="T65" i="30"/>
  <c r="S65" i="30"/>
  <c r="R65" i="30"/>
  <c r="P65" i="30"/>
  <c r="O65" i="30"/>
  <c r="J65" i="30"/>
  <c r="F65" i="30"/>
  <c r="E65" i="30"/>
  <c r="D65" i="30"/>
  <c r="C65" i="30"/>
  <c r="T64" i="30"/>
  <c r="S64" i="30"/>
  <c r="R64" i="30"/>
  <c r="P64" i="30"/>
  <c r="O64" i="30"/>
  <c r="J64" i="30"/>
  <c r="F64" i="30"/>
  <c r="E64" i="30"/>
  <c r="D64" i="30"/>
  <c r="C64" i="30"/>
  <c r="T63" i="30"/>
  <c r="S63" i="30"/>
  <c r="R63" i="30"/>
  <c r="P63" i="30"/>
  <c r="O63" i="30"/>
  <c r="J63" i="30"/>
  <c r="F63" i="30"/>
  <c r="E63" i="30"/>
  <c r="D63" i="30"/>
  <c r="C63" i="30"/>
  <c r="T62" i="30"/>
  <c r="S62" i="30"/>
  <c r="R62" i="30"/>
  <c r="P62" i="30"/>
  <c r="O62" i="30"/>
  <c r="J62" i="30"/>
  <c r="L62" i="30" s="1"/>
  <c r="F62" i="30"/>
  <c r="E62" i="30"/>
  <c r="D62" i="30"/>
  <c r="C62" i="30"/>
  <c r="T61" i="30"/>
  <c r="S61" i="30"/>
  <c r="R61" i="30"/>
  <c r="P61" i="30"/>
  <c r="O61" i="30"/>
  <c r="J61" i="30"/>
  <c r="F61" i="30"/>
  <c r="E61" i="30"/>
  <c r="D61" i="30"/>
  <c r="C61" i="30"/>
  <c r="T60" i="30"/>
  <c r="S60" i="30"/>
  <c r="R60" i="30"/>
  <c r="P60" i="30"/>
  <c r="O60" i="30"/>
  <c r="J60" i="30"/>
  <c r="F60" i="30"/>
  <c r="E60" i="30"/>
  <c r="D60" i="30"/>
  <c r="C60" i="30"/>
  <c r="T59" i="30"/>
  <c r="S59" i="30"/>
  <c r="R59" i="30"/>
  <c r="P59" i="30"/>
  <c r="O59" i="30"/>
  <c r="J59" i="30"/>
  <c r="F59" i="30"/>
  <c r="E59" i="30"/>
  <c r="D59" i="30"/>
  <c r="C59" i="30"/>
  <c r="S58" i="30"/>
  <c r="R58" i="30"/>
  <c r="P58" i="30"/>
  <c r="O58" i="30"/>
  <c r="J58" i="30"/>
  <c r="F58" i="30"/>
  <c r="E58" i="30"/>
  <c r="D58" i="30"/>
  <c r="C58" i="30"/>
  <c r="T57" i="30"/>
  <c r="S57" i="30"/>
  <c r="R57" i="30"/>
  <c r="P57" i="30"/>
  <c r="O57" i="30"/>
  <c r="J57" i="30"/>
  <c r="F57" i="30"/>
  <c r="E57" i="30"/>
  <c r="D57" i="30"/>
  <c r="C57" i="30"/>
  <c r="T56" i="30"/>
  <c r="S56" i="30"/>
  <c r="R56" i="30"/>
  <c r="P56" i="30"/>
  <c r="O56" i="30"/>
  <c r="J56" i="30"/>
  <c r="F56" i="30"/>
  <c r="E56" i="30"/>
  <c r="D56" i="30"/>
  <c r="C56" i="30"/>
  <c r="T55" i="30"/>
  <c r="S55" i="30"/>
  <c r="R55" i="30"/>
  <c r="P55" i="30"/>
  <c r="O55" i="30"/>
  <c r="J55" i="30"/>
  <c r="F55" i="30"/>
  <c r="E55" i="30"/>
  <c r="D55" i="30"/>
  <c r="C55" i="30"/>
  <c r="T54" i="30"/>
  <c r="S54" i="30"/>
  <c r="R54" i="30"/>
  <c r="P54" i="30"/>
  <c r="O54" i="30"/>
  <c r="J54" i="30"/>
  <c r="F54" i="30"/>
  <c r="E54" i="30"/>
  <c r="D54" i="30"/>
  <c r="C54" i="30"/>
  <c r="T53" i="30"/>
  <c r="S53" i="30"/>
  <c r="R53" i="30"/>
  <c r="P53" i="30"/>
  <c r="O53" i="30"/>
  <c r="J53" i="30"/>
  <c r="F53" i="30"/>
  <c r="E53" i="30"/>
  <c r="D53" i="30"/>
  <c r="C53" i="30"/>
  <c r="S51" i="30"/>
  <c r="R51" i="30"/>
  <c r="P51" i="30"/>
  <c r="F51" i="30"/>
  <c r="S50" i="30"/>
  <c r="R50" i="30"/>
  <c r="P50" i="30"/>
  <c r="S49" i="30"/>
  <c r="R49" i="30"/>
  <c r="T46" i="30"/>
  <c r="S46" i="30"/>
  <c r="R46" i="30"/>
  <c r="P46" i="30"/>
  <c r="O46" i="30"/>
  <c r="J46" i="30"/>
  <c r="F46" i="30"/>
  <c r="E46" i="30"/>
  <c r="D46" i="30"/>
  <c r="C46" i="30"/>
  <c r="T45" i="30"/>
  <c r="S45" i="30"/>
  <c r="R45" i="30"/>
  <c r="P45" i="30"/>
  <c r="O45" i="30"/>
  <c r="J45" i="30"/>
  <c r="F45" i="30"/>
  <c r="E45" i="30"/>
  <c r="D45" i="30"/>
  <c r="C45" i="30"/>
  <c r="T44" i="30"/>
  <c r="S44" i="30"/>
  <c r="R44" i="30"/>
  <c r="P44" i="30"/>
  <c r="O44" i="30"/>
  <c r="J44" i="30"/>
  <c r="F44" i="30"/>
  <c r="E44" i="30"/>
  <c r="D44" i="30"/>
  <c r="C44" i="30"/>
  <c r="T43" i="30"/>
  <c r="S43" i="30"/>
  <c r="R43" i="30"/>
  <c r="P43" i="30"/>
  <c r="O43" i="30"/>
  <c r="J43" i="30"/>
  <c r="F43" i="30"/>
  <c r="E43" i="30"/>
  <c r="D43" i="30"/>
  <c r="C43" i="30"/>
  <c r="T42" i="30"/>
  <c r="S42" i="30"/>
  <c r="R42" i="30"/>
  <c r="P42" i="30"/>
  <c r="O42" i="30"/>
  <c r="J42" i="30"/>
  <c r="F42" i="30"/>
  <c r="E42" i="30"/>
  <c r="D42" i="30"/>
  <c r="C42" i="30"/>
  <c r="T41" i="30"/>
  <c r="S41" i="30"/>
  <c r="R41" i="30"/>
  <c r="P41" i="30"/>
  <c r="O41" i="30"/>
  <c r="J41" i="30"/>
  <c r="F41" i="30"/>
  <c r="E41" i="30"/>
  <c r="D41" i="30"/>
  <c r="C41" i="30"/>
  <c r="T40" i="30"/>
  <c r="S40" i="30"/>
  <c r="R40" i="30"/>
  <c r="P40" i="30"/>
  <c r="O40" i="30"/>
  <c r="J40" i="30"/>
  <c r="F40" i="30"/>
  <c r="E40" i="30"/>
  <c r="D40" i="30"/>
  <c r="C40" i="30"/>
  <c r="T39" i="30"/>
  <c r="S39" i="30"/>
  <c r="R39" i="30"/>
  <c r="P39" i="30"/>
  <c r="O39" i="30"/>
  <c r="J39" i="30"/>
  <c r="F39" i="30"/>
  <c r="E39" i="30"/>
  <c r="D39" i="30"/>
  <c r="C39" i="30"/>
  <c r="S37" i="30"/>
  <c r="R37" i="30"/>
  <c r="P37" i="30"/>
  <c r="S34" i="30"/>
  <c r="R34" i="30"/>
  <c r="P34" i="30"/>
  <c r="K34" i="30"/>
  <c r="J34" i="30"/>
  <c r="L34" i="30" s="1"/>
  <c r="M34" i="30" s="1"/>
  <c r="F34" i="30"/>
  <c r="S31" i="30"/>
  <c r="R31" i="30"/>
  <c r="P31" i="30"/>
  <c r="N31" i="30"/>
  <c r="L31" i="30"/>
  <c r="T30" i="30"/>
  <c r="S30" i="30"/>
  <c r="R30" i="30"/>
  <c r="P30" i="30"/>
  <c r="O30" i="30"/>
  <c r="J30" i="30"/>
  <c r="F30" i="30"/>
  <c r="E30" i="30"/>
  <c r="D30" i="30"/>
  <c r="C30" i="30"/>
  <c r="T29" i="30"/>
  <c r="S29" i="30"/>
  <c r="R29" i="30"/>
  <c r="P29" i="30"/>
  <c r="O29" i="30"/>
  <c r="J29" i="30"/>
  <c r="F29" i="30"/>
  <c r="E29" i="30"/>
  <c r="D29" i="30"/>
  <c r="C29" i="30"/>
  <c r="T28" i="30"/>
  <c r="S28" i="30"/>
  <c r="R28" i="30"/>
  <c r="P28" i="30"/>
  <c r="O28" i="30"/>
  <c r="J28" i="30"/>
  <c r="F28" i="30"/>
  <c r="E28" i="30"/>
  <c r="D28" i="30"/>
  <c r="C28" i="30"/>
  <c r="S27" i="30"/>
  <c r="R27" i="30"/>
  <c r="P27" i="30"/>
  <c r="O27" i="30"/>
  <c r="J27" i="30"/>
  <c r="F27" i="30"/>
  <c r="E27" i="30"/>
  <c r="D27" i="30"/>
  <c r="C27" i="30"/>
  <c r="S26" i="30"/>
  <c r="R26" i="30"/>
  <c r="P26" i="30"/>
  <c r="O26" i="30"/>
  <c r="J26" i="30"/>
  <c r="F26" i="30"/>
  <c r="E26" i="30"/>
  <c r="D26" i="30"/>
  <c r="C26" i="30"/>
  <c r="T25" i="30"/>
  <c r="S25" i="30"/>
  <c r="R25" i="30"/>
  <c r="P25" i="30"/>
  <c r="O25" i="30"/>
  <c r="J25" i="30"/>
  <c r="F25" i="30"/>
  <c r="E25" i="30"/>
  <c r="D25" i="30"/>
  <c r="C25" i="30"/>
  <c r="T24" i="30"/>
  <c r="S24" i="30"/>
  <c r="R24" i="30"/>
  <c r="P24" i="30"/>
  <c r="O24" i="30"/>
  <c r="J24" i="30"/>
  <c r="F24" i="30"/>
  <c r="E24" i="30"/>
  <c r="D24" i="30"/>
  <c r="C24" i="30"/>
  <c r="T23" i="30"/>
  <c r="S23" i="30"/>
  <c r="R23" i="30"/>
  <c r="P23" i="30"/>
  <c r="O23" i="30"/>
  <c r="J23" i="30"/>
  <c r="F23" i="30"/>
  <c r="E23" i="30"/>
  <c r="D23" i="30"/>
  <c r="C23" i="30"/>
  <c r="T22" i="30"/>
  <c r="S22" i="30"/>
  <c r="R22" i="30"/>
  <c r="P22" i="30"/>
  <c r="O22" i="30"/>
  <c r="J22" i="30"/>
  <c r="F22" i="30"/>
  <c r="E22" i="30"/>
  <c r="D22" i="30"/>
  <c r="C22" i="30"/>
  <c r="S21" i="30"/>
  <c r="R21" i="30"/>
  <c r="P21" i="30"/>
  <c r="O21" i="30"/>
  <c r="J21" i="30"/>
  <c r="F21" i="30"/>
  <c r="E21" i="30"/>
  <c r="D21" i="30"/>
  <c r="C21" i="30"/>
  <c r="T20" i="30"/>
  <c r="S20" i="30"/>
  <c r="R20" i="30"/>
  <c r="P20" i="30"/>
  <c r="O20" i="30"/>
  <c r="J20" i="30"/>
  <c r="F20" i="30"/>
  <c r="E20" i="30"/>
  <c r="D20" i="30"/>
  <c r="C20" i="30"/>
  <c r="S19" i="30"/>
  <c r="R19" i="30"/>
  <c r="P19" i="30"/>
  <c r="O19" i="30"/>
  <c r="J19" i="30"/>
  <c r="F19" i="30"/>
  <c r="E19" i="30"/>
  <c r="D19" i="30"/>
  <c r="C19" i="30"/>
  <c r="T18" i="30"/>
  <c r="S18" i="30"/>
  <c r="R18" i="30"/>
  <c r="P18" i="30"/>
  <c r="O18" i="30"/>
  <c r="J18" i="30"/>
  <c r="F18" i="30"/>
  <c r="E18" i="30"/>
  <c r="D18" i="30"/>
  <c r="C18" i="30"/>
  <c r="T17" i="30"/>
  <c r="S17" i="30"/>
  <c r="R17" i="30"/>
  <c r="P17" i="30"/>
  <c r="O17" i="30"/>
  <c r="J17" i="30"/>
  <c r="F17" i="30"/>
  <c r="E17" i="30"/>
  <c r="D17" i="30"/>
  <c r="C17" i="30"/>
  <c r="T16" i="30"/>
  <c r="S16" i="30"/>
  <c r="R16" i="30"/>
  <c r="P16" i="30"/>
  <c r="O16" i="30"/>
  <c r="J16" i="30"/>
  <c r="F16" i="30"/>
  <c r="E16" i="30"/>
  <c r="D16" i="30"/>
  <c r="T15" i="30"/>
  <c r="S15" i="30"/>
  <c r="R15" i="30"/>
  <c r="P15" i="30"/>
  <c r="O15" i="30"/>
  <c r="J15" i="30"/>
  <c r="L15" i="30" s="1"/>
  <c r="F15" i="30"/>
  <c r="E15" i="30"/>
  <c r="D15" i="30"/>
  <c r="C15" i="30"/>
  <c r="T14" i="30"/>
  <c r="S14" i="30"/>
  <c r="R14" i="30"/>
  <c r="P14" i="30"/>
  <c r="O14" i="30"/>
  <c r="J14" i="30"/>
  <c r="F14" i="30"/>
  <c r="E14" i="30"/>
  <c r="D14" i="30"/>
  <c r="C14" i="30"/>
  <c r="S13" i="30"/>
  <c r="R13" i="30"/>
  <c r="P13" i="30"/>
  <c r="O13" i="30"/>
  <c r="J13" i="30"/>
  <c r="F13" i="30"/>
  <c r="E13" i="30"/>
  <c r="D13" i="30"/>
  <c r="C13" i="30"/>
  <c r="T12" i="30"/>
  <c r="S12" i="30"/>
  <c r="R12" i="30"/>
  <c r="P12" i="30"/>
  <c r="O12" i="30"/>
  <c r="J12" i="30"/>
  <c r="F12" i="30"/>
  <c r="E12" i="30"/>
  <c r="D12" i="30"/>
  <c r="S11" i="30"/>
  <c r="R11" i="30"/>
  <c r="P11" i="30"/>
  <c r="O11" i="30"/>
  <c r="J11" i="30"/>
  <c r="L11" i="30" s="1"/>
  <c r="F11" i="30"/>
  <c r="E11" i="30"/>
  <c r="D11" i="30"/>
  <c r="C11" i="30"/>
  <c r="S10" i="30"/>
  <c r="R10" i="30"/>
  <c r="P10" i="30"/>
  <c r="O10" i="30"/>
  <c r="J10" i="30"/>
  <c r="F10" i="30"/>
  <c r="E10" i="30"/>
  <c r="D10" i="30"/>
  <c r="C10" i="30"/>
  <c r="I8" i="30"/>
  <c r="I7" i="30" s="1"/>
  <c r="I6" i="30" s="1"/>
  <c r="I5" i="30" s="1"/>
  <c r="I4" i="30" s="1"/>
  <c r="H7" i="30"/>
  <c r="H6" i="30" s="1"/>
  <c r="H5" i="30" s="1"/>
  <c r="H4" i="30" s="1"/>
  <c r="G7" i="30"/>
  <c r="G6" i="30" s="1"/>
  <c r="G5" i="30" s="1"/>
  <c r="G4" i="30" s="1"/>
  <c r="P221" i="28"/>
  <c r="I221" i="28"/>
  <c r="C221" i="28"/>
  <c r="H220" i="28"/>
  <c r="G220" i="28"/>
  <c r="F220" i="28"/>
  <c r="P218" i="28"/>
  <c r="I218" i="28"/>
  <c r="C218" i="28"/>
  <c r="P217" i="28"/>
  <c r="I217" i="28"/>
  <c r="C217" i="28"/>
  <c r="P216" i="28"/>
  <c r="I216" i="28"/>
  <c r="C216" i="28"/>
  <c r="P215" i="28"/>
  <c r="I215" i="28"/>
  <c r="C215" i="28"/>
  <c r="P214" i="28"/>
  <c r="I214" i="28"/>
  <c r="C214" i="28"/>
  <c r="P213" i="28"/>
  <c r="I213" i="28"/>
  <c r="C213" i="28"/>
  <c r="P212" i="28"/>
  <c r="I212" i="28"/>
  <c r="C212" i="28"/>
  <c r="P211" i="28"/>
  <c r="I211" i="28"/>
  <c r="C211" i="28"/>
  <c r="P210" i="28"/>
  <c r="I210" i="28"/>
  <c r="C210" i="28"/>
  <c r="R209" i="28"/>
  <c r="Q209" i="28"/>
  <c r="O209" i="28"/>
  <c r="H209" i="28"/>
  <c r="G209" i="28"/>
  <c r="F209" i="28"/>
  <c r="I208" i="28"/>
  <c r="R207" i="28"/>
  <c r="Q207" i="28"/>
  <c r="O207" i="28"/>
  <c r="H207" i="28"/>
  <c r="G207" i="28"/>
  <c r="F207" i="28"/>
  <c r="P205" i="28"/>
  <c r="I205" i="28"/>
  <c r="C205" i="28"/>
  <c r="R204" i="28"/>
  <c r="Q204" i="28"/>
  <c r="O204" i="28"/>
  <c r="H204" i="28"/>
  <c r="G204" i="28"/>
  <c r="F204" i="28"/>
  <c r="I203" i="28"/>
  <c r="P202" i="28"/>
  <c r="I202" i="28"/>
  <c r="R201" i="28"/>
  <c r="Q201" i="28"/>
  <c r="O201" i="28"/>
  <c r="H201" i="28"/>
  <c r="G201" i="28"/>
  <c r="F201" i="28"/>
  <c r="R200" i="28"/>
  <c r="Q200" i="28"/>
  <c r="O200" i="28"/>
  <c r="I199" i="28"/>
  <c r="R198" i="28"/>
  <c r="Q198" i="28"/>
  <c r="O198" i="28"/>
  <c r="H198" i="28"/>
  <c r="H197" i="28" s="1"/>
  <c r="G198" i="28"/>
  <c r="G197" i="28" s="1"/>
  <c r="R197" i="28"/>
  <c r="Q197" i="28"/>
  <c r="O197" i="28"/>
  <c r="F197" i="28"/>
  <c r="R195" i="28"/>
  <c r="Q195" i="28"/>
  <c r="O195" i="28"/>
  <c r="R194" i="28"/>
  <c r="Q194" i="28"/>
  <c r="O194" i="28"/>
  <c r="R193" i="28"/>
  <c r="Q193" i="28"/>
  <c r="O193" i="28"/>
  <c r="R192" i="28"/>
  <c r="Q192" i="28"/>
  <c r="O192" i="28"/>
  <c r="R191" i="28"/>
  <c r="Q191" i="28"/>
  <c r="O191" i="28"/>
  <c r="R190" i="28"/>
  <c r="Q190" i="28"/>
  <c r="I188" i="28"/>
  <c r="R186" i="28"/>
  <c r="Q186" i="28"/>
  <c r="O186" i="28"/>
  <c r="M186" i="28"/>
  <c r="M185" i="28" s="1"/>
  <c r="L186" i="28"/>
  <c r="L185" i="28" s="1"/>
  <c r="J186" i="28"/>
  <c r="H186" i="28"/>
  <c r="H185" i="28" s="1"/>
  <c r="G186" i="28"/>
  <c r="G185" i="28" s="1"/>
  <c r="R185" i="28"/>
  <c r="Q185" i="28"/>
  <c r="O185" i="28"/>
  <c r="N183" i="28"/>
  <c r="P182" i="28"/>
  <c r="I182" i="28"/>
  <c r="C182" i="28"/>
  <c r="P181" i="28"/>
  <c r="I181" i="28"/>
  <c r="C181" i="28"/>
  <c r="R179" i="28"/>
  <c r="Q179" i="28"/>
  <c r="O179" i="28"/>
  <c r="H179" i="28"/>
  <c r="G179" i="28"/>
  <c r="I177" i="28"/>
  <c r="R175" i="28"/>
  <c r="Q175" i="28"/>
  <c r="O175" i="28"/>
  <c r="J175" i="28"/>
  <c r="K175" i="28" s="1"/>
  <c r="H175" i="28"/>
  <c r="H174" i="28" s="1"/>
  <c r="G175" i="28"/>
  <c r="G174" i="28" s="1"/>
  <c r="R174" i="28"/>
  <c r="Q174" i="28"/>
  <c r="O174" i="28"/>
  <c r="M174" i="28"/>
  <c r="J174" i="28"/>
  <c r="K174" i="28" s="1"/>
  <c r="R172" i="28"/>
  <c r="Q172" i="28"/>
  <c r="O172" i="28"/>
  <c r="N172" i="28"/>
  <c r="M172" i="28"/>
  <c r="P171" i="28"/>
  <c r="I171" i="28"/>
  <c r="C171" i="28"/>
  <c r="P170" i="28"/>
  <c r="I170" i="28"/>
  <c r="C170" i="28"/>
  <c r="P169" i="28"/>
  <c r="I169" i="28"/>
  <c r="C169" i="28"/>
  <c r="P168" i="28"/>
  <c r="I168" i="28"/>
  <c r="C168" i="28"/>
  <c r="R166" i="28"/>
  <c r="Q166" i="28"/>
  <c r="O166" i="28"/>
  <c r="H166" i="28"/>
  <c r="G166" i="28"/>
  <c r="R164" i="28"/>
  <c r="Q164" i="28"/>
  <c r="O164" i="28"/>
  <c r="M164" i="28"/>
  <c r="P163" i="28"/>
  <c r="I163" i="28"/>
  <c r="C163" i="28"/>
  <c r="P162" i="28"/>
  <c r="I162" i="28"/>
  <c r="C162" i="28"/>
  <c r="R160" i="28"/>
  <c r="Q160" i="28"/>
  <c r="O160" i="28"/>
  <c r="H160" i="28"/>
  <c r="G160" i="28"/>
  <c r="R158" i="28"/>
  <c r="Q158" i="28"/>
  <c r="O158" i="28"/>
  <c r="M158" i="28"/>
  <c r="P157" i="28"/>
  <c r="I157" i="28"/>
  <c r="C157" i="28"/>
  <c r="P156" i="28"/>
  <c r="I156" i="28"/>
  <c r="C156" i="28"/>
  <c r="R154" i="28"/>
  <c r="Q154" i="28"/>
  <c r="O154" i="28"/>
  <c r="H154" i="28"/>
  <c r="G154" i="28"/>
  <c r="P152" i="28"/>
  <c r="I152" i="28"/>
  <c r="C152" i="28"/>
  <c r="R150" i="28"/>
  <c r="Q150" i="28"/>
  <c r="O150" i="28"/>
  <c r="H150" i="28"/>
  <c r="H149" i="28" s="1"/>
  <c r="G150" i="28"/>
  <c r="G149" i="28" s="1"/>
  <c r="R149" i="28"/>
  <c r="Q149" i="28"/>
  <c r="O149" i="28"/>
  <c r="I147" i="28"/>
  <c r="R145" i="28"/>
  <c r="Q145" i="28"/>
  <c r="O145" i="28"/>
  <c r="M145" i="28"/>
  <c r="L145" i="28"/>
  <c r="J145" i="28"/>
  <c r="K145" i="28" s="1"/>
  <c r="H145" i="28"/>
  <c r="G145" i="28"/>
  <c r="I143" i="28"/>
  <c r="R141" i="28"/>
  <c r="Q141" i="28"/>
  <c r="O141" i="28"/>
  <c r="M141" i="28"/>
  <c r="J141" i="28"/>
  <c r="K141" i="28" s="1"/>
  <c r="H141" i="28"/>
  <c r="G141" i="28"/>
  <c r="I139" i="28"/>
  <c r="R137" i="28"/>
  <c r="Q137" i="28"/>
  <c r="O137" i="28"/>
  <c r="M137" i="28"/>
  <c r="J137" i="28"/>
  <c r="H137" i="28"/>
  <c r="G137" i="28"/>
  <c r="I135" i="28"/>
  <c r="R133" i="28"/>
  <c r="Q133" i="28"/>
  <c r="O133" i="28"/>
  <c r="M133" i="28"/>
  <c r="J133" i="28"/>
  <c r="K133" i="28" s="1"/>
  <c r="H133" i="28"/>
  <c r="G133" i="28"/>
  <c r="R132" i="28"/>
  <c r="Q132" i="28"/>
  <c r="O132" i="28"/>
  <c r="I130" i="28"/>
  <c r="R128" i="28"/>
  <c r="Q128" i="28"/>
  <c r="O128" i="28"/>
  <c r="L128" i="28"/>
  <c r="J128" i="28"/>
  <c r="K128" i="28" s="1"/>
  <c r="H128" i="28"/>
  <c r="G128" i="28"/>
  <c r="M126" i="28"/>
  <c r="P125" i="28"/>
  <c r="I125" i="28"/>
  <c r="C125" i="28"/>
  <c r="R123" i="28"/>
  <c r="Q123" i="28"/>
  <c r="O123" i="28"/>
  <c r="H123" i="28"/>
  <c r="G123" i="28"/>
  <c r="P121" i="28"/>
  <c r="I121" i="28"/>
  <c r="C121" i="28"/>
  <c r="P120" i="28"/>
  <c r="I120" i="28"/>
  <c r="C120" i="28"/>
  <c r="R118" i="28"/>
  <c r="Q118" i="28"/>
  <c r="O118" i="28"/>
  <c r="H118" i="28"/>
  <c r="G118" i="28"/>
  <c r="R117" i="28"/>
  <c r="Q117" i="28"/>
  <c r="O117" i="28"/>
  <c r="R115" i="28"/>
  <c r="Q115" i="28"/>
  <c r="O115" i="28"/>
  <c r="M115" i="28"/>
  <c r="P114" i="28"/>
  <c r="I114" i="28"/>
  <c r="C114" i="28"/>
  <c r="P113" i="28"/>
  <c r="I113" i="28"/>
  <c r="C113" i="28"/>
  <c r="P112" i="28"/>
  <c r="I112" i="28"/>
  <c r="C112" i="28"/>
  <c r="P111" i="28"/>
  <c r="I111" i="28"/>
  <c r="C111" i="28"/>
  <c r="P110" i="28"/>
  <c r="I110" i="28"/>
  <c r="C110" i="28"/>
  <c r="P109" i="28"/>
  <c r="I109" i="28"/>
  <c r="C109" i="28"/>
  <c r="P108" i="28"/>
  <c r="I108" i="28"/>
  <c r="C108" i="28"/>
  <c r="P107" i="28"/>
  <c r="I107" i="28"/>
  <c r="C107" i="28"/>
  <c r="P106" i="28"/>
  <c r="I106" i="28"/>
  <c r="C106" i="28"/>
  <c r="P105" i="28"/>
  <c r="I105" i="28"/>
  <c r="C105" i="28"/>
  <c r="P104" i="28"/>
  <c r="I104" i="28"/>
  <c r="C104" i="28"/>
  <c r="P103" i="28"/>
  <c r="I103" i="28"/>
  <c r="C103" i="28"/>
  <c r="P102" i="28"/>
  <c r="I102" i="28"/>
  <c r="C102" i="28"/>
  <c r="P101" i="28"/>
  <c r="I101" i="28"/>
  <c r="C101" i="28"/>
  <c r="P100" i="28"/>
  <c r="I100" i="28"/>
  <c r="C100" i="28"/>
  <c r="R98" i="28"/>
  <c r="Q98" i="28"/>
  <c r="O98" i="28"/>
  <c r="H98" i="28"/>
  <c r="H97" i="28" s="1"/>
  <c r="G98" i="28"/>
  <c r="G97" i="28" s="1"/>
  <c r="R97" i="28"/>
  <c r="Q97" i="28"/>
  <c r="O97" i="28"/>
  <c r="R95" i="28"/>
  <c r="Q95" i="28"/>
  <c r="O95" i="28"/>
  <c r="M95" i="28"/>
  <c r="P94" i="28"/>
  <c r="I94" i="28"/>
  <c r="C94" i="28"/>
  <c r="P93" i="28"/>
  <c r="I93" i="28"/>
  <c r="C93" i="28"/>
  <c r="P92" i="28"/>
  <c r="I92" i="28"/>
  <c r="C92" i="28"/>
  <c r="P91" i="28"/>
  <c r="I91" i="28"/>
  <c r="C91" i="28"/>
  <c r="P90" i="28"/>
  <c r="I90" i="28"/>
  <c r="C90" i="28"/>
  <c r="P89" i="28"/>
  <c r="I89" i="28"/>
  <c r="C89" i="28"/>
  <c r="P88" i="28"/>
  <c r="I88" i="28"/>
  <c r="C88" i="28"/>
  <c r="P87" i="28"/>
  <c r="I87" i="28"/>
  <c r="C87" i="28"/>
  <c r="P86" i="28"/>
  <c r="I86" i="28"/>
  <c r="C86" i="28"/>
  <c r="R84" i="28"/>
  <c r="Q84" i="28"/>
  <c r="O84" i="28"/>
  <c r="H84" i="28"/>
  <c r="G84" i="28"/>
  <c r="R82" i="28"/>
  <c r="Q82" i="28"/>
  <c r="O82" i="28"/>
  <c r="M82" i="28"/>
  <c r="P81" i="28"/>
  <c r="I81" i="28"/>
  <c r="P80" i="28"/>
  <c r="I80" i="28"/>
  <c r="C80" i="28"/>
  <c r="P79" i="28"/>
  <c r="I79" i="28"/>
  <c r="C79" i="28"/>
  <c r="P78" i="28"/>
  <c r="I78" i="28"/>
  <c r="C78" i="28"/>
  <c r="R76" i="28"/>
  <c r="Q76" i="28"/>
  <c r="O76" i="28"/>
  <c r="H76" i="28"/>
  <c r="G76" i="28"/>
  <c r="R75" i="28"/>
  <c r="Q75" i="28"/>
  <c r="R73" i="28"/>
  <c r="Q73" i="28"/>
  <c r="O73" i="28"/>
  <c r="M73" i="28"/>
  <c r="P72" i="28"/>
  <c r="I72" i="28"/>
  <c r="C72" i="28"/>
  <c r="P71" i="28"/>
  <c r="I71" i="28"/>
  <c r="C71" i="28"/>
  <c r="P70" i="28"/>
  <c r="I70" i="28"/>
  <c r="C70" i="28"/>
  <c r="R68" i="28"/>
  <c r="Q68" i="28"/>
  <c r="O68" i="28"/>
  <c r="H68" i="28"/>
  <c r="G68" i="28"/>
  <c r="R66" i="28"/>
  <c r="Q66" i="28"/>
  <c r="O66" i="28"/>
  <c r="M66" i="28"/>
  <c r="P65" i="28"/>
  <c r="I65" i="28"/>
  <c r="C65" i="28"/>
  <c r="P64" i="28"/>
  <c r="I64" i="28"/>
  <c r="C64" i="28"/>
  <c r="P63" i="28"/>
  <c r="I63" i="28"/>
  <c r="C63" i="28"/>
  <c r="R61" i="28"/>
  <c r="Q61" i="28"/>
  <c r="O61" i="28"/>
  <c r="H61" i="28"/>
  <c r="G61" i="28"/>
  <c r="R59" i="28"/>
  <c r="Q59" i="28"/>
  <c r="O59" i="28"/>
  <c r="N59" i="28"/>
  <c r="M59" i="28"/>
  <c r="P58" i="28"/>
  <c r="I58" i="28"/>
  <c r="C58" i="28"/>
  <c r="P57" i="28"/>
  <c r="I57" i="28"/>
  <c r="C57" i="28"/>
  <c r="P56" i="28"/>
  <c r="I56" i="28"/>
  <c r="C56" i="28"/>
  <c r="P55" i="28"/>
  <c r="I55" i="28"/>
  <c r="C55" i="28"/>
  <c r="P54" i="28"/>
  <c r="I54" i="28"/>
  <c r="C54" i="28"/>
  <c r="P53" i="28"/>
  <c r="I53" i="28"/>
  <c r="C53" i="28"/>
  <c r="P52" i="28"/>
  <c r="I52" i="28"/>
  <c r="C52" i="28"/>
  <c r="P51" i="28"/>
  <c r="I51" i="28"/>
  <c r="C51" i="28"/>
  <c r="P50" i="28"/>
  <c r="I50" i="28"/>
  <c r="C50" i="28"/>
  <c r="P49" i="28"/>
  <c r="I49" i="28"/>
  <c r="C49" i="28"/>
  <c r="P48" i="28"/>
  <c r="I48" i="28"/>
  <c r="C48" i="28"/>
  <c r="P47" i="28"/>
  <c r="I47" i="28"/>
  <c r="C47" i="28"/>
  <c r="P46" i="28"/>
  <c r="I46" i="28"/>
  <c r="P45" i="28"/>
  <c r="I45" i="28"/>
  <c r="P44" i="28"/>
  <c r="I44" i="28"/>
  <c r="P43" i="28"/>
  <c r="I43" i="28"/>
  <c r="C43" i="28"/>
  <c r="R41" i="28"/>
  <c r="Q41" i="28"/>
  <c r="O41" i="28"/>
  <c r="H41" i="28"/>
  <c r="G41" i="28"/>
  <c r="R40" i="28"/>
  <c r="Q40" i="28"/>
  <c r="O40" i="28"/>
  <c r="R39" i="28"/>
  <c r="Q39" i="28"/>
  <c r="M37" i="28"/>
  <c r="P36" i="28"/>
  <c r="I36" i="28"/>
  <c r="C36" i="28"/>
  <c r="P35" i="28"/>
  <c r="I35" i="28"/>
  <c r="C35" i="28"/>
  <c r="R33" i="28"/>
  <c r="Q33" i="28"/>
  <c r="O33" i="28"/>
  <c r="H33" i="28"/>
  <c r="G33" i="28"/>
  <c r="I31" i="28"/>
  <c r="R30" i="28"/>
  <c r="Q30" i="28"/>
  <c r="O30" i="28"/>
  <c r="J30" i="28"/>
  <c r="H30" i="28"/>
  <c r="G30" i="28"/>
  <c r="R29" i="28"/>
  <c r="Q29" i="28"/>
  <c r="O29" i="28"/>
  <c r="M29" i="28"/>
  <c r="L29" i="28"/>
  <c r="R28" i="28"/>
  <c r="Q28" i="28"/>
  <c r="O28" i="28"/>
  <c r="M28" i="28"/>
  <c r="L28" i="28"/>
  <c r="P27" i="28"/>
  <c r="I27" i="28"/>
  <c r="C27" i="28"/>
  <c r="P26" i="28"/>
  <c r="I26" i="28"/>
  <c r="C26" i="28"/>
  <c r="P25" i="28"/>
  <c r="I25" i="28"/>
  <c r="C25" i="28"/>
  <c r="P24" i="28"/>
  <c r="I24" i="28"/>
  <c r="C24" i="28"/>
  <c r="P23" i="28"/>
  <c r="I23" i="28"/>
  <c r="C23" i="28"/>
  <c r="P22" i="28"/>
  <c r="I22" i="28"/>
  <c r="C22" i="28"/>
  <c r="P21" i="28"/>
  <c r="I21" i="28"/>
  <c r="C21" i="28"/>
  <c r="P20" i="28"/>
  <c r="I20" i="28"/>
  <c r="C20" i="28"/>
  <c r="P19" i="28"/>
  <c r="I19" i="28"/>
  <c r="C19" i="28"/>
  <c r="P18" i="28"/>
  <c r="I18" i="28"/>
  <c r="C18" i="28"/>
  <c r="P17" i="28"/>
  <c r="I17" i="28"/>
  <c r="C17" i="28"/>
  <c r="P16" i="28"/>
  <c r="I16" i="28"/>
  <c r="C16" i="28"/>
  <c r="P15" i="28"/>
  <c r="I15" i="28"/>
  <c r="C15" i="28"/>
  <c r="P14" i="28"/>
  <c r="I14" i="28"/>
  <c r="C14" i="28"/>
  <c r="P13" i="28"/>
  <c r="I13" i="28"/>
  <c r="C13" i="28"/>
  <c r="P12" i="28"/>
  <c r="I12" i="28"/>
  <c r="C12" i="28"/>
  <c r="P11" i="28"/>
  <c r="I11" i="28"/>
  <c r="C11" i="28"/>
  <c r="P10" i="28"/>
  <c r="I10" i="28"/>
  <c r="C10" i="28"/>
  <c r="H8" i="28"/>
  <c r="H7" i="28" s="1"/>
  <c r="G8" i="28"/>
  <c r="M70" i="27"/>
  <c r="K70" i="27"/>
  <c r="F70" i="27"/>
  <c r="M69" i="27"/>
  <c r="K69" i="27"/>
  <c r="F69" i="27"/>
  <c r="M68" i="27"/>
  <c r="K68" i="27"/>
  <c r="F68" i="27"/>
  <c r="M67" i="27"/>
  <c r="K67" i="27"/>
  <c r="F67" i="27"/>
  <c r="M66" i="27"/>
  <c r="K66" i="27"/>
  <c r="F66" i="27"/>
  <c r="M65" i="27"/>
  <c r="K65" i="27"/>
  <c r="F65" i="27"/>
  <c r="M64" i="27"/>
  <c r="M63" i="27"/>
  <c r="L63" i="27"/>
  <c r="K63" i="27"/>
  <c r="F63" i="27"/>
  <c r="M62" i="27"/>
  <c r="M61" i="27"/>
  <c r="L61" i="27"/>
  <c r="K61" i="27"/>
  <c r="F61" i="27"/>
  <c r="M60" i="27"/>
  <c r="L60" i="27"/>
  <c r="K60" i="27"/>
  <c r="F60" i="27"/>
  <c r="M59" i="27"/>
  <c r="K59" i="27"/>
  <c r="J59" i="27"/>
  <c r="F59" i="27"/>
  <c r="M58" i="27"/>
  <c r="K58" i="27"/>
  <c r="F58" i="27"/>
  <c r="M57" i="27"/>
  <c r="M56" i="27"/>
  <c r="K56" i="27"/>
  <c r="F56" i="27"/>
  <c r="M55" i="27"/>
  <c r="F55" i="27"/>
  <c r="M54" i="27"/>
  <c r="M53" i="27"/>
  <c r="L53" i="27"/>
  <c r="K53" i="27"/>
  <c r="J53" i="27"/>
  <c r="F53" i="27"/>
  <c r="M52" i="27"/>
  <c r="L52" i="27"/>
  <c r="K52" i="27"/>
  <c r="J52" i="27"/>
  <c r="M51" i="27"/>
  <c r="K51" i="27"/>
  <c r="J51" i="27"/>
  <c r="F51" i="27"/>
  <c r="M50" i="27"/>
  <c r="K50" i="27"/>
  <c r="F50" i="27"/>
  <c r="M49" i="27"/>
  <c r="K49" i="27"/>
  <c r="F49" i="27"/>
  <c r="M48" i="27"/>
  <c r="K48" i="27"/>
  <c r="F48" i="27"/>
  <c r="M47" i="27"/>
  <c r="K47" i="27"/>
  <c r="F47" i="27"/>
  <c r="M46" i="27"/>
  <c r="F45" i="27"/>
  <c r="E45" i="27"/>
  <c r="F41" i="27"/>
  <c r="F44" i="27" s="1"/>
  <c r="F43" i="27" s="1"/>
  <c r="F42" i="27" s="1"/>
  <c r="F40" i="27"/>
  <c r="F39" i="27"/>
  <c r="F38" i="27"/>
  <c r="F37" i="27"/>
  <c r="E37" i="27"/>
  <c r="N36" i="27"/>
  <c r="L36" i="27"/>
  <c r="K36" i="27"/>
  <c r="F36" i="27"/>
  <c r="E36" i="27"/>
  <c r="L35" i="27"/>
  <c r="F35" i="27"/>
  <c r="E35" i="27"/>
  <c r="F34" i="27"/>
  <c r="E34" i="27"/>
  <c r="F33" i="27"/>
  <c r="E33" i="27"/>
  <c r="F32" i="27"/>
  <c r="E32" i="27"/>
  <c r="F31" i="27"/>
  <c r="E31" i="27"/>
  <c r="K30" i="27"/>
  <c r="F30" i="27"/>
  <c r="F29" i="27"/>
  <c r="F28" i="27"/>
  <c r="F27" i="27"/>
  <c r="F26" i="27"/>
  <c r="F25" i="27"/>
  <c r="M24" i="27"/>
  <c r="F24" i="27"/>
  <c r="E24" i="27"/>
  <c r="M23" i="27"/>
  <c r="F23" i="27"/>
  <c r="E23" i="27"/>
  <c r="M22" i="27"/>
  <c r="J22" i="27"/>
  <c r="F22" i="27"/>
  <c r="E22" i="27"/>
  <c r="M21" i="27"/>
  <c r="J21" i="27"/>
  <c r="F21" i="27"/>
  <c r="E21" i="27"/>
  <c r="M20" i="27"/>
  <c r="F20" i="27"/>
  <c r="E20" i="27"/>
  <c r="M19" i="27"/>
  <c r="F19" i="27"/>
  <c r="E19" i="27"/>
  <c r="M18" i="27"/>
  <c r="F18" i="27"/>
  <c r="E18" i="27"/>
  <c r="M17" i="27"/>
  <c r="F17" i="27"/>
  <c r="E17" i="27"/>
  <c r="M16" i="27"/>
  <c r="F16" i="27"/>
  <c r="F15" i="27"/>
  <c r="E15" i="27"/>
  <c r="M14" i="27"/>
  <c r="F14" i="27"/>
  <c r="E14" i="27"/>
  <c r="F13" i="27"/>
  <c r="E13" i="27"/>
  <c r="K12" i="27"/>
  <c r="F12" i="27"/>
  <c r="F11" i="27"/>
  <c r="M10" i="27"/>
  <c r="F10" i="27"/>
  <c r="E10" i="27"/>
  <c r="F9" i="27"/>
  <c r="E9" i="27"/>
  <c r="F8" i="27"/>
  <c r="E8" i="27"/>
  <c r="F7" i="27"/>
  <c r="F6" i="27"/>
  <c r="F5" i="27"/>
  <c r="F4" i="27"/>
  <c r="F3" i="27"/>
  <c r="T397" i="26"/>
  <c r="R397" i="26"/>
  <c r="E397" i="26"/>
  <c r="D397" i="26"/>
  <c r="T396" i="26"/>
  <c r="R396" i="26"/>
  <c r="E396" i="26"/>
  <c r="D396" i="26"/>
  <c r="T395" i="26"/>
  <c r="R395" i="26"/>
  <c r="E395" i="26"/>
  <c r="D395" i="26"/>
  <c r="T394" i="26"/>
  <c r="R394" i="26"/>
  <c r="E394" i="26"/>
  <c r="D394" i="26"/>
  <c r="T393" i="26"/>
  <c r="R393" i="26"/>
  <c r="E393" i="26"/>
  <c r="D393" i="26"/>
  <c r="T392" i="26"/>
  <c r="R392" i="26"/>
  <c r="E392" i="26"/>
  <c r="D392" i="26"/>
  <c r="T391" i="26"/>
  <c r="R391" i="26"/>
  <c r="E391" i="26"/>
  <c r="D391" i="26"/>
  <c r="T390" i="26"/>
  <c r="R390" i="26"/>
  <c r="E390" i="26"/>
  <c r="D390" i="26"/>
  <c r="S388" i="26"/>
  <c r="R388" i="26"/>
  <c r="P388" i="26"/>
  <c r="S387" i="26"/>
  <c r="R387" i="26"/>
  <c r="P387" i="26"/>
  <c r="I387" i="26"/>
  <c r="I386" i="26" s="1"/>
  <c r="I385" i="26" s="1"/>
  <c r="I384" i="26" s="1"/>
  <c r="I383" i="26" s="1"/>
  <c r="H387" i="26"/>
  <c r="H386" i="26" s="1"/>
  <c r="H385" i="26" s="1"/>
  <c r="H384" i="26" s="1"/>
  <c r="H383" i="26" s="1"/>
  <c r="G387" i="26"/>
  <c r="G386" i="26" s="1"/>
  <c r="G385" i="26" s="1"/>
  <c r="G384" i="26" s="1"/>
  <c r="G383" i="26" s="1"/>
  <c r="S386" i="26"/>
  <c r="R386" i="26"/>
  <c r="P386" i="26"/>
  <c r="S385" i="26"/>
  <c r="R385" i="26"/>
  <c r="P385" i="26"/>
  <c r="S384" i="26"/>
  <c r="R384" i="26"/>
  <c r="P384" i="26"/>
  <c r="S383" i="26"/>
  <c r="R383" i="26"/>
  <c r="T381" i="26"/>
  <c r="R381" i="26"/>
  <c r="E381" i="26"/>
  <c r="E379" i="26" s="1"/>
  <c r="E378" i="26" s="1"/>
  <c r="D381" i="26"/>
  <c r="S379" i="26"/>
  <c r="R379" i="26"/>
  <c r="P379" i="26"/>
  <c r="N379" i="26"/>
  <c r="N378" i="26" s="1"/>
  <c r="S378" i="26"/>
  <c r="R378" i="26"/>
  <c r="P378" i="26"/>
  <c r="T376" i="26"/>
  <c r="R376" i="26"/>
  <c r="E376" i="26"/>
  <c r="D376" i="26"/>
  <c r="T375" i="26"/>
  <c r="R375" i="26"/>
  <c r="E375" i="26"/>
  <c r="D375" i="26"/>
  <c r="S373" i="26"/>
  <c r="R373" i="26"/>
  <c r="P373" i="26"/>
  <c r="T371" i="26"/>
  <c r="R371" i="26"/>
  <c r="E371" i="26"/>
  <c r="D371" i="26"/>
  <c r="T370" i="26"/>
  <c r="R370" i="26"/>
  <c r="E370" i="26"/>
  <c r="D370" i="26"/>
  <c r="S368" i="26"/>
  <c r="R368" i="26"/>
  <c r="P368" i="26"/>
  <c r="T366" i="26"/>
  <c r="R366" i="26"/>
  <c r="E366" i="26"/>
  <c r="D366" i="26"/>
  <c r="T365" i="26"/>
  <c r="R365" i="26"/>
  <c r="E365" i="26"/>
  <c r="D365" i="26"/>
  <c r="S363" i="26"/>
  <c r="R363" i="26"/>
  <c r="P363" i="26"/>
  <c r="T361" i="26"/>
  <c r="R361" i="26"/>
  <c r="E361" i="26"/>
  <c r="E359" i="26" s="1"/>
  <c r="D361" i="26"/>
  <c r="S359" i="26"/>
  <c r="R359" i="26"/>
  <c r="P359" i="26"/>
  <c r="T357" i="26"/>
  <c r="R357" i="26"/>
  <c r="E357" i="26"/>
  <c r="D357" i="26"/>
  <c r="T356" i="26"/>
  <c r="R356" i="26"/>
  <c r="E356" i="26"/>
  <c r="D356" i="26"/>
  <c r="S354" i="26"/>
  <c r="R354" i="26"/>
  <c r="P354" i="26"/>
  <c r="S353" i="26"/>
  <c r="R353" i="26"/>
  <c r="P353" i="26"/>
  <c r="R351" i="26"/>
  <c r="O351" i="26"/>
  <c r="N351" i="26" s="1"/>
  <c r="N348" i="26" s="1"/>
  <c r="N347" i="26" s="1"/>
  <c r="E351" i="26"/>
  <c r="E348" i="26" s="1"/>
  <c r="E347" i="26" s="1"/>
  <c r="D351" i="26"/>
  <c r="S350" i="26"/>
  <c r="R350" i="26"/>
  <c r="S348" i="26"/>
  <c r="R348" i="26"/>
  <c r="P348" i="26"/>
  <c r="S347" i="26"/>
  <c r="R347" i="26"/>
  <c r="P347" i="26"/>
  <c r="T345" i="26"/>
  <c r="R345" i="26"/>
  <c r="E345" i="26"/>
  <c r="D345" i="26"/>
  <c r="T344" i="26"/>
  <c r="R344" i="26"/>
  <c r="E344" i="26"/>
  <c r="D344" i="26"/>
  <c r="T343" i="26"/>
  <c r="R343" i="26"/>
  <c r="E343" i="26"/>
  <c r="D343" i="26"/>
  <c r="T342" i="26"/>
  <c r="R342" i="26"/>
  <c r="E342" i="26"/>
  <c r="D342" i="26"/>
  <c r="T341" i="26"/>
  <c r="R341" i="26"/>
  <c r="E341" i="26"/>
  <c r="D341" i="26"/>
  <c r="T340" i="26"/>
  <c r="R340" i="26"/>
  <c r="E340" i="26"/>
  <c r="D340" i="26"/>
  <c r="T339" i="26"/>
  <c r="E339" i="26"/>
  <c r="D339" i="26"/>
  <c r="T338" i="26"/>
  <c r="R338" i="26"/>
  <c r="E338" i="26"/>
  <c r="D338" i="26"/>
  <c r="T337" i="26"/>
  <c r="R337" i="26"/>
  <c r="E337" i="26"/>
  <c r="D337" i="26"/>
  <c r="T336" i="26"/>
  <c r="R336" i="26"/>
  <c r="E336" i="26"/>
  <c r="D336" i="26"/>
  <c r="T335" i="26"/>
  <c r="R335" i="26"/>
  <c r="E335" i="26"/>
  <c r="D335" i="26"/>
  <c r="T334" i="26"/>
  <c r="R334" i="26"/>
  <c r="E334" i="26"/>
  <c r="D334" i="26"/>
  <c r="T333" i="26"/>
  <c r="R333" i="26"/>
  <c r="E333" i="26"/>
  <c r="D333" i="26"/>
  <c r="T332" i="26"/>
  <c r="R332" i="26"/>
  <c r="E332" i="26"/>
  <c r="D332" i="26"/>
  <c r="T331" i="26"/>
  <c r="R331" i="26"/>
  <c r="E331" i="26"/>
  <c r="D331" i="26"/>
  <c r="T330" i="26"/>
  <c r="R330" i="26"/>
  <c r="N330" i="26"/>
  <c r="E330" i="26"/>
  <c r="D330" i="26"/>
  <c r="S328" i="26"/>
  <c r="R328" i="26"/>
  <c r="P328" i="26"/>
  <c r="S327" i="26"/>
  <c r="R327" i="26"/>
  <c r="P327" i="26"/>
  <c r="T325" i="26"/>
  <c r="R325" i="26"/>
  <c r="E325" i="26"/>
  <c r="E323" i="26" s="1"/>
  <c r="D325" i="26"/>
  <c r="S323" i="26"/>
  <c r="R323" i="26"/>
  <c r="P323" i="26"/>
  <c r="T321" i="26"/>
  <c r="R321" i="26"/>
  <c r="E321" i="26"/>
  <c r="D321" i="26"/>
  <c r="T320" i="26"/>
  <c r="R320" i="26"/>
  <c r="N320" i="26"/>
  <c r="E320" i="26"/>
  <c r="D320" i="26"/>
  <c r="T319" i="26"/>
  <c r="R319" i="26"/>
  <c r="E319" i="26"/>
  <c r="D319" i="26"/>
  <c r="S317" i="26"/>
  <c r="R317" i="26"/>
  <c r="P317" i="26"/>
  <c r="T315" i="26"/>
  <c r="R315" i="26"/>
  <c r="O315" i="26"/>
  <c r="N315" i="26" s="1"/>
  <c r="E315" i="26"/>
  <c r="D315" i="26"/>
  <c r="S313" i="26"/>
  <c r="R313" i="26"/>
  <c r="P313" i="26"/>
  <c r="S312" i="26"/>
  <c r="R312" i="26"/>
  <c r="T310" i="26"/>
  <c r="R310" i="26"/>
  <c r="E310" i="26"/>
  <c r="D310" i="26"/>
  <c r="T309" i="26"/>
  <c r="R309" i="26"/>
  <c r="E309" i="26"/>
  <c r="D309" i="26"/>
  <c r="S307" i="26"/>
  <c r="R307" i="26"/>
  <c r="P307" i="26"/>
  <c r="T305" i="26"/>
  <c r="R305" i="26"/>
  <c r="E305" i="26"/>
  <c r="D305" i="26"/>
  <c r="T304" i="26"/>
  <c r="R304" i="26"/>
  <c r="E304" i="26"/>
  <c r="D304" i="26"/>
  <c r="T303" i="26"/>
  <c r="R303" i="26"/>
  <c r="E303" i="26"/>
  <c r="D303" i="26"/>
  <c r="T302" i="26"/>
  <c r="R302" i="26"/>
  <c r="E302" i="26"/>
  <c r="D302" i="26"/>
  <c r="S300" i="26"/>
  <c r="R300" i="26"/>
  <c r="P300" i="26"/>
  <c r="T298" i="26"/>
  <c r="R298" i="26"/>
  <c r="E298" i="26"/>
  <c r="D298" i="26"/>
  <c r="T297" i="26"/>
  <c r="R297" i="26"/>
  <c r="E297" i="26"/>
  <c r="D297" i="26"/>
  <c r="T296" i="26"/>
  <c r="R296" i="26"/>
  <c r="E296" i="26"/>
  <c r="D296" i="26"/>
  <c r="T295" i="26"/>
  <c r="R295" i="26"/>
  <c r="E295" i="26"/>
  <c r="D295" i="26"/>
  <c r="T294" i="26"/>
  <c r="R294" i="26"/>
  <c r="E294" i="26"/>
  <c r="D294" i="26"/>
  <c r="T293" i="26"/>
  <c r="R293" i="26"/>
  <c r="E293" i="26"/>
  <c r="D293" i="26"/>
  <c r="S291" i="26"/>
  <c r="R291" i="26"/>
  <c r="P291" i="26"/>
  <c r="S290" i="26"/>
  <c r="R290" i="26"/>
  <c r="P290" i="26"/>
  <c r="S289" i="26"/>
  <c r="R289" i="26"/>
  <c r="T287" i="26"/>
  <c r="R287" i="26"/>
  <c r="E287" i="26"/>
  <c r="E285" i="26" s="1"/>
  <c r="D287" i="26"/>
  <c r="S285" i="26"/>
  <c r="R285" i="26"/>
  <c r="P285" i="26"/>
  <c r="T283" i="26"/>
  <c r="R283" i="26"/>
  <c r="E283" i="26"/>
  <c r="D283" i="26"/>
  <c r="T282" i="26"/>
  <c r="R282" i="26"/>
  <c r="E282" i="26"/>
  <c r="D282" i="26"/>
  <c r="T281" i="26"/>
  <c r="R281" i="26"/>
  <c r="E281" i="26"/>
  <c r="D281" i="26"/>
  <c r="T280" i="26"/>
  <c r="R280" i="26"/>
  <c r="E280" i="26"/>
  <c r="D280" i="26"/>
  <c r="T279" i="26"/>
  <c r="R279" i="26"/>
  <c r="E279" i="26"/>
  <c r="H279" i="26" s="1"/>
  <c r="D279" i="26"/>
  <c r="G279" i="26" s="1"/>
  <c r="I277" i="26"/>
  <c r="I276" i="26" s="1"/>
  <c r="I275" i="26" s="1"/>
  <c r="I274" i="26" s="1"/>
  <c r="I273" i="26" s="1"/>
  <c r="I272" i="26" s="1"/>
  <c r="H276" i="26"/>
  <c r="H275" i="26" s="1"/>
  <c r="H274" i="26" s="1"/>
  <c r="H273" i="26" s="1"/>
  <c r="G276" i="26"/>
  <c r="G275" i="26" s="1"/>
  <c r="G274" i="26" s="1"/>
  <c r="G273" i="26" s="1"/>
  <c r="T270" i="26"/>
  <c r="S270" i="26"/>
  <c r="R270" i="26"/>
  <c r="Q270" i="26"/>
  <c r="P270" i="26"/>
  <c r="O270" i="26"/>
  <c r="N270" i="26"/>
  <c r="L270" i="26"/>
  <c r="K270" i="26"/>
  <c r="J270" i="26"/>
  <c r="I270" i="26"/>
  <c r="H270" i="26"/>
  <c r="G270" i="26"/>
  <c r="F270" i="26"/>
  <c r="S265" i="26"/>
  <c r="R265" i="26"/>
  <c r="P265" i="26"/>
  <c r="O265" i="26"/>
  <c r="J265" i="26"/>
  <c r="J70" i="27" s="1"/>
  <c r="D265" i="26"/>
  <c r="E264" i="26"/>
  <c r="S260" i="26"/>
  <c r="R260" i="26"/>
  <c r="P260" i="26"/>
  <c r="O260" i="26"/>
  <c r="J260" i="26"/>
  <c r="D260" i="26"/>
  <c r="S259" i="26"/>
  <c r="R259" i="26"/>
  <c r="P259" i="26"/>
  <c r="O259" i="26"/>
  <c r="J259" i="26"/>
  <c r="L259" i="26" s="1"/>
  <c r="D259" i="26"/>
  <c r="S258" i="26"/>
  <c r="R258" i="26"/>
  <c r="P258" i="26"/>
  <c r="O258" i="26"/>
  <c r="J258" i="26"/>
  <c r="D258" i="26"/>
  <c r="S257" i="26"/>
  <c r="R257" i="26"/>
  <c r="P257" i="26"/>
  <c r="O257" i="26"/>
  <c r="N257" i="26"/>
  <c r="L257" i="26"/>
  <c r="D257" i="26"/>
  <c r="S256" i="26"/>
  <c r="R256" i="26"/>
  <c r="P256" i="26"/>
  <c r="O256" i="26"/>
  <c r="J256" i="26"/>
  <c r="D256" i="26"/>
  <c r="S255" i="26"/>
  <c r="R255" i="26"/>
  <c r="P255" i="26"/>
  <c r="O255" i="26"/>
  <c r="J255" i="26"/>
  <c r="L255" i="26" s="1"/>
  <c r="L68" i="27" s="1"/>
  <c r="D255" i="26"/>
  <c r="S254" i="26"/>
  <c r="R254" i="26"/>
  <c r="P254" i="26"/>
  <c r="O254" i="26"/>
  <c r="J254" i="26"/>
  <c r="L254" i="26" s="1"/>
  <c r="L67" i="27" s="1"/>
  <c r="C254" i="26"/>
  <c r="T254" i="26" s="1"/>
  <c r="S253" i="26"/>
  <c r="R253" i="26"/>
  <c r="P253" i="26"/>
  <c r="O253" i="26"/>
  <c r="J253" i="26"/>
  <c r="D253" i="26"/>
  <c r="S252" i="26"/>
  <c r="R252" i="26"/>
  <c r="P252" i="26"/>
  <c r="O252" i="26"/>
  <c r="J252" i="26"/>
  <c r="J65" i="27" s="1"/>
  <c r="D252" i="26"/>
  <c r="S251" i="26"/>
  <c r="R251" i="26"/>
  <c r="P251" i="26"/>
  <c r="E251" i="26"/>
  <c r="F64" i="27" s="1"/>
  <c r="S250" i="26"/>
  <c r="R250" i="26"/>
  <c r="P250" i="26"/>
  <c r="O250" i="26"/>
  <c r="J250" i="26"/>
  <c r="J249" i="26" s="1"/>
  <c r="F250" i="26"/>
  <c r="C250" i="26"/>
  <c r="T250" i="26" s="1"/>
  <c r="S249" i="26"/>
  <c r="R249" i="26"/>
  <c r="P249" i="26"/>
  <c r="L249" i="26"/>
  <c r="L62" i="27" s="1"/>
  <c r="E249" i="26"/>
  <c r="F62" i="27" s="1"/>
  <c r="S248" i="26"/>
  <c r="R248" i="26"/>
  <c r="P248" i="26"/>
  <c r="O248" i="26"/>
  <c r="J248" i="26"/>
  <c r="F248" i="26"/>
  <c r="S247" i="26"/>
  <c r="R247" i="26"/>
  <c r="P247" i="26"/>
  <c r="O247" i="26"/>
  <c r="J247" i="26"/>
  <c r="F247" i="26"/>
  <c r="S246" i="26"/>
  <c r="R246" i="26"/>
  <c r="P246" i="26"/>
  <c r="O246" i="26"/>
  <c r="N246" i="26"/>
  <c r="N59" i="27" s="1"/>
  <c r="L246" i="26"/>
  <c r="L59" i="27" s="1"/>
  <c r="S245" i="26"/>
  <c r="R245" i="26"/>
  <c r="P245" i="26"/>
  <c r="O245" i="26"/>
  <c r="J245" i="26"/>
  <c r="D245" i="26"/>
  <c r="S244" i="26"/>
  <c r="R244" i="26"/>
  <c r="P244" i="26"/>
  <c r="E244" i="26"/>
  <c r="F57" i="27" s="1"/>
  <c r="T243" i="26"/>
  <c r="S243" i="26"/>
  <c r="R243" i="26"/>
  <c r="P243" i="26"/>
  <c r="J243" i="26"/>
  <c r="N243" i="26" s="1"/>
  <c r="F243" i="26"/>
  <c r="S242" i="26"/>
  <c r="R242" i="26"/>
  <c r="P242" i="26"/>
  <c r="S241" i="26"/>
  <c r="R241" i="26"/>
  <c r="P241" i="26"/>
  <c r="S240" i="26"/>
  <c r="R240" i="26"/>
  <c r="P240" i="26"/>
  <c r="N240" i="26"/>
  <c r="N53" i="27" s="1"/>
  <c r="S239" i="26"/>
  <c r="R239" i="26"/>
  <c r="P239" i="26"/>
  <c r="E239" i="26"/>
  <c r="F52" i="27" s="1"/>
  <c r="N238" i="26"/>
  <c r="N51" i="27" s="1"/>
  <c r="L238" i="26"/>
  <c r="L51" i="27" s="1"/>
  <c r="S237" i="26"/>
  <c r="R237" i="26"/>
  <c r="P237" i="26"/>
  <c r="O237" i="26"/>
  <c r="J237" i="26"/>
  <c r="L237" i="26" s="1"/>
  <c r="L50" i="27" s="1"/>
  <c r="D237" i="26"/>
  <c r="S236" i="26"/>
  <c r="R236" i="26"/>
  <c r="P236" i="26"/>
  <c r="O236" i="26"/>
  <c r="J236" i="26"/>
  <c r="D236" i="26"/>
  <c r="S235" i="26"/>
  <c r="R235" i="26"/>
  <c r="P235" i="26"/>
  <c r="O235" i="26"/>
  <c r="J235" i="26"/>
  <c r="N235" i="26" s="1"/>
  <c r="N48" i="27" s="1"/>
  <c r="D235" i="26"/>
  <c r="S234" i="26"/>
  <c r="R234" i="26"/>
  <c r="P234" i="26"/>
  <c r="S233" i="26"/>
  <c r="R233" i="26"/>
  <c r="P233" i="26"/>
  <c r="E233" i="26"/>
  <c r="F46" i="27" s="1"/>
  <c r="S231" i="26"/>
  <c r="R231" i="26"/>
  <c r="P231" i="26"/>
  <c r="F231" i="26"/>
  <c r="S230" i="26"/>
  <c r="R230" i="26"/>
  <c r="P230" i="26"/>
  <c r="I230" i="26"/>
  <c r="I229" i="26" s="1"/>
  <c r="I228" i="26" s="1"/>
  <c r="I227" i="26" s="1"/>
  <c r="I226" i="26" s="1"/>
  <c r="H230" i="26"/>
  <c r="H229" i="26" s="1"/>
  <c r="H228" i="26" s="1"/>
  <c r="H227" i="26" s="1"/>
  <c r="H226" i="26" s="1"/>
  <c r="G230" i="26"/>
  <c r="G229" i="26" s="1"/>
  <c r="G228" i="26" s="1"/>
  <c r="G227" i="26" s="1"/>
  <c r="G226" i="26" s="1"/>
  <c r="S229" i="26"/>
  <c r="R229" i="26"/>
  <c r="P229" i="26"/>
  <c r="S228" i="26"/>
  <c r="R228" i="26"/>
  <c r="P228" i="26"/>
  <c r="S227" i="26"/>
  <c r="R227" i="26"/>
  <c r="P227" i="26"/>
  <c r="S226" i="26"/>
  <c r="R226" i="26"/>
  <c r="S224" i="26"/>
  <c r="R224" i="26"/>
  <c r="P224" i="26"/>
  <c r="O224" i="26"/>
  <c r="J224" i="26"/>
  <c r="D224" i="26"/>
  <c r="S223" i="26"/>
  <c r="R223" i="26"/>
  <c r="P223" i="26"/>
  <c r="O223" i="26"/>
  <c r="J223" i="26"/>
  <c r="L223" i="26" s="1"/>
  <c r="D223" i="26"/>
  <c r="S221" i="26"/>
  <c r="R221" i="26"/>
  <c r="P221" i="26"/>
  <c r="L219" i="26"/>
  <c r="S217" i="26"/>
  <c r="R217" i="26"/>
  <c r="P217" i="26"/>
  <c r="L217" i="26"/>
  <c r="L39" i="27" s="1"/>
  <c r="J217" i="26"/>
  <c r="J216" i="26" s="1"/>
  <c r="S216" i="26"/>
  <c r="R216" i="26"/>
  <c r="P216" i="26"/>
  <c r="O214" i="26"/>
  <c r="E214" i="26"/>
  <c r="S213" i="26"/>
  <c r="R213" i="26"/>
  <c r="O213" i="26"/>
  <c r="L213" i="26"/>
  <c r="S212" i="26"/>
  <c r="R212" i="26"/>
  <c r="P212" i="26"/>
  <c r="O212" i="26"/>
  <c r="J212" i="26"/>
  <c r="N212" i="26" s="1"/>
  <c r="D212" i="26"/>
  <c r="S211" i="26"/>
  <c r="R211" i="26"/>
  <c r="P211" i="26"/>
  <c r="O211" i="26"/>
  <c r="J211" i="26"/>
  <c r="D211" i="26"/>
  <c r="S209" i="26"/>
  <c r="R209" i="26"/>
  <c r="P209" i="26"/>
  <c r="F209" i="26"/>
  <c r="S205" i="26"/>
  <c r="R205" i="26"/>
  <c r="P205" i="26"/>
  <c r="J205" i="26"/>
  <c r="J36" i="27" s="1"/>
  <c r="F205" i="26"/>
  <c r="S204" i="26"/>
  <c r="R204" i="26"/>
  <c r="P204" i="26"/>
  <c r="N204" i="26"/>
  <c r="N35" i="27" s="1"/>
  <c r="F204" i="26"/>
  <c r="S202" i="26"/>
  <c r="R202" i="26"/>
  <c r="P202" i="26"/>
  <c r="O202" i="26"/>
  <c r="E202" i="26"/>
  <c r="N202" i="26" s="1"/>
  <c r="S201" i="26"/>
  <c r="R201" i="26"/>
  <c r="P201" i="26"/>
  <c r="O201" i="26"/>
  <c r="J201" i="26"/>
  <c r="D201" i="26"/>
  <c r="S200" i="26"/>
  <c r="R200" i="26"/>
  <c r="P200" i="26"/>
  <c r="O200" i="26"/>
  <c r="J200" i="26"/>
  <c r="L200" i="26" s="1"/>
  <c r="D200" i="26"/>
  <c r="S199" i="26"/>
  <c r="R199" i="26"/>
  <c r="P199" i="26"/>
  <c r="O199" i="26"/>
  <c r="J199" i="26"/>
  <c r="L199" i="26" s="1"/>
  <c r="D199" i="26"/>
  <c r="S198" i="26"/>
  <c r="R198" i="26"/>
  <c r="P198" i="26"/>
  <c r="O198" i="26"/>
  <c r="J198" i="26"/>
  <c r="L198" i="26" s="1"/>
  <c r="D198" i="26"/>
  <c r="S196" i="26"/>
  <c r="R196" i="26"/>
  <c r="P196" i="26"/>
  <c r="F196" i="26"/>
  <c r="S194" i="26"/>
  <c r="R194" i="26"/>
  <c r="P194" i="26"/>
  <c r="E194" i="26"/>
  <c r="N194" i="26" s="1"/>
  <c r="S193" i="26"/>
  <c r="R193" i="26"/>
  <c r="P193" i="26"/>
  <c r="O193" i="26"/>
  <c r="N193" i="26"/>
  <c r="L193" i="26"/>
  <c r="S192" i="26"/>
  <c r="R192" i="26"/>
  <c r="P192" i="26"/>
  <c r="O192" i="26"/>
  <c r="J192" i="26"/>
  <c r="N192" i="26" s="1"/>
  <c r="D192" i="26"/>
  <c r="S191" i="26"/>
  <c r="R191" i="26"/>
  <c r="P191" i="26"/>
  <c r="O191" i="26"/>
  <c r="J191" i="26"/>
  <c r="D191" i="26"/>
  <c r="S190" i="26"/>
  <c r="R190" i="26"/>
  <c r="P190" i="26"/>
  <c r="O190" i="26"/>
  <c r="J190" i="26"/>
  <c r="L190" i="26" s="1"/>
  <c r="D190" i="26"/>
  <c r="S188" i="26"/>
  <c r="R188" i="26"/>
  <c r="P188" i="26"/>
  <c r="F188" i="26"/>
  <c r="S186" i="26"/>
  <c r="R186" i="26"/>
  <c r="P186" i="26"/>
  <c r="E186" i="26"/>
  <c r="N186" i="26" s="1"/>
  <c r="S185" i="26"/>
  <c r="R185" i="26"/>
  <c r="O185" i="26"/>
  <c r="N185" i="26"/>
  <c r="L185" i="26"/>
  <c r="S184" i="26"/>
  <c r="R184" i="26"/>
  <c r="P184" i="26"/>
  <c r="O184" i="26"/>
  <c r="N184" i="26"/>
  <c r="L184" i="26"/>
  <c r="F184" i="26"/>
  <c r="S183" i="26"/>
  <c r="R183" i="26"/>
  <c r="P183" i="26"/>
  <c r="O183" i="26"/>
  <c r="J183" i="26"/>
  <c r="D183" i="26"/>
  <c r="S182" i="26"/>
  <c r="R182" i="26"/>
  <c r="P182" i="26"/>
  <c r="O182" i="26"/>
  <c r="J182" i="26"/>
  <c r="L182" i="26" s="1"/>
  <c r="F182" i="26"/>
  <c r="D182" i="26"/>
  <c r="S180" i="26"/>
  <c r="R180" i="26"/>
  <c r="P180" i="26"/>
  <c r="F180" i="26"/>
  <c r="S178" i="26"/>
  <c r="R178" i="26"/>
  <c r="P178" i="26"/>
  <c r="O178" i="26"/>
  <c r="J178" i="26"/>
  <c r="N178" i="26" s="1"/>
  <c r="F178" i="26"/>
  <c r="D178" i="26"/>
  <c r="S176" i="26"/>
  <c r="R176" i="26"/>
  <c r="P176" i="26"/>
  <c r="F176" i="26"/>
  <c r="S175" i="26"/>
  <c r="R175" i="26"/>
  <c r="P175" i="26"/>
  <c r="L173" i="26"/>
  <c r="L171" i="26" s="1"/>
  <c r="L29" i="27" s="1"/>
  <c r="S171" i="26"/>
  <c r="R171" i="26"/>
  <c r="P171" i="26"/>
  <c r="N171" i="26"/>
  <c r="N29" i="27" s="1"/>
  <c r="K171" i="26"/>
  <c r="K29" i="27" s="1"/>
  <c r="J171" i="26"/>
  <c r="J29" i="27" s="1"/>
  <c r="L169" i="26"/>
  <c r="S167" i="26"/>
  <c r="R167" i="26"/>
  <c r="P167" i="26"/>
  <c r="N167" i="26"/>
  <c r="N28" i="27" s="1"/>
  <c r="K167" i="26"/>
  <c r="K28" i="27" s="1"/>
  <c r="J167" i="26"/>
  <c r="J28" i="27" s="1"/>
  <c r="L165" i="26"/>
  <c r="S163" i="26"/>
  <c r="R163" i="26"/>
  <c r="P163" i="26"/>
  <c r="N163" i="26"/>
  <c r="N27" i="27" s="1"/>
  <c r="J163" i="26"/>
  <c r="J27" i="27" s="1"/>
  <c r="L161" i="26"/>
  <c r="S159" i="26"/>
  <c r="R159" i="26"/>
  <c r="P159" i="26"/>
  <c r="N159" i="26"/>
  <c r="J159" i="26"/>
  <c r="J26" i="27" s="1"/>
  <c r="S158" i="26"/>
  <c r="R158" i="26"/>
  <c r="P158" i="26"/>
  <c r="L156" i="26"/>
  <c r="S154" i="26"/>
  <c r="R154" i="26"/>
  <c r="P154" i="26"/>
  <c r="L154" i="26"/>
  <c r="L24" i="27" s="1"/>
  <c r="J154" i="26"/>
  <c r="E152" i="26"/>
  <c r="N152" i="26" s="1"/>
  <c r="T151" i="26"/>
  <c r="S151" i="26"/>
  <c r="R151" i="26"/>
  <c r="O151" i="26"/>
  <c r="N151" i="26"/>
  <c r="L151" i="26"/>
  <c r="S150" i="26"/>
  <c r="R150" i="26"/>
  <c r="P150" i="26"/>
  <c r="O150" i="26"/>
  <c r="J150" i="26"/>
  <c r="L150" i="26" s="1"/>
  <c r="F150" i="26"/>
  <c r="D150" i="26"/>
  <c r="T149" i="26"/>
  <c r="S149" i="26"/>
  <c r="R149" i="26"/>
  <c r="P149" i="26"/>
  <c r="O149" i="26"/>
  <c r="N149" i="26"/>
  <c r="L149" i="26"/>
  <c r="F149" i="26"/>
  <c r="S147" i="26"/>
  <c r="R147" i="26"/>
  <c r="P147" i="26"/>
  <c r="F147" i="26"/>
  <c r="S145" i="26"/>
  <c r="R145" i="26"/>
  <c r="P145" i="26"/>
  <c r="E145" i="26"/>
  <c r="N145" i="26" s="1"/>
  <c r="T144" i="26"/>
  <c r="J144" i="26"/>
  <c r="L144" i="26" s="1"/>
  <c r="T143" i="26"/>
  <c r="S143" i="26"/>
  <c r="R143" i="26"/>
  <c r="P143" i="26"/>
  <c r="O143" i="26"/>
  <c r="J143" i="26"/>
  <c r="L143" i="26" s="1"/>
  <c r="F143" i="26"/>
  <c r="S142" i="26"/>
  <c r="R142" i="26"/>
  <c r="P142" i="26"/>
  <c r="O142" i="26"/>
  <c r="N142" i="26"/>
  <c r="L142" i="26"/>
  <c r="F142" i="26"/>
  <c r="D142" i="26"/>
  <c r="S140" i="26"/>
  <c r="R140" i="26"/>
  <c r="P140" i="26"/>
  <c r="K140" i="26"/>
  <c r="K22" i="27" s="1"/>
  <c r="F140" i="26"/>
  <c r="S139" i="26"/>
  <c r="R139" i="26"/>
  <c r="P139" i="26"/>
  <c r="K139" i="26"/>
  <c r="K21" i="27" s="1"/>
  <c r="F139" i="26"/>
  <c r="S136" i="26"/>
  <c r="R136" i="26"/>
  <c r="P136" i="26"/>
  <c r="E136" i="26"/>
  <c r="N136" i="26" s="1"/>
  <c r="S135" i="26"/>
  <c r="R135" i="26"/>
  <c r="P135" i="26"/>
  <c r="O135" i="26"/>
  <c r="N135" i="26"/>
  <c r="L135" i="26"/>
  <c r="S134" i="26"/>
  <c r="R134" i="26"/>
  <c r="P134" i="26"/>
  <c r="O134" i="26"/>
  <c r="J134" i="26"/>
  <c r="L134" i="26" s="1"/>
  <c r="D134" i="26"/>
  <c r="S133" i="26"/>
  <c r="R133" i="26"/>
  <c r="P133" i="26"/>
  <c r="O133" i="26"/>
  <c r="J133" i="26"/>
  <c r="N133" i="26" s="1"/>
  <c r="D133" i="26"/>
  <c r="S132" i="26"/>
  <c r="R132" i="26"/>
  <c r="P132" i="26"/>
  <c r="O132" i="26"/>
  <c r="J132" i="26"/>
  <c r="D132" i="26"/>
  <c r="S131" i="26"/>
  <c r="R131" i="26"/>
  <c r="P131" i="26"/>
  <c r="O131" i="26"/>
  <c r="J131" i="26"/>
  <c r="D131" i="26"/>
  <c r="S130" i="26"/>
  <c r="R130" i="26"/>
  <c r="P130" i="26"/>
  <c r="O130" i="26"/>
  <c r="J130" i="26"/>
  <c r="L130" i="26" s="1"/>
  <c r="D130" i="26"/>
  <c r="S129" i="26"/>
  <c r="R129" i="26"/>
  <c r="P129" i="26"/>
  <c r="O129" i="26"/>
  <c r="J129" i="26"/>
  <c r="L129" i="26" s="1"/>
  <c r="D129" i="26"/>
  <c r="S128" i="26"/>
  <c r="R128" i="26"/>
  <c r="P128" i="26"/>
  <c r="O128" i="26"/>
  <c r="J128" i="26"/>
  <c r="N128" i="26" s="1"/>
  <c r="D128" i="26"/>
  <c r="S127" i="26"/>
  <c r="R127" i="26"/>
  <c r="P127" i="26"/>
  <c r="O127" i="26"/>
  <c r="J127" i="26"/>
  <c r="D127" i="26"/>
  <c r="S126" i="26"/>
  <c r="R126" i="26"/>
  <c r="P126" i="26"/>
  <c r="O126" i="26"/>
  <c r="N126" i="26"/>
  <c r="L126" i="26"/>
  <c r="D126" i="26"/>
  <c r="S125" i="26"/>
  <c r="R125" i="26"/>
  <c r="P125" i="26"/>
  <c r="O125" i="26"/>
  <c r="N125" i="26"/>
  <c r="L125" i="26"/>
  <c r="D125" i="26"/>
  <c r="S124" i="26"/>
  <c r="R124" i="26"/>
  <c r="P124" i="26"/>
  <c r="O124" i="26"/>
  <c r="J124" i="26"/>
  <c r="L124" i="26" s="1"/>
  <c r="F124" i="26"/>
  <c r="D124" i="26"/>
  <c r="S123" i="26"/>
  <c r="R123" i="26"/>
  <c r="P123" i="26"/>
  <c r="O123" i="26"/>
  <c r="J123" i="26"/>
  <c r="L123" i="26" s="1"/>
  <c r="D123" i="26"/>
  <c r="S122" i="26"/>
  <c r="R122" i="26"/>
  <c r="P122" i="26"/>
  <c r="O122" i="26"/>
  <c r="J122" i="26"/>
  <c r="D122" i="26"/>
  <c r="S121" i="26"/>
  <c r="R121" i="26"/>
  <c r="P121" i="26"/>
  <c r="O121" i="26"/>
  <c r="J121" i="26"/>
  <c r="F121" i="26"/>
  <c r="D121" i="26"/>
  <c r="S120" i="26"/>
  <c r="R120" i="26"/>
  <c r="P120" i="26"/>
  <c r="O120" i="26"/>
  <c r="J120" i="26"/>
  <c r="N120" i="26" s="1"/>
  <c r="D120" i="26"/>
  <c r="S119" i="26"/>
  <c r="R119" i="26"/>
  <c r="P119" i="26"/>
  <c r="O119" i="26"/>
  <c r="J119" i="26"/>
  <c r="L119" i="26" s="1"/>
  <c r="D119" i="26"/>
  <c r="S117" i="26"/>
  <c r="R117" i="26"/>
  <c r="P117" i="26"/>
  <c r="F117" i="26"/>
  <c r="S116" i="26"/>
  <c r="R116" i="26"/>
  <c r="P116" i="26"/>
  <c r="F116" i="26"/>
  <c r="S114" i="26"/>
  <c r="R114" i="26"/>
  <c r="P114" i="26"/>
  <c r="E114" i="26"/>
  <c r="N114" i="26" s="1"/>
  <c r="S113" i="26"/>
  <c r="R113" i="26"/>
  <c r="P113" i="26"/>
  <c r="O113" i="26"/>
  <c r="J113" i="26"/>
  <c r="D113" i="26"/>
  <c r="S112" i="26"/>
  <c r="R112" i="26"/>
  <c r="P112" i="26"/>
  <c r="O112" i="26"/>
  <c r="N112" i="26"/>
  <c r="L112" i="26"/>
  <c r="S111" i="26"/>
  <c r="R111" i="26"/>
  <c r="P111" i="26"/>
  <c r="O111" i="26"/>
  <c r="J111" i="26"/>
  <c r="D111" i="26"/>
  <c r="S110" i="26"/>
  <c r="R110" i="26"/>
  <c r="P110" i="26"/>
  <c r="O110" i="26"/>
  <c r="J110" i="26"/>
  <c r="F110" i="26"/>
  <c r="D110" i="26"/>
  <c r="S109" i="26"/>
  <c r="R109" i="26"/>
  <c r="P109" i="26"/>
  <c r="O109" i="26"/>
  <c r="J109" i="26"/>
  <c r="F109" i="26"/>
  <c r="S108" i="26"/>
  <c r="R108" i="26"/>
  <c r="P108" i="26"/>
  <c r="O108" i="26"/>
  <c r="J108" i="26"/>
  <c r="N108" i="26" s="1"/>
  <c r="F108" i="26"/>
  <c r="D108" i="26"/>
  <c r="S107" i="26"/>
  <c r="R107" i="26"/>
  <c r="P107" i="26"/>
  <c r="O107" i="26"/>
  <c r="J107" i="26"/>
  <c r="F107" i="26"/>
  <c r="D107" i="26"/>
  <c r="S106" i="26"/>
  <c r="R106" i="26"/>
  <c r="P106" i="26"/>
  <c r="O106" i="26"/>
  <c r="J106" i="26"/>
  <c r="F106" i="26"/>
  <c r="D106" i="26"/>
  <c r="S105" i="26"/>
  <c r="R105" i="26"/>
  <c r="P105" i="26"/>
  <c r="O105" i="26"/>
  <c r="J105" i="26"/>
  <c r="L105" i="26" s="1"/>
  <c r="F105" i="26"/>
  <c r="D105" i="26"/>
  <c r="S104" i="26"/>
  <c r="R104" i="26"/>
  <c r="P104" i="26"/>
  <c r="O104" i="26"/>
  <c r="J104" i="26"/>
  <c r="N104" i="26" s="1"/>
  <c r="D104" i="26"/>
  <c r="S103" i="26"/>
  <c r="R103" i="26"/>
  <c r="P103" i="26"/>
  <c r="O103" i="26"/>
  <c r="J103" i="26"/>
  <c r="D103" i="26"/>
  <c r="S102" i="26"/>
  <c r="R102" i="26"/>
  <c r="P102" i="26"/>
  <c r="O102" i="26"/>
  <c r="J102" i="26"/>
  <c r="F102" i="26"/>
  <c r="D102" i="26"/>
  <c r="S100" i="26"/>
  <c r="R100" i="26"/>
  <c r="P100" i="26"/>
  <c r="F100" i="26"/>
  <c r="S98" i="26"/>
  <c r="R98" i="26"/>
  <c r="P98" i="26"/>
  <c r="E98" i="26"/>
  <c r="N98" i="26" s="1"/>
  <c r="S97" i="26"/>
  <c r="R97" i="26"/>
  <c r="P97" i="26"/>
  <c r="O97" i="26"/>
  <c r="J97" i="26"/>
  <c r="L97" i="26" s="1"/>
  <c r="C97" i="26"/>
  <c r="T97" i="26" s="1"/>
  <c r="S96" i="26"/>
  <c r="R96" i="26"/>
  <c r="P96" i="26"/>
  <c r="O96" i="26"/>
  <c r="J96" i="26"/>
  <c r="D96" i="26"/>
  <c r="S95" i="26"/>
  <c r="R95" i="26"/>
  <c r="P95" i="26"/>
  <c r="O95" i="26"/>
  <c r="J95" i="26"/>
  <c r="D95" i="26"/>
  <c r="S94" i="26"/>
  <c r="R94" i="26"/>
  <c r="P94" i="26"/>
  <c r="O94" i="26"/>
  <c r="N94" i="26"/>
  <c r="L94" i="26"/>
  <c r="S93" i="26"/>
  <c r="R93" i="26"/>
  <c r="P93" i="26"/>
  <c r="O93" i="26"/>
  <c r="J93" i="26"/>
  <c r="L93" i="26" s="1"/>
  <c r="D93" i="26"/>
  <c r="S91" i="26"/>
  <c r="R91" i="26"/>
  <c r="P91" i="26"/>
  <c r="F91" i="26"/>
  <c r="S90" i="26"/>
  <c r="R90" i="26"/>
  <c r="F90" i="26"/>
  <c r="S88" i="26"/>
  <c r="R88" i="26"/>
  <c r="P88" i="26"/>
  <c r="E88" i="26"/>
  <c r="N88" i="26" s="1"/>
  <c r="S87" i="26"/>
  <c r="R87" i="26"/>
  <c r="P87" i="26"/>
  <c r="O87" i="26"/>
  <c r="J87" i="26"/>
  <c r="L87" i="26" s="1"/>
  <c r="D87" i="26"/>
  <c r="S86" i="26"/>
  <c r="R86" i="26"/>
  <c r="P86" i="26"/>
  <c r="O86" i="26"/>
  <c r="J86" i="26"/>
  <c r="D86" i="26"/>
  <c r="S85" i="26"/>
  <c r="R85" i="26"/>
  <c r="P85" i="26"/>
  <c r="O85" i="26"/>
  <c r="J85" i="26"/>
  <c r="D85" i="26"/>
  <c r="S84" i="26"/>
  <c r="R84" i="26"/>
  <c r="P84" i="26"/>
  <c r="O84" i="26"/>
  <c r="N84" i="26"/>
  <c r="L84" i="26"/>
  <c r="D84" i="26"/>
  <c r="S82" i="26"/>
  <c r="R82" i="26"/>
  <c r="P82" i="26"/>
  <c r="F82" i="26"/>
  <c r="S80" i="26"/>
  <c r="R80" i="26"/>
  <c r="P80" i="26"/>
  <c r="E80" i="26"/>
  <c r="N80" i="26" s="1"/>
  <c r="S79" i="26"/>
  <c r="R79" i="26"/>
  <c r="P79" i="26"/>
  <c r="O79" i="26"/>
  <c r="J79" i="26"/>
  <c r="L79" i="26" s="1"/>
  <c r="D79" i="26"/>
  <c r="S78" i="26"/>
  <c r="R78" i="26"/>
  <c r="P78" i="26"/>
  <c r="O78" i="26"/>
  <c r="J78" i="26"/>
  <c r="F78" i="26"/>
  <c r="C78" i="26"/>
  <c r="S77" i="26"/>
  <c r="R77" i="26"/>
  <c r="P77" i="26"/>
  <c r="O77" i="26"/>
  <c r="J77" i="26"/>
  <c r="D77" i="26"/>
  <c r="S75" i="26"/>
  <c r="R75" i="26"/>
  <c r="P75" i="26"/>
  <c r="F75" i="26"/>
  <c r="S72" i="26"/>
  <c r="R72" i="26"/>
  <c r="P72" i="26"/>
  <c r="O72" i="26"/>
  <c r="S71" i="26"/>
  <c r="R71" i="26"/>
  <c r="P71" i="26"/>
  <c r="O71" i="26"/>
  <c r="J71" i="26"/>
  <c r="D71" i="26"/>
  <c r="S70" i="26"/>
  <c r="R70" i="26"/>
  <c r="P70" i="26"/>
  <c r="O70" i="26"/>
  <c r="J70" i="26"/>
  <c r="D70" i="26"/>
  <c r="S69" i="26"/>
  <c r="R69" i="26"/>
  <c r="P69" i="26"/>
  <c r="O69" i="26"/>
  <c r="J69" i="26"/>
  <c r="L69" i="26" s="1"/>
  <c r="D69" i="26"/>
  <c r="S68" i="26"/>
  <c r="R68" i="26"/>
  <c r="P68" i="26"/>
  <c r="O68" i="26"/>
  <c r="J68" i="26"/>
  <c r="F68" i="26"/>
  <c r="S67" i="26"/>
  <c r="R67" i="26"/>
  <c r="P67" i="26"/>
  <c r="O67" i="26"/>
  <c r="J67" i="26"/>
  <c r="L67" i="26" s="1"/>
  <c r="F67" i="26"/>
  <c r="D67" i="26"/>
  <c r="S66" i="26"/>
  <c r="R66" i="26"/>
  <c r="P66" i="26"/>
  <c r="O66" i="26"/>
  <c r="J66" i="26"/>
  <c r="N66" i="26" s="1"/>
  <c r="F66" i="26"/>
  <c r="D66" i="26"/>
  <c r="S65" i="26"/>
  <c r="R65" i="26"/>
  <c r="P65" i="26"/>
  <c r="O65" i="26"/>
  <c r="L65" i="26"/>
  <c r="F65" i="26"/>
  <c r="E65" i="26"/>
  <c r="N65" i="26" s="1"/>
  <c r="S64" i="26"/>
  <c r="R64" i="26"/>
  <c r="P64" i="26"/>
  <c r="O64" i="26"/>
  <c r="J64" i="26"/>
  <c r="F64" i="26"/>
  <c r="E64" i="26"/>
  <c r="F34" i="24" s="1"/>
  <c r="C64" i="26"/>
  <c r="T64" i="26" s="1"/>
  <c r="S63" i="26"/>
  <c r="R63" i="26"/>
  <c r="P63" i="26"/>
  <c r="O63" i="26"/>
  <c r="J63" i="26"/>
  <c r="N63" i="26" s="1"/>
  <c r="D63" i="26"/>
  <c r="S62" i="26"/>
  <c r="R62" i="26"/>
  <c r="P62" i="26"/>
  <c r="O62" i="26"/>
  <c r="J62" i="26"/>
  <c r="N62" i="26" s="1"/>
  <c r="D62" i="26"/>
  <c r="S61" i="26"/>
  <c r="R61" i="26"/>
  <c r="P61" i="26"/>
  <c r="O61" i="26"/>
  <c r="J61" i="26"/>
  <c r="F61" i="26"/>
  <c r="E61" i="26"/>
  <c r="F31" i="24" s="1"/>
  <c r="C61" i="26"/>
  <c r="S60" i="26"/>
  <c r="R60" i="26"/>
  <c r="P60" i="26"/>
  <c r="O60" i="26"/>
  <c r="J60" i="26"/>
  <c r="N60" i="26" s="1"/>
  <c r="D60" i="26"/>
  <c r="S59" i="26"/>
  <c r="R59" i="26"/>
  <c r="P59" i="26"/>
  <c r="O59" i="26"/>
  <c r="J59" i="26"/>
  <c r="D59" i="26"/>
  <c r="S58" i="26"/>
  <c r="R58" i="26"/>
  <c r="P58" i="26"/>
  <c r="O58" i="26"/>
  <c r="J58" i="26"/>
  <c r="D58" i="26"/>
  <c r="S57" i="26"/>
  <c r="R57" i="26"/>
  <c r="P57" i="26"/>
  <c r="O57" i="26"/>
  <c r="J57" i="26"/>
  <c r="L57" i="26" s="1"/>
  <c r="F57" i="26"/>
  <c r="D57" i="26"/>
  <c r="S56" i="26"/>
  <c r="R56" i="26"/>
  <c r="P56" i="26"/>
  <c r="O56" i="26"/>
  <c r="J56" i="26"/>
  <c r="C56" i="26"/>
  <c r="S55" i="26"/>
  <c r="R55" i="26"/>
  <c r="P55" i="26"/>
  <c r="O55" i="26"/>
  <c r="J55" i="26"/>
  <c r="D55" i="26"/>
  <c r="S54" i="26"/>
  <c r="R54" i="26"/>
  <c r="P54" i="26"/>
  <c r="O54" i="26"/>
  <c r="J54" i="26"/>
  <c r="L54" i="26" s="1"/>
  <c r="E54" i="26"/>
  <c r="F25" i="24" s="1"/>
  <c r="D54" i="26"/>
  <c r="S53" i="26"/>
  <c r="R53" i="26"/>
  <c r="P53" i="26"/>
  <c r="O53" i="26"/>
  <c r="J53" i="26"/>
  <c r="C53" i="26"/>
  <c r="S51" i="26"/>
  <c r="R51" i="26"/>
  <c r="P51" i="26"/>
  <c r="F51" i="26"/>
  <c r="S50" i="26"/>
  <c r="R50" i="26"/>
  <c r="P50" i="26"/>
  <c r="S49" i="26"/>
  <c r="R49" i="26"/>
  <c r="E47" i="26"/>
  <c r="N47" i="26" s="1"/>
  <c r="N46" i="26"/>
  <c r="L46" i="26"/>
  <c r="S45" i="26"/>
  <c r="R45" i="26"/>
  <c r="N45" i="26"/>
  <c r="S44" i="26"/>
  <c r="R44" i="26"/>
  <c r="N44" i="26"/>
  <c r="S43" i="26"/>
  <c r="R43" i="26"/>
  <c r="N43" i="26"/>
  <c r="S42" i="26"/>
  <c r="R42" i="26"/>
  <c r="N42" i="26"/>
  <c r="S41" i="26"/>
  <c r="R41" i="26"/>
  <c r="N41" i="26"/>
  <c r="S40" i="26"/>
  <c r="R40" i="26"/>
  <c r="P40" i="26"/>
  <c r="J40" i="26"/>
  <c r="N40" i="26" s="1"/>
  <c r="D40" i="26"/>
  <c r="S39" i="26"/>
  <c r="R39" i="26"/>
  <c r="P39" i="26"/>
  <c r="J39" i="26"/>
  <c r="D39" i="26"/>
  <c r="S37" i="26"/>
  <c r="R37" i="26"/>
  <c r="P37" i="26"/>
  <c r="S34" i="26"/>
  <c r="R34" i="26"/>
  <c r="P34" i="26"/>
  <c r="K34" i="26"/>
  <c r="K9" i="27" s="1"/>
  <c r="J34" i="26"/>
  <c r="F34" i="26"/>
  <c r="S31" i="26"/>
  <c r="R31" i="26"/>
  <c r="P31" i="26"/>
  <c r="N31" i="26"/>
  <c r="L31" i="26"/>
  <c r="S30" i="26"/>
  <c r="R30" i="26"/>
  <c r="P30" i="26"/>
  <c r="L30" i="26"/>
  <c r="S29" i="26"/>
  <c r="R29" i="26"/>
  <c r="P29" i="26"/>
  <c r="J29" i="26"/>
  <c r="N29" i="26" s="1"/>
  <c r="D29" i="26"/>
  <c r="S28" i="26"/>
  <c r="R28" i="26"/>
  <c r="P28" i="26"/>
  <c r="J28" i="26"/>
  <c r="D28" i="26"/>
  <c r="S27" i="26"/>
  <c r="R27" i="26"/>
  <c r="P27" i="26"/>
  <c r="J27" i="26"/>
  <c r="D27" i="26"/>
  <c r="S26" i="26"/>
  <c r="R26" i="26"/>
  <c r="P26" i="26"/>
  <c r="J26" i="26"/>
  <c r="N26" i="26" s="1"/>
  <c r="D26" i="26"/>
  <c r="S25" i="26"/>
  <c r="R25" i="26"/>
  <c r="P25" i="26"/>
  <c r="O25" i="26"/>
  <c r="J25" i="26"/>
  <c r="E25" i="26"/>
  <c r="F22" i="24" s="1"/>
  <c r="D25" i="26"/>
  <c r="S24" i="26"/>
  <c r="R24" i="26"/>
  <c r="P24" i="26"/>
  <c r="O24" i="26"/>
  <c r="J24" i="26"/>
  <c r="E24" i="26"/>
  <c r="F21" i="24" s="1"/>
  <c r="D24" i="26"/>
  <c r="S23" i="26"/>
  <c r="R23" i="26"/>
  <c r="P23" i="26"/>
  <c r="O23" i="26"/>
  <c r="J23" i="26"/>
  <c r="E23" i="26"/>
  <c r="F20" i="24" s="1"/>
  <c r="D23" i="26"/>
  <c r="S22" i="26"/>
  <c r="R22" i="26"/>
  <c r="P22" i="26"/>
  <c r="O22" i="26"/>
  <c r="J22" i="26"/>
  <c r="F22" i="26"/>
  <c r="D22" i="26"/>
  <c r="S21" i="26"/>
  <c r="R21" i="26"/>
  <c r="P21" i="26"/>
  <c r="O21" i="26"/>
  <c r="J21" i="26"/>
  <c r="L21" i="26" s="1"/>
  <c r="E21" i="26"/>
  <c r="F18" i="24" s="1"/>
  <c r="D21" i="26"/>
  <c r="S20" i="26"/>
  <c r="R20" i="26"/>
  <c r="P20" i="26"/>
  <c r="O20" i="26"/>
  <c r="J20" i="26"/>
  <c r="L20" i="26" s="1"/>
  <c r="E20" i="26"/>
  <c r="F17" i="24" s="1"/>
  <c r="D20" i="26"/>
  <c r="S19" i="26"/>
  <c r="R19" i="26"/>
  <c r="P19" i="26"/>
  <c r="O19" i="26"/>
  <c r="J19" i="26"/>
  <c r="L19" i="26" s="1"/>
  <c r="E19" i="26"/>
  <c r="F16" i="24" s="1"/>
  <c r="D19" i="26"/>
  <c r="S18" i="26"/>
  <c r="R18" i="26"/>
  <c r="P18" i="26"/>
  <c r="O18" i="26"/>
  <c r="J18" i="26"/>
  <c r="L18" i="26" s="1"/>
  <c r="E18" i="26"/>
  <c r="F15" i="24" s="1"/>
  <c r="D18" i="26"/>
  <c r="S17" i="26"/>
  <c r="R17" i="26"/>
  <c r="P17" i="26"/>
  <c r="O17" i="26"/>
  <c r="J17" i="26"/>
  <c r="L17" i="26" s="1"/>
  <c r="E17" i="26"/>
  <c r="F14" i="24" s="1"/>
  <c r="D17" i="26"/>
  <c r="S16" i="26"/>
  <c r="R16" i="26"/>
  <c r="P16" i="26"/>
  <c r="O16" i="26"/>
  <c r="J16" i="26"/>
  <c r="L16" i="26" s="1"/>
  <c r="E16" i="26"/>
  <c r="F13" i="24" s="1"/>
  <c r="D16" i="26"/>
  <c r="S15" i="26"/>
  <c r="R15" i="26"/>
  <c r="P15" i="26"/>
  <c r="O15" i="26"/>
  <c r="J15" i="26"/>
  <c r="L15" i="26" s="1"/>
  <c r="E15" i="26"/>
  <c r="F12" i="24" s="1"/>
  <c r="D15" i="26"/>
  <c r="S14" i="26"/>
  <c r="R14" i="26"/>
  <c r="P14" i="26"/>
  <c r="O14" i="26"/>
  <c r="J14" i="26"/>
  <c r="L14" i="26" s="1"/>
  <c r="E14" i="26"/>
  <c r="F11" i="24" s="1"/>
  <c r="D14" i="26"/>
  <c r="S13" i="26"/>
  <c r="R13" i="26"/>
  <c r="P13" i="26"/>
  <c r="O13" i="26"/>
  <c r="J13" i="26"/>
  <c r="L13" i="26" s="1"/>
  <c r="E13" i="26"/>
  <c r="F10" i="24" s="1"/>
  <c r="D13" i="26"/>
  <c r="S12" i="26"/>
  <c r="R12" i="26"/>
  <c r="P12" i="26"/>
  <c r="O12" i="26"/>
  <c r="J12" i="26"/>
  <c r="L12" i="26" s="1"/>
  <c r="E12" i="26"/>
  <c r="F9" i="24" s="1"/>
  <c r="D12" i="26"/>
  <c r="S11" i="26"/>
  <c r="R11" i="26"/>
  <c r="P11" i="26"/>
  <c r="O11" i="26"/>
  <c r="J11" i="26"/>
  <c r="L11" i="26" s="1"/>
  <c r="D11" i="26"/>
  <c r="S10" i="26"/>
  <c r="R10" i="26"/>
  <c r="P10" i="26"/>
  <c r="O10" i="26"/>
  <c r="J10" i="26"/>
  <c r="N10" i="26" s="1"/>
  <c r="D10" i="26"/>
  <c r="I8" i="26"/>
  <c r="I7" i="26"/>
  <c r="I6" i="26" s="1"/>
  <c r="I5" i="26" s="1"/>
  <c r="I4" i="26" s="1"/>
  <c r="H7" i="26"/>
  <c r="H6" i="26" s="1"/>
  <c r="H5" i="26" s="1"/>
  <c r="H4" i="26" s="1"/>
  <c r="G7" i="26"/>
  <c r="G6" i="26" s="1"/>
  <c r="G5" i="26" s="1"/>
  <c r="G4" i="26" s="1"/>
  <c r="J52" i="25"/>
  <c r="K52" i="25" s="1"/>
  <c r="H52" i="25"/>
  <c r="I52" i="25" s="1"/>
  <c r="G52" i="25"/>
  <c r="E52" i="25"/>
  <c r="D52" i="25"/>
  <c r="D51" i="25"/>
  <c r="J50" i="25"/>
  <c r="K50" i="25" s="1"/>
  <c r="H50" i="25"/>
  <c r="I50" i="25" s="1"/>
  <c r="G50" i="25"/>
  <c r="E50" i="25"/>
  <c r="D50" i="25"/>
  <c r="J49" i="25"/>
  <c r="K49" i="25" s="1"/>
  <c r="H49" i="25"/>
  <c r="I49" i="25" s="1"/>
  <c r="G49" i="25"/>
  <c r="E49" i="25"/>
  <c r="D49" i="25"/>
  <c r="J48" i="25"/>
  <c r="K48" i="25" s="1"/>
  <c r="H48" i="25"/>
  <c r="I48" i="25" s="1"/>
  <c r="G48" i="25"/>
  <c r="E48" i="25"/>
  <c r="D48" i="25"/>
  <c r="J45" i="25"/>
  <c r="K45" i="25" s="1"/>
  <c r="H45" i="25"/>
  <c r="I45" i="25" s="1"/>
  <c r="G45" i="25"/>
  <c r="E45" i="25"/>
  <c r="D45" i="25"/>
  <c r="D43" i="25"/>
  <c r="J42" i="25"/>
  <c r="K42" i="25" s="1"/>
  <c r="H42" i="25"/>
  <c r="I42" i="25" s="1"/>
  <c r="G42" i="25"/>
  <c r="E42" i="25"/>
  <c r="D42" i="25"/>
  <c r="D40" i="25"/>
  <c r="D39" i="25"/>
  <c r="D38" i="25"/>
  <c r="D37" i="25"/>
  <c r="J35" i="25"/>
  <c r="K35" i="25" s="1"/>
  <c r="H35" i="25"/>
  <c r="I35" i="25" s="1"/>
  <c r="G35" i="25"/>
  <c r="E35" i="25"/>
  <c r="D35" i="25"/>
  <c r="J34" i="25"/>
  <c r="K34" i="25" s="1"/>
  <c r="H34" i="25"/>
  <c r="I34" i="25" s="1"/>
  <c r="G34" i="25"/>
  <c r="E34" i="25"/>
  <c r="D34" i="25"/>
  <c r="J33" i="25"/>
  <c r="K33" i="25" s="1"/>
  <c r="H33" i="25"/>
  <c r="I33" i="25" s="1"/>
  <c r="G33" i="25"/>
  <c r="E33" i="25"/>
  <c r="D33" i="25"/>
  <c r="J32" i="25"/>
  <c r="K32" i="25" s="1"/>
  <c r="H32" i="25"/>
  <c r="I32" i="25" s="1"/>
  <c r="G32" i="25"/>
  <c r="E32" i="25"/>
  <c r="D32" i="25"/>
  <c r="J30" i="25"/>
  <c r="K30" i="25" s="1"/>
  <c r="H30" i="25"/>
  <c r="I30" i="25" s="1"/>
  <c r="G30" i="25"/>
  <c r="E30" i="25"/>
  <c r="D30" i="25"/>
  <c r="G29" i="25"/>
  <c r="D29" i="25"/>
  <c r="G28" i="25"/>
  <c r="D28" i="25"/>
  <c r="D26" i="25"/>
  <c r="D24" i="25"/>
  <c r="D23" i="25"/>
  <c r="D21" i="25"/>
  <c r="D20" i="25"/>
  <c r="D19" i="25"/>
  <c r="D16" i="25"/>
  <c r="J15" i="25"/>
  <c r="K15" i="25" s="1"/>
  <c r="H15" i="25"/>
  <c r="I15" i="25" s="1"/>
  <c r="G15" i="25"/>
  <c r="E15" i="25"/>
  <c r="D15" i="25"/>
  <c r="D14" i="25"/>
  <c r="D10" i="25"/>
  <c r="AZ111" i="24"/>
  <c r="AY111" i="24"/>
  <c r="AX111" i="24"/>
  <c r="AW111" i="24"/>
  <c r="AV111" i="24"/>
  <c r="AU111" i="24"/>
  <c r="AT111" i="24"/>
  <c r="AS111" i="24"/>
  <c r="AR111" i="24"/>
  <c r="AQ111" i="24"/>
  <c r="AP111" i="24"/>
  <c r="AO111" i="24"/>
  <c r="AN111" i="24"/>
  <c r="AM111" i="24"/>
  <c r="AL111" i="24"/>
  <c r="AK111" i="24"/>
  <c r="AH111" i="24"/>
  <c r="Z111" i="24"/>
  <c r="Y111" i="24"/>
  <c r="X111" i="24"/>
  <c r="V111" i="24"/>
  <c r="U111" i="24"/>
  <c r="L111" i="24"/>
  <c r="F246" i="32" s="1"/>
  <c r="G111" i="24"/>
  <c r="F111" i="24"/>
  <c r="AZ110" i="24"/>
  <c r="AR110" i="24"/>
  <c r="AQ110" i="24"/>
  <c r="AP110" i="24"/>
  <c r="AO110" i="24"/>
  <c r="AM110" i="24"/>
  <c r="AL110" i="24"/>
  <c r="AI110" i="24"/>
  <c r="AH110" i="24"/>
  <c r="AG110" i="24"/>
  <c r="AF110" i="24"/>
  <c r="AE110" i="24"/>
  <c r="AD110" i="24"/>
  <c r="AC110" i="24"/>
  <c r="AB110" i="24"/>
  <c r="AA110" i="24"/>
  <c r="Z110" i="24"/>
  <c r="Y110" i="24"/>
  <c r="X110" i="24"/>
  <c r="W110" i="24"/>
  <c r="V110" i="24"/>
  <c r="U110" i="24"/>
  <c r="G110" i="24"/>
  <c r="F110" i="24"/>
  <c r="AZ109" i="24"/>
  <c r="AY109" i="24"/>
  <c r="AX109" i="24"/>
  <c r="AW109" i="24"/>
  <c r="AV109" i="24"/>
  <c r="AU109" i="24"/>
  <c r="AT109" i="24"/>
  <c r="AS109" i="24"/>
  <c r="AR109" i="24"/>
  <c r="AQ109" i="24"/>
  <c r="AP109" i="24"/>
  <c r="AO109" i="24"/>
  <c r="AN109" i="24"/>
  <c r="AM109" i="24"/>
  <c r="AL109" i="24"/>
  <c r="AK109" i="24"/>
  <c r="AH109" i="24"/>
  <c r="Z109" i="24"/>
  <c r="Y109" i="24"/>
  <c r="X109" i="24"/>
  <c r="V109" i="24"/>
  <c r="U109" i="24"/>
  <c r="G109" i="24"/>
  <c r="F109" i="24"/>
  <c r="AZ108" i="24"/>
  <c r="AY108" i="24"/>
  <c r="AX108" i="24"/>
  <c r="AW108" i="24"/>
  <c r="AV108" i="24"/>
  <c r="AU108" i="24"/>
  <c r="AT108" i="24"/>
  <c r="AS108" i="24"/>
  <c r="AR108" i="24"/>
  <c r="AQ108" i="24"/>
  <c r="AP108" i="24"/>
  <c r="AO108" i="24"/>
  <c r="AN108" i="24"/>
  <c r="AM108" i="24"/>
  <c r="AL108" i="24"/>
  <c r="AK108" i="24"/>
  <c r="AI108" i="24"/>
  <c r="AH108" i="24"/>
  <c r="AG108" i="24"/>
  <c r="AF108" i="24"/>
  <c r="AE108" i="24"/>
  <c r="AD108" i="24"/>
  <c r="AC108" i="24"/>
  <c r="AB108" i="24"/>
  <c r="AA108" i="24"/>
  <c r="Z108" i="24"/>
  <c r="Y108" i="24"/>
  <c r="X108" i="24"/>
  <c r="W108" i="24"/>
  <c r="V108" i="24"/>
  <c r="U108" i="24"/>
  <c r="G108" i="24"/>
  <c r="F108" i="24"/>
  <c r="AZ107" i="24"/>
  <c r="AR107" i="24"/>
  <c r="AQ107" i="24"/>
  <c r="AP107" i="24"/>
  <c r="AO107" i="24"/>
  <c r="AM107" i="24"/>
  <c r="AL107" i="24"/>
  <c r="AI107" i="24"/>
  <c r="AH107" i="24"/>
  <c r="AG107" i="24"/>
  <c r="AF107" i="24"/>
  <c r="AE107" i="24"/>
  <c r="AD107" i="24"/>
  <c r="AC107" i="24"/>
  <c r="AB107" i="24"/>
  <c r="AA107" i="24"/>
  <c r="Z107" i="24"/>
  <c r="Y107" i="24"/>
  <c r="X107" i="24"/>
  <c r="W107" i="24"/>
  <c r="V107" i="24"/>
  <c r="U107" i="24"/>
  <c r="G107" i="24"/>
  <c r="F107" i="24"/>
  <c r="AZ106" i="24"/>
  <c r="AR106" i="24"/>
  <c r="AQ106" i="24"/>
  <c r="AP106" i="24"/>
  <c r="AO106" i="24"/>
  <c r="AM106" i="24"/>
  <c r="AL106" i="24"/>
  <c r="AH106" i="24"/>
  <c r="Z106" i="24"/>
  <c r="Y106" i="24"/>
  <c r="X106" i="24"/>
  <c r="V106" i="24"/>
  <c r="U106" i="24"/>
  <c r="M106" i="24"/>
  <c r="L106" i="24"/>
  <c r="G106" i="24"/>
  <c r="F106" i="24"/>
  <c r="AZ105" i="24"/>
  <c r="AR105" i="24"/>
  <c r="AQ105" i="24"/>
  <c r="AP105" i="24"/>
  <c r="AO105" i="24"/>
  <c r="AM105" i="24"/>
  <c r="AL105" i="24"/>
  <c r="AI105" i="24"/>
  <c r="AH105" i="24"/>
  <c r="AG105" i="24"/>
  <c r="AF105" i="24"/>
  <c r="AE105" i="24"/>
  <c r="AD105" i="24"/>
  <c r="AC105" i="24"/>
  <c r="AB105" i="24"/>
  <c r="AA105" i="24"/>
  <c r="Z105" i="24"/>
  <c r="Y105" i="24"/>
  <c r="X105" i="24"/>
  <c r="W105" i="24"/>
  <c r="V105" i="24"/>
  <c r="U105" i="24"/>
  <c r="G105" i="24"/>
  <c r="F105" i="24"/>
  <c r="AZ104" i="24"/>
  <c r="AR104" i="24"/>
  <c r="AQ104" i="24"/>
  <c r="AP104" i="24"/>
  <c r="AO104" i="24"/>
  <c r="AM104" i="24"/>
  <c r="AL104" i="24"/>
  <c r="AH104" i="24"/>
  <c r="Z104" i="24"/>
  <c r="Y104" i="24"/>
  <c r="X104" i="24"/>
  <c r="V104" i="24"/>
  <c r="U104" i="24"/>
  <c r="M104" i="24"/>
  <c r="L104" i="24"/>
  <c r="G104" i="24"/>
  <c r="F104" i="24"/>
  <c r="AZ103" i="24"/>
  <c r="AY103" i="24"/>
  <c r="AX103" i="24"/>
  <c r="AW103" i="24"/>
  <c r="AV103" i="24"/>
  <c r="AU103" i="24"/>
  <c r="AT103" i="24"/>
  <c r="AS103" i="24"/>
  <c r="AR103" i="24"/>
  <c r="AQ103" i="24"/>
  <c r="AP103" i="24"/>
  <c r="AO103" i="24"/>
  <c r="AN103" i="24"/>
  <c r="AM103" i="24"/>
  <c r="AL103" i="24"/>
  <c r="AK103" i="24"/>
  <c r="AI103" i="24"/>
  <c r="AH103" i="24"/>
  <c r="AG103" i="24"/>
  <c r="AF103" i="24"/>
  <c r="AE103" i="24"/>
  <c r="AD103" i="24"/>
  <c r="AC103" i="24"/>
  <c r="AB103" i="24"/>
  <c r="AA103" i="24"/>
  <c r="Z103" i="24"/>
  <c r="Y103" i="24"/>
  <c r="X103" i="24"/>
  <c r="W103" i="24"/>
  <c r="V103" i="24"/>
  <c r="U103" i="24"/>
  <c r="G103" i="24"/>
  <c r="F103" i="24"/>
  <c r="AZ102" i="24"/>
  <c r="AY102" i="24"/>
  <c r="AX102" i="24"/>
  <c r="AW102" i="24"/>
  <c r="AV102" i="24"/>
  <c r="AU102" i="24"/>
  <c r="AT102" i="24"/>
  <c r="AS102" i="24"/>
  <c r="AR102" i="24"/>
  <c r="AQ102" i="24"/>
  <c r="AP102" i="24"/>
  <c r="AO102" i="24"/>
  <c r="AN102" i="24"/>
  <c r="AM102" i="24"/>
  <c r="AL102" i="24"/>
  <c r="AK102" i="24"/>
  <c r="AI102" i="24"/>
  <c r="AH102" i="24"/>
  <c r="AG102" i="24"/>
  <c r="AF102" i="24"/>
  <c r="AE102" i="24"/>
  <c r="AD102" i="24"/>
  <c r="AC102" i="24"/>
  <c r="AB102" i="24"/>
  <c r="AA102" i="24"/>
  <c r="Z102" i="24"/>
  <c r="Y102" i="24"/>
  <c r="X102" i="24"/>
  <c r="W102" i="24"/>
  <c r="V102" i="24"/>
  <c r="U102" i="24"/>
  <c r="M102" i="24"/>
  <c r="L102" i="24"/>
  <c r="G102" i="24"/>
  <c r="F102" i="24"/>
  <c r="AZ101" i="24"/>
  <c r="AR101" i="24"/>
  <c r="AQ101" i="24"/>
  <c r="AP101" i="24"/>
  <c r="AO101" i="24"/>
  <c r="AM101" i="24"/>
  <c r="AL101" i="24"/>
  <c r="AI101" i="24"/>
  <c r="AH101" i="24"/>
  <c r="AG101" i="24"/>
  <c r="AF101" i="24"/>
  <c r="AE101" i="24"/>
  <c r="AD101" i="24"/>
  <c r="AC101" i="24"/>
  <c r="AB101" i="24"/>
  <c r="AA101" i="24"/>
  <c r="Z101" i="24"/>
  <c r="Y101" i="24"/>
  <c r="X101" i="24"/>
  <c r="W101" i="24"/>
  <c r="V101" i="24"/>
  <c r="U101" i="24"/>
  <c r="M101" i="24"/>
  <c r="L101" i="24"/>
  <c r="F256" i="32" s="1"/>
  <c r="F101" i="24"/>
  <c r="AZ100" i="24"/>
  <c r="AR100" i="24"/>
  <c r="AQ100" i="24"/>
  <c r="AP100" i="24"/>
  <c r="AO100" i="24"/>
  <c r="AM100" i="24"/>
  <c r="AL100" i="24"/>
  <c r="AI100" i="24"/>
  <c r="AH100" i="24"/>
  <c r="AG100" i="24"/>
  <c r="AF100" i="24"/>
  <c r="AE100" i="24"/>
  <c r="AD100" i="24"/>
  <c r="AC100" i="24"/>
  <c r="AB100" i="24"/>
  <c r="AA100" i="24"/>
  <c r="Z100" i="24"/>
  <c r="Y100" i="24"/>
  <c r="X100" i="24"/>
  <c r="W100" i="24"/>
  <c r="V100" i="24"/>
  <c r="U100" i="24"/>
  <c r="G100" i="24"/>
  <c r="F100" i="24"/>
  <c r="AZ99" i="24"/>
  <c r="AY99" i="24"/>
  <c r="AX99" i="24"/>
  <c r="AW99" i="24"/>
  <c r="AV99" i="24"/>
  <c r="AU99" i="24"/>
  <c r="AT99" i="24"/>
  <c r="AS99" i="24"/>
  <c r="AR99" i="24"/>
  <c r="AQ99" i="24"/>
  <c r="AP99" i="24"/>
  <c r="AO99" i="24"/>
  <c r="AN99" i="24"/>
  <c r="AM99" i="24"/>
  <c r="AL99" i="24"/>
  <c r="AK99" i="24"/>
  <c r="AI99" i="24"/>
  <c r="AH99" i="24"/>
  <c r="AG99" i="24"/>
  <c r="AF99" i="24"/>
  <c r="AE99" i="24"/>
  <c r="AD99" i="24"/>
  <c r="AC99" i="24"/>
  <c r="AB99" i="24"/>
  <c r="AA99" i="24"/>
  <c r="Z99" i="24"/>
  <c r="Y99" i="24"/>
  <c r="X99" i="24"/>
  <c r="W99" i="24"/>
  <c r="V99" i="24"/>
  <c r="U99" i="24"/>
  <c r="M99" i="24"/>
  <c r="L99" i="24"/>
  <c r="F254" i="32" s="1"/>
  <c r="G99" i="24"/>
  <c r="F99" i="24"/>
  <c r="AZ98" i="24"/>
  <c r="AY98" i="24"/>
  <c r="AX98" i="24"/>
  <c r="AW98" i="24"/>
  <c r="AV98" i="24"/>
  <c r="AU98" i="24"/>
  <c r="AT98" i="24"/>
  <c r="AS98" i="24"/>
  <c r="AR98" i="24"/>
  <c r="AQ98" i="24"/>
  <c r="AP98" i="24"/>
  <c r="AO98" i="24"/>
  <c r="AN98" i="24"/>
  <c r="AM98" i="24"/>
  <c r="AL98" i="24"/>
  <c r="AK98" i="24"/>
  <c r="AI98" i="24"/>
  <c r="AH98" i="24"/>
  <c r="AG98" i="24"/>
  <c r="AF98" i="24"/>
  <c r="AE98" i="24"/>
  <c r="AD98" i="24"/>
  <c r="AC98" i="24"/>
  <c r="AB98" i="24"/>
  <c r="AA98" i="24"/>
  <c r="Z98" i="24"/>
  <c r="Y98" i="24"/>
  <c r="X98" i="24"/>
  <c r="W98" i="24"/>
  <c r="V98" i="24"/>
  <c r="U98" i="24"/>
  <c r="M98" i="24"/>
  <c r="L98" i="24"/>
  <c r="G98" i="24"/>
  <c r="F98" i="24"/>
  <c r="AZ97" i="24"/>
  <c r="AR97" i="24"/>
  <c r="AQ97" i="24"/>
  <c r="AP97" i="24"/>
  <c r="AO97" i="24"/>
  <c r="AM97" i="24"/>
  <c r="AL97" i="24"/>
  <c r="AI97" i="24"/>
  <c r="AH97" i="24"/>
  <c r="AG97" i="24"/>
  <c r="AF97" i="24"/>
  <c r="AE97" i="24"/>
  <c r="AD97" i="24"/>
  <c r="AC97" i="24"/>
  <c r="AB97" i="24"/>
  <c r="AA97" i="24"/>
  <c r="Z97" i="24"/>
  <c r="Y97" i="24"/>
  <c r="X97" i="24"/>
  <c r="W97" i="24"/>
  <c r="V97" i="24"/>
  <c r="U97" i="24"/>
  <c r="M97" i="24"/>
  <c r="L97" i="24"/>
  <c r="G97" i="24"/>
  <c r="F97" i="24"/>
  <c r="AZ96" i="24"/>
  <c r="AR96" i="24"/>
  <c r="AQ96" i="24"/>
  <c r="AP96" i="24"/>
  <c r="AO96" i="24"/>
  <c r="AM96" i="24"/>
  <c r="AL96" i="24"/>
  <c r="AI96" i="24"/>
  <c r="AH96" i="24"/>
  <c r="AG96" i="24"/>
  <c r="AF96" i="24"/>
  <c r="AE96" i="24"/>
  <c r="AD96" i="24"/>
  <c r="AC96" i="24"/>
  <c r="AB96" i="24"/>
  <c r="AA96" i="24"/>
  <c r="Z96" i="24"/>
  <c r="Y96" i="24"/>
  <c r="X96" i="24"/>
  <c r="W96" i="24"/>
  <c r="V96" i="24"/>
  <c r="U96" i="24"/>
  <c r="M96" i="24"/>
  <c r="L96" i="24"/>
  <c r="G96" i="24"/>
  <c r="F96" i="24"/>
  <c r="AZ95" i="24"/>
  <c r="AR95" i="24"/>
  <c r="AQ95" i="24"/>
  <c r="AP95" i="24"/>
  <c r="AO95" i="24"/>
  <c r="AM95" i="24"/>
  <c r="AL95" i="24"/>
  <c r="AH95" i="24"/>
  <c r="Z95" i="24"/>
  <c r="Y95" i="24"/>
  <c r="X95" i="24"/>
  <c r="V95" i="24"/>
  <c r="U95" i="24"/>
  <c r="M95" i="24"/>
  <c r="L95" i="24"/>
  <c r="F212" i="26" s="1"/>
  <c r="G95" i="24"/>
  <c r="F95" i="24"/>
  <c r="AZ94" i="24"/>
  <c r="AR94" i="24"/>
  <c r="AQ94" i="24"/>
  <c r="AP94" i="24"/>
  <c r="AO94" i="24"/>
  <c r="AM94" i="24"/>
  <c r="AL94" i="24"/>
  <c r="AH94" i="24"/>
  <c r="Z94" i="24"/>
  <c r="Y94" i="24"/>
  <c r="X94" i="24"/>
  <c r="V94" i="24"/>
  <c r="U94" i="24"/>
  <c r="M94" i="24"/>
  <c r="L94" i="24"/>
  <c r="F211" i="26" s="1"/>
  <c r="G94" i="24"/>
  <c r="F94" i="24"/>
  <c r="AZ93" i="24"/>
  <c r="AR93" i="24"/>
  <c r="AQ93" i="24"/>
  <c r="AP93" i="24"/>
  <c r="AO93" i="24"/>
  <c r="AM93" i="24"/>
  <c r="AL93" i="24"/>
  <c r="AH93" i="24"/>
  <c r="Z93" i="24"/>
  <c r="Y93" i="24"/>
  <c r="X93" i="24"/>
  <c r="V93" i="24"/>
  <c r="U93" i="24"/>
  <c r="M93" i="24"/>
  <c r="L93" i="24"/>
  <c r="F200" i="26" s="1"/>
  <c r="G93" i="24"/>
  <c r="F93" i="24"/>
  <c r="AZ92" i="24"/>
  <c r="AR92" i="24"/>
  <c r="AQ92" i="24"/>
  <c r="AP92" i="24"/>
  <c r="AO92" i="24"/>
  <c r="AM92" i="24"/>
  <c r="AL92" i="24"/>
  <c r="AH92" i="24"/>
  <c r="Z92" i="24"/>
  <c r="Y92" i="24"/>
  <c r="X92" i="24"/>
  <c r="V92" i="24"/>
  <c r="U92" i="24"/>
  <c r="M92" i="24"/>
  <c r="L92" i="24"/>
  <c r="F199" i="26" s="1"/>
  <c r="G92" i="24"/>
  <c r="F92" i="24"/>
  <c r="AZ91" i="24"/>
  <c r="AR91" i="24"/>
  <c r="AQ91" i="24"/>
  <c r="AP91" i="24"/>
  <c r="AO91" i="24"/>
  <c r="AM91" i="24"/>
  <c r="AL91" i="24"/>
  <c r="AH91" i="24"/>
  <c r="Z91" i="24"/>
  <c r="Y91" i="24"/>
  <c r="X91" i="24"/>
  <c r="V91" i="24"/>
  <c r="U91" i="24"/>
  <c r="M91" i="24"/>
  <c r="L91" i="24"/>
  <c r="F198" i="26" s="1"/>
  <c r="G91" i="24"/>
  <c r="F91" i="24"/>
  <c r="AZ90" i="24"/>
  <c r="AY90" i="24"/>
  <c r="AX90" i="24"/>
  <c r="AW90" i="24"/>
  <c r="AV90" i="24"/>
  <c r="AU90" i="24"/>
  <c r="AT90" i="24"/>
  <c r="AS90" i="24"/>
  <c r="AR90" i="24"/>
  <c r="AQ90" i="24"/>
  <c r="AP90" i="24"/>
  <c r="AO90" i="24"/>
  <c r="AN90" i="24"/>
  <c r="AM90" i="24"/>
  <c r="AL90" i="24"/>
  <c r="AK90" i="24"/>
  <c r="AH90" i="24"/>
  <c r="Z90" i="24"/>
  <c r="Y90" i="24"/>
  <c r="X90" i="24"/>
  <c r="V90" i="24"/>
  <c r="U90" i="24"/>
  <c r="L90" i="24"/>
  <c r="F193" i="26" s="1"/>
  <c r="G90" i="24"/>
  <c r="F90" i="24"/>
  <c r="AZ89" i="24"/>
  <c r="AR89" i="24"/>
  <c r="AQ89" i="24"/>
  <c r="AP89" i="24"/>
  <c r="AO89" i="24"/>
  <c r="AM89" i="24"/>
  <c r="AL89" i="24"/>
  <c r="AH89" i="24"/>
  <c r="Z89" i="24"/>
  <c r="Y89" i="24"/>
  <c r="X89" i="24"/>
  <c r="V89" i="24"/>
  <c r="U89" i="24"/>
  <c r="M89" i="24"/>
  <c r="L89" i="24"/>
  <c r="F192" i="26" s="1"/>
  <c r="G89" i="24"/>
  <c r="F89" i="24"/>
  <c r="AZ88" i="24"/>
  <c r="AR88" i="24"/>
  <c r="AQ88" i="24"/>
  <c r="AP88" i="24"/>
  <c r="AO88" i="24"/>
  <c r="AM88" i="24"/>
  <c r="AL88" i="24"/>
  <c r="AI88" i="24"/>
  <c r="AH88" i="24"/>
  <c r="AG88" i="24"/>
  <c r="AF88" i="24"/>
  <c r="AE88" i="24"/>
  <c r="AD88" i="24"/>
  <c r="AC88" i="24"/>
  <c r="AB88" i="24"/>
  <c r="AA88" i="24"/>
  <c r="Z88" i="24"/>
  <c r="Y88" i="24"/>
  <c r="X88" i="24"/>
  <c r="W88" i="24"/>
  <c r="V88" i="24"/>
  <c r="U88" i="24"/>
  <c r="G88" i="24"/>
  <c r="F88" i="24"/>
  <c r="AZ87" i="24"/>
  <c r="AR87" i="24"/>
  <c r="AQ87" i="24"/>
  <c r="AP87" i="24"/>
  <c r="AO87" i="24"/>
  <c r="AM87" i="24"/>
  <c r="AL87" i="24"/>
  <c r="AH87" i="24"/>
  <c r="Z87" i="24"/>
  <c r="Y87" i="24"/>
  <c r="X87" i="24"/>
  <c r="V87" i="24"/>
  <c r="U87" i="24"/>
  <c r="M87" i="24"/>
  <c r="L87" i="24"/>
  <c r="F190" i="26" s="1"/>
  <c r="G87" i="24"/>
  <c r="F87" i="24"/>
  <c r="AZ86" i="24"/>
  <c r="AY86" i="24"/>
  <c r="AX86" i="24"/>
  <c r="AW86" i="24"/>
  <c r="AV86" i="24"/>
  <c r="AU86" i="24"/>
  <c r="AT86" i="24"/>
  <c r="AS86" i="24"/>
  <c r="AR86" i="24"/>
  <c r="AQ86" i="24"/>
  <c r="AP86" i="24"/>
  <c r="AO86" i="24"/>
  <c r="AN86" i="24"/>
  <c r="AM86" i="24"/>
  <c r="AL86" i="24"/>
  <c r="AK86" i="24"/>
  <c r="AH86" i="24"/>
  <c r="Z86" i="24"/>
  <c r="Y86" i="24"/>
  <c r="X86" i="24"/>
  <c r="V86" i="24"/>
  <c r="U86" i="24"/>
  <c r="F86" i="24"/>
  <c r="AZ85" i="24"/>
  <c r="AR85" i="24"/>
  <c r="AQ85" i="24"/>
  <c r="AP85" i="24"/>
  <c r="AO85" i="24"/>
  <c r="AM85" i="24"/>
  <c r="AL85" i="24"/>
  <c r="AH85" i="24"/>
  <c r="Z85" i="24"/>
  <c r="Y85" i="24"/>
  <c r="X85" i="24"/>
  <c r="V85" i="24"/>
  <c r="U85" i="24"/>
  <c r="M85" i="24"/>
  <c r="L85" i="24"/>
  <c r="F183" i="26" s="1"/>
  <c r="G85" i="24"/>
  <c r="F85" i="24"/>
  <c r="AZ84" i="24"/>
  <c r="AR84" i="24"/>
  <c r="AQ84" i="24"/>
  <c r="AP84" i="24"/>
  <c r="AO84" i="24"/>
  <c r="AM84" i="24"/>
  <c r="AL84" i="24"/>
  <c r="AH84" i="24"/>
  <c r="Z84" i="24"/>
  <c r="Y84" i="24"/>
  <c r="X84" i="24"/>
  <c r="V84" i="24"/>
  <c r="U84" i="24"/>
  <c r="G84" i="24"/>
  <c r="F84" i="24"/>
  <c r="AZ83" i="24"/>
  <c r="AR83" i="24"/>
  <c r="AQ83" i="24"/>
  <c r="AP83" i="24"/>
  <c r="AO83" i="24"/>
  <c r="AM83" i="24"/>
  <c r="H37" i="25" s="1"/>
  <c r="I37" i="25" s="1"/>
  <c r="AL83" i="24"/>
  <c r="AH83" i="24"/>
  <c r="Z83" i="24"/>
  <c r="Y83" i="24"/>
  <c r="X83" i="24"/>
  <c r="V83" i="24"/>
  <c r="U83" i="24"/>
  <c r="G83" i="24"/>
  <c r="F83" i="24"/>
  <c r="E37" i="25" s="1"/>
  <c r="AZ82" i="24"/>
  <c r="AR82" i="24"/>
  <c r="AQ82" i="24"/>
  <c r="AP82" i="24"/>
  <c r="AO82" i="24"/>
  <c r="AM82" i="24"/>
  <c r="AL82" i="24"/>
  <c r="AI82" i="24"/>
  <c r="AH82" i="24"/>
  <c r="AG82" i="24"/>
  <c r="AF82" i="24"/>
  <c r="AE82" i="24"/>
  <c r="AD82" i="24"/>
  <c r="AC82" i="24"/>
  <c r="AB82" i="24"/>
  <c r="AA82" i="24"/>
  <c r="Z82" i="24"/>
  <c r="Y82" i="24"/>
  <c r="X82" i="24"/>
  <c r="W82" i="24"/>
  <c r="V82" i="24"/>
  <c r="U82" i="24"/>
  <c r="G82" i="24"/>
  <c r="F82" i="24"/>
  <c r="AZ81" i="24"/>
  <c r="AY81" i="24"/>
  <c r="AX81" i="24"/>
  <c r="AW81" i="24"/>
  <c r="AV81" i="24"/>
  <c r="AU81" i="24"/>
  <c r="AT81" i="24"/>
  <c r="AS81" i="24"/>
  <c r="AR81" i="24"/>
  <c r="AQ81" i="24"/>
  <c r="AP81" i="24"/>
  <c r="AO81" i="24"/>
  <c r="AN81" i="24"/>
  <c r="AM81" i="24"/>
  <c r="H29" i="25" s="1"/>
  <c r="I29" i="25" s="1"/>
  <c r="AL81" i="24"/>
  <c r="AK81" i="24"/>
  <c r="AI81" i="24"/>
  <c r="AH81" i="24"/>
  <c r="AG81" i="24"/>
  <c r="AF81" i="24"/>
  <c r="AE81" i="24"/>
  <c r="AD81" i="24"/>
  <c r="AC81" i="24"/>
  <c r="AB81" i="24"/>
  <c r="AA81" i="24"/>
  <c r="Z81" i="24"/>
  <c r="Y81" i="24"/>
  <c r="X81" i="24"/>
  <c r="W81" i="24"/>
  <c r="V81" i="24"/>
  <c r="U81" i="24"/>
  <c r="G81" i="24"/>
  <c r="F81" i="24"/>
  <c r="AZ80" i="24"/>
  <c r="AY80" i="24"/>
  <c r="AX80" i="24"/>
  <c r="AW80" i="24"/>
  <c r="AV80" i="24"/>
  <c r="AU80" i="24"/>
  <c r="AT80" i="24"/>
  <c r="AS80" i="24"/>
  <c r="AR80" i="24"/>
  <c r="AQ80" i="24"/>
  <c r="AP80" i="24"/>
  <c r="AO80" i="24"/>
  <c r="AN80" i="24"/>
  <c r="AM80" i="24"/>
  <c r="AL80" i="24"/>
  <c r="AK80" i="24"/>
  <c r="AH80" i="24"/>
  <c r="Z80" i="24"/>
  <c r="Y80" i="24"/>
  <c r="X80" i="24"/>
  <c r="V80" i="24"/>
  <c r="U80" i="24"/>
  <c r="G80" i="24"/>
  <c r="F80" i="24"/>
  <c r="AZ79" i="24"/>
  <c r="AR79" i="24"/>
  <c r="AQ79" i="24"/>
  <c r="AP79" i="24"/>
  <c r="AO79" i="24"/>
  <c r="AM79" i="24"/>
  <c r="AL79" i="24"/>
  <c r="AI79" i="24"/>
  <c r="AH79" i="24"/>
  <c r="AG79" i="24"/>
  <c r="AF79" i="24"/>
  <c r="AE79" i="24"/>
  <c r="AD79" i="24"/>
  <c r="AC79" i="24"/>
  <c r="AB79" i="24"/>
  <c r="AA79" i="24"/>
  <c r="Z79" i="24"/>
  <c r="Y79" i="24"/>
  <c r="X79" i="24"/>
  <c r="W79" i="24"/>
  <c r="V79" i="24"/>
  <c r="U79" i="24"/>
  <c r="G79" i="24"/>
  <c r="F79" i="24"/>
  <c r="AZ78" i="24"/>
  <c r="AR78" i="24"/>
  <c r="AQ78" i="24"/>
  <c r="AP78" i="24"/>
  <c r="AO78" i="24"/>
  <c r="AM78" i="24"/>
  <c r="AL78" i="24"/>
  <c r="AI78" i="24"/>
  <c r="AH78" i="24"/>
  <c r="AG78" i="24"/>
  <c r="AF78" i="24"/>
  <c r="AE78" i="24"/>
  <c r="AD78" i="24"/>
  <c r="AC78" i="24"/>
  <c r="AB78" i="24"/>
  <c r="AA78" i="24"/>
  <c r="Z78" i="24"/>
  <c r="Y78" i="24"/>
  <c r="X78" i="24"/>
  <c r="W78" i="24"/>
  <c r="V78" i="24"/>
  <c r="U78" i="24"/>
  <c r="M78" i="24"/>
  <c r="L78" i="24"/>
  <c r="F134" i="26" s="1"/>
  <c r="G78" i="24"/>
  <c r="F78" i="24"/>
  <c r="AZ77" i="24"/>
  <c r="AR77" i="24"/>
  <c r="AQ77" i="24"/>
  <c r="AP77" i="24"/>
  <c r="AO77" i="24"/>
  <c r="AM77" i="24"/>
  <c r="AL77" i="24"/>
  <c r="AH77" i="24"/>
  <c r="Z77" i="24"/>
  <c r="Y77" i="24"/>
  <c r="X77" i="24"/>
  <c r="V77" i="24"/>
  <c r="U77" i="24"/>
  <c r="M77" i="24"/>
  <c r="L77" i="24"/>
  <c r="F133" i="26" s="1"/>
  <c r="G77" i="24"/>
  <c r="F77" i="24"/>
  <c r="AZ76" i="24"/>
  <c r="AR76" i="24"/>
  <c r="AQ76" i="24"/>
  <c r="AP76" i="24"/>
  <c r="AO76" i="24"/>
  <c r="AM76" i="24"/>
  <c r="AL76" i="24"/>
  <c r="AH76" i="24"/>
  <c r="Z76" i="24"/>
  <c r="Y76" i="24"/>
  <c r="X76" i="24"/>
  <c r="V76" i="24"/>
  <c r="U76" i="24"/>
  <c r="M76" i="24"/>
  <c r="L76" i="24"/>
  <c r="F132" i="26" s="1"/>
  <c r="G76" i="24"/>
  <c r="F76" i="24"/>
  <c r="AZ75" i="24"/>
  <c r="AR75" i="24"/>
  <c r="AQ75" i="24"/>
  <c r="AP75" i="24"/>
  <c r="AO75" i="24"/>
  <c r="AM75" i="24"/>
  <c r="AL75" i="24"/>
  <c r="AH75" i="24"/>
  <c r="Z75" i="24"/>
  <c r="Y75" i="24"/>
  <c r="X75" i="24"/>
  <c r="V75" i="24"/>
  <c r="U75" i="24"/>
  <c r="M75" i="24"/>
  <c r="L75" i="24"/>
  <c r="F131" i="26" s="1"/>
  <c r="G75" i="24"/>
  <c r="F75" i="24"/>
  <c r="AZ74" i="24"/>
  <c r="AR74" i="24"/>
  <c r="AQ74" i="24"/>
  <c r="AP74" i="24"/>
  <c r="AO74" i="24"/>
  <c r="AM74" i="24"/>
  <c r="AL74" i="24"/>
  <c r="AH74" i="24"/>
  <c r="Z74" i="24"/>
  <c r="Y74" i="24"/>
  <c r="X74" i="24"/>
  <c r="V74" i="24"/>
  <c r="U74" i="24"/>
  <c r="M74" i="24"/>
  <c r="L74" i="24"/>
  <c r="F130" i="26" s="1"/>
  <c r="G74" i="24"/>
  <c r="F74" i="24"/>
  <c r="AZ73" i="24"/>
  <c r="AR73" i="24"/>
  <c r="AQ73" i="24"/>
  <c r="AP73" i="24"/>
  <c r="AO73" i="24"/>
  <c r="AM73" i="24"/>
  <c r="AL73" i="24"/>
  <c r="AH73" i="24"/>
  <c r="Z73" i="24"/>
  <c r="Y73" i="24"/>
  <c r="X73" i="24"/>
  <c r="V73" i="24"/>
  <c r="U73" i="24"/>
  <c r="M73" i="24"/>
  <c r="L73" i="24"/>
  <c r="F129" i="26" s="1"/>
  <c r="G73" i="24"/>
  <c r="F73" i="24"/>
  <c r="AZ72" i="24"/>
  <c r="AR72" i="24"/>
  <c r="AQ72" i="24"/>
  <c r="AP72" i="24"/>
  <c r="AO72" i="24"/>
  <c r="AM72" i="24"/>
  <c r="AL72" i="24"/>
  <c r="AH72" i="24"/>
  <c r="Z72" i="24"/>
  <c r="Y72" i="24"/>
  <c r="X72" i="24"/>
  <c r="V72" i="24"/>
  <c r="U72" i="24"/>
  <c r="M72" i="24"/>
  <c r="L72" i="24"/>
  <c r="F128" i="26" s="1"/>
  <c r="G72" i="24"/>
  <c r="F72" i="24"/>
  <c r="AZ71" i="24"/>
  <c r="AR71" i="24"/>
  <c r="AQ71" i="24"/>
  <c r="AP71" i="24"/>
  <c r="AO71" i="24"/>
  <c r="AM71" i="24"/>
  <c r="AL71" i="24"/>
  <c r="AH71" i="24"/>
  <c r="Z71" i="24"/>
  <c r="Y71" i="24"/>
  <c r="X71" i="24"/>
  <c r="V71" i="24"/>
  <c r="U71" i="24"/>
  <c r="M71" i="24"/>
  <c r="L71" i="24"/>
  <c r="F127" i="26" s="1"/>
  <c r="G71" i="24"/>
  <c r="F71" i="24"/>
  <c r="AZ70" i="24"/>
  <c r="AR70" i="24"/>
  <c r="AQ70" i="24"/>
  <c r="AP70" i="24"/>
  <c r="AO70" i="24"/>
  <c r="AM70" i="24"/>
  <c r="AL70" i="24"/>
  <c r="AH70" i="24"/>
  <c r="Z70" i="24"/>
  <c r="Y70" i="24"/>
  <c r="X70" i="24"/>
  <c r="V70" i="24"/>
  <c r="U70" i="24"/>
  <c r="M70" i="24"/>
  <c r="L70" i="24"/>
  <c r="G70" i="24"/>
  <c r="F70" i="24"/>
  <c r="AZ69" i="24"/>
  <c r="AR69" i="24"/>
  <c r="AQ69" i="24"/>
  <c r="AP69" i="24"/>
  <c r="AO69" i="24"/>
  <c r="AM69" i="24"/>
  <c r="AL69" i="24"/>
  <c r="AI69" i="24"/>
  <c r="AH69" i="24"/>
  <c r="AG69" i="24"/>
  <c r="AF69" i="24"/>
  <c r="AE69" i="24"/>
  <c r="AD69" i="24"/>
  <c r="AC69" i="24"/>
  <c r="AB69" i="24"/>
  <c r="AA69" i="24"/>
  <c r="Z69" i="24"/>
  <c r="Y69" i="24"/>
  <c r="X69" i="24"/>
  <c r="W69" i="24"/>
  <c r="V69" i="24"/>
  <c r="U69" i="24"/>
  <c r="M69" i="24"/>
  <c r="L69" i="24"/>
  <c r="G69" i="24"/>
  <c r="F69" i="24"/>
  <c r="AZ68" i="24"/>
  <c r="AR68" i="24"/>
  <c r="AQ68" i="24"/>
  <c r="AP68" i="24"/>
  <c r="AO68" i="24"/>
  <c r="AM68" i="24"/>
  <c r="AL68" i="24"/>
  <c r="AH68" i="24"/>
  <c r="Z68" i="24"/>
  <c r="Y68" i="24"/>
  <c r="X68" i="24"/>
  <c r="V68" i="24"/>
  <c r="U68" i="24"/>
  <c r="G68" i="24"/>
  <c r="F68" i="24"/>
  <c r="AZ67" i="24"/>
  <c r="AR67" i="24"/>
  <c r="AQ67" i="24"/>
  <c r="AP67" i="24"/>
  <c r="AO67" i="24"/>
  <c r="AM67" i="24"/>
  <c r="AL67" i="24"/>
  <c r="AH67" i="24"/>
  <c r="Z67" i="24"/>
  <c r="Y67" i="24"/>
  <c r="X67" i="24"/>
  <c r="V67" i="24"/>
  <c r="U67" i="24"/>
  <c r="M67" i="24"/>
  <c r="L67" i="24"/>
  <c r="F123" i="26" s="1"/>
  <c r="G67" i="24"/>
  <c r="F67" i="24"/>
  <c r="AZ66" i="24"/>
  <c r="AR66" i="24"/>
  <c r="AQ66" i="24"/>
  <c r="AP66" i="24"/>
  <c r="AO66" i="24"/>
  <c r="AM66" i="24"/>
  <c r="AL66" i="24"/>
  <c r="AH66" i="24"/>
  <c r="Z66" i="24"/>
  <c r="Y66" i="24"/>
  <c r="X66" i="24"/>
  <c r="V66" i="24"/>
  <c r="U66" i="24"/>
  <c r="G66" i="24"/>
  <c r="F66" i="24"/>
  <c r="AZ65" i="24"/>
  <c r="AR65" i="24"/>
  <c r="AQ65" i="24"/>
  <c r="AP65" i="24"/>
  <c r="AO65" i="24"/>
  <c r="AM65" i="24"/>
  <c r="AL65" i="24"/>
  <c r="AH65" i="24"/>
  <c r="Z65" i="24"/>
  <c r="Y65" i="24"/>
  <c r="X65" i="24"/>
  <c r="V65" i="24"/>
  <c r="U65" i="24"/>
  <c r="M65" i="24"/>
  <c r="L65" i="24"/>
  <c r="F122" i="26" s="1"/>
  <c r="G65" i="24"/>
  <c r="F65" i="24"/>
  <c r="AZ64" i="24"/>
  <c r="AR64" i="24"/>
  <c r="AQ64" i="24"/>
  <c r="AP64" i="24"/>
  <c r="AO64" i="24"/>
  <c r="AM64" i="24"/>
  <c r="AL64" i="24"/>
  <c r="AH64" i="24"/>
  <c r="Z64" i="24"/>
  <c r="Y64" i="24"/>
  <c r="X64" i="24"/>
  <c r="V64" i="24"/>
  <c r="U64" i="24"/>
  <c r="G64" i="24"/>
  <c r="F64" i="24"/>
  <c r="AZ63" i="24"/>
  <c r="AR63" i="24"/>
  <c r="AQ63" i="24"/>
  <c r="AP63" i="24"/>
  <c r="AO63" i="24"/>
  <c r="AM63" i="24"/>
  <c r="AL63" i="24"/>
  <c r="AH63" i="24"/>
  <c r="Z63" i="24"/>
  <c r="Y63" i="24"/>
  <c r="X63" i="24"/>
  <c r="V63" i="24"/>
  <c r="U63" i="24"/>
  <c r="M63" i="24"/>
  <c r="L63" i="24"/>
  <c r="F120" i="26" s="1"/>
  <c r="G63" i="24"/>
  <c r="F63" i="24"/>
  <c r="AZ62" i="24"/>
  <c r="AR62" i="24"/>
  <c r="AQ62" i="24"/>
  <c r="AP62" i="24"/>
  <c r="AO62" i="24"/>
  <c r="AM62" i="24"/>
  <c r="AL62" i="24"/>
  <c r="AH62" i="24"/>
  <c r="Z62" i="24"/>
  <c r="Y62" i="24"/>
  <c r="X62" i="24"/>
  <c r="V62" i="24"/>
  <c r="U62" i="24"/>
  <c r="M62" i="24"/>
  <c r="L62" i="24"/>
  <c r="F119" i="26" s="1"/>
  <c r="G62" i="24"/>
  <c r="F62" i="24"/>
  <c r="AZ61" i="24"/>
  <c r="AY61" i="24"/>
  <c r="AX61" i="24"/>
  <c r="AW61" i="24"/>
  <c r="AV61" i="24"/>
  <c r="AU61" i="24"/>
  <c r="AT61" i="24"/>
  <c r="AS61" i="24"/>
  <c r="AR61" i="24"/>
  <c r="AQ61" i="24"/>
  <c r="AP61" i="24"/>
  <c r="AO61" i="24"/>
  <c r="AN61" i="24"/>
  <c r="AM61" i="24"/>
  <c r="AL61" i="24"/>
  <c r="AK61" i="24"/>
  <c r="AH61" i="24"/>
  <c r="Z61" i="24"/>
  <c r="Y61" i="24"/>
  <c r="X61" i="24"/>
  <c r="V61" i="24"/>
  <c r="U61" i="24"/>
  <c r="G61" i="24"/>
  <c r="F61" i="24"/>
  <c r="AZ60" i="24"/>
  <c r="AR60" i="24"/>
  <c r="AQ60" i="24"/>
  <c r="AP60" i="24"/>
  <c r="AO60" i="24"/>
  <c r="AM60" i="24"/>
  <c r="AL60" i="24"/>
  <c r="AH60" i="24"/>
  <c r="Z60" i="24"/>
  <c r="Y60" i="24"/>
  <c r="X60" i="24"/>
  <c r="V60" i="24"/>
  <c r="U60" i="24"/>
  <c r="M60" i="24"/>
  <c r="L60" i="24"/>
  <c r="F111" i="26" s="1"/>
  <c r="G60" i="24"/>
  <c r="F60" i="24"/>
  <c r="AZ59" i="24"/>
  <c r="AR59" i="24"/>
  <c r="AQ59" i="24"/>
  <c r="AP59" i="24"/>
  <c r="AO59" i="24"/>
  <c r="AM59" i="24"/>
  <c r="AL59" i="24"/>
  <c r="AH59" i="24"/>
  <c r="Z59" i="24"/>
  <c r="Y59" i="24"/>
  <c r="X59" i="24"/>
  <c r="V59" i="24"/>
  <c r="U59" i="24"/>
  <c r="G59" i="24"/>
  <c r="F59" i="24"/>
  <c r="AZ58" i="24"/>
  <c r="AR58" i="24"/>
  <c r="AQ58" i="24"/>
  <c r="AP58" i="24"/>
  <c r="AO58" i="24"/>
  <c r="AM58" i="24"/>
  <c r="AL58" i="24"/>
  <c r="AH58" i="24"/>
  <c r="Z58" i="24"/>
  <c r="Y58" i="24"/>
  <c r="X58" i="24"/>
  <c r="V58" i="24"/>
  <c r="U58" i="24"/>
  <c r="G58" i="24"/>
  <c r="F58" i="24"/>
  <c r="AZ57" i="24"/>
  <c r="AR57" i="24"/>
  <c r="AQ57" i="24"/>
  <c r="AP57" i="24"/>
  <c r="AO57" i="24"/>
  <c r="AM57" i="24"/>
  <c r="AL57" i="24"/>
  <c r="AH57" i="24"/>
  <c r="Z57" i="24"/>
  <c r="Y57" i="24"/>
  <c r="X57" i="24"/>
  <c r="V57" i="24"/>
  <c r="U57" i="24"/>
  <c r="G57" i="24"/>
  <c r="F57" i="24"/>
  <c r="AZ56" i="24"/>
  <c r="AR56" i="24"/>
  <c r="AQ56" i="24"/>
  <c r="AP56" i="24"/>
  <c r="AO56" i="24"/>
  <c r="AM56" i="24"/>
  <c r="AL56" i="24"/>
  <c r="AH56" i="24"/>
  <c r="Z56" i="24"/>
  <c r="Y56" i="24"/>
  <c r="X56" i="24"/>
  <c r="V56" i="24"/>
  <c r="U56" i="24"/>
  <c r="G56" i="24"/>
  <c r="F56" i="24"/>
  <c r="AZ55" i="24"/>
  <c r="AR55" i="24"/>
  <c r="AQ55" i="24"/>
  <c r="AP55" i="24"/>
  <c r="AO55" i="24"/>
  <c r="AM55" i="24"/>
  <c r="AL55" i="24"/>
  <c r="AH55" i="24"/>
  <c r="Z55" i="24"/>
  <c r="Y55" i="24"/>
  <c r="X55" i="24"/>
  <c r="V55" i="24"/>
  <c r="U55" i="24"/>
  <c r="G55" i="24"/>
  <c r="F55" i="24"/>
  <c r="AZ54" i="24"/>
  <c r="AR54" i="24"/>
  <c r="AQ54" i="24"/>
  <c r="AP54" i="24"/>
  <c r="AO54" i="24"/>
  <c r="AM54" i="24"/>
  <c r="AL54" i="24"/>
  <c r="AH54" i="24"/>
  <c r="Z54" i="24"/>
  <c r="Y54" i="24"/>
  <c r="X54" i="24"/>
  <c r="V54" i="24"/>
  <c r="U54" i="24"/>
  <c r="G54" i="24"/>
  <c r="F54" i="24"/>
  <c r="AZ53" i="24"/>
  <c r="AR53" i="24"/>
  <c r="AQ53" i="24"/>
  <c r="AP53" i="24"/>
  <c r="AO53" i="24"/>
  <c r="AM53" i="24"/>
  <c r="AL53" i="24"/>
  <c r="AH53" i="24"/>
  <c r="Z53" i="24"/>
  <c r="Y53" i="24"/>
  <c r="X53" i="24"/>
  <c r="V53" i="24"/>
  <c r="U53" i="24"/>
  <c r="M53" i="24"/>
  <c r="L53" i="24"/>
  <c r="F104" i="26" s="1"/>
  <c r="G53" i="24"/>
  <c r="F53" i="24"/>
  <c r="AZ52" i="24"/>
  <c r="AR52" i="24"/>
  <c r="AQ52" i="24"/>
  <c r="AP52" i="24"/>
  <c r="AO52" i="24"/>
  <c r="AM52" i="24"/>
  <c r="AL52" i="24"/>
  <c r="AH52" i="24"/>
  <c r="Z52" i="24"/>
  <c r="Y52" i="24"/>
  <c r="X52" i="24"/>
  <c r="V52" i="24"/>
  <c r="U52" i="24"/>
  <c r="M52" i="24"/>
  <c r="L52" i="24"/>
  <c r="F103" i="26" s="1"/>
  <c r="G52" i="24"/>
  <c r="F52" i="24"/>
  <c r="AZ51" i="24"/>
  <c r="AR51" i="24"/>
  <c r="AQ51" i="24"/>
  <c r="AP51" i="24"/>
  <c r="AO51" i="24"/>
  <c r="AM51" i="24"/>
  <c r="AL51" i="24"/>
  <c r="AI51" i="24"/>
  <c r="AH51" i="24"/>
  <c r="AG51" i="24"/>
  <c r="AF51" i="24"/>
  <c r="AE51" i="24"/>
  <c r="AD51" i="24"/>
  <c r="AC51" i="24"/>
  <c r="AB51" i="24"/>
  <c r="AA51" i="24"/>
  <c r="Z51" i="24"/>
  <c r="Y51" i="24"/>
  <c r="X51" i="24"/>
  <c r="W51" i="24"/>
  <c r="V51" i="24"/>
  <c r="U51" i="24"/>
  <c r="G51" i="24"/>
  <c r="F51" i="24"/>
  <c r="AZ50" i="24"/>
  <c r="AY50" i="24"/>
  <c r="AX50" i="24"/>
  <c r="AW50" i="24"/>
  <c r="AV50" i="24"/>
  <c r="AU50" i="24"/>
  <c r="AT50" i="24"/>
  <c r="AS50" i="24"/>
  <c r="AR50" i="24"/>
  <c r="AQ50" i="24"/>
  <c r="AP50" i="24"/>
  <c r="AO50" i="24"/>
  <c r="AN50" i="24"/>
  <c r="AM50" i="24"/>
  <c r="AL50" i="24"/>
  <c r="AK50" i="24"/>
  <c r="AH50" i="24"/>
  <c r="Z50" i="24"/>
  <c r="Y50" i="24"/>
  <c r="X50" i="24"/>
  <c r="V50" i="24"/>
  <c r="U50" i="24"/>
  <c r="M50" i="24"/>
  <c r="L50" i="24"/>
  <c r="F97" i="26" s="1"/>
  <c r="G50" i="24"/>
  <c r="F50" i="24"/>
  <c r="AZ49" i="24"/>
  <c r="AR49" i="24"/>
  <c r="AQ49" i="24"/>
  <c r="AP49" i="24"/>
  <c r="AO49" i="24"/>
  <c r="AM49" i="24"/>
  <c r="AL49" i="24"/>
  <c r="AH49" i="24"/>
  <c r="Z49" i="24"/>
  <c r="Y49" i="24"/>
  <c r="X49" i="24"/>
  <c r="V49" i="24"/>
  <c r="U49" i="24"/>
  <c r="M49" i="24"/>
  <c r="L49" i="24"/>
  <c r="F96" i="26" s="1"/>
  <c r="G49" i="24"/>
  <c r="F49" i="24"/>
  <c r="AZ48" i="24"/>
  <c r="AR48" i="24"/>
  <c r="AQ48" i="24"/>
  <c r="AP48" i="24"/>
  <c r="AO48" i="24"/>
  <c r="AM48" i="24"/>
  <c r="AL48" i="24"/>
  <c r="AH48" i="24"/>
  <c r="Z48" i="24"/>
  <c r="Y48" i="24"/>
  <c r="X48" i="24"/>
  <c r="V48" i="24"/>
  <c r="U48" i="24"/>
  <c r="M48" i="24"/>
  <c r="L48" i="24"/>
  <c r="F95" i="26" s="1"/>
  <c r="G48" i="24"/>
  <c r="F48" i="24"/>
  <c r="AZ47" i="24"/>
  <c r="AY47" i="24"/>
  <c r="AX47" i="24"/>
  <c r="AW47" i="24"/>
  <c r="AV47" i="24"/>
  <c r="AU47" i="24"/>
  <c r="AT47" i="24"/>
  <c r="AS47" i="24"/>
  <c r="AR47" i="24"/>
  <c r="AQ47" i="24"/>
  <c r="AP47" i="24"/>
  <c r="AO47" i="24"/>
  <c r="AN47" i="24"/>
  <c r="AM47" i="24"/>
  <c r="AL47" i="24"/>
  <c r="AK47" i="24"/>
  <c r="AH47" i="24"/>
  <c r="Z47" i="24"/>
  <c r="Y47" i="24"/>
  <c r="X47" i="24"/>
  <c r="V47" i="24"/>
  <c r="U47" i="24"/>
  <c r="M47" i="24"/>
  <c r="L47" i="24"/>
  <c r="F94" i="26" s="1"/>
  <c r="G47" i="24"/>
  <c r="F47" i="24"/>
  <c r="AZ46" i="24"/>
  <c r="AR46" i="24"/>
  <c r="AQ46" i="24"/>
  <c r="AP46" i="24"/>
  <c r="AO46" i="24"/>
  <c r="AM46" i="24"/>
  <c r="AL46" i="24"/>
  <c r="AI46" i="24"/>
  <c r="AH46" i="24"/>
  <c r="AG46" i="24"/>
  <c r="AF46" i="24"/>
  <c r="AE46" i="24"/>
  <c r="AD46" i="24"/>
  <c r="AC46" i="24"/>
  <c r="AB46" i="24"/>
  <c r="AA46" i="24"/>
  <c r="Z46" i="24"/>
  <c r="Y46" i="24"/>
  <c r="X46" i="24"/>
  <c r="W46" i="24"/>
  <c r="V46" i="24"/>
  <c r="U46" i="24"/>
  <c r="M46" i="24"/>
  <c r="L46" i="24"/>
  <c r="F93" i="26" s="1"/>
  <c r="G46" i="24"/>
  <c r="F46" i="24"/>
  <c r="AZ45" i="24"/>
  <c r="AR45" i="24"/>
  <c r="AQ45" i="24"/>
  <c r="AP45" i="24"/>
  <c r="AO45" i="24"/>
  <c r="AM45" i="24"/>
  <c r="AL45" i="24"/>
  <c r="AI45" i="24"/>
  <c r="AH45" i="24"/>
  <c r="AG45" i="24"/>
  <c r="AF45" i="24"/>
  <c r="AE45" i="24"/>
  <c r="AD45" i="24"/>
  <c r="AC45" i="24"/>
  <c r="AB45" i="24"/>
  <c r="AA45" i="24"/>
  <c r="Z45" i="24"/>
  <c r="Y45" i="24"/>
  <c r="X45" i="24"/>
  <c r="W45" i="24"/>
  <c r="V45" i="24"/>
  <c r="U45" i="24"/>
  <c r="L45" i="24"/>
  <c r="F87" i="26" s="1"/>
  <c r="G45" i="24"/>
  <c r="F45" i="24"/>
  <c r="AZ44" i="24"/>
  <c r="AR44" i="24"/>
  <c r="AQ44" i="24"/>
  <c r="AP44" i="24"/>
  <c r="AO44" i="24"/>
  <c r="AM44" i="24"/>
  <c r="AL44" i="24"/>
  <c r="AH44" i="24"/>
  <c r="Z44" i="24"/>
  <c r="Y44" i="24"/>
  <c r="X44" i="24"/>
  <c r="V44" i="24"/>
  <c r="U44" i="24"/>
  <c r="M44" i="24"/>
  <c r="L44" i="24"/>
  <c r="F86" i="26" s="1"/>
  <c r="G44" i="24"/>
  <c r="F44" i="24"/>
  <c r="AZ43" i="24"/>
  <c r="AR43" i="24"/>
  <c r="AQ43" i="24"/>
  <c r="AP43" i="24"/>
  <c r="AO43" i="24"/>
  <c r="AM43" i="24"/>
  <c r="AL43" i="24"/>
  <c r="AI43" i="24"/>
  <c r="AH43" i="24"/>
  <c r="AG43" i="24"/>
  <c r="AF43" i="24"/>
  <c r="AE43" i="24"/>
  <c r="AD43" i="24"/>
  <c r="AC43" i="24"/>
  <c r="AB43" i="24"/>
  <c r="AA43" i="24"/>
  <c r="Z43" i="24"/>
  <c r="Y43" i="24"/>
  <c r="X43" i="24"/>
  <c r="W43" i="24"/>
  <c r="V43" i="24"/>
  <c r="U43" i="24"/>
  <c r="M43" i="24"/>
  <c r="L43" i="24"/>
  <c r="F85" i="26" s="1"/>
  <c r="G43" i="24"/>
  <c r="F43" i="24"/>
  <c r="AZ42" i="24"/>
  <c r="AR42" i="24"/>
  <c r="AQ42" i="24"/>
  <c r="AP42" i="24"/>
  <c r="AO42" i="24"/>
  <c r="AM42" i="24"/>
  <c r="AL42" i="24"/>
  <c r="AH42" i="24"/>
  <c r="Z42" i="24"/>
  <c r="Y42" i="24"/>
  <c r="X42" i="24"/>
  <c r="V42" i="24"/>
  <c r="U42" i="24"/>
  <c r="M42" i="24"/>
  <c r="L42" i="24"/>
  <c r="F126" i="26" s="1"/>
  <c r="G42" i="24"/>
  <c r="F42" i="24"/>
  <c r="AZ41" i="24"/>
  <c r="AR41" i="24"/>
  <c r="AQ41" i="24"/>
  <c r="AP41" i="24"/>
  <c r="AO41" i="24"/>
  <c r="AM41" i="24"/>
  <c r="AL41" i="24"/>
  <c r="AI41" i="24"/>
  <c r="AH41" i="24"/>
  <c r="AG41" i="24"/>
  <c r="AF41" i="24"/>
  <c r="AE41" i="24"/>
  <c r="AD41" i="24"/>
  <c r="AC41" i="24"/>
  <c r="AB41" i="24"/>
  <c r="AA41" i="24"/>
  <c r="Z41" i="24"/>
  <c r="Y41" i="24"/>
  <c r="X41" i="24"/>
  <c r="W41" i="24"/>
  <c r="V41" i="24"/>
  <c r="U41" i="24"/>
  <c r="M41" i="24"/>
  <c r="L41" i="24"/>
  <c r="F125" i="26" s="1"/>
  <c r="G41" i="24"/>
  <c r="F41" i="24"/>
  <c r="AZ40" i="24"/>
  <c r="AY40" i="24"/>
  <c r="AX40" i="24"/>
  <c r="AW40" i="24"/>
  <c r="AV40" i="24"/>
  <c r="AU40" i="24"/>
  <c r="AT40" i="24"/>
  <c r="AS40" i="24"/>
  <c r="AR40" i="24"/>
  <c r="AQ40" i="24"/>
  <c r="AP40" i="24"/>
  <c r="AO40" i="24"/>
  <c r="AN40" i="24"/>
  <c r="AM40" i="24"/>
  <c r="AL40" i="24"/>
  <c r="AK40" i="24"/>
  <c r="AI40" i="24"/>
  <c r="AH40" i="24"/>
  <c r="AG40" i="24"/>
  <c r="AF40" i="24"/>
  <c r="AE40" i="24"/>
  <c r="AD40" i="24"/>
  <c r="AC40" i="24"/>
  <c r="AB40" i="24"/>
  <c r="AA40" i="24"/>
  <c r="Z40" i="24"/>
  <c r="Y40" i="24"/>
  <c r="X40" i="24"/>
  <c r="W40" i="24"/>
  <c r="V40" i="24"/>
  <c r="U40" i="24"/>
  <c r="G40" i="24"/>
  <c r="F40" i="24"/>
  <c r="AZ39" i="24"/>
  <c r="AR39" i="24"/>
  <c r="AQ39" i="24"/>
  <c r="AP39" i="24"/>
  <c r="AO39" i="24"/>
  <c r="AM39" i="24"/>
  <c r="AL39" i="24"/>
  <c r="AH39" i="24"/>
  <c r="Z39" i="24"/>
  <c r="Y39" i="24"/>
  <c r="X39" i="24"/>
  <c r="V39" i="24"/>
  <c r="U39" i="24"/>
  <c r="M39" i="24"/>
  <c r="L39" i="24"/>
  <c r="F77" i="26" s="1"/>
  <c r="G39" i="24"/>
  <c r="F39" i="24"/>
  <c r="AZ38" i="24"/>
  <c r="AY38" i="24"/>
  <c r="AX38" i="24"/>
  <c r="AW38" i="24"/>
  <c r="AV38" i="24"/>
  <c r="AU38" i="24"/>
  <c r="AT38" i="24"/>
  <c r="AS38" i="24"/>
  <c r="AR38" i="24"/>
  <c r="AQ38" i="24"/>
  <c r="AP38" i="24"/>
  <c r="AO38" i="24"/>
  <c r="AN38" i="24"/>
  <c r="AM38" i="24"/>
  <c r="AL38" i="24"/>
  <c r="AK38" i="24"/>
  <c r="AI38" i="24"/>
  <c r="AH38" i="24"/>
  <c r="AG38" i="24"/>
  <c r="AF38" i="24"/>
  <c r="AE38" i="24"/>
  <c r="AD38" i="24"/>
  <c r="AC38" i="24"/>
  <c r="AB38" i="24"/>
  <c r="AA38" i="24"/>
  <c r="Z38" i="24"/>
  <c r="Y38" i="24"/>
  <c r="X38" i="24"/>
  <c r="W38" i="24"/>
  <c r="V38" i="24"/>
  <c r="U38" i="24"/>
  <c r="F38" i="24"/>
  <c r="AZ37" i="24"/>
  <c r="AR37" i="24"/>
  <c r="AQ37" i="24"/>
  <c r="AP37" i="24"/>
  <c r="AO37" i="24"/>
  <c r="AM37" i="24"/>
  <c r="AL37" i="24"/>
  <c r="AI37" i="24"/>
  <c r="AH37" i="24"/>
  <c r="AG37" i="24"/>
  <c r="AF37" i="24"/>
  <c r="AE37" i="24"/>
  <c r="AD37" i="24"/>
  <c r="AC37" i="24"/>
  <c r="AB37" i="24"/>
  <c r="AA37" i="24"/>
  <c r="Z37" i="24"/>
  <c r="Y37" i="24"/>
  <c r="X37" i="24"/>
  <c r="W37" i="24"/>
  <c r="V37" i="24"/>
  <c r="U37" i="24"/>
  <c r="F37" i="24"/>
  <c r="AZ36" i="24"/>
  <c r="AR36" i="24"/>
  <c r="AQ36" i="24"/>
  <c r="AP36" i="24"/>
  <c r="AO36" i="24"/>
  <c r="AM36" i="24"/>
  <c r="AL36" i="24"/>
  <c r="AI36" i="24"/>
  <c r="AH36" i="24"/>
  <c r="AG36" i="24"/>
  <c r="AF36" i="24"/>
  <c r="AE36" i="24"/>
  <c r="AD36" i="24"/>
  <c r="AC36" i="24"/>
  <c r="AB36" i="24"/>
  <c r="AA36" i="24"/>
  <c r="Z36" i="24"/>
  <c r="Y36" i="24"/>
  <c r="X36" i="24"/>
  <c r="W36" i="24"/>
  <c r="V36" i="24"/>
  <c r="U36" i="24"/>
  <c r="F36" i="24"/>
  <c r="AZ35" i="24"/>
  <c r="AY35" i="24"/>
  <c r="AX35" i="24"/>
  <c r="AW35" i="24"/>
  <c r="AV35" i="24"/>
  <c r="AU35" i="24"/>
  <c r="AT35" i="24"/>
  <c r="AS35" i="24"/>
  <c r="AR35" i="24"/>
  <c r="AQ35" i="24"/>
  <c r="AP35" i="24"/>
  <c r="AO35" i="24"/>
  <c r="AN35" i="24"/>
  <c r="AM35" i="24"/>
  <c r="AL35" i="24"/>
  <c r="AK35" i="24"/>
  <c r="AH35" i="24"/>
  <c r="Z35" i="24"/>
  <c r="Y35" i="24"/>
  <c r="X35" i="24"/>
  <c r="V35" i="24"/>
  <c r="U35" i="24"/>
  <c r="G35" i="24"/>
  <c r="AZ34" i="24"/>
  <c r="AY34" i="24"/>
  <c r="AX34" i="24"/>
  <c r="AW34" i="24"/>
  <c r="AV34" i="24"/>
  <c r="AU34" i="24"/>
  <c r="AT34" i="24"/>
  <c r="AS34" i="24"/>
  <c r="AR34" i="24"/>
  <c r="AQ34" i="24"/>
  <c r="AP34" i="24"/>
  <c r="AO34" i="24"/>
  <c r="AN34" i="24"/>
  <c r="AM34" i="24"/>
  <c r="AL34" i="24"/>
  <c r="AK34" i="24"/>
  <c r="AH34" i="24"/>
  <c r="Z34" i="24"/>
  <c r="Y34" i="24"/>
  <c r="X34" i="24"/>
  <c r="V34" i="24"/>
  <c r="U34" i="24"/>
  <c r="G34" i="24"/>
  <c r="AZ33" i="24"/>
  <c r="AR33" i="24"/>
  <c r="AQ33" i="24"/>
  <c r="AP33" i="24"/>
  <c r="AO33" i="24"/>
  <c r="AM33" i="24"/>
  <c r="AL33" i="24"/>
  <c r="AI33" i="24"/>
  <c r="AH33" i="24"/>
  <c r="AG33" i="24"/>
  <c r="AF33" i="24"/>
  <c r="AE33" i="24"/>
  <c r="AD33" i="24"/>
  <c r="AC33" i="24"/>
  <c r="AB33" i="24"/>
  <c r="AA33" i="24"/>
  <c r="Z33" i="24"/>
  <c r="Y33" i="24"/>
  <c r="X33" i="24"/>
  <c r="W33" i="24"/>
  <c r="V33" i="24"/>
  <c r="U33" i="24"/>
  <c r="M33" i="24"/>
  <c r="L33" i="24"/>
  <c r="F63" i="26" s="1"/>
  <c r="G33" i="24"/>
  <c r="F33" i="24"/>
  <c r="AZ32" i="24"/>
  <c r="AR32" i="24"/>
  <c r="AQ32" i="24"/>
  <c r="AP32" i="24"/>
  <c r="AO32" i="24"/>
  <c r="AM32" i="24"/>
  <c r="AL32" i="24"/>
  <c r="AH32" i="24"/>
  <c r="Z32" i="24"/>
  <c r="Y32" i="24"/>
  <c r="X32" i="24"/>
  <c r="V32" i="24"/>
  <c r="U32" i="24"/>
  <c r="M32" i="24"/>
  <c r="L32" i="24"/>
  <c r="F62" i="26" s="1"/>
  <c r="G32" i="24"/>
  <c r="F32" i="24"/>
  <c r="AZ31" i="24"/>
  <c r="AY31" i="24"/>
  <c r="AX31" i="24"/>
  <c r="AW31" i="24"/>
  <c r="AV31" i="24"/>
  <c r="AU31" i="24"/>
  <c r="AT31" i="24"/>
  <c r="AS31" i="24"/>
  <c r="AR31" i="24"/>
  <c r="AQ31" i="24"/>
  <c r="AP31" i="24"/>
  <c r="AO31" i="24"/>
  <c r="AN31" i="24"/>
  <c r="AM31" i="24"/>
  <c r="AL31" i="24"/>
  <c r="AK31" i="24"/>
  <c r="AH31" i="24"/>
  <c r="Z31" i="24"/>
  <c r="Y31" i="24"/>
  <c r="X31" i="24"/>
  <c r="V31" i="24"/>
  <c r="U31" i="24"/>
  <c r="G31" i="24"/>
  <c r="AZ30" i="24"/>
  <c r="AR30" i="24"/>
  <c r="AQ30" i="24"/>
  <c r="AP30" i="24"/>
  <c r="AO30" i="24"/>
  <c r="AM30" i="24"/>
  <c r="AL30" i="24"/>
  <c r="AI30" i="24"/>
  <c r="AH30" i="24"/>
  <c r="AG30" i="24"/>
  <c r="AF30" i="24"/>
  <c r="AE30" i="24"/>
  <c r="AD30" i="24"/>
  <c r="AC30" i="24"/>
  <c r="AB30" i="24"/>
  <c r="AA30" i="24"/>
  <c r="Z30" i="24"/>
  <c r="Y30" i="24"/>
  <c r="X30" i="24"/>
  <c r="W30" i="24"/>
  <c r="V30" i="24"/>
  <c r="U30" i="24"/>
  <c r="M30" i="24"/>
  <c r="L30" i="24"/>
  <c r="F60" i="26" s="1"/>
  <c r="F30" i="24"/>
  <c r="AZ29" i="24"/>
  <c r="AR29" i="24"/>
  <c r="AQ29" i="24"/>
  <c r="AP29" i="24"/>
  <c r="AO29" i="24"/>
  <c r="AM29" i="24"/>
  <c r="AL29" i="24"/>
  <c r="AI29" i="24"/>
  <c r="AH29" i="24"/>
  <c r="AG29" i="24"/>
  <c r="AF29" i="24"/>
  <c r="AE29" i="24"/>
  <c r="AD29" i="24"/>
  <c r="AC29" i="24"/>
  <c r="AB29" i="24"/>
  <c r="AA29" i="24"/>
  <c r="Z29" i="24"/>
  <c r="Y29" i="24"/>
  <c r="X29" i="24"/>
  <c r="W29" i="24"/>
  <c r="V29" i="24"/>
  <c r="U29" i="24"/>
  <c r="M29" i="24"/>
  <c r="L29" i="24"/>
  <c r="F59" i="26" s="1"/>
  <c r="G29" i="24"/>
  <c r="F29" i="24"/>
  <c r="AZ28" i="24"/>
  <c r="AR28" i="24"/>
  <c r="AQ28" i="24"/>
  <c r="AP28" i="24"/>
  <c r="AO28" i="24"/>
  <c r="AM28" i="24"/>
  <c r="AL28" i="24"/>
  <c r="AH28" i="24"/>
  <c r="Z28" i="24"/>
  <c r="Y28" i="24"/>
  <c r="X28" i="24"/>
  <c r="V28" i="24"/>
  <c r="U28" i="24"/>
  <c r="M28" i="24"/>
  <c r="L28" i="24"/>
  <c r="F58" i="26" s="1"/>
  <c r="G28" i="24"/>
  <c r="F28" i="24"/>
  <c r="F27" i="24"/>
  <c r="AZ26" i="24"/>
  <c r="AR26" i="24"/>
  <c r="AQ26" i="24"/>
  <c r="AP26" i="24"/>
  <c r="AO26" i="24"/>
  <c r="AM26" i="24"/>
  <c r="AL26" i="24"/>
  <c r="AH26" i="24"/>
  <c r="Z26" i="24"/>
  <c r="Y26" i="24"/>
  <c r="X26" i="24"/>
  <c r="V26" i="24"/>
  <c r="U26" i="24"/>
  <c r="M26" i="24"/>
  <c r="L26" i="24"/>
  <c r="F55" i="26" s="1"/>
  <c r="G26" i="24"/>
  <c r="F26" i="24"/>
  <c r="AZ25" i="24"/>
  <c r="AR25" i="24"/>
  <c r="AQ25" i="24"/>
  <c r="AP25" i="24"/>
  <c r="AO25" i="24"/>
  <c r="AM25" i="24"/>
  <c r="AL25" i="24"/>
  <c r="AI25" i="24"/>
  <c r="AH25" i="24"/>
  <c r="AG25" i="24"/>
  <c r="AF25" i="24"/>
  <c r="AE25" i="24"/>
  <c r="AD25" i="24"/>
  <c r="AC25" i="24"/>
  <c r="AB25" i="24"/>
  <c r="AA25" i="24"/>
  <c r="Z25" i="24"/>
  <c r="Y25" i="24"/>
  <c r="X25" i="24"/>
  <c r="W25" i="24"/>
  <c r="V25" i="24"/>
  <c r="U25" i="24"/>
  <c r="M25" i="24"/>
  <c r="L25" i="24"/>
  <c r="F54" i="26" s="1"/>
  <c r="G25" i="24"/>
  <c r="AZ24" i="24"/>
  <c r="AY24" i="24"/>
  <c r="AX24" i="24"/>
  <c r="AW24" i="24"/>
  <c r="AV24" i="24"/>
  <c r="AU24" i="24"/>
  <c r="AT24" i="24"/>
  <c r="AS24" i="24"/>
  <c r="AR24" i="24"/>
  <c r="AQ24" i="24"/>
  <c r="AP24" i="24"/>
  <c r="AO24" i="24"/>
  <c r="AN24" i="24"/>
  <c r="AM24" i="24"/>
  <c r="AL24" i="24"/>
  <c r="AK24" i="24"/>
  <c r="AI24" i="24"/>
  <c r="AH24" i="24"/>
  <c r="AG24" i="24"/>
  <c r="AF24" i="24"/>
  <c r="AE24" i="24"/>
  <c r="AD24" i="24"/>
  <c r="AC24" i="24"/>
  <c r="AB24" i="24"/>
  <c r="AA24" i="24"/>
  <c r="Z24" i="24"/>
  <c r="Y24" i="24"/>
  <c r="X24" i="24"/>
  <c r="W24" i="24"/>
  <c r="V24" i="24"/>
  <c r="U24" i="24"/>
  <c r="M24" i="24"/>
  <c r="L24" i="24"/>
  <c r="G24" i="24"/>
  <c r="F24" i="24"/>
  <c r="AZ23" i="24"/>
  <c r="AR23" i="24"/>
  <c r="AQ23" i="24"/>
  <c r="AP23" i="24"/>
  <c r="AO23" i="24"/>
  <c r="AM23" i="24"/>
  <c r="H16" i="25" s="1"/>
  <c r="I16" i="25" s="1"/>
  <c r="AL23" i="24"/>
  <c r="AI23" i="24"/>
  <c r="AH23" i="24"/>
  <c r="AG23" i="24"/>
  <c r="AF23" i="24"/>
  <c r="AE23" i="24"/>
  <c r="AD23" i="24"/>
  <c r="AC23" i="24"/>
  <c r="AB23" i="24"/>
  <c r="AA23" i="24"/>
  <c r="Z23" i="24"/>
  <c r="Y23" i="24"/>
  <c r="X23" i="24"/>
  <c r="W23" i="24"/>
  <c r="V23" i="24"/>
  <c r="U23" i="24"/>
  <c r="L23" i="24"/>
  <c r="G23" i="24"/>
  <c r="F23" i="24"/>
  <c r="E16" i="25" s="1"/>
  <c r="AZ22" i="24"/>
  <c r="AR22" i="24"/>
  <c r="AQ22" i="24"/>
  <c r="AP22" i="24"/>
  <c r="AO22" i="24"/>
  <c r="AM22" i="24"/>
  <c r="AL22" i="24"/>
  <c r="AI22" i="24"/>
  <c r="AH22" i="24"/>
  <c r="AG22" i="24"/>
  <c r="AF22" i="24"/>
  <c r="AE22" i="24"/>
  <c r="AD22" i="24"/>
  <c r="AC22" i="24"/>
  <c r="AB22" i="24"/>
  <c r="AA22" i="24"/>
  <c r="Z22" i="24"/>
  <c r="Y22" i="24"/>
  <c r="X22" i="24"/>
  <c r="W22" i="24"/>
  <c r="V22" i="24"/>
  <c r="U22" i="24"/>
  <c r="M22" i="24"/>
  <c r="L22" i="24"/>
  <c r="F25" i="26" s="1"/>
  <c r="G22" i="24"/>
  <c r="AZ21" i="24"/>
  <c r="AR21" i="24"/>
  <c r="AQ21" i="24"/>
  <c r="AP21" i="24"/>
  <c r="AO21" i="24"/>
  <c r="AM21" i="24"/>
  <c r="AL21" i="24"/>
  <c r="AH21" i="24"/>
  <c r="Z21" i="24"/>
  <c r="Y21" i="24"/>
  <c r="X21" i="24"/>
  <c r="V21" i="24"/>
  <c r="U21" i="24"/>
  <c r="M21" i="24"/>
  <c r="L21" i="24"/>
  <c r="F24" i="26" s="1"/>
  <c r="G21" i="24"/>
  <c r="AZ20" i="24"/>
  <c r="AR20" i="24"/>
  <c r="AQ20" i="24"/>
  <c r="AP20" i="24"/>
  <c r="AO20" i="24"/>
  <c r="AM20" i="24"/>
  <c r="AL20" i="24"/>
  <c r="AH20" i="24"/>
  <c r="Z20" i="24"/>
  <c r="Y20" i="24"/>
  <c r="X20" i="24"/>
  <c r="V20" i="24"/>
  <c r="U20" i="24"/>
  <c r="M20" i="24"/>
  <c r="L20" i="24"/>
  <c r="F23" i="26" s="1"/>
  <c r="G20" i="24"/>
  <c r="AZ19" i="24"/>
  <c r="AR19" i="24"/>
  <c r="AQ19" i="24"/>
  <c r="AP19" i="24"/>
  <c r="AO19" i="24"/>
  <c r="AM19" i="24"/>
  <c r="AL19" i="24"/>
  <c r="AI19" i="24"/>
  <c r="AH19" i="24"/>
  <c r="AG19" i="24"/>
  <c r="AF19" i="24"/>
  <c r="AE19" i="24"/>
  <c r="AD19" i="24"/>
  <c r="AC19" i="24"/>
  <c r="AB19" i="24"/>
  <c r="AA19" i="24"/>
  <c r="Z19" i="24"/>
  <c r="Y19" i="24"/>
  <c r="X19" i="24"/>
  <c r="W19" i="24"/>
  <c r="V19" i="24"/>
  <c r="U19" i="24"/>
  <c r="G19" i="24"/>
  <c r="F19" i="24"/>
  <c r="AZ18" i="24"/>
  <c r="AR18" i="24"/>
  <c r="AQ18" i="24"/>
  <c r="AP18" i="24"/>
  <c r="AO18" i="24"/>
  <c r="AM18" i="24"/>
  <c r="AL18" i="24"/>
  <c r="AI18" i="24"/>
  <c r="AH18" i="24"/>
  <c r="AG18" i="24"/>
  <c r="AF18" i="24"/>
  <c r="AE18" i="24"/>
  <c r="AD18" i="24"/>
  <c r="AC18" i="24"/>
  <c r="AB18" i="24"/>
  <c r="AA18" i="24"/>
  <c r="Z18" i="24"/>
  <c r="Y18" i="24"/>
  <c r="X18" i="24"/>
  <c r="W18" i="24"/>
  <c r="V18" i="24"/>
  <c r="U18" i="24"/>
  <c r="M18" i="24"/>
  <c r="L18" i="24"/>
  <c r="F21" i="26" s="1"/>
  <c r="G18" i="24"/>
  <c r="AZ17" i="24"/>
  <c r="AR17" i="24"/>
  <c r="AQ17" i="24"/>
  <c r="AP17" i="24"/>
  <c r="AO17" i="24"/>
  <c r="AM17" i="24"/>
  <c r="AL17" i="24"/>
  <c r="AI17" i="24"/>
  <c r="AH17" i="24"/>
  <c r="AG17" i="24"/>
  <c r="AF17" i="24"/>
  <c r="AE17" i="24"/>
  <c r="AD17" i="24"/>
  <c r="AC17" i="24"/>
  <c r="AB17" i="24"/>
  <c r="AA17" i="24"/>
  <c r="Z17" i="24"/>
  <c r="Y17" i="24"/>
  <c r="X17" i="24"/>
  <c r="W17" i="24"/>
  <c r="V17" i="24"/>
  <c r="U17" i="24"/>
  <c r="M17" i="24"/>
  <c r="L17" i="24"/>
  <c r="F20" i="26" s="1"/>
  <c r="G17" i="24"/>
  <c r="AZ16" i="24"/>
  <c r="AR16" i="24"/>
  <c r="AQ16" i="24"/>
  <c r="AP16" i="24"/>
  <c r="AO16" i="24"/>
  <c r="AM16" i="24"/>
  <c r="AL16" i="24"/>
  <c r="AH16" i="24"/>
  <c r="Z16" i="24"/>
  <c r="Y16" i="24"/>
  <c r="X16" i="24"/>
  <c r="V16" i="24"/>
  <c r="U16" i="24"/>
  <c r="M16" i="24"/>
  <c r="L16" i="24"/>
  <c r="F19" i="26" s="1"/>
  <c r="G16" i="24"/>
  <c r="AZ15" i="24"/>
  <c r="AR15" i="24"/>
  <c r="AQ15" i="24"/>
  <c r="AP15" i="24"/>
  <c r="AO15" i="24"/>
  <c r="AM15" i="24"/>
  <c r="AL15" i="24"/>
  <c r="AI15" i="24"/>
  <c r="AH15" i="24"/>
  <c r="AG15" i="24"/>
  <c r="AF15" i="24"/>
  <c r="AE15" i="24"/>
  <c r="AD15" i="24"/>
  <c r="AC15" i="24"/>
  <c r="AB15" i="24"/>
  <c r="AA15" i="24"/>
  <c r="Z15" i="24"/>
  <c r="Y15" i="24"/>
  <c r="X15" i="24"/>
  <c r="W15" i="24"/>
  <c r="V15" i="24"/>
  <c r="U15" i="24"/>
  <c r="M15" i="24"/>
  <c r="L15" i="24"/>
  <c r="F18" i="26" s="1"/>
  <c r="G15" i="24"/>
  <c r="AZ14" i="24"/>
  <c r="AR14" i="24"/>
  <c r="AQ14" i="24"/>
  <c r="AP14" i="24"/>
  <c r="AO14" i="24"/>
  <c r="AM14" i="24"/>
  <c r="AL14" i="24"/>
  <c r="AH14" i="24"/>
  <c r="Z14" i="24"/>
  <c r="Y14" i="24"/>
  <c r="X14" i="24"/>
  <c r="V14" i="24"/>
  <c r="U14" i="24"/>
  <c r="M14" i="24"/>
  <c r="L14" i="24"/>
  <c r="F17" i="26" s="1"/>
  <c r="G14" i="24"/>
  <c r="AZ13" i="24"/>
  <c r="AR13" i="24"/>
  <c r="AQ13" i="24"/>
  <c r="AP13" i="24"/>
  <c r="AO13" i="24"/>
  <c r="AM13" i="24"/>
  <c r="AL13" i="24"/>
  <c r="AH13" i="24"/>
  <c r="Z13" i="24"/>
  <c r="Y13" i="24"/>
  <c r="X13" i="24"/>
  <c r="V13" i="24"/>
  <c r="U13" i="24"/>
  <c r="M13" i="24"/>
  <c r="L13" i="24"/>
  <c r="F16" i="26" s="1"/>
  <c r="G13" i="24"/>
  <c r="AZ12" i="24"/>
  <c r="AR12" i="24"/>
  <c r="AQ12" i="24"/>
  <c r="AP12" i="24"/>
  <c r="AO12" i="24"/>
  <c r="AM12" i="24"/>
  <c r="AL12" i="24"/>
  <c r="AI12" i="24"/>
  <c r="AH12" i="24"/>
  <c r="AG12" i="24"/>
  <c r="AF12" i="24"/>
  <c r="AE12" i="24"/>
  <c r="AD12" i="24"/>
  <c r="AC12" i="24"/>
  <c r="AB12" i="24"/>
  <c r="AA12" i="24"/>
  <c r="Z12" i="24"/>
  <c r="Y12" i="24"/>
  <c r="X12" i="24"/>
  <c r="W12" i="24"/>
  <c r="V12" i="24"/>
  <c r="U12" i="24"/>
  <c r="M12" i="24"/>
  <c r="L12" i="24"/>
  <c r="F15" i="26" s="1"/>
  <c r="G12" i="24"/>
  <c r="AZ11" i="24"/>
  <c r="AR11" i="24"/>
  <c r="AQ11" i="24"/>
  <c r="AP11" i="24"/>
  <c r="AO11" i="24"/>
  <c r="AM11" i="24"/>
  <c r="AL11" i="24"/>
  <c r="AH11" i="24"/>
  <c r="Z11" i="24"/>
  <c r="Y11" i="24"/>
  <c r="X11" i="24"/>
  <c r="V11" i="24"/>
  <c r="U11" i="24"/>
  <c r="M11" i="24"/>
  <c r="L11" i="24"/>
  <c r="F14" i="26" s="1"/>
  <c r="G11" i="24"/>
  <c r="AZ10" i="24"/>
  <c r="AR10" i="24"/>
  <c r="AQ10" i="24"/>
  <c r="AP10" i="24"/>
  <c r="AO10" i="24"/>
  <c r="AM10" i="24"/>
  <c r="AL10" i="24"/>
  <c r="AI10" i="24"/>
  <c r="AH10" i="24"/>
  <c r="AG10" i="24"/>
  <c r="AF10" i="24"/>
  <c r="AE10" i="24"/>
  <c r="AD10" i="24"/>
  <c r="AC10" i="24"/>
  <c r="AB10" i="24"/>
  <c r="AA10" i="24"/>
  <c r="Z10" i="24"/>
  <c r="Y10" i="24"/>
  <c r="X10" i="24"/>
  <c r="W10" i="24"/>
  <c r="V10" i="24"/>
  <c r="U10" i="24"/>
  <c r="M10" i="24"/>
  <c r="L10" i="24"/>
  <c r="F13" i="26" s="1"/>
  <c r="G10" i="24"/>
  <c r="AZ9" i="24"/>
  <c r="AR9" i="24"/>
  <c r="AQ9" i="24"/>
  <c r="AP9" i="24"/>
  <c r="AO9" i="24"/>
  <c r="AM9" i="24"/>
  <c r="AL9" i="24"/>
  <c r="AH9" i="24"/>
  <c r="Z9" i="24"/>
  <c r="Y9" i="24"/>
  <c r="X9" i="24"/>
  <c r="V9" i="24"/>
  <c r="U9" i="24"/>
  <c r="M9" i="24"/>
  <c r="L9" i="24"/>
  <c r="F12" i="26" s="1"/>
  <c r="G9" i="24"/>
  <c r="AZ8" i="24"/>
  <c r="AR8" i="24"/>
  <c r="AQ8" i="24"/>
  <c r="AP8" i="24"/>
  <c r="AO8" i="24"/>
  <c r="AM8" i="24"/>
  <c r="AL8" i="24"/>
  <c r="AI8" i="24"/>
  <c r="AH8" i="24"/>
  <c r="AG8" i="24"/>
  <c r="AF8" i="24"/>
  <c r="AE8" i="24"/>
  <c r="AD8" i="24"/>
  <c r="AC8" i="24"/>
  <c r="AB8" i="24"/>
  <c r="AA8" i="24"/>
  <c r="Z8" i="24"/>
  <c r="Y8" i="24"/>
  <c r="X8" i="24"/>
  <c r="W8" i="24"/>
  <c r="V8" i="24"/>
  <c r="U8" i="24"/>
  <c r="M8" i="24"/>
  <c r="L8" i="24"/>
  <c r="F11" i="26" s="1"/>
  <c r="G8" i="24"/>
  <c r="F8" i="24"/>
  <c r="AZ7" i="24"/>
  <c r="AR7" i="24"/>
  <c r="AQ7" i="24"/>
  <c r="AP7" i="24"/>
  <c r="AO7" i="24"/>
  <c r="AM7" i="24"/>
  <c r="AL7" i="24"/>
  <c r="AH7" i="24"/>
  <c r="Z7" i="24"/>
  <c r="Y7" i="24"/>
  <c r="X7" i="24"/>
  <c r="V7" i="24"/>
  <c r="U7" i="24"/>
  <c r="M7" i="24"/>
  <c r="L7" i="24"/>
  <c r="G7" i="24"/>
  <c r="F7" i="24"/>
  <c r="F311" i="23"/>
  <c r="E311" i="23"/>
  <c r="D311" i="23"/>
  <c r="C311" i="23"/>
  <c r="B311" i="23"/>
  <c r="F310" i="23"/>
  <c r="E310" i="23"/>
  <c r="D310" i="23"/>
  <c r="C310" i="23"/>
  <c r="B310" i="23"/>
  <c r="F309" i="23"/>
  <c r="E309" i="23"/>
  <c r="D309" i="23"/>
  <c r="C309" i="23"/>
  <c r="B309" i="23"/>
  <c r="F308" i="23"/>
  <c r="E308" i="23"/>
  <c r="D308" i="23"/>
  <c r="C308" i="23"/>
  <c r="B308" i="23"/>
  <c r="F307" i="23"/>
  <c r="E307" i="23"/>
  <c r="D307" i="23"/>
  <c r="C307" i="23"/>
  <c r="B307" i="23"/>
  <c r="F306" i="23"/>
  <c r="E306" i="23"/>
  <c r="D306" i="23"/>
  <c r="C306" i="23"/>
  <c r="B306" i="23"/>
  <c r="F305" i="23"/>
  <c r="E305" i="23"/>
  <c r="D305" i="23"/>
  <c r="C305" i="23"/>
  <c r="B305" i="23"/>
  <c r="F304" i="23"/>
  <c r="E304" i="23"/>
  <c r="D304" i="23"/>
  <c r="C304" i="23"/>
  <c r="B304" i="23"/>
  <c r="O304" i="23" s="1"/>
  <c r="F303" i="23"/>
  <c r="E303" i="23"/>
  <c r="D303" i="23"/>
  <c r="C303" i="23"/>
  <c r="B303" i="23"/>
  <c r="F302" i="23"/>
  <c r="E302" i="23"/>
  <c r="D302" i="23"/>
  <c r="C302" i="23"/>
  <c r="B302" i="23"/>
  <c r="F301" i="23"/>
  <c r="E301" i="23"/>
  <c r="D301" i="23"/>
  <c r="C301" i="23"/>
  <c r="B301" i="23"/>
  <c r="F300" i="23"/>
  <c r="E300" i="23"/>
  <c r="D300" i="23"/>
  <c r="C300" i="23"/>
  <c r="B300" i="23"/>
  <c r="F299" i="23"/>
  <c r="E299" i="23"/>
  <c r="D299" i="23"/>
  <c r="C299" i="23"/>
  <c r="B299" i="23"/>
  <c r="F298" i="23"/>
  <c r="E298" i="23"/>
  <c r="D298" i="23"/>
  <c r="C298" i="23"/>
  <c r="B298" i="23"/>
  <c r="F297" i="23"/>
  <c r="E297" i="23"/>
  <c r="D297" i="23"/>
  <c r="C297" i="23"/>
  <c r="B297" i="23"/>
  <c r="F296" i="23"/>
  <c r="E296" i="23"/>
  <c r="D296" i="23"/>
  <c r="C296" i="23"/>
  <c r="B296" i="23"/>
  <c r="F295" i="23"/>
  <c r="E295" i="23"/>
  <c r="D295" i="23"/>
  <c r="C295" i="23"/>
  <c r="B295" i="23"/>
  <c r="F294" i="23"/>
  <c r="E294" i="23"/>
  <c r="D294" i="23"/>
  <c r="C294" i="23"/>
  <c r="B294" i="23"/>
  <c r="F293" i="23"/>
  <c r="E293" i="23"/>
  <c r="D293" i="23"/>
  <c r="C293" i="23"/>
  <c r="B293" i="23"/>
  <c r="F292" i="23"/>
  <c r="E292" i="23"/>
  <c r="D292" i="23"/>
  <c r="C292" i="23"/>
  <c r="B292" i="23"/>
  <c r="F291" i="23"/>
  <c r="E291" i="23"/>
  <c r="D291" i="23"/>
  <c r="C291" i="23"/>
  <c r="B291" i="23"/>
  <c r="F290" i="23"/>
  <c r="E290" i="23"/>
  <c r="D290" i="23"/>
  <c r="C290" i="23"/>
  <c r="B290" i="23"/>
  <c r="F289" i="23"/>
  <c r="E289" i="23"/>
  <c r="D289" i="23"/>
  <c r="C289" i="23"/>
  <c r="B289" i="23"/>
  <c r="F288" i="23"/>
  <c r="E288" i="23"/>
  <c r="D288" i="23"/>
  <c r="C288" i="23"/>
  <c r="B288" i="23"/>
  <c r="F287" i="23"/>
  <c r="E287" i="23"/>
  <c r="D287" i="23"/>
  <c r="C287" i="23"/>
  <c r="B287" i="23"/>
  <c r="F286" i="23"/>
  <c r="E286" i="23"/>
  <c r="D286" i="23"/>
  <c r="C286" i="23"/>
  <c r="B286" i="23"/>
  <c r="F285" i="23"/>
  <c r="E285" i="23"/>
  <c r="D285" i="23"/>
  <c r="C285" i="23"/>
  <c r="B285" i="23"/>
  <c r="F284" i="23"/>
  <c r="E284" i="23"/>
  <c r="D284" i="23"/>
  <c r="C284" i="23"/>
  <c r="B284" i="23"/>
  <c r="F283" i="23"/>
  <c r="E283" i="23"/>
  <c r="D283" i="23"/>
  <c r="C283" i="23"/>
  <c r="B283" i="23"/>
  <c r="F282" i="23"/>
  <c r="E282" i="23"/>
  <c r="D282" i="23"/>
  <c r="C282" i="23"/>
  <c r="B282" i="23"/>
  <c r="F281" i="23"/>
  <c r="E281" i="23"/>
  <c r="D281" i="23"/>
  <c r="C281" i="23"/>
  <c r="B281" i="23"/>
  <c r="F280" i="23"/>
  <c r="E280" i="23"/>
  <c r="D280" i="23"/>
  <c r="C280" i="23"/>
  <c r="B280" i="23"/>
  <c r="F279" i="23"/>
  <c r="E279" i="23"/>
  <c r="D279" i="23"/>
  <c r="C279" i="23"/>
  <c r="B279" i="23"/>
  <c r="F278" i="23"/>
  <c r="E278" i="23"/>
  <c r="D278" i="23"/>
  <c r="C278" i="23"/>
  <c r="B278" i="23"/>
  <c r="F277" i="23"/>
  <c r="E277" i="23"/>
  <c r="D277" i="23"/>
  <c r="C277" i="23"/>
  <c r="B277" i="23"/>
  <c r="F276" i="23"/>
  <c r="E276" i="23"/>
  <c r="D276" i="23"/>
  <c r="C276" i="23"/>
  <c r="B276" i="23"/>
  <c r="F275" i="23"/>
  <c r="E275" i="23"/>
  <c r="D275" i="23"/>
  <c r="C275" i="23"/>
  <c r="B275" i="23"/>
  <c r="F274" i="23"/>
  <c r="E274" i="23"/>
  <c r="D274" i="23"/>
  <c r="C274" i="23"/>
  <c r="B274" i="23"/>
  <c r="F273" i="23"/>
  <c r="E273" i="23"/>
  <c r="D273" i="23"/>
  <c r="C273" i="23"/>
  <c r="B273" i="23"/>
  <c r="F272" i="23"/>
  <c r="E272" i="23"/>
  <c r="D272" i="23"/>
  <c r="C272" i="23"/>
  <c r="B272" i="23"/>
  <c r="F271" i="23"/>
  <c r="E271" i="23"/>
  <c r="D271" i="23"/>
  <c r="C271" i="23"/>
  <c r="B271" i="23"/>
  <c r="F270" i="23"/>
  <c r="E270" i="23"/>
  <c r="D270" i="23"/>
  <c r="C270" i="23"/>
  <c r="B270" i="23"/>
  <c r="F269" i="23"/>
  <c r="E269" i="23"/>
  <c r="D269" i="23"/>
  <c r="C269" i="23"/>
  <c r="B269" i="23"/>
  <c r="F268" i="23"/>
  <c r="E268" i="23"/>
  <c r="D268" i="23"/>
  <c r="C268" i="23"/>
  <c r="B268" i="23"/>
  <c r="F267" i="23"/>
  <c r="E267" i="23"/>
  <c r="D267" i="23"/>
  <c r="C267" i="23"/>
  <c r="B267" i="23"/>
  <c r="F266" i="23"/>
  <c r="E266" i="23"/>
  <c r="D266" i="23"/>
  <c r="C266" i="23"/>
  <c r="B266" i="23"/>
  <c r="F265" i="23"/>
  <c r="E265" i="23"/>
  <c r="D265" i="23"/>
  <c r="C265" i="23"/>
  <c r="B265" i="23"/>
  <c r="F264" i="23"/>
  <c r="E264" i="23"/>
  <c r="D264" i="23"/>
  <c r="C264" i="23"/>
  <c r="B264" i="23"/>
  <c r="F263" i="23"/>
  <c r="E263" i="23"/>
  <c r="D263" i="23"/>
  <c r="C263" i="23"/>
  <c r="B263" i="23"/>
  <c r="F262" i="23"/>
  <c r="E262" i="23"/>
  <c r="D262" i="23"/>
  <c r="C262" i="23"/>
  <c r="B262" i="23"/>
  <c r="F261" i="23"/>
  <c r="E261" i="23"/>
  <c r="D261" i="23"/>
  <c r="C261" i="23"/>
  <c r="B261" i="23"/>
  <c r="F260" i="23"/>
  <c r="E260" i="23"/>
  <c r="D260" i="23"/>
  <c r="C260" i="23"/>
  <c r="B260" i="23"/>
  <c r="F259" i="23"/>
  <c r="E259" i="23"/>
  <c r="D259" i="23"/>
  <c r="C259" i="23"/>
  <c r="B259" i="23"/>
  <c r="F258" i="23"/>
  <c r="E258" i="23"/>
  <c r="D258" i="23"/>
  <c r="C258" i="23"/>
  <c r="B258" i="23"/>
  <c r="F257" i="23"/>
  <c r="E257" i="23"/>
  <c r="D257" i="23"/>
  <c r="C257" i="23"/>
  <c r="B257" i="23"/>
  <c r="F256" i="23"/>
  <c r="E256" i="23"/>
  <c r="D256" i="23"/>
  <c r="C256" i="23"/>
  <c r="B256" i="23"/>
  <c r="F255" i="23"/>
  <c r="E255" i="23"/>
  <c r="D255" i="23"/>
  <c r="C255" i="23"/>
  <c r="B255" i="23"/>
  <c r="F254" i="23"/>
  <c r="E254" i="23"/>
  <c r="D254" i="23"/>
  <c r="C254" i="23"/>
  <c r="B254" i="23"/>
  <c r="F253" i="23"/>
  <c r="E253" i="23"/>
  <c r="D253" i="23"/>
  <c r="C253" i="23"/>
  <c r="B253" i="23"/>
  <c r="F252" i="23"/>
  <c r="E252" i="23"/>
  <c r="D252" i="23"/>
  <c r="C252" i="23"/>
  <c r="B252" i="23"/>
  <c r="F251" i="23"/>
  <c r="E251" i="23"/>
  <c r="D251" i="23"/>
  <c r="C251" i="23"/>
  <c r="B251" i="23"/>
  <c r="F250" i="23"/>
  <c r="E250" i="23"/>
  <c r="D250" i="23"/>
  <c r="C250" i="23"/>
  <c r="B250" i="23"/>
  <c r="F249" i="23"/>
  <c r="E249" i="23"/>
  <c r="D249" i="23"/>
  <c r="C249" i="23"/>
  <c r="B249" i="23"/>
  <c r="F248" i="23"/>
  <c r="E248" i="23"/>
  <c r="D248" i="23"/>
  <c r="C248" i="23"/>
  <c r="B248" i="23"/>
  <c r="F247" i="23"/>
  <c r="E247" i="23"/>
  <c r="D247" i="23"/>
  <c r="C247" i="23"/>
  <c r="B247" i="23"/>
  <c r="F246" i="23"/>
  <c r="E246" i="23"/>
  <c r="D246" i="23"/>
  <c r="C246" i="23"/>
  <c r="B246" i="23"/>
  <c r="F245" i="23"/>
  <c r="E245" i="23"/>
  <c r="D245" i="23"/>
  <c r="C245" i="23"/>
  <c r="B245" i="23"/>
  <c r="F244" i="23"/>
  <c r="E244" i="23"/>
  <c r="D244" i="23"/>
  <c r="C244" i="23"/>
  <c r="B244" i="23"/>
  <c r="F243" i="23"/>
  <c r="E243" i="23"/>
  <c r="D243" i="23"/>
  <c r="C243" i="23"/>
  <c r="B243" i="23"/>
  <c r="F242" i="23"/>
  <c r="E242" i="23"/>
  <c r="D242" i="23"/>
  <c r="C242" i="23"/>
  <c r="B242" i="23"/>
  <c r="F241" i="23"/>
  <c r="E241" i="23"/>
  <c r="D241" i="23"/>
  <c r="C241" i="23"/>
  <c r="B241" i="23"/>
  <c r="F240" i="23"/>
  <c r="E240" i="23"/>
  <c r="D240" i="23"/>
  <c r="C240" i="23"/>
  <c r="B240" i="23"/>
  <c r="F239" i="23"/>
  <c r="E239" i="23"/>
  <c r="D239" i="23"/>
  <c r="C239" i="23"/>
  <c r="B239" i="23"/>
  <c r="F238" i="23"/>
  <c r="E238" i="23"/>
  <c r="D238" i="23"/>
  <c r="C238" i="23"/>
  <c r="B238" i="23"/>
  <c r="F237" i="23"/>
  <c r="E237" i="23"/>
  <c r="D237" i="23"/>
  <c r="C237" i="23"/>
  <c r="B237" i="23"/>
  <c r="F236" i="23"/>
  <c r="E236" i="23"/>
  <c r="D236" i="23"/>
  <c r="C236" i="23"/>
  <c r="B236" i="23"/>
  <c r="F235" i="23"/>
  <c r="E235" i="23"/>
  <c r="D235" i="23"/>
  <c r="C235" i="23"/>
  <c r="B235" i="23"/>
  <c r="F234" i="23"/>
  <c r="E234" i="23"/>
  <c r="D234" i="23"/>
  <c r="C234" i="23"/>
  <c r="B234" i="23"/>
  <c r="F233" i="23"/>
  <c r="E233" i="23"/>
  <c r="D233" i="23"/>
  <c r="C233" i="23"/>
  <c r="B233" i="23"/>
  <c r="F232" i="23"/>
  <c r="E232" i="23"/>
  <c r="D232" i="23"/>
  <c r="C232" i="23"/>
  <c r="B232" i="23"/>
  <c r="F231" i="23"/>
  <c r="E231" i="23"/>
  <c r="D231" i="23"/>
  <c r="C231" i="23"/>
  <c r="B231" i="23"/>
  <c r="F230" i="23"/>
  <c r="E230" i="23"/>
  <c r="D230" i="23"/>
  <c r="C230" i="23"/>
  <c r="B230" i="23"/>
  <c r="F229" i="23"/>
  <c r="E229" i="23"/>
  <c r="D229" i="23"/>
  <c r="C229" i="23"/>
  <c r="B229" i="23"/>
  <c r="F228" i="23"/>
  <c r="E228" i="23"/>
  <c r="D228" i="23"/>
  <c r="C228" i="23"/>
  <c r="B228" i="23"/>
  <c r="F227" i="23"/>
  <c r="E227" i="23"/>
  <c r="D227" i="23"/>
  <c r="C227" i="23"/>
  <c r="B227" i="23"/>
  <c r="F226" i="23"/>
  <c r="E226" i="23"/>
  <c r="D226" i="23"/>
  <c r="C226" i="23"/>
  <c r="B226" i="23"/>
  <c r="F225" i="23"/>
  <c r="E225" i="23"/>
  <c r="D225" i="23"/>
  <c r="C225" i="23"/>
  <c r="B225" i="23"/>
  <c r="F224" i="23"/>
  <c r="E224" i="23"/>
  <c r="D224" i="23"/>
  <c r="C224" i="23"/>
  <c r="B224" i="23"/>
  <c r="F223" i="23"/>
  <c r="E223" i="23"/>
  <c r="D223" i="23"/>
  <c r="C223" i="23"/>
  <c r="B223" i="23"/>
  <c r="F222" i="23"/>
  <c r="E222" i="23"/>
  <c r="D222" i="23"/>
  <c r="C222" i="23"/>
  <c r="B222" i="23"/>
  <c r="F221" i="23"/>
  <c r="E221" i="23"/>
  <c r="D221" i="23"/>
  <c r="C221" i="23"/>
  <c r="B221" i="23"/>
  <c r="F220" i="23"/>
  <c r="E220" i="23"/>
  <c r="D220" i="23"/>
  <c r="C220" i="23"/>
  <c r="B220" i="23"/>
  <c r="F219" i="23"/>
  <c r="E219" i="23"/>
  <c r="D219" i="23"/>
  <c r="C219" i="23"/>
  <c r="B219" i="23"/>
  <c r="F218" i="23"/>
  <c r="E218" i="23"/>
  <c r="D218" i="23"/>
  <c r="C218" i="23"/>
  <c r="B218" i="23"/>
  <c r="F217" i="23"/>
  <c r="E217" i="23"/>
  <c r="D217" i="23"/>
  <c r="C217" i="23"/>
  <c r="B217" i="23"/>
  <c r="F216" i="23"/>
  <c r="E216" i="23"/>
  <c r="D216" i="23"/>
  <c r="C216" i="23"/>
  <c r="B216" i="23"/>
  <c r="F215" i="23"/>
  <c r="E215" i="23"/>
  <c r="D215" i="23"/>
  <c r="C215" i="23"/>
  <c r="B215" i="23"/>
  <c r="F214" i="23"/>
  <c r="E214" i="23"/>
  <c r="D214" i="23"/>
  <c r="C214" i="23"/>
  <c r="B214" i="23"/>
  <c r="F213" i="23"/>
  <c r="E213" i="23"/>
  <c r="D213" i="23"/>
  <c r="C213" i="23"/>
  <c r="B213" i="23"/>
  <c r="F212" i="23"/>
  <c r="E212" i="23"/>
  <c r="D212" i="23"/>
  <c r="C212" i="23"/>
  <c r="B212" i="23"/>
  <c r="F211" i="23"/>
  <c r="E211" i="23"/>
  <c r="D211" i="23"/>
  <c r="C211" i="23"/>
  <c r="B211" i="23"/>
  <c r="F210" i="23"/>
  <c r="E210" i="23"/>
  <c r="D210" i="23"/>
  <c r="C210" i="23"/>
  <c r="B210" i="23"/>
  <c r="F209" i="23"/>
  <c r="E209" i="23"/>
  <c r="D209" i="23"/>
  <c r="C209" i="23"/>
  <c r="B209" i="23"/>
  <c r="F208" i="23"/>
  <c r="E208" i="23"/>
  <c r="D208" i="23"/>
  <c r="C208" i="23"/>
  <c r="B208" i="23"/>
  <c r="F207" i="23"/>
  <c r="E207" i="23"/>
  <c r="D207" i="23"/>
  <c r="C207" i="23"/>
  <c r="B207" i="23"/>
  <c r="F206" i="23"/>
  <c r="E206" i="23"/>
  <c r="D206" i="23"/>
  <c r="C206" i="23"/>
  <c r="B206" i="23"/>
  <c r="F205" i="23"/>
  <c r="E205" i="23"/>
  <c r="D205" i="23"/>
  <c r="C205" i="23"/>
  <c r="B205" i="23"/>
  <c r="F204" i="23"/>
  <c r="E204" i="23"/>
  <c r="D204" i="23"/>
  <c r="C204" i="23"/>
  <c r="B204" i="23"/>
  <c r="F203" i="23"/>
  <c r="E203" i="23"/>
  <c r="D203" i="23"/>
  <c r="C203" i="23"/>
  <c r="B203" i="23"/>
  <c r="F202" i="23"/>
  <c r="E202" i="23"/>
  <c r="D202" i="23"/>
  <c r="C202" i="23"/>
  <c r="B202" i="23"/>
  <c r="F201" i="23"/>
  <c r="E201" i="23"/>
  <c r="D201" i="23"/>
  <c r="C201" i="23"/>
  <c r="B201" i="23"/>
  <c r="F200" i="23"/>
  <c r="E200" i="23"/>
  <c r="D200" i="23"/>
  <c r="C200" i="23"/>
  <c r="B200" i="23"/>
  <c r="F199" i="23"/>
  <c r="E199" i="23"/>
  <c r="D199" i="23"/>
  <c r="C199" i="23"/>
  <c r="B199" i="23"/>
  <c r="F198" i="23"/>
  <c r="E198" i="23"/>
  <c r="D198" i="23"/>
  <c r="C198" i="23"/>
  <c r="B198" i="23"/>
  <c r="F197" i="23"/>
  <c r="E197" i="23"/>
  <c r="D197" i="23"/>
  <c r="C197" i="23"/>
  <c r="B197" i="23"/>
  <c r="F196" i="23"/>
  <c r="E196" i="23"/>
  <c r="D196" i="23"/>
  <c r="C196" i="23"/>
  <c r="B196" i="23"/>
  <c r="F195" i="23"/>
  <c r="E195" i="23"/>
  <c r="D195" i="23"/>
  <c r="C195" i="23"/>
  <c r="B195" i="23"/>
  <c r="F194" i="23"/>
  <c r="E194" i="23"/>
  <c r="D194" i="23"/>
  <c r="C194" i="23"/>
  <c r="B194" i="23"/>
  <c r="F193" i="23"/>
  <c r="E193" i="23"/>
  <c r="D193" i="23"/>
  <c r="C193" i="23"/>
  <c r="B193" i="23"/>
  <c r="F192" i="23"/>
  <c r="E192" i="23"/>
  <c r="D192" i="23"/>
  <c r="C192" i="23"/>
  <c r="B192" i="23"/>
  <c r="F191" i="23"/>
  <c r="E191" i="23"/>
  <c r="D191" i="23"/>
  <c r="C191" i="23"/>
  <c r="B191" i="23"/>
  <c r="F190" i="23"/>
  <c r="E190" i="23"/>
  <c r="D190" i="23"/>
  <c r="C190" i="23"/>
  <c r="B190" i="23"/>
  <c r="F189" i="23"/>
  <c r="E189" i="23"/>
  <c r="D189" i="23"/>
  <c r="C189" i="23"/>
  <c r="B189" i="23"/>
  <c r="F188" i="23"/>
  <c r="E188" i="23"/>
  <c r="D188" i="23"/>
  <c r="C188" i="23"/>
  <c r="B188" i="23"/>
  <c r="F187" i="23"/>
  <c r="E187" i="23"/>
  <c r="D187" i="23"/>
  <c r="C187" i="23"/>
  <c r="B187" i="23"/>
  <c r="F186" i="23"/>
  <c r="E186" i="23"/>
  <c r="D186" i="23"/>
  <c r="C186" i="23"/>
  <c r="B186" i="23"/>
  <c r="F185" i="23"/>
  <c r="E185" i="23"/>
  <c r="D185" i="23"/>
  <c r="C185" i="23"/>
  <c r="B185" i="23"/>
  <c r="F184" i="23"/>
  <c r="E184" i="23"/>
  <c r="D184" i="23"/>
  <c r="C184" i="23"/>
  <c r="B184" i="23"/>
  <c r="F183" i="23"/>
  <c r="E183" i="23"/>
  <c r="D183" i="23"/>
  <c r="C183" i="23"/>
  <c r="B183" i="23"/>
  <c r="F182" i="23"/>
  <c r="E182" i="23"/>
  <c r="D182" i="23"/>
  <c r="C182" i="23"/>
  <c r="B182" i="23"/>
  <c r="F181" i="23"/>
  <c r="E181" i="23"/>
  <c r="D181" i="23"/>
  <c r="C181" i="23"/>
  <c r="B181" i="23"/>
  <c r="F180" i="23"/>
  <c r="E180" i="23"/>
  <c r="D180" i="23"/>
  <c r="C180" i="23"/>
  <c r="B180" i="23"/>
  <c r="F179" i="23"/>
  <c r="E179" i="23"/>
  <c r="D179" i="23"/>
  <c r="C179" i="23"/>
  <c r="B179" i="23"/>
  <c r="F178" i="23"/>
  <c r="E178" i="23"/>
  <c r="D178" i="23"/>
  <c r="C178" i="23"/>
  <c r="B178" i="23"/>
  <c r="F177" i="23"/>
  <c r="E177" i="23"/>
  <c r="D177" i="23"/>
  <c r="C177" i="23"/>
  <c r="B177" i="23"/>
  <c r="F176" i="23"/>
  <c r="E176" i="23"/>
  <c r="D176" i="23"/>
  <c r="C176" i="23"/>
  <c r="B176" i="23"/>
  <c r="F175" i="23"/>
  <c r="E175" i="23"/>
  <c r="D175" i="23"/>
  <c r="C175" i="23"/>
  <c r="B175" i="23"/>
  <c r="F174" i="23"/>
  <c r="E174" i="23"/>
  <c r="D174" i="23"/>
  <c r="C174" i="23"/>
  <c r="B174" i="23"/>
  <c r="F173" i="23"/>
  <c r="E173" i="23"/>
  <c r="D173" i="23"/>
  <c r="C173" i="23"/>
  <c r="B173" i="23"/>
  <c r="F172" i="23"/>
  <c r="E172" i="23"/>
  <c r="D172" i="23"/>
  <c r="C172" i="23"/>
  <c r="B172" i="23"/>
  <c r="F171" i="23"/>
  <c r="E171" i="23"/>
  <c r="D171" i="23"/>
  <c r="C171" i="23"/>
  <c r="B171" i="23"/>
  <c r="F170" i="23"/>
  <c r="E170" i="23"/>
  <c r="D170" i="23"/>
  <c r="C170" i="23"/>
  <c r="B170" i="23"/>
  <c r="F169" i="23"/>
  <c r="E169" i="23"/>
  <c r="D169" i="23"/>
  <c r="C169" i="23"/>
  <c r="B169" i="23"/>
  <c r="F168" i="23"/>
  <c r="E168" i="23"/>
  <c r="D168" i="23"/>
  <c r="C168" i="23"/>
  <c r="B168" i="23"/>
  <c r="F167" i="23"/>
  <c r="E167" i="23"/>
  <c r="D167" i="23"/>
  <c r="C167" i="23"/>
  <c r="B167" i="23"/>
  <c r="F166" i="23"/>
  <c r="E166" i="23"/>
  <c r="D166" i="23"/>
  <c r="C166" i="23"/>
  <c r="B166" i="23"/>
  <c r="F165" i="23"/>
  <c r="E165" i="23"/>
  <c r="D165" i="23"/>
  <c r="C165" i="23"/>
  <c r="B165" i="23"/>
  <c r="F164" i="23"/>
  <c r="E164" i="23"/>
  <c r="D164" i="23"/>
  <c r="C164" i="23"/>
  <c r="B164" i="23"/>
  <c r="F163" i="23"/>
  <c r="E163" i="23"/>
  <c r="D163" i="23"/>
  <c r="C163" i="23"/>
  <c r="B163" i="23"/>
  <c r="F162" i="23"/>
  <c r="E162" i="23"/>
  <c r="D162" i="23"/>
  <c r="C162" i="23"/>
  <c r="B162" i="23"/>
  <c r="F161" i="23"/>
  <c r="E161" i="23"/>
  <c r="D161" i="23"/>
  <c r="C161" i="23"/>
  <c r="B161" i="23"/>
  <c r="F160" i="23"/>
  <c r="E160" i="23"/>
  <c r="D160" i="23"/>
  <c r="C160" i="23"/>
  <c r="B160" i="23"/>
  <c r="F159" i="23"/>
  <c r="E159" i="23"/>
  <c r="D159" i="23"/>
  <c r="C159" i="23"/>
  <c r="B159" i="23"/>
  <c r="F158" i="23"/>
  <c r="E158" i="23"/>
  <c r="D158" i="23"/>
  <c r="C158" i="23"/>
  <c r="B158" i="23"/>
  <c r="F157" i="23"/>
  <c r="E157" i="23"/>
  <c r="D157" i="23"/>
  <c r="C157" i="23"/>
  <c r="B157" i="23"/>
  <c r="F156" i="23"/>
  <c r="E156" i="23"/>
  <c r="D156" i="23"/>
  <c r="C156" i="23"/>
  <c r="B156" i="23"/>
  <c r="F155" i="23"/>
  <c r="E155" i="23"/>
  <c r="D155" i="23"/>
  <c r="C155" i="23"/>
  <c r="B155" i="23"/>
  <c r="F154" i="23"/>
  <c r="E154" i="23"/>
  <c r="D154" i="23"/>
  <c r="C154" i="23"/>
  <c r="B154" i="23"/>
  <c r="F153" i="23"/>
  <c r="E153" i="23"/>
  <c r="D153" i="23"/>
  <c r="C153" i="23"/>
  <c r="B153" i="23"/>
  <c r="F152" i="23"/>
  <c r="E152" i="23"/>
  <c r="D152" i="23"/>
  <c r="C152" i="23"/>
  <c r="B152" i="23"/>
  <c r="F151" i="23"/>
  <c r="E151" i="23"/>
  <c r="D151" i="23"/>
  <c r="C151" i="23"/>
  <c r="B151" i="23"/>
  <c r="F150" i="23"/>
  <c r="E150" i="23"/>
  <c r="D150" i="23"/>
  <c r="C150" i="23"/>
  <c r="B150" i="23"/>
  <c r="F149" i="23"/>
  <c r="E149" i="23"/>
  <c r="D149" i="23"/>
  <c r="C149" i="23"/>
  <c r="B149" i="23"/>
  <c r="F148" i="23"/>
  <c r="E148" i="23"/>
  <c r="D148" i="23"/>
  <c r="C148" i="23"/>
  <c r="B148" i="23"/>
  <c r="F147" i="23"/>
  <c r="E147" i="23"/>
  <c r="D147" i="23"/>
  <c r="C147" i="23"/>
  <c r="B147" i="23"/>
  <c r="F146" i="23"/>
  <c r="E146" i="23"/>
  <c r="D146" i="23"/>
  <c r="C146" i="23"/>
  <c r="B146" i="23"/>
  <c r="F145" i="23"/>
  <c r="E145" i="23"/>
  <c r="D145" i="23"/>
  <c r="C145" i="23"/>
  <c r="B145" i="23"/>
  <c r="F144" i="23"/>
  <c r="E144" i="23"/>
  <c r="D144" i="23"/>
  <c r="C144" i="23"/>
  <c r="B144" i="23"/>
  <c r="F143" i="23"/>
  <c r="E143" i="23"/>
  <c r="D143" i="23"/>
  <c r="C143" i="23"/>
  <c r="B143" i="23"/>
  <c r="F142" i="23"/>
  <c r="E142" i="23"/>
  <c r="D142" i="23"/>
  <c r="C142" i="23"/>
  <c r="B142" i="23"/>
  <c r="F141" i="23"/>
  <c r="E141" i="23"/>
  <c r="D141" i="23"/>
  <c r="C141" i="23"/>
  <c r="B141" i="23"/>
  <c r="F140" i="23"/>
  <c r="E140" i="23"/>
  <c r="D140" i="23"/>
  <c r="C140" i="23"/>
  <c r="B140" i="23"/>
  <c r="F139" i="23"/>
  <c r="E139" i="23"/>
  <c r="D139" i="23"/>
  <c r="C139" i="23"/>
  <c r="B139" i="23"/>
  <c r="F138" i="23"/>
  <c r="E138" i="23"/>
  <c r="D138" i="23"/>
  <c r="C138" i="23"/>
  <c r="B138" i="23"/>
  <c r="F137" i="23"/>
  <c r="E137" i="23"/>
  <c r="D137" i="23"/>
  <c r="C137" i="23"/>
  <c r="B137" i="23"/>
  <c r="F136" i="23"/>
  <c r="E136" i="23"/>
  <c r="D136" i="23"/>
  <c r="C136" i="23"/>
  <c r="B136" i="23"/>
  <c r="F135" i="23"/>
  <c r="E135" i="23"/>
  <c r="D135" i="23"/>
  <c r="C135" i="23"/>
  <c r="B135" i="23"/>
  <c r="F134" i="23"/>
  <c r="E134" i="23"/>
  <c r="D134" i="23"/>
  <c r="C134" i="23"/>
  <c r="B134" i="23"/>
  <c r="F133" i="23"/>
  <c r="E133" i="23"/>
  <c r="D133" i="23"/>
  <c r="C133" i="23"/>
  <c r="B133" i="23"/>
  <c r="F132" i="23"/>
  <c r="E132" i="23"/>
  <c r="D132" i="23"/>
  <c r="C132" i="23"/>
  <c r="B132" i="23"/>
  <c r="F131" i="23"/>
  <c r="E131" i="23"/>
  <c r="D131" i="23"/>
  <c r="C131" i="23"/>
  <c r="B131" i="23"/>
  <c r="F130" i="23"/>
  <c r="E130" i="23"/>
  <c r="D130" i="23"/>
  <c r="C130" i="23"/>
  <c r="B130" i="23"/>
  <c r="F129" i="23"/>
  <c r="E129" i="23"/>
  <c r="D129" i="23"/>
  <c r="C129" i="23"/>
  <c r="B129" i="23"/>
  <c r="F128" i="23"/>
  <c r="E128" i="23"/>
  <c r="D128" i="23"/>
  <c r="C128" i="23"/>
  <c r="B128" i="23"/>
  <c r="F127" i="23"/>
  <c r="E127" i="23"/>
  <c r="D127" i="23"/>
  <c r="C127" i="23"/>
  <c r="B127" i="23"/>
  <c r="F126" i="23"/>
  <c r="E126" i="23"/>
  <c r="D126" i="23"/>
  <c r="C126" i="23"/>
  <c r="B126" i="23"/>
  <c r="F125" i="23"/>
  <c r="E125" i="23"/>
  <c r="D125" i="23"/>
  <c r="C125" i="23"/>
  <c r="B125" i="23"/>
  <c r="F124" i="23"/>
  <c r="E124" i="23"/>
  <c r="D124" i="23"/>
  <c r="C124" i="23"/>
  <c r="B124" i="23"/>
  <c r="F123" i="23"/>
  <c r="E123" i="23"/>
  <c r="D123" i="23"/>
  <c r="C123" i="23"/>
  <c r="B123" i="23"/>
  <c r="F122" i="23"/>
  <c r="E122" i="23"/>
  <c r="D122" i="23"/>
  <c r="C122" i="23"/>
  <c r="B122" i="23"/>
  <c r="F121" i="23"/>
  <c r="E121" i="23"/>
  <c r="D121" i="23"/>
  <c r="C121" i="23"/>
  <c r="B121" i="23"/>
  <c r="F120" i="23"/>
  <c r="E120" i="23"/>
  <c r="D120" i="23"/>
  <c r="C120" i="23"/>
  <c r="B120" i="23"/>
  <c r="F119" i="23"/>
  <c r="E119" i="23"/>
  <c r="D119" i="23"/>
  <c r="C119" i="23"/>
  <c r="B119" i="23"/>
  <c r="F118" i="23"/>
  <c r="E118" i="23"/>
  <c r="D118" i="23"/>
  <c r="C118" i="23"/>
  <c r="B118" i="23"/>
  <c r="F117" i="23"/>
  <c r="E117" i="23"/>
  <c r="D117" i="23"/>
  <c r="C117" i="23"/>
  <c r="B117" i="23"/>
  <c r="F116" i="23"/>
  <c r="E116" i="23"/>
  <c r="D116" i="23"/>
  <c r="C116" i="23"/>
  <c r="B116" i="23"/>
  <c r="F115" i="23"/>
  <c r="E115" i="23"/>
  <c r="D115" i="23"/>
  <c r="C115" i="23"/>
  <c r="B115" i="23"/>
  <c r="F114" i="23"/>
  <c r="E114" i="23"/>
  <c r="D114" i="23"/>
  <c r="C114" i="23"/>
  <c r="B114" i="23"/>
  <c r="F113" i="23"/>
  <c r="E113" i="23"/>
  <c r="D113" i="23"/>
  <c r="C113" i="23"/>
  <c r="B113" i="23"/>
  <c r="F112" i="23"/>
  <c r="E112" i="23"/>
  <c r="D112" i="23"/>
  <c r="C112" i="23"/>
  <c r="B112" i="23"/>
  <c r="F111" i="23"/>
  <c r="E111" i="23"/>
  <c r="D111" i="23"/>
  <c r="C111" i="23"/>
  <c r="B111" i="23"/>
  <c r="F110" i="23"/>
  <c r="E110" i="23"/>
  <c r="D110" i="23"/>
  <c r="C110" i="23"/>
  <c r="B110" i="23"/>
  <c r="F109" i="23"/>
  <c r="E109" i="23"/>
  <c r="D109" i="23"/>
  <c r="C109" i="23"/>
  <c r="B109" i="23"/>
  <c r="F108" i="23"/>
  <c r="E108" i="23"/>
  <c r="D108" i="23"/>
  <c r="C108" i="23"/>
  <c r="B108" i="23"/>
  <c r="F107" i="23"/>
  <c r="E107" i="23"/>
  <c r="D107" i="23"/>
  <c r="C107" i="23"/>
  <c r="B107" i="23"/>
  <c r="F106" i="23"/>
  <c r="E106" i="23"/>
  <c r="D106" i="23"/>
  <c r="C106" i="23"/>
  <c r="B106" i="23"/>
  <c r="F105" i="23"/>
  <c r="E105" i="23"/>
  <c r="D105" i="23"/>
  <c r="C105" i="23"/>
  <c r="B105" i="23"/>
  <c r="F104" i="23"/>
  <c r="E104" i="23"/>
  <c r="D104" i="23"/>
  <c r="C104" i="23"/>
  <c r="B104" i="23"/>
  <c r="F103" i="23"/>
  <c r="E103" i="23"/>
  <c r="D103" i="23"/>
  <c r="C103" i="23"/>
  <c r="B103" i="23"/>
  <c r="F102" i="23"/>
  <c r="E102" i="23"/>
  <c r="D102" i="23"/>
  <c r="C102" i="23"/>
  <c r="B102" i="23"/>
  <c r="F101" i="23"/>
  <c r="E101" i="23"/>
  <c r="D101" i="23"/>
  <c r="C101" i="23"/>
  <c r="B101" i="23"/>
  <c r="F100" i="23"/>
  <c r="E100" i="23"/>
  <c r="D100" i="23"/>
  <c r="C100" i="23"/>
  <c r="B100" i="23"/>
  <c r="F99" i="23"/>
  <c r="E99" i="23"/>
  <c r="D99" i="23"/>
  <c r="C99" i="23"/>
  <c r="B99" i="23"/>
  <c r="F98" i="23"/>
  <c r="E98" i="23"/>
  <c r="D98" i="23"/>
  <c r="C98" i="23"/>
  <c r="B98" i="23"/>
  <c r="F97" i="23"/>
  <c r="E97" i="23"/>
  <c r="D97" i="23"/>
  <c r="C97" i="23"/>
  <c r="B97" i="23"/>
  <c r="F96" i="23"/>
  <c r="E96" i="23"/>
  <c r="D96" i="23"/>
  <c r="C96" i="23"/>
  <c r="B96" i="23"/>
  <c r="F95" i="23"/>
  <c r="E95" i="23"/>
  <c r="D95" i="23"/>
  <c r="C95" i="23"/>
  <c r="B95" i="23"/>
  <c r="F94" i="23"/>
  <c r="E94" i="23"/>
  <c r="D94" i="23"/>
  <c r="C94" i="23"/>
  <c r="B94" i="23"/>
  <c r="F93" i="23"/>
  <c r="E93" i="23"/>
  <c r="D93" i="23"/>
  <c r="C93" i="23"/>
  <c r="B93" i="23"/>
  <c r="F92" i="23"/>
  <c r="E92" i="23"/>
  <c r="D92" i="23"/>
  <c r="C92" i="23"/>
  <c r="B92" i="23"/>
  <c r="F91" i="23"/>
  <c r="E91" i="23"/>
  <c r="D91" i="23"/>
  <c r="C91" i="23"/>
  <c r="B91" i="23"/>
  <c r="F90" i="23"/>
  <c r="E90" i="23"/>
  <c r="D90" i="23"/>
  <c r="C90" i="23"/>
  <c r="B90" i="23"/>
  <c r="F89" i="23"/>
  <c r="E89" i="23"/>
  <c r="D89" i="23"/>
  <c r="C89" i="23"/>
  <c r="B89" i="23"/>
  <c r="F88" i="23"/>
  <c r="E88" i="23"/>
  <c r="D88" i="23"/>
  <c r="C88" i="23"/>
  <c r="B88" i="23"/>
  <c r="F87" i="23"/>
  <c r="E87" i="23"/>
  <c r="D87" i="23"/>
  <c r="C87" i="23"/>
  <c r="B87" i="23"/>
  <c r="F86" i="23"/>
  <c r="E86" i="23"/>
  <c r="D86" i="23"/>
  <c r="C86" i="23"/>
  <c r="B86" i="23"/>
  <c r="F85" i="23"/>
  <c r="E85" i="23"/>
  <c r="D85" i="23"/>
  <c r="C85" i="23"/>
  <c r="B85" i="23"/>
  <c r="F84" i="23"/>
  <c r="E84" i="23"/>
  <c r="D84" i="23"/>
  <c r="C84" i="23"/>
  <c r="B84" i="23"/>
  <c r="F83" i="23"/>
  <c r="E83" i="23"/>
  <c r="D83" i="23"/>
  <c r="C83" i="23"/>
  <c r="B83" i="23"/>
  <c r="F82" i="23"/>
  <c r="E82" i="23"/>
  <c r="D82" i="23"/>
  <c r="C82" i="23"/>
  <c r="B82" i="23"/>
  <c r="F81" i="23"/>
  <c r="E81" i="23"/>
  <c r="D81" i="23"/>
  <c r="C81" i="23"/>
  <c r="B81" i="23"/>
  <c r="F80" i="23"/>
  <c r="E80" i="23"/>
  <c r="D80" i="23"/>
  <c r="C80" i="23"/>
  <c r="B80" i="23"/>
  <c r="F79" i="23"/>
  <c r="E79" i="23"/>
  <c r="D79" i="23"/>
  <c r="C79" i="23"/>
  <c r="B79" i="23"/>
  <c r="F78" i="23"/>
  <c r="E78" i="23"/>
  <c r="D78" i="23"/>
  <c r="C78" i="23"/>
  <c r="B78" i="23"/>
  <c r="F77" i="23"/>
  <c r="E77" i="23"/>
  <c r="D77" i="23"/>
  <c r="C77" i="23"/>
  <c r="B77" i="23"/>
  <c r="F76" i="23"/>
  <c r="E76" i="23"/>
  <c r="D76" i="23"/>
  <c r="C76" i="23"/>
  <c r="B76" i="23"/>
  <c r="F75" i="23"/>
  <c r="E75" i="23"/>
  <c r="D75" i="23"/>
  <c r="C75" i="23"/>
  <c r="B75" i="23"/>
  <c r="F74" i="23"/>
  <c r="E74" i="23"/>
  <c r="D74" i="23"/>
  <c r="C74" i="23"/>
  <c r="B74" i="23"/>
  <c r="F73" i="23"/>
  <c r="E73" i="23"/>
  <c r="D73" i="23"/>
  <c r="C73" i="23"/>
  <c r="B73" i="23"/>
  <c r="F72" i="23"/>
  <c r="E72" i="23"/>
  <c r="D72" i="23"/>
  <c r="C72" i="23"/>
  <c r="B72" i="23"/>
  <c r="F71" i="23"/>
  <c r="E71" i="23"/>
  <c r="D71" i="23"/>
  <c r="C71" i="23"/>
  <c r="B71" i="23"/>
  <c r="F70" i="23"/>
  <c r="E70" i="23"/>
  <c r="D70" i="23"/>
  <c r="C70" i="23"/>
  <c r="B70" i="23"/>
  <c r="F69" i="23"/>
  <c r="E69" i="23"/>
  <c r="D69" i="23"/>
  <c r="C69" i="23"/>
  <c r="B69" i="23"/>
  <c r="F68" i="23"/>
  <c r="E68" i="23"/>
  <c r="D68" i="23"/>
  <c r="C68" i="23"/>
  <c r="B68" i="23"/>
  <c r="F67" i="23"/>
  <c r="E67" i="23"/>
  <c r="D67" i="23"/>
  <c r="C67" i="23"/>
  <c r="B67" i="23"/>
  <c r="F66" i="23"/>
  <c r="E66" i="23"/>
  <c r="D66" i="23"/>
  <c r="C66" i="23"/>
  <c r="B66" i="23"/>
  <c r="F65" i="23"/>
  <c r="E65" i="23"/>
  <c r="D65" i="23"/>
  <c r="C65" i="23"/>
  <c r="B65" i="23"/>
  <c r="F64" i="23"/>
  <c r="E64" i="23"/>
  <c r="D64" i="23"/>
  <c r="C64" i="23"/>
  <c r="B64" i="23"/>
  <c r="F63" i="23"/>
  <c r="E63" i="23"/>
  <c r="D63" i="23"/>
  <c r="C63" i="23"/>
  <c r="B63" i="23"/>
  <c r="F62" i="23"/>
  <c r="E62" i="23"/>
  <c r="D62" i="23"/>
  <c r="C62" i="23"/>
  <c r="B62" i="23"/>
  <c r="F61" i="23"/>
  <c r="E61" i="23"/>
  <c r="D61" i="23"/>
  <c r="C61" i="23"/>
  <c r="B61" i="23"/>
  <c r="F60" i="23"/>
  <c r="E60" i="23"/>
  <c r="D60" i="23"/>
  <c r="C60" i="23"/>
  <c r="B60" i="23"/>
  <c r="F59" i="23"/>
  <c r="E59" i="23"/>
  <c r="D59" i="23"/>
  <c r="C59" i="23"/>
  <c r="B59" i="23"/>
  <c r="F58" i="23"/>
  <c r="E58" i="23"/>
  <c r="D58" i="23"/>
  <c r="C58" i="23"/>
  <c r="B58" i="23"/>
  <c r="F57" i="23"/>
  <c r="E57" i="23"/>
  <c r="D57" i="23"/>
  <c r="C57" i="23"/>
  <c r="B57" i="23"/>
  <c r="F56" i="23"/>
  <c r="E56" i="23"/>
  <c r="D56" i="23"/>
  <c r="C56" i="23"/>
  <c r="B56" i="23"/>
  <c r="F55" i="23"/>
  <c r="E55" i="23"/>
  <c r="D55" i="23"/>
  <c r="C55" i="23"/>
  <c r="B55" i="23"/>
  <c r="F54" i="23"/>
  <c r="E54" i="23"/>
  <c r="D54" i="23"/>
  <c r="C54" i="23"/>
  <c r="B54" i="23"/>
  <c r="F53" i="23"/>
  <c r="E53" i="23"/>
  <c r="D53" i="23"/>
  <c r="C53" i="23"/>
  <c r="B53" i="23"/>
  <c r="F52" i="23"/>
  <c r="E52" i="23"/>
  <c r="D52" i="23"/>
  <c r="C52" i="23"/>
  <c r="B52" i="23"/>
  <c r="F51" i="23"/>
  <c r="E51" i="23"/>
  <c r="D51" i="23"/>
  <c r="C51" i="23"/>
  <c r="B51" i="23"/>
  <c r="F50" i="23"/>
  <c r="E50" i="23"/>
  <c r="D50" i="23"/>
  <c r="C50" i="23"/>
  <c r="B50" i="23"/>
  <c r="F49" i="23"/>
  <c r="E49" i="23"/>
  <c r="D49" i="23"/>
  <c r="C49" i="23"/>
  <c r="B49" i="23"/>
  <c r="F48" i="23"/>
  <c r="E48" i="23"/>
  <c r="D48" i="23"/>
  <c r="C48" i="23"/>
  <c r="B48" i="23"/>
  <c r="F47" i="23"/>
  <c r="E47" i="23"/>
  <c r="D47" i="23"/>
  <c r="C47" i="23"/>
  <c r="B47" i="23"/>
  <c r="F46" i="23"/>
  <c r="E46" i="23"/>
  <c r="D46" i="23"/>
  <c r="C46" i="23"/>
  <c r="B46" i="23"/>
  <c r="F45" i="23"/>
  <c r="E45" i="23"/>
  <c r="D45" i="23"/>
  <c r="C45" i="23"/>
  <c r="B45" i="23"/>
  <c r="F44" i="23"/>
  <c r="E44" i="23"/>
  <c r="D44" i="23"/>
  <c r="C44" i="23"/>
  <c r="B44" i="23"/>
  <c r="F43" i="23"/>
  <c r="E43" i="23"/>
  <c r="D43" i="23"/>
  <c r="C43" i="23"/>
  <c r="B43" i="23"/>
  <c r="F42" i="23"/>
  <c r="E42" i="23"/>
  <c r="D42" i="23"/>
  <c r="C42" i="23"/>
  <c r="B42" i="23"/>
  <c r="F41" i="23"/>
  <c r="E41" i="23"/>
  <c r="D41" i="23"/>
  <c r="C41" i="23"/>
  <c r="B41" i="23"/>
  <c r="F40" i="23"/>
  <c r="E40" i="23"/>
  <c r="D40" i="23"/>
  <c r="C40" i="23"/>
  <c r="B40" i="23"/>
  <c r="F39" i="23"/>
  <c r="E39" i="23"/>
  <c r="D39" i="23"/>
  <c r="C39" i="23"/>
  <c r="B39" i="23"/>
  <c r="F38" i="23"/>
  <c r="E38" i="23"/>
  <c r="D38" i="23"/>
  <c r="C38" i="23"/>
  <c r="B38" i="23"/>
  <c r="F37" i="23"/>
  <c r="E37" i="23"/>
  <c r="D37" i="23"/>
  <c r="C37" i="23"/>
  <c r="B37" i="23"/>
  <c r="F36" i="23"/>
  <c r="E36" i="23"/>
  <c r="D36" i="23"/>
  <c r="C36" i="23"/>
  <c r="B36" i="23"/>
  <c r="F35" i="23"/>
  <c r="E35" i="23"/>
  <c r="D35" i="23"/>
  <c r="C35" i="23"/>
  <c r="B35" i="23"/>
  <c r="F34" i="23"/>
  <c r="E34" i="23"/>
  <c r="D34" i="23"/>
  <c r="C34" i="23"/>
  <c r="B34" i="23"/>
  <c r="F33" i="23"/>
  <c r="E33" i="23"/>
  <c r="D33" i="23"/>
  <c r="C33" i="23"/>
  <c r="B33" i="23"/>
  <c r="F32" i="23"/>
  <c r="E32" i="23"/>
  <c r="D32" i="23"/>
  <c r="C32" i="23"/>
  <c r="B32" i="23"/>
  <c r="F31" i="23"/>
  <c r="E31" i="23"/>
  <c r="D31" i="23"/>
  <c r="C31" i="23"/>
  <c r="B31" i="23"/>
  <c r="F30" i="23"/>
  <c r="E30" i="23"/>
  <c r="D30" i="23"/>
  <c r="C30" i="23"/>
  <c r="B30" i="23"/>
  <c r="F29" i="23"/>
  <c r="E29" i="23"/>
  <c r="D29" i="23"/>
  <c r="C29" i="23"/>
  <c r="B29" i="23"/>
  <c r="F28" i="23"/>
  <c r="E28" i="23"/>
  <c r="D28" i="23"/>
  <c r="C28" i="23"/>
  <c r="B28" i="23"/>
  <c r="F27" i="23"/>
  <c r="E27" i="23"/>
  <c r="D27" i="23"/>
  <c r="C27" i="23"/>
  <c r="B27" i="23"/>
  <c r="F26" i="23"/>
  <c r="E26" i="23"/>
  <c r="D26" i="23"/>
  <c r="C26" i="23"/>
  <c r="B26" i="23"/>
  <c r="F25" i="23"/>
  <c r="E25" i="23"/>
  <c r="D25" i="23"/>
  <c r="C25" i="23"/>
  <c r="B25" i="23"/>
  <c r="F24" i="23"/>
  <c r="E24" i="23"/>
  <c r="D24" i="23"/>
  <c r="C24" i="23"/>
  <c r="B24" i="23"/>
  <c r="F23" i="23"/>
  <c r="E23" i="23"/>
  <c r="D23" i="23"/>
  <c r="C23" i="23"/>
  <c r="B23" i="23"/>
  <c r="F22" i="23"/>
  <c r="E22" i="23"/>
  <c r="D22" i="23"/>
  <c r="C22" i="23"/>
  <c r="B22" i="23"/>
  <c r="F21" i="23"/>
  <c r="E21" i="23"/>
  <c r="D21" i="23"/>
  <c r="C21" i="23"/>
  <c r="B21" i="23"/>
  <c r="F20" i="23"/>
  <c r="E20" i="23"/>
  <c r="D20" i="23"/>
  <c r="C20" i="23"/>
  <c r="B20" i="23"/>
  <c r="F19" i="23"/>
  <c r="E19" i="23"/>
  <c r="D19" i="23"/>
  <c r="C19" i="23"/>
  <c r="B19" i="23"/>
  <c r="F18" i="23"/>
  <c r="E18" i="23"/>
  <c r="D18" i="23"/>
  <c r="C18" i="23"/>
  <c r="B18" i="23"/>
  <c r="F17" i="23"/>
  <c r="E17" i="23"/>
  <c r="D17" i="23"/>
  <c r="C17" i="23"/>
  <c r="B17" i="23"/>
  <c r="F16" i="23"/>
  <c r="E16" i="23"/>
  <c r="D16" i="23"/>
  <c r="C16" i="23"/>
  <c r="B16" i="23"/>
  <c r="F15" i="23"/>
  <c r="E15" i="23"/>
  <c r="D15" i="23"/>
  <c r="C15" i="23"/>
  <c r="B15" i="23"/>
  <c r="F14" i="23"/>
  <c r="E14" i="23"/>
  <c r="D14" i="23"/>
  <c r="C14" i="23"/>
  <c r="B14" i="23"/>
  <c r="F13" i="23"/>
  <c r="E13" i="23"/>
  <c r="D13" i="23"/>
  <c r="C13" i="23"/>
  <c r="B13" i="23"/>
  <c r="F12" i="23"/>
  <c r="E12" i="23"/>
  <c r="D12" i="23"/>
  <c r="C12" i="23"/>
  <c r="B12" i="23"/>
  <c r="F11" i="23"/>
  <c r="E11" i="23"/>
  <c r="D11" i="23"/>
  <c r="C11" i="23"/>
  <c r="B11" i="23"/>
  <c r="F10" i="23"/>
  <c r="E10" i="23"/>
  <c r="D10" i="23"/>
  <c r="C10" i="23"/>
  <c r="B10" i="23"/>
  <c r="F9" i="23"/>
  <c r="E9" i="23"/>
  <c r="D9" i="23"/>
  <c r="C9" i="23"/>
  <c r="B9" i="23"/>
  <c r="F8" i="23"/>
  <c r="E8" i="23"/>
  <c r="D8" i="23"/>
  <c r="C8" i="23"/>
  <c r="B8" i="23"/>
  <c r="F7" i="23"/>
  <c r="E7" i="23"/>
  <c r="D7" i="23"/>
  <c r="C7" i="23"/>
  <c r="B7" i="23"/>
  <c r="C5" i="23"/>
  <c r="I261" i="21"/>
  <c r="AP261" i="21" s="1"/>
  <c r="H261" i="21"/>
  <c r="F261" i="21"/>
  <c r="G261" i="21" s="1"/>
  <c r="E260" i="21"/>
  <c r="D260" i="21" s="1"/>
  <c r="C260" i="21"/>
  <c r="B260" i="21"/>
  <c r="E259" i="21"/>
  <c r="H259" i="21" s="1"/>
  <c r="C259" i="21"/>
  <c r="B259" i="21"/>
  <c r="H258" i="21"/>
  <c r="F258" i="21"/>
  <c r="G258" i="21" s="1"/>
  <c r="E257" i="21"/>
  <c r="C257" i="21"/>
  <c r="B257" i="21"/>
  <c r="E256" i="21"/>
  <c r="H256" i="21" s="1"/>
  <c r="C256" i="21"/>
  <c r="B256" i="21"/>
  <c r="E255" i="21"/>
  <c r="H255" i="21" s="1"/>
  <c r="C255" i="21"/>
  <c r="B255" i="21"/>
  <c r="H254" i="21"/>
  <c r="G254" i="21"/>
  <c r="F254" i="21"/>
  <c r="H253" i="21"/>
  <c r="F253" i="21"/>
  <c r="G253" i="21" s="1"/>
  <c r="H252" i="21"/>
  <c r="F252" i="21"/>
  <c r="G252" i="21" s="1"/>
  <c r="E251" i="21"/>
  <c r="H251" i="21" s="1"/>
  <c r="C251" i="21"/>
  <c r="B251" i="21"/>
  <c r="H250" i="21"/>
  <c r="F250" i="21"/>
  <c r="G250" i="21" s="1"/>
  <c r="E249" i="21"/>
  <c r="D249" i="21" s="1"/>
  <c r="C249" i="21"/>
  <c r="B249" i="21"/>
  <c r="H248" i="21"/>
  <c r="F248" i="21"/>
  <c r="G248" i="21" s="1"/>
  <c r="H247" i="21"/>
  <c r="F247" i="21"/>
  <c r="G247" i="21" s="1"/>
  <c r="H246" i="21"/>
  <c r="F246" i="21"/>
  <c r="G246" i="21" s="1"/>
  <c r="E245" i="21"/>
  <c r="C245" i="21"/>
  <c r="B245" i="21"/>
  <c r="H244" i="21"/>
  <c r="F244" i="21"/>
  <c r="G244" i="21" s="1"/>
  <c r="E243" i="21"/>
  <c r="C243" i="21"/>
  <c r="B243" i="21"/>
  <c r="H242" i="21"/>
  <c r="F242" i="21"/>
  <c r="G242" i="21" s="1"/>
  <c r="E241" i="21"/>
  <c r="F241" i="21" s="1"/>
  <c r="C241" i="21"/>
  <c r="B241" i="21"/>
  <c r="H240" i="21"/>
  <c r="F240" i="21"/>
  <c r="G240" i="21" s="1"/>
  <c r="H239" i="21"/>
  <c r="F239" i="21"/>
  <c r="G239" i="21" s="1"/>
  <c r="E238" i="21"/>
  <c r="C238" i="21"/>
  <c r="B238" i="21"/>
  <c r="E237" i="21"/>
  <c r="F237" i="21" s="1"/>
  <c r="C237" i="21"/>
  <c r="B237" i="21"/>
  <c r="H236" i="21"/>
  <c r="F236" i="21"/>
  <c r="G236" i="21" s="1"/>
  <c r="H235" i="21"/>
  <c r="F235" i="21"/>
  <c r="G235" i="21" s="1"/>
  <c r="H234" i="21"/>
  <c r="G234" i="21"/>
  <c r="F234" i="21"/>
  <c r="H233" i="21"/>
  <c r="F233" i="21"/>
  <c r="G233" i="21" s="1"/>
  <c r="H232" i="21"/>
  <c r="F232" i="21"/>
  <c r="G232" i="21" s="1"/>
  <c r="H231" i="21"/>
  <c r="F231" i="21"/>
  <c r="G231" i="21" s="1"/>
  <c r="E230" i="21"/>
  <c r="C230" i="21"/>
  <c r="B230" i="21"/>
  <c r="H229" i="21"/>
  <c r="F229" i="21"/>
  <c r="G229" i="21" s="1"/>
  <c r="H228" i="21"/>
  <c r="F228" i="21"/>
  <c r="G228" i="21" s="1"/>
  <c r="H227" i="21"/>
  <c r="F227" i="21"/>
  <c r="G227" i="21" s="1"/>
  <c r="H226" i="21"/>
  <c r="F226" i="21"/>
  <c r="G226" i="21" s="1"/>
  <c r="E225" i="21"/>
  <c r="D225" i="21" s="1"/>
  <c r="C225" i="21"/>
  <c r="B225" i="21"/>
  <c r="H224" i="21"/>
  <c r="F224" i="21"/>
  <c r="G224" i="21" s="1"/>
  <c r="H223" i="21"/>
  <c r="F223" i="21"/>
  <c r="G223" i="21" s="1"/>
  <c r="E222" i="21"/>
  <c r="H222" i="21" s="1"/>
  <c r="C222" i="21"/>
  <c r="B222" i="21"/>
  <c r="H221" i="21"/>
  <c r="F221" i="21"/>
  <c r="G221" i="21" s="1"/>
  <c r="H220" i="21"/>
  <c r="F220" i="21"/>
  <c r="G220" i="21" s="1"/>
  <c r="H219" i="21"/>
  <c r="F219" i="21"/>
  <c r="G219" i="21" s="1"/>
  <c r="H218" i="21"/>
  <c r="F218" i="21"/>
  <c r="G218" i="21" s="1"/>
  <c r="H217" i="21"/>
  <c r="F217" i="21"/>
  <c r="G217" i="21" s="1"/>
  <c r="H216" i="21"/>
  <c r="F216" i="21"/>
  <c r="G216" i="21" s="1"/>
  <c r="E215" i="21"/>
  <c r="C215" i="21"/>
  <c r="B215" i="21"/>
  <c r="H214" i="21"/>
  <c r="F214" i="21"/>
  <c r="G214" i="21" s="1"/>
  <c r="H213" i="21"/>
  <c r="F213" i="21"/>
  <c r="G213" i="21" s="1"/>
  <c r="H212" i="21"/>
  <c r="F212" i="21"/>
  <c r="G212" i="21" s="1"/>
  <c r="E211" i="21"/>
  <c r="H211" i="21" s="1"/>
  <c r="C211" i="21"/>
  <c r="B211" i="21"/>
  <c r="E210" i="21"/>
  <c r="F210" i="21" s="1"/>
  <c r="C210" i="21"/>
  <c r="B210" i="21"/>
  <c r="E209" i="21"/>
  <c r="H209" i="21" s="1"/>
  <c r="C209" i="21"/>
  <c r="B209" i="21"/>
  <c r="E208" i="21"/>
  <c r="F208" i="21" s="1"/>
  <c r="C208" i="21"/>
  <c r="B208" i="21"/>
  <c r="H207" i="21"/>
  <c r="F207" i="21"/>
  <c r="G207" i="21" s="1"/>
  <c r="H206" i="21"/>
  <c r="F206" i="21"/>
  <c r="G206" i="21" s="1"/>
  <c r="H205" i="21"/>
  <c r="F205" i="21"/>
  <c r="G205" i="21" s="1"/>
  <c r="H204" i="21"/>
  <c r="F204" i="21"/>
  <c r="G204" i="21" s="1"/>
  <c r="E203" i="21"/>
  <c r="F203" i="21" s="1"/>
  <c r="C203" i="21"/>
  <c r="B203" i="21"/>
  <c r="H202" i="21"/>
  <c r="F202" i="21"/>
  <c r="G202" i="21" s="1"/>
  <c r="H201" i="21"/>
  <c r="F201" i="21"/>
  <c r="G201" i="21" s="1"/>
  <c r="H200" i="21"/>
  <c r="F200" i="21"/>
  <c r="G200" i="21" s="1"/>
  <c r="H199" i="21"/>
  <c r="F199" i="21"/>
  <c r="G199" i="21" s="1"/>
  <c r="E198" i="21"/>
  <c r="F198" i="21" s="1"/>
  <c r="C198" i="21"/>
  <c r="B198" i="21"/>
  <c r="H197" i="21"/>
  <c r="F197" i="21"/>
  <c r="G197" i="21" s="1"/>
  <c r="H196" i="21"/>
  <c r="F196" i="21"/>
  <c r="G196" i="21" s="1"/>
  <c r="H195" i="21"/>
  <c r="F195" i="21"/>
  <c r="G195" i="21" s="1"/>
  <c r="H194" i="21"/>
  <c r="F194" i="21"/>
  <c r="G194" i="21" s="1"/>
  <c r="H193" i="21"/>
  <c r="F193" i="21"/>
  <c r="G193" i="21" s="1"/>
  <c r="H192" i="21"/>
  <c r="F192" i="21"/>
  <c r="G192" i="21" s="1"/>
  <c r="H191" i="21"/>
  <c r="F191" i="21"/>
  <c r="G191" i="21" s="1"/>
  <c r="H190" i="21"/>
  <c r="F190" i="21"/>
  <c r="G190" i="21" s="1"/>
  <c r="H189" i="21"/>
  <c r="F189" i="21"/>
  <c r="G189" i="21" s="1"/>
  <c r="H188" i="21"/>
  <c r="F188" i="21"/>
  <c r="G188" i="21" s="1"/>
  <c r="H187" i="21"/>
  <c r="F187" i="21"/>
  <c r="G187" i="21" s="1"/>
  <c r="H186" i="21"/>
  <c r="F186" i="21"/>
  <c r="G186" i="21" s="1"/>
  <c r="H185" i="21"/>
  <c r="F185" i="21"/>
  <c r="G185" i="21" s="1"/>
  <c r="H184" i="21"/>
  <c r="F184" i="21"/>
  <c r="G184" i="21" s="1"/>
  <c r="H183" i="21"/>
  <c r="F183" i="21"/>
  <c r="G183" i="21" s="1"/>
  <c r="H182" i="21"/>
  <c r="F182" i="21"/>
  <c r="G182" i="21" s="1"/>
  <c r="H181" i="21"/>
  <c r="F181" i="21"/>
  <c r="G181" i="21" s="1"/>
  <c r="H180" i="21"/>
  <c r="F180" i="21"/>
  <c r="G180" i="21" s="1"/>
  <c r="H179" i="21"/>
  <c r="F179" i="21"/>
  <c r="G179" i="21" s="1"/>
  <c r="H178" i="21"/>
  <c r="F178" i="21"/>
  <c r="G178" i="21" s="1"/>
  <c r="H177" i="21"/>
  <c r="F177" i="21"/>
  <c r="G177" i="21" s="1"/>
  <c r="H176" i="21"/>
  <c r="F176" i="21"/>
  <c r="G176" i="21" s="1"/>
  <c r="H175" i="21"/>
  <c r="F175" i="21"/>
  <c r="G175" i="21" s="1"/>
  <c r="E174" i="21"/>
  <c r="H174" i="21" s="1"/>
  <c r="C174" i="21"/>
  <c r="B174" i="21"/>
  <c r="H173" i="21"/>
  <c r="F173" i="21"/>
  <c r="G173" i="21" s="1"/>
  <c r="H172" i="21"/>
  <c r="F172" i="21"/>
  <c r="G172" i="21" s="1"/>
  <c r="H171" i="21"/>
  <c r="F171" i="21"/>
  <c r="G171" i="21" s="1"/>
  <c r="H170" i="21"/>
  <c r="F170" i="21"/>
  <c r="G170" i="21" s="1"/>
  <c r="H169" i="21"/>
  <c r="F169" i="21"/>
  <c r="G169" i="21" s="1"/>
  <c r="H168" i="21"/>
  <c r="F168" i="21"/>
  <c r="G168" i="21" s="1"/>
  <c r="H167" i="21"/>
  <c r="F167" i="21"/>
  <c r="G167" i="21" s="1"/>
  <c r="H166" i="21"/>
  <c r="F166" i="21"/>
  <c r="G166" i="21" s="1"/>
  <c r="H165" i="21"/>
  <c r="F165" i="21"/>
  <c r="G165" i="21" s="1"/>
  <c r="H164" i="21"/>
  <c r="F164" i="21"/>
  <c r="G164" i="21" s="1"/>
  <c r="H163" i="21"/>
  <c r="G163" i="21"/>
  <c r="F163" i="21"/>
  <c r="H162" i="21"/>
  <c r="F162" i="21"/>
  <c r="G162" i="21" s="1"/>
  <c r="H161" i="21"/>
  <c r="F161" i="21"/>
  <c r="G161" i="21" s="1"/>
  <c r="H160" i="21"/>
  <c r="F160" i="21"/>
  <c r="G160" i="21" s="1"/>
  <c r="H159" i="21"/>
  <c r="F159" i="21"/>
  <c r="G159" i="21" s="1"/>
  <c r="H158" i="21"/>
  <c r="F158" i="21"/>
  <c r="G158" i="21" s="1"/>
  <c r="H157" i="21"/>
  <c r="F157" i="21"/>
  <c r="G157" i="21" s="1"/>
  <c r="H156" i="21"/>
  <c r="F156" i="21"/>
  <c r="G156" i="21" s="1"/>
  <c r="H155" i="21"/>
  <c r="F155" i="21"/>
  <c r="G155" i="21" s="1"/>
  <c r="H154" i="21"/>
  <c r="F154" i="21"/>
  <c r="G154" i="21" s="1"/>
  <c r="H153" i="21"/>
  <c r="F153" i="21"/>
  <c r="G153" i="21" s="1"/>
  <c r="H152" i="21"/>
  <c r="F152" i="21"/>
  <c r="G152" i="21" s="1"/>
  <c r="H151" i="21"/>
  <c r="F151" i="21"/>
  <c r="G151" i="21" s="1"/>
  <c r="H150" i="21"/>
  <c r="F150" i="21"/>
  <c r="G150" i="21" s="1"/>
  <c r="H149" i="21"/>
  <c r="F149" i="21"/>
  <c r="G149" i="21" s="1"/>
  <c r="H148" i="21"/>
  <c r="F148" i="21"/>
  <c r="G148" i="21" s="1"/>
  <c r="H147" i="21"/>
  <c r="F147" i="21"/>
  <c r="G147" i="21" s="1"/>
  <c r="H146" i="21"/>
  <c r="F146" i="21"/>
  <c r="G146" i="21" s="1"/>
  <c r="H145" i="21"/>
  <c r="F145" i="21"/>
  <c r="G145" i="21" s="1"/>
  <c r="H144" i="21"/>
  <c r="F144" i="21"/>
  <c r="G144" i="21" s="1"/>
  <c r="H143" i="21"/>
  <c r="F143" i="21"/>
  <c r="G143" i="21" s="1"/>
  <c r="H142" i="21"/>
  <c r="F142" i="21"/>
  <c r="G142" i="21" s="1"/>
  <c r="H141" i="21"/>
  <c r="F141" i="21"/>
  <c r="G141" i="21" s="1"/>
  <c r="H140" i="21"/>
  <c r="F140" i="21"/>
  <c r="G140" i="21" s="1"/>
  <c r="H139" i="21"/>
  <c r="F139" i="21"/>
  <c r="G139" i="21" s="1"/>
  <c r="H138" i="21"/>
  <c r="F138" i="21"/>
  <c r="G138" i="21" s="1"/>
  <c r="H137" i="21"/>
  <c r="F137" i="21"/>
  <c r="G137" i="21" s="1"/>
  <c r="H136" i="21"/>
  <c r="F136" i="21"/>
  <c r="G136" i="21" s="1"/>
  <c r="H135" i="21"/>
  <c r="F135" i="21"/>
  <c r="G135" i="21" s="1"/>
  <c r="H134" i="21"/>
  <c r="F134" i="21"/>
  <c r="G134" i="21" s="1"/>
  <c r="H133" i="21"/>
  <c r="F133" i="21"/>
  <c r="G133" i="21" s="1"/>
  <c r="H132" i="21"/>
  <c r="F132" i="21"/>
  <c r="G132" i="21" s="1"/>
  <c r="H131" i="21"/>
  <c r="F131" i="21"/>
  <c r="G131" i="21" s="1"/>
  <c r="H130" i="21"/>
  <c r="F130" i="21"/>
  <c r="G130" i="21" s="1"/>
  <c r="H129" i="21"/>
  <c r="F129" i="21"/>
  <c r="G129" i="21" s="1"/>
  <c r="H128" i="21"/>
  <c r="F128" i="21"/>
  <c r="G128" i="21" s="1"/>
  <c r="H127" i="21"/>
  <c r="F127" i="21"/>
  <c r="G127" i="21" s="1"/>
  <c r="H126" i="21"/>
  <c r="F126" i="21"/>
  <c r="G126" i="21" s="1"/>
  <c r="H125" i="21"/>
  <c r="F125" i="21"/>
  <c r="G125" i="21" s="1"/>
  <c r="H124" i="21"/>
  <c r="F124" i="21"/>
  <c r="G124" i="21" s="1"/>
  <c r="H123" i="21"/>
  <c r="F123" i="21"/>
  <c r="G123" i="21" s="1"/>
  <c r="H122" i="21"/>
  <c r="F122" i="21"/>
  <c r="G122" i="21" s="1"/>
  <c r="H121" i="21"/>
  <c r="F121" i="21"/>
  <c r="G121" i="21" s="1"/>
  <c r="H120" i="21"/>
  <c r="F120" i="21"/>
  <c r="G120" i="21" s="1"/>
  <c r="H119" i="21"/>
  <c r="F119" i="21"/>
  <c r="G119" i="21" s="1"/>
  <c r="H118" i="21"/>
  <c r="F118" i="21"/>
  <c r="G118" i="21" s="1"/>
  <c r="H117" i="21"/>
  <c r="F117" i="21"/>
  <c r="G117" i="21" s="1"/>
  <c r="H116" i="21"/>
  <c r="F116" i="21"/>
  <c r="G116" i="21" s="1"/>
  <c r="H115" i="21"/>
  <c r="F115" i="21"/>
  <c r="G115" i="21" s="1"/>
  <c r="H114" i="21"/>
  <c r="F114" i="21"/>
  <c r="G114" i="21" s="1"/>
  <c r="H113" i="21"/>
  <c r="F113" i="21"/>
  <c r="G113" i="21" s="1"/>
  <c r="H112" i="21"/>
  <c r="F112" i="21"/>
  <c r="G112" i="21" s="1"/>
  <c r="H111" i="21"/>
  <c r="F111" i="21"/>
  <c r="G111" i="21" s="1"/>
  <c r="H110" i="21"/>
  <c r="F110" i="21"/>
  <c r="G110" i="21" s="1"/>
  <c r="H109" i="21"/>
  <c r="F109" i="21"/>
  <c r="G109" i="21" s="1"/>
  <c r="H108" i="21"/>
  <c r="F108" i="21"/>
  <c r="G108" i="21" s="1"/>
  <c r="H107" i="21"/>
  <c r="F107" i="21"/>
  <c r="G107" i="21" s="1"/>
  <c r="H106" i="21"/>
  <c r="F106" i="21"/>
  <c r="G106" i="21" s="1"/>
  <c r="H105" i="21"/>
  <c r="F105" i="21"/>
  <c r="G105" i="21" s="1"/>
  <c r="H104" i="21"/>
  <c r="F104" i="21"/>
  <c r="G104" i="21" s="1"/>
  <c r="H103" i="21"/>
  <c r="F103" i="21"/>
  <c r="G103" i="21" s="1"/>
  <c r="H102" i="21"/>
  <c r="F102" i="21"/>
  <c r="G102" i="21" s="1"/>
  <c r="H101" i="21"/>
  <c r="F101" i="21"/>
  <c r="G101" i="21" s="1"/>
  <c r="H100" i="21"/>
  <c r="F100" i="21"/>
  <c r="G100" i="21" s="1"/>
  <c r="H99" i="21"/>
  <c r="F99" i="21"/>
  <c r="G99" i="21" s="1"/>
  <c r="H98" i="21"/>
  <c r="F98" i="21"/>
  <c r="G98" i="21" s="1"/>
  <c r="H97" i="21"/>
  <c r="F97" i="21"/>
  <c r="G97" i="21" s="1"/>
  <c r="H96" i="21"/>
  <c r="F96" i="21"/>
  <c r="G96" i="21" s="1"/>
  <c r="H95" i="21"/>
  <c r="F95" i="21"/>
  <c r="G95" i="21" s="1"/>
  <c r="H94" i="21"/>
  <c r="F94" i="21"/>
  <c r="G94" i="21" s="1"/>
  <c r="H93" i="21"/>
  <c r="F93" i="21"/>
  <c r="G93" i="21" s="1"/>
  <c r="H92" i="21"/>
  <c r="F92" i="21"/>
  <c r="G92" i="21" s="1"/>
  <c r="H91" i="21"/>
  <c r="G91" i="21"/>
  <c r="F91" i="21"/>
  <c r="H90" i="21"/>
  <c r="F90" i="21"/>
  <c r="G90" i="21" s="1"/>
  <c r="H89" i="21"/>
  <c r="F89" i="21"/>
  <c r="G89" i="21" s="1"/>
  <c r="H88" i="21"/>
  <c r="F88" i="21"/>
  <c r="G88" i="21" s="1"/>
  <c r="H87" i="21"/>
  <c r="F87" i="21"/>
  <c r="G87" i="21" s="1"/>
  <c r="H86" i="21"/>
  <c r="F86" i="21"/>
  <c r="G86" i="21" s="1"/>
  <c r="H85" i="21"/>
  <c r="F85" i="21"/>
  <c r="G85" i="21" s="1"/>
  <c r="H84" i="21"/>
  <c r="F84" i="21"/>
  <c r="G84" i="21" s="1"/>
  <c r="H83" i="21"/>
  <c r="F83" i="21"/>
  <c r="G83" i="21" s="1"/>
  <c r="H82" i="21"/>
  <c r="F82" i="21"/>
  <c r="G82" i="21" s="1"/>
  <c r="H81" i="21"/>
  <c r="F81" i="21"/>
  <c r="G81" i="21" s="1"/>
  <c r="H80" i="21"/>
  <c r="F80" i="21"/>
  <c r="G80" i="21" s="1"/>
  <c r="H79" i="21"/>
  <c r="F79" i="21"/>
  <c r="G79" i="21" s="1"/>
  <c r="H78" i="21"/>
  <c r="F78" i="21"/>
  <c r="G78" i="21" s="1"/>
  <c r="H77" i="21"/>
  <c r="F77" i="21"/>
  <c r="G77" i="21" s="1"/>
  <c r="H76" i="21"/>
  <c r="F76" i="21"/>
  <c r="G76" i="21" s="1"/>
  <c r="H75" i="21"/>
  <c r="F75" i="21"/>
  <c r="G75" i="21" s="1"/>
  <c r="H74" i="21"/>
  <c r="F74" i="21"/>
  <c r="G74" i="21" s="1"/>
  <c r="H73" i="21"/>
  <c r="F73" i="21"/>
  <c r="G73" i="21" s="1"/>
  <c r="H72" i="21"/>
  <c r="F72" i="21"/>
  <c r="G72" i="21" s="1"/>
  <c r="H71" i="21"/>
  <c r="F71" i="21"/>
  <c r="G71" i="21" s="1"/>
  <c r="H70" i="21"/>
  <c r="F70" i="21"/>
  <c r="G70" i="21" s="1"/>
  <c r="H69" i="21"/>
  <c r="F69" i="21"/>
  <c r="G69" i="21" s="1"/>
  <c r="H68" i="21"/>
  <c r="F68" i="21"/>
  <c r="G68" i="21" s="1"/>
  <c r="H67" i="21"/>
  <c r="F67" i="21"/>
  <c r="G67" i="21" s="1"/>
  <c r="H66" i="21"/>
  <c r="F66" i="21"/>
  <c r="G66" i="21" s="1"/>
  <c r="H65" i="21"/>
  <c r="F65" i="21"/>
  <c r="G65" i="21" s="1"/>
  <c r="H64" i="21"/>
  <c r="F64" i="21"/>
  <c r="G64" i="21" s="1"/>
  <c r="H63" i="21"/>
  <c r="F63" i="21"/>
  <c r="G63" i="21" s="1"/>
  <c r="H62" i="21"/>
  <c r="F62" i="21"/>
  <c r="G62" i="21" s="1"/>
  <c r="H61" i="21"/>
  <c r="F61" i="21"/>
  <c r="G61" i="21" s="1"/>
  <c r="H60" i="21"/>
  <c r="F60" i="21"/>
  <c r="G60" i="21" s="1"/>
  <c r="H59" i="21"/>
  <c r="F59" i="21"/>
  <c r="G59" i="21" s="1"/>
  <c r="H58" i="21"/>
  <c r="F58" i="21"/>
  <c r="G58" i="21" s="1"/>
  <c r="H57" i="21"/>
  <c r="F57" i="21"/>
  <c r="G57" i="21" s="1"/>
  <c r="H56" i="21"/>
  <c r="F56" i="21"/>
  <c r="G56" i="21" s="1"/>
  <c r="H55" i="21"/>
  <c r="F55" i="21"/>
  <c r="G55" i="21" s="1"/>
  <c r="H54" i="21"/>
  <c r="F54" i="21"/>
  <c r="G54" i="21" s="1"/>
  <c r="H53" i="21"/>
  <c r="F53" i="21"/>
  <c r="G53" i="21" s="1"/>
  <c r="H52" i="21"/>
  <c r="F52" i="21"/>
  <c r="G52" i="21" s="1"/>
  <c r="H51" i="21"/>
  <c r="F51" i="21"/>
  <c r="G51" i="21" s="1"/>
  <c r="H50" i="21"/>
  <c r="F50" i="21"/>
  <c r="G50" i="21" s="1"/>
  <c r="I49" i="21"/>
  <c r="AI49" i="21" s="1"/>
  <c r="H49" i="21"/>
  <c r="F49" i="21"/>
  <c r="G49" i="21" s="1"/>
  <c r="H48" i="21"/>
  <c r="F48" i="21"/>
  <c r="G48" i="21" s="1"/>
  <c r="H47" i="21"/>
  <c r="F47" i="21"/>
  <c r="G47" i="21" s="1"/>
  <c r="H46" i="21"/>
  <c r="F46" i="21"/>
  <c r="G46" i="21" s="1"/>
  <c r="H45" i="21"/>
  <c r="F45" i="21"/>
  <c r="G45" i="21" s="1"/>
  <c r="H44" i="21"/>
  <c r="F44" i="21"/>
  <c r="G44" i="21" s="1"/>
  <c r="H43" i="21"/>
  <c r="F43" i="21"/>
  <c r="G43" i="21" s="1"/>
  <c r="H42" i="21"/>
  <c r="F42" i="21"/>
  <c r="G42" i="21" s="1"/>
  <c r="H41" i="21"/>
  <c r="F41" i="21"/>
  <c r="G41" i="21" s="1"/>
  <c r="H40" i="21"/>
  <c r="F40" i="21"/>
  <c r="G40" i="21" s="1"/>
  <c r="H39" i="21"/>
  <c r="F39" i="21"/>
  <c r="G39" i="21" s="1"/>
  <c r="H38" i="21"/>
  <c r="F38" i="21"/>
  <c r="G38" i="21" s="1"/>
  <c r="H37" i="21"/>
  <c r="F37" i="21"/>
  <c r="G37" i="21" s="1"/>
  <c r="H36" i="21"/>
  <c r="F36" i="21"/>
  <c r="G36" i="21" s="1"/>
  <c r="H35" i="21"/>
  <c r="F35" i="21"/>
  <c r="G35" i="21" s="1"/>
  <c r="H34" i="21"/>
  <c r="F34" i="21"/>
  <c r="G34" i="21" s="1"/>
  <c r="H33" i="21"/>
  <c r="F33" i="21"/>
  <c r="G33" i="21" s="1"/>
  <c r="H32" i="21"/>
  <c r="F32" i="21"/>
  <c r="G32" i="21" s="1"/>
  <c r="H31" i="21"/>
  <c r="F31" i="21"/>
  <c r="G31" i="21" s="1"/>
  <c r="H30" i="21"/>
  <c r="F30" i="21"/>
  <c r="G30" i="21" s="1"/>
  <c r="H29" i="21"/>
  <c r="G29" i="21"/>
  <c r="F29" i="21"/>
  <c r="H28" i="21"/>
  <c r="F28" i="21"/>
  <c r="G28" i="21" s="1"/>
  <c r="H27" i="21"/>
  <c r="F27" i="21"/>
  <c r="G27" i="21" s="1"/>
  <c r="H26" i="21"/>
  <c r="F26" i="21"/>
  <c r="G26" i="21" s="1"/>
  <c r="H25" i="21"/>
  <c r="F25" i="21"/>
  <c r="G25" i="21" s="1"/>
  <c r="H24" i="21"/>
  <c r="F24" i="21"/>
  <c r="G24" i="21" s="1"/>
  <c r="H23" i="21"/>
  <c r="F23" i="21"/>
  <c r="G23" i="21" s="1"/>
  <c r="H22" i="21"/>
  <c r="F22" i="21"/>
  <c r="G22" i="21" s="1"/>
  <c r="H21" i="21"/>
  <c r="F21" i="21"/>
  <c r="G21" i="21" s="1"/>
  <c r="H20" i="21"/>
  <c r="F20" i="21"/>
  <c r="G20" i="21" s="1"/>
  <c r="H19" i="21"/>
  <c r="F19" i="21"/>
  <c r="G19" i="21" s="1"/>
  <c r="H18" i="21"/>
  <c r="F18" i="21"/>
  <c r="G18" i="21" s="1"/>
  <c r="H17" i="21"/>
  <c r="F17" i="21"/>
  <c r="G17" i="21" s="1"/>
  <c r="H16" i="21"/>
  <c r="F16" i="21"/>
  <c r="G16" i="21" s="1"/>
  <c r="H15" i="21"/>
  <c r="F15" i="21"/>
  <c r="G15" i="21" s="1"/>
  <c r="H14" i="21"/>
  <c r="F14" i="21"/>
  <c r="G14" i="21" s="1"/>
  <c r="H13" i="21"/>
  <c r="F13" i="21"/>
  <c r="G13" i="21" s="1"/>
  <c r="H12" i="21"/>
  <c r="F12" i="21"/>
  <c r="G12" i="21" s="1"/>
  <c r="H11" i="21"/>
  <c r="F11" i="21"/>
  <c r="G11" i="21" s="1"/>
  <c r="H10" i="21"/>
  <c r="F10" i="21"/>
  <c r="G10" i="21" s="1"/>
  <c r="H9" i="21"/>
  <c r="F9" i="21"/>
  <c r="G9" i="21" s="1"/>
  <c r="H8" i="21"/>
  <c r="F8" i="21"/>
  <c r="G8" i="21" s="1"/>
  <c r="H7" i="21"/>
  <c r="F7" i="21"/>
  <c r="G7" i="21" s="1"/>
  <c r="H6" i="21"/>
  <c r="F6" i="21"/>
  <c r="G6" i="21" s="1"/>
  <c r="H5" i="21"/>
  <c r="F5" i="21"/>
  <c r="G5" i="21" s="1"/>
  <c r="H4" i="21"/>
  <c r="F4" i="21"/>
  <c r="G4" i="21" s="1"/>
  <c r="H3" i="21"/>
  <c r="F3" i="21"/>
  <c r="G3" i="21" s="1"/>
  <c r="O1" i="21"/>
  <c r="AU588" i="17"/>
  <c r="AA588" i="17"/>
  <c r="Q588" i="17"/>
  <c r="H588" i="17"/>
  <c r="G588" i="17"/>
  <c r="F588" i="17"/>
  <c r="E588" i="17"/>
  <c r="D588" i="17"/>
  <c r="C588" i="17"/>
  <c r="B588" i="17"/>
  <c r="AU587" i="17"/>
  <c r="AA587" i="17"/>
  <c r="Q587" i="17"/>
  <c r="H587" i="17"/>
  <c r="G587" i="17"/>
  <c r="F587" i="17"/>
  <c r="E587" i="17"/>
  <c r="D587" i="17"/>
  <c r="C587" i="17"/>
  <c r="B587" i="17"/>
  <c r="AU586" i="17"/>
  <c r="AA586" i="17"/>
  <c r="Q586" i="17"/>
  <c r="H586" i="17"/>
  <c r="G586" i="17"/>
  <c r="F586" i="17"/>
  <c r="E586" i="17"/>
  <c r="D586" i="17"/>
  <c r="C586" i="17"/>
  <c r="B586" i="17"/>
  <c r="AU585" i="17"/>
  <c r="AA585" i="17"/>
  <c r="Q585" i="17"/>
  <c r="H585" i="17"/>
  <c r="G585" i="17"/>
  <c r="F585" i="17"/>
  <c r="E585" i="17"/>
  <c r="D585" i="17"/>
  <c r="C585" i="17"/>
  <c r="B585" i="17"/>
  <c r="AU584" i="17"/>
  <c r="AA584" i="17"/>
  <c r="Q584" i="17"/>
  <c r="H584" i="17"/>
  <c r="G584" i="17"/>
  <c r="F584" i="17"/>
  <c r="E584" i="17"/>
  <c r="D584" i="17"/>
  <c r="C584" i="17"/>
  <c r="B584" i="17"/>
  <c r="AU583" i="17"/>
  <c r="AA583" i="17"/>
  <c r="Q583" i="17"/>
  <c r="H583" i="17"/>
  <c r="G583" i="17"/>
  <c r="F583" i="17"/>
  <c r="E583" i="17"/>
  <c r="D583" i="17"/>
  <c r="C583" i="17"/>
  <c r="B583" i="17"/>
  <c r="AU582" i="17"/>
  <c r="AA582" i="17"/>
  <c r="Q582" i="17"/>
  <c r="H582" i="17"/>
  <c r="G582" i="17"/>
  <c r="F582" i="17"/>
  <c r="E582" i="17"/>
  <c r="D582" i="17"/>
  <c r="C582" i="17"/>
  <c r="B582" i="17"/>
  <c r="AU581" i="17"/>
  <c r="AA581" i="17"/>
  <c r="Q581" i="17"/>
  <c r="H581" i="17"/>
  <c r="G581" i="17"/>
  <c r="F581" i="17"/>
  <c r="E581" i="17"/>
  <c r="D581" i="17"/>
  <c r="C581" i="17"/>
  <c r="B581" i="17"/>
  <c r="AU580" i="17"/>
  <c r="AA580" i="17"/>
  <c r="Q580" i="17"/>
  <c r="H580" i="17"/>
  <c r="G580" i="17"/>
  <c r="F580" i="17"/>
  <c r="E580" i="17"/>
  <c r="D580" i="17"/>
  <c r="C580" i="17"/>
  <c r="B580" i="17"/>
  <c r="AU579" i="17"/>
  <c r="AA579" i="17"/>
  <c r="Q579" i="17"/>
  <c r="H579" i="17"/>
  <c r="G579" i="17"/>
  <c r="F579" i="17"/>
  <c r="E579" i="17"/>
  <c r="D579" i="17"/>
  <c r="C579" i="17"/>
  <c r="B579" i="17"/>
  <c r="AU578" i="17"/>
  <c r="AA578" i="17"/>
  <c r="Q578" i="17"/>
  <c r="H578" i="17"/>
  <c r="G578" i="17"/>
  <c r="F578" i="17"/>
  <c r="E578" i="17"/>
  <c r="D578" i="17"/>
  <c r="C578" i="17"/>
  <c r="B578" i="17"/>
  <c r="AU577" i="17"/>
  <c r="AA577" i="17"/>
  <c r="Q577" i="17"/>
  <c r="H577" i="17"/>
  <c r="G577" i="17"/>
  <c r="F577" i="17"/>
  <c r="E577" i="17"/>
  <c r="D577" i="17"/>
  <c r="C577" i="17"/>
  <c r="B577" i="17"/>
  <c r="AU576" i="17"/>
  <c r="AA576" i="17"/>
  <c r="Q576" i="17"/>
  <c r="H576" i="17"/>
  <c r="G576" i="17"/>
  <c r="F576" i="17"/>
  <c r="E576" i="17"/>
  <c r="D576" i="17"/>
  <c r="C576" i="17"/>
  <c r="B576" i="17"/>
  <c r="AU575" i="17"/>
  <c r="AA575" i="17"/>
  <c r="Q575" i="17"/>
  <c r="H575" i="17"/>
  <c r="G575" i="17"/>
  <c r="F575" i="17"/>
  <c r="E575" i="17"/>
  <c r="D575" i="17"/>
  <c r="C575" i="17"/>
  <c r="B575" i="17"/>
  <c r="AU574" i="17"/>
  <c r="AA574" i="17"/>
  <c r="Q574" i="17"/>
  <c r="H574" i="17"/>
  <c r="G574" i="17"/>
  <c r="F574" i="17"/>
  <c r="E574" i="17"/>
  <c r="D574" i="17"/>
  <c r="C574" i="17"/>
  <c r="B574" i="17"/>
  <c r="AU573" i="17"/>
  <c r="AA573" i="17"/>
  <c r="Q573" i="17"/>
  <c r="H573" i="17"/>
  <c r="G573" i="17"/>
  <c r="F573" i="17"/>
  <c r="E573" i="17"/>
  <c r="D573" i="17"/>
  <c r="C573" i="17"/>
  <c r="B573" i="17"/>
  <c r="AU572" i="17"/>
  <c r="AA572" i="17"/>
  <c r="Q572" i="17"/>
  <c r="H572" i="17"/>
  <c r="G572" i="17"/>
  <c r="F572" i="17"/>
  <c r="E572" i="17"/>
  <c r="D572" i="17"/>
  <c r="C572" i="17"/>
  <c r="B572" i="17"/>
  <c r="AU571" i="17"/>
  <c r="AA571" i="17"/>
  <c r="Q571" i="17"/>
  <c r="H571" i="17"/>
  <c r="G571" i="17"/>
  <c r="F571" i="17"/>
  <c r="E571" i="17"/>
  <c r="D571" i="17"/>
  <c r="C571" i="17"/>
  <c r="B571" i="17"/>
  <c r="AU570" i="17"/>
  <c r="AA570" i="17"/>
  <c r="Q570" i="17"/>
  <c r="H570" i="17"/>
  <c r="G570" i="17"/>
  <c r="F570" i="17"/>
  <c r="E570" i="17"/>
  <c r="D570" i="17"/>
  <c r="C570" i="17"/>
  <c r="B570" i="17"/>
  <c r="AU569" i="17"/>
  <c r="AA569" i="17"/>
  <c r="Q569" i="17"/>
  <c r="H569" i="17"/>
  <c r="G569" i="17"/>
  <c r="F569" i="17"/>
  <c r="E569" i="17"/>
  <c r="D569" i="17"/>
  <c r="C569" i="17"/>
  <c r="B569" i="17"/>
  <c r="AU568" i="17"/>
  <c r="AA568" i="17"/>
  <c r="Q568" i="17"/>
  <c r="H568" i="17"/>
  <c r="G568" i="17"/>
  <c r="F568" i="17"/>
  <c r="E568" i="17"/>
  <c r="D568" i="17"/>
  <c r="C568" i="17"/>
  <c r="B568" i="17"/>
  <c r="AU567" i="17"/>
  <c r="AA567" i="17"/>
  <c r="Q567" i="17"/>
  <c r="H567" i="17"/>
  <c r="G567" i="17"/>
  <c r="F567" i="17"/>
  <c r="E567" i="17"/>
  <c r="D567" i="17"/>
  <c r="C567" i="17"/>
  <c r="B567" i="17"/>
  <c r="AU566" i="17"/>
  <c r="AA566" i="17"/>
  <c r="Q566" i="17"/>
  <c r="H566" i="17"/>
  <c r="G566" i="17"/>
  <c r="F566" i="17"/>
  <c r="E566" i="17"/>
  <c r="D566" i="17"/>
  <c r="C566" i="17"/>
  <c r="B566" i="17"/>
  <c r="AU565" i="17"/>
  <c r="AA565" i="17"/>
  <c r="Q565" i="17"/>
  <c r="H565" i="17"/>
  <c r="G565" i="17"/>
  <c r="F565" i="17"/>
  <c r="E565" i="17"/>
  <c r="D565" i="17"/>
  <c r="C565" i="17"/>
  <c r="B565" i="17"/>
  <c r="AU564" i="17"/>
  <c r="AA564" i="17"/>
  <c r="Q564" i="17"/>
  <c r="H564" i="17"/>
  <c r="G564" i="17"/>
  <c r="F564" i="17"/>
  <c r="E564" i="17"/>
  <c r="D564" i="17"/>
  <c r="C564" i="17"/>
  <c r="B564" i="17"/>
  <c r="AU563" i="17"/>
  <c r="AA563" i="17"/>
  <c r="Q563" i="17"/>
  <c r="H563" i="17"/>
  <c r="G563" i="17"/>
  <c r="F563" i="17"/>
  <c r="E563" i="17"/>
  <c r="D563" i="17"/>
  <c r="C563" i="17"/>
  <c r="B563" i="17"/>
  <c r="AU562" i="17"/>
  <c r="AA562" i="17"/>
  <c r="Q562" i="17"/>
  <c r="H562" i="17"/>
  <c r="G562" i="17"/>
  <c r="F562" i="17"/>
  <c r="E562" i="17"/>
  <c r="D562" i="17"/>
  <c r="C562" i="17"/>
  <c r="B562" i="17"/>
  <c r="AU561" i="17"/>
  <c r="AA561" i="17"/>
  <c r="Q561" i="17"/>
  <c r="H561" i="17"/>
  <c r="G561" i="17"/>
  <c r="F561" i="17"/>
  <c r="E561" i="17"/>
  <c r="D561" i="17"/>
  <c r="C561" i="17"/>
  <c r="B561" i="17"/>
  <c r="AU560" i="17"/>
  <c r="AA560" i="17"/>
  <c r="Q560" i="17"/>
  <c r="H560" i="17"/>
  <c r="G560" i="17"/>
  <c r="F560" i="17"/>
  <c r="E560" i="17"/>
  <c r="D560" i="17"/>
  <c r="C560" i="17"/>
  <c r="B560" i="17"/>
  <c r="AU559" i="17"/>
  <c r="AA559" i="17"/>
  <c r="Q559" i="17"/>
  <c r="H559" i="17"/>
  <c r="G559" i="17"/>
  <c r="F559" i="17"/>
  <c r="E559" i="17"/>
  <c r="D559" i="17"/>
  <c r="C559" i="17"/>
  <c r="B559" i="17"/>
  <c r="AU558" i="17"/>
  <c r="AA558" i="17"/>
  <c r="Q558" i="17"/>
  <c r="H558" i="17"/>
  <c r="G558" i="17"/>
  <c r="F558" i="17"/>
  <c r="E558" i="17"/>
  <c r="D558" i="17"/>
  <c r="C558" i="17"/>
  <c r="B558" i="17"/>
  <c r="AU557" i="17"/>
  <c r="AA557" i="17"/>
  <c r="Q557" i="17"/>
  <c r="H557" i="17"/>
  <c r="G557" i="17"/>
  <c r="F557" i="17"/>
  <c r="E557" i="17"/>
  <c r="D557" i="17"/>
  <c r="C557" i="17"/>
  <c r="B557" i="17"/>
  <c r="AU556" i="17"/>
  <c r="AA556" i="17"/>
  <c r="Q556" i="17"/>
  <c r="H556" i="17"/>
  <c r="G556" i="17"/>
  <c r="F556" i="17"/>
  <c r="E556" i="17"/>
  <c r="D556" i="17"/>
  <c r="C556" i="17"/>
  <c r="B556" i="17"/>
  <c r="AU555" i="17"/>
  <c r="AA555" i="17"/>
  <c r="Q555" i="17"/>
  <c r="H555" i="17"/>
  <c r="G555" i="17"/>
  <c r="F555" i="17"/>
  <c r="E555" i="17"/>
  <c r="D555" i="17"/>
  <c r="B555" i="17"/>
  <c r="AU554" i="17"/>
  <c r="AA554" i="17"/>
  <c r="Q554" i="17"/>
  <c r="H554" i="17"/>
  <c r="G554" i="17"/>
  <c r="F554" i="17"/>
  <c r="E554" i="17"/>
  <c r="D554" i="17"/>
  <c r="C554" i="17"/>
  <c r="B554" i="17"/>
  <c r="AU553" i="17"/>
  <c r="AA553" i="17"/>
  <c r="Q553" i="17"/>
  <c r="H553" i="17"/>
  <c r="G553" i="17"/>
  <c r="F553" i="17"/>
  <c r="E553" i="17"/>
  <c r="D553" i="17"/>
  <c r="C553" i="17"/>
  <c r="B553" i="17"/>
  <c r="AU552" i="17"/>
  <c r="AA552" i="17"/>
  <c r="Q552" i="17"/>
  <c r="H552" i="17"/>
  <c r="G552" i="17"/>
  <c r="F552" i="17"/>
  <c r="E552" i="17"/>
  <c r="D552" i="17"/>
  <c r="C552" i="17"/>
  <c r="B552" i="17"/>
  <c r="AU551" i="17"/>
  <c r="AA551" i="17"/>
  <c r="Q551" i="17"/>
  <c r="H551" i="17"/>
  <c r="G551" i="17"/>
  <c r="F551" i="17"/>
  <c r="E551" i="17"/>
  <c r="D551" i="17"/>
  <c r="C551" i="17"/>
  <c r="B551" i="17"/>
  <c r="AU550" i="17"/>
  <c r="AA550" i="17"/>
  <c r="Q550" i="17"/>
  <c r="H550" i="17"/>
  <c r="G550" i="17"/>
  <c r="F550" i="17"/>
  <c r="E550" i="17"/>
  <c r="D550" i="17"/>
  <c r="C550" i="17"/>
  <c r="B550" i="17"/>
  <c r="AU549" i="17"/>
  <c r="AA549" i="17"/>
  <c r="Q549" i="17"/>
  <c r="H549" i="17"/>
  <c r="G549" i="17"/>
  <c r="F549" i="17"/>
  <c r="E549" i="17"/>
  <c r="D549" i="17"/>
  <c r="C549" i="17"/>
  <c r="B549" i="17"/>
  <c r="AU548" i="17"/>
  <c r="AA548" i="17"/>
  <c r="Q548" i="17"/>
  <c r="H548" i="17"/>
  <c r="G548" i="17"/>
  <c r="F548" i="17"/>
  <c r="E548" i="17"/>
  <c r="D548" i="17"/>
  <c r="C548" i="17"/>
  <c r="B548" i="17"/>
  <c r="AU547" i="17"/>
  <c r="AA547" i="17"/>
  <c r="Q547" i="17"/>
  <c r="H547" i="17"/>
  <c r="G547" i="17"/>
  <c r="F547" i="17"/>
  <c r="E547" i="17"/>
  <c r="D547" i="17"/>
  <c r="C547" i="17"/>
  <c r="B547" i="17"/>
  <c r="AU546" i="17"/>
  <c r="AA546" i="17"/>
  <c r="Q546" i="17"/>
  <c r="H546" i="17"/>
  <c r="G546" i="17"/>
  <c r="F546" i="17"/>
  <c r="E546" i="17"/>
  <c r="D546" i="17"/>
  <c r="C546" i="17"/>
  <c r="B546" i="17"/>
  <c r="AU545" i="17"/>
  <c r="AA545" i="17"/>
  <c r="Q545" i="17"/>
  <c r="H545" i="17"/>
  <c r="G545" i="17"/>
  <c r="F545" i="17"/>
  <c r="E545" i="17"/>
  <c r="D545" i="17"/>
  <c r="C545" i="17"/>
  <c r="B545" i="17"/>
  <c r="AU544" i="17"/>
  <c r="AA544" i="17"/>
  <c r="Q544" i="17"/>
  <c r="H544" i="17"/>
  <c r="G544" i="17"/>
  <c r="F544" i="17"/>
  <c r="E544" i="17"/>
  <c r="D544" i="17"/>
  <c r="C544" i="17"/>
  <c r="B544" i="17"/>
  <c r="AU543" i="17"/>
  <c r="AA543" i="17"/>
  <c r="Q543" i="17"/>
  <c r="H543" i="17"/>
  <c r="G543" i="17"/>
  <c r="F543" i="17"/>
  <c r="E543" i="17"/>
  <c r="D543" i="17"/>
  <c r="C543" i="17"/>
  <c r="B543" i="17"/>
  <c r="AU542" i="17"/>
  <c r="AA542" i="17"/>
  <c r="Q542" i="17"/>
  <c r="H542" i="17"/>
  <c r="G542" i="17"/>
  <c r="F542" i="17"/>
  <c r="E542" i="17"/>
  <c r="D542" i="17"/>
  <c r="C542" i="17"/>
  <c r="B542" i="17"/>
  <c r="AU541" i="17"/>
  <c r="AA541" i="17"/>
  <c r="Q541" i="17"/>
  <c r="H541" i="17"/>
  <c r="G541" i="17"/>
  <c r="F541" i="17"/>
  <c r="E541" i="17"/>
  <c r="D541" i="17"/>
  <c r="C541" i="17"/>
  <c r="B541" i="17"/>
  <c r="AU540" i="17"/>
  <c r="AA540" i="17"/>
  <c r="Q540" i="17"/>
  <c r="H540" i="17"/>
  <c r="G540" i="17"/>
  <c r="F540" i="17"/>
  <c r="E540" i="17"/>
  <c r="D540" i="17"/>
  <c r="C540" i="17"/>
  <c r="B540" i="17"/>
  <c r="AU539" i="17"/>
  <c r="AA539" i="17"/>
  <c r="Q539" i="17"/>
  <c r="H539" i="17"/>
  <c r="G539" i="17"/>
  <c r="F539" i="17"/>
  <c r="E539" i="17"/>
  <c r="D539" i="17"/>
  <c r="C539" i="17"/>
  <c r="B539" i="17"/>
  <c r="AU538" i="17"/>
  <c r="AA538" i="17"/>
  <c r="Q538" i="17"/>
  <c r="H538" i="17"/>
  <c r="G538" i="17"/>
  <c r="F538" i="17"/>
  <c r="E538" i="17"/>
  <c r="D538" i="17"/>
  <c r="C538" i="17"/>
  <c r="B538" i="17"/>
  <c r="AU537" i="17"/>
  <c r="AA537" i="17"/>
  <c r="Q537" i="17"/>
  <c r="H537" i="17"/>
  <c r="G537" i="17"/>
  <c r="F537" i="17"/>
  <c r="E537" i="17"/>
  <c r="D537" i="17"/>
  <c r="C537" i="17"/>
  <c r="B537" i="17"/>
  <c r="AU536" i="17"/>
  <c r="AA536" i="17"/>
  <c r="Q536" i="17"/>
  <c r="H536" i="17"/>
  <c r="G536" i="17"/>
  <c r="F536" i="17"/>
  <c r="E536" i="17"/>
  <c r="D536" i="17"/>
  <c r="C536" i="17"/>
  <c r="B536" i="17"/>
  <c r="AU535" i="17"/>
  <c r="AA535" i="17"/>
  <c r="Q535" i="17"/>
  <c r="H535" i="17"/>
  <c r="G535" i="17"/>
  <c r="F535" i="17"/>
  <c r="E535" i="17"/>
  <c r="D535" i="17"/>
  <c r="C535" i="17"/>
  <c r="B535" i="17"/>
  <c r="AU534" i="17"/>
  <c r="AA534" i="17"/>
  <c r="Q534" i="17"/>
  <c r="H534" i="17"/>
  <c r="G534" i="17"/>
  <c r="F534" i="17"/>
  <c r="E534" i="17"/>
  <c r="D534" i="17"/>
  <c r="C534" i="17"/>
  <c r="B534" i="17"/>
  <c r="AU533" i="17"/>
  <c r="AA533" i="17"/>
  <c r="Q533" i="17"/>
  <c r="H533" i="17"/>
  <c r="G533" i="17"/>
  <c r="F533" i="17"/>
  <c r="E533" i="17"/>
  <c r="D533" i="17"/>
  <c r="C533" i="17"/>
  <c r="B533" i="17"/>
  <c r="AU532" i="17"/>
  <c r="AA532" i="17"/>
  <c r="Q532" i="17"/>
  <c r="H532" i="17"/>
  <c r="G532" i="17"/>
  <c r="F532" i="17"/>
  <c r="E532" i="17"/>
  <c r="D532" i="17"/>
  <c r="C532" i="17"/>
  <c r="B532" i="17"/>
  <c r="AU531" i="17"/>
  <c r="AA531" i="17"/>
  <c r="Q531" i="17"/>
  <c r="H531" i="17"/>
  <c r="G531" i="17"/>
  <c r="F531" i="17"/>
  <c r="E531" i="17"/>
  <c r="D531" i="17"/>
  <c r="C531" i="17"/>
  <c r="B531" i="17"/>
  <c r="AU530" i="17"/>
  <c r="AA530" i="17"/>
  <c r="Q530" i="17"/>
  <c r="H530" i="17"/>
  <c r="G530" i="17"/>
  <c r="F530" i="17"/>
  <c r="E530" i="17"/>
  <c r="D530" i="17"/>
  <c r="C530" i="17"/>
  <c r="B530" i="17"/>
  <c r="AU529" i="17"/>
  <c r="AA529" i="17"/>
  <c r="Q529" i="17"/>
  <c r="H529" i="17"/>
  <c r="G529" i="17"/>
  <c r="F529" i="17"/>
  <c r="E529" i="17"/>
  <c r="D529" i="17"/>
  <c r="C529" i="17"/>
  <c r="B529" i="17"/>
  <c r="AU528" i="17"/>
  <c r="AA528" i="17"/>
  <c r="Q528" i="17"/>
  <c r="H528" i="17"/>
  <c r="G528" i="17"/>
  <c r="F528" i="17"/>
  <c r="E528" i="17"/>
  <c r="D528" i="17"/>
  <c r="C528" i="17"/>
  <c r="B528" i="17"/>
  <c r="AU527" i="17"/>
  <c r="AA527" i="17"/>
  <c r="Q527" i="17"/>
  <c r="H527" i="17"/>
  <c r="G527" i="17"/>
  <c r="F527" i="17"/>
  <c r="E527" i="17"/>
  <c r="D527" i="17"/>
  <c r="C527" i="17"/>
  <c r="B527" i="17"/>
  <c r="AU526" i="17"/>
  <c r="AA526" i="17"/>
  <c r="Q526" i="17"/>
  <c r="H526" i="17"/>
  <c r="G526" i="17"/>
  <c r="F526" i="17"/>
  <c r="E526" i="17"/>
  <c r="D526" i="17"/>
  <c r="C526" i="17"/>
  <c r="B526" i="17"/>
  <c r="AU525" i="17"/>
  <c r="AA525" i="17"/>
  <c r="Q525" i="17"/>
  <c r="H525" i="17"/>
  <c r="G525" i="17"/>
  <c r="F525" i="17"/>
  <c r="E525" i="17"/>
  <c r="D525" i="17"/>
  <c r="C525" i="17"/>
  <c r="B525" i="17"/>
  <c r="AU524" i="17"/>
  <c r="AA524" i="17"/>
  <c r="Q524" i="17"/>
  <c r="H524" i="17"/>
  <c r="G524" i="17"/>
  <c r="F524" i="17"/>
  <c r="E524" i="17"/>
  <c r="D524" i="17"/>
  <c r="C524" i="17"/>
  <c r="B524" i="17"/>
  <c r="AU523" i="17"/>
  <c r="AA523" i="17"/>
  <c r="Q523" i="17"/>
  <c r="H523" i="17"/>
  <c r="G523" i="17"/>
  <c r="F523" i="17"/>
  <c r="E523" i="17"/>
  <c r="D523" i="17"/>
  <c r="C523" i="17"/>
  <c r="B523" i="17"/>
  <c r="AU522" i="17"/>
  <c r="AA522" i="17"/>
  <c r="Q522" i="17"/>
  <c r="H522" i="17"/>
  <c r="G522" i="17"/>
  <c r="F522" i="17"/>
  <c r="E522" i="17"/>
  <c r="D522" i="17"/>
  <c r="C522" i="17"/>
  <c r="B522" i="17"/>
  <c r="AU521" i="17"/>
  <c r="AA521" i="17"/>
  <c r="Q521" i="17"/>
  <c r="H521" i="17"/>
  <c r="G521" i="17"/>
  <c r="F521" i="17"/>
  <c r="E521" i="17"/>
  <c r="D521" i="17"/>
  <c r="C521" i="17"/>
  <c r="B521" i="17"/>
  <c r="AU520" i="17"/>
  <c r="AA520" i="17"/>
  <c r="Q520" i="17"/>
  <c r="H520" i="17"/>
  <c r="G520" i="17"/>
  <c r="F520" i="17"/>
  <c r="E520" i="17"/>
  <c r="D520" i="17"/>
  <c r="C520" i="17"/>
  <c r="B520" i="17"/>
  <c r="AA519" i="17"/>
  <c r="Q519" i="17"/>
  <c r="H519" i="17"/>
  <c r="G519" i="17"/>
  <c r="F519" i="17"/>
  <c r="E519" i="17"/>
  <c r="D519" i="17"/>
  <c r="C519" i="17"/>
  <c r="B519" i="17"/>
  <c r="AU518" i="17"/>
  <c r="AA518" i="17"/>
  <c r="Q518" i="17"/>
  <c r="H518" i="17"/>
  <c r="G518" i="17"/>
  <c r="F518" i="17"/>
  <c r="E518" i="17"/>
  <c r="D518" i="17"/>
  <c r="C518" i="17"/>
  <c r="B518" i="17"/>
  <c r="AU517" i="17"/>
  <c r="AA517" i="17"/>
  <c r="Q517" i="17"/>
  <c r="H517" i="17"/>
  <c r="G517" i="17"/>
  <c r="F517" i="17"/>
  <c r="E517" i="17"/>
  <c r="D517" i="17"/>
  <c r="C517" i="17"/>
  <c r="B517" i="17"/>
  <c r="AA516" i="17"/>
  <c r="Q516" i="17"/>
  <c r="H516" i="17"/>
  <c r="G516" i="17"/>
  <c r="F516" i="17"/>
  <c r="E516" i="17"/>
  <c r="D516" i="17"/>
  <c r="C516" i="17"/>
  <c r="B516" i="17"/>
  <c r="AU515" i="17"/>
  <c r="AA515" i="17"/>
  <c r="Q515" i="17"/>
  <c r="H515" i="17"/>
  <c r="G515" i="17"/>
  <c r="F515" i="17"/>
  <c r="E515" i="17"/>
  <c r="D515" i="17"/>
  <c r="C515" i="17"/>
  <c r="B515" i="17"/>
  <c r="AU514" i="17"/>
  <c r="AA514" i="17"/>
  <c r="Q514" i="17"/>
  <c r="H514" i="17"/>
  <c r="G514" i="17"/>
  <c r="F514" i="17"/>
  <c r="E514" i="17"/>
  <c r="D514" i="17"/>
  <c r="C514" i="17"/>
  <c r="B514" i="17"/>
  <c r="AU513" i="17"/>
  <c r="AA513" i="17"/>
  <c r="Q513" i="17"/>
  <c r="H513" i="17"/>
  <c r="G513" i="17"/>
  <c r="F513" i="17"/>
  <c r="E513" i="17"/>
  <c r="D513" i="17"/>
  <c r="C513" i="17"/>
  <c r="B513" i="17"/>
  <c r="AU512" i="17"/>
  <c r="AA512" i="17"/>
  <c r="Q512" i="17"/>
  <c r="H512" i="17"/>
  <c r="G512" i="17"/>
  <c r="F512" i="17"/>
  <c r="E512" i="17"/>
  <c r="D512" i="17"/>
  <c r="C512" i="17"/>
  <c r="B512" i="17"/>
  <c r="AU511" i="17"/>
  <c r="AA511" i="17"/>
  <c r="Q511" i="17"/>
  <c r="H511" i="17"/>
  <c r="G511" i="17"/>
  <c r="F511" i="17"/>
  <c r="E511" i="17"/>
  <c r="D511" i="17"/>
  <c r="C511" i="17"/>
  <c r="B511" i="17"/>
  <c r="AU510" i="17"/>
  <c r="AA510" i="17"/>
  <c r="Q510" i="17"/>
  <c r="H510" i="17"/>
  <c r="G510" i="17"/>
  <c r="F510" i="17"/>
  <c r="E510" i="17"/>
  <c r="D510" i="17"/>
  <c r="C510" i="17"/>
  <c r="B510" i="17"/>
  <c r="AU509" i="17"/>
  <c r="AA509" i="17"/>
  <c r="Q509" i="17"/>
  <c r="H509" i="17"/>
  <c r="G509" i="17"/>
  <c r="F509" i="17"/>
  <c r="E509" i="17"/>
  <c r="D509" i="17"/>
  <c r="C509" i="17"/>
  <c r="B509" i="17"/>
  <c r="AU508" i="17"/>
  <c r="AA508" i="17"/>
  <c r="Q508" i="17"/>
  <c r="H508" i="17"/>
  <c r="G508" i="17"/>
  <c r="F508" i="17"/>
  <c r="E508" i="17"/>
  <c r="D508" i="17"/>
  <c r="C508" i="17"/>
  <c r="B508" i="17"/>
  <c r="AA507" i="17"/>
  <c r="Q507" i="17"/>
  <c r="H507" i="17"/>
  <c r="G507" i="17"/>
  <c r="F507" i="17"/>
  <c r="E507" i="17"/>
  <c r="D507" i="17"/>
  <c r="C507" i="17"/>
  <c r="B507" i="17"/>
  <c r="AU506" i="17"/>
  <c r="AA506" i="17"/>
  <c r="Q506" i="17"/>
  <c r="H506" i="17"/>
  <c r="G506" i="17"/>
  <c r="F506" i="17"/>
  <c r="E506" i="17"/>
  <c r="D506" i="17"/>
  <c r="C506" i="17"/>
  <c r="B506" i="17"/>
  <c r="AU505" i="17"/>
  <c r="AA505" i="17"/>
  <c r="Q505" i="17"/>
  <c r="H505" i="17"/>
  <c r="G505" i="17"/>
  <c r="F505" i="17"/>
  <c r="E505" i="17"/>
  <c r="D505" i="17"/>
  <c r="C505" i="17"/>
  <c r="B505" i="17"/>
  <c r="AU504" i="17"/>
  <c r="AA504" i="17"/>
  <c r="Q504" i="17"/>
  <c r="H504" i="17"/>
  <c r="G504" i="17"/>
  <c r="F504" i="17"/>
  <c r="E504" i="17"/>
  <c r="D504" i="17"/>
  <c r="C504" i="17"/>
  <c r="B504" i="17"/>
  <c r="AU503" i="17"/>
  <c r="AA503" i="17"/>
  <c r="Q503" i="17"/>
  <c r="H503" i="17"/>
  <c r="G503" i="17"/>
  <c r="F503" i="17"/>
  <c r="E503" i="17"/>
  <c r="D503" i="17"/>
  <c r="C503" i="17"/>
  <c r="B503" i="17"/>
  <c r="AU502" i="17"/>
  <c r="AA502" i="17"/>
  <c r="Q502" i="17"/>
  <c r="H502" i="17"/>
  <c r="G502" i="17"/>
  <c r="F502" i="17"/>
  <c r="E502" i="17"/>
  <c r="D502" i="17"/>
  <c r="C502" i="17"/>
  <c r="B502" i="17"/>
  <c r="AU501" i="17"/>
  <c r="AA501" i="17"/>
  <c r="Q501" i="17"/>
  <c r="H501" i="17"/>
  <c r="G501" i="17"/>
  <c r="F501" i="17"/>
  <c r="E501" i="17"/>
  <c r="D501" i="17"/>
  <c r="C501" i="17"/>
  <c r="B501" i="17"/>
  <c r="AU500" i="17"/>
  <c r="AA500" i="17"/>
  <c r="Q500" i="17"/>
  <c r="H500" i="17"/>
  <c r="G500" i="17"/>
  <c r="F500" i="17"/>
  <c r="E500" i="17"/>
  <c r="D500" i="17"/>
  <c r="C500" i="17"/>
  <c r="B500" i="17"/>
  <c r="AU499" i="17"/>
  <c r="AA499" i="17"/>
  <c r="Q499" i="17"/>
  <c r="H499" i="17"/>
  <c r="G499" i="17"/>
  <c r="F499" i="17"/>
  <c r="E499" i="17"/>
  <c r="D499" i="17"/>
  <c r="C499" i="17"/>
  <c r="B499" i="17"/>
  <c r="AU498" i="17"/>
  <c r="AA498" i="17"/>
  <c r="Q498" i="17"/>
  <c r="H498" i="17"/>
  <c r="G498" i="17"/>
  <c r="F498" i="17"/>
  <c r="E498" i="17"/>
  <c r="D498" i="17"/>
  <c r="C498" i="17"/>
  <c r="B498" i="17"/>
  <c r="AA497" i="17"/>
  <c r="Q497" i="17"/>
  <c r="H497" i="17"/>
  <c r="G497" i="17"/>
  <c r="F497" i="17"/>
  <c r="E497" i="17"/>
  <c r="D497" i="17"/>
  <c r="C497" i="17"/>
  <c r="B497" i="17"/>
  <c r="AU496" i="17"/>
  <c r="AA496" i="17"/>
  <c r="Q496" i="17"/>
  <c r="H496" i="17"/>
  <c r="G496" i="17"/>
  <c r="F496" i="17"/>
  <c r="E496" i="17"/>
  <c r="D496" i="17"/>
  <c r="C496" i="17"/>
  <c r="B496" i="17"/>
  <c r="AU495" i="17"/>
  <c r="AA495" i="17"/>
  <c r="Q495" i="17"/>
  <c r="H495" i="17"/>
  <c r="G495" i="17"/>
  <c r="F495" i="17"/>
  <c r="E495" i="17"/>
  <c r="D495" i="17"/>
  <c r="C495" i="17"/>
  <c r="B495" i="17"/>
  <c r="AU494" i="17"/>
  <c r="AA494" i="17"/>
  <c r="Q494" i="17"/>
  <c r="H494" i="17"/>
  <c r="G494" i="17"/>
  <c r="F494" i="17"/>
  <c r="E494" i="17"/>
  <c r="D494" i="17"/>
  <c r="C494" i="17"/>
  <c r="B494" i="17"/>
  <c r="AU493" i="17"/>
  <c r="AA493" i="17"/>
  <c r="Q493" i="17"/>
  <c r="H493" i="17"/>
  <c r="G493" i="17"/>
  <c r="F493" i="17"/>
  <c r="E493" i="17"/>
  <c r="D493" i="17"/>
  <c r="C493" i="17"/>
  <c r="B493" i="17"/>
  <c r="AU492" i="17"/>
  <c r="AA492" i="17"/>
  <c r="Q492" i="17"/>
  <c r="H492" i="17"/>
  <c r="G492" i="17"/>
  <c r="F492" i="17"/>
  <c r="E492" i="17"/>
  <c r="D492" i="17"/>
  <c r="C492" i="17"/>
  <c r="B492" i="17"/>
  <c r="AU491" i="17"/>
  <c r="AA491" i="17"/>
  <c r="Q491" i="17"/>
  <c r="H491" i="17"/>
  <c r="G491" i="17"/>
  <c r="F491" i="17"/>
  <c r="E491" i="17"/>
  <c r="D491" i="17"/>
  <c r="C491" i="17"/>
  <c r="B491" i="17"/>
  <c r="AU490" i="17"/>
  <c r="AA490" i="17"/>
  <c r="Q490" i="17"/>
  <c r="H490" i="17"/>
  <c r="G490" i="17"/>
  <c r="F490" i="17"/>
  <c r="E490" i="17"/>
  <c r="D490" i="17"/>
  <c r="C490" i="17"/>
  <c r="B490" i="17"/>
  <c r="AU489" i="17"/>
  <c r="AA489" i="17"/>
  <c r="Q489" i="17"/>
  <c r="H489" i="17"/>
  <c r="G489" i="17"/>
  <c r="F489" i="17"/>
  <c r="E489" i="17"/>
  <c r="D489" i="17"/>
  <c r="C489" i="17"/>
  <c r="B489" i="17"/>
  <c r="AU488" i="17"/>
  <c r="AA488" i="17"/>
  <c r="Q488" i="17"/>
  <c r="H488" i="17"/>
  <c r="G488" i="17"/>
  <c r="F488" i="17"/>
  <c r="E488" i="17"/>
  <c r="D488" i="17"/>
  <c r="C488" i="17"/>
  <c r="B488" i="17"/>
  <c r="AU487" i="17"/>
  <c r="AA487" i="17"/>
  <c r="Q487" i="17"/>
  <c r="H487" i="17"/>
  <c r="G487" i="17"/>
  <c r="F487" i="17"/>
  <c r="E487" i="17"/>
  <c r="D487" i="17"/>
  <c r="C487" i="17"/>
  <c r="B487" i="17"/>
  <c r="AU486" i="17"/>
  <c r="AA486" i="17"/>
  <c r="Q486" i="17"/>
  <c r="H486" i="17"/>
  <c r="G486" i="17"/>
  <c r="F486" i="17"/>
  <c r="E486" i="17"/>
  <c r="D486" i="17"/>
  <c r="C486" i="17"/>
  <c r="B486" i="17"/>
  <c r="AU485" i="17"/>
  <c r="AA485" i="17"/>
  <c r="Q485" i="17"/>
  <c r="H485" i="17"/>
  <c r="G485" i="17"/>
  <c r="F485" i="17"/>
  <c r="E485" i="17"/>
  <c r="D485" i="17"/>
  <c r="C485" i="17"/>
  <c r="B485" i="17"/>
  <c r="AU484" i="17"/>
  <c r="AA484" i="17"/>
  <c r="Q484" i="17"/>
  <c r="H484" i="17"/>
  <c r="G484" i="17"/>
  <c r="F484" i="17"/>
  <c r="E484" i="17"/>
  <c r="D484" i="17"/>
  <c r="C484" i="17"/>
  <c r="B484" i="17"/>
  <c r="AB483" i="17"/>
  <c r="AU483" i="17" s="1"/>
  <c r="AA483" i="17"/>
  <c r="Q483" i="17"/>
  <c r="H483" i="17"/>
  <c r="G483" i="17"/>
  <c r="F483" i="17"/>
  <c r="E483" i="17"/>
  <c r="D483" i="17"/>
  <c r="C483" i="17"/>
  <c r="B483" i="17"/>
  <c r="AU482" i="17"/>
  <c r="AA482" i="17"/>
  <c r="Q482" i="17"/>
  <c r="H482" i="17"/>
  <c r="G482" i="17"/>
  <c r="F482" i="17"/>
  <c r="E482" i="17"/>
  <c r="D482" i="17"/>
  <c r="C482" i="17"/>
  <c r="B482" i="17"/>
  <c r="AU481" i="17"/>
  <c r="AA481" i="17"/>
  <c r="Q481" i="17"/>
  <c r="H481" i="17"/>
  <c r="G481" i="17"/>
  <c r="F481" i="17"/>
  <c r="E481" i="17"/>
  <c r="D481" i="17"/>
  <c r="C481" i="17"/>
  <c r="B481" i="17"/>
  <c r="AU480" i="17"/>
  <c r="AA480" i="17"/>
  <c r="Q480" i="17"/>
  <c r="H480" i="17"/>
  <c r="G480" i="17"/>
  <c r="F480" i="17"/>
  <c r="E480" i="17"/>
  <c r="D480" i="17"/>
  <c r="C480" i="17"/>
  <c r="B480" i="17"/>
  <c r="AU479" i="17"/>
  <c r="AA479" i="17"/>
  <c r="Q479" i="17"/>
  <c r="H479" i="17"/>
  <c r="G479" i="17"/>
  <c r="F479" i="17"/>
  <c r="E479" i="17"/>
  <c r="D479" i="17"/>
  <c r="C479" i="17"/>
  <c r="B479" i="17"/>
  <c r="AU478" i="17"/>
  <c r="AA478" i="17"/>
  <c r="Q478" i="17"/>
  <c r="H478" i="17"/>
  <c r="G478" i="17"/>
  <c r="F478" i="17"/>
  <c r="E478" i="17"/>
  <c r="D478" i="17"/>
  <c r="C478" i="17"/>
  <c r="B478" i="17"/>
  <c r="AU477" i="17"/>
  <c r="AA477" i="17"/>
  <c r="Q477" i="17"/>
  <c r="H477" i="17"/>
  <c r="G477" i="17"/>
  <c r="F477" i="17"/>
  <c r="E477" i="17"/>
  <c r="D477" i="17"/>
  <c r="C477" i="17"/>
  <c r="B477" i="17"/>
  <c r="AU476" i="17"/>
  <c r="AA476" i="17"/>
  <c r="Q476" i="17"/>
  <c r="H476" i="17"/>
  <c r="G476" i="17"/>
  <c r="F476" i="17"/>
  <c r="E476" i="17"/>
  <c r="D476" i="17"/>
  <c r="C476" i="17"/>
  <c r="B476" i="17"/>
  <c r="AU475" i="17"/>
  <c r="AA475" i="17"/>
  <c r="Q475" i="17"/>
  <c r="H475" i="17"/>
  <c r="G475" i="17"/>
  <c r="F475" i="17"/>
  <c r="E475" i="17"/>
  <c r="D475" i="17"/>
  <c r="C475" i="17"/>
  <c r="B475" i="17"/>
  <c r="AU474" i="17"/>
  <c r="AA474" i="17"/>
  <c r="Q474" i="17"/>
  <c r="H474" i="17"/>
  <c r="G474" i="17"/>
  <c r="F474" i="17"/>
  <c r="E474" i="17"/>
  <c r="D474" i="17"/>
  <c r="C474" i="17"/>
  <c r="B474" i="17"/>
  <c r="AU473" i="17"/>
  <c r="AA473" i="17"/>
  <c r="Q473" i="17"/>
  <c r="H473" i="17"/>
  <c r="G473" i="17"/>
  <c r="F473" i="17"/>
  <c r="E473" i="17"/>
  <c r="D473" i="17"/>
  <c r="C473" i="17"/>
  <c r="B473" i="17"/>
  <c r="AU472" i="17"/>
  <c r="AA472" i="17"/>
  <c r="Q472" i="17"/>
  <c r="H472" i="17"/>
  <c r="G472" i="17"/>
  <c r="F472" i="17"/>
  <c r="E472" i="17"/>
  <c r="D472" i="17"/>
  <c r="C472" i="17"/>
  <c r="B472" i="17"/>
  <c r="AU471" i="17"/>
  <c r="AA471" i="17"/>
  <c r="Q471" i="17"/>
  <c r="H471" i="17"/>
  <c r="G471" i="17"/>
  <c r="F471" i="17"/>
  <c r="E471" i="17"/>
  <c r="D471" i="17"/>
  <c r="C471" i="17"/>
  <c r="B471" i="17"/>
  <c r="AU470" i="17"/>
  <c r="AA470" i="17"/>
  <c r="Q470" i="17"/>
  <c r="H470" i="17"/>
  <c r="G470" i="17"/>
  <c r="F470" i="17"/>
  <c r="E470" i="17"/>
  <c r="D470" i="17"/>
  <c r="C470" i="17"/>
  <c r="B470" i="17"/>
  <c r="AU469" i="17"/>
  <c r="AA469" i="17"/>
  <c r="Q469" i="17"/>
  <c r="H469" i="17"/>
  <c r="G469" i="17"/>
  <c r="F469" i="17"/>
  <c r="E469" i="17"/>
  <c r="D469" i="17"/>
  <c r="C469" i="17"/>
  <c r="B469" i="17"/>
  <c r="AU468" i="17"/>
  <c r="AA468" i="17"/>
  <c r="Q468" i="17"/>
  <c r="H468" i="17"/>
  <c r="G468" i="17"/>
  <c r="F468" i="17"/>
  <c r="E468" i="17"/>
  <c r="D468" i="17"/>
  <c r="C468" i="17"/>
  <c r="B468" i="17"/>
  <c r="AU467" i="17"/>
  <c r="AA467" i="17"/>
  <c r="Q467" i="17"/>
  <c r="H467" i="17"/>
  <c r="G467" i="17"/>
  <c r="F467" i="17"/>
  <c r="E467" i="17"/>
  <c r="D467" i="17"/>
  <c r="C467" i="17"/>
  <c r="B467" i="17"/>
  <c r="AU466" i="17"/>
  <c r="AA466" i="17"/>
  <c r="Q466" i="17"/>
  <c r="H466" i="17"/>
  <c r="G466" i="17"/>
  <c r="F466" i="17"/>
  <c r="E466" i="17"/>
  <c r="D466" i="17"/>
  <c r="C466" i="17"/>
  <c r="B466" i="17"/>
  <c r="AU465" i="17"/>
  <c r="AA465" i="17"/>
  <c r="Q465" i="17"/>
  <c r="H465" i="17"/>
  <c r="G465" i="17"/>
  <c r="F465" i="17"/>
  <c r="E465" i="17"/>
  <c r="D465" i="17"/>
  <c r="C465" i="17"/>
  <c r="B465" i="17"/>
  <c r="AU464" i="17"/>
  <c r="AA464" i="17"/>
  <c r="Q464" i="17"/>
  <c r="H464" i="17"/>
  <c r="G464" i="17"/>
  <c r="F464" i="17"/>
  <c r="E464" i="17"/>
  <c r="D464" i="17"/>
  <c r="C464" i="17"/>
  <c r="B464" i="17"/>
  <c r="AU463" i="17"/>
  <c r="AA463" i="17"/>
  <c r="Q463" i="17"/>
  <c r="H463" i="17"/>
  <c r="G463" i="17"/>
  <c r="F463" i="17"/>
  <c r="E463" i="17"/>
  <c r="D463" i="17"/>
  <c r="C463" i="17"/>
  <c r="B463" i="17"/>
  <c r="AU462" i="17"/>
  <c r="AA462" i="17"/>
  <c r="Q462" i="17"/>
  <c r="H462" i="17"/>
  <c r="G462" i="17"/>
  <c r="F462" i="17"/>
  <c r="E462" i="17"/>
  <c r="D462" i="17"/>
  <c r="C462" i="17"/>
  <c r="B462" i="17"/>
  <c r="AU461" i="17"/>
  <c r="AA461" i="17"/>
  <c r="Q461" i="17"/>
  <c r="H461" i="17"/>
  <c r="G461" i="17"/>
  <c r="F461" i="17"/>
  <c r="E461" i="17"/>
  <c r="D461" i="17"/>
  <c r="C461" i="17"/>
  <c r="B461" i="17"/>
  <c r="AU460" i="17"/>
  <c r="AA460" i="17"/>
  <c r="Q460" i="17"/>
  <c r="H460" i="17"/>
  <c r="G460" i="17"/>
  <c r="F460" i="17"/>
  <c r="E460" i="17"/>
  <c r="D460" i="17"/>
  <c r="C460" i="17"/>
  <c r="B460" i="17"/>
  <c r="AU459" i="17"/>
  <c r="AA459" i="17"/>
  <c r="Q459" i="17"/>
  <c r="H459" i="17"/>
  <c r="G459" i="17"/>
  <c r="F459" i="17"/>
  <c r="E459" i="17"/>
  <c r="D459" i="17"/>
  <c r="C459" i="17"/>
  <c r="B459" i="17"/>
  <c r="AU458" i="17"/>
  <c r="AA458" i="17"/>
  <c r="Q458" i="17"/>
  <c r="H458" i="17"/>
  <c r="G458" i="17"/>
  <c r="F458" i="17"/>
  <c r="E458" i="17"/>
  <c r="D458" i="17"/>
  <c r="C458" i="17"/>
  <c r="B458" i="17"/>
  <c r="AU457" i="17"/>
  <c r="AA457" i="17"/>
  <c r="Q457" i="17"/>
  <c r="H457" i="17"/>
  <c r="G457" i="17"/>
  <c r="F457" i="17"/>
  <c r="E457" i="17"/>
  <c r="D457" i="17"/>
  <c r="C457" i="17"/>
  <c r="B457" i="17"/>
  <c r="AU456" i="17"/>
  <c r="AA456" i="17"/>
  <c r="Q456" i="17"/>
  <c r="H456" i="17"/>
  <c r="G456" i="17"/>
  <c r="F456" i="17"/>
  <c r="E456" i="17"/>
  <c r="D456" i="17"/>
  <c r="C456" i="17"/>
  <c r="B456" i="17"/>
  <c r="AU455" i="17"/>
  <c r="AA455" i="17"/>
  <c r="Q455" i="17"/>
  <c r="H455" i="17"/>
  <c r="G455" i="17"/>
  <c r="F455" i="17"/>
  <c r="E455" i="17"/>
  <c r="D455" i="17"/>
  <c r="C455" i="17"/>
  <c r="B455" i="17"/>
  <c r="AU454" i="17"/>
  <c r="AA454" i="17"/>
  <c r="Q454" i="17"/>
  <c r="H454" i="17"/>
  <c r="G454" i="17"/>
  <c r="F454" i="17"/>
  <c r="E454" i="17"/>
  <c r="D454" i="17"/>
  <c r="C454" i="17"/>
  <c r="B454" i="17"/>
  <c r="AU453" i="17"/>
  <c r="AA453" i="17"/>
  <c r="Q453" i="17"/>
  <c r="H453" i="17"/>
  <c r="G453" i="17"/>
  <c r="F453" i="17"/>
  <c r="E453" i="17"/>
  <c r="D453" i="17"/>
  <c r="C453" i="17"/>
  <c r="B453" i="17"/>
  <c r="AU452" i="17"/>
  <c r="AA452" i="17"/>
  <c r="Q452" i="17"/>
  <c r="H452" i="17"/>
  <c r="G452" i="17"/>
  <c r="F452" i="17"/>
  <c r="E452" i="17"/>
  <c r="D452" i="17"/>
  <c r="C452" i="17"/>
  <c r="B452" i="17"/>
  <c r="AU451" i="17"/>
  <c r="AA451" i="17"/>
  <c r="Q451" i="17"/>
  <c r="H451" i="17"/>
  <c r="G451" i="17"/>
  <c r="F451" i="17"/>
  <c r="E451" i="17"/>
  <c r="D451" i="17"/>
  <c r="C451" i="17"/>
  <c r="B451" i="17"/>
  <c r="AU450" i="17"/>
  <c r="AA450" i="17"/>
  <c r="Q450" i="17"/>
  <c r="H450" i="17"/>
  <c r="G450" i="17"/>
  <c r="F450" i="17"/>
  <c r="E450" i="17"/>
  <c r="D450" i="17"/>
  <c r="C450" i="17"/>
  <c r="B450" i="17"/>
  <c r="AU449" i="17"/>
  <c r="AA449" i="17"/>
  <c r="Q449" i="17"/>
  <c r="H449" i="17"/>
  <c r="G449" i="17"/>
  <c r="F449" i="17"/>
  <c r="E449" i="17"/>
  <c r="D449" i="17"/>
  <c r="C449" i="17"/>
  <c r="B449" i="17"/>
  <c r="AU448" i="17"/>
  <c r="AA448" i="17"/>
  <c r="Q448" i="17"/>
  <c r="H448" i="17"/>
  <c r="G448" i="17"/>
  <c r="F448" i="17"/>
  <c r="E448" i="17"/>
  <c r="D448" i="17"/>
  <c r="C448" i="17"/>
  <c r="B448" i="17"/>
  <c r="AU447" i="17"/>
  <c r="AA447" i="17"/>
  <c r="Q447" i="17"/>
  <c r="H447" i="17"/>
  <c r="G447" i="17"/>
  <c r="F447" i="17"/>
  <c r="E447" i="17"/>
  <c r="D447" i="17"/>
  <c r="C447" i="17"/>
  <c r="B447" i="17"/>
  <c r="AU446" i="17"/>
  <c r="AA446" i="17"/>
  <c r="Q446" i="17"/>
  <c r="H446" i="17"/>
  <c r="G446" i="17"/>
  <c r="F446" i="17"/>
  <c r="E446" i="17"/>
  <c r="D446" i="17"/>
  <c r="C446" i="17"/>
  <c r="B446" i="17"/>
  <c r="AU445" i="17"/>
  <c r="AA445" i="17"/>
  <c r="Q445" i="17"/>
  <c r="H445" i="17"/>
  <c r="G445" i="17"/>
  <c r="F445" i="17"/>
  <c r="E445" i="17"/>
  <c r="D445" i="17"/>
  <c r="C445" i="17"/>
  <c r="B445" i="17"/>
  <c r="AU444" i="17"/>
  <c r="AA444" i="17"/>
  <c r="Q444" i="17"/>
  <c r="H444" i="17"/>
  <c r="G444" i="17"/>
  <c r="F444" i="17"/>
  <c r="E444" i="17"/>
  <c r="D444" i="17"/>
  <c r="C444" i="17"/>
  <c r="B444" i="17"/>
  <c r="AU443" i="17"/>
  <c r="AA443" i="17"/>
  <c r="Q443" i="17"/>
  <c r="H443" i="17"/>
  <c r="G443" i="17"/>
  <c r="F443" i="17"/>
  <c r="E443" i="17"/>
  <c r="D443" i="17"/>
  <c r="C443" i="17"/>
  <c r="B443" i="17"/>
  <c r="AU442" i="17"/>
  <c r="AA442" i="17"/>
  <c r="Q442" i="17"/>
  <c r="H442" i="17"/>
  <c r="G442" i="17"/>
  <c r="F442" i="17"/>
  <c r="E442" i="17"/>
  <c r="D442" i="17"/>
  <c r="C442" i="17"/>
  <c r="B442" i="17"/>
  <c r="AU441" i="17"/>
  <c r="AA441" i="17"/>
  <c r="Q441" i="17"/>
  <c r="H441" i="17"/>
  <c r="G441" i="17"/>
  <c r="F441" i="17"/>
  <c r="E441" i="17"/>
  <c r="D441" i="17"/>
  <c r="C441" i="17"/>
  <c r="B441" i="17"/>
  <c r="AU440" i="17"/>
  <c r="AA440" i="17"/>
  <c r="Q440" i="17"/>
  <c r="H440" i="17"/>
  <c r="G440" i="17"/>
  <c r="F440" i="17"/>
  <c r="E440" i="17"/>
  <c r="D440" i="17"/>
  <c r="C440" i="17"/>
  <c r="B440" i="17"/>
  <c r="AU439" i="17"/>
  <c r="AA439" i="17"/>
  <c r="Q439" i="17"/>
  <c r="H439" i="17"/>
  <c r="G439" i="17"/>
  <c r="F439" i="17"/>
  <c r="E439" i="17"/>
  <c r="D439" i="17"/>
  <c r="C439" i="17"/>
  <c r="B439" i="17"/>
  <c r="AU438" i="17"/>
  <c r="AA438" i="17"/>
  <c r="Q438" i="17"/>
  <c r="H438" i="17"/>
  <c r="G438" i="17"/>
  <c r="F438" i="17"/>
  <c r="E438" i="17"/>
  <c r="D438" i="17"/>
  <c r="C438" i="17"/>
  <c r="B438" i="17"/>
  <c r="AU437" i="17"/>
  <c r="AA437" i="17"/>
  <c r="Q437" i="17"/>
  <c r="H437" i="17"/>
  <c r="G437" i="17"/>
  <c r="F437" i="17"/>
  <c r="E437" i="17"/>
  <c r="D437" i="17"/>
  <c r="C437" i="17"/>
  <c r="B437" i="17"/>
  <c r="AU436" i="17"/>
  <c r="AA436" i="17"/>
  <c r="Q436" i="17"/>
  <c r="H436" i="17"/>
  <c r="G436" i="17"/>
  <c r="F436" i="17"/>
  <c r="E436" i="17"/>
  <c r="D436" i="17"/>
  <c r="C436" i="17"/>
  <c r="B436" i="17"/>
  <c r="AA435" i="17"/>
  <c r="Q435" i="17"/>
  <c r="H435" i="17"/>
  <c r="G435" i="17"/>
  <c r="F435" i="17"/>
  <c r="E435" i="17"/>
  <c r="D435" i="17"/>
  <c r="C435" i="17"/>
  <c r="B435" i="17"/>
  <c r="AU434" i="17"/>
  <c r="AA434" i="17"/>
  <c r="Q434" i="17"/>
  <c r="H434" i="17"/>
  <c r="G434" i="17"/>
  <c r="F434" i="17"/>
  <c r="E434" i="17"/>
  <c r="D434" i="17"/>
  <c r="C434" i="17"/>
  <c r="B434" i="17"/>
  <c r="AU433" i="17"/>
  <c r="AA433" i="17"/>
  <c r="Q433" i="17"/>
  <c r="H433" i="17"/>
  <c r="G433" i="17"/>
  <c r="F433" i="17"/>
  <c r="E433" i="17"/>
  <c r="D433" i="17"/>
  <c r="C433" i="17"/>
  <c r="B433" i="17"/>
  <c r="AU432" i="17"/>
  <c r="AA432" i="17"/>
  <c r="Q432" i="17"/>
  <c r="H432" i="17"/>
  <c r="G432" i="17"/>
  <c r="F432" i="17"/>
  <c r="E432" i="17"/>
  <c r="D432" i="17"/>
  <c r="C432" i="17"/>
  <c r="B432" i="17"/>
  <c r="AU431" i="17"/>
  <c r="AA431" i="17"/>
  <c r="Q431" i="17"/>
  <c r="H431" i="17"/>
  <c r="G431" i="17"/>
  <c r="F431" i="17"/>
  <c r="E431" i="17"/>
  <c r="D431" i="17"/>
  <c r="C431" i="17"/>
  <c r="B431" i="17"/>
  <c r="AU430" i="17"/>
  <c r="AA430" i="17"/>
  <c r="Q430" i="17"/>
  <c r="H430" i="17"/>
  <c r="G430" i="17"/>
  <c r="F430" i="17"/>
  <c r="E430" i="17"/>
  <c r="D430" i="17"/>
  <c r="C430" i="17"/>
  <c r="B430" i="17"/>
  <c r="AC429" i="17"/>
  <c r="AU429" i="17" s="1"/>
  <c r="AA429" i="17"/>
  <c r="Q429" i="17"/>
  <c r="H429" i="17"/>
  <c r="G429" i="17"/>
  <c r="F429" i="17"/>
  <c r="E429" i="17"/>
  <c r="D429" i="17"/>
  <c r="C429" i="17"/>
  <c r="B429" i="17"/>
  <c r="AU428" i="17"/>
  <c r="AA428" i="17"/>
  <c r="Q428" i="17"/>
  <c r="H428" i="17"/>
  <c r="G428" i="17"/>
  <c r="F428" i="17"/>
  <c r="E428" i="17"/>
  <c r="D428" i="17"/>
  <c r="C428" i="17"/>
  <c r="B428" i="17"/>
  <c r="AU427" i="17"/>
  <c r="AA427" i="17"/>
  <c r="Q427" i="17"/>
  <c r="H427" i="17"/>
  <c r="G427" i="17"/>
  <c r="F427" i="17"/>
  <c r="E427" i="17"/>
  <c r="D427" i="17"/>
  <c r="C427" i="17"/>
  <c r="B427" i="17"/>
  <c r="AU426" i="17"/>
  <c r="AA426" i="17"/>
  <c r="Q426" i="17"/>
  <c r="H426" i="17"/>
  <c r="G426" i="17"/>
  <c r="F426" i="17"/>
  <c r="E426" i="17"/>
  <c r="D426" i="17"/>
  <c r="C426" i="17"/>
  <c r="B426" i="17"/>
  <c r="AU425" i="17"/>
  <c r="AA425" i="17"/>
  <c r="Q425" i="17"/>
  <c r="H425" i="17"/>
  <c r="G425" i="17"/>
  <c r="F425" i="17"/>
  <c r="E425" i="17"/>
  <c r="D425" i="17"/>
  <c r="C425" i="17"/>
  <c r="B425" i="17"/>
  <c r="AU424" i="17"/>
  <c r="AA424" i="17"/>
  <c r="Q424" i="17"/>
  <c r="H424" i="17"/>
  <c r="G424" i="17"/>
  <c r="F424" i="17"/>
  <c r="E424" i="17"/>
  <c r="D424" i="17"/>
  <c r="C424" i="17"/>
  <c r="B424" i="17"/>
  <c r="AU423" i="17"/>
  <c r="AA423" i="17"/>
  <c r="Q423" i="17"/>
  <c r="H423" i="17"/>
  <c r="G423" i="17"/>
  <c r="F423" i="17"/>
  <c r="E423" i="17"/>
  <c r="D423" i="17"/>
  <c r="C423" i="17"/>
  <c r="B423" i="17"/>
  <c r="AU422" i="17"/>
  <c r="AA422" i="17"/>
  <c r="Q422" i="17"/>
  <c r="H422" i="17"/>
  <c r="G422" i="17"/>
  <c r="F422" i="17"/>
  <c r="E422" i="17"/>
  <c r="D422" i="17"/>
  <c r="C422" i="17"/>
  <c r="B422" i="17"/>
  <c r="AU421" i="17"/>
  <c r="AA421" i="17"/>
  <c r="Q421" i="17"/>
  <c r="H421" i="17"/>
  <c r="G421" i="17"/>
  <c r="F421" i="17"/>
  <c r="E421" i="17"/>
  <c r="D421" i="17"/>
  <c r="C421" i="17"/>
  <c r="B421" i="17"/>
  <c r="AU420" i="17"/>
  <c r="AA420" i="17"/>
  <c r="Q420" i="17"/>
  <c r="H420" i="17"/>
  <c r="G420" i="17"/>
  <c r="F420" i="17"/>
  <c r="E420" i="17"/>
  <c r="D420" i="17"/>
  <c r="C420" i="17"/>
  <c r="B420" i="17"/>
  <c r="AU419" i="17"/>
  <c r="AA419" i="17"/>
  <c r="Q419" i="17"/>
  <c r="H419" i="17"/>
  <c r="G419" i="17"/>
  <c r="F419" i="17"/>
  <c r="E419" i="17"/>
  <c r="D419" i="17"/>
  <c r="C419" i="17"/>
  <c r="B419" i="17"/>
  <c r="AU418" i="17"/>
  <c r="AA418" i="17"/>
  <c r="Q418" i="17"/>
  <c r="H418" i="17"/>
  <c r="G418" i="17"/>
  <c r="F418" i="17"/>
  <c r="E418" i="17"/>
  <c r="D418" i="17"/>
  <c r="C418" i="17"/>
  <c r="B418" i="17"/>
  <c r="AU417" i="17"/>
  <c r="AA417" i="17"/>
  <c r="Q417" i="17"/>
  <c r="H417" i="17"/>
  <c r="G417" i="17"/>
  <c r="F417" i="17"/>
  <c r="E417" i="17"/>
  <c r="D417" i="17"/>
  <c r="C417" i="17"/>
  <c r="B417" i="17"/>
  <c r="AU416" i="17"/>
  <c r="AA416" i="17"/>
  <c r="Q416" i="17"/>
  <c r="H416" i="17"/>
  <c r="G416" i="17"/>
  <c r="F416" i="17"/>
  <c r="E416" i="17"/>
  <c r="D416" i="17"/>
  <c r="C416" i="17"/>
  <c r="B416" i="17"/>
  <c r="AU415" i="17"/>
  <c r="AA415" i="17"/>
  <c r="Q415" i="17"/>
  <c r="H415" i="17"/>
  <c r="G415" i="17"/>
  <c r="F415" i="17"/>
  <c r="E415" i="17"/>
  <c r="D415" i="17"/>
  <c r="C415" i="17"/>
  <c r="B415" i="17"/>
  <c r="AU414" i="17"/>
  <c r="AA414" i="17"/>
  <c r="Q414" i="17"/>
  <c r="H414" i="17"/>
  <c r="G414" i="17"/>
  <c r="F414" i="17"/>
  <c r="E414" i="17"/>
  <c r="D414" i="17"/>
  <c r="C414" i="17"/>
  <c r="B414" i="17"/>
  <c r="AU413" i="17"/>
  <c r="AA413" i="17"/>
  <c r="Q413" i="17"/>
  <c r="H413" i="17"/>
  <c r="G413" i="17"/>
  <c r="F413" i="17"/>
  <c r="E413" i="17"/>
  <c r="D413" i="17"/>
  <c r="C413" i="17"/>
  <c r="B413" i="17"/>
  <c r="AU412" i="17"/>
  <c r="AA412" i="17"/>
  <c r="Q412" i="17"/>
  <c r="H412" i="17"/>
  <c r="G412" i="17"/>
  <c r="F412" i="17"/>
  <c r="E412" i="17"/>
  <c r="D412" i="17"/>
  <c r="C412" i="17"/>
  <c r="B412" i="17"/>
  <c r="AU411" i="17"/>
  <c r="AA411" i="17"/>
  <c r="Q411" i="17"/>
  <c r="H411" i="17"/>
  <c r="G411" i="17"/>
  <c r="F411" i="17"/>
  <c r="E411" i="17"/>
  <c r="D411" i="17"/>
  <c r="C411" i="17"/>
  <c r="B411" i="17"/>
  <c r="AU410" i="17"/>
  <c r="AA410" i="17"/>
  <c r="Q410" i="17"/>
  <c r="H410" i="17"/>
  <c r="G410" i="17"/>
  <c r="F410" i="17"/>
  <c r="E410" i="17"/>
  <c r="D410" i="17"/>
  <c r="C410" i="17"/>
  <c r="B410" i="17"/>
  <c r="AU409" i="17"/>
  <c r="AA409" i="17"/>
  <c r="Q409" i="17"/>
  <c r="H409" i="17"/>
  <c r="G409" i="17"/>
  <c r="F409" i="17"/>
  <c r="E409" i="17"/>
  <c r="D409" i="17"/>
  <c r="C409" i="17"/>
  <c r="B409" i="17"/>
  <c r="AU408" i="17"/>
  <c r="AA408" i="17"/>
  <c r="Q408" i="17"/>
  <c r="H408" i="17"/>
  <c r="G408" i="17"/>
  <c r="F408" i="17"/>
  <c r="E408" i="17"/>
  <c r="D408" i="17"/>
  <c r="C408" i="17"/>
  <c r="B408" i="17"/>
  <c r="AU407" i="17"/>
  <c r="AA407" i="17"/>
  <c r="Q407" i="17"/>
  <c r="H407" i="17"/>
  <c r="G407" i="17"/>
  <c r="F407" i="17"/>
  <c r="E407" i="17"/>
  <c r="D407" i="17"/>
  <c r="C407" i="17"/>
  <c r="B407" i="17"/>
  <c r="AU406" i="17"/>
  <c r="AA406" i="17"/>
  <c r="Q406" i="17"/>
  <c r="H406" i="17"/>
  <c r="G406" i="17"/>
  <c r="F406" i="17"/>
  <c r="E406" i="17"/>
  <c r="D406" i="17"/>
  <c r="C406" i="17"/>
  <c r="B406" i="17"/>
  <c r="AU405" i="17"/>
  <c r="AA405" i="17"/>
  <c r="Q405" i="17"/>
  <c r="H405" i="17"/>
  <c r="G405" i="17"/>
  <c r="F405" i="17"/>
  <c r="E405" i="17"/>
  <c r="D405" i="17"/>
  <c r="C405" i="17"/>
  <c r="B405" i="17"/>
  <c r="AU404" i="17"/>
  <c r="AA404" i="17"/>
  <c r="Q404" i="17"/>
  <c r="H404" i="17"/>
  <c r="G404" i="17"/>
  <c r="F404" i="17"/>
  <c r="E404" i="17"/>
  <c r="D404" i="17"/>
  <c r="C404" i="17"/>
  <c r="B404" i="17"/>
  <c r="AU403" i="17"/>
  <c r="AA403" i="17"/>
  <c r="Q403" i="17"/>
  <c r="H403" i="17"/>
  <c r="G403" i="17"/>
  <c r="F403" i="17"/>
  <c r="E403" i="17"/>
  <c r="D403" i="17"/>
  <c r="C403" i="17"/>
  <c r="B403" i="17"/>
  <c r="AU402" i="17"/>
  <c r="AA402" i="17"/>
  <c r="Q402" i="17"/>
  <c r="H402" i="17"/>
  <c r="G402" i="17"/>
  <c r="F402" i="17"/>
  <c r="E402" i="17"/>
  <c r="D402" i="17"/>
  <c r="C402" i="17"/>
  <c r="B402" i="17"/>
  <c r="AU401" i="17"/>
  <c r="AA401" i="17"/>
  <c r="Q401" i="17"/>
  <c r="H401" i="17"/>
  <c r="G401" i="17"/>
  <c r="F401" i="17"/>
  <c r="E401" i="17"/>
  <c r="D401" i="17"/>
  <c r="C401" i="17"/>
  <c r="B401" i="17"/>
  <c r="AU400" i="17"/>
  <c r="AA400" i="17"/>
  <c r="Q400" i="17"/>
  <c r="H400" i="17"/>
  <c r="G400" i="17"/>
  <c r="F400" i="17"/>
  <c r="E400" i="17"/>
  <c r="D400" i="17"/>
  <c r="C400" i="17"/>
  <c r="B400" i="17"/>
  <c r="AU399" i="17"/>
  <c r="AA399" i="17"/>
  <c r="Q399" i="17"/>
  <c r="H399" i="17"/>
  <c r="G399" i="17"/>
  <c r="F399" i="17"/>
  <c r="E399" i="17"/>
  <c r="D399" i="17"/>
  <c r="C399" i="17"/>
  <c r="B399" i="17"/>
  <c r="AU398" i="17"/>
  <c r="AA398" i="17"/>
  <c r="Q398" i="17"/>
  <c r="H398" i="17"/>
  <c r="G398" i="17"/>
  <c r="F398" i="17"/>
  <c r="E398" i="17"/>
  <c r="D398" i="17"/>
  <c r="C398" i="17"/>
  <c r="B398" i="17"/>
  <c r="AU397" i="17"/>
  <c r="AA397" i="17"/>
  <c r="Q397" i="17"/>
  <c r="H397" i="17"/>
  <c r="G397" i="17"/>
  <c r="F397" i="17"/>
  <c r="E397" i="17"/>
  <c r="D397" i="17"/>
  <c r="C397" i="17"/>
  <c r="B397" i="17"/>
  <c r="AU396" i="17"/>
  <c r="AA396" i="17"/>
  <c r="Q396" i="17"/>
  <c r="H396" i="17"/>
  <c r="G396" i="17"/>
  <c r="F396" i="17"/>
  <c r="E396" i="17"/>
  <c r="D396" i="17"/>
  <c r="C396" i="17"/>
  <c r="B396" i="17"/>
  <c r="AU395" i="17"/>
  <c r="AA395" i="17"/>
  <c r="Q395" i="17"/>
  <c r="H395" i="17"/>
  <c r="G395" i="17"/>
  <c r="F395" i="17"/>
  <c r="E395" i="17"/>
  <c r="D395" i="17"/>
  <c r="C395" i="17"/>
  <c r="B395" i="17"/>
  <c r="AU394" i="17"/>
  <c r="AA394" i="17"/>
  <c r="Q394" i="17"/>
  <c r="H394" i="17"/>
  <c r="G394" i="17"/>
  <c r="F394" i="17"/>
  <c r="E394" i="17"/>
  <c r="D394" i="17"/>
  <c r="C394" i="17"/>
  <c r="B394" i="17"/>
  <c r="AU393" i="17"/>
  <c r="AA393" i="17"/>
  <c r="Q393" i="17"/>
  <c r="H393" i="17"/>
  <c r="G393" i="17"/>
  <c r="F393" i="17"/>
  <c r="E393" i="17"/>
  <c r="D393" i="17"/>
  <c r="C393" i="17"/>
  <c r="B393" i="17"/>
  <c r="AU392" i="17"/>
  <c r="AA392" i="17"/>
  <c r="Q392" i="17"/>
  <c r="H392" i="17"/>
  <c r="G392" i="17"/>
  <c r="F392" i="17"/>
  <c r="E392" i="17"/>
  <c r="D392" i="17"/>
  <c r="C392" i="17"/>
  <c r="B392" i="17"/>
  <c r="AU391" i="17"/>
  <c r="AA391" i="17"/>
  <c r="Q391" i="17"/>
  <c r="H391" i="17"/>
  <c r="G391" i="17"/>
  <c r="F391" i="17"/>
  <c r="E391" i="17"/>
  <c r="D391" i="17"/>
  <c r="C391" i="17"/>
  <c r="B391" i="17"/>
  <c r="AU390" i="17"/>
  <c r="AA390" i="17"/>
  <c r="Q390" i="17"/>
  <c r="H390" i="17"/>
  <c r="G390" i="17"/>
  <c r="F390" i="17"/>
  <c r="E390" i="17"/>
  <c r="D390" i="17"/>
  <c r="C390" i="17"/>
  <c r="B390" i="17"/>
  <c r="AU389" i="17"/>
  <c r="AA389" i="17"/>
  <c r="Q389" i="17"/>
  <c r="H389" i="17"/>
  <c r="G389" i="17"/>
  <c r="F389" i="17"/>
  <c r="E389" i="17"/>
  <c r="D389" i="17"/>
  <c r="C389" i="17"/>
  <c r="B389" i="17"/>
  <c r="AU388" i="17"/>
  <c r="AA388" i="17"/>
  <c r="Q388" i="17"/>
  <c r="H388" i="17"/>
  <c r="G388" i="17"/>
  <c r="F388" i="17"/>
  <c r="E388" i="17"/>
  <c r="D388" i="17"/>
  <c r="C388" i="17"/>
  <c r="B388" i="17"/>
  <c r="AU387" i="17"/>
  <c r="AA387" i="17"/>
  <c r="Q387" i="17"/>
  <c r="H387" i="17"/>
  <c r="G387" i="17"/>
  <c r="F387" i="17"/>
  <c r="E387" i="17"/>
  <c r="D387" i="17"/>
  <c r="C387" i="17"/>
  <c r="B387" i="17"/>
  <c r="AU386" i="17"/>
  <c r="AA386" i="17"/>
  <c r="Q386" i="17"/>
  <c r="H386" i="17"/>
  <c r="G386" i="17"/>
  <c r="F386" i="17"/>
  <c r="E386" i="17"/>
  <c r="D386" i="17"/>
  <c r="C386" i="17"/>
  <c r="B386" i="17"/>
  <c r="AU385" i="17"/>
  <c r="AA385" i="17"/>
  <c r="Q385" i="17"/>
  <c r="H385" i="17"/>
  <c r="G385" i="17"/>
  <c r="F385" i="17"/>
  <c r="E385" i="17"/>
  <c r="D385" i="17"/>
  <c r="C385" i="17"/>
  <c r="B385" i="17"/>
  <c r="AU384" i="17"/>
  <c r="AA384" i="17"/>
  <c r="Q384" i="17"/>
  <c r="H384" i="17"/>
  <c r="G384" i="17"/>
  <c r="F384" i="17"/>
  <c r="E384" i="17"/>
  <c r="D384" i="17"/>
  <c r="C384" i="17"/>
  <c r="B384" i="17"/>
  <c r="AU383" i="17"/>
  <c r="AA383" i="17"/>
  <c r="Q383" i="17"/>
  <c r="H383" i="17"/>
  <c r="G383" i="17"/>
  <c r="F383" i="17"/>
  <c r="E383" i="17"/>
  <c r="D383" i="17"/>
  <c r="C383" i="17"/>
  <c r="B383" i="17"/>
  <c r="AU382" i="17"/>
  <c r="AA382" i="17"/>
  <c r="Q382" i="17"/>
  <c r="H382" i="17"/>
  <c r="G382" i="17"/>
  <c r="F382" i="17"/>
  <c r="E382" i="17"/>
  <c r="D382" i="17"/>
  <c r="C382" i="17"/>
  <c r="B382" i="17"/>
  <c r="AU381" i="17"/>
  <c r="Q381" i="17"/>
  <c r="H381" i="17"/>
  <c r="G381" i="17"/>
  <c r="F381" i="17"/>
  <c r="E381" i="17"/>
  <c r="D381" i="17"/>
  <c r="C381" i="17"/>
  <c r="B381" i="17"/>
  <c r="AU380" i="17"/>
  <c r="AA380" i="17"/>
  <c r="Q380" i="17"/>
  <c r="H380" i="17"/>
  <c r="G380" i="17"/>
  <c r="F380" i="17"/>
  <c r="E380" i="17"/>
  <c r="D380" i="17"/>
  <c r="C380" i="17"/>
  <c r="B380" i="17"/>
  <c r="AU379" i="17"/>
  <c r="AA379" i="17"/>
  <c r="Q379" i="17"/>
  <c r="H379" i="17"/>
  <c r="G379" i="17"/>
  <c r="F379" i="17"/>
  <c r="E379" i="17"/>
  <c r="D379" i="17"/>
  <c r="C379" i="17"/>
  <c r="B379" i="17"/>
  <c r="AU378" i="17"/>
  <c r="AA378" i="17"/>
  <c r="Q378" i="17"/>
  <c r="H378" i="17"/>
  <c r="G378" i="17"/>
  <c r="F378" i="17"/>
  <c r="E378" i="17"/>
  <c r="D378" i="17"/>
  <c r="C378" i="17"/>
  <c r="B378" i="17"/>
  <c r="AU377" i="17"/>
  <c r="AA377" i="17"/>
  <c r="Q377" i="17"/>
  <c r="H377" i="17"/>
  <c r="G377" i="17"/>
  <c r="F377" i="17"/>
  <c r="E377" i="17"/>
  <c r="D377" i="17"/>
  <c r="C377" i="17"/>
  <c r="B377" i="17"/>
  <c r="AU376" i="17"/>
  <c r="AA376" i="17"/>
  <c r="Q376" i="17"/>
  <c r="H376" i="17"/>
  <c r="G376" i="17"/>
  <c r="F376" i="17"/>
  <c r="E376" i="17"/>
  <c r="D376" i="17"/>
  <c r="C376" i="17"/>
  <c r="B376" i="17"/>
  <c r="AU375" i="17"/>
  <c r="AA375" i="17"/>
  <c r="Q375" i="17"/>
  <c r="H375" i="17"/>
  <c r="G375" i="17"/>
  <c r="F375" i="17"/>
  <c r="E375" i="17"/>
  <c r="D375" i="17"/>
  <c r="C375" i="17"/>
  <c r="B375" i="17"/>
  <c r="AU374" i="17"/>
  <c r="AA374" i="17"/>
  <c r="Q374" i="17"/>
  <c r="H374" i="17"/>
  <c r="G374" i="17"/>
  <c r="F374" i="17"/>
  <c r="E374" i="17"/>
  <c r="D374" i="17"/>
  <c r="C374" i="17"/>
  <c r="B374" i="17"/>
  <c r="AU373" i="17"/>
  <c r="AA373" i="17"/>
  <c r="Q373" i="17"/>
  <c r="H373" i="17"/>
  <c r="G373" i="17"/>
  <c r="F373" i="17"/>
  <c r="E373" i="17"/>
  <c r="D373" i="17"/>
  <c r="C373" i="17"/>
  <c r="B373" i="17"/>
  <c r="AU372" i="17"/>
  <c r="AA372" i="17"/>
  <c r="Q372" i="17"/>
  <c r="H372" i="17"/>
  <c r="G372" i="17"/>
  <c r="F372" i="17"/>
  <c r="E372" i="17"/>
  <c r="D372" i="17"/>
  <c r="C372" i="17"/>
  <c r="B372" i="17"/>
  <c r="AU371" i="17"/>
  <c r="AA371" i="17"/>
  <c r="Q371" i="17"/>
  <c r="H371" i="17"/>
  <c r="G371" i="17"/>
  <c r="F371" i="17"/>
  <c r="E371" i="17"/>
  <c r="D371" i="17"/>
  <c r="C371" i="17"/>
  <c r="B371" i="17"/>
  <c r="AU370" i="17"/>
  <c r="AA370" i="17"/>
  <c r="Q370" i="17"/>
  <c r="H370" i="17"/>
  <c r="G370" i="17"/>
  <c r="F370" i="17"/>
  <c r="E370" i="17"/>
  <c r="D370" i="17"/>
  <c r="C370" i="17"/>
  <c r="B370" i="17"/>
  <c r="AU369" i="17"/>
  <c r="AA369" i="17"/>
  <c r="Q369" i="17"/>
  <c r="H369" i="17"/>
  <c r="G369" i="17"/>
  <c r="F369" i="17"/>
  <c r="E369" i="17"/>
  <c r="D369" i="17"/>
  <c r="C369" i="17"/>
  <c r="B369" i="17"/>
  <c r="AU368" i="17"/>
  <c r="AA368" i="17"/>
  <c r="Q368" i="17"/>
  <c r="H368" i="17"/>
  <c r="G368" i="17"/>
  <c r="F368" i="17"/>
  <c r="E368" i="17"/>
  <c r="D368" i="17"/>
  <c r="C368" i="17"/>
  <c r="B368" i="17"/>
  <c r="AU367" i="17"/>
  <c r="AA367" i="17"/>
  <c r="Q367" i="17"/>
  <c r="H367" i="17"/>
  <c r="G367" i="17"/>
  <c r="F367" i="17"/>
  <c r="E367" i="17"/>
  <c r="D367" i="17"/>
  <c r="C367" i="17"/>
  <c r="B367" i="17"/>
  <c r="AU366" i="17"/>
  <c r="AA366" i="17"/>
  <c r="Q366" i="17"/>
  <c r="H366" i="17"/>
  <c r="G366" i="17"/>
  <c r="F366" i="17"/>
  <c r="E366" i="17"/>
  <c r="D366" i="17"/>
  <c r="C366" i="17"/>
  <c r="B366" i="17"/>
  <c r="AU365" i="17"/>
  <c r="AA365" i="17"/>
  <c r="Q365" i="17"/>
  <c r="H365" i="17"/>
  <c r="G365" i="17"/>
  <c r="F365" i="17"/>
  <c r="E365" i="17"/>
  <c r="D365" i="17"/>
  <c r="C365" i="17"/>
  <c r="B365" i="17"/>
  <c r="AU364" i="17"/>
  <c r="AA364" i="17"/>
  <c r="Q364" i="17"/>
  <c r="H364" i="17"/>
  <c r="G364" i="17"/>
  <c r="F364" i="17"/>
  <c r="E364" i="17"/>
  <c r="D364" i="17"/>
  <c r="C364" i="17"/>
  <c r="B364" i="17"/>
  <c r="AU363" i="17"/>
  <c r="AA363" i="17"/>
  <c r="Q363" i="17"/>
  <c r="H363" i="17"/>
  <c r="G363" i="17"/>
  <c r="F363" i="17"/>
  <c r="E363" i="17"/>
  <c r="D363" i="17"/>
  <c r="C363" i="17"/>
  <c r="B363" i="17"/>
  <c r="AU362" i="17"/>
  <c r="AA362" i="17"/>
  <c r="Q362" i="17"/>
  <c r="H362" i="17"/>
  <c r="G362" i="17"/>
  <c r="F362" i="17"/>
  <c r="E362" i="17"/>
  <c r="D362" i="17"/>
  <c r="C362" i="17"/>
  <c r="B362" i="17"/>
  <c r="AF361" i="17"/>
  <c r="AU361" i="17" s="1"/>
  <c r="AA361" i="17"/>
  <c r="Q361" i="17"/>
  <c r="H361" i="17"/>
  <c r="G361" i="17"/>
  <c r="F361" i="17"/>
  <c r="E361" i="17"/>
  <c r="D361" i="17"/>
  <c r="C361" i="17"/>
  <c r="B361" i="17"/>
  <c r="AU360" i="17"/>
  <c r="AA360" i="17"/>
  <c r="Q360" i="17"/>
  <c r="H360" i="17"/>
  <c r="G360" i="17"/>
  <c r="F360" i="17"/>
  <c r="E360" i="17"/>
  <c r="D360" i="17"/>
  <c r="C360" i="17"/>
  <c r="B360" i="17"/>
  <c r="AU359" i="17"/>
  <c r="AA359" i="17"/>
  <c r="Q359" i="17"/>
  <c r="H359" i="17"/>
  <c r="G359" i="17"/>
  <c r="F359" i="17"/>
  <c r="E359" i="17"/>
  <c r="D359" i="17"/>
  <c r="C359" i="17"/>
  <c r="B359" i="17"/>
  <c r="AU358" i="17"/>
  <c r="AA358" i="17"/>
  <c r="Q358" i="17"/>
  <c r="H358" i="17"/>
  <c r="G358" i="17"/>
  <c r="F358" i="17"/>
  <c r="E358" i="17"/>
  <c r="D358" i="17"/>
  <c r="C358" i="17"/>
  <c r="B358" i="17"/>
  <c r="AU357" i="17"/>
  <c r="AA357" i="17"/>
  <c r="Q357" i="17"/>
  <c r="H357" i="17"/>
  <c r="G357" i="17"/>
  <c r="F357" i="17"/>
  <c r="E357" i="17"/>
  <c r="D357" i="17"/>
  <c r="C357" i="17"/>
  <c r="B357" i="17"/>
  <c r="AU356" i="17"/>
  <c r="AA356" i="17"/>
  <c r="Q356" i="17"/>
  <c r="H356" i="17"/>
  <c r="G356" i="17"/>
  <c r="F356" i="17"/>
  <c r="E356" i="17"/>
  <c r="D356" i="17"/>
  <c r="C356" i="17"/>
  <c r="B356" i="17"/>
  <c r="AU355" i="17"/>
  <c r="AA355" i="17"/>
  <c r="Q355" i="17"/>
  <c r="H355" i="17"/>
  <c r="G355" i="17"/>
  <c r="F355" i="17"/>
  <c r="E355" i="17"/>
  <c r="D355" i="17"/>
  <c r="C355" i="17"/>
  <c r="B355" i="17"/>
  <c r="AU354" i="17"/>
  <c r="AA354" i="17"/>
  <c r="Q354" i="17"/>
  <c r="H354" i="17"/>
  <c r="G354" i="17"/>
  <c r="F354" i="17"/>
  <c r="E354" i="17"/>
  <c r="D354" i="17"/>
  <c r="C354" i="17"/>
  <c r="B354" i="17"/>
  <c r="AU353" i="17"/>
  <c r="AA353" i="17"/>
  <c r="Q353" i="17"/>
  <c r="H353" i="17"/>
  <c r="G353" i="17"/>
  <c r="F353" i="17"/>
  <c r="E353" i="17"/>
  <c r="D353" i="17"/>
  <c r="C353" i="17"/>
  <c r="B353" i="17"/>
  <c r="AU352" i="17"/>
  <c r="Q352" i="17"/>
  <c r="H352" i="17"/>
  <c r="G352" i="17"/>
  <c r="F352" i="17"/>
  <c r="E352" i="17"/>
  <c r="D352" i="17"/>
  <c r="C352" i="17"/>
  <c r="B352" i="17"/>
  <c r="AU351" i="17"/>
  <c r="AA351" i="17"/>
  <c r="Q351" i="17"/>
  <c r="H351" i="17"/>
  <c r="G351" i="17"/>
  <c r="F351" i="17"/>
  <c r="E351" i="17"/>
  <c r="D351" i="17"/>
  <c r="C351" i="17"/>
  <c r="B351" i="17"/>
  <c r="AU350" i="17"/>
  <c r="AA350" i="17"/>
  <c r="Q350" i="17"/>
  <c r="H350" i="17"/>
  <c r="G350" i="17"/>
  <c r="F350" i="17"/>
  <c r="E350" i="17"/>
  <c r="D350" i="17"/>
  <c r="C350" i="17"/>
  <c r="B350" i="17"/>
  <c r="AU349" i="17"/>
  <c r="AA349" i="17"/>
  <c r="Q349" i="17"/>
  <c r="H349" i="17"/>
  <c r="G349" i="17"/>
  <c r="F349" i="17"/>
  <c r="E349" i="17"/>
  <c r="D349" i="17"/>
  <c r="C349" i="17"/>
  <c r="B349" i="17"/>
  <c r="AU348" i="17"/>
  <c r="AA348" i="17"/>
  <c r="Q348" i="17"/>
  <c r="H348" i="17"/>
  <c r="G348" i="17"/>
  <c r="F348" i="17"/>
  <c r="E348" i="17"/>
  <c r="D348" i="17"/>
  <c r="C348" i="17"/>
  <c r="B348" i="17"/>
  <c r="AU347" i="17"/>
  <c r="AA347" i="17"/>
  <c r="Q347" i="17"/>
  <c r="H347" i="17"/>
  <c r="G347" i="17"/>
  <c r="F347" i="17"/>
  <c r="E347" i="17"/>
  <c r="D347" i="17"/>
  <c r="C347" i="17"/>
  <c r="B347" i="17"/>
  <c r="AU346" i="17"/>
  <c r="AA346" i="17"/>
  <c r="Q346" i="17"/>
  <c r="H346" i="17"/>
  <c r="G346" i="17"/>
  <c r="F346" i="17"/>
  <c r="E346" i="17"/>
  <c r="D346" i="17"/>
  <c r="C346" i="17"/>
  <c r="B346" i="17"/>
  <c r="AU345" i="17"/>
  <c r="AA345" i="17"/>
  <c r="Q345" i="17"/>
  <c r="H345" i="17"/>
  <c r="G345" i="17"/>
  <c r="F345" i="17"/>
  <c r="E345" i="17"/>
  <c r="D345" i="17"/>
  <c r="C345" i="17"/>
  <c r="B345" i="17"/>
  <c r="AU344" i="17"/>
  <c r="AA344" i="17"/>
  <c r="Q344" i="17"/>
  <c r="H344" i="17"/>
  <c r="G344" i="17"/>
  <c r="F344" i="17"/>
  <c r="E344" i="17"/>
  <c r="D344" i="17"/>
  <c r="C344" i="17"/>
  <c r="B344" i="17"/>
  <c r="AU343" i="17"/>
  <c r="AA343" i="17"/>
  <c r="Q343" i="17"/>
  <c r="H343" i="17"/>
  <c r="G343" i="17"/>
  <c r="F343" i="17"/>
  <c r="E343" i="17"/>
  <c r="D343" i="17"/>
  <c r="C343" i="17"/>
  <c r="B343" i="17"/>
  <c r="AU342" i="17"/>
  <c r="AA342" i="17"/>
  <c r="Q342" i="17"/>
  <c r="H342" i="17"/>
  <c r="G342" i="17"/>
  <c r="F342" i="17"/>
  <c r="E342" i="17"/>
  <c r="D342" i="17"/>
  <c r="C342" i="17"/>
  <c r="B342" i="17"/>
  <c r="AU341" i="17"/>
  <c r="AA341" i="17"/>
  <c r="Q341" i="17"/>
  <c r="H341" i="17"/>
  <c r="G341" i="17"/>
  <c r="F341" i="17"/>
  <c r="E341" i="17"/>
  <c r="D341" i="17"/>
  <c r="C341" i="17"/>
  <c r="B341" i="17"/>
  <c r="AU340" i="17"/>
  <c r="AA340" i="17"/>
  <c r="Q340" i="17"/>
  <c r="H340" i="17"/>
  <c r="G340" i="17"/>
  <c r="F340" i="17"/>
  <c r="E340" i="17"/>
  <c r="D340" i="17"/>
  <c r="C340" i="17"/>
  <c r="B340" i="17"/>
  <c r="AU339" i="17"/>
  <c r="AA339" i="17"/>
  <c r="Q339" i="17"/>
  <c r="H339" i="17"/>
  <c r="G339" i="17"/>
  <c r="F339" i="17"/>
  <c r="E339" i="17"/>
  <c r="D339" i="17"/>
  <c r="C339" i="17"/>
  <c r="B339" i="17"/>
  <c r="AU338" i="17"/>
  <c r="AA338" i="17"/>
  <c r="Q338" i="17"/>
  <c r="H338" i="17"/>
  <c r="G338" i="17"/>
  <c r="F338" i="17"/>
  <c r="E338" i="17"/>
  <c r="D338" i="17"/>
  <c r="C338" i="17"/>
  <c r="B338" i="17"/>
  <c r="AU337" i="17"/>
  <c r="AA337" i="17"/>
  <c r="Q337" i="17"/>
  <c r="H337" i="17"/>
  <c r="G337" i="17"/>
  <c r="F337" i="17"/>
  <c r="E337" i="17"/>
  <c r="D337" i="17"/>
  <c r="C337" i="17"/>
  <c r="B337" i="17"/>
  <c r="AU336" i="17"/>
  <c r="AA336" i="17"/>
  <c r="Q336" i="17"/>
  <c r="H336" i="17"/>
  <c r="G336" i="17"/>
  <c r="F336" i="17"/>
  <c r="E336" i="17"/>
  <c r="D336" i="17"/>
  <c r="C336" i="17"/>
  <c r="B336" i="17"/>
  <c r="AU335" i="17"/>
  <c r="AA335" i="17"/>
  <c r="Q335" i="17"/>
  <c r="H335" i="17"/>
  <c r="G335" i="17"/>
  <c r="F335" i="17"/>
  <c r="E335" i="17"/>
  <c r="D335" i="17"/>
  <c r="C335" i="17"/>
  <c r="B335" i="17"/>
  <c r="AU334" i="17"/>
  <c r="AA334" i="17"/>
  <c r="Q334" i="17"/>
  <c r="H334" i="17"/>
  <c r="G334" i="17"/>
  <c r="F334" i="17"/>
  <c r="E334" i="17"/>
  <c r="D334" i="17"/>
  <c r="C334" i="17"/>
  <c r="B334" i="17"/>
  <c r="AU333" i="17"/>
  <c r="AA333" i="17"/>
  <c r="Q333" i="17"/>
  <c r="H333" i="17"/>
  <c r="G333" i="17"/>
  <c r="F333" i="17"/>
  <c r="E333" i="17"/>
  <c r="D333" i="17"/>
  <c r="C333" i="17"/>
  <c r="B333" i="17"/>
  <c r="AU332" i="17"/>
  <c r="AA332" i="17"/>
  <c r="Q332" i="17"/>
  <c r="H332" i="17"/>
  <c r="G332" i="17"/>
  <c r="F332" i="17"/>
  <c r="E332" i="17"/>
  <c r="D332" i="17"/>
  <c r="C332" i="17"/>
  <c r="B332" i="17"/>
  <c r="AU331" i="17"/>
  <c r="AA331" i="17"/>
  <c r="Q331" i="17"/>
  <c r="H331" i="17"/>
  <c r="G331" i="17"/>
  <c r="F331" i="17"/>
  <c r="E331" i="17"/>
  <c r="D331" i="17"/>
  <c r="C331" i="17"/>
  <c r="B331" i="17"/>
  <c r="AU330" i="17"/>
  <c r="AA330" i="17"/>
  <c r="Q330" i="17"/>
  <c r="H330" i="17"/>
  <c r="G330" i="17"/>
  <c r="F330" i="17"/>
  <c r="E330" i="17"/>
  <c r="D330" i="17"/>
  <c r="C330" i="17"/>
  <c r="B330" i="17"/>
  <c r="AU329" i="17"/>
  <c r="AA329" i="17"/>
  <c r="Q329" i="17"/>
  <c r="H329" i="17"/>
  <c r="G329" i="17"/>
  <c r="F329" i="17"/>
  <c r="E329" i="17"/>
  <c r="D329" i="17"/>
  <c r="C329" i="17"/>
  <c r="B329" i="17"/>
  <c r="AU328" i="17"/>
  <c r="AA328" i="17"/>
  <c r="Q328" i="17"/>
  <c r="H328" i="17"/>
  <c r="G328" i="17"/>
  <c r="F328" i="17"/>
  <c r="E328" i="17"/>
  <c r="D328" i="17"/>
  <c r="C328" i="17"/>
  <c r="B328" i="17"/>
  <c r="AU327" i="17"/>
  <c r="AA327" i="17"/>
  <c r="Q327" i="17"/>
  <c r="H327" i="17"/>
  <c r="G327" i="17"/>
  <c r="F327" i="17"/>
  <c r="E327" i="17"/>
  <c r="D327" i="17"/>
  <c r="C327" i="17"/>
  <c r="B327" i="17"/>
  <c r="AS326" i="17"/>
  <c r="AI326" i="17"/>
  <c r="AA326" i="17"/>
  <c r="Q326" i="17"/>
  <c r="H326" i="17"/>
  <c r="G326" i="17"/>
  <c r="F326" i="17"/>
  <c r="E326" i="17"/>
  <c r="D326" i="17"/>
  <c r="C326" i="17"/>
  <c r="B326" i="17"/>
  <c r="AU325" i="17"/>
  <c r="AA325" i="17"/>
  <c r="Q325" i="17"/>
  <c r="H325" i="17"/>
  <c r="G325" i="17"/>
  <c r="F325" i="17"/>
  <c r="E325" i="17"/>
  <c r="D325" i="17"/>
  <c r="C325" i="17"/>
  <c r="B325" i="17"/>
  <c r="AU324" i="17"/>
  <c r="AA324" i="17"/>
  <c r="Q324" i="17"/>
  <c r="H324" i="17"/>
  <c r="G324" i="17"/>
  <c r="F324" i="17"/>
  <c r="E324" i="17"/>
  <c r="D324" i="17"/>
  <c r="C324" i="17"/>
  <c r="B324" i="17"/>
  <c r="AU323" i="17"/>
  <c r="AA323" i="17"/>
  <c r="Q323" i="17"/>
  <c r="H323" i="17"/>
  <c r="G323" i="17"/>
  <c r="F323" i="17"/>
  <c r="E323" i="17"/>
  <c r="D323" i="17"/>
  <c r="C323" i="17"/>
  <c r="B323" i="17"/>
  <c r="AU322" i="17"/>
  <c r="AA322" i="17"/>
  <c r="Q322" i="17"/>
  <c r="H322" i="17"/>
  <c r="G322" i="17"/>
  <c r="F322" i="17"/>
  <c r="E322" i="17"/>
  <c r="D322" i="17"/>
  <c r="C322" i="17"/>
  <c r="B322" i="17"/>
  <c r="AU321" i="17"/>
  <c r="Q321" i="17"/>
  <c r="H321" i="17"/>
  <c r="G321" i="17"/>
  <c r="F321" i="17"/>
  <c r="E321" i="17"/>
  <c r="D321" i="17"/>
  <c r="C321" i="17"/>
  <c r="B321" i="17"/>
  <c r="AU320" i="17"/>
  <c r="AA320" i="17"/>
  <c r="Q320" i="17"/>
  <c r="H320" i="17"/>
  <c r="G320" i="17"/>
  <c r="F320" i="17"/>
  <c r="E320" i="17"/>
  <c r="D320" i="17"/>
  <c r="C320" i="17"/>
  <c r="B320" i="17"/>
  <c r="AU319" i="17"/>
  <c r="AA319" i="17"/>
  <c r="Q319" i="17"/>
  <c r="H319" i="17"/>
  <c r="G319" i="17"/>
  <c r="F319" i="17"/>
  <c r="E319" i="17"/>
  <c r="D319" i="17"/>
  <c r="C319" i="17"/>
  <c r="B319" i="17"/>
  <c r="AU318" i="17"/>
  <c r="AA318" i="17"/>
  <c r="Q318" i="17"/>
  <c r="H318" i="17"/>
  <c r="G318" i="17"/>
  <c r="F318" i="17"/>
  <c r="E318" i="17"/>
  <c r="D318" i="17"/>
  <c r="C318" i="17"/>
  <c r="B318" i="17"/>
  <c r="AU317" i="17"/>
  <c r="AA317" i="17"/>
  <c r="Q317" i="17"/>
  <c r="H317" i="17"/>
  <c r="G317" i="17"/>
  <c r="F317" i="17"/>
  <c r="E317" i="17"/>
  <c r="D317" i="17"/>
  <c r="C317" i="17"/>
  <c r="B317" i="17"/>
  <c r="AJ316" i="17"/>
  <c r="AU316" i="17" s="1"/>
  <c r="AA316" i="17"/>
  <c r="Q316" i="17"/>
  <c r="H316" i="17"/>
  <c r="G316" i="17"/>
  <c r="F316" i="17"/>
  <c r="E316" i="17"/>
  <c r="D316" i="17"/>
  <c r="C316" i="17"/>
  <c r="B316" i="17"/>
  <c r="AU315" i="17"/>
  <c r="AA315" i="17"/>
  <c r="Q315" i="17"/>
  <c r="H315" i="17"/>
  <c r="G315" i="17"/>
  <c r="F315" i="17"/>
  <c r="E315" i="17"/>
  <c r="D315" i="17"/>
  <c r="C315" i="17"/>
  <c r="B315" i="17"/>
  <c r="AU314" i="17"/>
  <c r="AA314" i="17"/>
  <c r="Q314" i="17"/>
  <c r="H314" i="17"/>
  <c r="G314" i="17"/>
  <c r="F314" i="17"/>
  <c r="E314" i="17"/>
  <c r="D314" i="17"/>
  <c r="C314" i="17"/>
  <c r="B314" i="17"/>
  <c r="AU313" i="17"/>
  <c r="AA313" i="17"/>
  <c r="Q313" i="17"/>
  <c r="H313" i="17"/>
  <c r="G313" i="17"/>
  <c r="F313" i="17"/>
  <c r="E313" i="17"/>
  <c r="D313" i="17"/>
  <c r="C313" i="17"/>
  <c r="B313" i="17"/>
  <c r="AU312" i="17"/>
  <c r="AA312" i="17"/>
  <c r="Q312" i="17"/>
  <c r="H312" i="17"/>
  <c r="G312" i="17"/>
  <c r="F312" i="17"/>
  <c r="E312" i="17"/>
  <c r="D312" i="17"/>
  <c r="C312" i="17"/>
  <c r="B312" i="17"/>
  <c r="AU311" i="17"/>
  <c r="AA311" i="17"/>
  <c r="Q311" i="17"/>
  <c r="H311" i="17"/>
  <c r="G311" i="17"/>
  <c r="F311" i="17"/>
  <c r="E311" i="17"/>
  <c r="D311" i="17"/>
  <c r="C311" i="17"/>
  <c r="B311" i="17"/>
  <c r="AU310" i="17"/>
  <c r="AA310" i="17"/>
  <c r="Q310" i="17"/>
  <c r="H310" i="17"/>
  <c r="G310" i="17"/>
  <c r="F310" i="17"/>
  <c r="E310" i="17"/>
  <c r="D310" i="17"/>
  <c r="C310" i="17"/>
  <c r="B310" i="17"/>
  <c r="AU309" i="17"/>
  <c r="Q309" i="17"/>
  <c r="H309" i="17"/>
  <c r="G309" i="17"/>
  <c r="F309" i="17"/>
  <c r="E309" i="17"/>
  <c r="D309" i="17"/>
  <c r="C309" i="17"/>
  <c r="B309" i="17"/>
  <c r="AU308" i="17"/>
  <c r="AA308" i="17"/>
  <c r="Q308" i="17"/>
  <c r="H308" i="17"/>
  <c r="G308" i="17"/>
  <c r="F308" i="17"/>
  <c r="E308" i="17"/>
  <c r="D308" i="17"/>
  <c r="C308" i="17"/>
  <c r="B308" i="17"/>
  <c r="AU307" i="17"/>
  <c r="AA307" i="17"/>
  <c r="Q307" i="17"/>
  <c r="H307" i="17"/>
  <c r="G307" i="17"/>
  <c r="F307" i="17"/>
  <c r="E307" i="17"/>
  <c r="D307" i="17"/>
  <c r="C307" i="17"/>
  <c r="B307" i="17"/>
  <c r="AU306" i="17"/>
  <c r="AA306" i="17"/>
  <c r="Q306" i="17"/>
  <c r="H306" i="17"/>
  <c r="G306" i="17"/>
  <c r="F306" i="17"/>
  <c r="E306" i="17"/>
  <c r="D306" i="17"/>
  <c r="C306" i="17"/>
  <c r="B306" i="17"/>
  <c r="AU305" i="17"/>
  <c r="AA305" i="17"/>
  <c r="Q305" i="17"/>
  <c r="H305" i="17"/>
  <c r="G305" i="17"/>
  <c r="F305" i="17"/>
  <c r="E305" i="17"/>
  <c r="D305" i="17"/>
  <c r="C305" i="17"/>
  <c r="B305" i="17"/>
  <c r="AU304" i="17"/>
  <c r="AA304" i="17"/>
  <c r="Q304" i="17"/>
  <c r="H304" i="17"/>
  <c r="G304" i="17"/>
  <c r="F304" i="17"/>
  <c r="E304" i="17"/>
  <c r="D304" i="17"/>
  <c r="C304" i="17"/>
  <c r="B304" i="17"/>
  <c r="AU303" i="17"/>
  <c r="AA303" i="17"/>
  <c r="Q303" i="17"/>
  <c r="H303" i="17"/>
  <c r="G303" i="17"/>
  <c r="F303" i="17"/>
  <c r="E303" i="17"/>
  <c r="D303" i="17"/>
  <c r="C303" i="17"/>
  <c r="B303" i="17"/>
  <c r="AU302" i="17"/>
  <c r="AA302" i="17"/>
  <c r="Q302" i="17"/>
  <c r="H302" i="17"/>
  <c r="G302" i="17"/>
  <c r="F302" i="17"/>
  <c r="E302" i="17"/>
  <c r="D302" i="17"/>
  <c r="C302" i="17"/>
  <c r="B302" i="17"/>
  <c r="AU301" i="17"/>
  <c r="AA301" i="17"/>
  <c r="Q301" i="17"/>
  <c r="H301" i="17"/>
  <c r="G301" i="17"/>
  <c r="F301" i="17"/>
  <c r="E301" i="17"/>
  <c r="D301" i="17"/>
  <c r="C301" i="17"/>
  <c r="B301" i="17"/>
  <c r="AU300" i="17"/>
  <c r="AA300" i="17"/>
  <c r="Q300" i="17"/>
  <c r="H300" i="17"/>
  <c r="G300" i="17"/>
  <c r="F300" i="17"/>
  <c r="E300" i="17"/>
  <c r="D300" i="17"/>
  <c r="C300" i="17"/>
  <c r="B300" i="17"/>
  <c r="AU299" i="17"/>
  <c r="AA299" i="17"/>
  <c r="Q299" i="17"/>
  <c r="H299" i="17"/>
  <c r="G299" i="17"/>
  <c r="F299" i="17"/>
  <c r="E299" i="17"/>
  <c r="D299" i="17"/>
  <c r="C299" i="17"/>
  <c r="B299" i="17"/>
  <c r="AU298" i="17"/>
  <c r="AA298" i="17"/>
  <c r="Q298" i="17"/>
  <c r="H298" i="17"/>
  <c r="G298" i="17"/>
  <c r="F298" i="17"/>
  <c r="E298" i="17"/>
  <c r="D298" i="17"/>
  <c r="C298" i="17"/>
  <c r="B298" i="17"/>
  <c r="AH297" i="17"/>
  <c r="AU297" i="17" s="1"/>
  <c r="AA297" i="17"/>
  <c r="Q297" i="17"/>
  <c r="H297" i="17"/>
  <c r="G297" i="17"/>
  <c r="F297" i="17"/>
  <c r="E297" i="17"/>
  <c r="D297" i="17"/>
  <c r="C297" i="17"/>
  <c r="B297" i="17"/>
  <c r="AF296" i="17"/>
  <c r="AU296" i="17" s="1"/>
  <c r="AA296" i="17"/>
  <c r="Q296" i="17"/>
  <c r="H296" i="17"/>
  <c r="G296" i="17"/>
  <c r="F296" i="17"/>
  <c r="E296" i="17"/>
  <c r="D296" i="17"/>
  <c r="C296" i="17"/>
  <c r="B296" i="17"/>
  <c r="AU295" i="17"/>
  <c r="AA295" i="17"/>
  <c r="Q295" i="17"/>
  <c r="H295" i="17"/>
  <c r="G295" i="17"/>
  <c r="F295" i="17"/>
  <c r="E295" i="17"/>
  <c r="D295" i="17"/>
  <c r="C295" i="17"/>
  <c r="B295" i="17"/>
  <c r="AU294" i="17"/>
  <c r="AA294" i="17"/>
  <c r="Q294" i="17"/>
  <c r="H294" i="17"/>
  <c r="G294" i="17"/>
  <c r="F294" i="17"/>
  <c r="E294" i="17"/>
  <c r="D294" i="17"/>
  <c r="C294" i="17"/>
  <c r="B294" i="17"/>
  <c r="AU293" i="17"/>
  <c r="AA293" i="17"/>
  <c r="Q293" i="17"/>
  <c r="H293" i="17"/>
  <c r="G293" i="17"/>
  <c r="F293" i="17"/>
  <c r="E293" i="17"/>
  <c r="D293" i="17"/>
  <c r="C293" i="17"/>
  <c r="B293" i="17"/>
  <c r="AU292" i="17"/>
  <c r="AA292" i="17"/>
  <c r="Q292" i="17"/>
  <c r="H292" i="17"/>
  <c r="G292" i="17"/>
  <c r="F292" i="17"/>
  <c r="E292" i="17"/>
  <c r="D292" i="17"/>
  <c r="C292" i="17"/>
  <c r="B292" i="17"/>
  <c r="AU291" i="17"/>
  <c r="AA291" i="17"/>
  <c r="Q291" i="17"/>
  <c r="H291" i="17"/>
  <c r="G291" i="17"/>
  <c r="F291" i="17"/>
  <c r="E291" i="17"/>
  <c r="D291" i="17"/>
  <c r="C291" i="17"/>
  <c r="B291" i="17"/>
  <c r="AU290" i="17"/>
  <c r="AA290" i="17"/>
  <c r="Q290" i="17"/>
  <c r="H290" i="17"/>
  <c r="G290" i="17"/>
  <c r="F290" i="17"/>
  <c r="E290" i="17"/>
  <c r="D290" i="17"/>
  <c r="C290" i="17"/>
  <c r="B290" i="17"/>
  <c r="AU289" i="17"/>
  <c r="AA289" i="17"/>
  <c r="Q289" i="17"/>
  <c r="H289" i="17"/>
  <c r="G289" i="17"/>
  <c r="F289" i="17"/>
  <c r="E289" i="17"/>
  <c r="D289" i="17"/>
  <c r="C289" i="17"/>
  <c r="B289" i="17"/>
  <c r="AU288" i="17"/>
  <c r="AA288" i="17"/>
  <c r="Q288" i="17"/>
  <c r="H288" i="17"/>
  <c r="G288" i="17"/>
  <c r="F288" i="17"/>
  <c r="E288" i="17"/>
  <c r="D288" i="17"/>
  <c r="C288" i="17"/>
  <c r="B288" i="17"/>
  <c r="AU287" i="17"/>
  <c r="AA287" i="17"/>
  <c r="Q287" i="17"/>
  <c r="H287" i="17"/>
  <c r="G287" i="17"/>
  <c r="F287" i="17"/>
  <c r="E287" i="17"/>
  <c r="D287" i="17"/>
  <c r="C287" i="17"/>
  <c r="B287" i="17"/>
  <c r="AU286" i="17"/>
  <c r="AA286" i="17"/>
  <c r="Q286" i="17"/>
  <c r="H286" i="17"/>
  <c r="G286" i="17"/>
  <c r="F286" i="17"/>
  <c r="E286" i="17"/>
  <c r="D286" i="17"/>
  <c r="C286" i="17"/>
  <c r="B286" i="17"/>
  <c r="AU285" i="17"/>
  <c r="AA285" i="17"/>
  <c r="Q285" i="17"/>
  <c r="H285" i="17"/>
  <c r="G285" i="17"/>
  <c r="F285" i="17"/>
  <c r="E285" i="17"/>
  <c r="D285" i="17"/>
  <c r="C285" i="17"/>
  <c r="B285" i="17"/>
  <c r="AU284" i="17"/>
  <c r="AA284" i="17"/>
  <c r="Q284" i="17"/>
  <c r="H284" i="17"/>
  <c r="G284" i="17"/>
  <c r="F284" i="17"/>
  <c r="E284" i="17"/>
  <c r="D284" i="17"/>
  <c r="C284" i="17"/>
  <c r="B284" i="17"/>
  <c r="AU283" i="17"/>
  <c r="AA283" i="17"/>
  <c r="Q283" i="17"/>
  <c r="H283" i="17"/>
  <c r="G283" i="17"/>
  <c r="F283" i="17"/>
  <c r="E283" i="17"/>
  <c r="D283" i="17"/>
  <c r="C283" i="17"/>
  <c r="B283" i="17"/>
  <c r="AU282" i="17"/>
  <c r="AA282" i="17"/>
  <c r="Q282" i="17"/>
  <c r="H282" i="17"/>
  <c r="G282" i="17"/>
  <c r="F282" i="17"/>
  <c r="E282" i="17"/>
  <c r="D282" i="17"/>
  <c r="C282" i="17"/>
  <c r="B282" i="17"/>
  <c r="AU281" i="17"/>
  <c r="AA281" i="17"/>
  <c r="Q281" i="17"/>
  <c r="H281" i="17"/>
  <c r="G281" i="17"/>
  <c r="F281" i="17"/>
  <c r="E281" i="17"/>
  <c r="D281" i="17"/>
  <c r="C281" i="17"/>
  <c r="B281" i="17"/>
  <c r="AU280" i="17"/>
  <c r="AA280" i="17"/>
  <c r="Q280" i="17"/>
  <c r="H280" i="17"/>
  <c r="G280" i="17"/>
  <c r="F280" i="17"/>
  <c r="E280" i="17"/>
  <c r="D280" i="17"/>
  <c r="C280" i="17"/>
  <c r="B280" i="17"/>
  <c r="AU279" i="17"/>
  <c r="AA279" i="17"/>
  <c r="Q279" i="17"/>
  <c r="H279" i="17"/>
  <c r="G279" i="17"/>
  <c r="F279" i="17"/>
  <c r="E279" i="17"/>
  <c r="D279" i="17"/>
  <c r="C279" i="17"/>
  <c r="B279" i="17"/>
  <c r="AU278" i="17"/>
  <c r="AA278" i="17"/>
  <c r="Q278" i="17"/>
  <c r="H278" i="17"/>
  <c r="G278" i="17"/>
  <c r="F278" i="17"/>
  <c r="E278" i="17"/>
  <c r="D278" i="17"/>
  <c r="C278" i="17"/>
  <c r="B278" i="17"/>
  <c r="AU277" i="17"/>
  <c r="AA277" i="17"/>
  <c r="Q277" i="17"/>
  <c r="H277" i="17"/>
  <c r="G277" i="17"/>
  <c r="F277" i="17"/>
  <c r="E277" i="17"/>
  <c r="D277" i="17"/>
  <c r="C277" i="17"/>
  <c r="B277" i="17"/>
  <c r="AU276" i="17"/>
  <c r="AA276" i="17"/>
  <c r="Q276" i="17"/>
  <c r="H276" i="17"/>
  <c r="G276" i="17"/>
  <c r="F276" i="17"/>
  <c r="E276" i="17"/>
  <c r="D276" i="17"/>
  <c r="C276" i="17"/>
  <c r="B276" i="17"/>
  <c r="AU275" i="17"/>
  <c r="AA275" i="17"/>
  <c r="Q275" i="17"/>
  <c r="H275" i="17"/>
  <c r="G275" i="17"/>
  <c r="F275" i="17"/>
  <c r="E275" i="17"/>
  <c r="D275" i="17"/>
  <c r="C275" i="17"/>
  <c r="B275" i="17"/>
  <c r="AU274" i="17"/>
  <c r="AA274" i="17"/>
  <c r="Q274" i="17"/>
  <c r="H274" i="17"/>
  <c r="G274" i="17"/>
  <c r="F274" i="17"/>
  <c r="E274" i="17"/>
  <c r="D274" i="17"/>
  <c r="C274" i="17"/>
  <c r="B274" i="17"/>
  <c r="AU273" i="17"/>
  <c r="AA273" i="17"/>
  <c r="Q273" i="17"/>
  <c r="H273" i="17"/>
  <c r="G273" i="17"/>
  <c r="F273" i="17"/>
  <c r="E273" i="17"/>
  <c r="D273" i="17"/>
  <c r="C273" i="17"/>
  <c r="B273" i="17"/>
  <c r="AU272" i="17"/>
  <c r="AA272" i="17"/>
  <c r="Q272" i="17"/>
  <c r="H272" i="17"/>
  <c r="G272" i="17"/>
  <c r="F272" i="17"/>
  <c r="E272" i="17"/>
  <c r="D272" i="17"/>
  <c r="C272" i="17"/>
  <c r="B272" i="17"/>
  <c r="AU271" i="17"/>
  <c r="AA271" i="17"/>
  <c r="Q271" i="17"/>
  <c r="H271" i="17"/>
  <c r="G271" i="17"/>
  <c r="F271" i="17"/>
  <c r="E271" i="17"/>
  <c r="D271" i="17"/>
  <c r="C271" i="17"/>
  <c r="B271" i="17"/>
  <c r="AU270" i="17"/>
  <c r="AA270" i="17"/>
  <c r="Q270" i="17"/>
  <c r="H270" i="17"/>
  <c r="G270" i="17"/>
  <c r="F270" i="17"/>
  <c r="E270" i="17"/>
  <c r="D270" i="17"/>
  <c r="C270" i="17"/>
  <c r="B270" i="17"/>
  <c r="AU269" i="17"/>
  <c r="AA269" i="17"/>
  <c r="Q269" i="17"/>
  <c r="H269" i="17"/>
  <c r="G269" i="17"/>
  <c r="F269" i="17"/>
  <c r="E269" i="17"/>
  <c r="D269" i="17"/>
  <c r="C269" i="17"/>
  <c r="B269" i="17"/>
  <c r="AU268" i="17"/>
  <c r="AA268" i="17"/>
  <c r="Q268" i="17"/>
  <c r="H268" i="17"/>
  <c r="G268" i="17"/>
  <c r="F268" i="17"/>
  <c r="E268" i="17"/>
  <c r="D268" i="17"/>
  <c r="C268" i="17"/>
  <c r="B268" i="17"/>
  <c r="AU267" i="17"/>
  <c r="AA267" i="17"/>
  <c r="Q267" i="17"/>
  <c r="H267" i="17"/>
  <c r="G267" i="17"/>
  <c r="F267" i="17"/>
  <c r="E267" i="17"/>
  <c r="D267" i="17"/>
  <c r="C267" i="17"/>
  <c r="B267" i="17"/>
  <c r="AU266" i="17"/>
  <c r="AA266" i="17"/>
  <c r="Q266" i="17"/>
  <c r="H266" i="17"/>
  <c r="G266" i="17"/>
  <c r="F266" i="17"/>
  <c r="E266" i="17"/>
  <c r="D266" i="17"/>
  <c r="C266" i="17"/>
  <c r="B266" i="17"/>
  <c r="AU265" i="17"/>
  <c r="AA265" i="17"/>
  <c r="Q265" i="17"/>
  <c r="H265" i="17"/>
  <c r="G265" i="17"/>
  <c r="F265" i="17"/>
  <c r="E265" i="17"/>
  <c r="D265" i="17"/>
  <c r="C265" i="17"/>
  <c r="B265" i="17"/>
  <c r="AU264" i="17"/>
  <c r="AA264" i="17"/>
  <c r="Q264" i="17"/>
  <c r="H264" i="17"/>
  <c r="G264" i="17"/>
  <c r="F264" i="17"/>
  <c r="E264" i="17"/>
  <c r="D264" i="17"/>
  <c r="C264" i="17"/>
  <c r="B264" i="17"/>
  <c r="AU263" i="17"/>
  <c r="AA263" i="17"/>
  <c r="Q263" i="17"/>
  <c r="H263" i="17"/>
  <c r="G263" i="17"/>
  <c r="F263" i="17"/>
  <c r="E263" i="17"/>
  <c r="D263" i="17"/>
  <c r="C263" i="17"/>
  <c r="B263" i="17"/>
  <c r="AU262" i="17"/>
  <c r="AA262" i="17"/>
  <c r="Q262" i="17"/>
  <c r="H262" i="17"/>
  <c r="G262" i="17"/>
  <c r="F262" i="17"/>
  <c r="E262" i="17"/>
  <c r="D262" i="17"/>
  <c r="C262" i="17"/>
  <c r="B262" i="17"/>
  <c r="AU261" i="17"/>
  <c r="AA261" i="17"/>
  <c r="Q261" i="17"/>
  <c r="H261" i="17"/>
  <c r="G261" i="17"/>
  <c r="F261" i="17"/>
  <c r="E261" i="17"/>
  <c r="D261" i="17"/>
  <c r="C261" i="17"/>
  <c r="B261" i="17"/>
  <c r="AU260" i="17"/>
  <c r="AA260" i="17"/>
  <c r="Q260" i="17"/>
  <c r="H260" i="17"/>
  <c r="G260" i="17"/>
  <c r="F260" i="17"/>
  <c r="E260" i="17"/>
  <c r="D260" i="17"/>
  <c r="C260" i="17"/>
  <c r="B260" i="17"/>
  <c r="AU259" i="17"/>
  <c r="AA259" i="17"/>
  <c r="Q259" i="17"/>
  <c r="H259" i="17"/>
  <c r="G259" i="17"/>
  <c r="F259" i="17"/>
  <c r="E259" i="17"/>
  <c r="D259" i="17"/>
  <c r="C259" i="17"/>
  <c r="B259" i="17"/>
  <c r="AU258" i="17"/>
  <c r="AA258" i="17"/>
  <c r="Q258" i="17"/>
  <c r="H258" i="17"/>
  <c r="G258" i="17"/>
  <c r="F258" i="17"/>
  <c r="E258" i="17"/>
  <c r="D258" i="17"/>
  <c r="C258" i="17"/>
  <c r="B258" i="17"/>
  <c r="AU257" i="17"/>
  <c r="AA257" i="17"/>
  <c r="Q257" i="17"/>
  <c r="H257" i="17"/>
  <c r="G257" i="17"/>
  <c r="F257" i="17"/>
  <c r="E257" i="17"/>
  <c r="D257" i="17"/>
  <c r="C257" i="17"/>
  <c r="B257" i="17"/>
  <c r="AU256" i="17"/>
  <c r="AA256" i="17"/>
  <c r="Q256" i="17"/>
  <c r="H256" i="17"/>
  <c r="G256" i="17"/>
  <c r="F256" i="17"/>
  <c r="E256" i="17"/>
  <c r="D256" i="17"/>
  <c r="C256" i="17"/>
  <c r="B256" i="17"/>
  <c r="AU255" i="17"/>
  <c r="AA255" i="17"/>
  <c r="Q255" i="17"/>
  <c r="H255" i="17"/>
  <c r="G255" i="17"/>
  <c r="F255" i="17"/>
  <c r="E255" i="17"/>
  <c r="D255" i="17"/>
  <c r="C255" i="17"/>
  <c r="B255" i="17"/>
  <c r="AU254" i="17"/>
  <c r="AA254" i="17"/>
  <c r="Q254" i="17"/>
  <c r="H254" i="17"/>
  <c r="G254" i="17"/>
  <c r="F254" i="17"/>
  <c r="E254" i="17"/>
  <c r="D254" i="17"/>
  <c r="C254" i="17"/>
  <c r="B254" i="17"/>
  <c r="AU253" i="17"/>
  <c r="AA253" i="17"/>
  <c r="Q253" i="17"/>
  <c r="H253" i="17"/>
  <c r="G253" i="17"/>
  <c r="F253" i="17"/>
  <c r="E253" i="17"/>
  <c r="D253" i="17"/>
  <c r="C253" i="17"/>
  <c r="B253" i="17"/>
  <c r="AU252" i="17"/>
  <c r="AA252" i="17"/>
  <c r="Q252" i="17"/>
  <c r="H252" i="17"/>
  <c r="G252" i="17"/>
  <c r="F252" i="17"/>
  <c r="E252" i="17"/>
  <c r="D252" i="17"/>
  <c r="C252" i="17"/>
  <c r="B252" i="17"/>
  <c r="AU251" i="17"/>
  <c r="AA251" i="17"/>
  <c r="Q251" i="17"/>
  <c r="H251" i="17"/>
  <c r="G251" i="17"/>
  <c r="F251" i="17"/>
  <c r="E251" i="17"/>
  <c r="D251" i="17"/>
  <c r="C251" i="17"/>
  <c r="B251" i="17"/>
  <c r="AU250" i="17"/>
  <c r="AA250" i="17"/>
  <c r="Q250" i="17"/>
  <c r="H250" i="17"/>
  <c r="G250" i="17"/>
  <c r="F250" i="17"/>
  <c r="E250" i="17"/>
  <c r="D250" i="17"/>
  <c r="C250" i="17"/>
  <c r="B250" i="17"/>
  <c r="AU249" i="17"/>
  <c r="AA249" i="17"/>
  <c r="Q249" i="17"/>
  <c r="H249" i="17"/>
  <c r="G249" i="17"/>
  <c r="F249" i="17"/>
  <c r="E249" i="17"/>
  <c r="D249" i="17"/>
  <c r="C249" i="17"/>
  <c r="B249" i="17"/>
  <c r="AU248" i="17"/>
  <c r="AA248" i="17"/>
  <c r="Q248" i="17"/>
  <c r="H248" i="17"/>
  <c r="G248" i="17"/>
  <c r="F248" i="17"/>
  <c r="E248" i="17"/>
  <c r="D248" i="17"/>
  <c r="C248" i="17"/>
  <c r="B248" i="17"/>
  <c r="AU247" i="17"/>
  <c r="Q247" i="17"/>
  <c r="H247" i="17"/>
  <c r="G247" i="17"/>
  <c r="F247" i="17"/>
  <c r="E247" i="17"/>
  <c r="D247" i="17"/>
  <c r="C247" i="17"/>
  <c r="B247" i="17"/>
  <c r="AU246" i="17"/>
  <c r="AA246" i="17"/>
  <c r="Q246" i="17"/>
  <c r="H246" i="17"/>
  <c r="G246" i="17"/>
  <c r="F246" i="17"/>
  <c r="E246" i="17"/>
  <c r="D246" i="17"/>
  <c r="C246" i="17"/>
  <c r="B246" i="17"/>
  <c r="AU245" i="17"/>
  <c r="AA245" i="17"/>
  <c r="Q245" i="17"/>
  <c r="E245" i="17"/>
  <c r="D245" i="17"/>
  <c r="C245" i="17"/>
  <c r="B245" i="17"/>
  <c r="AU244" i="17"/>
  <c r="AA244" i="17"/>
  <c r="Q244" i="17"/>
  <c r="H244" i="17"/>
  <c r="G244" i="17"/>
  <c r="F244" i="17"/>
  <c r="E244" i="17"/>
  <c r="D244" i="17"/>
  <c r="C244" i="17"/>
  <c r="B244" i="17"/>
  <c r="AU243" i="17"/>
  <c r="AA243" i="17"/>
  <c r="Q243" i="17"/>
  <c r="H243" i="17"/>
  <c r="G243" i="17"/>
  <c r="F243" i="17"/>
  <c r="E243" i="17"/>
  <c r="D243" i="17"/>
  <c r="C243" i="17"/>
  <c r="B243" i="17"/>
  <c r="AU242" i="17"/>
  <c r="AA242" i="17"/>
  <c r="Q242" i="17"/>
  <c r="H242" i="17"/>
  <c r="G242" i="17"/>
  <c r="F242" i="17"/>
  <c r="E242" i="17"/>
  <c r="D242" i="17"/>
  <c r="C242" i="17"/>
  <c r="B242" i="17"/>
  <c r="AU241" i="17"/>
  <c r="AA241" i="17"/>
  <c r="Q241" i="17"/>
  <c r="H241" i="17"/>
  <c r="G241" i="17"/>
  <c r="F241" i="17"/>
  <c r="E241" i="17"/>
  <c r="D241" i="17"/>
  <c r="C241" i="17"/>
  <c r="B241" i="17"/>
  <c r="AU240" i="17"/>
  <c r="AA240" i="17"/>
  <c r="Q240" i="17"/>
  <c r="E240" i="17"/>
  <c r="D240" i="17"/>
  <c r="C240" i="17"/>
  <c r="B240" i="17"/>
  <c r="AU239" i="17"/>
  <c r="AA239" i="17"/>
  <c r="Q239" i="17"/>
  <c r="E239" i="17"/>
  <c r="D239" i="17"/>
  <c r="C239" i="17"/>
  <c r="B239" i="17"/>
  <c r="AU238" i="17"/>
  <c r="AA238" i="17"/>
  <c r="Q238" i="17"/>
  <c r="E238" i="17"/>
  <c r="D238" i="17"/>
  <c r="C238" i="17"/>
  <c r="B238" i="17"/>
  <c r="AU237" i="17"/>
  <c r="AA237" i="17"/>
  <c r="Q237" i="17"/>
  <c r="E237" i="17"/>
  <c r="D237" i="17"/>
  <c r="C237" i="17"/>
  <c r="B237" i="17"/>
  <c r="AU236" i="17"/>
  <c r="AA236" i="17"/>
  <c r="Q236" i="17"/>
  <c r="E236" i="17"/>
  <c r="D236" i="17"/>
  <c r="C236" i="17"/>
  <c r="B236" i="17"/>
  <c r="AU235" i="17"/>
  <c r="AA235" i="17"/>
  <c r="Q235" i="17"/>
  <c r="E235" i="17"/>
  <c r="D235" i="17"/>
  <c r="C235" i="17"/>
  <c r="B235" i="17"/>
  <c r="AU234" i="17"/>
  <c r="AA234" i="17"/>
  <c r="Q234" i="17"/>
  <c r="E234" i="17"/>
  <c r="D234" i="17"/>
  <c r="C234" i="17"/>
  <c r="B234" i="17"/>
  <c r="AU233" i="17"/>
  <c r="AA233" i="17"/>
  <c r="Q233" i="17"/>
  <c r="E233" i="17"/>
  <c r="D233" i="17"/>
  <c r="C233" i="17"/>
  <c r="B233" i="17"/>
  <c r="AU232" i="17"/>
  <c r="AA232" i="17"/>
  <c r="Q232" i="17"/>
  <c r="E232" i="17"/>
  <c r="D232" i="17"/>
  <c r="C232" i="17"/>
  <c r="B232" i="17"/>
  <c r="AU231" i="17"/>
  <c r="AA231" i="17"/>
  <c r="Q231" i="17"/>
  <c r="E231" i="17"/>
  <c r="D231" i="17"/>
  <c r="C231" i="17"/>
  <c r="B231" i="17"/>
  <c r="AU230" i="17"/>
  <c r="AA230" i="17"/>
  <c r="Q230" i="17"/>
  <c r="E230" i="17"/>
  <c r="D230" i="17"/>
  <c r="C230" i="17"/>
  <c r="B230" i="17"/>
  <c r="AU229" i="17"/>
  <c r="AA229" i="17"/>
  <c r="Q229" i="17"/>
  <c r="E229" i="17"/>
  <c r="D229" i="17"/>
  <c r="C229" i="17"/>
  <c r="B229" i="17"/>
  <c r="AU228" i="17"/>
  <c r="AA228" i="17"/>
  <c r="Q228" i="17"/>
  <c r="E228" i="17"/>
  <c r="D228" i="17"/>
  <c r="C228" i="17"/>
  <c r="B228" i="17"/>
  <c r="AU227" i="17"/>
  <c r="AA227" i="17"/>
  <c r="Q227" i="17"/>
  <c r="E227" i="17"/>
  <c r="D227" i="17"/>
  <c r="C227" i="17"/>
  <c r="B227" i="17"/>
  <c r="AU226" i="17"/>
  <c r="AA226" i="17"/>
  <c r="Q226" i="17"/>
  <c r="E226" i="17"/>
  <c r="D226" i="17"/>
  <c r="C226" i="17"/>
  <c r="B226" i="17"/>
  <c r="AU225" i="17"/>
  <c r="AA225" i="17"/>
  <c r="Q225" i="17"/>
  <c r="E225" i="17"/>
  <c r="D225" i="17"/>
  <c r="C225" i="17"/>
  <c r="B225" i="17"/>
  <c r="AU224" i="17"/>
  <c r="AA224" i="17"/>
  <c r="Q224" i="17"/>
  <c r="E224" i="17"/>
  <c r="D224" i="17"/>
  <c r="C224" i="17"/>
  <c r="B224" i="17"/>
  <c r="AU223" i="17"/>
  <c r="AA223" i="17"/>
  <c r="Q223" i="17"/>
  <c r="E223" i="17"/>
  <c r="D223" i="17"/>
  <c r="C223" i="17"/>
  <c r="B223" i="17"/>
  <c r="AU222" i="17"/>
  <c r="AA222" i="17"/>
  <c r="Q222" i="17"/>
  <c r="E222" i="17"/>
  <c r="D222" i="17"/>
  <c r="C222" i="17"/>
  <c r="B222" i="17"/>
  <c r="AU221" i="17"/>
  <c r="AA221" i="17"/>
  <c r="Q221" i="17"/>
  <c r="E221" i="17"/>
  <c r="D221" i="17"/>
  <c r="C221" i="17"/>
  <c r="B221" i="17"/>
  <c r="AU220" i="17"/>
  <c r="AA220" i="17"/>
  <c r="Q220" i="17"/>
  <c r="E220" i="17"/>
  <c r="D220" i="17"/>
  <c r="C220" i="17"/>
  <c r="B220" i="17"/>
  <c r="AU219" i="17"/>
  <c r="AA219" i="17"/>
  <c r="Q219" i="17"/>
  <c r="E219" i="17"/>
  <c r="D219" i="17"/>
  <c r="C219" i="17"/>
  <c r="B219" i="17"/>
  <c r="AU218" i="17"/>
  <c r="AA218" i="17"/>
  <c r="Q218" i="17"/>
  <c r="E218" i="17"/>
  <c r="D218" i="17"/>
  <c r="C218" i="17"/>
  <c r="B218" i="17"/>
  <c r="AU217" i="17"/>
  <c r="AA217" i="17"/>
  <c r="Q217" i="17"/>
  <c r="E217" i="17"/>
  <c r="D217" i="17"/>
  <c r="C217" i="17"/>
  <c r="B217" i="17"/>
  <c r="AU216" i="17"/>
  <c r="AA216" i="17"/>
  <c r="Q216" i="17"/>
  <c r="E216" i="17"/>
  <c r="D216" i="17"/>
  <c r="C216" i="17"/>
  <c r="B216" i="17"/>
  <c r="AU215" i="17"/>
  <c r="AA215" i="17"/>
  <c r="Q215" i="17"/>
  <c r="E215" i="17"/>
  <c r="D215" i="17"/>
  <c r="C215" i="17"/>
  <c r="B215" i="17"/>
  <c r="AU214" i="17"/>
  <c r="AA214" i="17"/>
  <c r="Q214" i="17"/>
  <c r="E214" i="17"/>
  <c r="D214" i="17"/>
  <c r="C214" i="17"/>
  <c r="B214" i="17"/>
  <c r="AU213" i="17"/>
  <c r="AA213" i="17"/>
  <c r="Q213" i="17"/>
  <c r="E213" i="17"/>
  <c r="D213" i="17"/>
  <c r="C213" i="17"/>
  <c r="B213" i="17"/>
  <c r="AB212" i="17"/>
  <c r="AU212" i="17" s="1"/>
  <c r="AA212" i="17"/>
  <c r="Q212" i="17"/>
  <c r="E212" i="17"/>
  <c r="D212" i="17"/>
  <c r="C212" i="17"/>
  <c r="B212" i="17"/>
  <c r="AU211" i="17"/>
  <c r="AA211" i="17"/>
  <c r="Q211" i="17"/>
  <c r="E211" i="17"/>
  <c r="D211" i="17"/>
  <c r="C211" i="17"/>
  <c r="B211" i="17"/>
  <c r="AU210" i="17"/>
  <c r="AA210" i="17"/>
  <c r="Q210" i="17"/>
  <c r="E210" i="17"/>
  <c r="D210" i="17"/>
  <c r="C210" i="17"/>
  <c r="B210" i="17"/>
  <c r="AU209" i="17"/>
  <c r="AA209" i="17"/>
  <c r="Q209" i="17"/>
  <c r="E209" i="17"/>
  <c r="D209" i="17"/>
  <c r="C209" i="17"/>
  <c r="B209" i="17"/>
  <c r="AU208" i="17"/>
  <c r="AA208" i="17"/>
  <c r="Q208" i="17"/>
  <c r="E208" i="17"/>
  <c r="D208" i="17"/>
  <c r="C208" i="17"/>
  <c r="B208" i="17"/>
  <c r="AA207" i="17"/>
  <c r="Q207" i="17"/>
  <c r="E207" i="17"/>
  <c r="D207" i="17"/>
  <c r="C207" i="17"/>
  <c r="B207" i="17"/>
  <c r="AU206" i="17"/>
  <c r="AA206" i="17"/>
  <c r="Q206" i="17"/>
  <c r="E206" i="17"/>
  <c r="D206" i="17"/>
  <c r="C206" i="17"/>
  <c r="B206" i="17"/>
  <c r="AU205" i="17"/>
  <c r="AA205" i="17"/>
  <c r="Q205" i="17"/>
  <c r="E205" i="17"/>
  <c r="D205" i="17"/>
  <c r="C205" i="17"/>
  <c r="B205" i="17"/>
  <c r="AU204" i="17"/>
  <c r="AA204" i="17"/>
  <c r="Q204" i="17"/>
  <c r="E204" i="17"/>
  <c r="D204" i="17"/>
  <c r="C204" i="17"/>
  <c r="B204" i="17"/>
  <c r="AU203" i="17"/>
  <c r="AA203" i="17"/>
  <c r="Q203" i="17"/>
  <c r="E203" i="17"/>
  <c r="D203" i="17"/>
  <c r="C203" i="17"/>
  <c r="B203" i="17"/>
  <c r="AU202" i="17"/>
  <c r="AA202" i="17"/>
  <c r="Q202" i="17"/>
  <c r="E202" i="17"/>
  <c r="D202" i="17"/>
  <c r="C202" i="17"/>
  <c r="B202" i="17"/>
  <c r="AU201" i="17"/>
  <c r="AA201" i="17"/>
  <c r="Q201" i="17"/>
  <c r="E201" i="17"/>
  <c r="D201" i="17"/>
  <c r="C201" i="17"/>
  <c r="B201" i="17"/>
  <c r="AU200" i="17"/>
  <c r="AA200" i="17"/>
  <c r="Q200" i="17"/>
  <c r="E200" i="17"/>
  <c r="D200" i="17"/>
  <c r="C200" i="17"/>
  <c r="B200" i="17"/>
  <c r="AU199" i="17"/>
  <c r="AA199" i="17"/>
  <c r="Q199" i="17"/>
  <c r="E199" i="17"/>
  <c r="D199" i="17"/>
  <c r="C199" i="17"/>
  <c r="B199" i="17"/>
  <c r="AU198" i="17"/>
  <c r="AA198" i="17"/>
  <c r="Q198" i="17"/>
  <c r="E198" i="17"/>
  <c r="D198" i="17"/>
  <c r="C198" i="17"/>
  <c r="B198" i="17"/>
  <c r="AU197" i="17"/>
  <c r="AA197" i="17"/>
  <c r="Q197" i="17"/>
  <c r="E197" i="17"/>
  <c r="D197" i="17"/>
  <c r="C197" i="17"/>
  <c r="B197" i="17"/>
  <c r="AU196" i="17"/>
  <c r="AA196" i="17"/>
  <c r="Q196" i="17"/>
  <c r="E196" i="17"/>
  <c r="D196" i="17"/>
  <c r="C196" i="17"/>
  <c r="B196" i="17"/>
  <c r="AU195" i="17"/>
  <c r="AA195" i="17"/>
  <c r="Q195" i="17"/>
  <c r="E195" i="17"/>
  <c r="D195" i="17"/>
  <c r="C195" i="17"/>
  <c r="B195" i="17"/>
  <c r="AU194" i="17"/>
  <c r="AA194" i="17"/>
  <c r="Q194" i="17"/>
  <c r="E194" i="17"/>
  <c r="D194" i="17"/>
  <c r="C194" i="17"/>
  <c r="B194" i="17"/>
  <c r="AU193" i="17"/>
  <c r="AA193" i="17"/>
  <c r="Q193" i="17"/>
  <c r="E193" i="17"/>
  <c r="D193" i="17"/>
  <c r="C193" i="17"/>
  <c r="B193" i="17"/>
  <c r="AU192" i="17"/>
  <c r="AA192" i="17"/>
  <c r="Q192" i="17"/>
  <c r="E192" i="17"/>
  <c r="D192" i="17"/>
  <c r="C192" i="17"/>
  <c r="B192" i="17"/>
  <c r="AU191" i="17"/>
  <c r="AA191" i="17"/>
  <c r="Q191" i="17"/>
  <c r="E191" i="17"/>
  <c r="D191" i="17"/>
  <c r="C191" i="17"/>
  <c r="B191" i="17"/>
  <c r="AU190" i="17"/>
  <c r="AA190" i="17"/>
  <c r="Q190" i="17"/>
  <c r="E190" i="17"/>
  <c r="D190" i="17"/>
  <c r="C190" i="17"/>
  <c r="B190" i="17"/>
  <c r="AU189" i="17"/>
  <c r="AA189" i="17"/>
  <c r="Q189" i="17"/>
  <c r="E189" i="17"/>
  <c r="D189" i="17"/>
  <c r="C189" i="17"/>
  <c r="B189" i="17"/>
  <c r="AU188" i="17"/>
  <c r="AA188" i="17"/>
  <c r="Q188" i="17"/>
  <c r="E188" i="17"/>
  <c r="D188" i="17"/>
  <c r="C188" i="17"/>
  <c r="B188" i="17"/>
  <c r="AU187" i="17"/>
  <c r="AA187" i="17"/>
  <c r="Q187" i="17"/>
  <c r="E187" i="17"/>
  <c r="D187" i="17"/>
  <c r="C187" i="17"/>
  <c r="B187" i="17"/>
  <c r="AU186" i="17"/>
  <c r="AA186" i="17"/>
  <c r="Q186" i="17"/>
  <c r="E186" i="17"/>
  <c r="D186" i="17"/>
  <c r="C186" i="17"/>
  <c r="B186" i="17"/>
  <c r="AU185" i="17"/>
  <c r="AA185" i="17"/>
  <c r="Q185" i="17"/>
  <c r="E185" i="17"/>
  <c r="D185" i="17"/>
  <c r="C185" i="17"/>
  <c r="B185" i="17"/>
  <c r="AU184" i="17"/>
  <c r="AA184" i="17"/>
  <c r="Q184" i="17"/>
  <c r="E184" i="17"/>
  <c r="D184" i="17"/>
  <c r="C184" i="17"/>
  <c r="B184" i="17"/>
  <c r="AU183" i="17"/>
  <c r="AA183" i="17"/>
  <c r="Q183" i="17"/>
  <c r="E183" i="17"/>
  <c r="D183" i="17"/>
  <c r="C183" i="17"/>
  <c r="B183" i="17"/>
  <c r="AU182" i="17"/>
  <c r="AA182" i="17"/>
  <c r="Q182" i="17"/>
  <c r="E182" i="17"/>
  <c r="D182" i="17"/>
  <c r="C182" i="17"/>
  <c r="B182" i="17"/>
  <c r="AU181" i="17"/>
  <c r="AA181" i="17"/>
  <c r="Q181" i="17"/>
  <c r="E181" i="17"/>
  <c r="D181" i="17"/>
  <c r="C181" i="17"/>
  <c r="B181" i="17"/>
  <c r="AU180" i="17"/>
  <c r="AA180" i="17"/>
  <c r="Q180" i="17"/>
  <c r="E180" i="17"/>
  <c r="D180" i="17"/>
  <c r="C180" i="17"/>
  <c r="B180" i="17"/>
  <c r="AU179" i="17"/>
  <c r="AA179" i="17"/>
  <c r="Q179" i="17"/>
  <c r="E179" i="17"/>
  <c r="D179" i="17"/>
  <c r="C179" i="17"/>
  <c r="B179" i="17"/>
  <c r="AU178" i="17"/>
  <c r="AA178" i="17"/>
  <c r="Q178" i="17"/>
  <c r="E178" i="17"/>
  <c r="D178" i="17"/>
  <c r="C178" i="17"/>
  <c r="B178" i="17"/>
  <c r="AU177" i="17"/>
  <c r="AA177" i="17"/>
  <c r="Q177" i="17"/>
  <c r="E177" i="17"/>
  <c r="D177" i="17"/>
  <c r="C177" i="17"/>
  <c r="B177" i="17"/>
  <c r="AU176" i="17"/>
  <c r="AA176" i="17"/>
  <c r="Q176" i="17"/>
  <c r="E176" i="17"/>
  <c r="D176" i="17"/>
  <c r="C176" i="17"/>
  <c r="B176" i="17"/>
  <c r="AU175" i="17"/>
  <c r="AA175" i="17"/>
  <c r="Q175" i="17"/>
  <c r="E175" i="17"/>
  <c r="D175" i="17"/>
  <c r="C175" i="17"/>
  <c r="B175" i="17"/>
  <c r="AU174" i="17"/>
  <c r="AA174" i="17"/>
  <c r="Q174" i="17"/>
  <c r="E174" i="17"/>
  <c r="D174" i="17"/>
  <c r="C174" i="17"/>
  <c r="B174" i="17"/>
  <c r="AU173" i="17"/>
  <c r="AA173" i="17"/>
  <c r="Q173" i="17"/>
  <c r="E173" i="17"/>
  <c r="D173" i="17"/>
  <c r="C173" i="17"/>
  <c r="B173" i="17"/>
  <c r="AU172" i="17"/>
  <c r="AA172" i="17"/>
  <c r="Q172" i="17"/>
  <c r="E172" i="17"/>
  <c r="D172" i="17"/>
  <c r="C172" i="17"/>
  <c r="B172" i="17"/>
  <c r="AU171" i="17"/>
  <c r="AA171" i="17"/>
  <c r="Q171" i="17"/>
  <c r="E171" i="17"/>
  <c r="D171" i="17"/>
  <c r="C171" i="17"/>
  <c r="B171" i="17"/>
  <c r="AU170" i="17"/>
  <c r="AA170" i="17"/>
  <c r="Q170" i="17"/>
  <c r="E170" i="17"/>
  <c r="D170" i="17"/>
  <c r="C170" i="17"/>
  <c r="B170" i="17"/>
  <c r="AU169" i="17"/>
  <c r="AA169" i="17"/>
  <c r="Q169" i="17"/>
  <c r="E169" i="17"/>
  <c r="D169" i="17"/>
  <c r="C169" i="17"/>
  <c r="B169" i="17"/>
  <c r="AU168" i="17"/>
  <c r="AA168" i="17"/>
  <c r="Q168" i="17"/>
  <c r="E168" i="17"/>
  <c r="D168" i="17"/>
  <c r="C168" i="17"/>
  <c r="B168" i="17"/>
  <c r="AU167" i="17"/>
  <c r="AA167" i="17"/>
  <c r="Q167" i="17"/>
  <c r="E167" i="17"/>
  <c r="D167" i="17"/>
  <c r="C167" i="17"/>
  <c r="B167" i="17"/>
  <c r="AU166" i="17"/>
  <c r="AA166" i="17"/>
  <c r="Q166" i="17"/>
  <c r="E166" i="17"/>
  <c r="D166" i="17"/>
  <c r="C166" i="17"/>
  <c r="B166" i="17"/>
  <c r="AU165" i="17"/>
  <c r="AA165" i="17"/>
  <c r="Q165" i="17"/>
  <c r="E165" i="17"/>
  <c r="D165" i="17"/>
  <c r="C165" i="17"/>
  <c r="B165" i="17"/>
  <c r="AU164" i="17"/>
  <c r="AA164" i="17"/>
  <c r="Q164" i="17"/>
  <c r="E164" i="17"/>
  <c r="D164" i="17"/>
  <c r="C164" i="17"/>
  <c r="B164" i="17"/>
  <c r="AU163" i="17"/>
  <c r="AA163" i="17"/>
  <c r="Q163" i="17"/>
  <c r="E163" i="17"/>
  <c r="D163" i="17"/>
  <c r="C163" i="17"/>
  <c r="B163" i="17"/>
  <c r="AU162" i="17"/>
  <c r="AA162" i="17"/>
  <c r="Q162" i="17"/>
  <c r="E162" i="17"/>
  <c r="D162" i="17"/>
  <c r="C162" i="17"/>
  <c r="B162" i="17"/>
  <c r="AU161" i="17"/>
  <c r="AA161" i="17"/>
  <c r="Q161" i="17"/>
  <c r="E161" i="17"/>
  <c r="D161" i="17"/>
  <c r="C161" i="17"/>
  <c r="B161" i="17"/>
  <c r="AU160" i="17"/>
  <c r="AA160" i="17"/>
  <c r="Q160" i="17"/>
  <c r="E160" i="17"/>
  <c r="D160" i="17"/>
  <c r="C160" i="17"/>
  <c r="B160" i="17"/>
  <c r="AU159" i="17"/>
  <c r="AA159" i="17"/>
  <c r="Q159" i="17"/>
  <c r="E159" i="17"/>
  <c r="D159" i="17"/>
  <c r="C159" i="17"/>
  <c r="B159" i="17"/>
  <c r="AU158" i="17"/>
  <c r="AA158" i="17"/>
  <c r="Q158" i="17"/>
  <c r="E158" i="17"/>
  <c r="D158" i="17"/>
  <c r="C158" i="17"/>
  <c r="B158" i="17"/>
  <c r="AU157" i="17"/>
  <c r="AA157" i="17"/>
  <c r="Q157" i="17"/>
  <c r="E157" i="17"/>
  <c r="D157" i="17"/>
  <c r="C157" i="17"/>
  <c r="B157" i="17"/>
  <c r="AU156" i="17"/>
  <c r="AA156" i="17"/>
  <c r="Q156" i="17"/>
  <c r="E156" i="17"/>
  <c r="D156" i="17"/>
  <c r="C156" i="17"/>
  <c r="B156" i="17"/>
  <c r="AU155" i="17"/>
  <c r="AA155" i="17"/>
  <c r="Q155" i="17"/>
  <c r="E155" i="17"/>
  <c r="D155" i="17"/>
  <c r="C155" i="17"/>
  <c r="B155" i="17"/>
  <c r="AU154" i="17"/>
  <c r="AA154" i="17"/>
  <c r="Q154" i="17"/>
  <c r="E154" i="17"/>
  <c r="D154" i="17"/>
  <c r="C154" i="17"/>
  <c r="B154" i="17"/>
  <c r="AU153" i="17"/>
  <c r="AA153" i="17"/>
  <c r="Q153" i="17"/>
  <c r="E153" i="17"/>
  <c r="D153" i="17"/>
  <c r="C153" i="17"/>
  <c r="B153" i="17"/>
  <c r="AU152" i="17"/>
  <c r="AA152" i="17"/>
  <c r="Q152" i="17"/>
  <c r="E152" i="17"/>
  <c r="D152" i="17"/>
  <c r="C152" i="17"/>
  <c r="B152" i="17"/>
  <c r="AU151" i="17"/>
  <c r="AA151" i="17"/>
  <c r="Q151" i="17"/>
  <c r="E151" i="17"/>
  <c r="D151" i="17"/>
  <c r="C151" i="17"/>
  <c r="B151" i="17"/>
  <c r="Q150" i="17"/>
  <c r="E150" i="17"/>
  <c r="D150" i="17"/>
  <c r="C150" i="17"/>
  <c r="B150" i="17"/>
  <c r="AU149" i="17"/>
  <c r="AA149" i="17"/>
  <c r="Q149" i="17"/>
  <c r="E149" i="17"/>
  <c r="D149" i="17"/>
  <c r="C149" i="17"/>
  <c r="B149" i="17"/>
  <c r="AU148" i="17"/>
  <c r="AA148" i="17"/>
  <c r="Q148" i="17"/>
  <c r="E148" i="17"/>
  <c r="D148" i="17"/>
  <c r="C148" i="17"/>
  <c r="B148" i="17"/>
  <c r="AU147" i="17"/>
  <c r="AA147" i="17"/>
  <c r="Q147" i="17"/>
  <c r="E147" i="17"/>
  <c r="D147" i="17"/>
  <c r="C147" i="17"/>
  <c r="B147" i="17"/>
  <c r="AU146" i="17"/>
  <c r="AA146" i="17"/>
  <c r="Q146" i="17"/>
  <c r="E146" i="17"/>
  <c r="D146" i="17"/>
  <c r="C146" i="17"/>
  <c r="B146" i="17"/>
  <c r="AU145" i="17"/>
  <c r="AA145" i="17"/>
  <c r="Q145" i="17"/>
  <c r="E145" i="17"/>
  <c r="D145" i="17"/>
  <c r="C145" i="17"/>
  <c r="B145" i="17"/>
  <c r="AU144" i="17"/>
  <c r="AA144" i="17"/>
  <c r="Q144" i="17"/>
  <c r="E144" i="17"/>
  <c r="D144" i="17"/>
  <c r="C144" i="17"/>
  <c r="B144" i="17"/>
  <c r="AU143" i="17"/>
  <c r="AA143" i="17"/>
  <c r="Q143" i="17"/>
  <c r="E143" i="17"/>
  <c r="D143" i="17"/>
  <c r="C143" i="17"/>
  <c r="B143" i="17"/>
  <c r="AU142" i="17"/>
  <c r="AA142" i="17"/>
  <c r="Q142" i="17"/>
  <c r="E142" i="17"/>
  <c r="D142" i="17"/>
  <c r="C142" i="17"/>
  <c r="B142" i="17"/>
  <c r="AU141" i="17"/>
  <c r="AA141" i="17"/>
  <c r="Q141" i="17"/>
  <c r="E141" i="17"/>
  <c r="D141" i="17"/>
  <c r="C141" i="17"/>
  <c r="B141" i="17"/>
  <c r="AU140" i="17"/>
  <c r="AA140" i="17"/>
  <c r="Q140" i="17"/>
  <c r="E140" i="17"/>
  <c r="D140" i="17"/>
  <c r="C140" i="17"/>
  <c r="B140" i="17"/>
  <c r="AU139" i="17"/>
  <c r="AA139" i="17"/>
  <c r="Q139" i="17"/>
  <c r="E139" i="17"/>
  <c r="D139" i="17"/>
  <c r="C139" i="17"/>
  <c r="B139" i="17"/>
  <c r="AU138" i="17"/>
  <c r="AA138" i="17"/>
  <c r="Q138" i="17"/>
  <c r="E138" i="17"/>
  <c r="D138" i="17"/>
  <c r="C138" i="17"/>
  <c r="B138" i="17"/>
  <c r="AU137" i="17"/>
  <c r="AA137" i="17"/>
  <c r="Q137" i="17"/>
  <c r="E137" i="17"/>
  <c r="D137" i="17"/>
  <c r="C137" i="17"/>
  <c r="B137" i="17"/>
  <c r="AU136" i="17"/>
  <c r="AA136" i="17"/>
  <c r="Q136" i="17"/>
  <c r="E136" i="17"/>
  <c r="D136" i="17"/>
  <c r="C136" i="17"/>
  <c r="B136" i="17"/>
  <c r="AU135" i="17"/>
  <c r="AA135" i="17"/>
  <c r="Q135" i="17"/>
  <c r="E135" i="17"/>
  <c r="D135" i="17"/>
  <c r="C135" i="17"/>
  <c r="B135" i="17"/>
  <c r="AU134" i="17"/>
  <c r="AA134" i="17"/>
  <c r="Q134" i="17"/>
  <c r="E134" i="17"/>
  <c r="D134" i="17"/>
  <c r="C134" i="17"/>
  <c r="B134" i="17"/>
  <c r="AU133" i="17"/>
  <c r="AA133" i="17"/>
  <c r="Q133" i="17"/>
  <c r="E133" i="17"/>
  <c r="D133" i="17"/>
  <c r="C133" i="17"/>
  <c r="B133" i="17"/>
  <c r="AU132" i="17"/>
  <c r="AA132" i="17"/>
  <c r="Q132" i="17"/>
  <c r="E132" i="17"/>
  <c r="D132" i="17"/>
  <c r="C132" i="17"/>
  <c r="B132" i="17"/>
  <c r="AU131" i="17"/>
  <c r="AA131" i="17"/>
  <c r="Q131" i="17"/>
  <c r="E131" i="17"/>
  <c r="D131" i="17"/>
  <c r="C131" i="17"/>
  <c r="B131" i="17"/>
  <c r="AU130" i="17"/>
  <c r="AA130" i="17"/>
  <c r="Q130" i="17"/>
  <c r="E130" i="17"/>
  <c r="D130" i="17"/>
  <c r="C130" i="17"/>
  <c r="B130" i="17"/>
  <c r="AU129" i="17"/>
  <c r="AA129" i="17"/>
  <c r="Q129" i="17"/>
  <c r="E129" i="17"/>
  <c r="D129" i="17"/>
  <c r="C129" i="17"/>
  <c r="B129" i="17"/>
  <c r="AU128" i="17"/>
  <c r="AA128" i="17"/>
  <c r="Q128" i="17"/>
  <c r="E128" i="17"/>
  <c r="D128" i="17"/>
  <c r="C128" i="17"/>
  <c r="B128" i="17"/>
  <c r="AU127" i="17"/>
  <c r="AA127" i="17"/>
  <c r="Q127" i="17"/>
  <c r="E127" i="17"/>
  <c r="D127" i="17"/>
  <c r="C127" i="17"/>
  <c r="B127" i="17"/>
  <c r="AU126" i="17"/>
  <c r="AA126" i="17"/>
  <c r="Q126" i="17"/>
  <c r="E126" i="17"/>
  <c r="D126" i="17"/>
  <c r="C126" i="17"/>
  <c r="B126" i="17"/>
  <c r="AU125" i="17"/>
  <c r="AA125" i="17"/>
  <c r="Q125" i="17"/>
  <c r="E125" i="17"/>
  <c r="D125" i="17"/>
  <c r="C125" i="17"/>
  <c r="B125" i="17"/>
  <c r="AU124" i="17"/>
  <c r="AA124" i="17"/>
  <c r="Q124" i="17"/>
  <c r="E124" i="17"/>
  <c r="D124" i="17"/>
  <c r="C124" i="17"/>
  <c r="B124" i="17"/>
  <c r="AU123" i="17"/>
  <c r="AA123" i="17"/>
  <c r="Q123" i="17"/>
  <c r="E123" i="17"/>
  <c r="D123" i="17"/>
  <c r="C123" i="17"/>
  <c r="B123" i="17"/>
  <c r="AU122" i="17"/>
  <c r="AA122" i="17"/>
  <c r="Q122" i="17"/>
  <c r="E122" i="17"/>
  <c r="D122" i="17"/>
  <c r="C122" i="17"/>
  <c r="B122" i="17"/>
  <c r="AU121" i="17"/>
  <c r="AA121" i="17"/>
  <c r="Q121" i="17"/>
  <c r="E121" i="17"/>
  <c r="D121" i="17"/>
  <c r="C121" i="17"/>
  <c r="B121" i="17"/>
  <c r="AU120" i="17"/>
  <c r="AA120" i="17"/>
  <c r="Q120" i="17"/>
  <c r="E120" i="17"/>
  <c r="D120" i="17"/>
  <c r="C120" i="17"/>
  <c r="B120" i="17"/>
  <c r="AU119" i="17"/>
  <c r="AA119" i="17"/>
  <c r="Q119" i="17"/>
  <c r="E119" i="17"/>
  <c r="D119" i="17"/>
  <c r="C119" i="17"/>
  <c r="B119" i="17"/>
  <c r="AU118" i="17"/>
  <c r="AA118" i="17"/>
  <c r="Q118" i="17"/>
  <c r="E118" i="17"/>
  <c r="D118" i="17"/>
  <c r="C118" i="17"/>
  <c r="B118" i="17"/>
  <c r="AU117" i="17"/>
  <c r="AA117" i="17"/>
  <c r="Q117" i="17"/>
  <c r="E117" i="17"/>
  <c r="D117" i="17"/>
  <c r="C117" i="17"/>
  <c r="B117" i="17"/>
  <c r="AU116" i="17"/>
  <c r="AA116" i="17"/>
  <c r="Q116" i="17"/>
  <c r="E116" i="17"/>
  <c r="D116" i="17"/>
  <c r="C116" i="17"/>
  <c r="B116" i="17"/>
  <c r="AU115" i="17"/>
  <c r="AA115" i="17"/>
  <c r="Q115" i="17"/>
  <c r="E115" i="17"/>
  <c r="D115" i="17"/>
  <c r="C115" i="17"/>
  <c r="B115" i="17"/>
  <c r="AU114" i="17"/>
  <c r="AA114" i="17"/>
  <c r="Q114" i="17"/>
  <c r="E114" i="17"/>
  <c r="D114" i="17"/>
  <c r="C114" i="17"/>
  <c r="B114" i="17"/>
  <c r="AU113" i="17"/>
  <c r="AA113" i="17"/>
  <c r="Q113" i="17"/>
  <c r="E113" i="17"/>
  <c r="D113" i="17"/>
  <c r="C113" i="17"/>
  <c r="B113" i="17"/>
  <c r="AU112" i="17"/>
  <c r="AA112" i="17"/>
  <c r="Q112" i="17"/>
  <c r="E112" i="17"/>
  <c r="D112" i="17"/>
  <c r="C112" i="17"/>
  <c r="B112" i="17"/>
  <c r="AU111" i="17"/>
  <c r="AA111" i="17"/>
  <c r="Q111" i="17"/>
  <c r="E111" i="17"/>
  <c r="D111" i="17"/>
  <c r="C111" i="17"/>
  <c r="B111" i="17"/>
  <c r="AU110" i="17"/>
  <c r="AA110" i="17"/>
  <c r="Q110" i="17"/>
  <c r="E110" i="17"/>
  <c r="D110" i="17"/>
  <c r="C110" i="17"/>
  <c r="B110" i="17"/>
  <c r="AU109" i="17"/>
  <c r="AA109" i="17"/>
  <c r="Q109" i="17"/>
  <c r="E109" i="17"/>
  <c r="D109" i="17"/>
  <c r="C109" i="17"/>
  <c r="B109" i="17"/>
  <c r="AU108" i="17"/>
  <c r="AA108" i="17"/>
  <c r="Q108" i="17"/>
  <c r="E108" i="17"/>
  <c r="D108" i="17"/>
  <c r="C108" i="17"/>
  <c r="B108" i="17"/>
  <c r="AU107" i="17"/>
  <c r="AA107" i="17"/>
  <c r="Q107" i="17"/>
  <c r="E107" i="17"/>
  <c r="D107" i="17"/>
  <c r="C107" i="17"/>
  <c r="B107" i="17"/>
  <c r="AU106" i="17"/>
  <c r="AA106" i="17"/>
  <c r="Q106" i="17"/>
  <c r="E106" i="17"/>
  <c r="D106" i="17"/>
  <c r="C106" i="17"/>
  <c r="B106" i="17"/>
  <c r="AU105" i="17"/>
  <c r="AA105" i="17"/>
  <c r="Q105" i="17"/>
  <c r="E105" i="17"/>
  <c r="D105" i="17"/>
  <c r="C105" i="17"/>
  <c r="B105" i="17"/>
  <c r="AU104" i="17"/>
  <c r="AA104" i="17"/>
  <c r="Q104" i="17"/>
  <c r="E104" i="17"/>
  <c r="D104" i="17"/>
  <c r="C104" i="17"/>
  <c r="B104" i="17"/>
  <c r="AU103" i="17"/>
  <c r="AA103" i="17"/>
  <c r="Q103" i="17"/>
  <c r="E103" i="17"/>
  <c r="D103" i="17"/>
  <c r="C103" i="17"/>
  <c r="B103" i="17"/>
  <c r="AU102" i="17"/>
  <c r="AA102" i="17"/>
  <c r="Q102" i="17"/>
  <c r="E102" i="17"/>
  <c r="D102" i="17"/>
  <c r="C102" i="17"/>
  <c r="B102" i="17"/>
  <c r="AU101" i="17"/>
  <c r="AA101" i="17"/>
  <c r="Q101" i="17"/>
  <c r="E101" i="17"/>
  <c r="D101" i="17"/>
  <c r="C101" i="17"/>
  <c r="B101" i="17"/>
  <c r="AU100" i="17"/>
  <c r="AA100" i="17"/>
  <c r="Q100" i="17"/>
  <c r="E100" i="17"/>
  <c r="D100" i="17"/>
  <c r="C100" i="17"/>
  <c r="B100" i="17"/>
  <c r="AU99" i="17"/>
  <c r="AA99" i="17"/>
  <c r="Q99" i="17"/>
  <c r="E99" i="17"/>
  <c r="D99" i="17"/>
  <c r="C99" i="17"/>
  <c r="B99" i="17"/>
  <c r="AU98" i="17"/>
  <c r="AA98" i="17"/>
  <c r="Q98" i="17"/>
  <c r="E98" i="17"/>
  <c r="D98" i="17"/>
  <c r="C98" i="17"/>
  <c r="B98" i="17"/>
  <c r="AU97" i="17"/>
  <c r="AA97" i="17"/>
  <c r="Q97" i="17"/>
  <c r="E97" i="17"/>
  <c r="D97" i="17"/>
  <c r="C97" i="17"/>
  <c r="B97" i="17"/>
  <c r="AU96" i="17"/>
  <c r="AA96" i="17"/>
  <c r="Q96" i="17"/>
  <c r="E96" i="17"/>
  <c r="D96" i="17"/>
  <c r="C96" i="17"/>
  <c r="B96" i="17"/>
  <c r="AU95" i="17"/>
  <c r="AA95" i="17"/>
  <c r="Q95" i="17"/>
  <c r="E95" i="17"/>
  <c r="D95" i="17"/>
  <c r="C95" i="17"/>
  <c r="B95" i="17"/>
  <c r="AU94" i="17"/>
  <c r="AA94" i="17"/>
  <c r="Q94" i="17"/>
  <c r="E94" i="17"/>
  <c r="D94" i="17"/>
  <c r="C94" i="17"/>
  <c r="B94" i="17"/>
  <c r="AU93" i="17"/>
  <c r="AA93" i="17"/>
  <c r="Q93" i="17"/>
  <c r="E93" i="17"/>
  <c r="D93" i="17"/>
  <c r="C93" i="17"/>
  <c r="B93" i="17"/>
  <c r="AU92" i="17"/>
  <c r="AA92" i="17"/>
  <c r="Q92" i="17"/>
  <c r="E92" i="17"/>
  <c r="D92" i="17"/>
  <c r="C92" i="17"/>
  <c r="B92" i="17"/>
  <c r="AU91" i="17"/>
  <c r="AA91" i="17"/>
  <c r="Q91" i="17"/>
  <c r="E91" i="17"/>
  <c r="D91" i="17"/>
  <c r="C91" i="17"/>
  <c r="B91" i="17"/>
  <c r="AU90" i="17"/>
  <c r="AA90" i="17"/>
  <c r="Q90" i="17"/>
  <c r="E90" i="17"/>
  <c r="D90" i="17"/>
  <c r="C90" i="17"/>
  <c r="B90" i="17"/>
  <c r="AU89" i="17"/>
  <c r="AA89" i="17"/>
  <c r="Q89" i="17"/>
  <c r="E89" i="17"/>
  <c r="D89" i="17"/>
  <c r="C89" i="17"/>
  <c r="B89" i="17"/>
  <c r="AU88" i="17"/>
  <c r="AA88" i="17"/>
  <c r="Q88" i="17"/>
  <c r="E88" i="17"/>
  <c r="D88" i="17"/>
  <c r="C88" i="17"/>
  <c r="B88" i="17"/>
  <c r="AU87" i="17"/>
  <c r="AA87" i="17"/>
  <c r="Q87" i="17"/>
  <c r="E87" i="17"/>
  <c r="D87" i="17"/>
  <c r="C87" i="17"/>
  <c r="B87" i="17"/>
  <c r="AU86" i="17"/>
  <c r="AA86" i="17"/>
  <c r="Q86" i="17"/>
  <c r="E86" i="17"/>
  <c r="D86" i="17"/>
  <c r="C86" i="17"/>
  <c r="B86" i="17"/>
  <c r="AU85" i="17"/>
  <c r="AA85" i="17"/>
  <c r="Q85" i="17"/>
  <c r="E85" i="17"/>
  <c r="D85" i="17"/>
  <c r="C85" i="17"/>
  <c r="B85" i="17"/>
  <c r="AU84" i="17"/>
  <c r="AA84" i="17"/>
  <c r="Q84" i="17"/>
  <c r="E84" i="17"/>
  <c r="D84" i="17"/>
  <c r="C84" i="17"/>
  <c r="B84" i="17"/>
  <c r="AU83" i="17"/>
  <c r="AA83" i="17"/>
  <c r="Q83" i="17"/>
  <c r="E83" i="17"/>
  <c r="D83" i="17"/>
  <c r="C83" i="17"/>
  <c r="B83" i="17"/>
  <c r="AU82" i="17"/>
  <c r="AA82" i="17"/>
  <c r="Q82" i="17"/>
  <c r="E82" i="17"/>
  <c r="D82" i="17"/>
  <c r="C82" i="17"/>
  <c r="B82" i="17"/>
  <c r="AU81" i="17"/>
  <c r="AA81" i="17"/>
  <c r="Q81" i="17"/>
  <c r="E81" i="17"/>
  <c r="D81" i="17"/>
  <c r="C81" i="17"/>
  <c r="B81" i="17"/>
  <c r="AU80" i="17"/>
  <c r="AA80" i="17"/>
  <c r="Q80" i="17"/>
  <c r="E80" i="17"/>
  <c r="D80" i="17"/>
  <c r="C80" i="17"/>
  <c r="B80" i="17"/>
  <c r="AU79" i="17"/>
  <c r="AA79" i="17"/>
  <c r="Q79" i="17"/>
  <c r="E79" i="17"/>
  <c r="D79" i="17"/>
  <c r="C79" i="17"/>
  <c r="B79" i="17"/>
  <c r="AU78" i="17"/>
  <c r="AA78" i="17"/>
  <c r="Q78" i="17"/>
  <c r="E78" i="17"/>
  <c r="D78" i="17"/>
  <c r="C78" i="17"/>
  <c r="B78" i="17"/>
  <c r="AU77" i="17"/>
  <c r="AA77" i="17"/>
  <c r="Q77" i="17"/>
  <c r="E77" i="17"/>
  <c r="D77" i="17"/>
  <c r="C77" i="17"/>
  <c r="B77" i="17"/>
  <c r="AU76" i="17"/>
  <c r="AA76" i="17"/>
  <c r="Q76" i="17"/>
  <c r="E76" i="17"/>
  <c r="D76" i="17"/>
  <c r="C76" i="17"/>
  <c r="B76" i="17"/>
  <c r="AU75" i="17"/>
  <c r="AA75" i="17"/>
  <c r="Q75" i="17"/>
  <c r="E75" i="17"/>
  <c r="D75" i="17"/>
  <c r="C75" i="17"/>
  <c r="B75" i="17"/>
  <c r="AU74" i="17"/>
  <c r="AA74" i="17"/>
  <c r="Q74" i="17"/>
  <c r="E74" i="17"/>
  <c r="D74" i="17"/>
  <c r="C74" i="17"/>
  <c r="B74" i="17"/>
  <c r="AU73" i="17"/>
  <c r="AA73" i="17"/>
  <c r="Q73" i="17"/>
  <c r="E73" i="17"/>
  <c r="D73" i="17"/>
  <c r="C73" i="17"/>
  <c r="B73" i="17"/>
  <c r="AU72" i="17"/>
  <c r="AA72" i="17"/>
  <c r="Q72" i="17"/>
  <c r="E72" i="17"/>
  <c r="D72" i="17"/>
  <c r="C72" i="17"/>
  <c r="B72" i="17"/>
  <c r="AU71" i="17"/>
  <c r="AA71" i="17"/>
  <c r="Q71" i="17"/>
  <c r="E71" i="17"/>
  <c r="D71" i="17"/>
  <c r="C71" i="17"/>
  <c r="B71" i="17"/>
  <c r="AU70" i="17"/>
  <c r="AA70" i="17"/>
  <c r="Q70" i="17"/>
  <c r="E70" i="17"/>
  <c r="D70" i="17"/>
  <c r="C70" i="17"/>
  <c r="B70" i="17"/>
  <c r="AU69" i="17"/>
  <c r="AA69" i="17"/>
  <c r="Q69" i="17"/>
  <c r="E69" i="17"/>
  <c r="D69" i="17"/>
  <c r="C69" i="17"/>
  <c r="B69" i="17"/>
  <c r="AU68" i="17"/>
  <c r="AA68" i="17"/>
  <c r="Q68" i="17"/>
  <c r="E68" i="17"/>
  <c r="D68" i="17"/>
  <c r="C68" i="17"/>
  <c r="B68" i="17"/>
  <c r="AU67" i="17"/>
  <c r="AA67" i="17"/>
  <c r="Q67" i="17"/>
  <c r="E67" i="17"/>
  <c r="D67" i="17"/>
  <c r="C67" i="17"/>
  <c r="B67" i="17"/>
  <c r="AU66" i="17"/>
  <c r="AA66" i="17"/>
  <c r="Q66" i="17"/>
  <c r="E66" i="17"/>
  <c r="D66" i="17"/>
  <c r="C66" i="17"/>
  <c r="B66" i="17"/>
  <c r="AU65" i="17"/>
  <c r="AA65" i="17"/>
  <c r="Q65" i="17"/>
  <c r="E65" i="17"/>
  <c r="D65" i="17"/>
  <c r="C65" i="17"/>
  <c r="B65" i="17"/>
  <c r="AU64" i="17"/>
  <c r="AA64" i="17"/>
  <c r="Q64" i="17"/>
  <c r="E64" i="17"/>
  <c r="D64" i="17"/>
  <c r="C64" i="17"/>
  <c r="B64" i="17"/>
  <c r="AU63" i="17"/>
  <c r="AA63" i="17"/>
  <c r="Q63" i="17"/>
  <c r="E63" i="17"/>
  <c r="D63" i="17"/>
  <c r="C63" i="17"/>
  <c r="B63" i="17"/>
  <c r="AU62" i="17"/>
  <c r="Q62" i="17"/>
  <c r="E62" i="17"/>
  <c r="D62" i="17"/>
  <c r="C62" i="17"/>
  <c r="B62" i="17"/>
  <c r="AU61" i="17"/>
  <c r="AA61" i="17"/>
  <c r="Q61" i="17"/>
  <c r="E61" i="17"/>
  <c r="D61" i="17"/>
  <c r="C61" i="17"/>
  <c r="B61" i="17"/>
  <c r="AU60" i="17"/>
  <c r="AA60" i="17"/>
  <c r="Q60" i="17"/>
  <c r="E60" i="17"/>
  <c r="D60" i="17"/>
  <c r="C60" i="17"/>
  <c r="B60" i="17"/>
  <c r="AU59" i="17"/>
  <c r="AA59" i="17"/>
  <c r="Q59" i="17"/>
  <c r="E59" i="17"/>
  <c r="D59" i="17"/>
  <c r="C59" i="17"/>
  <c r="B59" i="17"/>
  <c r="AU58" i="17"/>
  <c r="AA58" i="17"/>
  <c r="Q58" i="17"/>
  <c r="E58" i="17"/>
  <c r="D58" i="17"/>
  <c r="C58" i="17"/>
  <c r="B58" i="17"/>
  <c r="AU57" i="17"/>
  <c r="AA57" i="17"/>
  <c r="Q57" i="17"/>
  <c r="E57" i="17"/>
  <c r="D57" i="17"/>
  <c r="C57" i="17"/>
  <c r="B57" i="17"/>
  <c r="AU56" i="17"/>
  <c r="AA56" i="17"/>
  <c r="Q56" i="17"/>
  <c r="E56" i="17"/>
  <c r="D56" i="17"/>
  <c r="C56" i="17"/>
  <c r="B56" i="17"/>
  <c r="AU55" i="17"/>
  <c r="AA55" i="17"/>
  <c r="Q55" i="17"/>
  <c r="E55" i="17"/>
  <c r="D55" i="17"/>
  <c r="C55" i="17"/>
  <c r="B55" i="17"/>
  <c r="AU54" i="17"/>
  <c r="AA54" i="17"/>
  <c r="Q54" i="17"/>
  <c r="E54" i="17"/>
  <c r="D54" i="17"/>
  <c r="C54" i="17"/>
  <c r="B54" i="17"/>
  <c r="AU53" i="17"/>
  <c r="AA53" i="17"/>
  <c r="Q53" i="17"/>
  <c r="E53" i="17"/>
  <c r="D53" i="17"/>
  <c r="C53" i="17"/>
  <c r="B53" i="17"/>
  <c r="AU52" i="17"/>
  <c r="AA52" i="17"/>
  <c r="Q52" i="17"/>
  <c r="E52" i="17"/>
  <c r="D52" i="17"/>
  <c r="C52" i="17"/>
  <c r="B52" i="17"/>
  <c r="AU51" i="17"/>
  <c r="AA51" i="17"/>
  <c r="Q51" i="17"/>
  <c r="E51" i="17"/>
  <c r="D51" i="17"/>
  <c r="C51" i="17"/>
  <c r="B51" i="17"/>
  <c r="AU50" i="17"/>
  <c r="AA50" i="17"/>
  <c r="Q50" i="17"/>
  <c r="E50" i="17"/>
  <c r="D50" i="17"/>
  <c r="C50" i="17"/>
  <c r="B50" i="17"/>
  <c r="AU49" i="17"/>
  <c r="AA49" i="17"/>
  <c r="Q49" i="17"/>
  <c r="E49" i="17"/>
  <c r="D49" i="17"/>
  <c r="C49" i="17"/>
  <c r="B49" i="17"/>
  <c r="AU48" i="17"/>
  <c r="AA48" i="17"/>
  <c r="Q48" i="17"/>
  <c r="E48" i="17"/>
  <c r="D48" i="17"/>
  <c r="C48" i="17"/>
  <c r="B48" i="17"/>
  <c r="AU47" i="17"/>
  <c r="AA47" i="17"/>
  <c r="Q47" i="17"/>
  <c r="E47" i="17"/>
  <c r="D47" i="17"/>
  <c r="C47" i="17"/>
  <c r="B47" i="17"/>
  <c r="AU46" i="17"/>
  <c r="AA46" i="17"/>
  <c r="Q46" i="17"/>
  <c r="E46" i="17"/>
  <c r="D46" i="17"/>
  <c r="C46" i="17"/>
  <c r="B46" i="17"/>
  <c r="AU45" i="17"/>
  <c r="AA45" i="17"/>
  <c r="Q45" i="17"/>
  <c r="E45" i="17"/>
  <c r="D45" i="17"/>
  <c r="C45" i="17"/>
  <c r="B45" i="17"/>
  <c r="AU44" i="17"/>
  <c r="AA44" i="17"/>
  <c r="Q44" i="17"/>
  <c r="E44" i="17"/>
  <c r="D44" i="17"/>
  <c r="C44" i="17"/>
  <c r="B44" i="17"/>
  <c r="AU43" i="17"/>
  <c r="AA43" i="17"/>
  <c r="Q43" i="17"/>
  <c r="E43" i="17"/>
  <c r="D43" i="17"/>
  <c r="C43" i="17"/>
  <c r="B43" i="17"/>
  <c r="AU42" i="17"/>
  <c r="AA42" i="17"/>
  <c r="Q42" i="17"/>
  <c r="E42" i="17"/>
  <c r="D42" i="17"/>
  <c r="C42" i="17"/>
  <c r="B42" i="17"/>
  <c r="AU41" i="17"/>
  <c r="AA41" i="17"/>
  <c r="Q41" i="17"/>
  <c r="E41" i="17"/>
  <c r="D41" i="17"/>
  <c r="C41" i="17"/>
  <c r="B41" i="17"/>
  <c r="AU40" i="17"/>
  <c r="AA40" i="17"/>
  <c r="Q40" i="17"/>
  <c r="E40" i="17"/>
  <c r="D40" i="17"/>
  <c r="C40" i="17"/>
  <c r="B40" i="17"/>
  <c r="AU39" i="17"/>
  <c r="AA39" i="17"/>
  <c r="Q39" i="17"/>
  <c r="E39" i="17"/>
  <c r="D39" i="17"/>
  <c r="C39" i="17"/>
  <c r="B39" i="17"/>
  <c r="AU38" i="17"/>
  <c r="AA38" i="17"/>
  <c r="Q38" i="17"/>
  <c r="E38" i="17"/>
  <c r="D38" i="17"/>
  <c r="C38" i="17"/>
  <c r="B38" i="17"/>
  <c r="AU37" i="17"/>
  <c r="AA37" i="17"/>
  <c r="Q37" i="17"/>
  <c r="E37" i="17"/>
  <c r="D37" i="17"/>
  <c r="C37" i="17"/>
  <c r="B37" i="17"/>
  <c r="AU36" i="17"/>
  <c r="AA36" i="17"/>
  <c r="Q36" i="17"/>
  <c r="E36" i="17"/>
  <c r="D36" i="17"/>
  <c r="C36" i="17"/>
  <c r="B36" i="17"/>
  <c r="AU35" i="17"/>
  <c r="AA35" i="17"/>
  <c r="Q35" i="17"/>
  <c r="E35" i="17"/>
  <c r="D35" i="17"/>
  <c r="C35" i="17"/>
  <c r="B35" i="17"/>
  <c r="AU34" i="17"/>
  <c r="AA34" i="17"/>
  <c r="Q34" i="17"/>
  <c r="E34" i="17"/>
  <c r="D34" i="17"/>
  <c r="C34" i="17"/>
  <c r="B34" i="17"/>
  <c r="AU33" i="17"/>
  <c r="AA33" i="17"/>
  <c r="Q33" i="17"/>
  <c r="E33" i="17"/>
  <c r="D33" i="17"/>
  <c r="C33" i="17"/>
  <c r="B33" i="17"/>
  <c r="AU32" i="17"/>
  <c r="AA32" i="17"/>
  <c r="Q32" i="17"/>
  <c r="E32" i="17"/>
  <c r="D32" i="17"/>
  <c r="C32" i="17"/>
  <c r="B32" i="17"/>
  <c r="AU31" i="17"/>
  <c r="AA31" i="17"/>
  <c r="Q31" i="17"/>
  <c r="E31" i="17"/>
  <c r="D31" i="17"/>
  <c r="C31" i="17"/>
  <c r="B31" i="17"/>
  <c r="AU30" i="17"/>
  <c r="AA30" i="17"/>
  <c r="Q30" i="17"/>
  <c r="E30" i="17"/>
  <c r="D30" i="17"/>
  <c r="C30" i="17"/>
  <c r="B30" i="17"/>
  <c r="AU29" i="17"/>
  <c r="AA29" i="17"/>
  <c r="Q29" i="17"/>
  <c r="E29" i="17"/>
  <c r="D29" i="17"/>
  <c r="C29" i="17"/>
  <c r="B29" i="17"/>
  <c r="AU28" i="17"/>
  <c r="AA28" i="17"/>
  <c r="Q28" i="17"/>
  <c r="E28" i="17"/>
  <c r="D28" i="17"/>
  <c r="C28" i="17"/>
  <c r="B28" i="17"/>
  <c r="AU27" i="17"/>
  <c r="AA27" i="17"/>
  <c r="Q27" i="17"/>
  <c r="E27" i="17"/>
  <c r="D27" i="17"/>
  <c r="C27" i="17"/>
  <c r="B27" i="17"/>
  <c r="AU26" i="17"/>
  <c r="AA26" i="17"/>
  <c r="Q26" i="17"/>
  <c r="E26" i="17"/>
  <c r="D26" i="17"/>
  <c r="C26" i="17"/>
  <c r="B26" i="17"/>
  <c r="AU25" i="17"/>
  <c r="AA25" i="17"/>
  <c r="Q25" i="17"/>
  <c r="E25" i="17"/>
  <c r="D25" i="17"/>
  <c r="C25" i="17"/>
  <c r="B25" i="17"/>
  <c r="AU24" i="17"/>
  <c r="AA24" i="17"/>
  <c r="Q24" i="17"/>
  <c r="E24" i="17"/>
  <c r="D24" i="17"/>
  <c r="C24" i="17"/>
  <c r="B24" i="17"/>
  <c r="AU23" i="17"/>
  <c r="AA23" i="17"/>
  <c r="Q23" i="17"/>
  <c r="E23" i="17"/>
  <c r="D23" i="17"/>
  <c r="C23" i="17"/>
  <c r="B23" i="17"/>
  <c r="AU22" i="17"/>
  <c r="AA22" i="17"/>
  <c r="Q22" i="17"/>
  <c r="E22" i="17"/>
  <c r="D22" i="17"/>
  <c r="C22" i="17"/>
  <c r="B22" i="17"/>
  <c r="AU21" i="17"/>
  <c r="AA21" i="17"/>
  <c r="Q21" i="17"/>
  <c r="E21" i="17"/>
  <c r="D21" i="17"/>
  <c r="C21" i="17"/>
  <c r="B21" i="17"/>
  <c r="AU20" i="17"/>
  <c r="AA20" i="17"/>
  <c r="Q20" i="17"/>
  <c r="E20" i="17"/>
  <c r="D20" i="17"/>
  <c r="C20" i="17"/>
  <c r="B20" i="17"/>
  <c r="AU19" i="17"/>
  <c r="AA19" i="17"/>
  <c r="Q19" i="17"/>
  <c r="E19" i="17"/>
  <c r="D19" i="17"/>
  <c r="C19" i="17"/>
  <c r="B19" i="17"/>
  <c r="AU18" i="17"/>
  <c r="AA18" i="17"/>
  <c r="Q18" i="17"/>
  <c r="E18" i="17"/>
  <c r="D18" i="17"/>
  <c r="C18" i="17"/>
  <c r="B18" i="17"/>
  <c r="AU17" i="17"/>
  <c r="AA17" i="17"/>
  <c r="Q17" i="17"/>
  <c r="E17" i="17"/>
  <c r="D17" i="17"/>
  <c r="C17" i="17"/>
  <c r="B17" i="17"/>
  <c r="AU16" i="17"/>
  <c r="AA16" i="17"/>
  <c r="Q16" i="17"/>
  <c r="E16" i="17"/>
  <c r="D16" i="17"/>
  <c r="C16" i="17"/>
  <c r="B16" i="17"/>
  <c r="AU15" i="17"/>
  <c r="AA15" i="17"/>
  <c r="Q15" i="17"/>
  <c r="E15" i="17"/>
  <c r="D15" i="17"/>
  <c r="C15" i="17"/>
  <c r="B15" i="17"/>
  <c r="AU14" i="17"/>
  <c r="AA14" i="17"/>
  <c r="Q14" i="17"/>
  <c r="E14" i="17"/>
  <c r="D14" i="17"/>
  <c r="C14" i="17"/>
  <c r="B14" i="17"/>
  <c r="AU13" i="17"/>
  <c r="AA13" i="17"/>
  <c r="Q13" i="17"/>
  <c r="E13" i="17"/>
  <c r="D13" i="17"/>
  <c r="C13" i="17"/>
  <c r="B13" i="17"/>
  <c r="AU12" i="17"/>
  <c r="AA12" i="17"/>
  <c r="Q12" i="17"/>
  <c r="E12" i="17"/>
  <c r="D12" i="17"/>
  <c r="C12" i="17"/>
  <c r="B12" i="17"/>
  <c r="AU11" i="17"/>
  <c r="AA11" i="17"/>
  <c r="Q11" i="17"/>
  <c r="E11" i="17"/>
  <c r="D11" i="17"/>
  <c r="C11" i="17"/>
  <c r="B11" i="17"/>
  <c r="AU10" i="17"/>
  <c r="AA10" i="17"/>
  <c r="Q10" i="17"/>
  <c r="E10" i="17"/>
  <c r="D10" i="17"/>
  <c r="C10" i="17"/>
  <c r="B10" i="17"/>
  <c r="AU9" i="17"/>
  <c r="AA9" i="17"/>
  <c r="Q9" i="17"/>
  <c r="E9" i="17"/>
  <c r="D9" i="17"/>
  <c r="C9" i="17"/>
  <c r="B9" i="17"/>
  <c r="AU8" i="17"/>
  <c r="AA8" i="17"/>
  <c r="Q8" i="17"/>
  <c r="E8" i="17"/>
  <c r="D8" i="17"/>
  <c r="C8" i="17"/>
  <c r="B8" i="17"/>
  <c r="AU7" i="17"/>
  <c r="AA7" i="17"/>
  <c r="Q7" i="17"/>
  <c r="H7" i="17"/>
  <c r="G7" i="17"/>
  <c r="F7" i="17"/>
  <c r="E7" i="17"/>
  <c r="D7" i="17"/>
  <c r="C7" i="17"/>
  <c r="B7" i="17"/>
  <c r="H4" i="6"/>
  <c r="H3" i="6"/>
  <c r="S600" i="2"/>
  <c r="T600" i="2" s="1"/>
  <c r="R600" i="2"/>
  <c r="Q600" i="2"/>
  <c r="O600" i="2"/>
  <c r="Q599" i="2"/>
  <c r="O599" i="2"/>
  <c r="S598" i="2"/>
  <c r="T598" i="2" s="1"/>
  <c r="R598" i="2"/>
  <c r="Q598" i="2"/>
  <c r="O598" i="2"/>
  <c r="S597" i="2"/>
  <c r="T597" i="2" s="1"/>
  <c r="R597" i="2"/>
  <c r="Q597" i="2"/>
  <c r="O597" i="2"/>
  <c r="Q596" i="2"/>
  <c r="O596" i="2"/>
  <c r="S595" i="2"/>
  <c r="T595" i="2" s="1"/>
  <c r="Q595" i="2"/>
  <c r="O595" i="2"/>
  <c r="S594" i="2"/>
  <c r="T594" i="2" s="1"/>
  <c r="R594" i="2"/>
  <c r="Q594" i="2"/>
  <c r="O594" i="2"/>
  <c r="S593" i="2"/>
  <c r="T593" i="2" s="1"/>
  <c r="R593" i="2"/>
  <c r="Q593" i="2"/>
  <c r="O593" i="2"/>
  <c r="S592" i="2"/>
  <c r="T592" i="2" s="1"/>
  <c r="R592" i="2"/>
  <c r="Q592" i="2"/>
  <c r="O592" i="2"/>
  <c r="Q591" i="2"/>
  <c r="O591" i="2"/>
  <c r="S590" i="2"/>
  <c r="T590" i="2" s="1"/>
  <c r="R590" i="2"/>
  <c r="Q590" i="2"/>
  <c r="O590" i="2"/>
  <c r="S589" i="2"/>
  <c r="T589" i="2" s="1"/>
  <c r="R589" i="2"/>
  <c r="Q589" i="2"/>
  <c r="O589" i="2"/>
  <c r="Q588" i="2"/>
  <c r="O588" i="2"/>
  <c r="Q587" i="2"/>
  <c r="O587" i="2"/>
  <c r="R586" i="2"/>
  <c r="Q586" i="2"/>
  <c r="O586" i="2"/>
  <c r="Q585" i="2"/>
  <c r="O585" i="2"/>
  <c r="Q584" i="2"/>
  <c r="O584" i="2"/>
  <c r="R583" i="2"/>
  <c r="Q583" i="2"/>
  <c r="O583" i="2"/>
  <c r="Q582" i="2"/>
  <c r="O582" i="2"/>
  <c r="Q581" i="2"/>
  <c r="O581" i="2"/>
  <c r="R580" i="2"/>
  <c r="Q580" i="2"/>
  <c r="O580" i="2"/>
  <c r="R579" i="2"/>
  <c r="Q579" i="2"/>
  <c r="O579" i="2"/>
  <c r="R578" i="2"/>
  <c r="Q578" i="2"/>
  <c r="O578" i="2"/>
  <c r="R577" i="2"/>
  <c r="Q577" i="2"/>
  <c r="O577" i="2"/>
  <c r="Q576" i="2"/>
  <c r="O576" i="2"/>
  <c r="Q575" i="2"/>
  <c r="O575" i="2"/>
  <c r="R574" i="2"/>
  <c r="Q574" i="2"/>
  <c r="O574" i="2"/>
  <c r="R573" i="2"/>
  <c r="Q573" i="2"/>
  <c r="O573" i="2"/>
  <c r="R572" i="2"/>
  <c r="Q572" i="2"/>
  <c r="O572" i="2"/>
  <c r="Q571" i="2"/>
  <c r="O571" i="2"/>
  <c r="R570" i="2"/>
  <c r="Q570" i="2"/>
  <c r="O570" i="2"/>
  <c r="R569" i="2"/>
  <c r="Q569" i="2"/>
  <c r="O569" i="2"/>
  <c r="R568" i="2"/>
  <c r="Q568" i="2"/>
  <c r="O568" i="2"/>
  <c r="R567" i="2"/>
  <c r="Q567" i="2"/>
  <c r="O567" i="2"/>
  <c r="R566" i="2"/>
  <c r="Q566" i="2"/>
  <c r="O566" i="2"/>
  <c r="Q565" i="2"/>
  <c r="O565" i="2"/>
  <c r="R564" i="2"/>
  <c r="Q564" i="2"/>
  <c r="O564" i="2"/>
  <c r="Q563" i="2"/>
  <c r="O563" i="2"/>
  <c r="Q562" i="2"/>
  <c r="O562" i="2"/>
  <c r="R561" i="2"/>
  <c r="Q561" i="2"/>
  <c r="O561" i="2"/>
  <c r="R560" i="2"/>
  <c r="Q560" i="2"/>
  <c r="O560" i="2"/>
  <c r="R559" i="2"/>
  <c r="Q559" i="2"/>
  <c r="O559" i="2"/>
  <c r="R558" i="2"/>
  <c r="Q558" i="2"/>
  <c r="O558" i="2"/>
  <c r="Q557" i="2"/>
  <c r="O557" i="2"/>
  <c r="R556" i="2"/>
  <c r="Q556" i="2"/>
  <c r="O556" i="2"/>
  <c r="Q555" i="2"/>
  <c r="O555" i="2"/>
  <c r="R554" i="2"/>
  <c r="Q554" i="2"/>
  <c r="O554" i="2"/>
  <c r="R553" i="2"/>
  <c r="Q553" i="2"/>
  <c r="O553" i="2"/>
  <c r="R552" i="2"/>
  <c r="Q552" i="2"/>
  <c r="O552" i="2"/>
  <c r="R551" i="2"/>
  <c r="Q551" i="2"/>
  <c r="O551" i="2"/>
  <c r="Q550" i="2"/>
  <c r="O550" i="2"/>
  <c r="R549" i="2"/>
  <c r="Q549" i="2"/>
  <c r="O549" i="2"/>
  <c r="Q548" i="2"/>
  <c r="O548" i="2"/>
  <c r="R547" i="2"/>
  <c r="Q547" i="2"/>
  <c r="O547" i="2"/>
  <c r="Q546" i="2"/>
  <c r="O546" i="2"/>
  <c r="R545" i="2"/>
  <c r="Q545" i="2"/>
  <c r="O545" i="2"/>
  <c r="R544" i="2"/>
  <c r="Q544" i="2"/>
  <c r="O544" i="2"/>
  <c r="Q543" i="2"/>
  <c r="O543" i="2"/>
  <c r="Q542" i="2"/>
  <c r="O542" i="2"/>
  <c r="Q541" i="2"/>
  <c r="O541" i="2"/>
  <c r="Q540" i="2"/>
  <c r="O540" i="2"/>
  <c r="Q539" i="2"/>
  <c r="O539" i="2"/>
  <c r="Q538" i="2"/>
  <c r="O538" i="2"/>
  <c r="Q537" i="2"/>
  <c r="O537" i="2"/>
  <c r="Q536" i="2"/>
  <c r="O536" i="2"/>
  <c r="Q535" i="2"/>
  <c r="O535" i="2"/>
  <c r="Q534" i="2"/>
  <c r="O534" i="2"/>
  <c r="Q533" i="2"/>
  <c r="O533" i="2"/>
  <c r="Q532" i="2"/>
  <c r="O532" i="2"/>
  <c r="Q531" i="2"/>
  <c r="O531" i="2"/>
  <c r="R530" i="2"/>
  <c r="Q530" i="2"/>
  <c r="O530" i="2"/>
  <c r="Q529" i="2"/>
  <c r="O529" i="2"/>
  <c r="Q528" i="2"/>
  <c r="O528" i="2"/>
  <c r="Q527" i="2"/>
  <c r="O527" i="2"/>
  <c r="Q526" i="2"/>
  <c r="O526" i="2"/>
  <c r="Q525" i="2"/>
  <c r="O525" i="2"/>
  <c r="Q524" i="2"/>
  <c r="O524" i="2"/>
  <c r="Q523" i="2"/>
  <c r="O523" i="2"/>
  <c r="Q522" i="2"/>
  <c r="O522" i="2"/>
  <c r="Q521" i="2"/>
  <c r="O521" i="2"/>
  <c r="Q520" i="2"/>
  <c r="O520" i="2"/>
  <c r="Q519" i="2"/>
  <c r="O519" i="2"/>
  <c r="Q518" i="2"/>
  <c r="O518" i="2"/>
  <c r="Q517" i="2"/>
  <c r="O517" i="2"/>
  <c r="Q516" i="2"/>
  <c r="O516" i="2"/>
  <c r="Q515" i="2"/>
  <c r="O515" i="2"/>
  <c r="Q514" i="2"/>
  <c r="O514" i="2"/>
  <c r="Q513" i="2"/>
  <c r="O513" i="2"/>
  <c r="Q512" i="2"/>
  <c r="O512" i="2"/>
  <c r="Q511" i="2"/>
  <c r="O511" i="2"/>
  <c r="Q510" i="2"/>
  <c r="O510" i="2"/>
  <c r="Q509" i="2"/>
  <c r="O509" i="2"/>
  <c r="Q508" i="2"/>
  <c r="O508" i="2"/>
  <c r="Q507" i="2"/>
  <c r="O507" i="2"/>
  <c r="Q506" i="2"/>
  <c r="O506" i="2"/>
  <c r="R505" i="2"/>
  <c r="Q505" i="2"/>
  <c r="O505" i="2"/>
  <c r="Q504" i="2"/>
  <c r="O504" i="2"/>
  <c r="Q503" i="2"/>
  <c r="O503" i="2"/>
  <c r="R502" i="2"/>
  <c r="Q502" i="2"/>
  <c r="O502" i="2"/>
  <c r="R501" i="2"/>
  <c r="Q501" i="2"/>
  <c r="O501" i="2"/>
  <c r="R500" i="2"/>
  <c r="Q500" i="2"/>
  <c r="O500" i="2"/>
  <c r="Q499" i="2"/>
  <c r="O499" i="2"/>
  <c r="Q498" i="2"/>
  <c r="O498" i="2"/>
  <c r="Q497" i="2"/>
  <c r="O497" i="2"/>
  <c r="R496" i="2"/>
  <c r="Q496" i="2"/>
  <c r="O496" i="2"/>
  <c r="R495" i="2"/>
  <c r="Q495" i="2"/>
  <c r="O495" i="2"/>
  <c r="Q494" i="2"/>
  <c r="O494" i="2"/>
  <c r="R493" i="2"/>
  <c r="Q493" i="2"/>
  <c r="O493" i="2"/>
  <c r="R492" i="2"/>
  <c r="Q492" i="2"/>
  <c r="O492" i="2"/>
  <c r="R491" i="2"/>
  <c r="Q491" i="2"/>
  <c r="O491" i="2"/>
  <c r="R490" i="2"/>
  <c r="Q490" i="2"/>
  <c r="O490" i="2"/>
  <c r="Q489" i="2"/>
  <c r="O489" i="2"/>
  <c r="Q488" i="2"/>
  <c r="O488" i="2"/>
  <c r="Q487" i="2"/>
  <c r="O487" i="2"/>
  <c r="R486" i="2"/>
  <c r="Q486" i="2"/>
  <c r="O486" i="2"/>
  <c r="Q485" i="2"/>
  <c r="O485" i="2"/>
  <c r="D485" i="2"/>
  <c r="Q484" i="2"/>
  <c r="O484" i="2"/>
  <c r="D484" i="2"/>
  <c r="R483" i="2"/>
  <c r="Q483" i="2"/>
  <c r="O483" i="2"/>
  <c r="D483" i="2"/>
  <c r="R482" i="2"/>
  <c r="Q482" i="2"/>
  <c r="O482" i="2"/>
  <c r="D482" i="2"/>
  <c r="R481" i="2"/>
  <c r="Q481" i="2"/>
  <c r="O481" i="2"/>
  <c r="D481" i="2"/>
  <c r="R480" i="2"/>
  <c r="Q480" i="2"/>
  <c r="O480" i="2"/>
  <c r="D480" i="2"/>
  <c r="R479" i="2"/>
  <c r="Q479" i="2"/>
  <c r="O479" i="2"/>
  <c r="D479" i="2"/>
  <c r="R478" i="2"/>
  <c r="Q478" i="2"/>
  <c r="O478" i="2"/>
  <c r="D478" i="2"/>
  <c r="C68" i="30" s="1"/>
  <c r="R477" i="2"/>
  <c r="Q477" i="2"/>
  <c r="O477" i="2"/>
  <c r="D477" i="2"/>
  <c r="Q476" i="2"/>
  <c r="O476" i="2"/>
  <c r="D476" i="2"/>
  <c r="Q475" i="2"/>
  <c r="O475" i="2"/>
  <c r="D475" i="2"/>
  <c r="R474" i="2"/>
  <c r="AU105" i="24" s="1"/>
  <c r="Q474" i="2"/>
  <c r="O474" i="2"/>
  <c r="AS105" i="24" s="1"/>
  <c r="D474" i="2"/>
  <c r="R473" i="2"/>
  <c r="Q473" i="2"/>
  <c r="O473" i="2"/>
  <c r="D473" i="2"/>
  <c r="R472" i="2"/>
  <c r="Q472" i="2"/>
  <c r="O472" i="2"/>
  <c r="D472" i="2"/>
  <c r="R471" i="2"/>
  <c r="Q471" i="2"/>
  <c r="O471" i="2"/>
  <c r="D471" i="2"/>
  <c r="R470" i="2"/>
  <c r="Q470" i="2"/>
  <c r="O470" i="2"/>
  <c r="D470" i="2"/>
  <c r="R469" i="2"/>
  <c r="Q469" i="2"/>
  <c r="O469" i="2"/>
  <c r="D469" i="2"/>
  <c r="R468" i="2"/>
  <c r="Q468" i="2"/>
  <c r="O468" i="2"/>
  <c r="D468" i="2"/>
  <c r="R467" i="2"/>
  <c r="Q467" i="2"/>
  <c r="O467" i="2"/>
  <c r="D467" i="2"/>
  <c r="Q466" i="2"/>
  <c r="O466" i="2"/>
  <c r="D466" i="2"/>
  <c r="R465" i="2"/>
  <c r="Q465" i="2"/>
  <c r="O465" i="2"/>
  <c r="D465" i="2"/>
  <c r="Q464" i="2"/>
  <c r="O464" i="2"/>
  <c r="D464" i="2"/>
  <c r="R463" i="2"/>
  <c r="Q463" i="2"/>
  <c r="O463" i="2"/>
  <c r="D463" i="2"/>
  <c r="R462" i="2"/>
  <c r="Q462" i="2"/>
  <c r="O462" i="2"/>
  <c r="D462" i="2"/>
  <c r="Q461" i="2"/>
  <c r="O461" i="2"/>
  <c r="D461" i="2"/>
  <c r="R460" i="2"/>
  <c r="Q460" i="2"/>
  <c r="O460" i="2"/>
  <c r="D460" i="2"/>
  <c r="R459" i="2"/>
  <c r="Q459" i="2"/>
  <c r="O459" i="2"/>
  <c r="R458" i="2"/>
  <c r="Q458" i="2"/>
  <c r="O458" i="2"/>
  <c r="D458" i="2"/>
  <c r="R457" i="2"/>
  <c r="Q457" i="2"/>
  <c r="O457" i="2"/>
  <c r="D457" i="2"/>
  <c r="R456" i="2"/>
  <c r="Q456" i="2"/>
  <c r="O456" i="2"/>
  <c r="R455" i="2"/>
  <c r="Q455" i="2"/>
  <c r="O455" i="2"/>
  <c r="R454" i="2"/>
  <c r="Q454" i="2"/>
  <c r="O454" i="2"/>
  <c r="D454" i="2"/>
  <c r="AD453" i="2"/>
  <c r="R453" i="2"/>
  <c r="Q453" i="2"/>
  <c r="O453" i="2"/>
  <c r="D453" i="2"/>
  <c r="Q452" i="2"/>
  <c r="O452" i="2"/>
  <c r="D452" i="2"/>
  <c r="R451" i="2"/>
  <c r="Q451" i="2"/>
  <c r="O451" i="2"/>
  <c r="D451" i="2"/>
  <c r="R450" i="2"/>
  <c r="Q450" i="2"/>
  <c r="O450" i="2"/>
  <c r="Q449" i="2"/>
  <c r="O449" i="2"/>
  <c r="D449" i="2"/>
  <c r="C198" i="30" s="1"/>
  <c r="AD448" i="2"/>
  <c r="R448" i="2"/>
  <c r="Q448" i="2"/>
  <c r="O448" i="2"/>
  <c r="D448" i="2"/>
  <c r="R447" i="2"/>
  <c r="Q447" i="2"/>
  <c r="O447" i="2"/>
  <c r="D447" i="2"/>
  <c r="R446" i="2"/>
  <c r="Q446" i="2"/>
  <c r="O446" i="2"/>
  <c r="D446" i="2"/>
  <c r="R445" i="2"/>
  <c r="Q445" i="2"/>
  <c r="O445" i="2"/>
  <c r="D445" i="2"/>
  <c r="AD444" i="2"/>
  <c r="R444" i="2"/>
  <c r="Q444" i="2"/>
  <c r="O444" i="2"/>
  <c r="D444" i="2"/>
  <c r="C12" i="30" s="1"/>
  <c r="R443" i="2"/>
  <c r="Q443" i="2"/>
  <c r="O443" i="2"/>
  <c r="D443" i="2"/>
  <c r="C16" i="30" s="1"/>
  <c r="R442" i="2"/>
  <c r="Q442" i="2"/>
  <c r="O442" i="2"/>
  <c r="D442" i="2"/>
  <c r="R441" i="2"/>
  <c r="Q441" i="2"/>
  <c r="O441" i="2"/>
  <c r="D441" i="2"/>
  <c r="Q440" i="2"/>
  <c r="O440" i="2"/>
  <c r="D440" i="2"/>
  <c r="R439" i="2"/>
  <c r="Q439" i="2"/>
  <c r="O439" i="2"/>
  <c r="D439" i="2"/>
  <c r="R438" i="2"/>
  <c r="Q438" i="2"/>
  <c r="O438" i="2"/>
  <c r="D438" i="2"/>
  <c r="R437" i="2"/>
  <c r="Q437" i="2"/>
  <c r="O437" i="2"/>
  <c r="D437" i="2"/>
  <c r="Q436" i="2"/>
  <c r="O436" i="2"/>
  <c r="AS110" i="24" s="1"/>
  <c r="D436" i="2"/>
  <c r="AK110" i="24" s="1"/>
  <c r="Q435" i="2"/>
  <c r="O435" i="2"/>
  <c r="D435" i="2"/>
  <c r="Q434" i="2"/>
  <c r="O434" i="2"/>
  <c r="AS58" i="24" s="1"/>
  <c r="D434" i="2"/>
  <c r="C109" i="26" s="1"/>
  <c r="T109" i="26" s="1"/>
  <c r="R433" i="2"/>
  <c r="Q433" i="2"/>
  <c r="O433" i="2"/>
  <c r="D433" i="2"/>
  <c r="R432" i="2"/>
  <c r="Q432" i="2"/>
  <c r="O432" i="2"/>
  <c r="R431" i="2"/>
  <c r="Q431" i="2"/>
  <c r="O431" i="2"/>
  <c r="Q430" i="2"/>
  <c r="O430" i="2"/>
  <c r="AS107" i="24" s="1"/>
  <c r="D430" i="2"/>
  <c r="Q429" i="2"/>
  <c r="D429" i="2"/>
  <c r="R428" i="2"/>
  <c r="Q428" i="2"/>
  <c r="O428" i="2"/>
  <c r="R427" i="2"/>
  <c r="Q427" i="2"/>
  <c r="O427" i="2"/>
  <c r="R426" i="2"/>
  <c r="Q426" i="2"/>
  <c r="O426" i="2"/>
  <c r="D426" i="2"/>
  <c r="Q425" i="2"/>
  <c r="O425" i="2"/>
  <c r="D425" i="2"/>
  <c r="R424" i="2"/>
  <c r="Q424" i="2"/>
  <c r="O424" i="2"/>
  <c r="R423" i="2"/>
  <c r="Q423" i="2"/>
  <c r="O423" i="2"/>
  <c r="R422" i="2"/>
  <c r="Q422" i="2"/>
  <c r="O422" i="2"/>
  <c r="D422" i="2"/>
  <c r="C94" i="30" s="1"/>
  <c r="Q421" i="2"/>
  <c r="O421" i="2"/>
  <c r="D421" i="2"/>
  <c r="Q420" i="2"/>
  <c r="O420" i="2"/>
  <c r="Q419" i="2"/>
  <c r="O419" i="2"/>
  <c r="R418" i="2"/>
  <c r="Q418" i="2"/>
  <c r="O418" i="2"/>
  <c r="R417" i="2"/>
  <c r="Q417" i="2"/>
  <c r="O417" i="2"/>
  <c r="R416" i="2"/>
  <c r="Q416" i="2"/>
  <c r="O416" i="2"/>
  <c r="Q415" i="2"/>
  <c r="O415" i="2"/>
  <c r="R414" i="2"/>
  <c r="Q414" i="2"/>
  <c r="O414" i="2"/>
  <c r="R413" i="2"/>
  <c r="Q413" i="2"/>
  <c r="O413" i="2"/>
  <c r="R412" i="2"/>
  <c r="Q412" i="2"/>
  <c r="O412" i="2"/>
  <c r="R411" i="2"/>
  <c r="Q411" i="2"/>
  <c r="O411" i="2"/>
  <c r="R410" i="2"/>
  <c r="Q410" i="2"/>
  <c r="O410" i="2"/>
  <c r="D410" i="2"/>
  <c r="R409" i="2"/>
  <c r="Q409" i="2"/>
  <c r="O409" i="2"/>
  <c r="D409" i="2"/>
  <c r="R408" i="2"/>
  <c r="Q408" i="2"/>
  <c r="O408" i="2"/>
  <c r="R407" i="2"/>
  <c r="Q407" i="2"/>
  <c r="O407" i="2"/>
  <c r="R406" i="2"/>
  <c r="Q406" i="2"/>
  <c r="O406" i="2"/>
  <c r="D406" i="2"/>
  <c r="R405" i="2"/>
  <c r="Q405" i="2"/>
  <c r="O405" i="2"/>
  <c r="D405" i="2"/>
  <c r="Q404" i="2"/>
  <c r="O404" i="2"/>
  <c r="D404" i="2"/>
  <c r="Q403" i="2"/>
  <c r="O403" i="2"/>
  <c r="D403" i="2"/>
  <c r="Q402" i="2"/>
  <c r="O402" i="2"/>
  <c r="D402" i="2"/>
  <c r="R401" i="2"/>
  <c r="Q401" i="2"/>
  <c r="O401" i="2"/>
  <c r="D401" i="2"/>
  <c r="R400" i="2"/>
  <c r="Q400" i="2"/>
  <c r="O400" i="2"/>
  <c r="D400" i="2"/>
  <c r="R399" i="2"/>
  <c r="Q399" i="2"/>
  <c r="O399" i="2"/>
  <c r="D399" i="2"/>
  <c r="R398" i="2"/>
  <c r="Q398" i="2"/>
  <c r="O398" i="2"/>
  <c r="D398" i="2"/>
  <c r="Q397" i="2"/>
  <c r="O397" i="2"/>
  <c r="D397" i="2"/>
  <c r="R396" i="2"/>
  <c r="Q396" i="2"/>
  <c r="O396" i="2"/>
  <c r="D396" i="2"/>
  <c r="R395" i="2"/>
  <c r="Q395" i="2"/>
  <c r="O395" i="2"/>
  <c r="D395" i="2"/>
  <c r="R394" i="2"/>
  <c r="Q394" i="2"/>
  <c r="O394" i="2"/>
  <c r="D394" i="2"/>
  <c r="R393" i="2"/>
  <c r="Q393" i="2"/>
  <c r="O393" i="2"/>
  <c r="D393" i="2"/>
  <c r="R392" i="2"/>
  <c r="Q392" i="2"/>
  <c r="O392" i="2"/>
  <c r="D392" i="2"/>
  <c r="Q391" i="2"/>
  <c r="O391" i="2"/>
  <c r="D391" i="2"/>
  <c r="Q390" i="2"/>
  <c r="O390" i="2"/>
  <c r="D390" i="2"/>
  <c r="R389" i="2"/>
  <c r="Q389" i="2"/>
  <c r="O389" i="2"/>
  <c r="D389" i="2"/>
  <c r="R388" i="2"/>
  <c r="Q388" i="2"/>
  <c r="O388" i="2"/>
  <c r="D388" i="2"/>
  <c r="R387" i="2"/>
  <c r="Q387" i="2"/>
  <c r="O387" i="2"/>
  <c r="D387" i="2"/>
  <c r="R386" i="2"/>
  <c r="AU66" i="24" s="1"/>
  <c r="Q386" i="2"/>
  <c r="O386" i="2"/>
  <c r="AS66" i="24" s="1"/>
  <c r="D386" i="2"/>
  <c r="AK66" i="24" s="1"/>
  <c r="AD385" i="2"/>
  <c r="R385" i="2"/>
  <c r="Q385" i="2"/>
  <c r="O385" i="2"/>
  <c r="D385" i="2"/>
  <c r="AD384" i="2"/>
  <c r="R384" i="2"/>
  <c r="Q384" i="2"/>
  <c r="O384" i="2"/>
  <c r="D384" i="2"/>
  <c r="AD383" i="2"/>
  <c r="R383" i="2"/>
  <c r="Q383" i="2"/>
  <c r="O383" i="2"/>
  <c r="D383" i="2"/>
  <c r="AD382" i="2"/>
  <c r="R382" i="2"/>
  <c r="Q382" i="2"/>
  <c r="O382" i="2"/>
  <c r="D382" i="2"/>
  <c r="Q381" i="2"/>
  <c r="O381" i="2"/>
  <c r="D381" i="2"/>
  <c r="R380" i="2"/>
  <c r="Q380" i="2"/>
  <c r="O380" i="2"/>
  <c r="D380" i="2"/>
  <c r="AD379" i="2"/>
  <c r="R379" i="2"/>
  <c r="Q379" i="2"/>
  <c r="O379" i="2"/>
  <c r="D379" i="2"/>
  <c r="AD378" i="2"/>
  <c r="Q378" i="2"/>
  <c r="O378" i="2"/>
  <c r="AS32" i="24" s="1"/>
  <c r="D378" i="2"/>
  <c r="AD377" i="2"/>
  <c r="R377" i="2"/>
  <c r="Q377" i="2"/>
  <c r="O377" i="2"/>
  <c r="D377" i="2"/>
  <c r="AD376" i="2"/>
  <c r="R376" i="2"/>
  <c r="Q376" i="2"/>
  <c r="O376" i="2"/>
  <c r="D376" i="2"/>
  <c r="AD375" i="2"/>
  <c r="Q375" i="2"/>
  <c r="O375" i="2"/>
  <c r="AS94" i="24" s="1"/>
  <c r="D375" i="2"/>
  <c r="AD374" i="2"/>
  <c r="R374" i="2"/>
  <c r="Q374" i="2"/>
  <c r="O374" i="2"/>
  <c r="D374" i="2"/>
  <c r="C224" i="32" s="1"/>
  <c r="AD373" i="2"/>
  <c r="R373" i="2"/>
  <c r="Q373" i="2"/>
  <c r="O373" i="2"/>
  <c r="D373" i="2"/>
  <c r="C260" i="32" s="1"/>
  <c r="R372" i="2"/>
  <c r="Q372" i="2"/>
  <c r="O372" i="2"/>
  <c r="D372" i="2"/>
  <c r="C29" i="26" s="1"/>
  <c r="AD371" i="2"/>
  <c r="R371" i="2"/>
  <c r="Q371" i="2"/>
  <c r="O371" i="2"/>
  <c r="D371" i="2"/>
  <c r="C223" i="32" s="1"/>
  <c r="AD370" i="2"/>
  <c r="R370" i="2"/>
  <c r="Q370" i="2"/>
  <c r="O370" i="2"/>
  <c r="D370" i="2"/>
  <c r="C70" i="26" s="1"/>
  <c r="AD369" i="2"/>
  <c r="O369" i="2"/>
  <c r="AS84" i="24" s="1"/>
  <c r="D369" i="2"/>
  <c r="AD368" i="2"/>
  <c r="R368" i="2"/>
  <c r="AU100" i="24" s="1"/>
  <c r="Q368" i="2"/>
  <c r="O368" i="2"/>
  <c r="AS100" i="24" s="1"/>
  <c r="D368" i="2"/>
  <c r="C255" i="32" s="1"/>
  <c r="AD367" i="2"/>
  <c r="R367" i="2"/>
  <c r="Q367" i="2"/>
  <c r="O367" i="2"/>
  <c r="D367" i="2"/>
  <c r="C113" i="26" s="1"/>
  <c r="AD366" i="2"/>
  <c r="Q366" i="2"/>
  <c r="O366" i="2"/>
  <c r="AS85" i="24" s="1"/>
  <c r="D366" i="2"/>
  <c r="AD365" i="2"/>
  <c r="Q365" i="2"/>
  <c r="O365" i="2"/>
  <c r="AS83" i="24" s="1"/>
  <c r="D365" i="2"/>
  <c r="AD364" i="2"/>
  <c r="R364" i="2"/>
  <c r="Q364" i="2"/>
  <c r="O364" i="2"/>
  <c r="D364" i="2"/>
  <c r="AD363" i="2"/>
  <c r="R363" i="2"/>
  <c r="AU56" i="24" s="1"/>
  <c r="Q363" i="2"/>
  <c r="O363" i="2"/>
  <c r="AS56" i="24" s="1"/>
  <c r="D363" i="2"/>
  <c r="AD362" i="2"/>
  <c r="R362" i="2"/>
  <c r="AU91" i="24" s="1"/>
  <c r="Q362" i="2"/>
  <c r="O362" i="2"/>
  <c r="AS91" i="24" s="1"/>
  <c r="D362" i="2"/>
  <c r="AD361" i="2"/>
  <c r="Q361" i="2"/>
  <c r="O361" i="2"/>
  <c r="AS69" i="24" s="1"/>
  <c r="D361" i="2"/>
  <c r="AD360" i="2"/>
  <c r="Q360" i="2"/>
  <c r="O360" i="2"/>
  <c r="D360" i="2"/>
  <c r="C57" i="26" s="1"/>
  <c r="AD359" i="2"/>
  <c r="R359" i="2"/>
  <c r="Q359" i="2"/>
  <c r="O359" i="2"/>
  <c r="D359" i="2"/>
  <c r="C259" i="32" s="1"/>
  <c r="AD358" i="2"/>
  <c r="R358" i="2"/>
  <c r="AU92" i="24" s="1"/>
  <c r="Q358" i="2"/>
  <c r="O358" i="2"/>
  <c r="AS92" i="24" s="1"/>
  <c r="D358" i="2"/>
  <c r="R357" i="2"/>
  <c r="Q357" i="2"/>
  <c r="O357" i="2"/>
  <c r="D357" i="2"/>
  <c r="C258" i="32" s="1"/>
  <c r="AD356" i="2"/>
  <c r="Q356" i="2"/>
  <c r="O356" i="2"/>
  <c r="AS37" i="24" s="1"/>
  <c r="D356" i="2"/>
  <c r="AD355" i="2"/>
  <c r="R355" i="2"/>
  <c r="AU57" i="24" s="1"/>
  <c r="Q355" i="2"/>
  <c r="O355" i="2"/>
  <c r="AS57" i="24" s="1"/>
  <c r="D355" i="2"/>
  <c r="AD354" i="2"/>
  <c r="Q354" i="2"/>
  <c r="O354" i="2"/>
  <c r="AS68" i="24" s="1"/>
  <c r="D354" i="2"/>
  <c r="AD353" i="2"/>
  <c r="R353" i="2"/>
  <c r="AU59" i="24" s="1"/>
  <c r="Q353" i="2"/>
  <c r="O353" i="2"/>
  <c r="AS59" i="24" s="1"/>
  <c r="D353" i="2"/>
  <c r="Q352" i="2"/>
  <c r="O352" i="2"/>
  <c r="D352" i="2"/>
  <c r="AD351" i="2"/>
  <c r="R351" i="2"/>
  <c r="AU96" i="24" s="1"/>
  <c r="Q351" i="2"/>
  <c r="O351" i="2"/>
  <c r="AS96" i="24" s="1"/>
  <c r="D351" i="2"/>
  <c r="C252" i="32" s="1"/>
  <c r="AD350" i="2"/>
  <c r="R350" i="2"/>
  <c r="AU55" i="24" s="1"/>
  <c r="Q350" i="2"/>
  <c r="O350" i="2"/>
  <c r="AS55" i="24" s="1"/>
  <c r="D350" i="2"/>
  <c r="AD349" i="2"/>
  <c r="R349" i="2"/>
  <c r="AU45" i="24" s="1"/>
  <c r="Q349" i="2"/>
  <c r="O349" i="2"/>
  <c r="AS45" i="24" s="1"/>
  <c r="D349" i="2"/>
  <c r="AD348" i="2"/>
  <c r="R348" i="2"/>
  <c r="Q348" i="2"/>
  <c r="O348" i="2"/>
  <c r="D348" i="2"/>
  <c r="C69" i="26" s="1"/>
  <c r="AD347" i="2"/>
  <c r="R347" i="2"/>
  <c r="AU73" i="24" s="1"/>
  <c r="Q347" i="2"/>
  <c r="O347" i="2"/>
  <c r="AS73" i="24" s="1"/>
  <c r="D347" i="2"/>
  <c r="AD346" i="2"/>
  <c r="R346" i="2"/>
  <c r="AU29" i="24" s="1"/>
  <c r="Q346" i="2"/>
  <c r="O346" i="2"/>
  <c r="AS29" i="24" s="1"/>
  <c r="D346" i="2"/>
  <c r="AD345" i="2"/>
  <c r="R345" i="2"/>
  <c r="Q345" i="2"/>
  <c r="O345" i="2"/>
  <c r="D345" i="2"/>
  <c r="C257" i="32" s="1"/>
  <c r="AD344" i="2"/>
  <c r="R344" i="2"/>
  <c r="AU51" i="24" s="1"/>
  <c r="Q344" i="2"/>
  <c r="O344" i="2"/>
  <c r="AS51" i="24" s="1"/>
  <c r="D344" i="2"/>
  <c r="AD343" i="2"/>
  <c r="R343" i="2"/>
  <c r="Q343" i="2"/>
  <c r="O343" i="2"/>
  <c r="D343" i="2"/>
  <c r="C201" i="26" s="1"/>
  <c r="AD342" i="2"/>
  <c r="R342" i="2"/>
  <c r="AU30" i="24" s="1"/>
  <c r="Q342" i="2"/>
  <c r="O342" i="2"/>
  <c r="AS30" i="24" s="1"/>
  <c r="D342" i="2"/>
  <c r="AD341" i="2"/>
  <c r="R341" i="2"/>
  <c r="Q341" i="2"/>
  <c r="O341" i="2"/>
  <c r="D341" i="2"/>
  <c r="AD340" i="2"/>
  <c r="R340" i="2"/>
  <c r="AU28" i="24" s="1"/>
  <c r="Q340" i="2"/>
  <c r="O340" i="2"/>
  <c r="AS28" i="24" s="1"/>
  <c r="D340" i="2"/>
  <c r="AD339" i="2"/>
  <c r="R339" i="2"/>
  <c r="Q339" i="2"/>
  <c r="O339" i="2"/>
  <c r="D339" i="2"/>
  <c r="AD338" i="2"/>
  <c r="R338" i="2"/>
  <c r="AU93" i="24" s="1"/>
  <c r="Q338" i="2"/>
  <c r="O338" i="2"/>
  <c r="AS93" i="24" s="1"/>
  <c r="D338" i="2"/>
  <c r="R337" i="2"/>
  <c r="Q337" i="2"/>
  <c r="O337" i="2"/>
  <c r="D337" i="2"/>
  <c r="C26" i="26" s="1"/>
  <c r="AD336" i="2"/>
  <c r="R336" i="2"/>
  <c r="Q336" i="2"/>
  <c r="O336" i="2"/>
  <c r="D336" i="2"/>
  <c r="R335" i="2"/>
  <c r="Q335" i="2"/>
  <c r="O335" i="2"/>
  <c r="D335" i="2"/>
  <c r="C28" i="26" s="1"/>
  <c r="AD334" i="2"/>
  <c r="R334" i="2"/>
  <c r="Q334" i="2"/>
  <c r="O334" i="2"/>
  <c r="D334" i="2"/>
  <c r="AD333" i="2"/>
  <c r="R333" i="2"/>
  <c r="Q333" i="2"/>
  <c r="O333" i="2"/>
  <c r="D333" i="2"/>
  <c r="AD332" i="2"/>
  <c r="R332" i="2"/>
  <c r="Q332" i="2"/>
  <c r="O332" i="2"/>
  <c r="D332" i="2"/>
  <c r="C40" i="26" s="1"/>
  <c r="AD331" i="2"/>
  <c r="R331" i="2"/>
  <c r="Q331" i="2"/>
  <c r="O331" i="2"/>
  <c r="D331" i="2"/>
  <c r="R330" i="2"/>
  <c r="Q330" i="2"/>
  <c r="O330" i="2"/>
  <c r="D330" i="2"/>
  <c r="C27" i="26" s="1"/>
  <c r="AD329" i="2"/>
  <c r="R329" i="2"/>
  <c r="Q329" i="2"/>
  <c r="O329" i="2"/>
  <c r="D329" i="2"/>
  <c r="AD328" i="2"/>
  <c r="R328" i="2"/>
  <c r="AU33" i="24" s="1"/>
  <c r="Q328" i="2"/>
  <c r="O328" i="2"/>
  <c r="AS33" i="24" s="1"/>
  <c r="D328" i="2"/>
  <c r="AD327" i="2"/>
  <c r="Q327" i="2"/>
  <c r="O327" i="2"/>
  <c r="AS88" i="24" s="1"/>
  <c r="D327" i="2"/>
  <c r="AD326" i="2"/>
  <c r="Q326" i="2"/>
  <c r="O326" i="2"/>
  <c r="AS70" i="24" s="1"/>
  <c r="D326" i="2"/>
  <c r="AD325" i="2"/>
  <c r="Q325" i="2"/>
  <c r="O325" i="2"/>
  <c r="AS89" i="24" s="1"/>
  <c r="D325" i="2"/>
  <c r="AD324" i="2"/>
  <c r="R324" i="2"/>
  <c r="AU48" i="24" s="1"/>
  <c r="Q324" i="2"/>
  <c r="O324" i="2"/>
  <c r="AS48" i="24" s="1"/>
  <c r="D324" i="2"/>
  <c r="AD323" i="2"/>
  <c r="Q323" i="2"/>
  <c r="O323" i="2"/>
  <c r="AS44" i="24" s="1"/>
  <c r="D323" i="2"/>
  <c r="AD322" i="2"/>
  <c r="R322" i="2"/>
  <c r="Q322" i="2"/>
  <c r="O322" i="2"/>
  <c r="D322" i="2"/>
  <c r="C237" i="26" s="1"/>
  <c r="AD321" i="2"/>
  <c r="Q321" i="2"/>
  <c r="O321" i="2"/>
  <c r="AS87" i="24" s="1"/>
  <c r="D321" i="2"/>
  <c r="AD320" i="2"/>
  <c r="R320" i="2"/>
  <c r="AU97" i="24" s="1"/>
  <c r="Q320" i="2"/>
  <c r="O320" i="2"/>
  <c r="AS97" i="24" s="1"/>
  <c r="D320" i="2"/>
  <c r="C253" i="32" s="1"/>
  <c r="AD319" i="2"/>
  <c r="Q319" i="2"/>
  <c r="O319" i="2"/>
  <c r="D319" i="2"/>
  <c r="C236" i="26" s="1"/>
  <c r="AD318" i="2"/>
  <c r="R318" i="2"/>
  <c r="AU7" i="24" s="1"/>
  <c r="Q318" i="2"/>
  <c r="O318" i="2"/>
  <c r="AS7" i="24" s="1"/>
  <c r="D318" i="2"/>
  <c r="Q317" i="2"/>
  <c r="O317" i="2"/>
  <c r="D317" i="2"/>
  <c r="C235" i="26" s="1"/>
  <c r="AD316" i="2"/>
  <c r="Q316" i="2"/>
  <c r="O316" i="2"/>
  <c r="AS60" i="24" s="1"/>
  <c r="D316" i="2"/>
  <c r="AD315" i="2"/>
  <c r="R315" i="2"/>
  <c r="AU43" i="24" s="1"/>
  <c r="Q315" i="2"/>
  <c r="O315" i="2"/>
  <c r="AS43" i="24" s="1"/>
  <c r="D315" i="2"/>
  <c r="AD314" i="2"/>
  <c r="R314" i="2"/>
  <c r="AU101" i="24" s="1"/>
  <c r="Q314" i="2"/>
  <c r="O314" i="2"/>
  <c r="AS101" i="24" s="1"/>
  <c r="D314" i="2"/>
  <c r="C256" i="32" s="1"/>
  <c r="AD313" i="2"/>
  <c r="R313" i="2"/>
  <c r="Q313" i="2"/>
  <c r="O313" i="2"/>
  <c r="D313" i="2"/>
  <c r="AD312" i="2"/>
  <c r="R312" i="2"/>
  <c r="Q312" i="2"/>
  <c r="O312" i="2"/>
  <c r="AS53" i="24" s="1"/>
  <c r="D312" i="2"/>
  <c r="AD311" i="2"/>
  <c r="Q311" i="2"/>
  <c r="O311" i="2"/>
  <c r="AS95" i="24" s="1"/>
  <c r="D311" i="2"/>
  <c r="AD310" i="2"/>
  <c r="R310" i="2"/>
  <c r="AU23" i="24" s="1"/>
  <c r="Q310" i="2"/>
  <c r="O310" i="2"/>
  <c r="AS23" i="24" s="1"/>
  <c r="D310" i="2"/>
  <c r="AD309" i="2"/>
  <c r="Q309" i="2"/>
  <c r="O309" i="2"/>
  <c r="AS74" i="24" s="1"/>
  <c r="D309" i="2"/>
  <c r="AD308" i="2"/>
  <c r="R308" i="2"/>
  <c r="Q308" i="2"/>
  <c r="O308" i="2"/>
  <c r="D308" i="2"/>
  <c r="AD307" i="2"/>
  <c r="Q307" i="2"/>
  <c r="O307" i="2"/>
  <c r="AS25" i="24" s="1"/>
  <c r="D307" i="2"/>
  <c r="AD306" i="2"/>
  <c r="R306" i="2"/>
  <c r="AU8" i="24" s="1"/>
  <c r="Q306" i="2"/>
  <c r="O306" i="2"/>
  <c r="AS8" i="24" s="1"/>
  <c r="D306" i="2"/>
  <c r="AD305" i="2"/>
  <c r="R305" i="2"/>
  <c r="AU71" i="24" s="1"/>
  <c r="Q305" i="2"/>
  <c r="O305" i="2"/>
  <c r="AS71" i="24" s="1"/>
  <c r="D305" i="2"/>
  <c r="AD304" i="2"/>
  <c r="R304" i="2"/>
  <c r="AU72" i="24" s="1"/>
  <c r="Q304" i="2"/>
  <c r="O304" i="2"/>
  <c r="AS72" i="24" s="1"/>
  <c r="D304" i="2"/>
  <c r="AD303" i="2"/>
  <c r="R303" i="2"/>
  <c r="AU26" i="24" s="1"/>
  <c r="Q303" i="2"/>
  <c r="O303" i="2"/>
  <c r="AS26" i="24" s="1"/>
  <c r="D303" i="2"/>
  <c r="AD302" i="2"/>
  <c r="Q302" i="2"/>
  <c r="O302" i="2"/>
  <c r="AS77" i="24" s="1"/>
  <c r="D302" i="2"/>
  <c r="AD301" i="2"/>
  <c r="R301" i="2"/>
  <c r="AU36" i="24" s="1"/>
  <c r="Q301" i="2"/>
  <c r="O301" i="2"/>
  <c r="AS36" i="24" s="1"/>
  <c r="D301" i="2"/>
  <c r="AD300" i="2"/>
  <c r="Q300" i="2"/>
  <c r="O300" i="2"/>
  <c r="AS49" i="24" s="1"/>
  <c r="D300" i="2"/>
  <c r="AD299" i="2"/>
  <c r="Q299" i="2"/>
  <c r="O299" i="2"/>
  <c r="AS75" i="24" s="1"/>
  <c r="D299" i="2"/>
  <c r="AD298" i="2"/>
  <c r="R298" i="2"/>
  <c r="Q298" i="2"/>
  <c r="O298" i="2"/>
  <c r="D298" i="2"/>
  <c r="C265" i="32" s="1"/>
  <c r="AD297" i="2"/>
  <c r="R297" i="2"/>
  <c r="AU76" i="24" s="1"/>
  <c r="Q297" i="2"/>
  <c r="O297" i="2"/>
  <c r="D297" i="2"/>
  <c r="AD296" i="2"/>
  <c r="R296" i="2"/>
  <c r="AU63" i="24" s="1"/>
  <c r="Q296" i="2"/>
  <c r="O296" i="2"/>
  <c r="D296" i="2"/>
  <c r="AD295" i="2"/>
  <c r="R295" i="2"/>
  <c r="AU78" i="24" s="1"/>
  <c r="Q295" i="2"/>
  <c r="O295" i="2"/>
  <c r="D295" i="2"/>
  <c r="AD294" i="2"/>
  <c r="Q294" i="2"/>
  <c r="O294" i="2"/>
  <c r="D294" i="2"/>
  <c r="C245" i="32" s="1"/>
  <c r="AD293" i="2"/>
  <c r="R293" i="2"/>
  <c r="Q293" i="2"/>
  <c r="O293" i="2"/>
  <c r="D293" i="2"/>
  <c r="AD292" i="2"/>
  <c r="Q292" i="2"/>
  <c r="O292" i="2"/>
  <c r="D292" i="2"/>
  <c r="AD291" i="2"/>
  <c r="R291" i="2"/>
  <c r="AU52" i="24" s="1"/>
  <c r="Q291" i="2"/>
  <c r="O291" i="2"/>
  <c r="AS52" i="24" s="1"/>
  <c r="D291" i="2"/>
  <c r="AD290" i="2"/>
  <c r="R290" i="2"/>
  <c r="Q290" i="2"/>
  <c r="O290" i="2"/>
  <c r="AS54" i="24" s="1"/>
  <c r="D290" i="2"/>
  <c r="AD289" i="2"/>
  <c r="R289" i="2"/>
  <c r="Q289" i="2"/>
  <c r="O289" i="2"/>
  <c r="D289" i="2"/>
  <c r="AD288" i="2"/>
  <c r="R288" i="2"/>
  <c r="AU46" i="24" s="1"/>
  <c r="Q288" i="2"/>
  <c r="O288" i="2"/>
  <c r="AS46" i="24" s="1"/>
  <c r="D288" i="2"/>
  <c r="R287" i="2"/>
  <c r="AU16" i="24" s="1"/>
  <c r="Q287" i="2"/>
  <c r="O287" i="2"/>
  <c r="AS16" i="24" s="1"/>
  <c r="D287" i="2"/>
  <c r="R286" i="2"/>
  <c r="AU12" i="24" s="1"/>
  <c r="Q286" i="2"/>
  <c r="O286" i="2"/>
  <c r="D286" i="2"/>
  <c r="R285" i="2"/>
  <c r="AU13" i="24" s="1"/>
  <c r="Q285" i="2"/>
  <c r="O285" i="2"/>
  <c r="AS13" i="24" s="1"/>
  <c r="D285" i="2"/>
  <c r="AD284" i="2"/>
  <c r="R284" i="2"/>
  <c r="AU39" i="24" s="1"/>
  <c r="Q284" i="2"/>
  <c r="O284" i="2"/>
  <c r="D284" i="2"/>
  <c r="R283" i="2"/>
  <c r="AU17" i="24" s="1"/>
  <c r="Q283" i="2"/>
  <c r="O283" i="2"/>
  <c r="AS17" i="24" s="1"/>
  <c r="D283" i="2"/>
  <c r="Q282" i="2"/>
  <c r="O282" i="2"/>
  <c r="AS10" i="24" s="1"/>
  <c r="D282" i="2"/>
  <c r="R281" i="2"/>
  <c r="AU21" i="24" s="1"/>
  <c r="Q281" i="2"/>
  <c r="O281" i="2"/>
  <c r="AS21" i="24" s="1"/>
  <c r="D281" i="2"/>
  <c r="R280" i="2"/>
  <c r="AU15" i="24" s="1"/>
  <c r="Q280" i="2"/>
  <c r="O280" i="2"/>
  <c r="D280" i="2"/>
  <c r="R279" i="2"/>
  <c r="AU18" i="24" s="1"/>
  <c r="Q279" i="2"/>
  <c r="O279" i="2"/>
  <c r="AS18" i="24" s="1"/>
  <c r="D279" i="2"/>
  <c r="R278" i="2"/>
  <c r="AU11" i="24" s="1"/>
  <c r="Q278" i="2"/>
  <c r="O278" i="2"/>
  <c r="D278" i="2"/>
  <c r="Q277" i="2"/>
  <c r="O277" i="2"/>
  <c r="AS22" i="24" s="1"/>
  <c r="D277" i="2"/>
  <c r="R276" i="2"/>
  <c r="AU9" i="24" s="1"/>
  <c r="Q276" i="2"/>
  <c r="O276" i="2"/>
  <c r="D276" i="2"/>
  <c r="R275" i="2"/>
  <c r="Q275" i="2"/>
  <c r="O275" i="2"/>
  <c r="D275" i="2"/>
  <c r="R274" i="2"/>
  <c r="AU14" i="24" s="1"/>
  <c r="Q274" i="2"/>
  <c r="O274" i="2"/>
  <c r="AS14" i="24" s="1"/>
  <c r="D274" i="2"/>
  <c r="R273" i="2"/>
  <c r="Q273" i="2"/>
  <c r="O273" i="2"/>
  <c r="D273" i="2"/>
  <c r="R272" i="2"/>
  <c r="Q272" i="2"/>
  <c r="O272" i="2"/>
  <c r="D272" i="2"/>
  <c r="R271" i="2"/>
  <c r="AU20" i="24" s="1"/>
  <c r="Q271" i="2"/>
  <c r="O271" i="2"/>
  <c r="AS20" i="24" s="1"/>
  <c r="D271" i="2"/>
  <c r="Q270" i="2"/>
  <c r="O270" i="2"/>
  <c r="AA94" i="24" s="1"/>
  <c r="D270" i="2"/>
  <c r="R269" i="2"/>
  <c r="Q269" i="2"/>
  <c r="O269" i="2"/>
  <c r="D269" i="2"/>
  <c r="R268" i="2"/>
  <c r="Q268" i="2"/>
  <c r="O268" i="2"/>
  <c r="D268" i="2"/>
  <c r="Q267" i="2"/>
  <c r="O267" i="2"/>
  <c r="D267" i="2"/>
  <c r="R266" i="2"/>
  <c r="Q266" i="2"/>
  <c r="O266" i="2"/>
  <c r="D266" i="2"/>
  <c r="R265" i="2"/>
  <c r="Q265" i="2"/>
  <c r="O265" i="2"/>
  <c r="AA44" i="24" s="1"/>
  <c r="D265" i="2"/>
  <c r="R264" i="2"/>
  <c r="Q264" i="2"/>
  <c r="O264" i="2"/>
  <c r="AA74" i="24" s="1"/>
  <c r="D264" i="2"/>
  <c r="R263" i="2"/>
  <c r="Q263" i="2"/>
  <c r="O263" i="2"/>
  <c r="D263" i="2"/>
  <c r="R262" i="2"/>
  <c r="Q262" i="2"/>
  <c r="O262" i="2"/>
  <c r="AA84" i="24" s="1"/>
  <c r="D262" i="2"/>
  <c r="R261" i="2"/>
  <c r="Q261" i="2"/>
  <c r="O261" i="2"/>
  <c r="D261" i="2"/>
  <c r="R260" i="2"/>
  <c r="Q260" i="2"/>
  <c r="O260" i="2"/>
  <c r="AA39" i="24" s="1"/>
  <c r="D260" i="2"/>
  <c r="Q259" i="2"/>
  <c r="O259" i="2"/>
  <c r="AA83" i="24" s="1"/>
  <c r="D259" i="2"/>
  <c r="R258" i="2"/>
  <c r="Q258" i="2"/>
  <c r="O258" i="2"/>
  <c r="D258" i="2"/>
  <c r="R257" i="2"/>
  <c r="Q257" i="2"/>
  <c r="O257" i="2"/>
  <c r="D257" i="2"/>
  <c r="R256" i="2"/>
  <c r="Q256" i="2"/>
  <c r="O256" i="2"/>
  <c r="D256" i="2"/>
  <c r="R255" i="2"/>
  <c r="Q255" i="2"/>
  <c r="O255" i="2"/>
  <c r="D255" i="2"/>
  <c r="R254" i="2"/>
  <c r="Q254" i="2"/>
  <c r="O254" i="2"/>
  <c r="D254" i="2"/>
  <c r="Q253" i="2"/>
  <c r="O253" i="2"/>
  <c r="D253" i="2"/>
  <c r="R252" i="2"/>
  <c r="Q252" i="2"/>
  <c r="O252" i="2"/>
  <c r="AA56" i="24" s="1"/>
  <c r="D252" i="2"/>
  <c r="Q251" i="2"/>
  <c r="O251" i="2"/>
  <c r="AA32" i="24" s="1"/>
  <c r="D251" i="2"/>
  <c r="R250" i="2"/>
  <c r="Q250" i="2"/>
  <c r="O250" i="2"/>
  <c r="D250" i="2"/>
  <c r="R249" i="2"/>
  <c r="Q249" i="2"/>
  <c r="O249" i="2"/>
  <c r="AA61" i="24" s="1"/>
  <c r="D249" i="2"/>
  <c r="R248" i="2"/>
  <c r="Q248" i="2"/>
  <c r="O248" i="2"/>
  <c r="D248" i="2"/>
  <c r="Q247" i="2"/>
  <c r="O247" i="2"/>
  <c r="D247" i="2"/>
  <c r="Q246" i="2"/>
  <c r="O246" i="2"/>
  <c r="AA95" i="24" s="1"/>
  <c r="D246" i="2"/>
  <c r="Q245" i="2"/>
  <c r="O245" i="2"/>
  <c r="D245" i="2"/>
  <c r="R244" i="2"/>
  <c r="I179" i="21" s="1"/>
  <c r="AU179" i="21" s="1"/>
  <c r="Q244" i="2"/>
  <c r="O244" i="2"/>
  <c r="D244" i="2"/>
  <c r="R243" i="2"/>
  <c r="I202" i="21" s="1"/>
  <c r="Q243" i="2"/>
  <c r="O243" i="2"/>
  <c r="AA16" i="24" s="1"/>
  <c r="D243" i="2"/>
  <c r="R242" i="2"/>
  <c r="I200" i="21" s="1"/>
  <c r="Q200" i="21" s="1"/>
  <c r="Q242" i="2"/>
  <c r="O242" i="2"/>
  <c r="D242" i="2"/>
  <c r="R241" i="2"/>
  <c r="I206" i="21" s="1"/>
  <c r="Q241" i="2"/>
  <c r="O241" i="2"/>
  <c r="AA21" i="24" s="1"/>
  <c r="D241" i="2"/>
  <c r="R240" i="2"/>
  <c r="I178" i="21" s="1"/>
  <c r="P178" i="21" s="1"/>
  <c r="Q240" i="2"/>
  <c r="O240" i="2"/>
  <c r="D240" i="2"/>
  <c r="R239" i="2"/>
  <c r="I204" i="21" s="1"/>
  <c r="Q239" i="2"/>
  <c r="O239" i="2"/>
  <c r="D239" i="2"/>
  <c r="R238" i="2"/>
  <c r="I197" i="21" s="1"/>
  <c r="AA197" i="21" s="1"/>
  <c r="Q238" i="2"/>
  <c r="O238" i="2"/>
  <c r="AA20" i="24" s="1"/>
  <c r="D238" i="2"/>
  <c r="R237" i="2"/>
  <c r="I234" i="21" s="1"/>
  <c r="Q237" i="2"/>
  <c r="O237" i="2"/>
  <c r="AA93" i="24" s="1"/>
  <c r="D237" i="2"/>
  <c r="R236" i="2"/>
  <c r="Q236" i="2"/>
  <c r="O236" i="2"/>
  <c r="D236" i="2"/>
  <c r="R235" i="2"/>
  <c r="Q235" i="2"/>
  <c r="O235" i="2"/>
  <c r="D235" i="2"/>
  <c r="R234" i="2"/>
  <c r="I194" i="21" s="1"/>
  <c r="Q234" i="2"/>
  <c r="O234" i="2"/>
  <c r="AA92" i="24" s="1"/>
  <c r="D234" i="2"/>
  <c r="R233" i="2"/>
  <c r="I247" i="21" s="1"/>
  <c r="Q233" i="2"/>
  <c r="O233" i="2"/>
  <c r="AA59" i="24" s="1"/>
  <c r="D233" i="2"/>
  <c r="R232" i="2"/>
  <c r="I246" i="21" s="1"/>
  <c r="Q232" i="2"/>
  <c r="O232" i="2"/>
  <c r="AA55" i="24" s="1"/>
  <c r="D232" i="2"/>
  <c r="R231" i="2"/>
  <c r="I250" i="21" s="1"/>
  <c r="AT250" i="21" s="1"/>
  <c r="Q231" i="2"/>
  <c r="O231" i="2"/>
  <c r="AA57" i="24" s="1"/>
  <c r="D231" i="2"/>
  <c r="R230" i="2"/>
  <c r="I254" i="21" s="1"/>
  <c r="AA254" i="21" s="1"/>
  <c r="Q230" i="2"/>
  <c r="O230" i="2"/>
  <c r="AA34" i="24" s="1"/>
  <c r="D230" i="2"/>
  <c r="Q229" i="2"/>
  <c r="O229" i="2"/>
  <c r="AA111" i="24" s="1"/>
  <c r="D229" i="2"/>
  <c r="R228" i="2"/>
  <c r="I164" i="21" s="1"/>
  <c r="AL164" i="21" s="1"/>
  <c r="Q228" i="2"/>
  <c r="O228" i="2"/>
  <c r="AA66" i="24" s="1"/>
  <c r="D228" i="2"/>
  <c r="R227" i="2"/>
  <c r="I171" i="21" s="1"/>
  <c r="AH171" i="21" s="1"/>
  <c r="Q227" i="2"/>
  <c r="O227" i="2"/>
  <c r="AA7" i="24" s="1"/>
  <c r="D227" i="2"/>
  <c r="Q226" i="2"/>
  <c r="O226" i="2"/>
  <c r="D226" i="2"/>
  <c r="R225" i="2"/>
  <c r="Q225" i="2"/>
  <c r="O225" i="2"/>
  <c r="D225" i="2"/>
  <c r="Q224" i="2"/>
  <c r="O224" i="2"/>
  <c r="AA73" i="24" s="1"/>
  <c r="D224" i="2"/>
  <c r="R223" i="2"/>
  <c r="I218" i="21" s="1"/>
  <c r="T218" i="21" s="1"/>
  <c r="Q223" i="2"/>
  <c r="O223" i="2"/>
  <c r="AA77" i="24" s="1"/>
  <c r="D223" i="2"/>
  <c r="R222" i="2"/>
  <c r="Q222" i="2"/>
  <c r="O222" i="2"/>
  <c r="AA80" i="24" s="1"/>
  <c r="D222" i="2"/>
  <c r="R221" i="2"/>
  <c r="I205" i="21" s="1"/>
  <c r="Q221" i="2"/>
  <c r="O221" i="2"/>
  <c r="AA72" i="24" s="1"/>
  <c r="D221" i="2"/>
  <c r="R220" i="2"/>
  <c r="I242" i="21" s="1"/>
  <c r="Q220" i="2"/>
  <c r="O220" i="2"/>
  <c r="D220" i="2"/>
  <c r="Q219" i="2"/>
  <c r="O219" i="2"/>
  <c r="AA64" i="24" s="1"/>
  <c r="D219" i="2"/>
  <c r="Q218" i="2"/>
  <c r="O218" i="2"/>
  <c r="AA60" i="24" s="1"/>
  <c r="D218" i="2"/>
  <c r="R217" i="2"/>
  <c r="I147" i="21" s="1"/>
  <c r="P147" i="21" s="1"/>
  <c r="Q217" i="2"/>
  <c r="O217" i="2"/>
  <c r="D217" i="2"/>
  <c r="R216" i="2"/>
  <c r="I244" i="21" s="1"/>
  <c r="Q216" i="2"/>
  <c r="O216" i="2"/>
  <c r="AA68" i="24" s="1"/>
  <c r="D216" i="2"/>
  <c r="R215" i="2"/>
  <c r="I170" i="21" s="1"/>
  <c r="Q215" i="2"/>
  <c r="O215" i="2"/>
  <c r="D215" i="2"/>
  <c r="R214" i="2"/>
  <c r="I152" i="21" s="1"/>
  <c r="Q214" i="2"/>
  <c r="O214" i="2"/>
  <c r="D214" i="2"/>
  <c r="Q213" i="2"/>
  <c r="O213" i="2"/>
  <c r="AA106" i="24" s="1"/>
  <c r="D213" i="2"/>
  <c r="Q212" i="2"/>
  <c r="O212" i="2"/>
  <c r="AA42" i="24" s="1"/>
  <c r="D212" i="2"/>
  <c r="R211" i="2"/>
  <c r="I151" i="21" s="1"/>
  <c r="AR151" i="21" s="1"/>
  <c r="Q211" i="2"/>
  <c r="O211" i="2"/>
  <c r="AA91" i="24" s="1"/>
  <c r="D211" i="2"/>
  <c r="Q210" i="2"/>
  <c r="O210" i="2"/>
  <c r="D210" i="2"/>
  <c r="R209" i="2"/>
  <c r="I166" i="21" s="1"/>
  <c r="Q209" i="2"/>
  <c r="O209" i="2"/>
  <c r="D209" i="2"/>
  <c r="R208" i="2"/>
  <c r="I148" i="21" s="1"/>
  <c r="AL148" i="21" s="1"/>
  <c r="Q208" i="2"/>
  <c r="O208" i="2"/>
  <c r="D208" i="2"/>
  <c r="Q207" i="2"/>
  <c r="O207" i="2"/>
  <c r="D207" i="2"/>
  <c r="Q206" i="2"/>
  <c r="O206" i="2"/>
  <c r="D206" i="2"/>
  <c r="R205" i="2"/>
  <c r="I229" i="21" s="1"/>
  <c r="Q205" i="2"/>
  <c r="O205" i="2"/>
  <c r="AA87" i="24" s="1"/>
  <c r="D205" i="2"/>
  <c r="R204" i="2"/>
  <c r="I140" i="21" s="1"/>
  <c r="AP140" i="21" s="1"/>
  <c r="Q204" i="2"/>
  <c r="O204" i="2"/>
  <c r="D204" i="2"/>
  <c r="Q203" i="2"/>
  <c r="O203" i="2"/>
  <c r="D203" i="2"/>
  <c r="Q202" i="2"/>
  <c r="O202" i="2"/>
  <c r="AA75" i="24" s="1"/>
  <c r="D202" i="2"/>
  <c r="R201" i="2"/>
  <c r="I228" i="21" s="1"/>
  <c r="Q201" i="2"/>
  <c r="O201" i="2"/>
  <c r="AA62" i="24" s="1"/>
  <c r="D201" i="2"/>
  <c r="R200" i="2"/>
  <c r="I169" i="21" s="1"/>
  <c r="M169" i="21" s="1"/>
  <c r="Q200" i="2"/>
  <c r="O200" i="2"/>
  <c r="AA76" i="24" s="1"/>
  <c r="D200" i="2"/>
  <c r="R199" i="2"/>
  <c r="I173" i="21" s="1"/>
  <c r="Q199" i="2"/>
  <c r="O199" i="2"/>
  <c r="AA63" i="24" s="1"/>
  <c r="D199" i="2"/>
  <c r="R198" i="2"/>
  <c r="I220" i="21" s="1"/>
  <c r="AR220" i="21" s="1"/>
  <c r="Q198" i="2"/>
  <c r="O198" i="2"/>
  <c r="AA48" i="24" s="1"/>
  <c r="D198" i="2"/>
  <c r="R197" i="2"/>
  <c r="I195" i="21" s="1"/>
  <c r="AL195" i="21" s="1"/>
  <c r="Q197" i="2"/>
  <c r="O197" i="2"/>
  <c r="AA65" i="24" s="1"/>
  <c r="D197" i="2"/>
  <c r="R196" i="2"/>
  <c r="I124" i="21" s="1"/>
  <c r="AD124" i="21" s="1"/>
  <c r="Q196" i="2"/>
  <c r="O196" i="2"/>
  <c r="AA109" i="24" s="1"/>
  <c r="D196" i="2"/>
  <c r="R195" i="2"/>
  <c r="I127" i="21" s="1"/>
  <c r="AJ127" i="21" s="1"/>
  <c r="Q195" i="2"/>
  <c r="O195" i="2"/>
  <c r="D195" i="2"/>
  <c r="R194" i="2"/>
  <c r="I126" i="21" s="1"/>
  <c r="Q194" i="2"/>
  <c r="O194" i="2"/>
  <c r="D194" i="2"/>
  <c r="Q193" i="2"/>
  <c r="O193" i="2"/>
  <c r="D193" i="2"/>
  <c r="R192" i="2"/>
  <c r="I193" i="21" s="1"/>
  <c r="AA193" i="21" s="1"/>
  <c r="Q192" i="2"/>
  <c r="O192" i="2"/>
  <c r="D192" i="2"/>
  <c r="R191" i="2"/>
  <c r="I154" i="21" s="1"/>
  <c r="Q191" i="2"/>
  <c r="O191" i="2"/>
  <c r="D191" i="2"/>
  <c r="R190" i="2"/>
  <c r="I192" i="21" s="1"/>
  <c r="AT192" i="21" s="1"/>
  <c r="Q190" i="2"/>
  <c r="O190" i="2"/>
  <c r="D190" i="2"/>
  <c r="R189" i="2"/>
  <c r="I217" i="21" s="1"/>
  <c r="AC217" i="21" s="1"/>
  <c r="Q189" i="2"/>
  <c r="O189" i="2"/>
  <c r="AA71" i="24" s="1"/>
  <c r="D189" i="2"/>
  <c r="R188" i="2"/>
  <c r="I191" i="21" s="1"/>
  <c r="AL191" i="21" s="1"/>
  <c r="Q188" i="2"/>
  <c r="O188" i="2"/>
  <c r="D188" i="2"/>
  <c r="R187" i="2"/>
  <c r="I190" i="21" s="1"/>
  <c r="Q187" i="2"/>
  <c r="O187" i="2"/>
  <c r="D187" i="2"/>
  <c r="R186" i="2"/>
  <c r="I189" i="21" s="1"/>
  <c r="AA189" i="21" s="1"/>
  <c r="Q186" i="2"/>
  <c r="O186" i="2"/>
  <c r="D186" i="2"/>
  <c r="R185" i="2"/>
  <c r="I188" i="21" s="1"/>
  <c r="AT188" i="21" s="1"/>
  <c r="Q185" i="2"/>
  <c r="O185" i="2"/>
  <c r="D185" i="2"/>
  <c r="R184" i="2"/>
  <c r="I187" i="21" s="1"/>
  <c r="AL187" i="21" s="1"/>
  <c r="Q184" i="2"/>
  <c r="O184" i="2"/>
  <c r="D184" i="2"/>
  <c r="R183" i="2"/>
  <c r="I186" i="21" s="1"/>
  <c r="Q183" i="2"/>
  <c r="O183" i="2"/>
  <c r="D183" i="2"/>
  <c r="R182" i="2"/>
  <c r="I185" i="21" s="1"/>
  <c r="AA185" i="21" s="1"/>
  <c r="Q182" i="2"/>
  <c r="O182" i="2"/>
  <c r="AA14" i="24" s="1"/>
  <c r="D182" i="2"/>
  <c r="R181" i="2"/>
  <c r="I196" i="21" s="1"/>
  <c r="AT196" i="21" s="1"/>
  <c r="Q181" i="2"/>
  <c r="O181" i="2"/>
  <c r="AA11" i="24" s="1"/>
  <c r="D181" i="2"/>
  <c r="R180" i="2"/>
  <c r="I181" i="21" s="1"/>
  <c r="X181" i="21" s="1"/>
  <c r="Q180" i="2"/>
  <c r="O180" i="2"/>
  <c r="AA9" i="24" s="1"/>
  <c r="D180" i="2"/>
  <c r="R179" i="2"/>
  <c r="I157" i="21" s="1"/>
  <c r="Q179" i="2"/>
  <c r="O179" i="2"/>
  <c r="AA54" i="24" s="1"/>
  <c r="D179" i="2"/>
  <c r="R178" i="2"/>
  <c r="I212" i="21" s="1"/>
  <c r="AX212" i="21" s="1"/>
  <c r="Q178" i="2"/>
  <c r="O178" i="2"/>
  <c r="AA52" i="24" s="1"/>
  <c r="D178" i="2"/>
  <c r="R177" i="2"/>
  <c r="I184" i="21" s="1"/>
  <c r="AT184" i="21" s="1"/>
  <c r="Q177" i="2"/>
  <c r="O177" i="2"/>
  <c r="AA13" i="24" s="1"/>
  <c r="D177" i="2"/>
  <c r="R176" i="2"/>
  <c r="I235" i="21" s="1"/>
  <c r="Q176" i="2"/>
  <c r="O176" i="2"/>
  <c r="AA53" i="24" s="1"/>
  <c r="D176" i="2"/>
  <c r="Q175" i="2"/>
  <c r="O175" i="2"/>
  <c r="AA67" i="24" s="1"/>
  <c r="D175" i="2"/>
  <c r="Q174" i="2"/>
  <c r="O174" i="2"/>
  <c r="D174" i="2"/>
  <c r="R173" i="2"/>
  <c r="I100" i="21" s="1"/>
  <c r="AO100" i="21" s="1"/>
  <c r="Q173" i="2"/>
  <c r="O173" i="2"/>
  <c r="D173" i="2"/>
  <c r="R172" i="2"/>
  <c r="I123" i="21" s="1"/>
  <c r="Q172" i="2"/>
  <c r="O172" i="2"/>
  <c r="D172" i="2"/>
  <c r="R171" i="2"/>
  <c r="I119" i="21" s="1"/>
  <c r="AX119" i="21" s="1"/>
  <c r="Q171" i="2"/>
  <c r="O171" i="2"/>
  <c r="D171" i="2"/>
  <c r="R170" i="2"/>
  <c r="I116" i="21" s="1"/>
  <c r="Q170" i="2"/>
  <c r="O170" i="2"/>
  <c r="D170" i="2"/>
  <c r="R169" i="2"/>
  <c r="I201" i="21" s="1"/>
  <c r="K201" i="21" s="1"/>
  <c r="Q169" i="2"/>
  <c r="O169" i="2"/>
  <c r="D169" i="2"/>
  <c r="R168" i="2"/>
  <c r="I129" i="21" s="1"/>
  <c r="AE129" i="21" s="1"/>
  <c r="Q168" i="2"/>
  <c r="O168" i="2"/>
  <c r="D168" i="2"/>
  <c r="R167" i="2"/>
  <c r="I97" i="21" s="1"/>
  <c r="Q167" i="2"/>
  <c r="O167" i="2"/>
  <c r="D167" i="2"/>
  <c r="R166" i="2"/>
  <c r="I199" i="21" s="1"/>
  <c r="Q166" i="2"/>
  <c r="O166" i="2"/>
  <c r="D166" i="2"/>
  <c r="R165" i="2"/>
  <c r="I128" i="21" s="1"/>
  <c r="AO128" i="21" s="1"/>
  <c r="Q165" i="2"/>
  <c r="O165" i="2"/>
  <c r="D165" i="2"/>
  <c r="R164" i="2"/>
  <c r="I94" i="21" s="1"/>
  <c r="Q164" i="2"/>
  <c r="O164" i="2"/>
  <c r="D164" i="2"/>
  <c r="R163" i="2"/>
  <c r="I93" i="21" s="1"/>
  <c r="Q163" i="2"/>
  <c r="O163" i="2"/>
  <c r="D163" i="2"/>
  <c r="Q162" i="2"/>
  <c r="O162" i="2"/>
  <c r="D162" i="2"/>
  <c r="R161" i="2"/>
  <c r="I92" i="21" s="1"/>
  <c r="AO92" i="21" s="1"/>
  <c r="Q161" i="2"/>
  <c r="O161" i="2"/>
  <c r="D161" i="2"/>
  <c r="R160" i="2"/>
  <c r="I91" i="21" s="1"/>
  <c r="AV91" i="21" s="1"/>
  <c r="Q160" i="2"/>
  <c r="O160" i="2"/>
  <c r="D160" i="2"/>
  <c r="R159" i="2"/>
  <c r="I85" i="21" s="1"/>
  <c r="AO85" i="21" s="1"/>
  <c r="Q159" i="2"/>
  <c r="O159" i="2"/>
  <c r="D159" i="2"/>
  <c r="Q158" i="2"/>
  <c r="O158" i="2"/>
  <c r="D158" i="2"/>
  <c r="R157" i="2"/>
  <c r="I177" i="21" s="1"/>
  <c r="AI177" i="21" s="1"/>
  <c r="Q157" i="2"/>
  <c r="O157" i="2"/>
  <c r="D157" i="2"/>
  <c r="R156" i="2"/>
  <c r="I90" i="21" s="1"/>
  <c r="Q156" i="2"/>
  <c r="O156" i="2"/>
  <c r="D156" i="2"/>
  <c r="R155" i="2"/>
  <c r="I180" i="21" s="1"/>
  <c r="Q155" i="2"/>
  <c r="O155" i="2"/>
  <c r="D155" i="2"/>
  <c r="R154" i="2"/>
  <c r="I104" i="21" s="1"/>
  <c r="AC104" i="21" s="1"/>
  <c r="Q154" i="2"/>
  <c r="O154" i="2"/>
  <c r="D154" i="2"/>
  <c r="R153" i="2"/>
  <c r="I125" i="21" s="1"/>
  <c r="AI125" i="21" s="1"/>
  <c r="Q153" i="2"/>
  <c r="O153" i="2"/>
  <c r="D153" i="2"/>
  <c r="Q152" i="2"/>
  <c r="O152" i="2"/>
  <c r="D152" i="2"/>
  <c r="R151" i="2"/>
  <c r="I258" i="21" s="1"/>
  <c r="Q151" i="2"/>
  <c r="O151" i="2"/>
  <c r="D151" i="2"/>
  <c r="S150" i="2"/>
  <c r="T150" i="2" s="1"/>
  <c r="R150" i="2"/>
  <c r="Q150" i="2"/>
  <c r="O150" i="2"/>
  <c r="D150" i="2"/>
  <c r="Q149" i="2"/>
  <c r="O149" i="2"/>
  <c r="D149" i="2"/>
  <c r="R148" i="2"/>
  <c r="I139" i="21" s="1"/>
  <c r="AA139" i="21" s="1"/>
  <c r="Q148" i="2"/>
  <c r="O148" i="2"/>
  <c r="D148" i="2"/>
  <c r="R147" i="2"/>
  <c r="I88" i="21" s="1"/>
  <c r="Q147" i="2"/>
  <c r="O147" i="2"/>
  <c r="D147" i="2"/>
  <c r="R146" i="2"/>
  <c r="I87" i="21" s="1"/>
  <c r="AJ87" i="21" s="1"/>
  <c r="Q146" i="2"/>
  <c r="O146" i="2"/>
  <c r="D146" i="2"/>
  <c r="R145" i="2"/>
  <c r="I168" i="21" s="1"/>
  <c r="AV168" i="21" s="1"/>
  <c r="Q145" i="2"/>
  <c r="O145" i="2"/>
  <c r="D145" i="2"/>
  <c r="R144" i="2"/>
  <c r="I109" i="21" s="1"/>
  <c r="AT109" i="21" s="1"/>
  <c r="Q144" i="2"/>
  <c r="O144" i="2"/>
  <c r="D144" i="2"/>
  <c r="R143" i="2"/>
  <c r="I77" i="21" s="1"/>
  <c r="Q143" i="2"/>
  <c r="O143" i="2"/>
  <c r="D143" i="2"/>
  <c r="R142" i="2"/>
  <c r="I165" i="21" s="1"/>
  <c r="Y165" i="21" s="1"/>
  <c r="Q142" i="2"/>
  <c r="O142" i="2"/>
  <c r="D142" i="2"/>
  <c r="R141" i="2"/>
  <c r="I167" i="21" s="1"/>
  <c r="AS167" i="21" s="1"/>
  <c r="Q141" i="2"/>
  <c r="O141" i="2"/>
  <c r="D141" i="2"/>
  <c r="R140" i="2"/>
  <c r="I86" i="21" s="1"/>
  <c r="Q140" i="2"/>
  <c r="O140" i="2"/>
  <c r="D140" i="2"/>
  <c r="Q139" i="2"/>
  <c r="O139" i="2"/>
  <c r="D139" i="2"/>
  <c r="R138" i="2"/>
  <c r="I81" i="21" s="1"/>
  <c r="AH81" i="21" s="1"/>
  <c r="Q138" i="2"/>
  <c r="O138" i="2"/>
  <c r="D138" i="2"/>
  <c r="Q137" i="2"/>
  <c r="O137" i="2"/>
  <c r="D137" i="2"/>
  <c r="R136" i="2"/>
  <c r="I161" i="21" s="1"/>
  <c r="M161" i="21" s="1"/>
  <c r="Q136" i="2"/>
  <c r="O136" i="2"/>
  <c r="D136" i="2"/>
  <c r="Q135" i="2"/>
  <c r="O135" i="2"/>
  <c r="D135" i="2"/>
  <c r="Q134" i="2"/>
  <c r="O134" i="2"/>
  <c r="D134" i="2"/>
  <c r="Q133" i="2"/>
  <c r="O133" i="2"/>
  <c r="D133" i="2"/>
  <c r="Q132" i="2"/>
  <c r="O132" i="2"/>
  <c r="D132" i="2"/>
  <c r="Q131" i="2"/>
  <c r="O131" i="2"/>
  <c r="D131" i="2"/>
  <c r="R130" i="2"/>
  <c r="I158" i="21" s="1"/>
  <c r="Q130" i="2"/>
  <c r="O130" i="2"/>
  <c r="D130" i="2"/>
  <c r="R129" i="2"/>
  <c r="I163" i="21" s="1"/>
  <c r="AH163" i="21" s="1"/>
  <c r="Q129" i="2"/>
  <c r="O129" i="2"/>
  <c r="D129" i="2"/>
  <c r="R128" i="2"/>
  <c r="I106" i="21" s="1"/>
  <c r="Q128" i="2"/>
  <c r="O128" i="2"/>
  <c r="D128" i="2"/>
  <c r="R127" i="2"/>
  <c r="I134" i="21" s="1"/>
  <c r="AH134" i="21" s="1"/>
  <c r="Q127" i="2"/>
  <c r="O127" i="2"/>
  <c r="D127" i="2"/>
  <c r="Q126" i="2"/>
  <c r="O126" i="2"/>
  <c r="D126" i="2"/>
  <c r="Q125" i="2"/>
  <c r="O125" i="2"/>
  <c r="D125" i="2"/>
  <c r="R124" i="2"/>
  <c r="I159" i="21" s="1"/>
  <c r="AS159" i="21" s="1"/>
  <c r="Q124" i="2"/>
  <c r="O124" i="2"/>
  <c r="D124" i="2"/>
  <c r="Q123" i="2"/>
  <c r="O123" i="2"/>
  <c r="D123" i="2"/>
  <c r="R122" i="2"/>
  <c r="I67" i="21" s="1"/>
  <c r="AD67" i="21" s="1"/>
  <c r="Q122" i="2"/>
  <c r="O122" i="2"/>
  <c r="D122" i="2"/>
  <c r="R121" i="2"/>
  <c r="I73" i="21" s="1"/>
  <c r="Q121" i="2"/>
  <c r="O121" i="2"/>
  <c r="D121" i="2"/>
  <c r="R120" i="2"/>
  <c r="I114" i="21" s="1"/>
  <c r="AB114" i="21" s="1"/>
  <c r="Q120" i="2"/>
  <c r="O120" i="2"/>
  <c r="D120" i="2"/>
  <c r="R119" i="2"/>
  <c r="I101" i="21" s="1"/>
  <c r="Q119" i="2"/>
  <c r="O119" i="2"/>
  <c r="D119" i="2"/>
  <c r="Q118" i="2"/>
  <c r="O118" i="2"/>
  <c r="D118" i="2"/>
  <c r="Q117" i="2"/>
  <c r="O117" i="2"/>
  <c r="D117" i="2"/>
  <c r="Q116" i="2"/>
  <c r="O116" i="2"/>
  <c r="D116" i="2"/>
  <c r="Q115" i="2"/>
  <c r="O115" i="2"/>
  <c r="D115" i="2"/>
  <c r="R114" i="2"/>
  <c r="I59" i="21" s="1"/>
  <c r="Q114" i="2"/>
  <c r="O114" i="2"/>
  <c r="D114" i="2"/>
  <c r="R113" i="2"/>
  <c r="I99" i="21" s="1"/>
  <c r="AE99" i="21" s="1"/>
  <c r="Q113" i="2"/>
  <c r="O113" i="2"/>
  <c r="D113" i="2"/>
  <c r="R112" i="2"/>
  <c r="I98" i="21" s="1"/>
  <c r="Q112" i="2"/>
  <c r="O112" i="2"/>
  <c r="D112" i="2"/>
  <c r="R111" i="2"/>
  <c r="I75" i="21" s="1"/>
  <c r="Q111" i="2"/>
  <c r="O111" i="2"/>
  <c r="D111" i="2"/>
  <c r="R110" i="2"/>
  <c r="I96" i="21" s="1"/>
  <c r="Q110" i="2"/>
  <c r="O110" i="2"/>
  <c r="D110" i="2"/>
  <c r="Q109" i="2"/>
  <c r="O109" i="2"/>
  <c r="D109" i="2"/>
  <c r="Q108" i="2"/>
  <c r="O108" i="2"/>
  <c r="D108" i="2"/>
  <c r="R107" i="2"/>
  <c r="I172" i="21" s="1"/>
  <c r="P172" i="21" s="1"/>
  <c r="Q107" i="2"/>
  <c r="O107" i="2"/>
  <c r="D107" i="2"/>
  <c r="Q106" i="2"/>
  <c r="O106" i="2"/>
  <c r="D106" i="2"/>
  <c r="R105" i="2"/>
  <c r="I136" i="21" s="1"/>
  <c r="AP136" i="21" s="1"/>
  <c r="Q105" i="2"/>
  <c r="O105" i="2"/>
  <c r="D105" i="2"/>
  <c r="Q104" i="2"/>
  <c r="O104" i="2"/>
  <c r="D104" i="2"/>
  <c r="R103" i="2"/>
  <c r="I110" i="21" s="1"/>
  <c r="Q103" i="2"/>
  <c r="O103" i="2"/>
  <c r="D103" i="2"/>
  <c r="R102" i="2"/>
  <c r="I115" i="21" s="1"/>
  <c r="Q102" i="2"/>
  <c r="O102" i="2"/>
  <c r="D102" i="2"/>
  <c r="R101" i="2"/>
  <c r="I131" i="21" s="1"/>
  <c r="Q101" i="2"/>
  <c r="O101" i="2"/>
  <c r="D101" i="2"/>
  <c r="R100" i="2"/>
  <c r="I95" i="21" s="1"/>
  <c r="AJ95" i="21" s="1"/>
  <c r="Q100" i="2"/>
  <c r="O100" i="2"/>
  <c r="D100" i="2"/>
  <c r="R99" i="2"/>
  <c r="I108" i="21" s="1"/>
  <c r="AC108" i="21" s="1"/>
  <c r="Q99" i="2"/>
  <c r="O99" i="2"/>
  <c r="D99" i="2"/>
  <c r="Q98" i="2"/>
  <c r="O98" i="2"/>
  <c r="D98" i="2"/>
  <c r="Q97" i="2"/>
  <c r="O97" i="2"/>
  <c r="D97" i="2"/>
  <c r="Q96" i="2"/>
  <c r="O96" i="2"/>
  <c r="D96" i="2"/>
  <c r="R95" i="2"/>
  <c r="I111" i="21" s="1"/>
  <c r="AE111" i="21" s="1"/>
  <c r="Q95" i="2"/>
  <c r="O95" i="2"/>
  <c r="D95" i="2"/>
  <c r="R94" i="2"/>
  <c r="I107" i="21" s="1"/>
  <c r="AV107" i="21" s="1"/>
  <c r="Q94" i="2"/>
  <c r="O94" i="2"/>
  <c r="D94" i="2"/>
  <c r="R93" i="2"/>
  <c r="I69" i="21" s="1"/>
  <c r="Q93" i="2"/>
  <c r="O93" i="2"/>
  <c r="D93" i="2"/>
  <c r="R92" i="2"/>
  <c r="I130" i="21" s="1"/>
  <c r="AB130" i="21" s="1"/>
  <c r="Q92" i="2"/>
  <c r="O92" i="2"/>
  <c r="D92" i="2"/>
  <c r="R91" i="2"/>
  <c r="I118" i="21" s="1"/>
  <c r="Q91" i="2"/>
  <c r="O91" i="2"/>
  <c r="D91" i="2"/>
  <c r="R90" i="2"/>
  <c r="I120" i="21" s="1"/>
  <c r="AW120" i="21" s="1"/>
  <c r="Q90" i="2"/>
  <c r="O90" i="2"/>
  <c r="D90" i="2"/>
  <c r="R89" i="2"/>
  <c r="I89" i="21" s="1"/>
  <c r="AO89" i="21" s="1"/>
  <c r="Q89" i="2"/>
  <c r="O89" i="2"/>
  <c r="D89" i="2"/>
  <c r="R88" i="2"/>
  <c r="I113" i="21" s="1"/>
  <c r="AH113" i="21" s="1"/>
  <c r="Q88" i="2"/>
  <c r="O88" i="2"/>
  <c r="D88" i="2"/>
  <c r="R87" i="2"/>
  <c r="I105" i="21" s="1"/>
  <c r="Q87" i="2"/>
  <c r="O87" i="2"/>
  <c r="D87" i="2"/>
  <c r="R86" i="2"/>
  <c r="I103" i="21" s="1"/>
  <c r="Q86" i="2"/>
  <c r="O86" i="2"/>
  <c r="D86" i="2"/>
  <c r="R85" i="2"/>
  <c r="I45" i="21" s="1"/>
  <c r="AQ45" i="21" s="1"/>
  <c r="Q85" i="2"/>
  <c r="O85" i="2"/>
  <c r="D85" i="2"/>
  <c r="R84" i="2"/>
  <c r="I60" i="21" s="1"/>
  <c r="AH60" i="21" s="1"/>
  <c r="Q84" i="2"/>
  <c r="O84" i="2"/>
  <c r="D84" i="2"/>
  <c r="Q83" i="2"/>
  <c r="O83" i="2"/>
  <c r="D83" i="2"/>
  <c r="Q82" i="2"/>
  <c r="O82" i="2"/>
  <c r="D82" i="2"/>
  <c r="Q81" i="2"/>
  <c r="O81" i="2"/>
  <c r="D81" i="2"/>
  <c r="R80" i="2"/>
  <c r="I26" i="21" s="1"/>
  <c r="AW26" i="21" s="1"/>
  <c r="Q80" i="2"/>
  <c r="O80" i="2"/>
  <c r="D80" i="2"/>
  <c r="Q79" i="2"/>
  <c r="O79" i="2"/>
  <c r="D79" i="2"/>
  <c r="Q78" i="2"/>
  <c r="O78" i="2"/>
  <c r="D78" i="2"/>
  <c r="Q77" i="2"/>
  <c r="O77" i="2"/>
  <c r="D77" i="2"/>
  <c r="Q76" i="2"/>
  <c r="O76" i="2"/>
  <c r="D76" i="2"/>
  <c r="R75" i="2"/>
  <c r="I13" i="21" s="1"/>
  <c r="Q75" i="2"/>
  <c r="O75" i="2"/>
  <c r="D75" i="2"/>
  <c r="Q74" i="2"/>
  <c r="O74" i="2"/>
  <c r="D74" i="2"/>
  <c r="Q73" i="2"/>
  <c r="O73" i="2"/>
  <c r="D73" i="2"/>
  <c r="R72" i="2"/>
  <c r="I47" i="21" s="1"/>
  <c r="AI47" i="21" s="1"/>
  <c r="Q72" i="2"/>
  <c r="O72" i="2"/>
  <c r="D72" i="2"/>
  <c r="Q71" i="2"/>
  <c r="O71" i="2"/>
  <c r="D71" i="2"/>
  <c r="Q70" i="2"/>
  <c r="O70" i="2"/>
  <c r="D70" i="2"/>
  <c r="R69" i="2"/>
  <c r="I34" i="21" s="1"/>
  <c r="AK34" i="21" s="1"/>
  <c r="Q69" i="2"/>
  <c r="O69" i="2"/>
  <c r="D69" i="2"/>
  <c r="Q68" i="2"/>
  <c r="O68" i="2"/>
  <c r="D68" i="2"/>
  <c r="R67" i="2"/>
  <c r="I48" i="21" s="1"/>
  <c r="Q67" i="2"/>
  <c r="O67" i="2"/>
  <c r="D67" i="2"/>
  <c r="R66" i="2"/>
  <c r="I71" i="21" s="1"/>
  <c r="AI71" i="21" s="1"/>
  <c r="Q66" i="2"/>
  <c r="O66" i="2"/>
  <c r="D66" i="2"/>
  <c r="R65" i="2"/>
  <c r="I57" i="21" s="1"/>
  <c r="Q65" i="2"/>
  <c r="O65" i="2"/>
  <c r="D65" i="2"/>
  <c r="R64" i="2"/>
  <c r="I12" i="21" s="1"/>
  <c r="AQ12" i="21" s="1"/>
  <c r="Q64" i="2"/>
  <c r="O64" i="2"/>
  <c r="D64" i="2"/>
  <c r="R63" i="2"/>
  <c r="I40" i="21" s="1"/>
  <c r="Q63" i="2"/>
  <c r="O63" i="2"/>
  <c r="D63" i="2"/>
  <c r="Q62" i="2"/>
  <c r="O62" i="2"/>
  <c r="D62" i="2"/>
  <c r="R61" i="2"/>
  <c r="I44" i="21" s="1"/>
  <c r="Q61" i="2"/>
  <c r="O61" i="2"/>
  <c r="D61" i="2"/>
  <c r="R60" i="2"/>
  <c r="I43" i="21" s="1"/>
  <c r="AT43" i="21" s="1"/>
  <c r="Q60" i="2"/>
  <c r="O60" i="2"/>
  <c r="D60" i="2"/>
  <c r="Q59" i="2"/>
  <c r="O59" i="2"/>
  <c r="D59" i="2"/>
  <c r="Q58" i="2"/>
  <c r="O58" i="2"/>
  <c r="D58" i="2"/>
  <c r="Q57" i="2"/>
  <c r="O57" i="2"/>
  <c r="D57" i="2"/>
  <c r="Q56" i="2"/>
  <c r="O56" i="2"/>
  <c r="D56" i="2"/>
  <c r="Q55" i="2"/>
  <c r="O55" i="2"/>
  <c r="D55" i="2"/>
  <c r="Q54" i="2"/>
  <c r="O54" i="2"/>
  <c r="D54" i="2"/>
  <c r="R53" i="2"/>
  <c r="I54" i="21" s="1"/>
  <c r="AF54" i="21" s="1"/>
  <c r="Q53" i="2"/>
  <c r="O53" i="2"/>
  <c r="D53" i="2"/>
  <c r="Q52" i="2"/>
  <c r="O52" i="2"/>
  <c r="D52" i="2"/>
  <c r="Q51" i="2"/>
  <c r="O51" i="2"/>
  <c r="D51" i="2"/>
  <c r="Q50" i="2"/>
  <c r="O50" i="2"/>
  <c r="D50" i="2"/>
  <c r="R49" i="2"/>
  <c r="I55" i="21" s="1"/>
  <c r="AP55" i="21" s="1"/>
  <c r="Q49" i="2"/>
  <c r="O49" i="2"/>
  <c r="D49" i="2"/>
  <c r="R48" i="2"/>
  <c r="I25" i="21" s="1"/>
  <c r="Q48" i="2"/>
  <c r="O48" i="2"/>
  <c r="D48" i="2"/>
  <c r="R47" i="2"/>
  <c r="I50" i="21" s="1"/>
  <c r="Q47" i="2"/>
  <c r="O47" i="2"/>
  <c r="D47" i="2"/>
  <c r="R46" i="2"/>
  <c r="I10" i="21" s="1"/>
  <c r="Q46" i="2"/>
  <c r="O46" i="2"/>
  <c r="D46" i="2"/>
  <c r="R45" i="2"/>
  <c r="I31" i="21" s="1"/>
  <c r="AX31" i="21" s="1"/>
  <c r="Q45" i="2"/>
  <c r="O45" i="2"/>
  <c r="D45" i="2"/>
  <c r="R44" i="2"/>
  <c r="I33" i="21" s="1"/>
  <c r="Q44" i="2"/>
  <c r="O44" i="2"/>
  <c r="D44" i="2"/>
  <c r="Q43" i="2"/>
  <c r="O43" i="2"/>
  <c r="D43" i="2"/>
  <c r="R42" i="2"/>
  <c r="I21" i="21" s="1"/>
  <c r="Q42" i="2"/>
  <c r="O42" i="2"/>
  <c r="D42" i="2"/>
  <c r="Q41" i="2"/>
  <c r="O41" i="2"/>
  <c r="D41" i="2"/>
  <c r="R40" i="2"/>
  <c r="I84" i="21" s="1"/>
  <c r="AI84" i="21" s="1"/>
  <c r="Q40" i="2"/>
  <c r="O40" i="2"/>
  <c r="D40" i="2"/>
  <c r="R39" i="2"/>
  <c r="I30" i="21" s="1"/>
  <c r="Q39" i="2"/>
  <c r="O39" i="2"/>
  <c r="D39" i="2"/>
  <c r="R38" i="2"/>
  <c r="I19" i="21" s="1"/>
  <c r="AT19" i="21" s="1"/>
  <c r="Q38" i="2"/>
  <c r="O38" i="2"/>
  <c r="D38" i="2"/>
  <c r="R37" i="2"/>
  <c r="I22" i="21" s="1"/>
  <c r="AK22" i="21" s="1"/>
  <c r="Q37" i="2"/>
  <c r="O37" i="2"/>
  <c r="D37" i="2"/>
  <c r="R36" i="2"/>
  <c r="I68" i="21" s="1"/>
  <c r="AH68" i="21" s="1"/>
  <c r="Q36" i="2"/>
  <c r="O36" i="2"/>
  <c r="D36" i="2"/>
  <c r="R35" i="2"/>
  <c r="I64" i="21" s="1"/>
  <c r="Q35" i="2"/>
  <c r="O35" i="2"/>
  <c r="D35" i="2"/>
  <c r="R34" i="2"/>
  <c r="I63" i="21" s="1"/>
  <c r="AI63" i="21" s="1"/>
  <c r="Q34" i="2"/>
  <c r="O34" i="2"/>
  <c r="D34" i="2"/>
  <c r="Q33" i="2"/>
  <c r="O33" i="2"/>
  <c r="D33" i="2"/>
  <c r="R32" i="2"/>
  <c r="I66" i="21" s="1"/>
  <c r="AL66" i="21" s="1"/>
  <c r="Q32" i="2"/>
  <c r="O32" i="2"/>
  <c r="D32" i="2"/>
  <c r="R31" i="2"/>
  <c r="I24" i="21" s="1"/>
  <c r="Q31" i="2"/>
  <c r="O31" i="2"/>
  <c r="D31" i="2"/>
  <c r="R30" i="2"/>
  <c r="I16" i="21" s="1"/>
  <c r="Q30" i="2"/>
  <c r="O30" i="2"/>
  <c r="D30" i="2"/>
  <c r="R29" i="2"/>
  <c r="I18" i="21" s="1"/>
  <c r="AK18" i="21" s="1"/>
  <c r="Q29" i="2"/>
  <c r="O29" i="2"/>
  <c r="D29" i="2"/>
  <c r="R28" i="2"/>
  <c r="I38" i="21" s="1"/>
  <c r="AW38" i="21" s="1"/>
  <c r="Q28" i="2"/>
  <c r="O28" i="2"/>
  <c r="D28" i="2"/>
  <c r="R27" i="2"/>
  <c r="I9" i="21" s="1"/>
  <c r="Q27" i="2"/>
  <c r="O27" i="2"/>
  <c r="D27" i="2"/>
  <c r="R26" i="2"/>
  <c r="I23" i="21" s="1"/>
  <c r="Q26" i="2"/>
  <c r="O26" i="2"/>
  <c r="D26" i="2"/>
  <c r="Q25" i="2"/>
  <c r="O25" i="2"/>
  <c r="D25" i="2"/>
  <c r="R24" i="2"/>
  <c r="I80" i="21" s="1"/>
  <c r="AT80" i="21" s="1"/>
  <c r="Q24" i="2"/>
  <c r="O24" i="2"/>
  <c r="D24" i="2"/>
  <c r="R23" i="2"/>
  <c r="I8" i="21" s="1"/>
  <c r="Q23" i="2"/>
  <c r="O23" i="2"/>
  <c r="D23" i="2"/>
  <c r="Q22" i="2"/>
  <c r="O22" i="2"/>
  <c r="D22" i="2"/>
  <c r="R21" i="2"/>
  <c r="I11" i="21" s="1"/>
  <c r="AX11" i="21" s="1"/>
  <c r="Q21" i="2"/>
  <c r="O21" i="2"/>
  <c r="D21" i="2"/>
  <c r="Q20" i="2"/>
  <c r="O20" i="2"/>
  <c r="D20" i="2"/>
  <c r="R19" i="2"/>
  <c r="I3" i="21" s="1"/>
  <c r="Q19" i="2"/>
  <c r="O19" i="2"/>
  <c r="D19" i="2"/>
  <c r="R18" i="2"/>
  <c r="I15" i="21" s="1"/>
  <c r="AX15" i="21" s="1"/>
  <c r="Q18" i="2"/>
  <c r="O18" i="2"/>
  <c r="D18" i="2"/>
  <c r="R17" i="2"/>
  <c r="I28" i="21" s="1"/>
  <c r="AU28" i="21" s="1"/>
  <c r="Q17" i="2"/>
  <c r="O17" i="2"/>
  <c r="D17" i="2"/>
  <c r="R16" i="2"/>
  <c r="I29" i="21" s="1"/>
  <c r="Q16" i="2"/>
  <c r="O16" i="2"/>
  <c r="D16" i="2"/>
  <c r="Q15" i="2"/>
  <c r="O15" i="2"/>
  <c r="D15" i="2"/>
  <c r="AJ14" i="2"/>
  <c r="R14" i="2"/>
  <c r="I4" i="21" s="1"/>
  <c r="AU4" i="21" s="1"/>
  <c r="Q14" i="2"/>
  <c r="O14" i="2"/>
  <c r="D14" i="2"/>
  <c r="Q13" i="2"/>
  <c r="O13" i="2"/>
  <c r="D13" i="2"/>
  <c r="R12" i="2"/>
  <c r="I17" i="21" s="1"/>
  <c r="Q12" i="2"/>
  <c r="O12" i="2"/>
  <c r="D12" i="2"/>
  <c r="R11" i="2"/>
  <c r="I20" i="21" s="1"/>
  <c r="AQ20" i="21" s="1"/>
  <c r="Q11" i="2"/>
  <c r="O11" i="2"/>
  <c r="D11" i="2"/>
  <c r="R10" i="2"/>
  <c r="I14" i="21" s="1"/>
  <c r="AK14" i="21" s="1"/>
  <c r="Q10" i="2"/>
  <c r="O10" i="2"/>
  <c r="D10" i="2"/>
  <c r="R9" i="2"/>
  <c r="I56" i="21" s="1"/>
  <c r="AS56" i="21" s="1"/>
  <c r="Q9" i="2"/>
  <c r="O9" i="2"/>
  <c r="D9" i="2"/>
  <c r="R8" i="2"/>
  <c r="I37" i="21" s="1"/>
  <c r="Q8" i="2"/>
  <c r="O8" i="2"/>
  <c r="D8" i="2"/>
  <c r="R7" i="2"/>
  <c r="I102" i="21" s="1"/>
  <c r="Q7" i="2"/>
  <c r="O7" i="2"/>
  <c r="D7" i="2"/>
  <c r="F4" i="2"/>
  <c r="F3" i="2"/>
  <c r="S5" i="1"/>
  <c r="S8" i="1" s="1"/>
  <c r="R753" i="2" l="1"/>
  <c r="R696" i="2"/>
  <c r="S753" i="2"/>
  <c r="T753" i="2" s="1"/>
  <c r="AQ753" i="2" s="1"/>
  <c r="S696" i="2"/>
  <c r="T696" i="2" s="1"/>
  <c r="Z696" i="2" s="1"/>
  <c r="R207" i="2"/>
  <c r="R716" i="2"/>
  <c r="S716" i="2"/>
  <c r="T716" i="2" s="1"/>
  <c r="Z716" i="2" s="1"/>
  <c r="V995" i="2"/>
  <c r="V991" i="2"/>
  <c r="V986" i="2"/>
  <c r="P984" i="2"/>
  <c r="U984" i="2" s="1"/>
  <c r="P980" i="2"/>
  <c r="U980" i="2" s="1"/>
  <c r="P968" i="2"/>
  <c r="U968" i="2" s="1"/>
  <c r="V965" i="2"/>
  <c r="P956" i="2"/>
  <c r="U956" i="2" s="1"/>
  <c r="P932" i="2"/>
  <c r="U932" i="2" s="1"/>
  <c r="P928" i="2"/>
  <c r="U928" i="2" s="1"/>
  <c r="V925" i="2"/>
  <c r="P911" i="2"/>
  <c r="U911" i="2" s="1"/>
  <c r="P902" i="2"/>
  <c r="U902" i="2" s="1"/>
  <c r="V900" i="2"/>
  <c r="P899" i="2"/>
  <c r="U899" i="2" s="1"/>
  <c r="V884" i="2"/>
  <c r="P882" i="2"/>
  <c r="U882" i="2" s="1"/>
  <c r="P877" i="2"/>
  <c r="U877" i="2" s="1"/>
  <c r="V875" i="2"/>
  <c r="V870" i="2"/>
  <c r="V866" i="2"/>
  <c r="V862" i="2"/>
  <c r="P856" i="2"/>
  <c r="U856" i="2" s="1"/>
  <c r="V853" i="2"/>
  <c r="V845" i="2"/>
  <c r="P843" i="2"/>
  <c r="U843" i="2" s="1"/>
  <c r="P839" i="2"/>
  <c r="U839" i="2" s="1"/>
  <c r="V824" i="2"/>
  <c r="P822" i="2"/>
  <c r="U822" i="2" s="1"/>
  <c r="V819" i="2"/>
  <c r="V807" i="2"/>
  <c r="P801" i="2"/>
  <c r="U801" i="2" s="1"/>
  <c r="V799" i="2"/>
  <c r="P798" i="2"/>
  <c r="U798" i="2" s="1"/>
  <c r="V796" i="2"/>
  <c r="P795" i="2"/>
  <c r="U795" i="2" s="1"/>
  <c r="P976" i="2"/>
  <c r="U976" i="2" s="1"/>
  <c r="P998" i="2"/>
  <c r="U998" i="2" s="1"/>
  <c r="P994" i="2"/>
  <c r="U994" i="2" s="1"/>
  <c r="P989" i="2"/>
  <c r="U989" i="2" s="1"/>
  <c r="V982" i="2"/>
  <c r="V978" i="2"/>
  <c r="V974" i="2"/>
  <c r="P972" i="2"/>
  <c r="U972" i="2" s="1"/>
  <c r="P964" i="2"/>
  <c r="U964" i="2" s="1"/>
  <c r="V962" i="2"/>
  <c r="P960" i="2"/>
  <c r="U960" i="2" s="1"/>
  <c r="V953" i="2"/>
  <c r="P944" i="2"/>
  <c r="U944" i="2" s="1"/>
  <c r="V941" i="2"/>
  <c r="P940" i="2"/>
  <c r="U940" i="2" s="1"/>
  <c r="V938" i="2"/>
  <c r="P936" i="2"/>
  <c r="U936" i="2" s="1"/>
  <c r="V930" i="2"/>
  <c r="P923" i="2"/>
  <c r="U923" i="2" s="1"/>
  <c r="V921" i="2"/>
  <c r="P916" i="2"/>
  <c r="U916" i="2" s="1"/>
  <c r="V913" i="2"/>
  <c r="V908" i="2"/>
  <c r="V897" i="2"/>
  <c r="V880" i="2"/>
  <c r="P869" i="2"/>
  <c r="U869" i="2" s="1"/>
  <c r="V858" i="2"/>
  <c r="P852" i="2"/>
  <c r="U852" i="2" s="1"/>
  <c r="P848" i="2"/>
  <c r="U848" i="2" s="1"/>
  <c r="V837" i="2"/>
  <c r="P835" i="2"/>
  <c r="U835" i="2" s="1"/>
  <c r="V828" i="2"/>
  <c r="V820" i="2"/>
  <c r="P818" i="2"/>
  <c r="U818" i="2" s="1"/>
  <c r="V811" i="2"/>
  <c r="P805" i="2"/>
  <c r="U805" i="2" s="1"/>
  <c r="V945" i="2"/>
  <c r="V840" i="2"/>
  <c r="P813" i="2"/>
  <c r="U813" i="2" s="1"/>
  <c r="V1000" i="2"/>
  <c r="P990" i="2"/>
  <c r="U990" i="2" s="1"/>
  <c r="P977" i="2"/>
  <c r="U977" i="2" s="1"/>
  <c r="V970" i="2"/>
  <c r="V958" i="2"/>
  <c r="P952" i="2"/>
  <c r="U952" i="2" s="1"/>
  <c r="V950" i="2"/>
  <c r="P948" i="2"/>
  <c r="U948" i="2" s="1"/>
  <c r="P920" i="2"/>
  <c r="U920" i="2" s="1"/>
  <c r="V918" i="2"/>
  <c r="P912" i="2"/>
  <c r="U912" i="2" s="1"/>
  <c r="V909" i="2"/>
  <c r="P907" i="2"/>
  <c r="U907" i="2" s="1"/>
  <c r="P903" i="2"/>
  <c r="U903" i="2" s="1"/>
  <c r="P895" i="2"/>
  <c r="U895" i="2" s="1"/>
  <c r="V893" i="2"/>
  <c r="V889" i="2"/>
  <c r="P887" i="2"/>
  <c r="U887" i="2" s="1"/>
  <c r="P878" i="2"/>
  <c r="U878" i="2" s="1"/>
  <c r="P874" i="2"/>
  <c r="U874" i="2" s="1"/>
  <c r="P861" i="2"/>
  <c r="U861" i="2" s="1"/>
  <c r="V854" i="2"/>
  <c r="V850" i="2"/>
  <c r="P844" i="2"/>
  <c r="U844" i="2" s="1"/>
  <c r="V841" i="2"/>
  <c r="V833" i="2"/>
  <c r="P831" i="2"/>
  <c r="U831" i="2" s="1"/>
  <c r="P827" i="2"/>
  <c r="U827" i="2" s="1"/>
  <c r="V816" i="2"/>
  <c r="P814" i="2"/>
  <c r="U814" i="2" s="1"/>
  <c r="V803" i="2"/>
  <c r="V806" i="2"/>
  <c r="V996" i="2"/>
  <c r="V992" i="2"/>
  <c r="V987" i="2"/>
  <c r="P985" i="2"/>
  <c r="U985" i="2" s="1"/>
  <c r="P981" i="2"/>
  <c r="U981" i="2" s="1"/>
  <c r="P969" i="2"/>
  <c r="U969" i="2" s="1"/>
  <c r="V966" i="2"/>
  <c r="P957" i="2"/>
  <c r="U957" i="2" s="1"/>
  <c r="V946" i="2"/>
  <c r="P937" i="2"/>
  <c r="U937" i="2" s="1"/>
  <c r="V934" i="2"/>
  <c r="V926" i="2"/>
  <c r="P924" i="2"/>
  <c r="U924" i="2" s="1"/>
  <c r="V905" i="2"/>
  <c r="P892" i="2"/>
  <c r="U892" i="2" s="1"/>
  <c r="P888" i="2"/>
  <c r="U888" i="2" s="1"/>
  <c r="V885" i="2"/>
  <c r="P879" i="2"/>
  <c r="U879" i="2" s="1"/>
  <c r="V871" i="2"/>
  <c r="V867" i="2"/>
  <c r="P865" i="2"/>
  <c r="U865" i="2" s="1"/>
  <c r="V863" i="2"/>
  <c r="P857" i="2"/>
  <c r="U857" i="2" s="1"/>
  <c r="V846" i="2"/>
  <c r="P840" i="2"/>
  <c r="U840" i="2" s="1"/>
  <c r="P836" i="2"/>
  <c r="U836" i="2" s="1"/>
  <c r="V825" i="2"/>
  <c r="P823" i="2"/>
  <c r="U823" i="2" s="1"/>
  <c r="P815" i="2"/>
  <c r="U815" i="2" s="1"/>
  <c r="V812" i="2"/>
  <c r="P810" i="2"/>
  <c r="U810" i="2" s="1"/>
  <c r="V808" i="2"/>
  <c r="V933" i="2"/>
  <c r="P864" i="2"/>
  <c r="U864" i="2" s="1"/>
  <c r="V849" i="2"/>
  <c r="P830" i="2"/>
  <c r="U830" i="2" s="1"/>
  <c r="P809" i="2"/>
  <c r="U809" i="2" s="1"/>
  <c r="P999" i="2"/>
  <c r="U999" i="2" s="1"/>
  <c r="V983" i="2"/>
  <c r="V979" i="2"/>
  <c r="V975" i="2"/>
  <c r="P973" i="2"/>
  <c r="U973" i="2" s="1"/>
  <c r="V967" i="2"/>
  <c r="P965" i="2"/>
  <c r="U965" i="2" s="1"/>
  <c r="W965" i="2" s="1"/>
  <c r="P961" i="2"/>
  <c r="U961" i="2" s="1"/>
  <c r="V955" i="2"/>
  <c r="V954" i="2"/>
  <c r="P945" i="2"/>
  <c r="U945" i="2" s="1"/>
  <c r="V942" i="2"/>
  <c r="P933" i="2"/>
  <c r="U933" i="2" s="1"/>
  <c r="V931" i="2"/>
  <c r="P929" i="2"/>
  <c r="U929" i="2" s="1"/>
  <c r="P917" i="2"/>
  <c r="U917" i="2" s="1"/>
  <c r="V914" i="2"/>
  <c r="V910" i="2"/>
  <c r="P904" i="2"/>
  <c r="U904" i="2" s="1"/>
  <c r="V901" i="2"/>
  <c r="P900" i="2"/>
  <c r="U900" i="2" s="1"/>
  <c r="V898" i="2"/>
  <c r="P896" i="2"/>
  <c r="U896" i="2" s="1"/>
  <c r="V890" i="2"/>
  <c r="P883" i="2"/>
  <c r="U883" i="2" s="1"/>
  <c r="V881" i="2"/>
  <c r="V876" i="2"/>
  <c r="V872" i="2"/>
  <c r="P870" i="2"/>
  <c r="U870" i="2" s="1"/>
  <c r="V859" i="2"/>
  <c r="P849" i="2"/>
  <c r="U849" i="2" s="1"/>
  <c r="V842" i="2"/>
  <c r="V838" i="2"/>
  <c r="P832" i="2"/>
  <c r="U832" i="2" s="1"/>
  <c r="V829" i="2"/>
  <c r="V821" i="2"/>
  <c r="P806" i="2"/>
  <c r="U806" i="2" s="1"/>
  <c r="P802" i="2"/>
  <c r="U802" i="2" s="1"/>
  <c r="V800" i="2"/>
  <c r="P799" i="2"/>
  <c r="U799" i="2" s="1"/>
  <c r="V797" i="2"/>
  <c r="P796" i="2"/>
  <c r="U796" i="2" s="1"/>
  <c r="P800" i="2"/>
  <c r="U800" i="2" s="1"/>
  <c r="P947" i="2"/>
  <c r="U947" i="2" s="1"/>
  <c r="P935" i="2"/>
  <c r="U935" i="2" s="1"/>
  <c r="P927" i="2"/>
  <c r="U927" i="2" s="1"/>
  <c r="P847" i="2"/>
  <c r="U847" i="2" s="1"/>
  <c r="P995" i="2"/>
  <c r="U995" i="2" s="1"/>
  <c r="P991" i="2"/>
  <c r="U991" i="2" s="1"/>
  <c r="V988" i="2"/>
  <c r="P986" i="2"/>
  <c r="U986" i="2" s="1"/>
  <c r="W986" i="2" s="1"/>
  <c r="P982" i="2"/>
  <c r="U982" i="2" s="1"/>
  <c r="V971" i="2"/>
  <c r="V963" i="2"/>
  <c r="P962" i="2"/>
  <c r="U962" i="2" s="1"/>
  <c r="V959" i="2"/>
  <c r="P953" i="2"/>
  <c r="U953" i="2" s="1"/>
  <c r="P949" i="2"/>
  <c r="U949" i="2" s="1"/>
  <c r="V943" i="2"/>
  <c r="P941" i="2"/>
  <c r="U941" i="2" s="1"/>
  <c r="V939" i="2"/>
  <c r="P925" i="2"/>
  <c r="U925" i="2" s="1"/>
  <c r="V922" i="2"/>
  <c r="P875" i="2"/>
  <c r="U875" i="2" s="1"/>
  <c r="V868" i="2"/>
  <c r="P866" i="2"/>
  <c r="U866" i="2" s="1"/>
  <c r="P862" i="2"/>
  <c r="U862" i="2" s="1"/>
  <c r="V855" i="2"/>
  <c r="P853" i="2"/>
  <c r="U853" i="2" s="1"/>
  <c r="V851" i="2"/>
  <c r="P845" i="2"/>
  <c r="U845" i="2" s="1"/>
  <c r="V834" i="2"/>
  <c r="P828" i="2"/>
  <c r="U828" i="2" s="1"/>
  <c r="P824" i="2"/>
  <c r="U824" i="2" s="1"/>
  <c r="P819" i="2"/>
  <c r="U819" i="2" s="1"/>
  <c r="V817" i="2"/>
  <c r="V804" i="2"/>
  <c r="P811" i="2"/>
  <c r="U811" i="2" s="1"/>
  <c r="P997" i="2"/>
  <c r="U997" i="2" s="1"/>
  <c r="P906" i="2"/>
  <c r="U906" i="2" s="1"/>
  <c r="V997" i="2"/>
  <c r="V993" i="2"/>
  <c r="P978" i="2"/>
  <c r="U978" i="2" s="1"/>
  <c r="V976" i="2"/>
  <c r="P974" i="2"/>
  <c r="U974" i="2" s="1"/>
  <c r="P970" i="2"/>
  <c r="U970" i="2" s="1"/>
  <c r="P958" i="2"/>
  <c r="U958" i="2" s="1"/>
  <c r="V951" i="2"/>
  <c r="P950" i="2"/>
  <c r="U950" i="2" s="1"/>
  <c r="V947" i="2"/>
  <c r="P938" i="2"/>
  <c r="U938" i="2" s="1"/>
  <c r="V935" i="2"/>
  <c r="V927" i="2"/>
  <c r="P921" i="2"/>
  <c r="U921" i="2" s="1"/>
  <c r="V919" i="2"/>
  <c r="V915" i="2"/>
  <c r="P913" i="2"/>
  <c r="U913" i="2" s="1"/>
  <c r="V911" i="2"/>
  <c r="P908" i="2"/>
  <c r="U908" i="2" s="1"/>
  <c r="V906" i="2"/>
  <c r="P897" i="2"/>
  <c r="U897" i="2" s="1"/>
  <c r="V894" i="2"/>
  <c r="V886" i="2"/>
  <c r="P884" i="2"/>
  <c r="U884" i="2" s="1"/>
  <c r="P880" i="2"/>
  <c r="U880" i="2" s="1"/>
  <c r="V873" i="2"/>
  <c r="V860" i="2"/>
  <c r="P858" i="2"/>
  <c r="U858" i="2" s="1"/>
  <c r="V847" i="2"/>
  <c r="P837" i="2"/>
  <c r="U837" i="2" s="1"/>
  <c r="V830" i="2"/>
  <c r="V826" i="2"/>
  <c r="P816" i="2"/>
  <c r="U816" i="2" s="1"/>
  <c r="V813" i="2"/>
  <c r="P807" i="2"/>
  <c r="U807" i="2" s="1"/>
  <c r="W807" i="2" s="1"/>
  <c r="P803" i="2"/>
  <c r="U803" i="2" s="1"/>
  <c r="P797" i="2"/>
  <c r="U797" i="2" s="1"/>
  <c r="P915" i="2"/>
  <c r="U915" i="2" s="1"/>
  <c r="V904" i="2"/>
  <c r="P886" i="2"/>
  <c r="U886" i="2" s="1"/>
  <c r="P1000" i="2"/>
  <c r="U1000" i="2" s="1"/>
  <c r="V984" i="2"/>
  <c r="V980" i="2"/>
  <c r="V968" i="2"/>
  <c r="V956" i="2"/>
  <c r="P946" i="2"/>
  <c r="U946" i="2" s="1"/>
  <c r="V936" i="2"/>
  <c r="P934" i="2"/>
  <c r="U934" i="2" s="1"/>
  <c r="P930" i="2"/>
  <c r="U930" i="2" s="1"/>
  <c r="P918" i="2"/>
  <c r="U918" i="2" s="1"/>
  <c r="P909" i="2"/>
  <c r="U909" i="2" s="1"/>
  <c r="P905" i="2"/>
  <c r="U905" i="2" s="1"/>
  <c r="V902" i="2"/>
  <c r="Y902" i="2" s="1"/>
  <c r="AC902" i="2" s="1"/>
  <c r="P893" i="2"/>
  <c r="U893" i="2" s="1"/>
  <c r="V891" i="2"/>
  <c r="P889" i="2"/>
  <c r="U889" i="2" s="1"/>
  <c r="V877" i="2"/>
  <c r="V864" i="2"/>
  <c r="V856" i="2"/>
  <c r="P854" i="2"/>
  <c r="U854" i="2" s="1"/>
  <c r="P850" i="2"/>
  <c r="U850" i="2" s="1"/>
  <c r="V843" i="2"/>
  <c r="P841" i="2"/>
  <c r="U841" i="2" s="1"/>
  <c r="V839" i="2"/>
  <c r="P833" i="2"/>
  <c r="U833" i="2" s="1"/>
  <c r="V822" i="2"/>
  <c r="P820" i="2"/>
  <c r="U820" i="2" s="1"/>
  <c r="P812" i="2"/>
  <c r="U812" i="2" s="1"/>
  <c r="V809" i="2"/>
  <c r="V798" i="2"/>
  <c r="V892" i="2"/>
  <c r="P860" i="2"/>
  <c r="U860" i="2" s="1"/>
  <c r="V998" i="2"/>
  <c r="P996" i="2"/>
  <c r="U996" i="2" s="1"/>
  <c r="P992" i="2"/>
  <c r="U992" i="2" s="1"/>
  <c r="V989" i="2"/>
  <c r="P987" i="2"/>
  <c r="U987" i="2" s="1"/>
  <c r="V972" i="2"/>
  <c r="P966" i="2"/>
  <c r="U966" i="2" s="1"/>
  <c r="V964" i="2"/>
  <c r="V960" i="2"/>
  <c r="V944" i="2"/>
  <c r="V932" i="2"/>
  <c r="P931" i="2"/>
  <c r="U931" i="2" s="1"/>
  <c r="V928" i="2"/>
  <c r="P926" i="2"/>
  <c r="U926" i="2" s="1"/>
  <c r="V923" i="2"/>
  <c r="V916" i="2"/>
  <c r="P901" i="2"/>
  <c r="U901" i="2" s="1"/>
  <c r="V899" i="2"/>
  <c r="P885" i="2"/>
  <c r="U885" i="2" s="1"/>
  <c r="V882" i="2"/>
  <c r="V878" i="2"/>
  <c r="P876" i="2"/>
  <c r="U876" i="2" s="1"/>
  <c r="P871" i="2"/>
  <c r="U871" i="2" s="1"/>
  <c r="V869" i="2"/>
  <c r="P867" i="2"/>
  <c r="U867" i="2" s="1"/>
  <c r="P863" i="2"/>
  <c r="U863" i="2" s="1"/>
  <c r="V848" i="2"/>
  <c r="P846" i="2"/>
  <c r="U846" i="2" s="1"/>
  <c r="V835" i="2"/>
  <c r="P825" i="2"/>
  <c r="U825" i="2" s="1"/>
  <c r="W825" i="2" s="1"/>
  <c r="V814" i="2"/>
  <c r="P808" i="2"/>
  <c r="U808" i="2" s="1"/>
  <c r="V805" i="2"/>
  <c r="V801" i="2"/>
  <c r="V795" i="2"/>
  <c r="P993" i="2"/>
  <c r="U993" i="2" s="1"/>
  <c r="P891" i="2"/>
  <c r="U891" i="2" s="1"/>
  <c r="V832" i="2"/>
  <c r="Y832" i="2" s="1"/>
  <c r="AC832" i="2" s="1"/>
  <c r="V994" i="2"/>
  <c r="V990" i="2"/>
  <c r="P983" i="2"/>
  <c r="U983" i="2" s="1"/>
  <c r="P979" i="2"/>
  <c r="U979" i="2" s="1"/>
  <c r="P975" i="2"/>
  <c r="U975" i="2" s="1"/>
  <c r="P963" i="2"/>
  <c r="U963" i="2" s="1"/>
  <c r="P954" i="2"/>
  <c r="U954" i="2" s="1"/>
  <c r="V952" i="2"/>
  <c r="V948" i="2"/>
  <c r="P942" i="2"/>
  <c r="U942" i="2" s="1"/>
  <c r="V940" i="2"/>
  <c r="P939" i="2"/>
  <c r="U939" i="2" s="1"/>
  <c r="V924" i="2"/>
  <c r="P922" i="2"/>
  <c r="U922" i="2" s="1"/>
  <c r="P914" i="2"/>
  <c r="U914" i="2" s="1"/>
  <c r="V903" i="2"/>
  <c r="P898" i="2"/>
  <c r="U898" i="2" s="1"/>
  <c r="V895" i="2"/>
  <c r="V887" i="2"/>
  <c r="P881" i="2"/>
  <c r="U881" i="2" s="1"/>
  <c r="V874" i="2"/>
  <c r="V861" i="2"/>
  <c r="P859" i="2"/>
  <c r="U859" i="2" s="1"/>
  <c r="V852" i="2"/>
  <c r="V844" i="2"/>
  <c r="P842" i="2"/>
  <c r="U842" i="2" s="1"/>
  <c r="P838" i="2"/>
  <c r="U838" i="2" s="1"/>
  <c r="V831" i="2"/>
  <c r="P829" i="2"/>
  <c r="U829" i="2" s="1"/>
  <c r="V827" i="2"/>
  <c r="P821" i="2"/>
  <c r="U821" i="2" s="1"/>
  <c r="V818" i="2"/>
  <c r="V888" i="2"/>
  <c r="P826" i="2"/>
  <c r="U826" i="2" s="1"/>
  <c r="P988" i="2"/>
  <c r="U988" i="2" s="1"/>
  <c r="V985" i="2"/>
  <c r="V981" i="2"/>
  <c r="V977" i="2"/>
  <c r="P971" i="2"/>
  <c r="U971" i="2" s="1"/>
  <c r="V969" i="2"/>
  <c r="P967" i="2"/>
  <c r="U967" i="2" s="1"/>
  <c r="V961" i="2"/>
  <c r="P959" i="2"/>
  <c r="U959" i="2" s="1"/>
  <c r="V957" i="2"/>
  <c r="Y957" i="2" s="1"/>
  <c r="AC957" i="2" s="1"/>
  <c r="P955" i="2"/>
  <c r="U955" i="2" s="1"/>
  <c r="P951" i="2"/>
  <c r="U951" i="2" s="1"/>
  <c r="P943" i="2"/>
  <c r="U943" i="2" s="1"/>
  <c r="V937" i="2"/>
  <c r="V920" i="2"/>
  <c r="P919" i="2"/>
  <c r="U919" i="2" s="1"/>
  <c r="V912" i="2"/>
  <c r="P910" i="2"/>
  <c r="U910" i="2" s="1"/>
  <c r="V907" i="2"/>
  <c r="V896" i="2"/>
  <c r="P894" i="2"/>
  <c r="U894" i="2" s="1"/>
  <c r="P890" i="2"/>
  <c r="U890" i="2" s="1"/>
  <c r="V879" i="2"/>
  <c r="P872" i="2"/>
  <c r="U872" i="2" s="1"/>
  <c r="P868" i="2"/>
  <c r="U868" i="2" s="1"/>
  <c r="V865" i="2"/>
  <c r="V857" i="2"/>
  <c r="P855" i="2"/>
  <c r="U855" i="2" s="1"/>
  <c r="P851" i="2"/>
  <c r="U851" i="2" s="1"/>
  <c r="V836" i="2"/>
  <c r="P834" i="2"/>
  <c r="U834" i="2" s="1"/>
  <c r="V823" i="2"/>
  <c r="P817" i="2"/>
  <c r="U817" i="2" s="1"/>
  <c r="V815" i="2"/>
  <c r="V810" i="2"/>
  <c r="P804" i="2"/>
  <c r="U804" i="2" s="1"/>
  <c r="V802" i="2"/>
  <c r="V999" i="2"/>
  <c r="V973" i="2"/>
  <c r="V949" i="2"/>
  <c r="V929" i="2"/>
  <c r="V917" i="2"/>
  <c r="V883" i="2"/>
  <c r="P873" i="2"/>
  <c r="U873" i="2" s="1"/>
  <c r="Z994" i="2"/>
  <c r="Z982" i="2"/>
  <c r="Z970" i="2"/>
  <c r="Z975" i="2"/>
  <c r="Z989" i="2"/>
  <c r="Z977" i="2"/>
  <c r="Z996" i="2"/>
  <c r="Z984" i="2"/>
  <c r="Z972" i="2"/>
  <c r="Z991" i="2"/>
  <c r="Z979" i="2"/>
  <c r="Z971" i="2"/>
  <c r="Z998" i="2"/>
  <c r="Z986" i="2"/>
  <c r="Z974" i="2"/>
  <c r="Z983" i="2"/>
  <c r="Z993" i="2"/>
  <c r="Z981" i="2"/>
  <c r="Z1000" i="2"/>
  <c r="Z988" i="2"/>
  <c r="Z976" i="2"/>
  <c r="Z995" i="2"/>
  <c r="Z990" i="2"/>
  <c r="Z978" i="2"/>
  <c r="Z997" i="2"/>
  <c r="Z985" i="2"/>
  <c r="Z973" i="2"/>
  <c r="Z999" i="2"/>
  <c r="Z992" i="2"/>
  <c r="Z980" i="2"/>
  <c r="Z987" i="2"/>
  <c r="AK977" i="2"/>
  <c r="AK978" i="2"/>
  <c r="AK975" i="2"/>
  <c r="AK991" i="2"/>
  <c r="AK985" i="2"/>
  <c r="AK989" i="2"/>
  <c r="AK983" i="2"/>
  <c r="AK995" i="2"/>
  <c r="AK997" i="2"/>
  <c r="AK988" i="2"/>
  <c r="AK994" i="2"/>
  <c r="AK992" i="2"/>
  <c r="AK980" i="2"/>
  <c r="AK974" i="2"/>
  <c r="AK984" i="2"/>
  <c r="AK979" i="2"/>
  <c r="AK993" i="2"/>
  <c r="AK987" i="2"/>
  <c r="AK982" i="2"/>
  <c r="AK981" i="2"/>
  <c r="AK990" i="2"/>
  <c r="AK972" i="2"/>
  <c r="AK971" i="2"/>
  <c r="AK996" i="2"/>
  <c r="AK973" i="2"/>
  <c r="AK976" i="2"/>
  <c r="AK970" i="2"/>
  <c r="AK986" i="2"/>
  <c r="AK998" i="2"/>
  <c r="AK1000" i="2"/>
  <c r="AK999" i="2"/>
  <c r="Z963" i="2"/>
  <c r="Z951" i="2"/>
  <c r="Z939" i="2"/>
  <c r="Z944" i="2"/>
  <c r="Z958" i="2"/>
  <c r="Z946" i="2"/>
  <c r="Z965" i="2"/>
  <c r="Z953" i="2"/>
  <c r="Z941" i="2"/>
  <c r="Z960" i="2"/>
  <c r="Z948" i="2"/>
  <c r="Z967" i="2"/>
  <c r="Z955" i="2"/>
  <c r="Z943" i="2"/>
  <c r="Z962" i="2"/>
  <c r="Z950" i="2"/>
  <c r="Z969" i="2"/>
  <c r="Z957" i="2"/>
  <c r="Z945" i="2"/>
  <c r="Z968" i="2"/>
  <c r="Z964" i="2"/>
  <c r="Z952" i="2"/>
  <c r="Z940" i="2"/>
  <c r="Z959" i="2"/>
  <c r="Z947" i="2"/>
  <c r="Z966" i="2"/>
  <c r="Z954" i="2"/>
  <c r="Z942" i="2"/>
  <c r="Z961" i="2"/>
  <c r="Z949" i="2"/>
  <c r="Z956" i="2"/>
  <c r="AK959" i="2"/>
  <c r="AK947" i="2"/>
  <c r="AK950" i="2"/>
  <c r="AK957" i="2"/>
  <c r="AK939" i="2"/>
  <c r="AK958" i="2"/>
  <c r="AK969" i="2"/>
  <c r="AK942" i="2"/>
  <c r="AK941" i="2"/>
  <c r="AK944" i="2"/>
  <c r="AK943" i="2"/>
  <c r="AK953" i="2"/>
  <c r="AK960" i="2"/>
  <c r="AK946" i="2"/>
  <c r="AK968" i="2"/>
  <c r="AK962" i="2"/>
  <c r="AK964" i="2"/>
  <c r="AK940" i="2"/>
  <c r="AK956" i="2"/>
  <c r="AK945" i="2"/>
  <c r="AK963" i="2"/>
  <c r="AK961" i="2"/>
  <c r="AK967" i="2"/>
  <c r="AK948" i="2"/>
  <c r="AK951" i="2"/>
  <c r="AK954" i="2"/>
  <c r="AK949" i="2"/>
  <c r="AK955" i="2"/>
  <c r="AK965" i="2"/>
  <c r="AK966" i="2"/>
  <c r="AK952" i="2"/>
  <c r="Z932" i="2"/>
  <c r="Z920" i="2"/>
  <c r="Z927" i="2"/>
  <c r="Z934" i="2"/>
  <c r="Z922" i="2"/>
  <c r="Z929" i="2"/>
  <c r="Z936" i="2"/>
  <c r="Z924" i="2"/>
  <c r="Z931" i="2"/>
  <c r="Z919" i="2"/>
  <c r="Z938" i="2"/>
  <c r="Z926" i="2"/>
  <c r="Z933" i="2"/>
  <c r="Z921" i="2"/>
  <c r="Z928" i="2"/>
  <c r="Z935" i="2"/>
  <c r="Z923" i="2"/>
  <c r="Z937" i="2"/>
  <c r="Z930" i="2"/>
  <c r="Z925" i="2"/>
  <c r="AK931" i="2"/>
  <c r="AK929" i="2"/>
  <c r="AK923" i="2"/>
  <c r="AK922" i="2"/>
  <c r="AK937" i="2"/>
  <c r="AK926" i="2"/>
  <c r="AK920" i="2"/>
  <c r="AK919" i="2"/>
  <c r="AK924" i="2"/>
  <c r="AK932" i="2"/>
  <c r="AK935" i="2"/>
  <c r="AK928" i="2"/>
  <c r="AK934" i="2"/>
  <c r="AK930" i="2"/>
  <c r="AK925" i="2"/>
  <c r="AK933" i="2"/>
  <c r="AK936" i="2"/>
  <c r="AK921" i="2"/>
  <c r="AK927" i="2"/>
  <c r="AK938" i="2"/>
  <c r="Z912" i="2"/>
  <c r="Z900" i="2"/>
  <c r="Z907" i="2"/>
  <c r="Z914" i="2"/>
  <c r="Z902" i="2"/>
  <c r="Z909" i="2"/>
  <c r="Z916" i="2"/>
  <c r="Z904" i="2"/>
  <c r="Z911" i="2"/>
  <c r="Z918" i="2"/>
  <c r="Z906" i="2"/>
  <c r="Z913" i="2"/>
  <c r="Z901" i="2"/>
  <c r="Z908" i="2"/>
  <c r="Z910" i="2"/>
  <c r="Z915" i="2"/>
  <c r="Z903" i="2"/>
  <c r="Z917" i="2"/>
  <c r="Z905" i="2"/>
  <c r="AK907" i="2"/>
  <c r="AK905" i="2"/>
  <c r="AK912" i="2"/>
  <c r="AK909" i="2"/>
  <c r="AK918" i="2"/>
  <c r="AK908" i="2"/>
  <c r="AK910" i="2"/>
  <c r="AK904" i="2"/>
  <c r="AK916" i="2"/>
  <c r="AK902" i="2"/>
  <c r="AK900" i="2"/>
  <c r="AK906" i="2"/>
  <c r="AK913" i="2"/>
  <c r="AK911" i="2"/>
  <c r="AK915" i="2"/>
  <c r="AK917" i="2"/>
  <c r="AK903" i="2"/>
  <c r="AK914" i="2"/>
  <c r="AK901" i="2"/>
  <c r="Z899" i="2"/>
  <c r="AK899" i="2"/>
  <c r="Z892" i="2"/>
  <c r="Z880" i="2"/>
  <c r="Z868" i="2"/>
  <c r="Z856" i="2"/>
  <c r="Z844" i="2"/>
  <c r="Z832" i="2"/>
  <c r="Z831" i="2"/>
  <c r="Z887" i="2"/>
  <c r="Z875" i="2"/>
  <c r="Z863" i="2"/>
  <c r="Z851" i="2"/>
  <c r="Z839" i="2"/>
  <c r="Z827" i="2"/>
  <c r="Z849" i="2"/>
  <c r="Z894" i="2"/>
  <c r="Z882" i="2"/>
  <c r="Z870" i="2"/>
  <c r="Z858" i="2"/>
  <c r="Z846" i="2"/>
  <c r="Z834" i="2"/>
  <c r="Z829" i="2"/>
  <c r="Z889" i="2"/>
  <c r="Z877" i="2"/>
  <c r="Z865" i="2"/>
  <c r="Z853" i="2"/>
  <c r="Z841" i="2"/>
  <c r="Z873" i="2"/>
  <c r="Z896" i="2"/>
  <c r="Z884" i="2"/>
  <c r="Z872" i="2"/>
  <c r="Z860" i="2"/>
  <c r="Z848" i="2"/>
  <c r="Z836" i="2"/>
  <c r="Z824" i="2"/>
  <c r="Z843" i="2"/>
  <c r="Z861" i="2"/>
  <c r="Z837" i="2"/>
  <c r="Z891" i="2"/>
  <c r="Z879" i="2"/>
  <c r="Z867" i="2"/>
  <c r="Z855" i="2"/>
  <c r="Z898" i="2"/>
  <c r="Z886" i="2"/>
  <c r="Z874" i="2"/>
  <c r="Z862" i="2"/>
  <c r="Z850" i="2"/>
  <c r="Z838" i="2"/>
  <c r="Z826" i="2"/>
  <c r="Z893" i="2"/>
  <c r="Z881" i="2"/>
  <c r="Z869" i="2"/>
  <c r="Z857" i="2"/>
  <c r="Z845" i="2"/>
  <c r="Z833" i="2"/>
  <c r="Z888" i="2"/>
  <c r="Z876" i="2"/>
  <c r="Z864" i="2"/>
  <c r="Z852" i="2"/>
  <c r="Z840" i="2"/>
  <c r="Z828" i="2"/>
  <c r="Z895" i="2"/>
  <c r="Z883" i="2"/>
  <c r="Z871" i="2"/>
  <c r="Z859" i="2"/>
  <c r="Z847" i="2"/>
  <c r="Z835" i="2"/>
  <c r="Z823" i="2"/>
  <c r="Z890" i="2"/>
  <c r="Z878" i="2"/>
  <c r="Z866" i="2"/>
  <c r="Z854" i="2"/>
  <c r="Z842" i="2"/>
  <c r="Z830" i="2"/>
  <c r="Z897" i="2"/>
  <c r="Z885" i="2"/>
  <c r="Z825" i="2"/>
  <c r="AK875" i="2"/>
  <c r="AK843" i="2"/>
  <c r="AK856" i="2"/>
  <c r="AK890" i="2"/>
  <c r="AK867" i="2"/>
  <c r="AK879" i="2"/>
  <c r="AK861" i="2"/>
  <c r="AK852" i="2"/>
  <c r="AK864" i="2"/>
  <c r="AK860" i="2"/>
  <c r="AK849" i="2"/>
  <c r="AK888" i="2"/>
  <c r="AK866" i="2"/>
  <c r="AK887" i="2"/>
  <c r="AK878" i="2"/>
  <c r="AK873" i="2"/>
  <c r="AK871" i="2"/>
  <c r="AK892" i="2"/>
  <c r="AK883" i="2"/>
  <c r="AK891" i="2"/>
  <c r="AK886" i="2"/>
  <c r="AK825" i="2"/>
  <c r="AK862" i="2"/>
  <c r="AK896" i="2"/>
  <c r="AK827" i="2"/>
  <c r="AK826" i="2"/>
  <c r="AK885" i="2"/>
  <c r="AK829" i="2"/>
  <c r="AK842" i="2"/>
  <c r="AK823" i="2"/>
  <c r="AK828" i="2"/>
  <c r="AK869" i="2"/>
  <c r="AK834" i="2"/>
  <c r="AK889" i="2"/>
  <c r="AK850" i="2"/>
  <c r="AK853" i="2"/>
  <c r="AK874" i="2"/>
  <c r="AK848" i="2"/>
  <c r="AK851" i="2"/>
  <c r="AK840" i="2"/>
  <c r="AK836" i="2"/>
  <c r="AK877" i="2"/>
  <c r="AK868" i="2"/>
  <c r="AK846" i="2"/>
  <c r="AK845" i="2"/>
  <c r="AK884" i="2"/>
  <c r="AK882" i="2"/>
  <c r="AK865" i="2"/>
  <c r="AK824" i="2"/>
  <c r="AK844" i="2"/>
  <c r="AK847" i="2"/>
  <c r="AK855" i="2"/>
  <c r="AK870" i="2"/>
  <c r="AK833" i="2"/>
  <c r="AK895" i="2"/>
  <c r="AK839" i="2"/>
  <c r="AK830" i="2"/>
  <c r="AK894" i="2"/>
  <c r="AK838" i="2"/>
  <c r="AK898" i="2"/>
  <c r="AK897" i="2"/>
  <c r="AK835" i="2"/>
  <c r="AK841" i="2"/>
  <c r="AK837" i="2"/>
  <c r="AK831" i="2"/>
  <c r="AK832" i="2"/>
  <c r="AK859" i="2"/>
  <c r="AK893" i="2"/>
  <c r="AK854" i="2"/>
  <c r="AK880" i="2"/>
  <c r="AK863" i="2"/>
  <c r="AK857" i="2"/>
  <c r="AK872" i="2"/>
  <c r="AK858" i="2"/>
  <c r="AK881" i="2"/>
  <c r="AK876" i="2"/>
  <c r="Z816" i="2"/>
  <c r="Z811" i="2"/>
  <c r="Z818" i="2"/>
  <c r="Z813" i="2"/>
  <c r="Z820" i="2"/>
  <c r="Z808" i="2"/>
  <c r="Z815" i="2"/>
  <c r="Z822" i="2"/>
  <c r="Z810" i="2"/>
  <c r="Z817" i="2"/>
  <c r="Z809" i="2"/>
  <c r="Z812" i="2"/>
  <c r="Z819" i="2"/>
  <c r="Z814" i="2"/>
  <c r="Z821" i="2"/>
  <c r="AK813" i="2"/>
  <c r="AK810" i="2"/>
  <c r="AK818" i="2"/>
  <c r="AK822" i="2"/>
  <c r="AK819" i="2"/>
  <c r="AK808" i="2"/>
  <c r="AK815" i="2"/>
  <c r="AK811" i="2"/>
  <c r="AK817" i="2"/>
  <c r="AK816" i="2"/>
  <c r="AK814" i="2"/>
  <c r="AK809" i="2"/>
  <c r="AK812" i="2"/>
  <c r="AK820" i="2"/>
  <c r="AK821" i="2"/>
  <c r="Z803" i="2"/>
  <c r="Z805" i="2"/>
  <c r="Z800" i="2"/>
  <c r="Z807" i="2"/>
  <c r="Z802" i="2"/>
  <c r="Z804" i="2"/>
  <c r="Z806" i="2"/>
  <c r="Z801" i="2"/>
  <c r="AK800" i="2"/>
  <c r="AK803" i="2"/>
  <c r="AK807" i="2"/>
  <c r="AK806" i="2"/>
  <c r="AK802" i="2"/>
  <c r="AK805" i="2"/>
  <c r="AK801" i="2"/>
  <c r="AK804" i="2"/>
  <c r="Z797" i="2"/>
  <c r="Z799" i="2"/>
  <c r="Z798" i="2"/>
  <c r="AK798" i="2"/>
  <c r="AK797" i="2"/>
  <c r="AK799" i="2"/>
  <c r="Z796" i="2"/>
  <c r="AK796" i="2"/>
  <c r="Z795" i="2"/>
  <c r="AK795" i="2"/>
  <c r="R734" i="2"/>
  <c r="S734" i="2"/>
  <c r="T734" i="2" s="1"/>
  <c r="AK734" i="2" s="1"/>
  <c r="P791" i="2"/>
  <c r="U791" i="2" s="1"/>
  <c r="P779" i="2"/>
  <c r="U779" i="2" s="1"/>
  <c r="S111" i="2"/>
  <c r="S534" i="2"/>
  <c r="T534" i="2" s="1"/>
  <c r="AK534" i="2" s="1"/>
  <c r="S540" i="2"/>
  <c r="T540" i="2" s="1"/>
  <c r="AK540" i="2" s="1"/>
  <c r="S615" i="2"/>
  <c r="T615" i="2" s="1"/>
  <c r="Z615" i="2" s="1"/>
  <c r="R615" i="2"/>
  <c r="R659" i="2"/>
  <c r="R660" i="2"/>
  <c r="R674" i="2"/>
  <c r="R669" i="2"/>
  <c r="S660" i="2"/>
  <c r="T660" i="2" s="1"/>
  <c r="Z660" i="2" s="1"/>
  <c r="S659" i="2"/>
  <c r="T659" i="2" s="1"/>
  <c r="Z659" i="2" s="1"/>
  <c r="S674" i="2"/>
  <c r="T674" i="2" s="1"/>
  <c r="Z674" i="2" s="1"/>
  <c r="S669" i="2"/>
  <c r="T669" i="2" s="1"/>
  <c r="Z669" i="2" s="1"/>
  <c r="P792" i="2"/>
  <c r="U792" i="2" s="1"/>
  <c r="P788" i="2"/>
  <c r="U788" i="2" s="1"/>
  <c r="P793" i="2"/>
  <c r="U793" i="2" s="1"/>
  <c r="P794" i="2"/>
  <c r="U794" i="2" s="1"/>
  <c r="P790" i="2"/>
  <c r="U790" i="2" s="1"/>
  <c r="P789" i="2"/>
  <c r="U789" i="2" s="1"/>
  <c r="V791" i="2"/>
  <c r="P787" i="2"/>
  <c r="U787" i="2" s="1"/>
  <c r="V794" i="2"/>
  <c r="V792" i="2"/>
  <c r="V793" i="2"/>
  <c r="Z791" i="2"/>
  <c r="Z792" i="2"/>
  <c r="Z793" i="2"/>
  <c r="Z794" i="2"/>
  <c r="AK791" i="2"/>
  <c r="AK794" i="2"/>
  <c r="AK793" i="2"/>
  <c r="AK792" i="2"/>
  <c r="S758" i="2"/>
  <c r="T758" i="2" s="1"/>
  <c r="AK758" i="2" s="1"/>
  <c r="R758" i="2"/>
  <c r="R678" i="2"/>
  <c r="S678" i="2"/>
  <c r="T678" i="2" s="1"/>
  <c r="Z678" i="2" s="1"/>
  <c r="R703" i="2"/>
  <c r="S703" i="2"/>
  <c r="T703" i="2" s="1"/>
  <c r="Z703" i="2" s="1"/>
  <c r="S628" i="2"/>
  <c r="T628" i="2" s="1"/>
  <c r="AK628" i="2" s="1"/>
  <c r="R628" i="2"/>
  <c r="P758" i="2"/>
  <c r="U758" i="2" s="1"/>
  <c r="V761" i="2"/>
  <c r="V773" i="2"/>
  <c r="V785" i="2"/>
  <c r="V771" i="2"/>
  <c r="V762" i="2"/>
  <c r="V774" i="2"/>
  <c r="V758" i="2"/>
  <c r="V784" i="2"/>
  <c r="V763" i="2"/>
  <c r="V775" i="2"/>
  <c r="V764" i="2"/>
  <c r="V776" i="2"/>
  <c r="V786" i="2"/>
  <c r="V770" i="2"/>
  <c r="V782" i="2"/>
  <c r="V772" i="2"/>
  <c r="V765" i="2"/>
  <c r="V777" i="2"/>
  <c r="V787" i="2"/>
  <c r="V766" i="2"/>
  <c r="V778" i="2"/>
  <c r="V788" i="2"/>
  <c r="V767" i="2"/>
  <c r="V779" i="2"/>
  <c r="V789" i="2"/>
  <c r="V768" i="2"/>
  <c r="V780" i="2"/>
  <c r="V790" i="2"/>
  <c r="V769" i="2"/>
  <c r="V781" i="2"/>
  <c r="V783" i="2"/>
  <c r="V759" i="2"/>
  <c r="V760" i="2"/>
  <c r="AK770" i="2"/>
  <c r="AK782" i="2"/>
  <c r="AK759" i="2"/>
  <c r="AK771" i="2"/>
  <c r="AK783" i="2"/>
  <c r="AK760" i="2"/>
  <c r="AK772" i="2"/>
  <c r="AK784" i="2"/>
  <c r="AK761" i="2"/>
  <c r="AK773" i="2"/>
  <c r="AK785" i="2"/>
  <c r="AK762" i="2"/>
  <c r="AK774" i="2"/>
  <c r="AK763" i="2"/>
  <c r="AK775" i="2"/>
  <c r="AK764" i="2"/>
  <c r="AK776" i="2"/>
  <c r="AK786" i="2"/>
  <c r="AK765" i="2"/>
  <c r="AK777" i="2"/>
  <c r="AK787" i="2"/>
  <c r="AK766" i="2"/>
  <c r="AK778" i="2"/>
  <c r="AK788" i="2"/>
  <c r="AK767" i="2"/>
  <c r="AK779" i="2"/>
  <c r="AK789" i="2"/>
  <c r="AK781" i="2"/>
  <c r="AK768" i="2"/>
  <c r="AK780" i="2"/>
  <c r="AK790" i="2"/>
  <c r="AK769" i="2"/>
  <c r="Z770" i="2"/>
  <c r="Z782" i="2"/>
  <c r="Z759" i="2"/>
  <c r="Z771" i="2"/>
  <c r="Z783" i="2"/>
  <c r="Z760" i="2"/>
  <c r="Z772" i="2"/>
  <c r="Z784" i="2"/>
  <c r="Z761" i="2"/>
  <c r="Z773" i="2"/>
  <c r="Z785" i="2"/>
  <c r="Z762" i="2"/>
  <c r="Z774" i="2"/>
  <c r="Z763" i="2"/>
  <c r="Z775" i="2"/>
  <c r="Z764" i="2"/>
  <c r="Z776" i="2"/>
  <c r="Z786" i="2"/>
  <c r="Z765" i="2"/>
  <c r="Z777" i="2"/>
  <c r="Z787" i="2"/>
  <c r="Z766" i="2"/>
  <c r="Z778" i="2"/>
  <c r="Z788" i="2"/>
  <c r="Z767" i="2"/>
  <c r="Z779" i="2"/>
  <c r="Z789" i="2"/>
  <c r="Z781" i="2"/>
  <c r="Z768" i="2"/>
  <c r="Z780" i="2"/>
  <c r="Z790" i="2"/>
  <c r="Z769" i="2"/>
  <c r="P770" i="2"/>
  <c r="U770" i="2" s="1"/>
  <c r="P782" i="2"/>
  <c r="U782" i="2" s="1"/>
  <c r="P759" i="2"/>
  <c r="U759" i="2" s="1"/>
  <c r="P771" i="2"/>
  <c r="U771" i="2" s="1"/>
  <c r="P783" i="2"/>
  <c r="U783" i="2" s="1"/>
  <c r="P760" i="2"/>
  <c r="U760" i="2" s="1"/>
  <c r="P772" i="2"/>
  <c r="U772" i="2" s="1"/>
  <c r="P784" i="2"/>
  <c r="U784" i="2" s="1"/>
  <c r="P761" i="2"/>
  <c r="U761" i="2" s="1"/>
  <c r="P773" i="2"/>
  <c r="U773" i="2" s="1"/>
  <c r="P785" i="2"/>
  <c r="U785" i="2" s="1"/>
  <c r="P762" i="2"/>
  <c r="U762" i="2" s="1"/>
  <c r="P774" i="2"/>
  <c r="U774" i="2" s="1"/>
  <c r="P763" i="2"/>
  <c r="U763" i="2" s="1"/>
  <c r="P775" i="2"/>
  <c r="U775" i="2" s="1"/>
  <c r="P764" i="2"/>
  <c r="U764" i="2" s="1"/>
  <c r="P776" i="2"/>
  <c r="U776" i="2" s="1"/>
  <c r="P786" i="2"/>
  <c r="U786" i="2" s="1"/>
  <c r="P765" i="2"/>
  <c r="U765" i="2" s="1"/>
  <c r="P777" i="2"/>
  <c r="U777" i="2" s="1"/>
  <c r="P766" i="2"/>
  <c r="U766" i="2" s="1"/>
  <c r="P778" i="2"/>
  <c r="U778" i="2" s="1"/>
  <c r="P767" i="2"/>
  <c r="U767" i="2" s="1"/>
  <c r="P781" i="2"/>
  <c r="U781" i="2" s="1"/>
  <c r="P768" i="2"/>
  <c r="U768" i="2" s="1"/>
  <c r="P780" i="2"/>
  <c r="U780" i="2" s="1"/>
  <c r="P769" i="2"/>
  <c r="U769" i="2" s="1"/>
  <c r="P757" i="2"/>
  <c r="U757" i="2" s="1"/>
  <c r="P661" i="2"/>
  <c r="U661" i="2" s="1"/>
  <c r="V757" i="2"/>
  <c r="Z757" i="2"/>
  <c r="AB757" i="2" s="1"/>
  <c r="AK757" i="2"/>
  <c r="R623" i="2"/>
  <c r="R681" i="2"/>
  <c r="S681" i="2"/>
  <c r="T681" i="2" s="1"/>
  <c r="Z681" i="2" s="1"/>
  <c r="S623" i="2"/>
  <c r="T623" i="2" s="1"/>
  <c r="AK623" i="2" s="1"/>
  <c r="P756" i="2"/>
  <c r="U756" i="2" s="1"/>
  <c r="R661" i="2"/>
  <c r="R671" i="2"/>
  <c r="S671" i="2"/>
  <c r="T671" i="2" s="1"/>
  <c r="Z671" i="2" s="1"/>
  <c r="S661" i="2"/>
  <c r="T661" i="2" s="1"/>
  <c r="Z661" i="2" s="1"/>
  <c r="S649" i="2"/>
  <c r="T649" i="2" s="1"/>
  <c r="AK649" i="2" s="1"/>
  <c r="R649" i="2"/>
  <c r="R692" i="2"/>
  <c r="S692" i="2"/>
  <c r="T692" i="2" s="1"/>
  <c r="AK692" i="2" s="1"/>
  <c r="R653" i="2"/>
  <c r="R657" i="2"/>
  <c r="S653" i="2"/>
  <c r="T653" i="2" s="1"/>
  <c r="AK653" i="2" s="1"/>
  <c r="S657" i="2"/>
  <c r="T657" i="2" s="1"/>
  <c r="Z657" i="2" s="1"/>
  <c r="R690" i="2"/>
  <c r="S690" i="2"/>
  <c r="T690" i="2" s="1"/>
  <c r="AK690" i="2" s="1"/>
  <c r="S652" i="2"/>
  <c r="T652" i="2" s="1"/>
  <c r="Z652" i="2" s="1"/>
  <c r="R652" i="2"/>
  <c r="S642" i="2"/>
  <c r="T642" i="2" s="1"/>
  <c r="AK642" i="2" s="1"/>
  <c r="R642" i="2"/>
  <c r="R654" i="2"/>
  <c r="S654" i="2"/>
  <c r="T654" i="2" s="1"/>
  <c r="Z654" i="2" s="1"/>
  <c r="R648" i="2"/>
  <c r="R645" i="2"/>
  <c r="R656" i="2"/>
  <c r="S648" i="2"/>
  <c r="T648" i="2" s="1"/>
  <c r="AK648" i="2" s="1"/>
  <c r="S645" i="2"/>
  <c r="T645" i="2" s="1"/>
  <c r="AK645" i="2" s="1"/>
  <c r="S656" i="2"/>
  <c r="T656" i="2" s="1"/>
  <c r="Z656" i="2" s="1"/>
  <c r="S651" i="2"/>
  <c r="T651" i="2" s="1"/>
  <c r="AK651" i="2" s="1"/>
  <c r="R651" i="2"/>
  <c r="R650" i="2"/>
  <c r="R655" i="2"/>
  <c r="R707" i="2"/>
  <c r="R710" i="2"/>
  <c r="R667" i="2"/>
  <c r="R712" i="2"/>
  <c r="S664" i="2"/>
  <c r="T664" i="2" s="1"/>
  <c r="Z664" i="2" s="1"/>
  <c r="P731" i="2"/>
  <c r="U731" i="2" s="1"/>
  <c r="P738" i="2"/>
  <c r="U738" i="2" s="1"/>
  <c r="P733" i="2"/>
  <c r="U733" i="2" s="1"/>
  <c r="P737" i="2"/>
  <c r="U737" i="2" s="1"/>
  <c r="P746" i="2"/>
  <c r="U746" i="2" s="1"/>
  <c r="P739" i="2"/>
  <c r="U739" i="2" s="1"/>
  <c r="P742" i="2"/>
  <c r="U742" i="2" s="1"/>
  <c r="P734" i="2"/>
  <c r="U734" i="2" s="1"/>
  <c r="P745" i="2"/>
  <c r="U745" i="2" s="1"/>
  <c r="P748" i="2"/>
  <c r="U748" i="2" s="1"/>
  <c r="P729" i="2"/>
  <c r="U729" i="2" s="1"/>
  <c r="P751" i="2"/>
  <c r="U751" i="2" s="1"/>
  <c r="P735" i="2"/>
  <c r="U735" i="2" s="1"/>
  <c r="P754" i="2"/>
  <c r="U754" i="2" s="1"/>
  <c r="P753" i="2"/>
  <c r="U753" i="2" s="1"/>
  <c r="P732" i="2"/>
  <c r="U732" i="2" s="1"/>
  <c r="P752" i="2"/>
  <c r="U752" i="2" s="1"/>
  <c r="P728" i="2"/>
  <c r="U728" i="2" s="1"/>
  <c r="P741" i="2"/>
  <c r="U741" i="2" s="1"/>
  <c r="P755" i="2"/>
  <c r="U755" i="2" s="1"/>
  <c r="P727" i="2"/>
  <c r="U727" i="2" s="1"/>
  <c r="P736" i="2"/>
  <c r="U736" i="2" s="1"/>
  <c r="P744" i="2"/>
  <c r="U744" i="2" s="1"/>
  <c r="P730" i="2"/>
  <c r="U730" i="2" s="1"/>
  <c r="P747" i="2"/>
  <c r="U747" i="2" s="1"/>
  <c r="P740" i="2"/>
  <c r="U740" i="2" s="1"/>
  <c r="P750" i="2"/>
  <c r="U750" i="2" s="1"/>
  <c r="P743" i="2"/>
  <c r="U743" i="2" s="1"/>
  <c r="P749" i="2"/>
  <c r="U749" i="2" s="1"/>
  <c r="P715" i="2"/>
  <c r="U715" i="2" s="1"/>
  <c r="P688" i="2"/>
  <c r="U688" i="2" s="1"/>
  <c r="P724" i="2"/>
  <c r="U724" i="2" s="1"/>
  <c r="P696" i="2"/>
  <c r="U696" i="2" s="1"/>
  <c r="P686" i="2"/>
  <c r="U686" i="2" s="1"/>
  <c r="P716" i="2"/>
  <c r="U716" i="2" s="1"/>
  <c r="P682" i="2"/>
  <c r="U682" i="2" s="1"/>
  <c r="S707" i="2"/>
  <c r="T707" i="2" s="1"/>
  <c r="Z707" i="2" s="1"/>
  <c r="P690" i="2"/>
  <c r="U690" i="2" s="1"/>
  <c r="P680" i="2"/>
  <c r="U680" i="2" s="1"/>
  <c r="P723" i="2"/>
  <c r="U723" i="2" s="1"/>
  <c r="P718" i="2"/>
  <c r="U718" i="2" s="1"/>
  <c r="P707" i="2"/>
  <c r="U707" i="2" s="1"/>
  <c r="P684" i="2"/>
  <c r="U684" i="2" s="1"/>
  <c r="P710" i="2"/>
  <c r="U710" i="2" s="1"/>
  <c r="P717" i="2"/>
  <c r="U717" i="2" s="1"/>
  <c r="P700" i="2"/>
  <c r="U700" i="2" s="1"/>
  <c r="P701" i="2"/>
  <c r="U701" i="2" s="1"/>
  <c r="P678" i="2"/>
  <c r="U678" i="2" s="1"/>
  <c r="P704" i="2"/>
  <c r="U704" i="2" s="1"/>
  <c r="P711" i="2"/>
  <c r="U711" i="2" s="1"/>
  <c r="P712" i="2"/>
  <c r="U712" i="2" s="1"/>
  <c r="P722" i="2"/>
  <c r="U722" i="2" s="1"/>
  <c r="P703" i="2"/>
  <c r="U703" i="2" s="1"/>
  <c r="P698" i="2"/>
  <c r="U698" i="2" s="1"/>
  <c r="P726" i="2"/>
  <c r="U726" i="2" s="1"/>
  <c r="P705" i="2"/>
  <c r="U705" i="2" s="1"/>
  <c r="P725" i="2"/>
  <c r="U725" i="2" s="1"/>
  <c r="P697" i="2"/>
  <c r="U697" i="2" s="1"/>
  <c r="P699" i="2"/>
  <c r="U699" i="2" s="1"/>
  <c r="P719" i="2"/>
  <c r="U719" i="2" s="1"/>
  <c r="P714" i="2"/>
  <c r="U714" i="2" s="1"/>
  <c r="P691" i="2"/>
  <c r="U691" i="2" s="1"/>
  <c r="P693" i="2"/>
  <c r="U693" i="2" s="1"/>
  <c r="P713" i="2"/>
  <c r="U713" i="2" s="1"/>
  <c r="P702" i="2"/>
  <c r="U702" i="2" s="1"/>
  <c r="P685" i="2"/>
  <c r="U685" i="2" s="1"/>
  <c r="P687" i="2"/>
  <c r="U687" i="2" s="1"/>
  <c r="P695" i="2"/>
  <c r="U695" i="2" s="1"/>
  <c r="P721" i="2"/>
  <c r="U721" i="2" s="1"/>
  <c r="P679" i="2"/>
  <c r="U679" i="2" s="1"/>
  <c r="P681" i="2"/>
  <c r="U681" i="2" s="1"/>
  <c r="P689" i="2"/>
  <c r="U689" i="2" s="1"/>
  <c r="P706" i="2"/>
  <c r="U706" i="2" s="1"/>
  <c r="P709" i="2"/>
  <c r="U709" i="2" s="1"/>
  <c r="S712" i="2"/>
  <c r="T712" i="2" s="1"/>
  <c r="AK712" i="2" s="1"/>
  <c r="P683" i="2"/>
  <c r="U683" i="2" s="1"/>
  <c r="P720" i="2"/>
  <c r="U720" i="2" s="1"/>
  <c r="S710" i="2"/>
  <c r="T710" i="2" s="1"/>
  <c r="Z710" i="2" s="1"/>
  <c r="P694" i="2"/>
  <c r="U694" i="2" s="1"/>
  <c r="P677" i="2"/>
  <c r="U677" i="2" s="1"/>
  <c r="P708" i="2"/>
  <c r="U708" i="2" s="1"/>
  <c r="P692" i="2"/>
  <c r="U692" i="2" s="1"/>
  <c r="P673" i="2"/>
  <c r="U673" i="2" s="1"/>
  <c r="P676" i="2"/>
  <c r="U676" i="2" s="1"/>
  <c r="P667" i="2"/>
  <c r="U667" i="2" s="1"/>
  <c r="S650" i="2"/>
  <c r="T650" i="2" s="1"/>
  <c r="AK650" i="2" s="1"/>
  <c r="P665" i="2"/>
  <c r="U665" i="2" s="1"/>
  <c r="P674" i="2"/>
  <c r="U674" i="2" s="1"/>
  <c r="P668" i="2"/>
  <c r="U668" i="2" s="1"/>
  <c r="P671" i="2"/>
  <c r="U671" i="2" s="1"/>
  <c r="S655" i="2"/>
  <c r="T655" i="2" s="1"/>
  <c r="Z655" i="2" s="1"/>
  <c r="P666" i="2"/>
  <c r="U666" i="2" s="1"/>
  <c r="S667" i="2"/>
  <c r="T667" i="2" s="1"/>
  <c r="AK667" i="2" s="1"/>
  <c r="P675" i="2"/>
  <c r="U675" i="2" s="1"/>
  <c r="P669" i="2"/>
  <c r="U669" i="2" s="1"/>
  <c r="P672" i="2"/>
  <c r="U672" i="2" s="1"/>
  <c r="P670" i="2"/>
  <c r="U670" i="2" s="1"/>
  <c r="S635" i="2"/>
  <c r="T635" i="2" s="1"/>
  <c r="AK635" i="2" s="1"/>
  <c r="R635" i="2"/>
  <c r="R591" i="2"/>
  <c r="S591" i="2"/>
  <c r="T591" i="2" s="1"/>
  <c r="AK591" i="2" s="1"/>
  <c r="J158" i="26"/>
  <c r="J204" i="26"/>
  <c r="N158" i="30"/>
  <c r="G40" i="28"/>
  <c r="G117" i="28"/>
  <c r="M128" i="28"/>
  <c r="R610" i="2"/>
  <c r="R588" i="2"/>
  <c r="S610" i="2"/>
  <c r="T610" i="2" s="1"/>
  <c r="AQ610" i="2" s="1"/>
  <c r="S588" i="2"/>
  <c r="T588" i="2" s="1"/>
  <c r="AK588" i="2" s="1"/>
  <c r="I3" i="26"/>
  <c r="H132" i="28"/>
  <c r="M132" i="28"/>
  <c r="K159" i="26"/>
  <c r="K26" i="27" s="1"/>
  <c r="L159" i="26"/>
  <c r="L26" i="27" s="1"/>
  <c r="I3" i="30"/>
  <c r="E241" i="30"/>
  <c r="AU326" i="17"/>
  <c r="M30" i="28"/>
  <c r="L167" i="26"/>
  <c r="L28" i="27" s="1"/>
  <c r="K30" i="28"/>
  <c r="L30" i="28"/>
  <c r="J158" i="30"/>
  <c r="K158" i="30" s="1"/>
  <c r="G132" i="28"/>
  <c r="K163" i="26"/>
  <c r="K27" i="27" s="1"/>
  <c r="G7" i="28"/>
  <c r="G6" i="28" s="1"/>
  <c r="G5" i="28" s="1"/>
  <c r="L163" i="26"/>
  <c r="L27" i="27" s="1"/>
  <c r="H6" i="28"/>
  <c r="H5" i="28" s="1"/>
  <c r="L133" i="28"/>
  <c r="N239" i="26"/>
  <c r="N52" i="27" s="1"/>
  <c r="H117" i="28"/>
  <c r="H75" i="28" s="1"/>
  <c r="R581" i="2"/>
  <c r="S581" i="2"/>
  <c r="T581" i="2" s="1"/>
  <c r="AK581" i="2" s="1"/>
  <c r="R638" i="2"/>
  <c r="S638" i="2"/>
  <c r="T638" i="2" s="1"/>
  <c r="AK638" i="2" s="1"/>
  <c r="R630" i="2"/>
  <c r="V740" i="2"/>
  <c r="V718" i="2"/>
  <c r="V725" i="2"/>
  <c r="V755" i="2"/>
  <c r="V743" i="2"/>
  <c r="V752" i="2"/>
  <c r="V747" i="2"/>
  <c r="V735" i="2"/>
  <c r="V732" i="2"/>
  <c r="V739" i="2"/>
  <c r="V724" i="2"/>
  <c r="V734" i="2"/>
  <c r="V729" i="2"/>
  <c r="V731" i="2"/>
  <c r="V750" i="2"/>
  <c r="V738" i="2"/>
  <c r="V716" i="2"/>
  <c r="V745" i="2"/>
  <c r="V723" i="2"/>
  <c r="V722" i="2"/>
  <c r="V749" i="2"/>
  <c r="V737" i="2"/>
  <c r="V728" i="2"/>
  <c r="V742" i="2"/>
  <c r="V720" i="2"/>
  <c r="V741" i="2"/>
  <c r="V730" i="2"/>
  <c r="V726" i="2"/>
  <c r="V744" i="2"/>
  <c r="V753" i="2"/>
  <c r="V721" i="2"/>
  <c r="V748" i="2"/>
  <c r="V736" i="2"/>
  <c r="V727" i="2"/>
  <c r="V733" i="2"/>
  <c r="V719" i="2"/>
  <c r="V717" i="2"/>
  <c r="V754" i="2"/>
  <c r="V751" i="2"/>
  <c r="V746" i="2"/>
  <c r="S630" i="2"/>
  <c r="T630" i="2" s="1"/>
  <c r="AK630" i="2" s="1"/>
  <c r="Z756" i="2"/>
  <c r="Z752" i="2"/>
  <c r="Z748" i="2"/>
  <c r="Z744" i="2"/>
  <c r="Z740" i="2"/>
  <c r="Z736" i="2"/>
  <c r="Z732" i="2"/>
  <c r="Z728" i="2"/>
  <c r="Z755" i="2"/>
  <c r="Z751" i="2"/>
  <c r="Z747" i="2"/>
  <c r="Z743" i="2"/>
  <c r="Z739" i="2"/>
  <c r="Z735" i="2"/>
  <c r="Z731" i="2"/>
  <c r="Z727" i="2"/>
  <c r="Z754" i="2"/>
  <c r="Z749" i="2"/>
  <c r="Z746" i="2"/>
  <c r="AK745" i="2"/>
  <c r="Z741" i="2"/>
  <c r="Z738" i="2"/>
  <c r="AK737" i="2"/>
  <c r="Z733" i="2"/>
  <c r="Z730" i="2"/>
  <c r="Z725" i="2"/>
  <c r="Z721" i="2"/>
  <c r="Z717" i="2"/>
  <c r="AK754" i="2"/>
  <c r="Z750" i="2"/>
  <c r="AK746" i="2"/>
  <c r="Z745" i="2"/>
  <c r="Z742" i="2"/>
  <c r="Z724" i="2"/>
  <c r="Z720" i="2"/>
  <c r="AK718" i="2"/>
  <c r="Z726" i="2"/>
  <c r="Z723" i="2"/>
  <c r="Z718" i="2"/>
  <c r="AK738" i="2"/>
  <c r="Z737" i="2"/>
  <c r="AK730" i="2"/>
  <c r="Z729" i="2"/>
  <c r="AK723" i="2"/>
  <c r="Z722" i="2"/>
  <c r="Z719" i="2"/>
  <c r="AK722" i="2"/>
  <c r="AK750" i="2"/>
  <c r="AK727" i="2"/>
  <c r="AK747" i="2"/>
  <c r="AK724" i="2"/>
  <c r="AK726" i="2"/>
  <c r="AK740" i="2"/>
  <c r="AK728" i="2"/>
  <c r="AK751" i="2"/>
  <c r="AK756" i="2"/>
  <c r="AK735" i="2"/>
  <c r="AK744" i="2"/>
  <c r="AK755" i="2"/>
  <c r="AK736" i="2"/>
  <c r="AK733" i="2"/>
  <c r="AK719" i="2"/>
  <c r="AK721" i="2"/>
  <c r="AK725" i="2"/>
  <c r="AK748" i="2"/>
  <c r="AK743" i="2"/>
  <c r="AK752" i="2"/>
  <c r="AK739" i="2"/>
  <c r="AK720" i="2"/>
  <c r="AK749" i="2"/>
  <c r="AK732" i="2"/>
  <c r="AK731" i="2"/>
  <c r="AK741" i="2"/>
  <c r="AK729" i="2"/>
  <c r="AK742" i="2"/>
  <c r="AK717" i="2"/>
  <c r="R637" i="2"/>
  <c r="R664" i="2"/>
  <c r="S637" i="2"/>
  <c r="T637" i="2" s="1"/>
  <c r="AK637" i="2" s="1"/>
  <c r="V713" i="2"/>
  <c r="V708" i="2"/>
  <c r="V702" i="2"/>
  <c r="V701" i="2"/>
  <c r="V694" i="2"/>
  <c r="V693" i="2"/>
  <c r="V715" i="2"/>
  <c r="V710" i="2"/>
  <c r="V707" i="2"/>
  <c r="V700" i="2"/>
  <c r="V699" i="2"/>
  <c r="V692" i="2"/>
  <c r="V711" i="2"/>
  <c r="V704" i="2"/>
  <c r="V703" i="2"/>
  <c r="V696" i="2"/>
  <c r="V695" i="2"/>
  <c r="V712" i="2"/>
  <c r="V709" i="2"/>
  <c r="V706" i="2"/>
  <c r="V705" i="2"/>
  <c r="V698" i="2"/>
  <c r="V697" i="2"/>
  <c r="V714" i="2"/>
  <c r="S596" i="2"/>
  <c r="T596" i="2" s="1"/>
  <c r="AK596" i="2" s="1"/>
  <c r="R596" i="2"/>
  <c r="Z713" i="2"/>
  <c r="Z709" i="2"/>
  <c r="Z708" i="2"/>
  <c r="Z715" i="2"/>
  <c r="Z711" i="2"/>
  <c r="Z714" i="2"/>
  <c r="AK711" i="2"/>
  <c r="AK713" i="2"/>
  <c r="AK709" i="2"/>
  <c r="AK708" i="2"/>
  <c r="AK714" i="2"/>
  <c r="AK715" i="2"/>
  <c r="Z705" i="2"/>
  <c r="Z701" i="2"/>
  <c r="Z704" i="2"/>
  <c r="Z700" i="2"/>
  <c r="Z706" i="2"/>
  <c r="Z702" i="2"/>
  <c r="AK701" i="2"/>
  <c r="AK705" i="2"/>
  <c r="AK704" i="2"/>
  <c r="AK700" i="2"/>
  <c r="AK706" i="2"/>
  <c r="AK702" i="2"/>
  <c r="Z697" i="2"/>
  <c r="Z693" i="2"/>
  <c r="Z699" i="2"/>
  <c r="Z695" i="2"/>
  <c r="Z698" i="2"/>
  <c r="Z694" i="2"/>
  <c r="AK695" i="2"/>
  <c r="AK699" i="2"/>
  <c r="AK698" i="2"/>
  <c r="AK694" i="2"/>
  <c r="AK697" i="2"/>
  <c r="AK693" i="2"/>
  <c r="S555" i="2"/>
  <c r="T555" i="2" s="1"/>
  <c r="AK555" i="2" s="1"/>
  <c r="R555" i="2"/>
  <c r="S587" i="2"/>
  <c r="T587" i="2" s="1"/>
  <c r="AK587" i="2" s="1"/>
  <c r="R587" i="2"/>
  <c r="S585" i="2"/>
  <c r="T585" i="2" s="1"/>
  <c r="Z585" i="2" s="1"/>
  <c r="R585" i="2"/>
  <c r="V677" i="2"/>
  <c r="V686" i="2"/>
  <c r="V691" i="2"/>
  <c r="V684" i="2"/>
  <c r="V689" i="2"/>
  <c r="V687" i="2"/>
  <c r="V676" i="2"/>
  <c r="V682" i="2"/>
  <c r="V679" i="2"/>
  <c r="V685" i="2"/>
  <c r="V683" i="2"/>
  <c r="V688" i="2"/>
  <c r="V680" i="2"/>
  <c r="V690" i="2"/>
  <c r="V678" i="2"/>
  <c r="V681" i="2"/>
  <c r="Z689" i="2"/>
  <c r="Z685" i="2"/>
  <c r="Z687" i="2"/>
  <c r="Z686" i="2"/>
  <c r="Z688" i="2"/>
  <c r="Z684" i="2"/>
  <c r="Z691" i="2"/>
  <c r="AK684" i="2"/>
  <c r="AK687" i="2"/>
  <c r="AK686" i="2"/>
  <c r="AK688" i="2"/>
  <c r="AK691" i="2"/>
  <c r="AK685" i="2"/>
  <c r="AK689" i="2"/>
  <c r="Z677" i="2"/>
  <c r="Z683" i="2"/>
  <c r="AK679" i="2"/>
  <c r="Z679" i="2"/>
  <c r="Z682" i="2"/>
  <c r="Z680" i="2"/>
  <c r="Z676" i="2"/>
  <c r="AK676" i="2"/>
  <c r="AK677" i="2"/>
  <c r="AK680" i="2"/>
  <c r="AK682" i="2"/>
  <c r="AK683" i="2"/>
  <c r="S621" i="2"/>
  <c r="T621" i="2" s="1"/>
  <c r="Z621" i="2" s="1"/>
  <c r="R621" i="2"/>
  <c r="H200" i="28"/>
  <c r="K159" i="30"/>
  <c r="K163" i="30"/>
  <c r="K167" i="30"/>
  <c r="E241" i="26"/>
  <c r="F54" i="27" s="1"/>
  <c r="N34" i="30"/>
  <c r="L159" i="30"/>
  <c r="L158" i="30" s="1"/>
  <c r="L158" i="26"/>
  <c r="L25" i="27" s="1"/>
  <c r="L141" i="28"/>
  <c r="H40" i="28"/>
  <c r="G200" i="28"/>
  <c r="G195" i="28" s="1"/>
  <c r="G194" i="28" s="1"/>
  <c r="G193" i="28" s="1"/>
  <c r="G192" i="28" s="1"/>
  <c r="G191" i="28" s="1"/>
  <c r="G190" i="28" s="1"/>
  <c r="S532" i="2"/>
  <c r="T532" i="2" s="1"/>
  <c r="AK532" i="2" s="1"/>
  <c r="S576" i="2"/>
  <c r="T576" i="2" s="1"/>
  <c r="AK576" i="2" s="1"/>
  <c r="R576" i="2"/>
  <c r="R532" i="2"/>
  <c r="S557" i="2"/>
  <c r="T557" i="2" s="1"/>
  <c r="AK557" i="2" s="1"/>
  <c r="R557" i="2"/>
  <c r="P656" i="2"/>
  <c r="U656" i="2" s="1"/>
  <c r="P647" i="2"/>
  <c r="U647" i="2" s="1"/>
  <c r="P662" i="2"/>
  <c r="U662" i="2" s="1"/>
  <c r="P658" i="2"/>
  <c r="U658" i="2" s="1"/>
  <c r="V667" i="2"/>
  <c r="V653" i="2"/>
  <c r="V663" i="2"/>
  <c r="V648" i="2"/>
  <c r="V662" i="2"/>
  <c r="V674" i="2"/>
  <c r="V651" i="2"/>
  <c r="P653" i="2"/>
  <c r="U653" i="2" s="1"/>
  <c r="P646" i="2"/>
  <c r="U646" i="2" s="1"/>
  <c r="P655" i="2"/>
  <c r="U655" i="2" s="1"/>
  <c r="P657" i="2"/>
  <c r="U657" i="2" s="1"/>
  <c r="P652" i="2"/>
  <c r="U652" i="2" s="1"/>
  <c r="P649" i="2"/>
  <c r="U649" i="2" s="1"/>
  <c r="V664" i="2"/>
  <c r="V650" i="2"/>
  <c r="V661" i="2"/>
  <c r="V675" i="2"/>
  <c r="V660" i="2"/>
  <c r="V669" i="2"/>
  <c r="V647" i="2"/>
  <c r="P651" i="2"/>
  <c r="U651" i="2" s="1"/>
  <c r="P654" i="2"/>
  <c r="U654" i="2" s="1"/>
  <c r="P648" i="2"/>
  <c r="U648" i="2" s="1"/>
  <c r="V673" i="2"/>
  <c r="V659" i="2"/>
  <c r="V646" i="2"/>
  <c r="V658" i="2"/>
  <c r="V670" i="2"/>
  <c r="V657" i="2"/>
  <c r="V668" i="2"/>
  <c r="V654" i="2"/>
  <c r="P660" i="2"/>
  <c r="U660" i="2" s="1"/>
  <c r="P650" i="2"/>
  <c r="U650" i="2" s="1"/>
  <c r="P664" i="2"/>
  <c r="U664" i="2" s="1"/>
  <c r="P663" i="2"/>
  <c r="U663" i="2" s="1"/>
  <c r="P659" i="2"/>
  <c r="U659" i="2" s="1"/>
  <c r="V672" i="2"/>
  <c r="V655" i="2"/>
  <c r="V671" i="2"/>
  <c r="V649" i="2"/>
  <c r="V666" i="2"/>
  <c r="V656" i="2"/>
  <c r="V665" i="2"/>
  <c r="V652" i="2"/>
  <c r="Z673" i="2"/>
  <c r="Z665" i="2"/>
  <c r="Z672" i="2"/>
  <c r="Z668" i="2"/>
  <c r="Z670" i="2"/>
  <c r="Z666" i="2"/>
  <c r="Z662" i="2"/>
  <c r="Z658" i="2"/>
  <c r="Z646" i="2"/>
  <c r="Z663" i="2"/>
  <c r="Z647" i="2"/>
  <c r="Z675" i="2"/>
  <c r="AK675" i="2"/>
  <c r="AK670" i="2"/>
  <c r="AK658" i="2"/>
  <c r="AK663" i="2"/>
  <c r="AK647" i="2"/>
  <c r="AK646" i="2"/>
  <c r="AK662" i="2"/>
  <c r="AK666" i="2"/>
  <c r="AK673" i="2"/>
  <c r="AK665" i="2"/>
  <c r="AK672" i="2"/>
  <c r="AK668" i="2"/>
  <c r="R603" i="2"/>
  <c r="R541" i="2"/>
  <c r="S603" i="2"/>
  <c r="T603" i="2" s="1"/>
  <c r="Z603" i="2" s="1"/>
  <c r="S541" i="2"/>
  <c r="T541" i="2" s="1"/>
  <c r="AK541" i="2" s="1"/>
  <c r="S582" i="2"/>
  <c r="T582" i="2" s="1"/>
  <c r="AK582" i="2" s="1"/>
  <c r="R575" i="2"/>
  <c r="S575" i="2"/>
  <c r="T575" i="2" s="1"/>
  <c r="AK575" i="2" s="1"/>
  <c r="R582" i="2"/>
  <c r="S599" i="2"/>
  <c r="T599" i="2" s="1"/>
  <c r="AK599" i="2" s="1"/>
  <c r="R529" i="2"/>
  <c r="R599" i="2"/>
  <c r="S529" i="2"/>
  <c r="T529" i="2" s="1"/>
  <c r="AK529" i="2" s="1"/>
  <c r="R498" i="2"/>
  <c r="S546" i="2"/>
  <c r="T546" i="2" s="1"/>
  <c r="Z546" i="2" s="1"/>
  <c r="S516" i="2"/>
  <c r="T516" i="2" s="1"/>
  <c r="AK516" i="2" s="1"/>
  <c r="S535" i="2"/>
  <c r="T535" i="2" s="1"/>
  <c r="AQ535" i="2" s="1"/>
  <c r="S543" i="2"/>
  <c r="T543" i="2" s="1"/>
  <c r="AK543" i="2" s="1"/>
  <c r="S563" i="2"/>
  <c r="T563" i="2" s="1"/>
  <c r="AK563" i="2" s="1"/>
  <c r="R546" i="2"/>
  <c r="R563" i="2"/>
  <c r="R535" i="2"/>
  <c r="R543" i="2"/>
  <c r="R516" i="2"/>
  <c r="S542" i="2"/>
  <c r="T542" i="2" s="1"/>
  <c r="AK542" i="2" s="1"/>
  <c r="R542" i="2"/>
  <c r="S507" i="2"/>
  <c r="T507" i="2" s="1"/>
  <c r="AQ507" i="2" s="1"/>
  <c r="S531" i="2"/>
  <c r="T531" i="2" s="1"/>
  <c r="AK531" i="2" s="1"/>
  <c r="S533" i="2"/>
  <c r="T533" i="2" s="1"/>
  <c r="AK533" i="2" s="1"/>
  <c r="S584" i="2"/>
  <c r="T584" i="2" s="1"/>
  <c r="AK584" i="2" s="1"/>
  <c r="R531" i="2"/>
  <c r="R584" i="2"/>
  <c r="R533" i="2"/>
  <c r="R507" i="2"/>
  <c r="R511" i="2"/>
  <c r="S511" i="2"/>
  <c r="T511" i="2" s="1"/>
  <c r="AQ511" i="2" s="1"/>
  <c r="R550" i="2"/>
  <c r="S550" i="2"/>
  <c r="T550" i="2" s="1"/>
  <c r="AK550" i="2" s="1"/>
  <c r="R494" i="2"/>
  <c r="S565" i="2"/>
  <c r="T565" i="2" s="1"/>
  <c r="AK565" i="2" s="1"/>
  <c r="R571" i="2"/>
  <c r="S571" i="2"/>
  <c r="T571" i="2" s="1"/>
  <c r="AK571" i="2" s="1"/>
  <c r="R565" i="2"/>
  <c r="R497" i="2"/>
  <c r="S526" i="2"/>
  <c r="T526" i="2" s="1"/>
  <c r="S520" i="2"/>
  <c r="T520" i="2" s="1"/>
  <c r="R520" i="2"/>
  <c r="R526" i="2"/>
  <c r="S524" i="2"/>
  <c r="T524" i="2" s="1"/>
  <c r="S506" i="2"/>
  <c r="T506" i="2" s="1"/>
  <c r="S525" i="2"/>
  <c r="T525" i="2" s="1"/>
  <c r="R506" i="2"/>
  <c r="R525" i="2"/>
  <c r="R524" i="2"/>
  <c r="F253" i="30"/>
  <c r="F253" i="32"/>
  <c r="F245" i="30"/>
  <c r="F245" i="32"/>
  <c r="F252" i="30"/>
  <c r="F252" i="32"/>
  <c r="F265" i="30"/>
  <c r="F265" i="32"/>
  <c r="S512" i="2"/>
  <c r="T512" i="2" s="1"/>
  <c r="R512" i="2"/>
  <c r="S521" i="2"/>
  <c r="T521" i="2" s="1"/>
  <c r="R521" i="2"/>
  <c r="R548" i="2"/>
  <c r="R515" i="2"/>
  <c r="R519" i="2"/>
  <c r="S548" i="2"/>
  <c r="T548" i="2" s="1"/>
  <c r="S515" i="2"/>
  <c r="T515" i="2" s="1"/>
  <c r="S519" i="2"/>
  <c r="T519" i="2" s="1"/>
  <c r="R518" i="2"/>
  <c r="R513" i="2"/>
  <c r="R514" i="2"/>
  <c r="S518" i="2"/>
  <c r="T518" i="2" s="1"/>
  <c r="S513" i="2"/>
  <c r="T513" i="2" s="1"/>
  <c r="S514" i="2"/>
  <c r="T514" i="2" s="1"/>
  <c r="S508" i="2"/>
  <c r="T508" i="2" s="1"/>
  <c r="S527" i="2"/>
  <c r="T527" i="2" s="1"/>
  <c r="R527" i="2"/>
  <c r="R503" i="2"/>
  <c r="S528" i="2"/>
  <c r="T528" i="2" s="1"/>
  <c r="S503" i="2"/>
  <c r="T503" i="2" s="1"/>
  <c r="R528" i="2"/>
  <c r="R509" i="2"/>
  <c r="R508" i="2"/>
  <c r="S509" i="2"/>
  <c r="T509" i="2" s="1"/>
  <c r="P611" i="2"/>
  <c r="U611" i="2" s="1"/>
  <c r="P615" i="2"/>
  <c r="U615" i="2" s="1"/>
  <c r="P619" i="2"/>
  <c r="U619" i="2" s="1"/>
  <c r="P623" i="2"/>
  <c r="U623" i="2" s="1"/>
  <c r="P627" i="2"/>
  <c r="U627" i="2" s="1"/>
  <c r="P631" i="2"/>
  <c r="U631" i="2" s="1"/>
  <c r="P635" i="2"/>
  <c r="U635" i="2" s="1"/>
  <c r="P639" i="2"/>
  <c r="U639" i="2" s="1"/>
  <c r="P643" i="2"/>
  <c r="U643" i="2" s="1"/>
  <c r="V622" i="2"/>
  <c r="V608" i="2"/>
  <c r="V611" i="2"/>
  <c r="P616" i="2"/>
  <c r="U616" i="2" s="1"/>
  <c r="P622" i="2"/>
  <c r="U622" i="2" s="1"/>
  <c r="V627" i="2"/>
  <c r="P632" i="2"/>
  <c r="U632" i="2" s="1"/>
  <c r="P638" i="2"/>
  <c r="U638" i="2" s="1"/>
  <c r="V643" i="2"/>
  <c r="V610" i="2"/>
  <c r="V634" i="2"/>
  <c r="V613" i="2"/>
  <c r="V621" i="2"/>
  <c r="V625" i="2"/>
  <c r="V629" i="2"/>
  <c r="V633" i="2"/>
  <c r="V637" i="2"/>
  <c r="V641" i="2"/>
  <c r="V645" i="2"/>
  <c r="P607" i="2"/>
  <c r="U607" i="2" s="1"/>
  <c r="P610" i="2"/>
  <c r="U610" i="2" s="1"/>
  <c r="V615" i="2"/>
  <c r="P620" i="2"/>
  <c r="U620" i="2" s="1"/>
  <c r="P626" i="2"/>
  <c r="U626" i="2" s="1"/>
  <c r="V631" i="2"/>
  <c r="P636" i="2"/>
  <c r="U636" i="2" s="1"/>
  <c r="P642" i="2"/>
  <c r="U642" i="2" s="1"/>
  <c r="P608" i="2"/>
  <c r="U608" i="2" s="1"/>
  <c r="V626" i="2"/>
  <c r="V612" i="2"/>
  <c r="V616" i="2"/>
  <c r="V620" i="2"/>
  <c r="V624" i="2"/>
  <c r="V628" i="2"/>
  <c r="V632" i="2"/>
  <c r="V636" i="2"/>
  <c r="V640" i="2"/>
  <c r="V644" i="2"/>
  <c r="V630" i="2"/>
  <c r="P609" i="2"/>
  <c r="U609" i="2" s="1"/>
  <c r="P612" i="2"/>
  <c r="U612" i="2" s="1"/>
  <c r="P618" i="2"/>
  <c r="U618" i="2" s="1"/>
  <c r="V623" i="2"/>
  <c r="P628" i="2"/>
  <c r="U628" i="2" s="1"/>
  <c r="P634" i="2"/>
  <c r="U634" i="2" s="1"/>
  <c r="V639" i="2"/>
  <c r="P644" i="2"/>
  <c r="U644" i="2" s="1"/>
  <c r="V614" i="2"/>
  <c r="V642" i="2"/>
  <c r="P613" i="2"/>
  <c r="U613" i="2" s="1"/>
  <c r="P617" i="2"/>
  <c r="U617" i="2" s="1"/>
  <c r="P621" i="2"/>
  <c r="U621" i="2" s="1"/>
  <c r="P625" i="2"/>
  <c r="U625" i="2" s="1"/>
  <c r="P629" i="2"/>
  <c r="U629" i="2" s="1"/>
  <c r="P633" i="2"/>
  <c r="U633" i="2" s="1"/>
  <c r="P637" i="2"/>
  <c r="U637" i="2" s="1"/>
  <c r="P641" i="2"/>
  <c r="U641" i="2" s="1"/>
  <c r="P645" i="2"/>
  <c r="U645" i="2" s="1"/>
  <c r="V638" i="2"/>
  <c r="V609" i="2"/>
  <c r="P614" i="2"/>
  <c r="U614" i="2" s="1"/>
  <c r="V619" i="2"/>
  <c r="P624" i="2"/>
  <c r="U624" i="2" s="1"/>
  <c r="P630" i="2"/>
  <c r="U630" i="2" s="1"/>
  <c r="V635" i="2"/>
  <c r="P640" i="2"/>
  <c r="U640" i="2" s="1"/>
  <c r="V607" i="2"/>
  <c r="V618" i="2"/>
  <c r="V617" i="2"/>
  <c r="Z609" i="2"/>
  <c r="Z613" i="2"/>
  <c r="Z617" i="2"/>
  <c r="Z625" i="2"/>
  <c r="Z629" i="2"/>
  <c r="Z633" i="2"/>
  <c r="Z641" i="2"/>
  <c r="Z614" i="2"/>
  <c r="Z618" i="2"/>
  <c r="Z622" i="2"/>
  <c r="Z626" i="2"/>
  <c r="Z634" i="2"/>
  <c r="Z607" i="2"/>
  <c r="Z611" i="2"/>
  <c r="Z619" i="2"/>
  <c r="Z627" i="2"/>
  <c r="Z631" i="2"/>
  <c r="Z639" i="2"/>
  <c r="Z643" i="2"/>
  <c r="Z632" i="2"/>
  <c r="Z640" i="2"/>
  <c r="AK643" i="2"/>
  <c r="AK607" i="2"/>
  <c r="Z608" i="2"/>
  <c r="AK611" i="2"/>
  <c r="Z612" i="2"/>
  <c r="Z616" i="2"/>
  <c r="AK619" i="2"/>
  <c r="Z620" i="2"/>
  <c r="Z624" i="2"/>
  <c r="AK627" i="2"/>
  <c r="AK631" i="2"/>
  <c r="Z636" i="2"/>
  <c r="AK639" i="2"/>
  <c r="Z644" i="2"/>
  <c r="AK613" i="2"/>
  <c r="AK636" i="2"/>
  <c r="AK620" i="2"/>
  <c r="AK633" i="2"/>
  <c r="AK626" i="2"/>
  <c r="AK641" i="2"/>
  <c r="AK608" i="2"/>
  <c r="AK632" i="2"/>
  <c r="AK616" i="2"/>
  <c r="AK625" i="2"/>
  <c r="AK622" i="2"/>
  <c r="AK629" i="2"/>
  <c r="AK644" i="2"/>
  <c r="AK612" i="2"/>
  <c r="AK617" i="2"/>
  <c r="AK634" i="2"/>
  <c r="AK618" i="2"/>
  <c r="AK640" i="2"/>
  <c r="AK624" i="2"/>
  <c r="AK609" i="2"/>
  <c r="AK614" i="2"/>
  <c r="S9" i="2"/>
  <c r="T9" i="2" s="1"/>
  <c r="G9" i="23" s="1"/>
  <c r="S9" i="23" s="1"/>
  <c r="S21" i="2"/>
  <c r="T21" i="2" s="1"/>
  <c r="AK21" i="2" s="1"/>
  <c r="S29" i="2"/>
  <c r="T29" i="2" s="1"/>
  <c r="G29" i="23" s="1"/>
  <c r="S45" i="2"/>
  <c r="T45" i="2" s="1"/>
  <c r="AK45" i="2" s="1"/>
  <c r="S49" i="2"/>
  <c r="T49" i="2" s="1"/>
  <c r="AK49" i="2" s="1"/>
  <c r="R49" i="23" s="1"/>
  <c r="S53" i="2"/>
  <c r="T53" i="2" s="1"/>
  <c r="AK53" i="2" s="1"/>
  <c r="S80" i="2"/>
  <c r="T80" i="2" s="1"/>
  <c r="G80" i="23" s="1"/>
  <c r="N80" i="23" s="1"/>
  <c r="S84" i="2"/>
  <c r="T84" i="2" s="1"/>
  <c r="AK84" i="2" s="1"/>
  <c r="S88" i="2"/>
  <c r="T88" i="2" s="1"/>
  <c r="AK88" i="2" s="1"/>
  <c r="S112" i="2"/>
  <c r="T112" i="2" s="1"/>
  <c r="G112" i="23" s="1"/>
  <c r="S112" i="23" s="1"/>
  <c r="S128" i="2"/>
  <c r="T128" i="2" s="1"/>
  <c r="G128" i="23" s="1"/>
  <c r="S128" i="23" s="1"/>
  <c r="S136" i="2"/>
  <c r="T136" i="2" s="1"/>
  <c r="G136" i="23" s="1"/>
  <c r="S136" i="23" s="1"/>
  <c r="S140" i="2"/>
  <c r="T140" i="2" s="1"/>
  <c r="G140" i="23" s="1"/>
  <c r="S140" i="23" s="1"/>
  <c r="S144" i="2"/>
  <c r="T144" i="2" s="1"/>
  <c r="G144" i="23" s="1"/>
  <c r="N144" i="23" s="1"/>
  <c r="S154" i="2"/>
  <c r="T154" i="2" s="1"/>
  <c r="AK154" i="2" s="1"/>
  <c r="S182" i="2"/>
  <c r="AD14" i="24" s="1"/>
  <c r="S186" i="2"/>
  <c r="T186" i="2" s="1"/>
  <c r="AQ186" i="2" s="1"/>
  <c r="S190" i="2"/>
  <c r="T190" i="2" s="1"/>
  <c r="AQ190" i="2" s="1"/>
  <c r="S194" i="2"/>
  <c r="T194" i="2" s="1"/>
  <c r="AQ194" i="2" s="1"/>
  <c r="U194" i="23" s="1"/>
  <c r="S209" i="2"/>
  <c r="T209" i="2" s="1"/>
  <c r="AK209" i="2" s="1"/>
  <c r="S214" i="2"/>
  <c r="T214" i="2" s="1"/>
  <c r="AK214" i="2" s="1"/>
  <c r="S222" i="2"/>
  <c r="AD80" i="24" s="1"/>
  <c r="S234" i="2"/>
  <c r="AD92" i="24" s="1"/>
  <c r="S243" i="2"/>
  <c r="AD16" i="24" s="1"/>
  <c r="S257" i="2"/>
  <c r="T257" i="2" s="1"/>
  <c r="S309" i="32" s="1"/>
  <c r="S261" i="2"/>
  <c r="T261" i="2" s="1"/>
  <c r="AQ261" i="2" s="1"/>
  <c r="S263" i="2"/>
  <c r="T263" i="2" s="1"/>
  <c r="S396" i="32" s="1"/>
  <c r="S269" i="2"/>
  <c r="T269" i="2" s="1"/>
  <c r="AQ269" i="2" s="1"/>
  <c r="S273" i="2"/>
  <c r="T273" i="2" s="1"/>
  <c r="G273" i="23" s="1"/>
  <c r="N273" i="23" s="1"/>
  <c r="S275" i="2"/>
  <c r="T275" i="2" s="1"/>
  <c r="Z275" i="2" s="1"/>
  <c r="S279" i="2"/>
  <c r="AV18" i="24" s="1"/>
  <c r="S281" i="2"/>
  <c r="AV21" i="24" s="1"/>
  <c r="S283" i="2"/>
  <c r="AV17" i="24" s="1"/>
  <c r="S287" i="2"/>
  <c r="T287" i="2" s="1"/>
  <c r="Z287" i="2" s="1"/>
  <c r="S289" i="2"/>
  <c r="T289" i="2" s="1"/>
  <c r="G288" i="23" s="1"/>
  <c r="N288" i="23" s="1"/>
  <c r="S293" i="2"/>
  <c r="T293" i="2" s="1"/>
  <c r="Z293" i="2" s="1"/>
  <c r="S306" i="2"/>
  <c r="AV8" i="24" s="1"/>
  <c r="S353" i="2"/>
  <c r="T353" i="2" s="1"/>
  <c r="Z353" i="2" s="1"/>
  <c r="S357" i="2"/>
  <c r="T357" i="2" s="1"/>
  <c r="AQ357" i="2" s="1"/>
  <c r="S359" i="2"/>
  <c r="T359" i="2" s="1"/>
  <c r="AQ359" i="2" s="1"/>
  <c r="S363" i="2"/>
  <c r="T363" i="2" s="1"/>
  <c r="AW56" i="24" s="1"/>
  <c r="S371" i="2"/>
  <c r="T371" i="2" s="1"/>
  <c r="AQ371" i="2" s="1"/>
  <c r="S379" i="2"/>
  <c r="T379" i="2" s="1"/>
  <c r="AQ379" i="2" s="1"/>
  <c r="S442" i="2"/>
  <c r="T442" i="2" s="1"/>
  <c r="AK442" i="2" s="1"/>
  <c r="S446" i="2"/>
  <c r="T446" i="2" s="1"/>
  <c r="AK446" i="2" s="1"/>
  <c r="S448" i="2"/>
  <c r="T448" i="2" s="1"/>
  <c r="AK448" i="2" s="1"/>
  <c r="S454" i="2"/>
  <c r="T454" i="2" s="1"/>
  <c r="AK454" i="2" s="1"/>
  <c r="S458" i="2"/>
  <c r="T458" i="2" s="1"/>
  <c r="AK458" i="2" s="1"/>
  <c r="S460" i="2"/>
  <c r="T460" i="2" s="1"/>
  <c r="AK460" i="2" s="1"/>
  <c r="S470" i="2"/>
  <c r="T470" i="2" s="1"/>
  <c r="AK470" i="2" s="1"/>
  <c r="S472" i="2"/>
  <c r="T472" i="2" s="1"/>
  <c r="AK472" i="2" s="1"/>
  <c r="S480" i="2"/>
  <c r="T480" i="2" s="1"/>
  <c r="AK480" i="2" s="1"/>
  <c r="S12" i="2"/>
  <c r="T12" i="2" s="1"/>
  <c r="G12" i="23" s="1"/>
  <c r="S12" i="23" s="1"/>
  <c r="S16" i="2"/>
  <c r="T16" i="2" s="1"/>
  <c r="AK16" i="2" s="1"/>
  <c r="S28" i="2"/>
  <c r="T28" i="2" s="1"/>
  <c r="G28" i="23" s="1"/>
  <c r="S28" i="23" s="1"/>
  <c r="S32" i="2"/>
  <c r="T32" i="2" s="1"/>
  <c r="G32" i="23" s="1"/>
  <c r="S32" i="23" s="1"/>
  <c r="S36" i="2"/>
  <c r="T36" i="2" s="1"/>
  <c r="G36" i="23" s="1"/>
  <c r="N36" i="23" s="1"/>
  <c r="S40" i="2"/>
  <c r="T40" i="2" s="1"/>
  <c r="G40" i="23" s="1"/>
  <c r="N40" i="23" s="1"/>
  <c r="S44" i="2"/>
  <c r="T44" i="2" s="1"/>
  <c r="G44" i="23" s="1"/>
  <c r="N44" i="23" s="1"/>
  <c r="S63" i="2"/>
  <c r="T63" i="2" s="1"/>
  <c r="G63" i="23" s="1"/>
  <c r="S63" i="23" s="1"/>
  <c r="S67" i="2"/>
  <c r="T67" i="2" s="1"/>
  <c r="AK67" i="2" s="1"/>
  <c r="S75" i="2"/>
  <c r="T75" i="2" s="1"/>
  <c r="AK75" i="2" s="1"/>
  <c r="S119" i="2"/>
  <c r="T119" i="2" s="1"/>
  <c r="G119" i="23" s="1"/>
  <c r="N119" i="23" s="1"/>
  <c r="S127" i="2"/>
  <c r="T127" i="2" s="1"/>
  <c r="G127" i="23" s="1"/>
  <c r="S127" i="23" s="1"/>
  <c r="S153" i="2"/>
  <c r="T153" i="2" s="1"/>
  <c r="AK153" i="2" s="1"/>
  <c r="S165" i="2"/>
  <c r="T165" i="2" s="1"/>
  <c r="AQ165" i="2" s="1"/>
  <c r="U165" i="23" s="1"/>
  <c r="S185" i="2"/>
  <c r="T185" i="2" s="1"/>
  <c r="S280" i="32" s="1"/>
  <c r="S208" i="2"/>
  <c r="T208" i="2" s="1"/>
  <c r="S217" i="2"/>
  <c r="T217" i="2" s="1"/>
  <c r="Z217" i="2" s="1"/>
  <c r="S221" i="2"/>
  <c r="AD72" i="24" s="1"/>
  <c r="S225" i="2"/>
  <c r="T225" i="2" s="1"/>
  <c r="AK225" i="2" s="1"/>
  <c r="S233" i="2"/>
  <c r="T233" i="2" s="1"/>
  <c r="Z233" i="2" s="1"/>
  <c r="S237" i="2"/>
  <c r="AD93" i="24" s="1"/>
  <c r="S315" i="2"/>
  <c r="AV43" i="24" s="1"/>
  <c r="S331" i="2"/>
  <c r="T331" i="2" s="1"/>
  <c r="AQ331" i="2" s="1"/>
  <c r="T42" i="26" s="1"/>
  <c r="S341" i="2"/>
  <c r="T341" i="2" s="1"/>
  <c r="AQ341" i="2" s="1"/>
  <c r="S347" i="2"/>
  <c r="AV73" i="24" s="1"/>
  <c r="S384" i="2"/>
  <c r="T384" i="2" s="1"/>
  <c r="AQ384" i="2" s="1"/>
  <c r="S388" i="2"/>
  <c r="T388" i="2" s="1"/>
  <c r="AQ388" i="2" s="1"/>
  <c r="S394" i="2"/>
  <c r="T394" i="2" s="1"/>
  <c r="AQ394" i="2" s="1"/>
  <c r="S398" i="2"/>
  <c r="T398" i="2" s="1"/>
  <c r="AQ398" i="2" s="1"/>
  <c r="S408" i="2"/>
  <c r="T408" i="2" s="1"/>
  <c r="AK408" i="2" s="1"/>
  <c r="S414" i="2"/>
  <c r="T414" i="2" s="1"/>
  <c r="AK414" i="2" s="1"/>
  <c r="S424" i="2"/>
  <c r="T424" i="2" s="1"/>
  <c r="AK424" i="2" s="1"/>
  <c r="S428" i="2"/>
  <c r="T428" i="2" s="1"/>
  <c r="AK428" i="2" s="1"/>
  <c r="S486" i="2"/>
  <c r="T486" i="2" s="1"/>
  <c r="AK486" i="2" s="1"/>
  <c r="S490" i="2"/>
  <c r="T490" i="2" s="1"/>
  <c r="AK490" i="2" s="1"/>
  <c r="S492" i="2"/>
  <c r="T492" i="2" s="1"/>
  <c r="AK492" i="2" s="1"/>
  <c r="S496" i="2"/>
  <c r="T496" i="2" s="1"/>
  <c r="AK496" i="2" s="1"/>
  <c r="S500" i="2"/>
  <c r="T500" i="2" s="1"/>
  <c r="AK500" i="2" s="1"/>
  <c r="S502" i="2"/>
  <c r="T502" i="2" s="1"/>
  <c r="AK502" i="2" s="1"/>
  <c r="S523" i="2"/>
  <c r="T523" i="2" s="1"/>
  <c r="AK523" i="2" s="1"/>
  <c r="S537" i="2"/>
  <c r="T537" i="2" s="1"/>
  <c r="AK537" i="2" s="1"/>
  <c r="S547" i="2"/>
  <c r="T547" i="2" s="1"/>
  <c r="AK547" i="2" s="1"/>
  <c r="S551" i="2"/>
  <c r="T551" i="2" s="1"/>
  <c r="AK551" i="2" s="1"/>
  <c r="S553" i="2"/>
  <c r="T553" i="2" s="1"/>
  <c r="AK553" i="2" s="1"/>
  <c r="S559" i="2"/>
  <c r="T559" i="2" s="1"/>
  <c r="AK559" i="2" s="1"/>
  <c r="S567" i="2"/>
  <c r="T567" i="2" s="1"/>
  <c r="AK567" i="2" s="1"/>
  <c r="S579" i="2"/>
  <c r="T579" i="2" s="1"/>
  <c r="AK579" i="2" s="1"/>
  <c r="S583" i="2"/>
  <c r="T583" i="2" s="1"/>
  <c r="AK583" i="2" s="1"/>
  <c r="S61" i="2"/>
  <c r="T61" i="2" s="1"/>
  <c r="G61" i="23" s="1"/>
  <c r="S92" i="2"/>
  <c r="T92" i="2" s="1"/>
  <c r="AK92" i="2" s="1"/>
  <c r="S100" i="2"/>
  <c r="T100" i="2" s="1"/>
  <c r="AK100" i="2" s="1"/>
  <c r="S170" i="2"/>
  <c r="T170" i="2" s="1"/>
  <c r="G170" i="23" s="1"/>
  <c r="S170" i="23" s="1"/>
  <c r="S178" i="2"/>
  <c r="T178" i="2" s="1"/>
  <c r="S198" i="2"/>
  <c r="AD48" i="24" s="1"/>
  <c r="S230" i="2"/>
  <c r="AD34" i="24" s="1"/>
  <c r="S238" i="2"/>
  <c r="T238" i="2" s="1"/>
  <c r="S241" i="2"/>
  <c r="AD21" i="24" s="1"/>
  <c r="S249" i="2"/>
  <c r="AD61" i="24" s="1"/>
  <c r="S255" i="2"/>
  <c r="T255" i="2" s="1"/>
  <c r="S393" i="32" s="1"/>
  <c r="S265" i="2"/>
  <c r="AD44" i="24" s="1"/>
  <c r="S271" i="2"/>
  <c r="AV20" i="24" s="1"/>
  <c r="S285" i="2"/>
  <c r="AV13" i="24" s="1"/>
  <c r="S291" i="2"/>
  <c r="AV52" i="24" s="1"/>
  <c r="S295" i="2"/>
  <c r="AV78" i="24" s="1"/>
  <c r="S298" i="2"/>
  <c r="T298" i="2" s="1"/>
  <c r="AQ298" i="2" s="1"/>
  <c r="S304" i="2"/>
  <c r="AV72" i="24" s="1"/>
  <c r="S308" i="2"/>
  <c r="AV62" i="24" s="1"/>
  <c r="S355" i="2"/>
  <c r="AV57" i="24" s="1"/>
  <c r="S367" i="2"/>
  <c r="T367" i="2" s="1"/>
  <c r="AQ367" i="2" s="1"/>
  <c r="T113" i="26" s="1"/>
  <c r="S373" i="2"/>
  <c r="T373" i="2" s="1"/>
  <c r="AK373" i="2" s="1"/>
  <c r="S377" i="2"/>
  <c r="T377" i="2" s="1"/>
  <c r="AQ377" i="2" s="1"/>
  <c r="S438" i="2"/>
  <c r="T438" i="2" s="1"/>
  <c r="AK438" i="2" s="1"/>
  <c r="S444" i="2"/>
  <c r="T444" i="2" s="1"/>
  <c r="AK444" i="2" s="1"/>
  <c r="S450" i="2"/>
  <c r="T450" i="2" s="1"/>
  <c r="AK450" i="2" s="1"/>
  <c r="S456" i="2"/>
  <c r="T456" i="2" s="1"/>
  <c r="AK456" i="2" s="1"/>
  <c r="S462" i="2"/>
  <c r="T462" i="2" s="1"/>
  <c r="AK462" i="2" s="1"/>
  <c r="S468" i="2"/>
  <c r="T468" i="2" s="1"/>
  <c r="AK468" i="2" s="1"/>
  <c r="S474" i="2"/>
  <c r="T474" i="2" s="1"/>
  <c r="AW105" i="24" s="1"/>
  <c r="S478" i="2"/>
  <c r="T478" i="2" s="1"/>
  <c r="AK478" i="2" s="1"/>
  <c r="S482" i="2"/>
  <c r="T482" i="2" s="1"/>
  <c r="AK482" i="2" s="1"/>
  <c r="S510" i="2"/>
  <c r="T510" i="2" s="1"/>
  <c r="AK510" i="2" s="1"/>
  <c r="S8" i="2"/>
  <c r="T8" i="2" s="1"/>
  <c r="G8" i="23" s="1"/>
  <c r="N8" i="23" s="1"/>
  <c r="S48" i="2"/>
  <c r="T48" i="2" s="1"/>
  <c r="AK48" i="2" s="1"/>
  <c r="S60" i="2"/>
  <c r="T60" i="2" s="1"/>
  <c r="G60" i="23" s="1"/>
  <c r="S60" i="23" s="1"/>
  <c r="S87" i="2"/>
  <c r="T87" i="2" s="1"/>
  <c r="AK87" i="2" s="1"/>
  <c r="S91" i="2"/>
  <c r="T91" i="2" s="1"/>
  <c r="AK91" i="2" s="1"/>
  <c r="S95" i="2"/>
  <c r="T95" i="2" s="1"/>
  <c r="G95" i="23" s="1"/>
  <c r="N95" i="23" s="1"/>
  <c r="S147" i="2"/>
  <c r="T147" i="2" s="1"/>
  <c r="AQ147" i="2" s="1"/>
  <c r="U147" i="23" s="1"/>
  <c r="S157" i="2"/>
  <c r="T157" i="2" s="1"/>
  <c r="AK157" i="2" s="1"/>
  <c r="S161" i="2"/>
  <c r="T161" i="2" s="1"/>
  <c r="AK161" i="2" s="1"/>
  <c r="S169" i="2"/>
  <c r="T169" i="2" s="1"/>
  <c r="AK169" i="2" s="1"/>
  <c r="S173" i="2"/>
  <c r="T173" i="2" s="1"/>
  <c r="AK173" i="2" s="1"/>
  <c r="S177" i="2"/>
  <c r="AD13" i="24" s="1"/>
  <c r="S189" i="2"/>
  <c r="AD71" i="24" s="1"/>
  <c r="S197" i="2"/>
  <c r="AD65" i="24" s="1"/>
  <c r="S201" i="2"/>
  <c r="AD62" i="24" s="1"/>
  <c r="S205" i="2"/>
  <c r="AD87" i="24" s="1"/>
  <c r="S313" i="2"/>
  <c r="T313" i="2" s="1"/>
  <c r="AK313" i="2" s="1"/>
  <c r="S333" i="2"/>
  <c r="T333" i="2" s="1"/>
  <c r="AQ333" i="2" s="1"/>
  <c r="T43" i="26" s="1"/>
  <c r="S337" i="2"/>
  <c r="T337" i="2" s="1"/>
  <c r="AQ337" i="2" s="1"/>
  <c r="T26" i="26" s="1"/>
  <c r="S345" i="2"/>
  <c r="T345" i="2" s="1"/>
  <c r="AQ345" i="2" s="1"/>
  <c r="S351" i="2"/>
  <c r="T351" i="2" s="1"/>
  <c r="Z351" i="2" s="1"/>
  <c r="S386" i="2"/>
  <c r="AV66" i="24" s="1"/>
  <c r="S392" i="2"/>
  <c r="T392" i="2" s="1"/>
  <c r="AQ392" i="2" s="1"/>
  <c r="S400" i="2"/>
  <c r="T400" i="2" s="1"/>
  <c r="AQ400" i="2" s="1"/>
  <c r="S406" i="2"/>
  <c r="T406" i="2" s="1"/>
  <c r="AK406" i="2" s="1"/>
  <c r="S412" i="2"/>
  <c r="T412" i="2" s="1"/>
  <c r="AK412" i="2" s="1"/>
  <c r="S418" i="2"/>
  <c r="T418" i="2" s="1"/>
  <c r="AK418" i="2" s="1"/>
  <c r="S426" i="2"/>
  <c r="T426" i="2" s="1"/>
  <c r="AK426" i="2" s="1"/>
  <c r="S432" i="2"/>
  <c r="T432" i="2" s="1"/>
  <c r="AK432" i="2" s="1"/>
  <c r="S494" i="2"/>
  <c r="T494" i="2" s="1"/>
  <c r="AK494" i="2" s="1"/>
  <c r="S498" i="2"/>
  <c r="T498" i="2" s="1"/>
  <c r="AK498" i="2" s="1"/>
  <c r="S545" i="2"/>
  <c r="T545" i="2" s="1"/>
  <c r="AK545" i="2" s="1"/>
  <c r="S549" i="2"/>
  <c r="T549" i="2" s="1"/>
  <c r="AK549" i="2" s="1"/>
  <c r="S561" i="2"/>
  <c r="T561" i="2" s="1"/>
  <c r="AK561" i="2" s="1"/>
  <c r="S569" i="2"/>
  <c r="T569" i="2" s="1"/>
  <c r="AK569" i="2" s="1"/>
  <c r="S573" i="2"/>
  <c r="T573" i="2" s="1"/>
  <c r="AK573" i="2" s="1"/>
  <c r="S577" i="2"/>
  <c r="T577" i="2" s="1"/>
  <c r="AK577" i="2" s="1"/>
  <c r="S7" i="2"/>
  <c r="T7" i="2" s="1"/>
  <c r="AQ7" i="2" s="1"/>
  <c r="S11" i="2"/>
  <c r="T11" i="2" s="1"/>
  <c r="G11" i="23" s="1"/>
  <c r="N11" i="23" s="1"/>
  <c r="S19" i="2"/>
  <c r="T19" i="2" s="1"/>
  <c r="AK19" i="2" s="1"/>
  <c r="S27" i="2"/>
  <c r="T27" i="2" s="1"/>
  <c r="G27" i="23" s="1"/>
  <c r="N27" i="23" s="1"/>
  <c r="S35" i="2"/>
  <c r="T35" i="2" s="1"/>
  <c r="G35" i="23" s="1"/>
  <c r="N35" i="23" s="1"/>
  <c r="S66" i="2"/>
  <c r="T66" i="2" s="1"/>
  <c r="G66" i="23" s="1"/>
  <c r="S66" i="23" s="1"/>
  <c r="S86" i="2"/>
  <c r="T86" i="2" s="1"/>
  <c r="AK86" i="2" s="1"/>
  <c r="S110" i="2"/>
  <c r="T110" i="2" s="1"/>
  <c r="AK110" i="2" s="1"/>
  <c r="S138" i="2"/>
  <c r="T138" i="2" s="1"/>
  <c r="AK138" i="2" s="1"/>
  <c r="S146" i="2"/>
  <c r="T146" i="2" s="1"/>
  <c r="AK146" i="2" s="1"/>
  <c r="S156" i="2"/>
  <c r="T156" i="2" s="1"/>
  <c r="AK156" i="2" s="1"/>
  <c r="S164" i="2"/>
  <c r="T164" i="2" s="1"/>
  <c r="AK164" i="2" s="1"/>
  <c r="S172" i="2"/>
  <c r="T172" i="2" s="1"/>
  <c r="AQ172" i="2" s="1"/>
  <c r="U172" i="23" s="1"/>
  <c r="S180" i="2"/>
  <c r="AD9" i="24" s="1"/>
  <c r="S188" i="2"/>
  <c r="T188" i="2" s="1"/>
  <c r="G188" i="23" s="1"/>
  <c r="S188" i="23" s="1"/>
  <c r="S192" i="2"/>
  <c r="T192" i="2" s="1"/>
  <c r="S287" i="32" s="1"/>
  <c r="S200" i="2"/>
  <c r="AD76" i="24" s="1"/>
  <c r="S216" i="2"/>
  <c r="AD68" i="24" s="1"/>
  <c r="S232" i="2"/>
  <c r="AD55" i="24" s="1"/>
  <c r="S240" i="2"/>
  <c r="T240" i="2" s="1"/>
  <c r="AQ240" i="2" s="1"/>
  <c r="U240" i="23" s="1"/>
  <c r="S244" i="2"/>
  <c r="AD28" i="24" s="1"/>
  <c r="S250" i="2"/>
  <c r="T250" i="2" s="1"/>
  <c r="G250" i="23" s="1"/>
  <c r="N250" i="23" s="1"/>
  <c r="S254" i="2"/>
  <c r="T254" i="2" s="1"/>
  <c r="AQ254" i="2" s="1"/>
  <c r="S260" i="2"/>
  <c r="T260" i="2" s="1"/>
  <c r="S264" i="2"/>
  <c r="AD74" i="24" s="1"/>
  <c r="S268" i="2"/>
  <c r="T268" i="2" s="1"/>
  <c r="AK268" i="2" s="1"/>
  <c r="R268" i="23" s="1"/>
  <c r="P268" i="23" s="1"/>
  <c r="Q268" i="23" s="1"/>
  <c r="S272" i="2"/>
  <c r="T272" i="2" s="1"/>
  <c r="S356" i="32" s="1"/>
  <c r="S276" i="2"/>
  <c r="AV9" i="24" s="1"/>
  <c r="S280" i="2"/>
  <c r="T280" i="2" s="1"/>
  <c r="Z280" i="2" s="1"/>
  <c r="S284" i="2"/>
  <c r="AV39" i="24" s="1"/>
  <c r="S288" i="2"/>
  <c r="AV46" i="24" s="1"/>
  <c r="S301" i="2"/>
  <c r="T301" i="2" s="1"/>
  <c r="Z301" i="2" s="1"/>
  <c r="S324" i="2"/>
  <c r="AV48" i="24" s="1"/>
  <c r="S364" i="2"/>
  <c r="T364" i="2" s="1"/>
  <c r="AK364" i="2" s="1"/>
  <c r="S370" i="2"/>
  <c r="T370" i="2" s="1"/>
  <c r="AQ370" i="2" s="1"/>
  <c r="S374" i="2"/>
  <c r="T374" i="2" s="1"/>
  <c r="AQ374" i="2" s="1"/>
  <c r="S441" i="2"/>
  <c r="T441" i="2" s="1"/>
  <c r="AK441" i="2" s="1"/>
  <c r="S455" i="2"/>
  <c r="T455" i="2" s="1"/>
  <c r="AK455" i="2" s="1"/>
  <c r="S463" i="2"/>
  <c r="T463" i="2" s="1"/>
  <c r="AK463" i="2" s="1"/>
  <c r="S469" i="2"/>
  <c r="T469" i="2" s="1"/>
  <c r="AK469" i="2" s="1"/>
  <c r="S481" i="2"/>
  <c r="T481" i="2" s="1"/>
  <c r="AK481" i="2" s="1"/>
  <c r="S517" i="2"/>
  <c r="T517" i="2" s="1"/>
  <c r="S37" i="2"/>
  <c r="T37" i="2" s="1"/>
  <c r="AQ37" i="2" s="1"/>
  <c r="U37" i="23" s="1"/>
  <c r="S64" i="2"/>
  <c r="T64" i="2" s="1"/>
  <c r="AK64" i="2" s="1"/>
  <c r="S72" i="2"/>
  <c r="T72" i="2" s="1"/>
  <c r="G72" i="23" s="1"/>
  <c r="S72" i="23" s="1"/>
  <c r="S120" i="2"/>
  <c r="T120" i="2" s="1"/>
  <c r="AK120" i="2" s="1"/>
  <c r="S124" i="2"/>
  <c r="T124" i="2" s="1"/>
  <c r="AK124" i="2" s="1"/>
  <c r="S148" i="2"/>
  <c r="T148" i="2" s="1"/>
  <c r="AQ148" i="2" s="1"/>
  <c r="S166" i="2"/>
  <c r="T166" i="2" s="1"/>
  <c r="AQ166" i="2" s="1"/>
  <c r="S24" i="2"/>
  <c r="T24" i="2" s="1"/>
  <c r="G24" i="23" s="1"/>
  <c r="N24" i="23" s="1"/>
  <c r="S99" i="2"/>
  <c r="T99" i="2" s="1"/>
  <c r="G99" i="23" s="1"/>
  <c r="S99" i="23" s="1"/>
  <c r="S103" i="2"/>
  <c r="T103" i="2" s="1"/>
  <c r="AK103" i="2" s="1"/>
  <c r="S107" i="2"/>
  <c r="T107" i="2" s="1"/>
  <c r="G107" i="23" s="1"/>
  <c r="N107" i="23" s="1"/>
  <c r="T111" i="2"/>
  <c r="G111" i="23" s="1"/>
  <c r="N111" i="23" s="1"/>
  <c r="S143" i="2"/>
  <c r="T143" i="2" s="1"/>
  <c r="AK143" i="2" s="1"/>
  <c r="S181" i="2"/>
  <c r="AD11" i="24" s="1"/>
  <c r="S297" i="2"/>
  <c r="AV76" i="24" s="1"/>
  <c r="S329" i="2"/>
  <c r="T329" i="2" s="1"/>
  <c r="AQ329" i="2" s="1"/>
  <c r="T41" i="26" s="1"/>
  <c r="S339" i="2"/>
  <c r="T339" i="2" s="1"/>
  <c r="AQ339" i="2" s="1"/>
  <c r="T46" i="26" s="1"/>
  <c r="S343" i="2"/>
  <c r="T343" i="2" s="1"/>
  <c r="AQ343" i="2" s="1"/>
  <c r="T201" i="26" s="1"/>
  <c r="S349" i="2"/>
  <c r="AV45" i="24" s="1"/>
  <c r="S382" i="2"/>
  <c r="T382" i="2" s="1"/>
  <c r="AQ382" i="2" s="1"/>
  <c r="S396" i="2"/>
  <c r="T396" i="2" s="1"/>
  <c r="AQ396" i="2" s="1"/>
  <c r="S410" i="2"/>
  <c r="T410" i="2" s="1"/>
  <c r="AQ410" i="2" s="1"/>
  <c r="S416" i="2"/>
  <c r="T416" i="2" s="1"/>
  <c r="AK416" i="2" s="1"/>
  <c r="S422" i="2"/>
  <c r="T422" i="2" s="1"/>
  <c r="AK422" i="2" s="1"/>
  <c r="S23" i="2"/>
  <c r="T23" i="2" s="1"/>
  <c r="G23" i="23" s="1"/>
  <c r="S23" i="23" s="1"/>
  <c r="S31" i="2"/>
  <c r="T31" i="2" s="1"/>
  <c r="G31" i="23" s="1"/>
  <c r="S31" i="23" s="1"/>
  <c r="S39" i="2"/>
  <c r="T39" i="2" s="1"/>
  <c r="AK39" i="2" s="1"/>
  <c r="S47" i="2"/>
  <c r="T47" i="2" s="1"/>
  <c r="AQ47" i="2" s="1"/>
  <c r="U47" i="23" s="1"/>
  <c r="S90" i="2"/>
  <c r="T90" i="2" s="1"/>
  <c r="AQ90" i="2" s="1"/>
  <c r="U90" i="23" s="1"/>
  <c r="S94" i="2"/>
  <c r="T94" i="2" s="1"/>
  <c r="AK94" i="2" s="1"/>
  <c r="S102" i="2"/>
  <c r="T102" i="2" s="1"/>
  <c r="AK102" i="2" s="1"/>
  <c r="S114" i="2"/>
  <c r="T114" i="2" s="1"/>
  <c r="AQ114" i="2" s="1"/>
  <c r="U114" i="23" s="1"/>
  <c r="S122" i="2"/>
  <c r="T122" i="2" s="1"/>
  <c r="AK122" i="2" s="1"/>
  <c r="S130" i="2"/>
  <c r="T130" i="2" s="1"/>
  <c r="AK130" i="2" s="1"/>
  <c r="S142" i="2"/>
  <c r="T142" i="2" s="1"/>
  <c r="AK142" i="2" s="1"/>
  <c r="S160" i="2"/>
  <c r="T160" i="2" s="1"/>
  <c r="G160" i="23" s="1"/>
  <c r="S160" i="23" s="1"/>
  <c r="S168" i="2"/>
  <c r="T168" i="2" s="1"/>
  <c r="AK168" i="2" s="1"/>
  <c r="S176" i="2"/>
  <c r="AD53" i="24" s="1"/>
  <c r="S184" i="2"/>
  <c r="T184" i="2" s="1"/>
  <c r="AK184" i="2" s="1"/>
  <c r="S196" i="2"/>
  <c r="T196" i="2" s="1"/>
  <c r="S204" i="2"/>
  <c r="T204" i="2" s="1"/>
  <c r="AK204" i="2" s="1"/>
  <c r="S211" i="2"/>
  <c r="AD91" i="24" s="1"/>
  <c r="S220" i="2"/>
  <c r="T220" i="2" s="1"/>
  <c r="G220" i="23" s="1"/>
  <c r="N220" i="23" s="1"/>
  <c r="S228" i="2"/>
  <c r="T228" i="2" s="1"/>
  <c r="AQ228" i="2" s="1"/>
  <c r="U228" i="23" s="1"/>
  <c r="S236" i="2"/>
  <c r="T236" i="2" s="1"/>
  <c r="AK236" i="2" s="1"/>
  <c r="R236" i="23" s="1"/>
  <c r="S242" i="2"/>
  <c r="T242" i="2" s="1"/>
  <c r="G242" i="23" s="1"/>
  <c r="S242" i="23" s="1"/>
  <c r="S248" i="2"/>
  <c r="T248" i="2" s="1"/>
  <c r="G248" i="23" s="1"/>
  <c r="S248" i="23" s="1"/>
  <c r="S252" i="2"/>
  <c r="T252" i="2" s="1"/>
  <c r="AK252" i="2" s="1"/>
  <c r="R252" i="23" s="1"/>
  <c r="S256" i="2"/>
  <c r="T256" i="2" s="1"/>
  <c r="G256" i="23" s="1"/>
  <c r="S256" i="23" s="1"/>
  <c r="S258" i="2"/>
  <c r="T258" i="2" s="1"/>
  <c r="AQ258" i="2" s="1"/>
  <c r="T184" i="26" s="1"/>
  <c r="S262" i="2"/>
  <c r="AD84" i="24" s="1"/>
  <c r="S266" i="2"/>
  <c r="T266" i="2" s="1"/>
  <c r="G266" i="23" s="1"/>
  <c r="S266" i="23" s="1"/>
  <c r="S274" i="2"/>
  <c r="AV14" i="24" s="1"/>
  <c r="S278" i="2"/>
  <c r="AV11" i="24" s="1"/>
  <c r="S286" i="2"/>
  <c r="AV12" i="24" s="1"/>
  <c r="S290" i="2"/>
  <c r="T290" i="2" s="1"/>
  <c r="S296" i="2"/>
  <c r="AV63" i="24" s="1"/>
  <c r="S303" i="2"/>
  <c r="AV26" i="24" s="1"/>
  <c r="S305" i="2"/>
  <c r="AV71" i="24" s="1"/>
  <c r="S322" i="2"/>
  <c r="T322" i="2" s="1"/>
  <c r="AQ322" i="2" s="1"/>
  <c r="T237" i="26" s="1"/>
  <c r="S358" i="2"/>
  <c r="AV92" i="24" s="1"/>
  <c r="S362" i="2"/>
  <c r="AV91" i="24" s="1"/>
  <c r="S368" i="2"/>
  <c r="AV100" i="24" s="1"/>
  <c r="S372" i="2"/>
  <c r="T372" i="2" s="1"/>
  <c r="AQ372" i="2" s="1"/>
  <c r="S376" i="2"/>
  <c r="T376" i="2" s="1"/>
  <c r="AQ376" i="2" s="1"/>
  <c r="S380" i="2"/>
  <c r="T380" i="2" s="1"/>
  <c r="AQ380" i="2" s="1"/>
  <c r="S437" i="2"/>
  <c r="T437" i="2" s="1"/>
  <c r="AK437" i="2" s="1"/>
  <c r="S439" i="2"/>
  <c r="T439" i="2" s="1"/>
  <c r="AK439" i="2" s="1"/>
  <c r="S443" i="2"/>
  <c r="T443" i="2" s="1"/>
  <c r="AK443" i="2" s="1"/>
  <c r="S445" i="2"/>
  <c r="T445" i="2" s="1"/>
  <c r="AK445" i="2" s="1"/>
  <c r="S447" i="2"/>
  <c r="T447" i="2" s="1"/>
  <c r="AK447" i="2" s="1"/>
  <c r="S451" i="2"/>
  <c r="T451" i="2" s="1"/>
  <c r="AK451" i="2" s="1"/>
  <c r="S453" i="2"/>
  <c r="T453" i="2" s="1"/>
  <c r="AK453" i="2" s="1"/>
  <c r="S457" i="2"/>
  <c r="T457" i="2" s="1"/>
  <c r="AK457" i="2" s="1"/>
  <c r="S459" i="2"/>
  <c r="T459" i="2" s="1"/>
  <c r="AK459" i="2" s="1"/>
  <c r="S465" i="2"/>
  <c r="T465" i="2" s="1"/>
  <c r="AK465" i="2" s="1"/>
  <c r="S467" i="2"/>
  <c r="T467" i="2" s="1"/>
  <c r="AK467" i="2" s="1"/>
  <c r="S471" i="2"/>
  <c r="T471" i="2" s="1"/>
  <c r="AK471" i="2" s="1"/>
  <c r="S473" i="2"/>
  <c r="T473" i="2" s="1"/>
  <c r="AK473" i="2" s="1"/>
  <c r="S477" i="2"/>
  <c r="T477" i="2" s="1"/>
  <c r="AK477" i="2" s="1"/>
  <c r="S479" i="2"/>
  <c r="T479" i="2" s="1"/>
  <c r="AK479" i="2" s="1"/>
  <c r="S483" i="2"/>
  <c r="T483" i="2" s="1"/>
  <c r="AK483" i="2" s="1"/>
  <c r="S10" i="2"/>
  <c r="T10" i="2" s="1"/>
  <c r="AK10" i="2" s="1"/>
  <c r="R10" i="23" s="1"/>
  <c r="S14" i="2"/>
  <c r="T14" i="2" s="1"/>
  <c r="AK14" i="2" s="1"/>
  <c r="R14" i="23" s="1"/>
  <c r="S26" i="2"/>
  <c r="T26" i="2" s="1"/>
  <c r="AQ26" i="2" s="1"/>
  <c r="U26" i="23" s="1"/>
  <c r="S30" i="2"/>
  <c r="T30" i="2" s="1"/>
  <c r="AQ30" i="2" s="1"/>
  <c r="U30" i="23" s="1"/>
  <c r="S34" i="2"/>
  <c r="T34" i="2" s="1"/>
  <c r="AK34" i="2" s="1"/>
  <c r="S38" i="2"/>
  <c r="T38" i="2" s="1"/>
  <c r="AK38" i="2" s="1"/>
  <c r="S42" i="2"/>
  <c r="T42" i="2" s="1"/>
  <c r="AQ42" i="2" s="1"/>
  <c r="U42" i="23" s="1"/>
  <c r="S46" i="2"/>
  <c r="T46" i="2" s="1"/>
  <c r="AK46" i="2" s="1"/>
  <c r="S65" i="2"/>
  <c r="T65" i="2" s="1"/>
  <c r="AK65" i="2" s="1"/>
  <c r="S69" i="2"/>
  <c r="T69" i="2" s="1"/>
  <c r="AK69" i="2" s="1"/>
  <c r="S85" i="2"/>
  <c r="T85" i="2" s="1"/>
  <c r="AK85" i="2" s="1"/>
  <c r="S89" i="2"/>
  <c r="T89" i="2" s="1"/>
  <c r="AK89" i="2" s="1"/>
  <c r="S93" i="2"/>
  <c r="T93" i="2" s="1"/>
  <c r="AK93" i="2" s="1"/>
  <c r="S101" i="2"/>
  <c r="T101" i="2" s="1"/>
  <c r="AK101" i="2" s="1"/>
  <c r="S105" i="2"/>
  <c r="T105" i="2" s="1"/>
  <c r="AK105" i="2" s="1"/>
  <c r="R105" i="23" s="1"/>
  <c r="S113" i="2"/>
  <c r="T113" i="2" s="1"/>
  <c r="AQ113" i="2" s="1"/>
  <c r="U113" i="23" s="1"/>
  <c r="S121" i="2"/>
  <c r="T121" i="2" s="1"/>
  <c r="AK121" i="2" s="1"/>
  <c r="S129" i="2"/>
  <c r="T129" i="2" s="1"/>
  <c r="AK129" i="2" s="1"/>
  <c r="R129" i="23" s="1"/>
  <c r="S141" i="2"/>
  <c r="T141" i="2" s="1"/>
  <c r="AK141" i="2" s="1"/>
  <c r="S145" i="2"/>
  <c r="T145" i="2" s="1"/>
  <c r="AQ145" i="2" s="1"/>
  <c r="U145" i="23" s="1"/>
  <c r="S151" i="2"/>
  <c r="T151" i="2" s="1"/>
  <c r="AK151" i="2" s="1"/>
  <c r="S155" i="2"/>
  <c r="T155" i="2" s="1"/>
  <c r="AK155" i="2" s="1"/>
  <c r="S159" i="2"/>
  <c r="T159" i="2" s="1"/>
  <c r="AK159" i="2" s="1"/>
  <c r="S163" i="2"/>
  <c r="T163" i="2" s="1"/>
  <c r="G163" i="23" s="1"/>
  <c r="N163" i="23" s="1"/>
  <c r="S167" i="2"/>
  <c r="T167" i="2" s="1"/>
  <c r="AK167" i="2" s="1"/>
  <c r="S171" i="2"/>
  <c r="T171" i="2" s="1"/>
  <c r="AK171" i="2" s="1"/>
  <c r="S179" i="2"/>
  <c r="AD54" i="24" s="1"/>
  <c r="S183" i="2"/>
  <c r="T183" i="2" s="1"/>
  <c r="AQ183" i="2" s="1"/>
  <c r="S187" i="2"/>
  <c r="T187" i="2" s="1"/>
  <c r="AK187" i="2" s="1"/>
  <c r="S195" i="2"/>
  <c r="T195" i="2" s="1"/>
  <c r="G195" i="23" s="1"/>
  <c r="N195" i="23" s="1"/>
  <c r="S199" i="2"/>
  <c r="T199" i="2" s="1"/>
  <c r="S207" i="2"/>
  <c r="T207" i="2" s="1"/>
  <c r="AK207" i="2" s="1"/>
  <c r="S215" i="2"/>
  <c r="T215" i="2" s="1"/>
  <c r="AQ215" i="2" s="1"/>
  <c r="S223" i="2"/>
  <c r="AD77" i="24" s="1"/>
  <c r="S227" i="2"/>
  <c r="AD7" i="24" s="1"/>
  <c r="S231" i="2"/>
  <c r="AD57" i="24" s="1"/>
  <c r="S235" i="2"/>
  <c r="AD58" i="24" s="1"/>
  <c r="S239" i="2"/>
  <c r="T239" i="2" s="1"/>
  <c r="AK239" i="2" s="1"/>
  <c r="R239" i="23" s="1"/>
  <c r="S310" i="2"/>
  <c r="T310" i="2" s="1"/>
  <c r="S312" i="2"/>
  <c r="T312" i="2" s="1"/>
  <c r="S314" i="2"/>
  <c r="AV101" i="24" s="1"/>
  <c r="S318" i="2"/>
  <c r="AV7" i="24" s="1"/>
  <c r="S320" i="2"/>
  <c r="T320" i="2" s="1"/>
  <c r="AW97" i="24" s="1"/>
  <c r="S328" i="2"/>
  <c r="AV33" i="24" s="1"/>
  <c r="S332" i="2"/>
  <c r="T332" i="2" s="1"/>
  <c r="AQ332" i="2" s="1"/>
  <c r="T40" i="26" s="1"/>
  <c r="S334" i="2"/>
  <c r="T334" i="2" s="1"/>
  <c r="AQ334" i="2" s="1"/>
  <c r="T44" i="26" s="1"/>
  <c r="S336" i="2"/>
  <c r="T336" i="2" s="1"/>
  <c r="AQ336" i="2" s="1"/>
  <c r="T45" i="26" s="1"/>
  <c r="S338" i="2"/>
  <c r="AV93" i="24" s="1"/>
  <c r="S340" i="2"/>
  <c r="AV28" i="24" s="1"/>
  <c r="S342" i="2"/>
  <c r="AV30" i="24" s="1"/>
  <c r="S344" i="2"/>
  <c r="AV51" i="24" s="1"/>
  <c r="S346" i="2"/>
  <c r="AV29" i="24" s="1"/>
  <c r="S348" i="2"/>
  <c r="T348" i="2" s="1"/>
  <c r="AQ348" i="2" s="1"/>
  <c r="T69" i="26" s="1"/>
  <c r="S350" i="2"/>
  <c r="AV55" i="24" s="1"/>
  <c r="S383" i="2"/>
  <c r="T383" i="2" s="1"/>
  <c r="AQ383" i="2" s="1"/>
  <c r="S385" i="2"/>
  <c r="T385" i="2" s="1"/>
  <c r="AQ385" i="2" s="1"/>
  <c r="S387" i="2"/>
  <c r="T387" i="2" s="1"/>
  <c r="AQ387" i="2" s="1"/>
  <c r="S389" i="2"/>
  <c r="T389" i="2" s="1"/>
  <c r="AQ389" i="2" s="1"/>
  <c r="S393" i="2"/>
  <c r="T393" i="2" s="1"/>
  <c r="AQ393" i="2" s="1"/>
  <c r="S395" i="2"/>
  <c r="T395" i="2" s="1"/>
  <c r="AQ395" i="2" s="1"/>
  <c r="S399" i="2"/>
  <c r="T399" i="2" s="1"/>
  <c r="AQ399" i="2" s="1"/>
  <c r="S401" i="2"/>
  <c r="T401" i="2" s="1"/>
  <c r="AQ401" i="2" s="1"/>
  <c r="S405" i="2"/>
  <c r="T405" i="2" s="1"/>
  <c r="AK405" i="2" s="1"/>
  <c r="S407" i="2"/>
  <c r="T407" i="2" s="1"/>
  <c r="AK407" i="2" s="1"/>
  <c r="S409" i="2"/>
  <c r="T409" i="2" s="1"/>
  <c r="AQ409" i="2" s="1"/>
  <c r="S411" i="2"/>
  <c r="T411" i="2" s="1"/>
  <c r="AK411" i="2" s="1"/>
  <c r="S413" i="2"/>
  <c r="T413" i="2" s="1"/>
  <c r="AK413" i="2" s="1"/>
  <c r="S417" i="2"/>
  <c r="T417" i="2" s="1"/>
  <c r="AK417" i="2" s="1"/>
  <c r="S423" i="2"/>
  <c r="T423" i="2" s="1"/>
  <c r="AK423" i="2" s="1"/>
  <c r="S427" i="2"/>
  <c r="T427" i="2" s="1"/>
  <c r="AK427" i="2" s="1"/>
  <c r="S431" i="2"/>
  <c r="T431" i="2" s="1"/>
  <c r="AK431" i="2" s="1"/>
  <c r="S433" i="2"/>
  <c r="T433" i="2" s="1"/>
  <c r="AK433" i="2" s="1"/>
  <c r="S491" i="2"/>
  <c r="T491" i="2" s="1"/>
  <c r="AK491" i="2" s="1"/>
  <c r="S493" i="2"/>
  <c r="T493" i="2" s="1"/>
  <c r="AK493" i="2" s="1"/>
  <c r="S495" i="2"/>
  <c r="T495" i="2" s="1"/>
  <c r="AK495" i="2" s="1"/>
  <c r="S497" i="2"/>
  <c r="T497" i="2" s="1"/>
  <c r="AK497" i="2" s="1"/>
  <c r="S501" i="2"/>
  <c r="T501" i="2" s="1"/>
  <c r="AK501" i="2" s="1"/>
  <c r="S505" i="2"/>
  <c r="T505" i="2" s="1"/>
  <c r="AK505" i="2" s="1"/>
  <c r="S522" i="2"/>
  <c r="T522" i="2" s="1"/>
  <c r="AK522" i="2" s="1"/>
  <c r="S530" i="2"/>
  <c r="T530" i="2" s="1"/>
  <c r="AK530" i="2" s="1"/>
  <c r="S536" i="2"/>
  <c r="T536" i="2" s="1"/>
  <c r="AK536" i="2" s="1"/>
  <c r="S538" i="2"/>
  <c r="T538" i="2" s="1"/>
  <c r="AK538" i="2" s="1"/>
  <c r="S544" i="2"/>
  <c r="T544" i="2" s="1"/>
  <c r="AK544" i="2" s="1"/>
  <c r="S552" i="2"/>
  <c r="T552" i="2" s="1"/>
  <c r="AK552" i="2" s="1"/>
  <c r="S554" i="2"/>
  <c r="T554" i="2" s="1"/>
  <c r="AK554" i="2" s="1"/>
  <c r="S556" i="2"/>
  <c r="T556" i="2" s="1"/>
  <c r="AK556" i="2" s="1"/>
  <c r="S558" i="2"/>
  <c r="T558" i="2" s="1"/>
  <c r="AK558" i="2" s="1"/>
  <c r="S560" i="2"/>
  <c r="T560" i="2" s="1"/>
  <c r="AK560" i="2" s="1"/>
  <c r="S564" i="2"/>
  <c r="T564" i="2" s="1"/>
  <c r="AK564" i="2" s="1"/>
  <c r="S566" i="2"/>
  <c r="T566" i="2" s="1"/>
  <c r="AK566" i="2" s="1"/>
  <c r="S568" i="2"/>
  <c r="T568" i="2" s="1"/>
  <c r="AK568" i="2" s="1"/>
  <c r="S570" i="2"/>
  <c r="T570" i="2" s="1"/>
  <c r="AK570" i="2" s="1"/>
  <c r="S572" i="2"/>
  <c r="T572" i="2" s="1"/>
  <c r="AK572" i="2" s="1"/>
  <c r="S574" i="2"/>
  <c r="T574" i="2" s="1"/>
  <c r="AK574" i="2" s="1"/>
  <c r="S578" i="2"/>
  <c r="T578" i="2" s="1"/>
  <c r="AK578" i="2" s="1"/>
  <c r="S580" i="2"/>
  <c r="T580" i="2" s="1"/>
  <c r="AK580" i="2" s="1"/>
  <c r="S586" i="2"/>
  <c r="T586" i="2" s="1"/>
  <c r="AK586" i="2" s="1"/>
  <c r="V603" i="2"/>
  <c r="V602" i="2"/>
  <c r="V606" i="2"/>
  <c r="V605" i="2"/>
  <c r="R504" i="2"/>
  <c r="V604" i="2"/>
  <c r="P602" i="2"/>
  <c r="U602" i="2" s="1"/>
  <c r="S504" i="2"/>
  <c r="T504" i="2" s="1"/>
  <c r="R464" i="2"/>
  <c r="R487" i="2"/>
  <c r="S487" i="2"/>
  <c r="T487" i="2" s="1"/>
  <c r="AK487" i="2" s="1"/>
  <c r="S464" i="2"/>
  <c r="T464" i="2" s="1"/>
  <c r="AK464" i="2" s="1"/>
  <c r="C201" i="30"/>
  <c r="C248" i="32"/>
  <c r="T248" i="32" s="1"/>
  <c r="AK105" i="24"/>
  <c r="C247" i="32"/>
  <c r="T247" i="32" s="1"/>
  <c r="P606" i="2"/>
  <c r="U606" i="2" s="1"/>
  <c r="P605" i="2"/>
  <c r="U605" i="2" s="1"/>
  <c r="P603" i="2"/>
  <c r="U603" i="2" s="1"/>
  <c r="V601" i="2"/>
  <c r="P601" i="2"/>
  <c r="U601" i="2" s="1"/>
  <c r="P604" i="2"/>
  <c r="U604" i="2" s="1"/>
  <c r="AK605" i="2"/>
  <c r="Z605" i="2"/>
  <c r="AK601" i="2"/>
  <c r="Z601" i="2"/>
  <c r="AK602" i="2"/>
  <c r="Z602" i="2"/>
  <c r="Z604" i="2"/>
  <c r="AK606" i="2"/>
  <c r="Z606" i="2"/>
  <c r="AK604" i="2"/>
  <c r="R499" i="2"/>
  <c r="R562" i="2"/>
  <c r="S562" i="2"/>
  <c r="T562" i="2" s="1"/>
  <c r="S499" i="2"/>
  <c r="T499" i="2" s="1"/>
  <c r="AK499" i="2" s="1"/>
  <c r="P589" i="2"/>
  <c r="U589" i="2" s="1"/>
  <c r="S539" i="2"/>
  <c r="T539" i="2" s="1"/>
  <c r="AK539" i="2" s="1"/>
  <c r="R539" i="2"/>
  <c r="R489" i="2"/>
  <c r="S489" i="2"/>
  <c r="T489" i="2" s="1"/>
  <c r="Z489" i="2" s="1"/>
  <c r="R488" i="2"/>
  <c r="S488" i="2"/>
  <c r="T488" i="2" s="1"/>
  <c r="AK488" i="2" s="1"/>
  <c r="AS62" i="24"/>
  <c r="AK107" i="24"/>
  <c r="AU62" i="24"/>
  <c r="AS104" i="24"/>
  <c r="AS19" i="24"/>
  <c r="AK58" i="24"/>
  <c r="AV105" i="24"/>
  <c r="AS106" i="24"/>
  <c r="AS64" i="24"/>
  <c r="AS67" i="24"/>
  <c r="AU19" i="24"/>
  <c r="AK595" i="2"/>
  <c r="AK590" i="2"/>
  <c r="AK594" i="2"/>
  <c r="AK598" i="2"/>
  <c r="AK592" i="2"/>
  <c r="AK600" i="2"/>
  <c r="AK597" i="2"/>
  <c r="AK593" i="2"/>
  <c r="AK589" i="2"/>
  <c r="AK150" i="2"/>
  <c r="F49" i="25"/>
  <c r="J38" i="27"/>
  <c r="K216" i="26"/>
  <c r="K38" i="27" s="1"/>
  <c r="J9" i="27"/>
  <c r="K154" i="26"/>
  <c r="K24" i="27" s="1"/>
  <c r="N154" i="26"/>
  <c r="N24" i="27" s="1"/>
  <c r="G75" i="28"/>
  <c r="G39" i="28" s="1"/>
  <c r="G4" i="28" s="1"/>
  <c r="G3" i="28" s="1"/>
  <c r="L132" i="28"/>
  <c r="L137" i="28"/>
  <c r="K137" i="28"/>
  <c r="J185" i="28"/>
  <c r="K185" i="28" s="1"/>
  <c r="K186" i="28"/>
  <c r="F256" i="26"/>
  <c r="F256" i="30"/>
  <c r="F246" i="30"/>
  <c r="F246" i="26"/>
  <c r="K204" i="26"/>
  <c r="K35" i="27" s="1"/>
  <c r="J35" i="27"/>
  <c r="N249" i="26"/>
  <c r="N62" i="27" s="1"/>
  <c r="H39" i="28"/>
  <c r="L34" i="26"/>
  <c r="L9" i="27" s="1"/>
  <c r="N61" i="26"/>
  <c r="K158" i="26"/>
  <c r="K25" i="27" s="1"/>
  <c r="J25" i="27"/>
  <c r="N26" i="27"/>
  <c r="N158" i="26"/>
  <c r="N25" i="27" s="1"/>
  <c r="H195" i="28"/>
  <c r="H194" i="28" s="1"/>
  <c r="H193" i="28" s="1"/>
  <c r="H192" i="28" s="1"/>
  <c r="H191" i="28" s="1"/>
  <c r="H190" i="28" s="1"/>
  <c r="F200" i="28"/>
  <c r="F254" i="26"/>
  <c r="F254" i="30"/>
  <c r="N34" i="26"/>
  <c r="N9" i="27" s="1"/>
  <c r="L216" i="26"/>
  <c r="L38" i="27" s="1"/>
  <c r="J39" i="27"/>
  <c r="K217" i="26"/>
  <c r="K39" i="27" s="1"/>
  <c r="F265" i="26"/>
  <c r="J24" i="27"/>
  <c r="H4" i="28"/>
  <c r="E30" i="26"/>
  <c r="N30" i="26" s="1"/>
  <c r="L147" i="26"/>
  <c r="L23" i="27" s="1"/>
  <c r="J132" i="28"/>
  <c r="K132" i="28" s="1"/>
  <c r="N154" i="30"/>
  <c r="I260" i="21"/>
  <c r="M260" i="21" s="1"/>
  <c r="R429" i="2"/>
  <c r="AU53" i="24" s="1"/>
  <c r="S429" i="2"/>
  <c r="T429" i="2" s="1"/>
  <c r="K55" i="23"/>
  <c r="L55" i="23" s="1"/>
  <c r="I187" i="23"/>
  <c r="R435" i="2"/>
  <c r="R452" i="2"/>
  <c r="R425" i="2"/>
  <c r="S425" i="2"/>
  <c r="T425" i="2" s="1"/>
  <c r="Z425" i="2" s="1"/>
  <c r="R440" i="2"/>
  <c r="S440" i="2"/>
  <c r="T440" i="2" s="1"/>
  <c r="Z440" i="2" s="1"/>
  <c r="S452" i="2"/>
  <c r="T452" i="2" s="1"/>
  <c r="Z452" i="2" s="1"/>
  <c r="S435" i="2"/>
  <c r="T435" i="2" s="1"/>
  <c r="Z435" i="2" s="1"/>
  <c r="U261" i="23"/>
  <c r="R397" i="2"/>
  <c r="AU106" i="24" s="1"/>
  <c r="S397" i="2"/>
  <c r="T397" i="2" s="1"/>
  <c r="AQ397" i="2" s="1"/>
  <c r="E72" i="26"/>
  <c r="N72" i="26" s="1"/>
  <c r="F79" i="26"/>
  <c r="F84" i="26"/>
  <c r="F252" i="26"/>
  <c r="F10" i="26"/>
  <c r="F253" i="26"/>
  <c r="F14" i="25"/>
  <c r="F20" i="25"/>
  <c r="F23" i="25"/>
  <c r="F26" i="25"/>
  <c r="F38" i="25"/>
  <c r="F40" i="25"/>
  <c r="F43" i="25"/>
  <c r="F29" i="25"/>
  <c r="F30" i="25"/>
  <c r="F33" i="25"/>
  <c r="F48" i="25"/>
  <c r="F50" i="25"/>
  <c r="F52" i="25"/>
  <c r="F19" i="25"/>
  <c r="F21" i="25"/>
  <c r="F24" i="25"/>
  <c r="F28" i="25"/>
  <c r="F37" i="25"/>
  <c r="F39" i="25"/>
  <c r="F51" i="25"/>
  <c r="F245" i="26"/>
  <c r="F16" i="25"/>
  <c r="F35" i="25"/>
  <c r="F35" i="24"/>
  <c r="E19" i="25" s="1"/>
  <c r="F15" i="25"/>
  <c r="F32" i="25"/>
  <c r="F34" i="25"/>
  <c r="F42" i="25"/>
  <c r="F45" i="25"/>
  <c r="I98" i="23"/>
  <c r="I257" i="21"/>
  <c r="K257" i="21" s="1"/>
  <c r="I42" i="23"/>
  <c r="J42" i="23" s="1"/>
  <c r="I66" i="23"/>
  <c r="J66" i="23" s="1"/>
  <c r="V518" i="2"/>
  <c r="K35" i="23"/>
  <c r="L35" i="23" s="1"/>
  <c r="U166" i="23"/>
  <c r="U190" i="23"/>
  <c r="P533" i="2"/>
  <c r="U533" i="2" s="1"/>
  <c r="P537" i="2"/>
  <c r="U537" i="2" s="1"/>
  <c r="P541" i="2"/>
  <c r="U541" i="2" s="1"/>
  <c r="P545" i="2"/>
  <c r="U545" i="2" s="1"/>
  <c r="P549" i="2"/>
  <c r="U549" i="2" s="1"/>
  <c r="P553" i="2"/>
  <c r="U553" i="2" s="1"/>
  <c r="P557" i="2"/>
  <c r="U557" i="2" s="1"/>
  <c r="P561" i="2"/>
  <c r="U561" i="2" s="1"/>
  <c r="P565" i="2"/>
  <c r="U565" i="2" s="1"/>
  <c r="P569" i="2"/>
  <c r="U569" i="2" s="1"/>
  <c r="P573" i="2"/>
  <c r="U573" i="2" s="1"/>
  <c r="P577" i="2"/>
  <c r="U577" i="2" s="1"/>
  <c r="P581" i="2"/>
  <c r="U581" i="2" s="1"/>
  <c r="P585" i="2"/>
  <c r="U585" i="2" s="1"/>
  <c r="P593" i="2"/>
  <c r="U593" i="2" s="1"/>
  <c r="P597" i="2"/>
  <c r="U597" i="2" s="1"/>
  <c r="P534" i="2"/>
  <c r="U534" i="2" s="1"/>
  <c r="P538" i="2"/>
  <c r="U538" i="2" s="1"/>
  <c r="P542" i="2"/>
  <c r="U542" i="2" s="1"/>
  <c r="P546" i="2"/>
  <c r="U546" i="2" s="1"/>
  <c r="P550" i="2"/>
  <c r="U550" i="2" s="1"/>
  <c r="P554" i="2"/>
  <c r="U554" i="2" s="1"/>
  <c r="P558" i="2"/>
  <c r="U558" i="2" s="1"/>
  <c r="P562" i="2"/>
  <c r="U562" i="2" s="1"/>
  <c r="P566" i="2"/>
  <c r="U566" i="2" s="1"/>
  <c r="P570" i="2"/>
  <c r="U570" i="2" s="1"/>
  <c r="P574" i="2"/>
  <c r="U574" i="2" s="1"/>
  <c r="P578" i="2"/>
  <c r="U578" i="2" s="1"/>
  <c r="P582" i="2"/>
  <c r="U582" i="2" s="1"/>
  <c r="P586" i="2"/>
  <c r="U586" i="2" s="1"/>
  <c r="P590" i="2"/>
  <c r="U590" i="2" s="1"/>
  <c r="P594" i="2"/>
  <c r="U594" i="2" s="1"/>
  <c r="P598" i="2"/>
  <c r="U598" i="2" s="1"/>
  <c r="P532" i="2"/>
  <c r="U532" i="2" s="1"/>
  <c r="P560" i="2"/>
  <c r="U560" i="2" s="1"/>
  <c r="P568" i="2"/>
  <c r="U568" i="2" s="1"/>
  <c r="P576" i="2"/>
  <c r="U576" i="2" s="1"/>
  <c r="P584" i="2"/>
  <c r="U584" i="2" s="1"/>
  <c r="P592" i="2"/>
  <c r="U592" i="2" s="1"/>
  <c r="P600" i="2"/>
  <c r="U600" i="2" s="1"/>
  <c r="P535" i="2"/>
  <c r="U535" i="2" s="1"/>
  <c r="P539" i="2"/>
  <c r="U539" i="2" s="1"/>
  <c r="P543" i="2"/>
  <c r="U543" i="2" s="1"/>
  <c r="P547" i="2"/>
  <c r="U547" i="2" s="1"/>
  <c r="P551" i="2"/>
  <c r="U551" i="2" s="1"/>
  <c r="P555" i="2"/>
  <c r="U555" i="2" s="1"/>
  <c r="P559" i="2"/>
  <c r="U559" i="2" s="1"/>
  <c r="P563" i="2"/>
  <c r="U563" i="2" s="1"/>
  <c r="P567" i="2"/>
  <c r="U567" i="2" s="1"/>
  <c r="P571" i="2"/>
  <c r="U571" i="2" s="1"/>
  <c r="P575" i="2"/>
  <c r="U575" i="2" s="1"/>
  <c r="P579" i="2"/>
  <c r="U579" i="2" s="1"/>
  <c r="P583" i="2"/>
  <c r="U583" i="2" s="1"/>
  <c r="P587" i="2"/>
  <c r="U587" i="2" s="1"/>
  <c r="P591" i="2"/>
  <c r="U591" i="2" s="1"/>
  <c r="P595" i="2"/>
  <c r="U595" i="2" s="1"/>
  <c r="P599" i="2"/>
  <c r="U599" i="2" s="1"/>
  <c r="P536" i="2"/>
  <c r="U536" i="2" s="1"/>
  <c r="P540" i="2"/>
  <c r="U540" i="2" s="1"/>
  <c r="P544" i="2"/>
  <c r="U544" i="2" s="1"/>
  <c r="P548" i="2"/>
  <c r="U548" i="2" s="1"/>
  <c r="P552" i="2"/>
  <c r="U552" i="2" s="1"/>
  <c r="P556" i="2"/>
  <c r="U556" i="2" s="1"/>
  <c r="P564" i="2"/>
  <c r="U564" i="2" s="1"/>
  <c r="P572" i="2"/>
  <c r="U572" i="2" s="1"/>
  <c r="P580" i="2"/>
  <c r="U580" i="2" s="1"/>
  <c r="P588" i="2"/>
  <c r="U588" i="2" s="1"/>
  <c r="P596" i="2"/>
  <c r="U596" i="2" s="1"/>
  <c r="P531" i="2"/>
  <c r="U531" i="2" s="1"/>
  <c r="V533" i="2"/>
  <c r="V537" i="2"/>
  <c r="V541" i="2"/>
  <c r="V545" i="2"/>
  <c r="V549" i="2"/>
  <c r="V553" i="2"/>
  <c r="V557" i="2"/>
  <c r="V561" i="2"/>
  <c r="V565" i="2"/>
  <c r="V569" i="2"/>
  <c r="V573" i="2"/>
  <c r="V577" i="2"/>
  <c r="V581" i="2"/>
  <c r="V585" i="2"/>
  <c r="V589" i="2"/>
  <c r="V593" i="2"/>
  <c r="V597" i="2"/>
  <c r="V532" i="2"/>
  <c r="V534" i="2"/>
  <c r="V538" i="2"/>
  <c r="V542" i="2"/>
  <c r="V546" i="2"/>
  <c r="V550" i="2"/>
  <c r="V554" i="2"/>
  <c r="V558" i="2"/>
  <c r="V562" i="2"/>
  <c r="V566" i="2"/>
  <c r="V570" i="2"/>
  <c r="V574" i="2"/>
  <c r="V578" i="2"/>
  <c r="V582" i="2"/>
  <c r="V586" i="2"/>
  <c r="V590" i="2"/>
  <c r="V594" i="2"/>
  <c r="V598" i="2"/>
  <c r="V535" i="2"/>
  <c r="V539" i="2"/>
  <c r="V543" i="2"/>
  <c r="V547" i="2"/>
  <c r="V551" i="2"/>
  <c r="V555" i="2"/>
  <c r="V559" i="2"/>
  <c r="V563" i="2"/>
  <c r="V567" i="2"/>
  <c r="V571" i="2"/>
  <c r="V575" i="2"/>
  <c r="V579" i="2"/>
  <c r="V583" i="2"/>
  <c r="V587" i="2"/>
  <c r="V591" i="2"/>
  <c r="V595" i="2"/>
  <c r="V599" i="2"/>
  <c r="V531" i="2"/>
  <c r="V536" i="2"/>
  <c r="V540" i="2"/>
  <c r="V544" i="2"/>
  <c r="V548" i="2"/>
  <c r="V552" i="2"/>
  <c r="V556" i="2"/>
  <c r="V560" i="2"/>
  <c r="V564" i="2"/>
  <c r="V568" i="2"/>
  <c r="V572" i="2"/>
  <c r="V576" i="2"/>
  <c r="V580" i="2"/>
  <c r="V584" i="2"/>
  <c r="V588" i="2"/>
  <c r="V592" i="2"/>
  <c r="V596" i="2"/>
  <c r="V600" i="2"/>
  <c r="I28" i="23"/>
  <c r="J28" i="23" s="1"/>
  <c r="D241" i="21"/>
  <c r="G241" i="21" s="1"/>
  <c r="R73" i="2"/>
  <c r="I51" i="21" s="1"/>
  <c r="AY51" i="21" s="1"/>
  <c r="V530" i="2"/>
  <c r="P530" i="2"/>
  <c r="U530" i="2" s="1"/>
  <c r="U183" i="23"/>
  <c r="R300" i="2"/>
  <c r="AU49" i="24" s="1"/>
  <c r="R133" i="2"/>
  <c r="I153" i="21" s="1"/>
  <c r="K153" i="21" s="1"/>
  <c r="K310" i="23"/>
  <c r="L310" i="23" s="1"/>
  <c r="I15" i="23"/>
  <c r="J15" i="23" s="1"/>
  <c r="I93" i="23"/>
  <c r="J93" i="23" s="1"/>
  <c r="K97" i="23"/>
  <c r="K134" i="23"/>
  <c r="I144" i="23"/>
  <c r="J144" i="23" s="1"/>
  <c r="I284" i="23"/>
  <c r="K292" i="23"/>
  <c r="L292" i="23" s="1"/>
  <c r="P7" i="2"/>
  <c r="U7" i="2" s="1"/>
  <c r="M310" i="23"/>
  <c r="K102" i="23"/>
  <c r="K120" i="23"/>
  <c r="I194" i="23"/>
  <c r="J194" i="23" s="1"/>
  <c r="K304" i="23"/>
  <c r="L304" i="23" s="1"/>
  <c r="I310" i="23"/>
  <c r="J310" i="23" s="1"/>
  <c r="K104" i="23"/>
  <c r="I286" i="23"/>
  <c r="V7" i="2"/>
  <c r="R485" i="2"/>
  <c r="U215" i="23"/>
  <c r="D198" i="21"/>
  <c r="G198" i="21" s="1"/>
  <c r="H241" i="21"/>
  <c r="R20" i="2"/>
  <c r="I6" i="21" s="1"/>
  <c r="P6" i="21" s="1"/>
  <c r="R22" i="2"/>
  <c r="I62" i="21" s="1"/>
  <c r="K62" i="21" s="1"/>
  <c r="R59" i="2"/>
  <c r="I39" i="21" s="1"/>
  <c r="AJ39" i="21" s="1"/>
  <c r="R62" i="2"/>
  <c r="I58" i="21" s="1"/>
  <c r="AD58" i="21" s="1"/>
  <c r="R70" i="2"/>
  <c r="I76" i="21" s="1"/>
  <c r="AX76" i="21" s="1"/>
  <c r="R13" i="2"/>
  <c r="I32" i="21" s="1"/>
  <c r="AL32" i="21" s="1"/>
  <c r="R68" i="2"/>
  <c r="I65" i="21" s="1"/>
  <c r="AU65" i="21" s="1"/>
  <c r="R158" i="2"/>
  <c r="I176" i="21" s="1"/>
  <c r="AK176" i="21" s="1"/>
  <c r="I33" i="23"/>
  <c r="R77" i="2"/>
  <c r="I74" i="21" s="1"/>
  <c r="AR74" i="21" s="1"/>
  <c r="R78" i="2"/>
  <c r="I112" i="21" s="1"/>
  <c r="AN112" i="21" s="1"/>
  <c r="R79" i="2"/>
  <c r="I223" i="21" s="1"/>
  <c r="M223" i="21" s="1"/>
  <c r="R109" i="2"/>
  <c r="I142" i="21" s="1"/>
  <c r="AK142" i="21" s="1"/>
  <c r="R132" i="2"/>
  <c r="I150" i="21" s="1"/>
  <c r="N150" i="21" s="1"/>
  <c r="O150" i="21" s="1"/>
  <c r="I136" i="23"/>
  <c r="J136" i="23" s="1"/>
  <c r="K137" i="23"/>
  <c r="K163" i="23"/>
  <c r="L163" i="23" s="1"/>
  <c r="I167" i="23"/>
  <c r="I169" i="23"/>
  <c r="J169" i="23" s="1"/>
  <c r="K249" i="26"/>
  <c r="K62" i="27" s="1"/>
  <c r="N243" i="30"/>
  <c r="N242" i="30" s="1"/>
  <c r="J242" i="30"/>
  <c r="K242" i="30" s="1"/>
  <c r="P9" i="2"/>
  <c r="U9" i="2" s="1"/>
  <c r="H9" i="23" s="1"/>
  <c r="P13" i="2"/>
  <c r="U13" i="2" s="1"/>
  <c r="H13" i="23" s="1"/>
  <c r="V15" i="2"/>
  <c r="P17" i="2"/>
  <c r="U17" i="2" s="1"/>
  <c r="V19" i="2"/>
  <c r="P21" i="2"/>
  <c r="U21" i="2" s="1"/>
  <c r="V23" i="2"/>
  <c r="V27" i="2"/>
  <c r="V35" i="2"/>
  <c r="V39" i="2"/>
  <c r="V43" i="2"/>
  <c r="V51" i="2"/>
  <c r="V55" i="2"/>
  <c r="V59" i="2"/>
  <c r="V62" i="2"/>
  <c r="V66" i="2"/>
  <c r="S73" i="2"/>
  <c r="T73" i="2" s="1"/>
  <c r="Z73" i="2" s="1"/>
  <c r="V74" i="2"/>
  <c r="S77" i="2"/>
  <c r="T77" i="2" s="1"/>
  <c r="AQ77" i="2" s="1"/>
  <c r="U77" i="23" s="1"/>
  <c r="V78" i="2"/>
  <c r="J319" i="32" s="1"/>
  <c r="S81" i="2"/>
  <c r="T81" i="2" s="1"/>
  <c r="AQ81" i="2" s="1"/>
  <c r="U81" i="23" s="1"/>
  <c r="V86" i="2"/>
  <c r="V90" i="2"/>
  <c r="V94" i="2"/>
  <c r="S97" i="2"/>
  <c r="T97" i="2" s="1"/>
  <c r="AQ97" i="2" s="1"/>
  <c r="U97" i="23" s="1"/>
  <c r="V98" i="2"/>
  <c r="V102" i="2"/>
  <c r="V106" i="2"/>
  <c r="S109" i="2"/>
  <c r="T109" i="2" s="1"/>
  <c r="AQ109" i="2" s="1"/>
  <c r="U109" i="23" s="1"/>
  <c r="V114" i="2"/>
  <c r="S117" i="2"/>
  <c r="T117" i="2" s="1"/>
  <c r="V122" i="2"/>
  <c r="V126" i="2"/>
  <c r="V130" i="2"/>
  <c r="P136" i="2"/>
  <c r="U136" i="2" s="1"/>
  <c r="S137" i="2"/>
  <c r="T137" i="2" s="1"/>
  <c r="V138" i="2"/>
  <c r="V146" i="2"/>
  <c r="P148" i="2"/>
  <c r="U148" i="2" s="1"/>
  <c r="F361" i="32" s="1"/>
  <c r="F359" i="32" s="1"/>
  <c r="S149" i="2"/>
  <c r="T149" i="2" s="1"/>
  <c r="Z149" i="2" s="1"/>
  <c r="P209" i="2"/>
  <c r="U209" i="2" s="1"/>
  <c r="V240" i="2"/>
  <c r="V482" i="2"/>
  <c r="R33" i="2"/>
  <c r="I83" i="21" s="1"/>
  <c r="AX83" i="21" s="1"/>
  <c r="K49" i="23"/>
  <c r="L49" i="23" s="1"/>
  <c r="K50" i="23"/>
  <c r="L50" i="23" s="1"/>
  <c r="V53" i="2"/>
  <c r="R54" i="2"/>
  <c r="I70" i="21" s="1"/>
  <c r="V70" i="21" s="1"/>
  <c r="R55" i="2"/>
  <c r="I52" i="21" s="1"/>
  <c r="X52" i="21" s="1"/>
  <c r="R56" i="2"/>
  <c r="I46" i="21" s="1"/>
  <c r="J46" i="21" s="1"/>
  <c r="R57" i="2"/>
  <c r="I41" i="21" s="1"/>
  <c r="T41" i="21" s="1"/>
  <c r="V70" i="2"/>
  <c r="R82" i="2"/>
  <c r="I53" i="21" s="1"/>
  <c r="Y53" i="21" s="1"/>
  <c r="R83" i="2"/>
  <c r="I79" i="21" s="1"/>
  <c r="Y79" i="21" s="1"/>
  <c r="V150" i="2"/>
  <c r="R202" i="2"/>
  <c r="I214" i="21" s="1"/>
  <c r="AY214" i="21" s="1"/>
  <c r="I244" i="23"/>
  <c r="J244" i="23" s="1"/>
  <c r="I291" i="23"/>
  <c r="R125" i="2"/>
  <c r="I117" i="21" s="1"/>
  <c r="AI117" i="21" s="1"/>
  <c r="R104" i="2"/>
  <c r="I137" i="21" s="1"/>
  <c r="AM137" i="21" s="1"/>
  <c r="R116" i="2"/>
  <c r="I122" i="21" s="1"/>
  <c r="AR122" i="21" s="1"/>
  <c r="P55" i="2"/>
  <c r="U55" i="2" s="1"/>
  <c r="R52" i="2"/>
  <c r="I5" i="21" s="1"/>
  <c r="AQ5" i="21" s="1"/>
  <c r="R51" i="2"/>
  <c r="I36" i="21" s="1"/>
  <c r="AD36" i="21" s="1"/>
  <c r="R50" i="2"/>
  <c r="I35" i="21" s="1"/>
  <c r="M35" i="21" s="1"/>
  <c r="R43" i="2"/>
  <c r="I7" i="21" s="1"/>
  <c r="AY7" i="21" s="1"/>
  <c r="R123" i="2"/>
  <c r="I143" i="21" s="1"/>
  <c r="AY143" i="21" s="1"/>
  <c r="R118" i="2"/>
  <c r="I146" i="21" s="1"/>
  <c r="AC146" i="21" s="1"/>
  <c r="R98" i="2"/>
  <c r="I141" i="21" s="1"/>
  <c r="AY141" i="21" s="1"/>
  <c r="R97" i="2"/>
  <c r="I155" i="21" s="1"/>
  <c r="AR155" i="21" s="1"/>
  <c r="V96" i="2"/>
  <c r="P8" i="2"/>
  <c r="U8" i="2" s="1"/>
  <c r="P12" i="2"/>
  <c r="U12" i="2" s="1"/>
  <c r="H12" i="23" s="1"/>
  <c r="S13" i="2"/>
  <c r="T13" i="2" s="1"/>
  <c r="G13" i="23" s="1"/>
  <c r="N13" i="23" s="1"/>
  <c r="V14" i="2"/>
  <c r="P16" i="2"/>
  <c r="U16" i="2" s="1"/>
  <c r="S17" i="2"/>
  <c r="T17" i="2" s="1"/>
  <c r="Z17" i="2" s="1"/>
  <c r="V18" i="2"/>
  <c r="P20" i="2"/>
  <c r="U20" i="2" s="1"/>
  <c r="V22" i="2"/>
  <c r="S25" i="2"/>
  <c r="T25" i="2" s="1"/>
  <c r="G25" i="23" s="1"/>
  <c r="V26" i="2"/>
  <c r="V30" i="2"/>
  <c r="S33" i="2"/>
  <c r="T33" i="2" s="1"/>
  <c r="Z33" i="2" s="1"/>
  <c r="V38" i="2"/>
  <c r="S41" i="2"/>
  <c r="T41" i="2" s="1"/>
  <c r="G41" i="23" s="1"/>
  <c r="V42" i="2"/>
  <c r="V46" i="2"/>
  <c r="V50" i="2"/>
  <c r="S57" i="2"/>
  <c r="T57" i="2" s="1"/>
  <c r="AQ57" i="2" s="1"/>
  <c r="U57" i="23" s="1"/>
  <c r="V58" i="2"/>
  <c r="P63" i="2"/>
  <c r="U63" i="2" s="1"/>
  <c r="V65" i="2"/>
  <c r="P67" i="2"/>
  <c r="U67" i="2" s="1"/>
  <c r="S68" i="2"/>
  <c r="T68" i="2" s="1"/>
  <c r="V69" i="2"/>
  <c r="P71" i="2"/>
  <c r="U71" i="2" s="1"/>
  <c r="V73" i="2"/>
  <c r="S76" i="2"/>
  <c r="T76" i="2" s="1"/>
  <c r="G76" i="23" s="1"/>
  <c r="N76" i="23" s="1"/>
  <c r="P79" i="2"/>
  <c r="U79" i="2" s="1"/>
  <c r="V81" i="2"/>
  <c r="P83" i="2"/>
  <c r="U83" i="2" s="1"/>
  <c r="V85" i="2"/>
  <c r="P87" i="2"/>
  <c r="U87" i="2" s="1"/>
  <c r="V89" i="2"/>
  <c r="P91" i="2"/>
  <c r="U91" i="2" s="1"/>
  <c r="V93" i="2"/>
  <c r="S96" i="2"/>
  <c r="T96" i="2" s="1"/>
  <c r="P99" i="2"/>
  <c r="U99" i="2" s="1"/>
  <c r="V101" i="2"/>
  <c r="P103" i="2"/>
  <c r="U103" i="2" s="1"/>
  <c r="V105" i="2"/>
  <c r="S108" i="2"/>
  <c r="T108" i="2" s="1"/>
  <c r="P111" i="2"/>
  <c r="U111" i="2" s="1"/>
  <c r="V113" i="2"/>
  <c r="P115" i="2"/>
  <c r="U115" i="2" s="1"/>
  <c r="S116" i="2"/>
  <c r="T116" i="2" s="1"/>
  <c r="V117" i="2"/>
  <c r="P119" i="2"/>
  <c r="U119" i="2" s="1"/>
  <c r="V129" i="2"/>
  <c r="P131" i="2"/>
  <c r="U131" i="2" s="1"/>
  <c r="S132" i="2"/>
  <c r="T132" i="2" s="1"/>
  <c r="P153" i="2"/>
  <c r="U153" i="2" s="1"/>
  <c r="S158" i="2"/>
  <c r="T158" i="2" s="1"/>
  <c r="S162" i="2"/>
  <c r="T162" i="2" s="1"/>
  <c r="Z162" i="2" s="1"/>
  <c r="P169" i="2"/>
  <c r="U169" i="2" s="1"/>
  <c r="U186" i="23"/>
  <c r="P197" i="2"/>
  <c r="AC65" i="24" s="1"/>
  <c r="S226" i="2"/>
  <c r="T226" i="2" s="1"/>
  <c r="Z226" i="2" s="1"/>
  <c r="S251" i="2"/>
  <c r="AD32" i="24" s="1"/>
  <c r="U257" i="23"/>
  <c r="S277" i="2"/>
  <c r="T277" i="2" s="1"/>
  <c r="G277" i="23" s="1"/>
  <c r="V502" i="2"/>
  <c r="I149" i="23"/>
  <c r="I195" i="23"/>
  <c r="J195" i="23" s="1"/>
  <c r="I12" i="23"/>
  <c r="J12" i="23" s="1"/>
  <c r="I84" i="23"/>
  <c r="I86" i="23"/>
  <c r="J86" i="23" s="1"/>
  <c r="U7" i="23"/>
  <c r="V8" i="2"/>
  <c r="P14" i="2"/>
  <c r="U14" i="2" s="1"/>
  <c r="S15" i="2"/>
  <c r="T15" i="2" s="1"/>
  <c r="G15" i="23" s="1"/>
  <c r="S15" i="23" s="1"/>
  <c r="V16" i="2"/>
  <c r="P18" i="2"/>
  <c r="U18" i="2" s="1"/>
  <c r="V20" i="2"/>
  <c r="P26" i="2"/>
  <c r="U26" i="2" s="1"/>
  <c r="V28" i="2"/>
  <c r="V32" i="2"/>
  <c r="P34" i="2"/>
  <c r="U34" i="2" s="1"/>
  <c r="V36" i="2"/>
  <c r="P38" i="2"/>
  <c r="U38" i="2" s="1"/>
  <c r="P42" i="2"/>
  <c r="U42" i="2" s="1"/>
  <c r="V44" i="2"/>
  <c r="V48" i="2"/>
  <c r="P50" i="2"/>
  <c r="U50" i="2" s="1"/>
  <c r="P54" i="2"/>
  <c r="U54" i="2" s="1"/>
  <c r="S55" i="2"/>
  <c r="T55" i="2" s="1"/>
  <c r="G55" i="23" s="1"/>
  <c r="S55" i="23" s="1"/>
  <c r="V56" i="2"/>
  <c r="P58" i="2"/>
  <c r="U58" i="2" s="1"/>
  <c r="S59" i="2"/>
  <c r="T59" i="2" s="1"/>
  <c r="Z59" i="2" s="1"/>
  <c r="V60" i="2"/>
  <c r="V63" i="2"/>
  <c r="V67" i="2"/>
  <c r="V71" i="2"/>
  <c r="V79" i="2"/>
  <c r="V83" i="2"/>
  <c r="V87" i="2"/>
  <c r="V91" i="2"/>
  <c r="V99" i="2"/>
  <c r="V103" i="2"/>
  <c r="V111" i="2"/>
  <c r="V115" i="2"/>
  <c r="V123" i="2"/>
  <c r="V131" i="2"/>
  <c r="S134" i="2"/>
  <c r="T134" i="2" s="1"/>
  <c r="P137" i="2"/>
  <c r="U137" i="2" s="1"/>
  <c r="F365" i="32" s="1"/>
  <c r="P149" i="2"/>
  <c r="U149" i="2" s="1"/>
  <c r="P151" i="2"/>
  <c r="U151" i="2" s="1"/>
  <c r="S152" i="2"/>
  <c r="T152" i="2" s="1"/>
  <c r="G152" i="23" s="1"/>
  <c r="S152" i="23" s="1"/>
  <c r="P155" i="2"/>
  <c r="U155" i="2" s="1"/>
  <c r="P167" i="2"/>
  <c r="U167" i="2" s="1"/>
  <c r="P191" i="2"/>
  <c r="U191" i="2" s="1"/>
  <c r="P199" i="2"/>
  <c r="U199" i="2" s="1"/>
  <c r="U258" i="23"/>
  <c r="V509" i="2"/>
  <c r="H198" i="21"/>
  <c r="I255" i="21"/>
  <c r="K255" i="21" s="1"/>
  <c r="I259" i="21"/>
  <c r="K259" i="21" s="1"/>
  <c r="I272" i="23"/>
  <c r="J272" i="23" s="1"/>
  <c r="K294" i="23"/>
  <c r="L294" i="23" s="1"/>
  <c r="V9" i="2"/>
  <c r="R319" i="2"/>
  <c r="P11" i="2"/>
  <c r="U11" i="2" s="1"/>
  <c r="H11" i="23" s="1"/>
  <c r="V13" i="2"/>
  <c r="Y13" i="2" s="1"/>
  <c r="P15" i="2"/>
  <c r="U15" i="2" s="1"/>
  <c r="H15" i="23" s="1"/>
  <c r="V17" i="2"/>
  <c r="Y17" i="2" s="1"/>
  <c r="P19" i="2"/>
  <c r="U19" i="2" s="1"/>
  <c r="V21" i="2"/>
  <c r="Y21" i="2" s="1"/>
  <c r="AC21" i="2" s="1"/>
  <c r="P23" i="2"/>
  <c r="U23" i="2" s="1"/>
  <c r="V25" i="2"/>
  <c r="P27" i="2"/>
  <c r="U27" i="2" s="1"/>
  <c r="V29" i="2"/>
  <c r="P35" i="2"/>
  <c r="U35" i="2" s="1"/>
  <c r="V37" i="2"/>
  <c r="P39" i="2"/>
  <c r="U39" i="2" s="1"/>
  <c r="V41" i="2"/>
  <c r="P43" i="2"/>
  <c r="U43" i="2" s="1"/>
  <c r="V45" i="2"/>
  <c r="P51" i="2"/>
  <c r="U51" i="2" s="1"/>
  <c r="S52" i="2"/>
  <c r="T52" i="2" s="1"/>
  <c r="V57" i="2"/>
  <c r="V61" i="2"/>
  <c r="P66" i="2"/>
  <c r="U66" i="2" s="1"/>
  <c r="V68" i="2"/>
  <c r="S71" i="2"/>
  <c r="T71" i="2" s="1"/>
  <c r="V72" i="2"/>
  <c r="P74" i="2"/>
  <c r="U74" i="2" s="1"/>
  <c r="V76" i="2"/>
  <c r="P78" i="2"/>
  <c r="U78" i="2" s="1"/>
  <c r="P82" i="2"/>
  <c r="U82" i="2" s="1"/>
  <c r="S83" i="2"/>
  <c r="T83" i="2" s="1"/>
  <c r="G83" i="23" s="1"/>
  <c r="S83" i="23" s="1"/>
  <c r="V84" i="2"/>
  <c r="P86" i="2"/>
  <c r="U86" i="2" s="1"/>
  <c r="P90" i="2"/>
  <c r="U90" i="2" s="1"/>
  <c r="V92" i="2"/>
  <c r="P98" i="2"/>
  <c r="U98" i="2" s="1"/>
  <c r="P102" i="2"/>
  <c r="U102" i="2" s="1"/>
  <c r="V104" i="2"/>
  <c r="J320" i="32" s="1"/>
  <c r="P106" i="2"/>
  <c r="U106" i="2" s="1"/>
  <c r="V108" i="2"/>
  <c r="P110" i="2"/>
  <c r="U110" i="2" s="1"/>
  <c r="V112" i="2"/>
  <c r="P114" i="2"/>
  <c r="U114" i="2" s="1"/>
  <c r="S115" i="2"/>
  <c r="T115" i="2" s="1"/>
  <c r="G115" i="23" s="1"/>
  <c r="S115" i="23" s="1"/>
  <c r="P118" i="2"/>
  <c r="U118" i="2" s="1"/>
  <c r="V120" i="2"/>
  <c r="P122" i="2"/>
  <c r="U122" i="2" s="1"/>
  <c r="S123" i="2"/>
  <c r="T123" i="2" s="1"/>
  <c r="G123" i="23" s="1"/>
  <c r="N123" i="23" s="1"/>
  <c r="V124" i="2"/>
  <c r="P130" i="2"/>
  <c r="U130" i="2" s="1"/>
  <c r="V132" i="2"/>
  <c r="S135" i="2"/>
  <c r="T135" i="2" s="1"/>
  <c r="V154" i="2"/>
  <c r="P164" i="2"/>
  <c r="U164" i="2" s="1"/>
  <c r="V166" i="2"/>
  <c r="P172" i="2"/>
  <c r="U172" i="2" s="1"/>
  <c r="V178" i="2"/>
  <c r="AG52" i="24" s="1"/>
  <c r="P180" i="2"/>
  <c r="V182" i="2"/>
  <c r="AG14" i="24" s="1"/>
  <c r="U225" i="23"/>
  <c r="V287" i="2"/>
  <c r="P288" i="2"/>
  <c r="E194" i="30"/>
  <c r="N194" i="30" s="1"/>
  <c r="AS42" i="24"/>
  <c r="E307" i="30"/>
  <c r="E354" i="26"/>
  <c r="E353" i="26" s="1"/>
  <c r="AW83" i="17"/>
  <c r="K264" i="23"/>
  <c r="L264" i="23" s="1"/>
  <c r="AS41" i="24"/>
  <c r="K208" i="23"/>
  <c r="L208" i="23" s="1"/>
  <c r="AA26" i="24"/>
  <c r="K274" i="23"/>
  <c r="L274" i="23" s="1"/>
  <c r="AA58" i="24"/>
  <c r="I235" i="23"/>
  <c r="J235" i="23" s="1"/>
  <c r="AS63" i="24"/>
  <c r="I295" i="23"/>
  <c r="K295" i="23"/>
  <c r="K236" i="23"/>
  <c r="L236" i="23" s="1"/>
  <c r="AQ150" i="2"/>
  <c r="U150" i="23" s="1"/>
  <c r="K54" i="23"/>
  <c r="K57" i="23"/>
  <c r="L57" i="23" s="1"/>
  <c r="H23" i="25"/>
  <c r="I23" i="25" s="1"/>
  <c r="AA70" i="24"/>
  <c r="AS78" i="24"/>
  <c r="AA47" i="24"/>
  <c r="AA49" i="24"/>
  <c r="AA90" i="24"/>
  <c r="AA89" i="24"/>
  <c r="AA35" i="24"/>
  <c r="AA31" i="24"/>
  <c r="AA86" i="24"/>
  <c r="AA85" i="24"/>
  <c r="AS79" i="24"/>
  <c r="AS82" i="24"/>
  <c r="I48" i="23"/>
  <c r="I55" i="23"/>
  <c r="J55" i="23" s="1"/>
  <c r="K86" i="23"/>
  <c r="L86" i="23" s="1"/>
  <c r="K123" i="23"/>
  <c r="L123" i="23" s="1"/>
  <c r="K167" i="23"/>
  <c r="I209" i="23"/>
  <c r="J209" i="23" s="1"/>
  <c r="I292" i="23"/>
  <c r="J292" i="23" s="1"/>
  <c r="AS65" i="24"/>
  <c r="I18" i="23"/>
  <c r="K66" i="23"/>
  <c r="L66" i="23" s="1"/>
  <c r="K70" i="23"/>
  <c r="K141" i="23"/>
  <c r="L141" i="23" s="1"/>
  <c r="K144" i="23"/>
  <c r="L144" i="23" s="1"/>
  <c r="K196" i="23"/>
  <c r="I210" i="23"/>
  <c r="J210" i="23" s="1"/>
  <c r="K250" i="23"/>
  <c r="L250" i="23" s="1"/>
  <c r="AS12" i="24"/>
  <c r="AA50" i="24"/>
  <c r="K210" i="23"/>
  <c r="L210" i="23" s="1"/>
  <c r="K261" i="23"/>
  <c r="L261" i="23" s="1"/>
  <c r="I261" i="23"/>
  <c r="J261" i="23" s="1"/>
  <c r="I276" i="23"/>
  <c r="J276" i="23" s="1"/>
  <c r="K276" i="23"/>
  <c r="L276" i="23" s="1"/>
  <c r="AS76" i="24"/>
  <c r="I296" i="23"/>
  <c r="I120" i="23"/>
  <c r="K169" i="23"/>
  <c r="L169" i="23" s="1"/>
  <c r="AS9" i="24"/>
  <c r="AA28" i="24"/>
  <c r="AS39" i="24"/>
  <c r="I178" i="23"/>
  <c r="J178" i="23" s="1"/>
  <c r="I204" i="23"/>
  <c r="J204" i="23" s="1"/>
  <c r="K244" i="23"/>
  <c r="L244" i="23" s="1"/>
  <c r="I278" i="23"/>
  <c r="J278" i="23" s="1"/>
  <c r="AS11" i="24"/>
  <c r="AS15" i="24"/>
  <c r="K280" i="23"/>
  <c r="K71" i="23"/>
  <c r="I79" i="23"/>
  <c r="J79" i="23" s="1"/>
  <c r="K192" i="23"/>
  <c r="L192" i="23" s="1"/>
  <c r="K227" i="23"/>
  <c r="L227" i="23" s="1"/>
  <c r="K231" i="23"/>
  <c r="L231" i="23" s="1"/>
  <c r="K235" i="23"/>
  <c r="L235" i="23" s="1"/>
  <c r="K247" i="23"/>
  <c r="L247" i="23" s="1"/>
  <c r="K291" i="23"/>
  <c r="AA104" i="24"/>
  <c r="E363" i="30"/>
  <c r="K27" i="23"/>
  <c r="L27" i="23" s="1"/>
  <c r="K29" i="23"/>
  <c r="K68" i="23"/>
  <c r="K84" i="23"/>
  <c r="I94" i="23"/>
  <c r="J94" i="23" s="1"/>
  <c r="I100" i="23"/>
  <c r="K106" i="23"/>
  <c r="K118" i="23"/>
  <c r="K148" i="23"/>
  <c r="I177" i="23"/>
  <c r="J177" i="23" s="1"/>
  <c r="K193" i="23"/>
  <c r="K195" i="23"/>
  <c r="L195" i="23" s="1"/>
  <c r="K198" i="23"/>
  <c r="K202" i="23"/>
  <c r="K248" i="23"/>
  <c r="L248" i="23" s="1"/>
  <c r="I252" i="23"/>
  <c r="J252" i="23" s="1"/>
  <c r="I258" i="23"/>
  <c r="I294" i="23"/>
  <c r="J294" i="23" s="1"/>
  <c r="K296" i="23"/>
  <c r="E363" i="26"/>
  <c r="E373" i="30"/>
  <c r="AB49" i="21"/>
  <c r="K28" i="23"/>
  <c r="L28" i="23" s="1"/>
  <c r="K38" i="23"/>
  <c r="L38" i="23" s="1"/>
  <c r="K47" i="23"/>
  <c r="L47" i="23" s="1"/>
  <c r="I53" i="23"/>
  <c r="K73" i="23"/>
  <c r="I101" i="23"/>
  <c r="J101" i="23" s="1"/>
  <c r="K111" i="23"/>
  <c r="L111" i="23" s="1"/>
  <c r="K119" i="23"/>
  <c r="L119" i="23" s="1"/>
  <c r="K149" i="23"/>
  <c r="K151" i="23"/>
  <c r="L151" i="23" s="1"/>
  <c r="I163" i="23"/>
  <c r="J163" i="23" s="1"/>
  <c r="I168" i="23"/>
  <c r="J168" i="23" s="1"/>
  <c r="I184" i="23"/>
  <c r="K190" i="23"/>
  <c r="L190" i="23" s="1"/>
  <c r="K194" i="23"/>
  <c r="L194" i="23" s="1"/>
  <c r="I211" i="23"/>
  <c r="J211" i="23" s="1"/>
  <c r="I215" i="23"/>
  <c r="J215" i="23" s="1"/>
  <c r="K234" i="23"/>
  <c r="L234" i="23" s="1"/>
  <c r="I239" i="23"/>
  <c r="J239" i="23" s="1"/>
  <c r="K243" i="23"/>
  <c r="L243" i="23" s="1"/>
  <c r="K253" i="23"/>
  <c r="K13" i="23"/>
  <c r="K19" i="23"/>
  <c r="L19" i="23" s="1"/>
  <c r="K21" i="23"/>
  <c r="L21" i="23" s="1"/>
  <c r="I21" i="23"/>
  <c r="J21" i="23" s="1"/>
  <c r="I127" i="23"/>
  <c r="K127" i="23"/>
  <c r="K135" i="23"/>
  <c r="K221" i="23"/>
  <c r="L221" i="23" s="1"/>
  <c r="I221" i="23"/>
  <c r="J221" i="23" s="1"/>
  <c r="U148" i="23"/>
  <c r="R93" i="21"/>
  <c r="AO93" i="21"/>
  <c r="P184" i="2"/>
  <c r="U184" i="2" s="1"/>
  <c r="V190" i="2"/>
  <c r="P192" i="2"/>
  <c r="U192" i="2" s="1"/>
  <c r="F287" i="32" s="1"/>
  <c r="F285" i="32" s="1"/>
  <c r="S193" i="2"/>
  <c r="T193" i="2" s="1"/>
  <c r="V198" i="2"/>
  <c r="I251" i="21"/>
  <c r="AV251" i="21" s="1"/>
  <c r="U269" i="23"/>
  <c r="S270" i="2"/>
  <c r="P475" i="2"/>
  <c r="U475" i="2" s="1"/>
  <c r="V523" i="2"/>
  <c r="R436" i="2"/>
  <c r="AU110" i="24" s="1"/>
  <c r="V435" i="2"/>
  <c r="R259" i="2"/>
  <c r="I249" i="21" s="1"/>
  <c r="AR249" i="21" s="1"/>
  <c r="P258" i="2"/>
  <c r="AB86" i="24" s="1"/>
  <c r="V252" i="2"/>
  <c r="AG56" i="24" s="1"/>
  <c r="R206" i="2"/>
  <c r="I226" i="21" s="1"/>
  <c r="AW226" i="21" s="1"/>
  <c r="P183" i="2"/>
  <c r="U183" i="2" s="1"/>
  <c r="P181" i="2"/>
  <c r="AC11" i="24" s="1"/>
  <c r="P176" i="2"/>
  <c r="S175" i="2"/>
  <c r="S174" i="2"/>
  <c r="T174" i="2" s="1"/>
  <c r="G174" i="23" s="1"/>
  <c r="S174" i="23" s="1"/>
  <c r="V170" i="2"/>
  <c r="P168" i="2"/>
  <c r="U168" i="2" s="1"/>
  <c r="P165" i="2"/>
  <c r="U165" i="2" s="1"/>
  <c r="V162" i="2"/>
  <c r="P161" i="2"/>
  <c r="U161" i="2" s="1"/>
  <c r="P152" i="2"/>
  <c r="U152" i="2" s="1"/>
  <c r="P147" i="2"/>
  <c r="U147" i="2" s="1"/>
  <c r="P145" i="2"/>
  <c r="U145" i="2" s="1"/>
  <c r="H145" i="23" s="1"/>
  <c r="P140" i="2"/>
  <c r="U140" i="2" s="1"/>
  <c r="R134" i="2"/>
  <c r="I219" i="21" s="1"/>
  <c r="W219" i="21" s="1"/>
  <c r="S133" i="2"/>
  <c r="T133" i="2" s="1"/>
  <c r="Z133" i="2" s="1"/>
  <c r="S131" i="2"/>
  <c r="T131" i="2" s="1"/>
  <c r="G131" i="23" s="1"/>
  <c r="S131" i="23" s="1"/>
  <c r="V128" i="2"/>
  <c r="P126" i="2"/>
  <c r="U126" i="2" s="1"/>
  <c r="S125" i="2"/>
  <c r="T125" i="2" s="1"/>
  <c r="AK125" i="2" s="1"/>
  <c r="F209" i="21"/>
  <c r="D209" i="21"/>
  <c r="H210" i="21"/>
  <c r="D210" i="21"/>
  <c r="G210" i="21" s="1"/>
  <c r="D211" i="21"/>
  <c r="I13" i="23"/>
  <c r="I19" i="23"/>
  <c r="J19" i="23" s="1"/>
  <c r="I54" i="23"/>
  <c r="I65" i="23"/>
  <c r="I76" i="23"/>
  <c r="K98" i="23"/>
  <c r="K103" i="23"/>
  <c r="I103" i="23"/>
  <c r="K136" i="23"/>
  <c r="L136" i="23" s="1"/>
  <c r="I225" i="23"/>
  <c r="J225" i="23" s="1"/>
  <c r="K238" i="23"/>
  <c r="L238" i="23" s="1"/>
  <c r="I238" i="23"/>
  <c r="J238" i="23" s="1"/>
  <c r="I257" i="23"/>
  <c r="J257" i="23" s="1"/>
  <c r="K257" i="23"/>
  <c r="L257" i="23" s="1"/>
  <c r="K79" i="23"/>
  <c r="L79" i="23" s="1"/>
  <c r="K182" i="23"/>
  <c r="L182" i="23" s="1"/>
  <c r="I206" i="23"/>
  <c r="K206" i="23"/>
  <c r="K241" i="23"/>
  <c r="L241" i="23" s="1"/>
  <c r="I241" i="23"/>
  <c r="J241" i="23" s="1"/>
  <c r="K259" i="23"/>
  <c r="L259" i="23" s="1"/>
  <c r="I259" i="23"/>
  <c r="J259" i="23" s="1"/>
  <c r="AK49" i="21"/>
  <c r="S49" i="21"/>
  <c r="AQ49" i="21"/>
  <c r="J49" i="21"/>
  <c r="AV49" i="21"/>
  <c r="H225" i="21"/>
  <c r="F225" i="21"/>
  <c r="G225" i="21" s="1"/>
  <c r="H238" i="21"/>
  <c r="D238" i="21"/>
  <c r="I8" i="23"/>
  <c r="K8" i="23"/>
  <c r="K67" i="23"/>
  <c r="I67" i="23"/>
  <c r="I128" i="23"/>
  <c r="J128" i="23" s="1"/>
  <c r="K255" i="23"/>
  <c r="L255" i="23" s="1"/>
  <c r="I255" i="23"/>
  <c r="J255" i="23" s="1"/>
  <c r="J60" i="27"/>
  <c r="N247" i="26"/>
  <c r="N60" i="27" s="1"/>
  <c r="P10" i="2"/>
  <c r="U10" i="2" s="1"/>
  <c r="V10" i="2"/>
  <c r="V11" i="2"/>
  <c r="V12" i="2"/>
  <c r="R15" i="2"/>
  <c r="I27" i="21" s="1"/>
  <c r="AJ27" i="21" s="1"/>
  <c r="S18" i="2"/>
  <c r="T18" i="2" s="1"/>
  <c r="Z18" i="2" s="1"/>
  <c r="S20" i="2"/>
  <c r="T20" i="2" s="1"/>
  <c r="G20" i="23" s="1"/>
  <c r="S20" i="23" s="1"/>
  <c r="P22" i="2"/>
  <c r="U22" i="2" s="1"/>
  <c r="V24" i="2"/>
  <c r="R25" i="2"/>
  <c r="I82" i="21" s="1"/>
  <c r="N82" i="21" s="1"/>
  <c r="O82" i="21" s="1"/>
  <c r="P30" i="2"/>
  <c r="U30" i="2" s="1"/>
  <c r="H30" i="23" s="1"/>
  <c r="P31" i="2"/>
  <c r="U31" i="2" s="1"/>
  <c r="H31" i="23" s="1"/>
  <c r="V31" i="2"/>
  <c r="V33" i="2"/>
  <c r="V34" i="2"/>
  <c r="V40" i="2"/>
  <c r="R41" i="2"/>
  <c r="S43" i="2"/>
  <c r="T43" i="2" s="1"/>
  <c r="AK43" i="2" s="1"/>
  <c r="R43" i="23" s="1"/>
  <c r="P46" i="2"/>
  <c r="U46" i="2" s="1"/>
  <c r="P47" i="2"/>
  <c r="U47" i="2" s="1"/>
  <c r="V47" i="2"/>
  <c r="V49" i="2"/>
  <c r="S51" i="2"/>
  <c r="T51" i="2" s="1"/>
  <c r="G51" i="23" s="1"/>
  <c r="S51" i="23" s="1"/>
  <c r="V52" i="2"/>
  <c r="V54" i="2"/>
  <c r="S56" i="2"/>
  <c r="T56" i="2" s="1"/>
  <c r="G56" i="23" s="1"/>
  <c r="S56" i="23" s="1"/>
  <c r="R58" i="2"/>
  <c r="I42" i="21" s="1"/>
  <c r="AX42" i="21" s="1"/>
  <c r="P59" i="2"/>
  <c r="U59" i="2" s="1"/>
  <c r="P62" i="2"/>
  <c r="U62" i="2" s="1"/>
  <c r="V64" i="2"/>
  <c r="P70" i="2"/>
  <c r="U70" i="2" s="1"/>
  <c r="R71" i="2"/>
  <c r="I72" i="21" s="1"/>
  <c r="AG72" i="21" s="1"/>
  <c r="R74" i="2"/>
  <c r="P75" i="2"/>
  <c r="U75" i="2" s="1"/>
  <c r="V75" i="2"/>
  <c r="R76" i="2"/>
  <c r="I78" i="21" s="1"/>
  <c r="U78" i="21" s="1"/>
  <c r="V77" i="2"/>
  <c r="S79" i="2"/>
  <c r="T79" i="2" s="1"/>
  <c r="AK79" i="2" s="1"/>
  <c r="V80" i="2"/>
  <c r="R81" i="2"/>
  <c r="I121" i="21" s="1"/>
  <c r="AL121" i="21" s="1"/>
  <c r="V82" i="2"/>
  <c r="V88" i="2"/>
  <c r="P94" i="2"/>
  <c r="U94" i="2" s="1"/>
  <c r="P95" i="2"/>
  <c r="U95" i="2" s="1"/>
  <c r="H95" i="23" s="1"/>
  <c r="V95" i="2"/>
  <c r="R96" i="2"/>
  <c r="I61" i="21" s="1"/>
  <c r="AM61" i="21" s="1"/>
  <c r="V97" i="2"/>
  <c r="V100" i="2"/>
  <c r="S104" i="2"/>
  <c r="T104" i="2" s="1"/>
  <c r="S320" i="32" s="1"/>
  <c r="R106" i="2"/>
  <c r="I160" i="21" s="1"/>
  <c r="AH160" i="21" s="1"/>
  <c r="P107" i="2"/>
  <c r="U107" i="2" s="1"/>
  <c r="V107" i="2"/>
  <c r="R108" i="2"/>
  <c r="I144" i="21" s="1"/>
  <c r="AC144" i="21" s="1"/>
  <c r="V109" i="2"/>
  <c r="V110" i="2"/>
  <c r="R115" i="2"/>
  <c r="I145" i="21" s="1"/>
  <c r="AY145" i="21" s="1"/>
  <c r="V116" i="2"/>
  <c r="R117" i="2"/>
  <c r="I138" i="21" s="1"/>
  <c r="K138" i="21" s="1"/>
  <c r="V118" i="2"/>
  <c r="V119" i="2"/>
  <c r="V121" i="2"/>
  <c r="P123" i="2"/>
  <c r="U123" i="2" s="1"/>
  <c r="V125" i="2"/>
  <c r="R126" i="2"/>
  <c r="I213" i="21" s="1"/>
  <c r="X213" i="21" s="1"/>
  <c r="P127" i="2"/>
  <c r="U127" i="2" s="1"/>
  <c r="V127" i="2"/>
  <c r="R131" i="2"/>
  <c r="I149" i="21" s="1"/>
  <c r="AV149" i="21" s="1"/>
  <c r="P139" i="2"/>
  <c r="U139" i="2" s="1"/>
  <c r="P156" i="2"/>
  <c r="U156" i="2" s="1"/>
  <c r="P163" i="2"/>
  <c r="U163" i="2" s="1"/>
  <c r="P171" i="2"/>
  <c r="U171" i="2" s="1"/>
  <c r="R174" i="2"/>
  <c r="I133" i="21" s="1"/>
  <c r="N133" i="21" s="1"/>
  <c r="O133" i="21" s="1"/>
  <c r="P177" i="2"/>
  <c r="P179" i="2"/>
  <c r="U179" i="2" s="1"/>
  <c r="P200" i="2"/>
  <c r="P211" i="2"/>
  <c r="AB91" i="24" s="1"/>
  <c r="P266" i="2"/>
  <c r="U266" i="2" s="1"/>
  <c r="H266" i="23" s="1"/>
  <c r="V343" i="2"/>
  <c r="P344" i="2"/>
  <c r="AT51" i="24" s="1"/>
  <c r="V358" i="2"/>
  <c r="V397" i="2"/>
  <c r="W49" i="21"/>
  <c r="R85" i="21"/>
  <c r="F211" i="21"/>
  <c r="F215" i="21"/>
  <c r="D215" i="21"/>
  <c r="H215" i="21"/>
  <c r="F238" i="21"/>
  <c r="D255" i="21"/>
  <c r="K15" i="23"/>
  <c r="L15" i="23" s="1"/>
  <c r="I38" i="23"/>
  <c r="J38" i="23" s="1"/>
  <c r="I44" i="23"/>
  <c r="J44" i="23" s="1"/>
  <c r="K44" i="23"/>
  <c r="L44" i="23" s="1"/>
  <c r="I80" i="23"/>
  <c r="J80" i="23" s="1"/>
  <c r="I97" i="23"/>
  <c r="I123" i="23"/>
  <c r="J123" i="23" s="1"/>
  <c r="K133" i="23"/>
  <c r="L133" i="23" s="1"/>
  <c r="I133" i="23"/>
  <c r="J133" i="23" s="1"/>
  <c r="I208" i="23"/>
  <c r="J208" i="23" s="1"/>
  <c r="K272" i="23"/>
  <c r="L272" i="23" s="1"/>
  <c r="I288" i="23"/>
  <c r="J288" i="23" s="1"/>
  <c r="K288" i="23"/>
  <c r="L288" i="23" s="1"/>
  <c r="N250" i="30"/>
  <c r="J249" i="30"/>
  <c r="K249" i="30" s="1"/>
  <c r="U254" i="23"/>
  <c r="V457" i="2"/>
  <c r="H237" i="21"/>
  <c r="D237" i="21"/>
  <c r="G237" i="21" s="1"/>
  <c r="K30" i="23"/>
  <c r="L30" i="23" s="1"/>
  <c r="I30" i="23"/>
  <c r="J30" i="23" s="1"/>
  <c r="I50" i="23"/>
  <c r="J50" i="23" s="1"/>
  <c r="K142" i="23"/>
  <c r="L142" i="23" s="1"/>
  <c r="I142" i="23"/>
  <c r="J142" i="23" s="1"/>
  <c r="K187" i="23"/>
  <c r="K189" i="23"/>
  <c r="I264" i="23"/>
  <c r="J264" i="23" s="1"/>
  <c r="K271" i="23"/>
  <c r="L271" i="23" s="1"/>
  <c r="I271" i="23"/>
  <c r="J271" i="23" s="1"/>
  <c r="K284" i="23"/>
  <c r="I307" i="23"/>
  <c r="J307" i="23" s="1"/>
  <c r="M307" i="23"/>
  <c r="E354" i="30"/>
  <c r="E353" i="30" s="1"/>
  <c r="E277" i="26"/>
  <c r="E276" i="26" s="1"/>
  <c r="E275" i="26" s="1"/>
  <c r="E274" i="26" s="1"/>
  <c r="E317" i="30"/>
  <c r="E313" i="30" s="1"/>
  <c r="E317" i="26"/>
  <c r="E313" i="26" s="1"/>
  <c r="L243" i="30"/>
  <c r="L242" i="30" s="1"/>
  <c r="V529" i="2"/>
  <c r="P529" i="2"/>
  <c r="U529" i="2" s="1"/>
  <c r="K11" i="23"/>
  <c r="L11" i="23" s="1"/>
  <c r="I11" i="23"/>
  <c r="J11" i="23" s="1"/>
  <c r="K309" i="23"/>
  <c r="L309" i="23" s="1"/>
  <c r="O309" i="23"/>
  <c r="AM8" i="21"/>
  <c r="V8" i="21"/>
  <c r="AM24" i="21"/>
  <c r="V24" i="21"/>
  <c r="AB30" i="21"/>
  <c r="J30" i="21"/>
  <c r="AS30" i="21"/>
  <c r="K50" i="21"/>
  <c r="AJ50" i="21"/>
  <c r="AY105" i="21"/>
  <c r="AC105" i="21"/>
  <c r="P189" i="2"/>
  <c r="AB71" i="24" s="1"/>
  <c r="P204" i="2"/>
  <c r="U204" i="2" s="1"/>
  <c r="P212" i="2"/>
  <c r="AB70" i="24" s="1"/>
  <c r="P230" i="2"/>
  <c r="AB34" i="24" s="1"/>
  <c r="V256" i="2"/>
  <c r="P257" i="2"/>
  <c r="U257" i="2" s="1"/>
  <c r="F309" i="32" s="1"/>
  <c r="V296" i="2"/>
  <c r="P297" i="2"/>
  <c r="S327" i="2"/>
  <c r="V330" i="2"/>
  <c r="P331" i="2"/>
  <c r="U331" i="2" s="1"/>
  <c r="S335" i="2"/>
  <c r="T335" i="2" s="1"/>
  <c r="AQ335" i="2" s="1"/>
  <c r="T28" i="26" s="1"/>
  <c r="V353" i="2"/>
  <c r="P354" i="2"/>
  <c r="V383" i="2"/>
  <c r="V414" i="2"/>
  <c r="P416" i="2"/>
  <c r="U416" i="2" s="1"/>
  <c r="V416" i="2"/>
  <c r="P430" i="2"/>
  <c r="P437" i="2"/>
  <c r="U437" i="2" s="1"/>
  <c r="V473" i="2"/>
  <c r="I64" i="23"/>
  <c r="K64" i="23"/>
  <c r="P186" i="2"/>
  <c r="U186" i="2" s="1"/>
  <c r="F281" i="32" s="1"/>
  <c r="V185" i="2"/>
  <c r="V184" i="2"/>
  <c r="V183" i="2"/>
  <c r="P182" i="2"/>
  <c r="AB14" i="24" s="1"/>
  <c r="V181" i="2"/>
  <c r="AG11" i="24" s="1"/>
  <c r="V180" i="2"/>
  <c r="AG9" i="24" s="1"/>
  <c r="V179" i="2"/>
  <c r="P178" i="2"/>
  <c r="AC52" i="24" s="1"/>
  <c r="V177" i="2"/>
  <c r="AG13" i="24" s="1"/>
  <c r="V176" i="2"/>
  <c r="AG53" i="24" s="1"/>
  <c r="V175" i="2"/>
  <c r="R175" i="2"/>
  <c r="I232" i="21" s="1"/>
  <c r="N232" i="21" s="1"/>
  <c r="O232" i="21" s="1"/>
  <c r="P174" i="2"/>
  <c r="U174" i="2" s="1"/>
  <c r="V173" i="2"/>
  <c r="V172" i="2"/>
  <c r="V171" i="2"/>
  <c r="P170" i="2"/>
  <c r="U170" i="2" s="1"/>
  <c r="V169" i="2"/>
  <c r="V168" i="2"/>
  <c r="V167" i="2"/>
  <c r="P166" i="2"/>
  <c r="U166" i="2" s="1"/>
  <c r="F295" i="32" s="1"/>
  <c r="V165" i="2"/>
  <c r="V164" i="2"/>
  <c r="V163" i="2"/>
  <c r="P162" i="2"/>
  <c r="U162" i="2" s="1"/>
  <c r="V161" i="2"/>
  <c r="V160" i="2"/>
  <c r="V159" i="2"/>
  <c r="P158" i="2"/>
  <c r="U158" i="2" s="1"/>
  <c r="V157" i="2"/>
  <c r="V156" i="2"/>
  <c r="V155" i="2"/>
  <c r="P154" i="2"/>
  <c r="U154" i="2" s="1"/>
  <c r="V153" i="2"/>
  <c r="V152" i="2"/>
  <c r="V151" i="2"/>
  <c r="P150" i="2"/>
  <c r="U150" i="2" s="1"/>
  <c r="V149" i="2"/>
  <c r="V148" i="2"/>
  <c r="V147" i="2"/>
  <c r="P146" i="2"/>
  <c r="U146" i="2" s="1"/>
  <c r="V145" i="2"/>
  <c r="V144" i="2"/>
  <c r="V143" i="2"/>
  <c r="P142" i="2"/>
  <c r="U142" i="2" s="1"/>
  <c r="V141" i="2"/>
  <c r="V140" i="2"/>
  <c r="V139" i="2"/>
  <c r="R139" i="2"/>
  <c r="I156" i="21" s="1"/>
  <c r="P138" i="2"/>
  <c r="U138" i="2" s="1"/>
  <c r="V137" i="2"/>
  <c r="V136" i="2"/>
  <c r="V135" i="2"/>
  <c r="R135" i="2"/>
  <c r="I207" i="21" s="1"/>
  <c r="AI207" i="21" s="1"/>
  <c r="P134" i="2"/>
  <c r="U134" i="2" s="1"/>
  <c r="V133" i="2"/>
  <c r="V525" i="2"/>
  <c r="P525" i="2"/>
  <c r="U525" i="2" s="1"/>
  <c r="P517" i="2"/>
  <c r="U517" i="2" s="1"/>
  <c r="V514" i="2"/>
  <c r="V506" i="2"/>
  <c r="V499" i="2"/>
  <c r="P493" i="2"/>
  <c r="U493" i="2" s="1"/>
  <c r="V487" i="2"/>
  <c r="V485" i="2"/>
  <c r="V483" i="2"/>
  <c r="V478" i="2"/>
  <c r="R476" i="2"/>
  <c r="AU67" i="24" s="1"/>
  <c r="V475" i="2"/>
  <c r="V472" i="2"/>
  <c r="P470" i="2"/>
  <c r="U470" i="2" s="1"/>
  <c r="V454" i="2"/>
  <c r="P452" i="2"/>
  <c r="U452" i="2" s="1"/>
  <c r="V442" i="2"/>
  <c r="V438" i="2"/>
  <c r="V432" i="2"/>
  <c r="S430" i="2"/>
  <c r="V425" i="2"/>
  <c r="P424" i="2"/>
  <c r="U424" i="2" s="1"/>
  <c r="P421" i="2"/>
  <c r="U421" i="2" s="1"/>
  <c r="S420" i="2"/>
  <c r="T420" i="2" s="1"/>
  <c r="Z420" i="2" s="1"/>
  <c r="V418" i="2"/>
  <c r="P413" i="2"/>
  <c r="U413" i="2" s="1"/>
  <c r="V406" i="2"/>
  <c r="P405" i="2"/>
  <c r="U405" i="2" s="1"/>
  <c r="V402" i="2"/>
  <c r="P397" i="2"/>
  <c r="U397" i="2" s="1"/>
  <c r="V396" i="2"/>
  <c r="P393" i="2"/>
  <c r="U393" i="2" s="1"/>
  <c r="V392" i="2"/>
  <c r="P390" i="2"/>
  <c r="U390" i="2" s="1"/>
  <c r="P382" i="2"/>
  <c r="U382" i="2" s="1"/>
  <c r="V381" i="2"/>
  <c r="V370" i="2"/>
  <c r="P368" i="2"/>
  <c r="R366" i="2"/>
  <c r="AU85" i="24" s="1"/>
  <c r="R365" i="2"/>
  <c r="AU83" i="24" s="1"/>
  <c r="S361" i="2"/>
  <c r="T361" i="2" s="1"/>
  <c r="AW41" i="24" s="1"/>
  <c r="P360" i="2"/>
  <c r="U360" i="2" s="1"/>
  <c r="R356" i="2"/>
  <c r="AU37" i="24" s="1"/>
  <c r="P348" i="2"/>
  <c r="U348" i="2" s="1"/>
  <c r="V347" i="2"/>
  <c r="P520" i="2"/>
  <c r="U520" i="2" s="1"/>
  <c r="P513" i="2"/>
  <c r="U513" i="2" s="1"/>
  <c r="V501" i="2"/>
  <c r="V490" i="2"/>
  <c r="P458" i="2"/>
  <c r="U458" i="2" s="1"/>
  <c r="V439" i="2"/>
  <c r="P431" i="2"/>
  <c r="U431" i="2" s="1"/>
  <c r="V427" i="2"/>
  <c r="P418" i="2"/>
  <c r="U418" i="2" s="1"/>
  <c r="V412" i="2"/>
  <c r="P408" i="2"/>
  <c r="U408" i="2" s="1"/>
  <c r="V399" i="2"/>
  <c r="V395" i="2"/>
  <c r="V387" i="2"/>
  <c r="S381" i="2"/>
  <c r="T381" i="2" s="1"/>
  <c r="AQ381" i="2" s="1"/>
  <c r="P376" i="2"/>
  <c r="U376" i="2" s="1"/>
  <c r="S375" i="2"/>
  <c r="T375" i="2" s="1"/>
  <c r="P373" i="2"/>
  <c r="U373" i="2" s="1"/>
  <c r="P363" i="2"/>
  <c r="V362" i="2"/>
  <c r="R361" i="2"/>
  <c r="AU41" i="24" s="1"/>
  <c r="P343" i="2"/>
  <c r="U343" i="2" s="1"/>
  <c r="V342" i="2"/>
  <c r="R327" i="2"/>
  <c r="AU88" i="24" s="1"/>
  <c r="S326" i="2"/>
  <c r="T326" i="2" s="1"/>
  <c r="AW42" i="24" s="1"/>
  <c r="S325" i="2"/>
  <c r="P321" i="2"/>
  <c r="V320" i="2"/>
  <c r="R316" i="2"/>
  <c r="AU60" i="24" s="1"/>
  <c r="S311" i="2"/>
  <c r="S309" i="2"/>
  <c r="P299" i="2"/>
  <c r="V298" i="2"/>
  <c r="P296" i="2"/>
  <c r="V295" i="2"/>
  <c r="P294" i="2"/>
  <c r="V293" i="2"/>
  <c r="R292" i="2"/>
  <c r="P287" i="2"/>
  <c r="V286" i="2"/>
  <c r="P283" i="2"/>
  <c r="AT17" i="24" s="1"/>
  <c r="V282" i="2"/>
  <c r="P282" i="2"/>
  <c r="V281" i="2"/>
  <c r="P276" i="2"/>
  <c r="AT9" i="24" s="1"/>
  <c r="P267" i="2"/>
  <c r="U267" i="2" s="1"/>
  <c r="P263" i="2"/>
  <c r="U263" i="2" s="1"/>
  <c r="P253" i="2"/>
  <c r="U253" i="2" s="1"/>
  <c r="R251" i="2"/>
  <c r="I215" i="21" s="1"/>
  <c r="AE215" i="21" s="1"/>
  <c r="S247" i="2"/>
  <c r="T247" i="2" s="1"/>
  <c r="P246" i="2"/>
  <c r="P241" i="2"/>
  <c r="U241" i="2" s="1"/>
  <c r="AF21" i="24" s="1"/>
  <c r="P231" i="2"/>
  <c r="AB57" i="24" s="1"/>
  <c r="S229" i="2"/>
  <c r="P227" i="2"/>
  <c r="AC7" i="24" s="1"/>
  <c r="R226" i="2"/>
  <c r="I236" i="21" s="1"/>
  <c r="S224" i="2"/>
  <c r="S218" i="2"/>
  <c r="P216" i="2"/>
  <c r="P215" i="2"/>
  <c r="U215" i="2" s="1"/>
  <c r="V214" i="2"/>
  <c r="P213" i="2"/>
  <c r="AB106" i="24" s="1"/>
  <c r="S212" i="2"/>
  <c r="S206" i="2"/>
  <c r="AD49" i="24" s="1"/>
  <c r="P203" i="2"/>
  <c r="U203" i="2" s="1"/>
  <c r="V202" i="2"/>
  <c r="P201" i="2"/>
  <c r="AC62" i="24" s="1"/>
  <c r="R193" i="2"/>
  <c r="I183" i="21" s="1"/>
  <c r="N183" i="21" s="1"/>
  <c r="O183" i="21" s="1"/>
  <c r="P188" i="2"/>
  <c r="U188" i="2" s="1"/>
  <c r="P187" i="2"/>
  <c r="U187" i="2" s="1"/>
  <c r="V186" i="2"/>
  <c r="P185" i="2"/>
  <c r="U185" i="2" s="1"/>
  <c r="P175" i="2"/>
  <c r="AB67" i="24" s="1"/>
  <c r="V174" i="2"/>
  <c r="P173" i="2"/>
  <c r="U173" i="2" s="1"/>
  <c r="R162" i="2"/>
  <c r="I135" i="21" s="1"/>
  <c r="AU135" i="21" s="1"/>
  <c r="P160" i="2"/>
  <c r="U160" i="2" s="1"/>
  <c r="H160" i="23" s="1"/>
  <c r="P159" i="2"/>
  <c r="U159" i="2" s="1"/>
  <c r="V158" i="2"/>
  <c r="P157" i="2"/>
  <c r="U157" i="2" s="1"/>
  <c r="R152" i="2"/>
  <c r="I248" i="21" s="1"/>
  <c r="M248" i="21" s="1"/>
  <c r="R149" i="2"/>
  <c r="I175" i="21" s="1"/>
  <c r="P144" i="2"/>
  <c r="U144" i="2" s="1"/>
  <c r="P143" i="2"/>
  <c r="U143" i="2" s="1"/>
  <c r="V142" i="2"/>
  <c r="P141" i="2"/>
  <c r="U141" i="2" s="1"/>
  <c r="S139" i="2"/>
  <c r="T139" i="2" s="1"/>
  <c r="Z139" i="2" s="1"/>
  <c r="R137" i="2"/>
  <c r="I132" i="21" s="1"/>
  <c r="P132" i="21" s="1"/>
  <c r="P135" i="2"/>
  <c r="U135" i="2" s="1"/>
  <c r="V134" i="2"/>
  <c r="P133" i="2"/>
  <c r="U133" i="2" s="1"/>
  <c r="P132" i="2"/>
  <c r="U132" i="2" s="1"/>
  <c r="P129" i="2"/>
  <c r="U129" i="2" s="1"/>
  <c r="P128" i="2"/>
  <c r="U128" i="2" s="1"/>
  <c r="S126" i="2"/>
  <c r="T126" i="2" s="1"/>
  <c r="Z126" i="2" s="1"/>
  <c r="P125" i="2"/>
  <c r="U125" i="2" s="1"/>
  <c r="P124" i="2"/>
  <c r="U124" i="2" s="1"/>
  <c r="P121" i="2"/>
  <c r="U121" i="2" s="1"/>
  <c r="P120" i="2"/>
  <c r="U120" i="2" s="1"/>
  <c r="S118" i="2"/>
  <c r="T118" i="2" s="1"/>
  <c r="Z118" i="2" s="1"/>
  <c r="P117" i="2"/>
  <c r="U117" i="2" s="1"/>
  <c r="P116" i="2"/>
  <c r="U116" i="2" s="1"/>
  <c r="P113" i="2"/>
  <c r="U113" i="2" s="1"/>
  <c r="P112" i="2"/>
  <c r="U112" i="2" s="1"/>
  <c r="P109" i="2"/>
  <c r="U109" i="2" s="1"/>
  <c r="P108" i="2"/>
  <c r="U108" i="2" s="1"/>
  <c r="S106" i="2"/>
  <c r="T106" i="2" s="1"/>
  <c r="Z106" i="2" s="1"/>
  <c r="P105" i="2"/>
  <c r="U105" i="2" s="1"/>
  <c r="P104" i="2"/>
  <c r="U104" i="2" s="1"/>
  <c r="F320" i="32" s="1"/>
  <c r="P101" i="2"/>
  <c r="U101" i="2" s="1"/>
  <c r="P100" i="2"/>
  <c r="U100" i="2" s="1"/>
  <c r="S98" i="2"/>
  <c r="T98" i="2" s="1"/>
  <c r="P97" i="2"/>
  <c r="U97" i="2" s="1"/>
  <c r="P96" i="2"/>
  <c r="U96" i="2" s="1"/>
  <c r="P93" i="2"/>
  <c r="U93" i="2" s="1"/>
  <c r="P92" i="2"/>
  <c r="U92" i="2" s="1"/>
  <c r="P89" i="2"/>
  <c r="U89" i="2" s="1"/>
  <c r="P88" i="2"/>
  <c r="U88" i="2" s="1"/>
  <c r="P85" i="2"/>
  <c r="U85" i="2" s="1"/>
  <c r="P84" i="2"/>
  <c r="U84" i="2" s="1"/>
  <c r="S82" i="2"/>
  <c r="T82" i="2" s="1"/>
  <c r="Z82" i="2" s="1"/>
  <c r="P81" i="2"/>
  <c r="U81" i="2" s="1"/>
  <c r="P80" i="2"/>
  <c r="U80" i="2" s="1"/>
  <c r="S78" i="2"/>
  <c r="T78" i="2" s="1"/>
  <c r="P77" i="2"/>
  <c r="U77" i="2" s="1"/>
  <c r="P76" i="2"/>
  <c r="U76" i="2" s="1"/>
  <c r="S74" i="2"/>
  <c r="T74" i="2" s="1"/>
  <c r="Z74" i="2" s="1"/>
  <c r="P73" i="2"/>
  <c r="U73" i="2" s="1"/>
  <c r="P72" i="2"/>
  <c r="U72" i="2" s="1"/>
  <c r="S70" i="2"/>
  <c r="T70" i="2" s="1"/>
  <c r="Z70" i="2" s="1"/>
  <c r="P69" i="2"/>
  <c r="U69" i="2" s="1"/>
  <c r="P68" i="2"/>
  <c r="U68" i="2" s="1"/>
  <c r="P65" i="2"/>
  <c r="U65" i="2" s="1"/>
  <c r="P64" i="2"/>
  <c r="U64" i="2" s="1"/>
  <c r="S62" i="2"/>
  <c r="T62" i="2" s="1"/>
  <c r="Z62" i="2" s="1"/>
  <c r="P61" i="2"/>
  <c r="U61" i="2" s="1"/>
  <c r="P60" i="2"/>
  <c r="U60" i="2" s="1"/>
  <c r="H60" i="23" s="1"/>
  <c r="S58" i="2"/>
  <c r="T58" i="2" s="1"/>
  <c r="Z58" i="2" s="1"/>
  <c r="P57" i="2"/>
  <c r="U57" i="2" s="1"/>
  <c r="P56" i="2"/>
  <c r="U56" i="2" s="1"/>
  <c r="S54" i="2"/>
  <c r="T54" i="2" s="1"/>
  <c r="Z54" i="2" s="1"/>
  <c r="P53" i="2"/>
  <c r="U53" i="2" s="1"/>
  <c r="P52" i="2"/>
  <c r="U52" i="2" s="1"/>
  <c r="S50" i="2"/>
  <c r="T50" i="2" s="1"/>
  <c r="Z50" i="2" s="1"/>
  <c r="P49" i="2"/>
  <c r="U49" i="2" s="1"/>
  <c r="P48" i="2"/>
  <c r="U48" i="2" s="1"/>
  <c r="P45" i="2"/>
  <c r="U45" i="2" s="1"/>
  <c r="P44" i="2"/>
  <c r="U44" i="2" s="1"/>
  <c r="P41" i="2"/>
  <c r="U41" i="2" s="1"/>
  <c r="P40" i="2"/>
  <c r="U40" i="2" s="1"/>
  <c r="P37" i="2"/>
  <c r="U37" i="2" s="1"/>
  <c r="P36" i="2"/>
  <c r="U36" i="2" s="1"/>
  <c r="P33" i="2"/>
  <c r="U33" i="2" s="1"/>
  <c r="P32" i="2"/>
  <c r="U32" i="2" s="1"/>
  <c r="P29" i="2"/>
  <c r="U29" i="2" s="1"/>
  <c r="P28" i="2"/>
  <c r="U28" i="2" s="1"/>
  <c r="P25" i="2"/>
  <c r="U25" i="2" s="1"/>
  <c r="P24" i="2"/>
  <c r="U24" i="2" s="1"/>
  <c r="S22" i="2"/>
  <c r="T22" i="2" s="1"/>
  <c r="Z22" i="2" s="1"/>
  <c r="P504" i="2"/>
  <c r="U504" i="2" s="1"/>
  <c r="P487" i="2"/>
  <c r="U487" i="2" s="1"/>
  <c r="V479" i="2"/>
  <c r="P454" i="2"/>
  <c r="U454" i="2" s="1"/>
  <c r="P453" i="2"/>
  <c r="U453" i="2" s="1"/>
  <c r="V443" i="2"/>
  <c r="R434" i="2"/>
  <c r="AU58" i="24" s="1"/>
  <c r="V433" i="2"/>
  <c r="V419" i="2"/>
  <c r="R402" i="2"/>
  <c r="AU54" i="24" s="1"/>
  <c r="V401" i="2"/>
  <c r="P387" i="2"/>
  <c r="U387" i="2" s="1"/>
  <c r="P386" i="2"/>
  <c r="P380" i="2"/>
  <c r="U380" i="2" s="1"/>
  <c r="V379" i="2"/>
  <c r="S378" i="2"/>
  <c r="R375" i="2"/>
  <c r="AU94" i="24" s="1"/>
  <c r="R360" i="2"/>
  <c r="P350" i="2"/>
  <c r="V349" i="2"/>
  <c r="P339" i="2"/>
  <c r="U339" i="2" s="1"/>
  <c r="V338" i="2"/>
  <c r="P337" i="2"/>
  <c r="U337" i="2" s="1"/>
  <c r="V336" i="2"/>
  <c r="P334" i="2"/>
  <c r="U334" i="2" s="1"/>
  <c r="V333" i="2"/>
  <c r="P332" i="2"/>
  <c r="U332" i="2" s="1"/>
  <c r="V331" i="2"/>
  <c r="P324" i="2"/>
  <c r="AT48" i="24" s="1"/>
  <c r="V323" i="2"/>
  <c r="P323" i="2"/>
  <c r="V322" i="2"/>
  <c r="P320" i="2"/>
  <c r="V319" i="2"/>
  <c r="P319" i="2"/>
  <c r="U319" i="2" s="1"/>
  <c r="V318" i="2"/>
  <c r="S317" i="2"/>
  <c r="T317" i="2" s="1"/>
  <c r="AQ317" i="2" s="1"/>
  <c r="T235" i="26" s="1"/>
  <c r="R311" i="2"/>
  <c r="AU95" i="24" s="1"/>
  <c r="P308" i="2"/>
  <c r="V307" i="2"/>
  <c r="P307" i="2"/>
  <c r="V306" i="2"/>
  <c r="P305" i="2"/>
  <c r="V304" i="2"/>
  <c r="P295" i="2"/>
  <c r="V294" i="2"/>
  <c r="P279" i="2"/>
  <c r="AT18" i="24" s="1"/>
  <c r="V278" i="2"/>
  <c r="V274" i="2"/>
  <c r="V273" i="2"/>
  <c r="V272" i="2"/>
  <c r="P270" i="2"/>
  <c r="P269" i="2"/>
  <c r="U269" i="2" s="1"/>
  <c r="V268" i="2"/>
  <c r="V264" i="2"/>
  <c r="P254" i="2"/>
  <c r="U254" i="2" s="1"/>
  <c r="F392" i="32" s="1"/>
  <c r="R247" i="2"/>
  <c r="I253" i="21" s="1"/>
  <c r="AJ253" i="21" s="1"/>
  <c r="P242" i="2"/>
  <c r="U242" i="2" s="1"/>
  <c r="H242" i="23" s="1"/>
  <c r="P234" i="2"/>
  <c r="AB92" i="24" s="1"/>
  <c r="P233" i="2"/>
  <c r="V232" i="2"/>
  <c r="AG55" i="24" s="1"/>
  <c r="V228" i="2"/>
  <c r="AG66" i="24" s="1"/>
  <c r="R224" i="2"/>
  <c r="I239" i="21" s="1"/>
  <c r="AW239" i="21" s="1"/>
  <c r="P220" i="2"/>
  <c r="U220" i="2" s="1"/>
  <c r="S219" i="2"/>
  <c r="P217" i="2"/>
  <c r="U217" i="2" s="1"/>
  <c r="S213" i="2"/>
  <c r="R212" i="2"/>
  <c r="I233" i="21" s="1"/>
  <c r="AV233" i="21" s="1"/>
  <c r="S210" i="2"/>
  <c r="V528" i="2"/>
  <c r="P515" i="2"/>
  <c r="U515" i="2" s="1"/>
  <c r="V510" i="2"/>
  <c r="P497" i="2"/>
  <c r="U497" i="2" s="1"/>
  <c r="P480" i="2"/>
  <c r="U480" i="2" s="1"/>
  <c r="P471" i="2"/>
  <c r="U471" i="2" s="1"/>
  <c r="S449" i="2"/>
  <c r="T449" i="2" s="1"/>
  <c r="Z449" i="2" s="1"/>
  <c r="P445" i="2"/>
  <c r="U445" i="2" s="1"/>
  <c r="P444" i="2"/>
  <c r="U444" i="2" s="1"/>
  <c r="V436" i="2"/>
  <c r="V429" i="2"/>
  <c r="P422" i="2"/>
  <c r="U422" i="2" s="1"/>
  <c r="V421" i="2"/>
  <c r="R420" i="2"/>
  <c r="P406" i="2"/>
  <c r="U406" i="2" s="1"/>
  <c r="P403" i="2"/>
  <c r="U403" i="2" s="1"/>
  <c r="S391" i="2"/>
  <c r="T391" i="2" s="1"/>
  <c r="AQ391" i="2" s="1"/>
  <c r="V367" i="2"/>
  <c r="P366" i="2"/>
  <c r="V365" i="2"/>
  <c r="V359" i="2"/>
  <c r="P359" i="2"/>
  <c r="U359" i="2" s="1"/>
  <c r="P356" i="2"/>
  <c r="AT37" i="24" s="1"/>
  <c r="V355" i="2"/>
  <c r="R352" i="2"/>
  <c r="AU64" i="24" s="1"/>
  <c r="P345" i="2"/>
  <c r="U345" i="2" s="1"/>
  <c r="V344" i="2"/>
  <c r="P336" i="2"/>
  <c r="U336" i="2" s="1"/>
  <c r="V335" i="2"/>
  <c r="P329" i="2"/>
  <c r="U329" i="2" s="1"/>
  <c r="V328" i="2"/>
  <c r="P327" i="2"/>
  <c r="P326" i="2"/>
  <c r="V325" i="2"/>
  <c r="S321" i="2"/>
  <c r="R317" i="2"/>
  <c r="P315" i="2"/>
  <c r="V314" i="2"/>
  <c r="P313" i="2"/>
  <c r="V312" i="2"/>
  <c r="P310" i="2"/>
  <c r="AT23" i="24" s="1"/>
  <c r="V309" i="2"/>
  <c r="P304" i="2"/>
  <c r="AT72" i="24" s="1"/>
  <c r="V303" i="2"/>
  <c r="S302" i="2"/>
  <c r="S300" i="2"/>
  <c r="R299" i="2"/>
  <c r="AU75" i="24" s="1"/>
  <c r="S294" i="2"/>
  <c r="P292" i="2"/>
  <c r="U292" i="2" s="1"/>
  <c r="V291" i="2"/>
  <c r="P289" i="2"/>
  <c r="U289" i="2" s="1"/>
  <c r="V288" i="2"/>
  <c r="R282" i="2"/>
  <c r="AU10" i="24" s="1"/>
  <c r="P278" i="2"/>
  <c r="AT11" i="24" s="1"/>
  <c r="V277" i="2"/>
  <c r="P274" i="2"/>
  <c r="P273" i="2"/>
  <c r="U273" i="2" s="1"/>
  <c r="P272" i="2"/>
  <c r="U272" i="2" s="1"/>
  <c r="S267" i="2"/>
  <c r="T267" i="2" s="1"/>
  <c r="P265" i="2"/>
  <c r="U265" i="2" s="1"/>
  <c r="S259" i="2"/>
  <c r="AD83" i="24" s="1"/>
  <c r="P255" i="2"/>
  <c r="U255" i="2" s="1"/>
  <c r="S253" i="2"/>
  <c r="T253" i="2" s="1"/>
  <c r="G253" i="23" s="1"/>
  <c r="S253" i="23" s="1"/>
  <c r="P251" i="2"/>
  <c r="U251" i="2" s="1"/>
  <c r="F397" i="32" s="1"/>
  <c r="R246" i="2"/>
  <c r="I221" i="21" s="1"/>
  <c r="AI221" i="21" s="1"/>
  <c r="P245" i="2"/>
  <c r="AB35" i="24" s="1"/>
  <c r="V244" i="2"/>
  <c r="AG28" i="24" s="1"/>
  <c r="P243" i="2"/>
  <c r="AB16" i="24" s="1"/>
  <c r="P239" i="2"/>
  <c r="U239" i="2" s="1"/>
  <c r="P229" i="2"/>
  <c r="AB111" i="24" s="1"/>
  <c r="P221" i="2"/>
  <c r="R219" i="2"/>
  <c r="I240" i="21" s="1"/>
  <c r="AT240" i="21" s="1"/>
  <c r="R213" i="2"/>
  <c r="I227" i="21" s="1"/>
  <c r="AY227" i="21" s="1"/>
  <c r="R210" i="2"/>
  <c r="I231" i="21" s="1"/>
  <c r="AI231" i="21" s="1"/>
  <c r="P208" i="2"/>
  <c r="AB26" i="24" s="1"/>
  <c r="P207" i="2"/>
  <c r="U207" i="2" s="1"/>
  <c r="V206" i="2"/>
  <c r="AG47" i="24" s="1"/>
  <c r="P205" i="2"/>
  <c r="AB87" i="24" s="1"/>
  <c r="S203" i="2"/>
  <c r="T203" i="2" s="1"/>
  <c r="S202" i="2"/>
  <c r="P196" i="2"/>
  <c r="AB109" i="24" s="1"/>
  <c r="P195" i="2"/>
  <c r="U195" i="2" s="1"/>
  <c r="V194" i="2"/>
  <c r="P193" i="2"/>
  <c r="U193" i="2" s="1"/>
  <c r="S191" i="2"/>
  <c r="T191" i="2" s="1"/>
  <c r="K24" i="23"/>
  <c r="L24" i="23" s="1"/>
  <c r="I24" i="23"/>
  <c r="J24" i="23" s="1"/>
  <c r="K115" i="23"/>
  <c r="I115" i="23"/>
  <c r="K147" i="23"/>
  <c r="L147" i="23" s="1"/>
  <c r="I147" i="23"/>
  <c r="J147" i="23" s="1"/>
  <c r="AN101" i="21"/>
  <c r="AN102" i="21" s="1"/>
  <c r="R101" i="21"/>
  <c r="Z3" i="21"/>
  <c r="AP3" i="21"/>
  <c r="R64" i="21"/>
  <c r="AN64" i="21"/>
  <c r="AP75" i="21"/>
  <c r="S75" i="21"/>
  <c r="V210" i="2"/>
  <c r="P271" i="2"/>
  <c r="V290" i="2"/>
  <c r="P291" i="2"/>
  <c r="V311" i="2"/>
  <c r="P312" i="2"/>
  <c r="S316" i="2"/>
  <c r="V363" i="2"/>
  <c r="P364" i="2"/>
  <c r="P425" i="2"/>
  <c r="U425" i="2" s="1"/>
  <c r="V460" i="2"/>
  <c r="V461" i="2"/>
  <c r="V464" i="2"/>
  <c r="K17" i="23"/>
  <c r="I17" i="23"/>
  <c r="I69" i="23"/>
  <c r="J69" i="23" s="1"/>
  <c r="I82" i="23"/>
  <c r="J82" i="23" s="1"/>
  <c r="K82" i="23"/>
  <c r="L82" i="23" s="1"/>
  <c r="K91" i="23"/>
  <c r="L91" i="23" s="1"/>
  <c r="I153" i="23"/>
  <c r="J153" i="23" s="1"/>
  <c r="K153" i="23"/>
  <c r="L153" i="23" s="1"/>
  <c r="I268" i="23"/>
  <c r="F245" i="21"/>
  <c r="D245" i="21"/>
  <c r="H245" i="21"/>
  <c r="K69" i="23"/>
  <c r="L69" i="23" s="1"/>
  <c r="K83" i="23"/>
  <c r="I83" i="23"/>
  <c r="I89" i="23"/>
  <c r="J89" i="23" s="1"/>
  <c r="K89" i="23"/>
  <c r="L89" i="23" s="1"/>
  <c r="K92" i="23"/>
  <c r="I92" i="23"/>
  <c r="I139" i="23"/>
  <c r="J139" i="23" s="1"/>
  <c r="I160" i="23"/>
  <c r="J160" i="23" s="1"/>
  <c r="K160" i="23"/>
  <c r="L160" i="23" s="1"/>
  <c r="K175" i="23"/>
  <c r="L175" i="23" s="1"/>
  <c r="I175" i="23"/>
  <c r="J175" i="23" s="1"/>
  <c r="K183" i="23"/>
  <c r="L183" i="23" s="1"/>
  <c r="I183" i="23"/>
  <c r="J183" i="23" s="1"/>
  <c r="K217" i="23"/>
  <c r="L217" i="23" s="1"/>
  <c r="I217" i="23"/>
  <c r="J217" i="23" s="1"/>
  <c r="K60" i="23"/>
  <c r="L60" i="23" s="1"/>
  <c r="I102" i="23"/>
  <c r="K140" i="23"/>
  <c r="L140" i="23" s="1"/>
  <c r="I140" i="23"/>
  <c r="J140" i="23" s="1"/>
  <c r="K181" i="23"/>
  <c r="K197" i="23"/>
  <c r="L197" i="23" s="1"/>
  <c r="I197" i="23"/>
  <c r="J197" i="23" s="1"/>
  <c r="I214" i="23"/>
  <c r="J214" i="23" s="1"/>
  <c r="K214" i="23"/>
  <c r="L214" i="23" s="1"/>
  <c r="P526" i="2"/>
  <c r="U526" i="2" s="1"/>
  <c r="V524" i="2"/>
  <c r="V521" i="2"/>
  <c r="V512" i="2"/>
  <c r="V505" i="2"/>
  <c r="P500" i="2"/>
  <c r="U500" i="2" s="1"/>
  <c r="P491" i="2"/>
  <c r="U491" i="2" s="1"/>
  <c r="P488" i="2"/>
  <c r="U488" i="2" s="1"/>
  <c r="P484" i="2"/>
  <c r="U484" i="2" s="1"/>
  <c r="P481" i="2"/>
  <c r="U481" i="2" s="1"/>
  <c r="P477" i="2"/>
  <c r="U477" i="2" s="1"/>
  <c r="P474" i="2"/>
  <c r="V468" i="2"/>
  <c r="P455" i="2"/>
  <c r="U455" i="2" s="1"/>
  <c r="R449" i="2"/>
  <c r="P446" i="2"/>
  <c r="U446" i="2" s="1"/>
  <c r="P441" i="2"/>
  <c r="U441" i="2" s="1"/>
  <c r="P434" i="2"/>
  <c r="P432" i="2"/>
  <c r="U432" i="2" s="1"/>
  <c r="V430" i="2"/>
  <c r="V428" i="2"/>
  <c r="V426" i="2"/>
  <c r="R421" i="2"/>
  <c r="S419" i="2"/>
  <c r="T419" i="2" s="1"/>
  <c r="Z419" i="2" s="1"/>
  <c r="R415" i="2"/>
  <c r="V411" i="2"/>
  <c r="V407" i="2"/>
  <c r="V404" i="2"/>
  <c r="P401" i="2"/>
  <c r="U401" i="2" s="1"/>
  <c r="V400" i="2"/>
  <c r="P394" i="2"/>
  <c r="U394" i="2" s="1"/>
  <c r="V393" i="2"/>
  <c r="V391" i="2"/>
  <c r="P389" i="2"/>
  <c r="U389" i="2" s="1"/>
  <c r="V385" i="2"/>
  <c r="P384" i="2"/>
  <c r="U384" i="2" s="1"/>
  <c r="P378" i="2"/>
  <c r="AT32" i="24" s="1"/>
  <c r="P374" i="2"/>
  <c r="U374" i="2" s="1"/>
  <c r="V373" i="2"/>
  <c r="V372" i="2"/>
  <c r="S369" i="2"/>
  <c r="P367" i="2"/>
  <c r="U367" i="2" s="1"/>
  <c r="V366" i="2"/>
  <c r="P365" i="2"/>
  <c r="AT83" i="24" s="1"/>
  <c r="V364" i="2"/>
  <c r="P361" i="2"/>
  <c r="U361" i="2" s="1"/>
  <c r="V360" i="2"/>
  <c r="P358" i="2"/>
  <c r="R354" i="2"/>
  <c r="AU68" i="24" s="1"/>
  <c r="P353" i="2"/>
  <c r="U353" i="2" s="1"/>
  <c r="V352" i="2"/>
  <c r="P351" i="2"/>
  <c r="V350" i="2"/>
  <c r="P347" i="2"/>
  <c r="AT73" i="24" s="1"/>
  <c r="V346" i="2"/>
  <c r="P341" i="2"/>
  <c r="V340" i="2"/>
  <c r="P338" i="2"/>
  <c r="V337" i="2"/>
  <c r="P333" i="2"/>
  <c r="U333" i="2" s="1"/>
  <c r="V332" i="2"/>
  <c r="P330" i="2"/>
  <c r="U330" i="2" s="1"/>
  <c r="V329" i="2"/>
  <c r="R326" i="2"/>
  <c r="AU42" i="24" s="1"/>
  <c r="P325" i="2"/>
  <c r="V324" i="2"/>
  <c r="S323" i="2"/>
  <c r="P322" i="2"/>
  <c r="U322" i="2" s="1"/>
  <c r="V321" i="2"/>
  <c r="R321" i="2"/>
  <c r="AU87" i="24" s="1"/>
  <c r="P317" i="2"/>
  <c r="U317" i="2" s="1"/>
  <c r="V316" i="2"/>
  <c r="P314" i="2"/>
  <c r="AT101" i="24" s="1"/>
  <c r="V313" i="2"/>
  <c r="P309" i="2"/>
  <c r="V308" i="2"/>
  <c r="S307" i="2"/>
  <c r="P306" i="2"/>
  <c r="AT8" i="24" s="1"/>
  <c r="V305" i="2"/>
  <c r="R302" i="2"/>
  <c r="AU77" i="24" s="1"/>
  <c r="P301" i="2"/>
  <c r="V300" i="2"/>
  <c r="S299" i="2"/>
  <c r="P298" i="2"/>
  <c r="V297" i="2"/>
  <c r="R294" i="2"/>
  <c r="P293" i="2"/>
  <c r="V292" i="2"/>
  <c r="P290" i="2"/>
  <c r="V289" i="2"/>
  <c r="P285" i="2"/>
  <c r="V284" i="2"/>
  <c r="S282" i="2"/>
  <c r="P281" i="2"/>
  <c r="AT21" i="24" s="1"/>
  <c r="V280" i="2"/>
  <c r="P277" i="2"/>
  <c r="AT22" i="24" s="1"/>
  <c r="V276" i="2"/>
  <c r="V275" i="2"/>
  <c r="V271" i="2"/>
  <c r="V270" i="2"/>
  <c r="V269" i="2"/>
  <c r="J390" i="32" s="1"/>
  <c r="P268" i="2"/>
  <c r="U268" i="2" s="1"/>
  <c r="V267" i="2"/>
  <c r="V266" i="2"/>
  <c r="V265" i="2"/>
  <c r="AG44" i="24" s="1"/>
  <c r="P264" i="2"/>
  <c r="V263" i="2"/>
  <c r="V262" i="2"/>
  <c r="AG84" i="24" s="1"/>
  <c r="V261" i="2"/>
  <c r="J381" i="32" s="1"/>
  <c r="J379" i="32" s="1"/>
  <c r="P260" i="2"/>
  <c r="AB39" i="24" s="1"/>
  <c r="V259" i="2"/>
  <c r="V258" i="2"/>
  <c r="AG85" i="24" s="1"/>
  <c r="V257" i="2"/>
  <c r="J309" i="32" s="1"/>
  <c r="P256" i="2"/>
  <c r="U256" i="2" s="1"/>
  <c r="V255" i="2"/>
  <c r="V254" i="2"/>
  <c r="V253" i="2"/>
  <c r="R253" i="2"/>
  <c r="I230" i="21" s="1"/>
  <c r="AA230" i="21" s="1"/>
  <c r="P252" i="2"/>
  <c r="AB56" i="24" s="1"/>
  <c r="V251" i="2"/>
  <c r="J397" i="32" s="1"/>
  <c r="V250" i="2"/>
  <c r="V249" i="2"/>
  <c r="P248" i="2"/>
  <c r="U248" i="2" s="1"/>
  <c r="V247" i="2"/>
  <c r="V246" i="2"/>
  <c r="V245" i="2"/>
  <c r="J293" i="32" s="1"/>
  <c r="R245" i="2"/>
  <c r="I252" i="21" s="1"/>
  <c r="AV252" i="21" s="1"/>
  <c r="P244" i="2"/>
  <c r="U244" i="2" s="1"/>
  <c r="H244" i="23" s="1"/>
  <c r="V243" i="2"/>
  <c r="AG16" i="24" s="1"/>
  <c r="V242" i="2"/>
  <c r="V241" i="2"/>
  <c r="AG21" i="24" s="1"/>
  <c r="P240" i="2"/>
  <c r="U240" i="2" s="1"/>
  <c r="V239" i="2"/>
  <c r="V238" i="2"/>
  <c r="AG20" i="24" s="1"/>
  <c r="V237" i="2"/>
  <c r="P236" i="2"/>
  <c r="U236" i="2" s="1"/>
  <c r="V235" i="2"/>
  <c r="AG58" i="24" s="1"/>
  <c r="V234" i="2"/>
  <c r="V233" i="2"/>
  <c r="AG59" i="24" s="1"/>
  <c r="P232" i="2"/>
  <c r="U232" i="2" s="1"/>
  <c r="V231" i="2"/>
  <c r="AG57" i="24" s="1"/>
  <c r="V230" i="2"/>
  <c r="V229" i="2"/>
  <c r="AG111" i="24" s="1"/>
  <c r="R229" i="2"/>
  <c r="I224" i="21" s="1"/>
  <c r="AY224" i="21" s="1"/>
  <c r="P228" i="2"/>
  <c r="V227" i="2"/>
  <c r="AG7" i="24" s="1"/>
  <c r="V226" i="2"/>
  <c r="V225" i="2"/>
  <c r="P224" i="2"/>
  <c r="V223" i="2"/>
  <c r="V222" i="2"/>
  <c r="P219" i="2"/>
  <c r="U219" i="2" s="1"/>
  <c r="F335" i="32" s="1"/>
  <c r="V218" i="2"/>
  <c r="R218" i="2"/>
  <c r="I216" i="21" s="1"/>
  <c r="I52" i="23"/>
  <c r="K58" i="23"/>
  <c r="I58" i="23"/>
  <c r="K105" i="23"/>
  <c r="I105" i="23"/>
  <c r="K138" i="23"/>
  <c r="L138" i="23" s="1"/>
  <c r="I138" i="23"/>
  <c r="J138" i="23" s="1"/>
  <c r="I154" i="23"/>
  <c r="J154" i="23" s="1"/>
  <c r="K154" i="23"/>
  <c r="L154" i="23" s="1"/>
  <c r="I171" i="23"/>
  <c r="J171" i="23" s="1"/>
  <c r="I174" i="23"/>
  <c r="J174" i="23" s="1"/>
  <c r="K185" i="23"/>
  <c r="L185" i="23" s="1"/>
  <c r="I185" i="23"/>
  <c r="J185" i="23" s="1"/>
  <c r="S88" i="21"/>
  <c r="AO88" i="21"/>
  <c r="AY97" i="21"/>
  <c r="AC97" i="21"/>
  <c r="V187" i="2"/>
  <c r="V188" i="2"/>
  <c r="V189" i="2"/>
  <c r="J333" i="32" s="1"/>
  <c r="P190" i="2"/>
  <c r="U190" i="2" s="1"/>
  <c r="F283" i="32" s="1"/>
  <c r="V191" i="2"/>
  <c r="V192" i="2"/>
  <c r="V193" i="2"/>
  <c r="P194" i="2"/>
  <c r="U194" i="2" s="1"/>
  <c r="V195" i="2"/>
  <c r="V196" i="2"/>
  <c r="V197" i="2"/>
  <c r="P198" i="2"/>
  <c r="AC48" i="24" s="1"/>
  <c r="V199" i="2"/>
  <c r="J341" i="32" s="1"/>
  <c r="V200" i="2"/>
  <c r="J331" i="32" s="1"/>
  <c r="V201" i="2"/>
  <c r="AG62" i="24" s="1"/>
  <c r="P202" i="2"/>
  <c r="AB75" i="24" s="1"/>
  <c r="R203" i="2"/>
  <c r="I162" i="21" s="1"/>
  <c r="AY162" i="21" s="1"/>
  <c r="V203" i="2"/>
  <c r="V204" i="2"/>
  <c r="V205" i="2"/>
  <c r="P206" i="2"/>
  <c r="AC47" i="24" s="1"/>
  <c r="V207" i="2"/>
  <c r="V208" i="2"/>
  <c r="V209" i="2"/>
  <c r="P210" i="2"/>
  <c r="AC50" i="24" s="1"/>
  <c r="V211" i="2"/>
  <c r="AG91" i="24" s="1"/>
  <c r="V212" i="2"/>
  <c r="V213" i="2"/>
  <c r="P214" i="2"/>
  <c r="U214" i="2" s="1"/>
  <c r="V215" i="2"/>
  <c r="V216" i="2"/>
  <c r="J344" i="32" s="1"/>
  <c r="V217" i="2"/>
  <c r="P218" i="2"/>
  <c r="AB60" i="24" s="1"/>
  <c r="V219" i="2"/>
  <c r="V220" i="2"/>
  <c r="V221" i="2"/>
  <c r="P222" i="2"/>
  <c r="AB80" i="24" s="1"/>
  <c r="P223" i="2"/>
  <c r="AC77" i="24" s="1"/>
  <c r="V224" i="2"/>
  <c r="J336" i="32" s="1"/>
  <c r="P225" i="2"/>
  <c r="U225" i="2" s="1"/>
  <c r="P226" i="2"/>
  <c r="AC90" i="24" s="1"/>
  <c r="P235" i="2"/>
  <c r="AC58" i="24" s="1"/>
  <c r="V236" i="2"/>
  <c r="P237" i="2"/>
  <c r="P238" i="2"/>
  <c r="AB20" i="24" s="1"/>
  <c r="S245" i="2"/>
  <c r="S246" i="2"/>
  <c r="P247" i="2"/>
  <c r="U247" i="2" s="1"/>
  <c r="V248" i="2"/>
  <c r="P249" i="2"/>
  <c r="P250" i="2"/>
  <c r="U250" i="2" s="1"/>
  <c r="I256" i="21"/>
  <c r="AS256" i="21" s="1"/>
  <c r="P259" i="2"/>
  <c r="AC83" i="24" s="1"/>
  <c r="V260" i="2"/>
  <c r="J302" i="32" s="1"/>
  <c r="P261" i="2"/>
  <c r="U261" i="2" s="1"/>
  <c r="P262" i="2"/>
  <c r="U262" i="2" s="1"/>
  <c r="R267" i="2"/>
  <c r="I238" i="21" s="1"/>
  <c r="R270" i="2"/>
  <c r="I241" i="21" s="1"/>
  <c r="AY241" i="21" s="1"/>
  <c r="P275" i="2"/>
  <c r="U275" i="2" s="1"/>
  <c r="H275" i="23" s="1"/>
  <c r="R277" i="2"/>
  <c r="AU22" i="24" s="1"/>
  <c r="V279" i="2"/>
  <c r="P280" i="2"/>
  <c r="AT15" i="24" s="1"/>
  <c r="V283" i="2"/>
  <c r="P284" i="2"/>
  <c r="V285" i="2"/>
  <c r="P286" i="2"/>
  <c r="AT12" i="24" s="1"/>
  <c r="S292" i="2"/>
  <c r="T292" i="2" s="1"/>
  <c r="G291" i="23" s="1"/>
  <c r="N291" i="23" s="1"/>
  <c r="V299" i="2"/>
  <c r="P300" i="2"/>
  <c r="AT49" i="24" s="1"/>
  <c r="V301" i="2"/>
  <c r="P302" i="2"/>
  <c r="AT77" i="24" s="1"/>
  <c r="V302" i="2"/>
  <c r="P303" i="2"/>
  <c r="R307" i="2"/>
  <c r="AU25" i="24" s="1"/>
  <c r="R309" i="2"/>
  <c r="AU74" i="24" s="1"/>
  <c r="V310" i="2"/>
  <c r="P311" i="2"/>
  <c r="V315" i="2"/>
  <c r="P316" i="2"/>
  <c r="AT60" i="24" s="1"/>
  <c r="V317" i="2"/>
  <c r="P318" i="2"/>
  <c r="S319" i="2"/>
  <c r="T319" i="2" s="1"/>
  <c r="AQ319" i="2" s="1"/>
  <c r="T236" i="26" s="1"/>
  <c r="R323" i="2"/>
  <c r="AU44" i="24" s="1"/>
  <c r="R325" i="2"/>
  <c r="AU89" i="24" s="1"/>
  <c r="V327" i="2"/>
  <c r="P328" i="2"/>
  <c r="S330" i="2"/>
  <c r="T330" i="2" s="1"/>
  <c r="AQ330" i="2" s="1"/>
  <c r="T27" i="26" s="1"/>
  <c r="V334" i="2"/>
  <c r="P335" i="2"/>
  <c r="U335" i="2" s="1"/>
  <c r="V339" i="2"/>
  <c r="P340" i="2"/>
  <c r="V341" i="2"/>
  <c r="P342" i="2"/>
  <c r="V345" i="2"/>
  <c r="P346" i="2"/>
  <c r="V348" i="2"/>
  <c r="P349" i="2"/>
  <c r="V351" i="2"/>
  <c r="P352" i="2"/>
  <c r="V354" i="2"/>
  <c r="P355" i="2"/>
  <c r="U355" i="2" s="1"/>
  <c r="V356" i="2"/>
  <c r="P357" i="2"/>
  <c r="U357" i="2" s="1"/>
  <c r="V357" i="2"/>
  <c r="V361" i="2"/>
  <c r="P362" i="2"/>
  <c r="S365" i="2"/>
  <c r="P369" i="2"/>
  <c r="R391" i="2"/>
  <c r="AU65" i="24" s="1"/>
  <c r="P398" i="2"/>
  <c r="U398" i="2" s="1"/>
  <c r="V403" i="2"/>
  <c r="R404" i="2"/>
  <c r="P409" i="2"/>
  <c r="U409" i="2" s="1"/>
  <c r="V409" i="2"/>
  <c r="P412" i="2"/>
  <c r="U412" i="2" s="1"/>
  <c r="V415" i="2"/>
  <c r="P417" i="2"/>
  <c r="U417" i="2" s="1"/>
  <c r="P420" i="2"/>
  <c r="U420" i="2" s="1"/>
  <c r="P428" i="2"/>
  <c r="U428" i="2" s="1"/>
  <c r="P435" i="2"/>
  <c r="U435" i="2" s="1"/>
  <c r="P440" i="2"/>
  <c r="U440" i="2" s="1"/>
  <c r="V456" i="2"/>
  <c r="V465" i="2"/>
  <c r="S466" i="2"/>
  <c r="T466" i="2" s="1"/>
  <c r="AQ466" i="2" s="1"/>
  <c r="P467" i="2"/>
  <c r="U467" i="2" s="1"/>
  <c r="V469" i="2"/>
  <c r="V486" i="2"/>
  <c r="V489" i="2"/>
  <c r="P503" i="2"/>
  <c r="U503" i="2" s="1"/>
  <c r="V503" i="2"/>
  <c r="P511" i="2"/>
  <c r="U511" i="2" s="1"/>
  <c r="V519" i="2"/>
  <c r="P522" i="2"/>
  <c r="U522" i="2" s="1"/>
  <c r="V527" i="2"/>
  <c r="U119" i="21"/>
  <c r="F174" i="21"/>
  <c r="D174" i="21"/>
  <c r="F222" i="21"/>
  <c r="D222" i="21"/>
  <c r="H230" i="21"/>
  <c r="D230" i="21"/>
  <c r="F230" i="21"/>
  <c r="H243" i="21"/>
  <c r="F243" i="21"/>
  <c r="D243" i="21"/>
  <c r="AU261" i="21"/>
  <c r="AG261" i="21"/>
  <c r="V261" i="21"/>
  <c r="AY261" i="21"/>
  <c r="I16" i="23"/>
  <c r="I26" i="23"/>
  <c r="J26" i="23" s="1"/>
  <c r="K26" i="23"/>
  <c r="L26" i="23" s="1"/>
  <c r="K41" i="23"/>
  <c r="L41" i="23" s="1"/>
  <c r="I41" i="23"/>
  <c r="J41" i="23" s="1"/>
  <c r="K52" i="23"/>
  <c r="K95" i="23"/>
  <c r="L95" i="23" s="1"/>
  <c r="I95" i="23"/>
  <c r="J95" i="23" s="1"/>
  <c r="K152" i="23"/>
  <c r="I152" i="23"/>
  <c r="I155" i="23"/>
  <c r="K155" i="23"/>
  <c r="K171" i="23"/>
  <c r="L171" i="23" s="1"/>
  <c r="K174" i="23"/>
  <c r="L174" i="23" s="1"/>
  <c r="K232" i="23"/>
  <c r="L232" i="23" s="1"/>
  <c r="I232" i="23"/>
  <c r="J232" i="23" s="1"/>
  <c r="I306" i="23"/>
  <c r="J306" i="23" s="1"/>
  <c r="M306" i="23"/>
  <c r="O306" i="23"/>
  <c r="K306" i="23"/>
  <c r="L306" i="23" s="1"/>
  <c r="AU49" i="21"/>
  <c r="AN49" i="21"/>
  <c r="AE49" i="21"/>
  <c r="X49" i="21"/>
  <c r="R49" i="21"/>
  <c r="T49" i="21"/>
  <c r="AD49" i="21"/>
  <c r="AO49" i="21"/>
  <c r="AY49" i="21"/>
  <c r="H203" i="21"/>
  <c r="D203" i="21"/>
  <c r="G203" i="21" s="1"/>
  <c r="K72" i="23"/>
  <c r="L72" i="23" s="1"/>
  <c r="I72" i="23"/>
  <c r="J72" i="23" s="1"/>
  <c r="K85" i="23"/>
  <c r="I85" i="23"/>
  <c r="K226" i="23"/>
  <c r="I226" i="23"/>
  <c r="I246" i="23"/>
  <c r="J246" i="23" s="1"/>
  <c r="K246" i="23"/>
  <c r="L246" i="23" s="1"/>
  <c r="I249" i="23"/>
  <c r="I280" i="23"/>
  <c r="J61" i="27"/>
  <c r="N248" i="26"/>
  <c r="N61" i="27" s="1"/>
  <c r="I212" i="23"/>
  <c r="J212" i="23" s="1"/>
  <c r="K262" i="23"/>
  <c r="L262" i="23" s="1"/>
  <c r="I262" i="23"/>
  <c r="J262" i="23" s="1"/>
  <c r="K270" i="23"/>
  <c r="I270" i="23"/>
  <c r="K299" i="23"/>
  <c r="L299" i="23" s="1"/>
  <c r="I299" i="23"/>
  <c r="J299" i="23" s="1"/>
  <c r="K308" i="23"/>
  <c r="L308" i="23" s="1"/>
  <c r="I308" i="23"/>
  <c r="J308" i="23" s="1"/>
  <c r="O308" i="23"/>
  <c r="M49" i="21"/>
  <c r="Z49" i="21"/>
  <c r="AJ49" i="21"/>
  <c r="AS49" i="21"/>
  <c r="H208" i="21"/>
  <c r="D208" i="21"/>
  <c r="G208" i="21" s="1"/>
  <c r="K42" i="23"/>
  <c r="L42" i="23" s="1"/>
  <c r="K76" i="23"/>
  <c r="I87" i="23"/>
  <c r="J87" i="23" s="1"/>
  <c r="K93" i="23"/>
  <c r="L93" i="23" s="1"/>
  <c r="I143" i="23"/>
  <c r="J143" i="23" s="1"/>
  <c r="K203" i="23"/>
  <c r="I203" i="23"/>
  <c r="I248" i="23"/>
  <c r="J248" i="23" s="1"/>
  <c r="I251" i="23"/>
  <c r="J251" i="23" s="1"/>
  <c r="K251" i="23"/>
  <c r="L251" i="23" s="1"/>
  <c r="I274" i="23"/>
  <c r="J274" i="23" s="1"/>
  <c r="I300" i="23"/>
  <c r="K300" i="23"/>
  <c r="M308" i="23"/>
  <c r="I282" i="23"/>
  <c r="J282" i="23" s="1"/>
  <c r="I304" i="23"/>
  <c r="J304" i="23" s="1"/>
  <c r="N261" i="21"/>
  <c r="O261" i="21" s="1"/>
  <c r="K204" i="23"/>
  <c r="L204" i="23" s="1"/>
  <c r="K225" i="23"/>
  <c r="L225" i="23" s="1"/>
  <c r="K242" i="23"/>
  <c r="L242" i="23" s="1"/>
  <c r="I242" i="23"/>
  <c r="J242" i="23" s="1"/>
  <c r="I298" i="23"/>
  <c r="K298" i="23"/>
  <c r="M304" i="23"/>
  <c r="J56" i="27"/>
  <c r="L243" i="26"/>
  <c r="J242" i="26"/>
  <c r="E307" i="26"/>
  <c r="E368" i="26"/>
  <c r="E373" i="26"/>
  <c r="E291" i="30"/>
  <c r="O310" i="23"/>
  <c r="E300" i="26"/>
  <c r="E328" i="26"/>
  <c r="E327" i="26" s="1"/>
  <c r="J62" i="27"/>
  <c r="E300" i="30"/>
  <c r="E368" i="30"/>
  <c r="G23" i="25"/>
  <c r="G26" i="25"/>
  <c r="E29" i="25"/>
  <c r="G37" i="25"/>
  <c r="E39" i="25"/>
  <c r="G16" i="25"/>
  <c r="E28" i="25"/>
  <c r="G43" i="25"/>
  <c r="E51" i="25"/>
  <c r="E43" i="25"/>
  <c r="E47" i="30"/>
  <c r="N47" i="30" s="1"/>
  <c r="N14" i="30"/>
  <c r="N30" i="30"/>
  <c r="N53" i="30"/>
  <c r="E72" i="30"/>
  <c r="N72" i="30" s="1"/>
  <c r="N57" i="30"/>
  <c r="N61" i="30"/>
  <c r="N65" i="30"/>
  <c r="N69" i="30"/>
  <c r="E80" i="30"/>
  <c r="N80" i="30" s="1"/>
  <c r="N78" i="30"/>
  <c r="L102" i="30"/>
  <c r="N106" i="30"/>
  <c r="L108" i="30"/>
  <c r="L110" i="30"/>
  <c r="E186" i="30"/>
  <c r="N186" i="30" s="1"/>
  <c r="L183" i="30"/>
  <c r="N185" i="30"/>
  <c r="E202" i="30"/>
  <c r="N202" i="30" s="1"/>
  <c r="L42" i="30"/>
  <c r="N84" i="30"/>
  <c r="E88" i="30"/>
  <c r="N88" i="30" s="1"/>
  <c r="N128" i="30"/>
  <c r="E98" i="30"/>
  <c r="N98" i="30" s="1"/>
  <c r="N17" i="30"/>
  <c r="N23" i="30"/>
  <c r="N27" i="30"/>
  <c r="L54" i="30"/>
  <c r="N56" i="30"/>
  <c r="L58" i="30"/>
  <c r="N60" i="30"/>
  <c r="N64" i="30"/>
  <c r="L66" i="30"/>
  <c r="N68" i="30"/>
  <c r="L70" i="30"/>
  <c r="E114" i="30"/>
  <c r="N114" i="30" s="1"/>
  <c r="L111" i="30"/>
  <c r="L113" i="30"/>
  <c r="L142" i="30"/>
  <c r="N144" i="30"/>
  <c r="N182" i="30"/>
  <c r="E239" i="30"/>
  <c r="N239" i="30" s="1"/>
  <c r="L236" i="30"/>
  <c r="L238" i="30"/>
  <c r="L45" i="30"/>
  <c r="N93" i="30"/>
  <c r="L95" i="30"/>
  <c r="N123" i="30"/>
  <c r="N131" i="30"/>
  <c r="N133" i="30"/>
  <c r="E214" i="30"/>
  <c r="L212" i="30"/>
  <c r="N193" i="30"/>
  <c r="N260" i="30"/>
  <c r="L10" i="26"/>
  <c r="N12" i="26"/>
  <c r="J209" i="30"/>
  <c r="K209" i="30" s="1"/>
  <c r="H28" i="25"/>
  <c r="I28" i="25" s="1"/>
  <c r="H38" i="25"/>
  <c r="I38" i="25" s="1"/>
  <c r="L193" i="30"/>
  <c r="N236" i="30"/>
  <c r="N255" i="30"/>
  <c r="L256" i="30"/>
  <c r="N110" i="30"/>
  <c r="N124" i="26"/>
  <c r="L133" i="26"/>
  <c r="L178" i="26"/>
  <c r="L176" i="26" s="1"/>
  <c r="L31" i="27" s="1"/>
  <c r="L61" i="30"/>
  <c r="L55" i="30"/>
  <c r="N129" i="26"/>
  <c r="N130" i="26"/>
  <c r="N255" i="26"/>
  <c r="N68" i="27" s="1"/>
  <c r="N45" i="30"/>
  <c r="L69" i="30"/>
  <c r="N112" i="30"/>
  <c r="L143" i="30"/>
  <c r="L149" i="30"/>
  <c r="L147" i="30" s="1"/>
  <c r="N147" i="30" s="1"/>
  <c r="N20" i="26"/>
  <c r="J264" i="26"/>
  <c r="K264" i="26" s="1"/>
  <c r="N265" i="26"/>
  <c r="N264" i="26" s="1"/>
  <c r="L23" i="30"/>
  <c r="L53" i="30"/>
  <c r="L60" i="30"/>
  <c r="L71" i="30"/>
  <c r="N108" i="30"/>
  <c r="L182" i="30"/>
  <c r="N105" i="26"/>
  <c r="L63" i="30"/>
  <c r="N95" i="30"/>
  <c r="L184" i="30"/>
  <c r="N14" i="26"/>
  <c r="L61" i="26"/>
  <c r="L265" i="26"/>
  <c r="L70" i="27" s="1"/>
  <c r="J68" i="27"/>
  <c r="L57" i="30"/>
  <c r="L78" i="30"/>
  <c r="L131" i="30"/>
  <c r="L185" i="30"/>
  <c r="N57" i="26"/>
  <c r="L104" i="26"/>
  <c r="L65" i="30"/>
  <c r="L68" i="30"/>
  <c r="L79" i="30"/>
  <c r="L120" i="30"/>
  <c r="N16" i="26"/>
  <c r="L26" i="26"/>
  <c r="L29" i="26"/>
  <c r="L60" i="26"/>
  <c r="N18" i="26"/>
  <c r="L63" i="26"/>
  <c r="N79" i="26"/>
  <c r="J91" i="26"/>
  <c r="K91" i="26" s="1"/>
  <c r="K17" i="27" s="1"/>
  <c r="N97" i="26"/>
  <c r="N119" i="26"/>
  <c r="L120" i="26"/>
  <c r="J188" i="26"/>
  <c r="J33" i="27" s="1"/>
  <c r="L192" i="26"/>
  <c r="N199" i="26"/>
  <c r="N200" i="26"/>
  <c r="N223" i="26"/>
  <c r="L27" i="30"/>
  <c r="N42" i="30"/>
  <c r="L128" i="30"/>
  <c r="J180" i="30"/>
  <c r="K180" i="30" s="1"/>
  <c r="L213" i="30"/>
  <c r="J221" i="30"/>
  <c r="L245" i="30"/>
  <c r="L244" i="30" s="1"/>
  <c r="J75" i="26"/>
  <c r="J14" i="27" s="1"/>
  <c r="N104" i="30"/>
  <c r="L133" i="30"/>
  <c r="L144" i="30"/>
  <c r="N213" i="30"/>
  <c r="N238" i="30"/>
  <c r="N93" i="26"/>
  <c r="L108" i="26"/>
  <c r="L128" i="26"/>
  <c r="N143" i="26"/>
  <c r="N150" i="26"/>
  <c r="J176" i="26"/>
  <c r="N190" i="26"/>
  <c r="L252" i="26"/>
  <c r="L65" i="27" s="1"/>
  <c r="N259" i="26"/>
  <c r="L56" i="30"/>
  <c r="L59" i="30"/>
  <c r="L64" i="30"/>
  <c r="L67" i="30"/>
  <c r="L123" i="30"/>
  <c r="N212" i="30"/>
  <c r="N254" i="30"/>
  <c r="E136" i="30"/>
  <c r="N136" i="30" s="1"/>
  <c r="E145" i="30"/>
  <c r="N145" i="30" s="1"/>
  <c r="E152" i="30"/>
  <c r="N152" i="30" s="1"/>
  <c r="N211" i="30"/>
  <c r="N11" i="30"/>
  <c r="N55" i="30"/>
  <c r="N59" i="30"/>
  <c r="N63" i="30"/>
  <c r="N67" i="30"/>
  <c r="N71" i="30"/>
  <c r="N102" i="30"/>
  <c r="L104" i="30"/>
  <c r="L107" i="30"/>
  <c r="L112" i="30"/>
  <c r="N120" i="30"/>
  <c r="N125" i="30"/>
  <c r="N143" i="30"/>
  <c r="N149" i="30"/>
  <c r="N184" i="30"/>
  <c r="L235" i="30"/>
  <c r="N15" i="30"/>
  <c r="N39" i="30"/>
  <c r="N54" i="30"/>
  <c r="N58" i="30"/>
  <c r="N62" i="30"/>
  <c r="N66" i="30"/>
  <c r="N70" i="30"/>
  <c r="L84" i="30"/>
  <c r="L106" i="30"/>
  <c r="L109" i="30"/>
  <c r="N142" i="30"/>
  <c r="N183" i="30"/>
  <c r="N191" i="30"/>
  <c r="L102" i="26"/>
  <c r="N102" i="26"/>
  <c r="L109" i="26"/>
  <c r="N109" i="26"/>
  <c r="J221" i="26"/>
  <c r="L224" i="26"/>
  <c r="L221" i="26" s="1"/>
  <c r="N260" i="26"/>
  <c r="L260" i="26"/>
  <c r="N10" i="30"/>
  <c r="L10" i="30"/>
  <c r="N19" i="30"/>
  <c r="L19" i="30"/>
  <c r="L43" i="30"/>
  <c r="N43" i="30"/>
  <c r="L94" i="30"/>
  <c r="N94" i="30"/>
  <c r="N124" i="30"/>
  <c r="L124" i="30"/>
  <c r="N129" i="30"/>
  <c r="L129" i="30"/>
  <c r="N192" i="30"/>
  <c r="L192" i="30"/>
  <c r="N11" i="26"/>
  <c r="N15" i="26"/>
  <c r="N19" i="26"/>
  <c r="N68" i="26"/>
  <c r="L68" i="26"/>
  <c r="N69" i="26"/>
  <c r="N87" i="26"/>
  <c r="N182" i="26"/>
  <c r="N224" i="26"/>
  <c r="N237" i="26"/>
  <c r="N50" i="27" s="1"/>
  <c r="J66" i="27"/>
  <c r="N253" i="26"/>
  <c r="N66" i="27" s="1"/>
  <c r="J50" i="27"/>
  <c r="N105" i="30"/>
  <c r="N109" i="30"/>
  <c r="N113" i="30"/>
  <c r="N121" i="30"/>
  <c r="L121" i="30"/>
  <c r="N237" i="30"/>
  <c r="N27" i="26"/>
  <c r="L27" i="26"/>
  <c r="J117" i="26"/>
  <c r="J116" i="26" s="1"/>
  <c r="N29" i="30"/>
  <c r="L29" i="30"/>
  <c r="J176" i="30"/>
  <c r="L178" i="30"/>
  <c r="L176" i="30" s="1"/>
  <c r="L175" i="30" s="1"/>
  <c r="J234" i="30"/>
  <c r="J233" i="30" s="1"/>
  <c r="H21" i="25"/>
  <c r="I21" i="25" s="1"/>
  <c r="H24" i="25"/>
  <c r="I24" i="25" s="1"/>
  <c r="N13" i="26"/>
  <c r="N17" i="26"/>
  <c r="N21" i="26"/>
  <c r="N54" i="26"/>
  <c r="N67" i="26"/>
  <c r="L77" i="26"/>
  <c r="N77" i="26"/>
  <c r="L106" i="26"/>
  <c r="N106" i="26"/>
  <c r="N123" i="26"/>
  <c r="N134" i="26"/>
  <c r="L140" i="26"/>
  <c r="N144" i="26"/>
  <c r="J147" i="26"/>
  <c r="K147" i="26" s="1"/>
  <c r="K23" i="27" s="1"/>
  <c r="J48" i="27"/>
  <c r="L235" i="26"/>
  <c r="L48" i="27" s="1"/>
  <c r="N258" i="26"/>
  <c r="L258" i="26"/>
  <c r="N13" i="30"/>
  <c r="L13" i="30"/>
  <c r="N26" i="30"/>
  <c r="L26" i="30"/>
  <c r="L46" i="30"/>
  <c r="N46" i="30"/>
  <c r="L87" i="30"/>
  <c r="N87" i="30"/>
  <c r="J100" i="30"/>
  <c r="K100" i="30" s="1"/>
  <c r="N103" i="30"/>
  <c r="N107" i="30"/>
  <c r="N111" i="30"/>
  <c r="N127" i="30"/>
  <c r="L127" i="30"/>
  <c r="N132" i="30"/>
  <c r="L132" i="30"/>
  <c r="N178" i="30"/>
  <c r="N235" i="30"/>
  <c r="N259" i="30"/>
  <c r="L259" i="30"/>
  <c r="H43" i="25"/>
  <c r="I43" i="25" s="1"/>
  <c r="H19" i="25"/>
  <c r="I19" i="25" s="1"/>
  <c r="H20" i="25"/>
  <c r="I20" i="25" s="1"/>
  <c r="J251" i="26"/>
  <c r="K251" i="26" s="1"/>
  <c r="K64" i="27" s="1"/>
  <c r="N252" i="26"/>
  <c r="N65" i="27" s="1"/>
  <c r="J51" i="30"/>
  <c r="K51" i="30" s="1"/>
  <c r="J188" i="30"/>
  <c r="K188" i="30" s="1"/>
  <c r="J244" i="30"/>
  <c r="K244" i="30" s="1"/>
  <c r="AY17" i="21"/>
  <c r="AU17" i="21"/>
  <c r="AQ17" i="21"/>
  <c r="AM17" i="21"/>
  <c r="AI17" i="21"/>
  <c r="AE17" i="21"/>
  <c r="Z17" i="21"/>
  <c r="V17" i="21"/>
  <c r="R17" i="21"/>
  <c r="AX17" i="21"/>
  <c r="AT17" i="21"/>
  <c r="AP17" i="21"/>
  <c r="AL17" i="21"/>
  <c r="AH17" i="21"/>
  <c r="AD17" i="21"/>
  <c r="Y17" i="21"/>
  <c r="U17" i="21"/>
  <c r="Q17" i="21"/>
  <c r="K17" i="21"/>
  <c r="AW17" i="21"/>
  <c r="AS17" i="21"/>
  <c r="AO17" i="21"/>
  <c r="AK17" i="21"/>
  <c r="AG17" i="21"/>
  <c r="AB17" i="21"/>
  <c r="X17" i="21"/>
  <c r="T17" i="21"/>
  <c r="P17" i="21"/>
  <c r="J17" i="21"/>
  <c r="AR17" i="21"/>
  <c r="AA17" i="21"/>
  <c r="AN17" i="21"/>
  <c r="W17" i="21"/>
  <c r="AJ17" i="21"/>
  <c r="S17" i="21"/>
  <c r="AV17" i="21"/>
  <c r="AF17" i="21"/>
  <c r="M17" i="21"/>
  <c r="AY29" i="21"/>
  <c r="AU29" i="21"/>
  <c r="AQ29" i="21"/>
  <c r="AM29" i="21"/>
  <c r="AI29" i="21"/>
  <c r="AE29" i="21"/>
  <c r="Z29" i="21"/>
  <c r="V29" i="21"/>
  <c r="R29" i="21"/>
  <c r="AX29" i="21"/>
  <c r="AT29" i="21"/>
  <c r="AP29" i="21"/>
  <c r="AL29" i="21"/>
  <c r="AH29" i="21"/>
  <c r="AC29" i="21"/>
  <c r="Y29" i="21"/>
  <c r="U29" i="21"/>
  <c r="Q29" i="21"/>
  <c r="K29" i="21"/>
  <c r="AW29" i="21"/>
  <c r="AS29" i="21"/>
  <c r="AO29" i="21"/>
  <c r="AK29" i="21"/>
  <c r="AG29" i="21"/>
  <c r="AB29" i="21"/>
  <c r="X29" i="21"/>
  <c r="T29" i="21"/>
  <c r="P29" i="21"/>
  <c r="J29" i="21"/>
  <c r="AR29" i="21"/>
  <c r="AA29" i="21"/>
  <c r="AN29" i="21"/>
  <c r="W29" i="21"/>
  <c r="AJ29" i="21"/>
  <c r="S29" i="21"/>
  <c r="AV29" i="21"/>
  <c r="AF29" i="21"/>
  <c r="M29" i="21"/>
  <c r="AY33" i="21"/>
  <c r="AU33" i="21"/>
  <c r="AQ33" i="21"/>
  <c r="AM33" i="21"/>
  <c r="AI33" i="21"/>
  <c r="AD33" i="21"/>
  <c r="Z33" i="21"/>
  <c r="V33" i="21"/>
  <c r="R33" i="21"/>
  <c r="AX33" i="21"/>
  <c r="AT33" i="21"/>
  <c r="AP33" i="21"/>
  <c r="AL33" i="21"/>
  <c r="AH33" i="21"/>
  <c r="AC33" i="21"/>
  <c r="Y33" i="21"/>
  <c r="U33" i="21"/>
  <c r="Q33" i="21"/>
  <c r="K33" i="21"/>
  <c r="AW33" i="21"/>
  <c r="AS33" i="21"/>
  <c r="AO33" i="21"/>
  <c r="AK33" i="21"/>
  <c r="AG33" i="21"/>
  <c r="AB33" i="21"/>
  <c r="X33" i="21"/>
  <c r="T33" i="21"/>
  <c r="P33" i="21"/>
  <c r="J33" i="21"/>
  <c r="AR33" i="21"/>
  <c r="AA33" i="21"/>
  <c r="AN33" i="21"/>
  <c r="W33" i="21"/>
  <c r="AJ33" i="21"/>
  <c r="S33" i="21"/>
  <c r="AV33" i="21"/>
  <c r="AF33" i="21"/>
  <c r="M33" i="21"/>
  <c r="AY69" i="21"/>
  <c r="AU69" i="21"/>
  <c r="AQ69" i="21"/>
  <c r="AM69" i="21"/>
  <c r="AH69" i="21"/>
  <c r="AD69" i="21"/>
  <c r="Z69" i="21"/>
  <c r="V69" i="21"/>
  <c r="R69" i="21"/>
  <c r="AV69" i="21"/>
  <c r="AP69" i="21"/>
  <c r="AK69" i="21"/>
  <c r="AE69" i="21"/>
  <c r="Y69" i="21"/>
  <c r="T69" i="21"/>
  <c r="M69" i="21"/>
  <c r="AT69" i="21"/>
  <c r="AO69" i="21"/>
  <c r="AI69" i="21"/>
  <c r="AC69" i="21"/>
  <c r="X69" i="21"/>
  <c r="S69" i="21"/>
  <c r="K69" i="21"/>
  <c r="AX69" i="21"/>
  <c r="AS69" i="21"/>
  <c r="AN69" i="21"/>
  <c r="AG69" i="21"/>
  <c r="AB69" i="21"/>
  <c r="W69" i="21"/>
  <c r="Q69" i="21"/>
  <c r="J69" i="21"/>
  <c r="AW69" i="21"/>
  <c r="AA69" i="21"/>
  <c r="AR69" i="21"/>
  <c r="U69" i="21"/>
  <c r="AL69" i="21"/>
  <c r="P69" i="21"/>
  <c r="AF69" i="21"/>
  <c r="AW98" i="21"/>
  <c r="AS98" i="21"/>
  <c r="AO98" i="21"/>
  <c r="AJ98" i="21"/>
  <c r="AF98" i="21"/>
  <c r="AB98" i="21"/>
  <c r="X98" i="21"/>
  <c r="T98" i="21"/>
  <c r="P98" i="21"/>
  <c r="J98" i="21"/>
  <c r="AV98" i="21"/>
  <c r="AQ98" i="21"/>
  <c r="AK98" i="21"/>
  <c r="AE98" i="21"/>
  <c r="Z98" i="21"/>
  <c r="U98" i="21"/>
  <c r="M98" i="21"/>
  <c r="AU98" i="21"/>
  <c r="AP98" i="21"/>
  <c r="AI98" i="21"/>
  <c r="AD98" i="21"/>
  <c r="Y98" i="21"/>
  <c r="S98" i="21"/>
  <c r="AY98" i="21"/>
  <c r="AT98" i="21"/>
  <c r="AM98" i="21"/>
  <c r="AH98" i="21"/>
  <c r="AC98" i="21"/>
  <c r="W98" i="21"/>
  <c r="R98" i="21"/>
  <c r="K98" i="21"/>
  <c r="AX98" i="21"/>
  <c r="AA98" i="21"/>
  <c r="AR98" i="21"/>
  <c r="V98" i="21"/>
  <c r="AL98" i="21"/>
  <c r="Q98" i="21"/>
  <c r="AG98" i="21"/>
  <c r="AW106" i="21"/>
  <c r="AS106" i="21"/>
  <c r="AN106" i="21"/>
  <c r="AJ106" i="21"/>
  <c r="AF106" i="21"/>
  <c r="AB106" i="21"/>
  <c r="X106" i="21"/>
  <c r="T106" i="21"/>
  <c r="P106" i="21"/>
  <c r="J106" i="21"/>
  <c r="AV106" i="21"/>
  <c r="AQ106" i="21"/>
  <c r="AK106" i="21"/>
  <c r="AE106" i="21"/>
  <c r="Z106" i="21"/>
  <c r="U106" i="21"/>
  <c r="M106" i="21"/>
  <c r="AU106" i="21"/>
  <c r="AP106" i="21"/>
  <c r="AI106" i="21"/>
  <c r="AD106" i="21"/>
  <c r="Y106" i="21"/>
  <c r="S106" i="21"/>
  <c r="AY106" i="21"/>
  <c r="AT106" i="21"/>
  <c r="AM106" i="21"/>
  <c r="AH106" i="21"/>
  <c r="AC106" i="21"/>
  <c r="W106" i="21"/>
  <c r="R106" i="21"/>
  <c r="K106" i="21"/>
  <c r="AX106" i="21"/>
  <c r="AA106" i="21"/>
  <c r="AR106" i="21"/>
  <c r="V106" i="21"/>
  <c r="AL106" i="21"/>
  <c r="Q106" i="21"/>
  <c r="AG106" i="21"/>
  <c r="AW90" i="21"/>
  <c r="AS90" i="21"/>
  <c r="AO90" i="21"/>
  <c r="AJ90" i="21"/>
  <c r="AF90" i="21"/>
  <c r="AB90" i="21"/>
  <c r="X90" i="21"/>
  <c r="T90" i="21"/>
  <c r="P90" i="21"/>
  <c r="J90" i="21"/>
  <c r="AV90" i="21"/>
  <c r="AQ90" i="21"/>
  <c r="AK90" i="21"/>
  <c r="AE90" i="21"/>
  <c r="Z90" i="21"/>
  <c r="U90" i="21"/>
  <c r="M90" i="21"/>
  <c r="AU90" i="21"/>
  <c r="AP90" i="21"/>
  <c r="AI90" i="21"/>
  <c r="AD90" i="21"/>
  <c r="Y90" i="21"/>
  <c r="S90" i="21"/>
  <c r="AY90" i="21"/>
  <c r="AT90" i="21"/>
  <c r="AM90" i="21"/>
  <c r="AH90" i="21"/>
  <c r="AC90" i="21"/>
  <c r="W90" i="21"/>
  <c r="R90" i="21"/>
  <c r="K90" i="21"/>
  <c r="AX90" i="21"/>
  <c r="AA90" i="21"/>
  <c r="AR90" i="21"/>
  <c r="V90" i="21"/>
  <c r="AL90" i="21"/>
  <c r="Q90" i="21"/>
  <c r="AG90" i="21"/>
  <c r="AY21" i="21"/>
  <c r="AU21" i="21"/>
  <c r="AQ21" i="21"/>
  <c r="AM21" i="21"/>
  <c r="AI21" i="21"/>
  <c r="AE21" i="21"/>
  <c r="Z21" i="21"/>
  <c r="V21" i="21"/>
  <c r="R21" i="21"/>
  <c r="AX21" i="21"/>
  <c r="AT21" i="21"/>
  <c r="AP21" i="21"/>
  <c r="AL21" i="21"/>
  <c r="AH21" i="21"/>
  <c r="AD21" i="21"/>
  <c r="Y21" i="21"/>
  <c r="U21" i="21"/>
  <c r="Q21" i="21"/>
  <c r="K21" i="21"/>
  <c r="AW21" i="21"/>
  <c r="AS21" i="21"/>
  <c r="AO21" i="21"/>
  <c r="AK21" i="21"/>
  <c r="AG21" i="21"/>
  <c r="AC21" i="21"/>
  <c r="X21" i="21"/>
  <c r="T21" i="21"/>
  <c r="P21" i="21"/>
  <c r="J21" i="21"/>
  <c r="AR21" i="21"/>
  <c r="AB21" i="21"/>
  <c r="AN21" i="21"/>
  <c r="W21" i="21"/>
  <c r="AJ21" i="21"/>
  <c r="S21" i="21"/>
  <c r="AV21" i="21"/>
  <c r="AF21" i="21"/>
  <c r="M21" i="21"/>
  <c r="AY115" i="21"/>
  <c r="AU115" i="21"/>
  <c r="AQ115" i="21"/>
  <c r="AL115" i="21"/>
  <c r="AH115" i="21"/>
  <c r="AD115" i="21"/>
  <c r="Z115" i="21"/>
  <c r="V115" i="21"/>
  <c r="R115" i="21"/>
  <c r="AT115" i="21"/>
  <c r="AN115" i="21"/>
  <c r="AI115" i="21"/>
  <c r="AC115" i="21"/>
  <c r="X115" i="21"/>
  <c r="S115" i="21"/>
  <c r="K115" i="21"/>
  <c r="AS115" i="21"/>
  <c r="AK115" i="21"/>
  <c r="AE115" i="21"/>
  <c r="W115" i="21"/>
  <c r="P115" i="21"/>
  <c r="AX115" i="21"/>
  <c r="AR115" i="21"/>
  <c r="AJ115" i="21"/>
  <c r="AB115" i="21"/>
  <c r="U115" i="21"/>
  <c r="M115" i="21"/>
  <c r="AW115" i="21"/>
  <c r="AO115" i="21"/>
  <c r="AG115" i="21"/>
  <c r="AA115" i="21"/>
  <c r="T115" i="21"/>
  <c r="J115" i="21"/>
  <c r="AF115" i="21"/>
  <c r="Y115" i="21"/>
  <c r="AV115" i="21"/>
  <c r="Q115" i="21"/>
  <c r="AM115" i="21"/>
  <c r="AX126" i="21"/>
  <c r="AT126" i="21"/>
  <c r="AO126" i="21"/>
  <c r="AK126" i="21"/>
  <c r="AG126" i="21"/>
  <c r="AC126" i="21"/>
  <c r="Y126" i="21"/>
  <c r="U126" i="21"/>
  <c r="Q126" i="21"/>
  <c r="K126" i="21"/>
  <c r="AV126" i="21"/>
  <c r="AP126" i="21"/>
  <c r="AJ126" i="21"/>
  <c r="AE126" i="21"/>
  <c r="Z126" i="21"/>
  <c r="T126" i="21"/>
  <c r="M126" i="21"/>
  <c r="AS126" i="21"/>
  <c r="AL126" i="21"/>
  <c r="AD126" i="21"/>
  <c r="W126" i="21"/>
  <c r="P126" i="21"/>
  <c r="AY126" i="21"/>
  <c r="AR126" i="21"/>
  <c r="AI126" i="21"/>
  <c r="AB126" i="21"/>
  <c r="V126" i="21"/>
  <c r="AW126" i="21"/>
  <c r="AN126" i="21"/>
  <c r="AH126" i="21"/>
  <c r="AA126" i="21"/>
  <c r="S126" i="21"/>
  <c r="J126" i="21"/>
  <c r="AF126" i="21"/>
  <c r="X126" i="21"/>
  <c r="AU126" i="21"/>
  <c r="R126" i="21"/>
  <c r="AM126" i="21"/>
  <c r="AJ102" i="21"/>
  <c r="AF102" i="21"/>
  <c r="AB102" i="21"/>
  <c r="X102" i="21"/>
  <c r="T102" i="21"/>
  <c r="P102" i="21"/>
  <c r="J102" i="21"/>
  <c r="AK102" i="21"/>
  <c r="AE102" i="21"/>
  <c r="Z102" i="21"/>
  <c r="U102" i="21"/>
  <c r="M102" i="21"/>
  <c r="AI102" i="21"/>
  <c r="AD102" i="21"/>
  <c r="Y102" i="21"/>
  <c r="S102" i="21"/>
  <c r="AM102" i="21"/>
  <c r="AH102" i="21"/>
  <c r="AC102" i="21"/>
  <c r="W102" i="21"/>
  <c r="R102" i="21"/>
  <c r="K102" i="21"/>
  <c r="AL102" i="21"/>
  <c r="Q102" i="21"/>
  <c r="AG102" i="21"/>
  <c r="AA102" i="21"/>
  <c r="V102" i="21"/>
  <c r="AY25" i="21"/>
  <c r="AU25" i="21"/>
  <c r="AQ25" i="21"/>
  <c r="AM25" i="21"/>
  <c r="AI25" i="21"/>
  <c r="AE25" i="21"/>
  <c r="Z25" i="21"/>
  <c r="V25" i="21"/>
  <c r="R25" i="21"/>
  <c r="AX25" i="21"/>
  <c r="AT25" i="21"/>
  <c r="AP25" i="21"/>
  <c r="AL25" i="21"/>
  <c r="AH25" i="21"/>
  <c r="AC25" i="21"/>
  <c r="Y25" i="21"/>
  <c r="U25" i="21"/>
  <c r="Q25" i="21"/>
  <c r="K25" i="21"/>
  <c r="AW25" i="21"/>
  <c r="AS25" i="21"/>
  <c r="AO25" i="21"/>
  <c r="AK25" i="21"/>
  <c r="AG25" i="21"/>
  <c r="AB25" i="21"/>
  <c r="X25" i="21"/>
  <c r="T25" i="21"/>
  <c r="P25" i="21"/>
  <c r="J25" i="21"/>
  <c r="AR25" i="21"/>
  <c r="AA25" i="21"/>
  <c r="AN25" i="21"/>
  <c r="W25" i="21"/>
  <c r="AJ25" i="21"/>
  <c r="S25" i="21"/>
  <c r="AV25" i="21"/>
  <c r="AF25" i="21"/>
  <c r="M25" i="21"/>
  <c r="AY57" i="21"/>
  <c r="AU57" i="21"/>
  <c r="AQ57" i="21"/>
  <c r="AM57" i="21"/>
  <c r="AI57" i="21"/>
  <c r="AD57" i="21"/>
  <c r="Z57" i="21"/>
  <c r="V57" i="21"/>
  <c r="R57" i="21"/>
  <c r="AV57" i="21"/>
  <c r="AP57" i="21"/>
  <c r="AK57" i="21"/>
  <c r="AE57" i="21"/>
  <c r="Y57" i="21"/>
  <c r="T57" i="21"/>
  <c r="M57" i="21"/>
  <c r="AT57" i="21"/>
  <c r="AO57" i="21"/>
  <c r="AJ57" i="21"/>
  <c r="AC57" i="21"/>
  <c r="X57" i="21"/>
  <c r="S57" i="21"/>
  <c r="K57" i="21"/>
  <c r="AX57" i="21"/>
  <c r="AS57" i="21"/>
  <c r="AN57" i="21"/>
  <c r="AG57" i="21"/>
  <c r="AB57" i="21"/>
  <c r="W57" i="21"/>
  <c r="Q57" i="21"/>
  <c r="J57" i="21"/>
  <c r="AL57" i="21"/>
  <c r="P57" i="21"/>
  <c r="AF57" i="21"/>
  <c r="AW57" i="21"/>
  <c r="AA57" i="21"/>
  <c r="AR57" i="21"/>
  <c r="U57" i="21"/>
  <c r="AY131" i="21"/>
  <c r="AU131" i="21"/>
  <c r="AP131" i="21"/>
  <c r="AL131" i="21"/>
  <c r="AH131" i="21"/>
  <c r="AD131" i="21"/>
  <c r="Z131" i="21"/>
  <c r="V131" i="21"/>
  <c r="R131" i="21"/>
  <c r="AT131" i="21"/>
  <c r="AN131" i="21"/>
  <c r="AI131" i="21"/>
  <c r="AC131" i="21"/>
  <c r="X131" i="21"/>
  <c r="S131" i="21"/>
  <c r="K131" i="21"/>
  <c r="AS131" i="21"/>
  <c r="AK131" i="21"/>
  <c r="AE131" i="21"/>
  <c r="W131" i="21"/>
  <c r="P131" i="21"/>
  <c r="AX131" i="21"/>
  <c r="AQ131" i="21"/>
  <c r="AJ131" i="21"/>
  <c r="AB131" i="21"/>
  <c r="U131" i="21"/>
  <c r="M131" i="21"/>
  <c r="AW131" i="21"/>
  <c r="AO131" i="21"/>
  <c r="AG131" i="21"/>
  <c r="AA131" i="21"/>
  <c r="T131" i="21"/>
  <c r="J131" i="21"/>
  <c r="AF131" i="21"/>
  <c r="Y131" i="21"/>
  <c r="AV131" i="21"/>
  <c r="Q131" i="21"/>
  <c r="AM131" i="21"/>
  <c r="AW86" i="21"/>
  <c r="AS86" i="21"/>
  <c r="AO86" i="21"/>
  <c r="AJ86" i="21"/>
  <c r="AF86" i="21"/>
  <c r="AB86" i="21"/>
  <c r="X86" i="21"/>
  <c r="T86" i="21"/>
  <c r="P86" i="21"/>
  <c r="J86" i="21"/>
  <c r="AV86" i="21"/>
  <c r="AQ86" i="21"/>
  <c r="AK86" i="21"/>
  <c r="AE86" i="21"/>
  <c r="Z86" i="21"/>
  <c r="U86" i="21"/>
  <c r="M86" i="21"/>
  <c r="AU86" i="21"/>
  <c r="AP86" i="21"/>
  <c r="AI86" i="21"/>
  <c r="AD86" i="21"/>
  <c r="Y86" i="21"/>
  <c r="S86" i="21"/>
  <c r="AY86" i="21"/>
  <c r="AT86" i="21"/>
  <c r="AM86" i="21"/>
  <c r="AH86" i="21"/>
  <c r="AC86" i="21"/>
  <c r="W86" i="21"/>
  <c r="R86" i="21"/>
  <c r="K86" i="21"/>
  <c r="AL86" i="21"/>
  <c r="Q86" i="21"/>
  <c r="AG86" i="21"/>
  <c r="AX86" i="21"/>
  <c r="AA86" i="21"/>
  <c r="AR86" i="21"/>
  <c r="V86" i="21"/>
  <c r="AY9" i="21"/>
  <c r="AU9" i="21"/>
  <c r="AQ9" i="21"/>
  <c r="AM9" i="21"/>
  <c r="AI9" i="21"/>
  <c r="AE9" i="21"/>
  <c r="Z9" i="21"/>
  <c r="V9" i="21"/>
  <c r="R9" i="21"/>
  <c r="AX9" i="21"/>
  <c r="AT9" i="21"/>
  <c r="AP9" i="21"/>
  <c r="AL9" i="21"/>
  <c r="AH9" i="21"/>
  <c r="AD9" i="21"/>
  <c r="Y9" i="21"/>
  <c r="U9" i="21"/>
  <c r="Q9" i="21"/>
  <c r="K9" i="21"/>
  <c r="AW9" i="21"/>
  <c r="AS9" i="21"/>
  <c r="AO9" i="21"/>
  <c r="AK9" i="21"/>
  <c r="AG9" i="21"/>
  <c r="AC9" i="21"/>
  <c r="X9" i="21"/>
  <c r="T9" i="21"/>
  <c r="P9" i="21"/>
  <c r="J9" i="21"/>
  <c r="AR9" i="21"/>
  <c r="AA9" i="21"/>
  <c r="AN9" i="21"/>
  <c r="W9" i="21"/>
  <c r="AJ9" i="21"/>
  <c r="S9" i="21"/>
  <c r="AV9" i="21"/>
  <c r="AF9" i="21"/>
  <c r="M9" i="21"/>
  <c r="AY13" i="21"/>
  <c r="AU13" i="21"/>
  <c r="AQ13" i="21"/>
  <c r="AM13" i="21"/>
  <c r="AI13" i="21"/>
  <c r="AE13" i="21"/>
  <c r="Z13" i="21"/>
  <c r="V13" i="21"/>
  <c r="R13" i="21"/>
  <c r="AX13" i="21"/>
  <c r="AT13" i="21"/>
  <c r="AP13" i="21"/>
  <c r="AL13" i="21"/>
  <c r="AH13" i="21"/>
  <c r="AD13" i="21"/>
  <c r="Y13" i="21"/>
  <c r="U13" i="21"/>
  <c r="Q13" i="21"/>
  <c r="K13" i="21"/>
  <c r="AW13" i="21"/>
  <c r="AS13" i="21"/>
  <c r="AO13" i="21"/>
  <c r="AK13" i="21"/>
  <c r="AG13" i="21"/>
  <c r="AB13" i="21"/>
  <c r="X13" i="21"/>
  <c r="T13" i="21"/>
  <c r="P13" i="21"/>
  <c r="J13" i="21"/>
  <c r="AR13" i="21"/>
  <c r="AA13" i="21"/>
  <c r="AN13" i="21"/>
  <c r="W13" i="21"/>
  <c r="AJ13" i="21"/>
  <c r="S13" i="21"/>
  <c r="AV13" i="21"/>
  <c r="AF13" i="21"/>
  <c r="M13" i="21"/>
  <c r="AX118" i="21"/>
  <c r="AT118" i="21"/>
  <c r="AO118" i="21"/>
  <c r="AK118" i="21"/>
  <c r="AG118" i="21"/>
  <c r="AC118" i="21"/>
  <c r="Y118" i="21"/>
  <c r="U118" i="21"/>
  <c r="Q118" i="21"/>
  <c r="K118" i="21"/>
  <c r="AV118" i="21"/>
  <c r="AQ118" i="21"/>
  <c r="AJ118" i="21"/>
  <c r="AE118" i="21"/>
  <c r="Z118" i="21"/>
  <c r="T118" i="21"/>
  <c r="M118" i="21"/>
  <c r="AS118" i="21"/>
  <c r="AL118" i="21"/>
  <c r="AD118" i="21"/>
  <c r="W118" i="21"/>
  <c r="P118" i="21"/>
  <c r="AY118" i="21"/>
  <c r="AR118" i="21"/>
  <c r="AI118" i="21"/>
  <c r="AB118" i="21"/>
  <c r="V118" i="21"/>
  <c r="AW118" i="21"/>
  <c r="AN118" i="21"/>
  <c r="AH118" i="21"/>
  <c r="AA118" i="21"/>
  <c r="S118" i="21"/>
  <c r="J118" i="21"/>
  <c r="AU118" i="21"/>
  <c r="R118" i="21"/>
  <c r="AM118" i="21"/>
  <c r="AF118" i="21"/>
  <c r="X118" i="21"/>
  <c r="AW110" i="21"/>
  <c r="AS110" i="21"/>
  <c r="AN110" i="21"/>
  <c r="AJ110" i="21"/>
  <c r="AF110" i="21"/>
  <c r="AB110" i="21"/>
  <c r="X110" i="21"/>
  <c r="T110" i="21"/>
  <c r="P110" i="21"/>
  <c r="J110" i="21"/>
  <c r="AV110" i="21"/>
  <c r="AQ110" i="21"/>
  <c r="AK110" i="21"/>
  <c r="AE110" i="21"/>
  <c r="Z110" i="21"/>
  <c r="U110" i="21"/>
  <c r="M110" i="21"/>
  <c r="AU110" i="21"/>
  <c r="AP110" i="21"/>
  <c r="AI110" i="21"/>
  <c r="AD110" i="21"/>
  <c r="Y110" i="21"/>
  <c r="S110" i="21"/>
  <c r="AY110" i="21"/>
  <c r="AT110" i="21"/>
  <c r="AM110" i="21"/>
  <c r="AH110" i="21"/>
  <c r="AC110" i="21"/>
  <c r="W110" i="21"/>
  <c r="R110" i="21"/>
  <c r="K110" i="21"/>
  <c r="AL110" i="21"/>
  <c r="Q110" i="21"/>
  <c r="AG110" i="21"/>
  <c r="AX110" i="21"/>
  <c r="AA110" i="21"/>
  <c r="AR110" i="21"/>
  <c r="V110" i="21"/>
  <c r="AY37" i="21"/>
  <c r="AU37" i="21"/>
  <c r="AQ37" i="21"/>
  <c r="AM37" i="21"/>
  <c r="AI37" i="21"/>
  <c r="AD37" i="21"/>
  <c r="Z37" i="21"/>
  <c r="V37" i="21"/>
  <c r="R37" i="21"/>
  <c r="AX37" i="21"/>
  <c r="AT37" i="21"/>
  <c r="AP37" i="21"/>
  <c r="AL37" i="21"/>
  <c r="AH37" i="21"/>
  <c r="AC37" i="21"/>
  <c r="Y37" i="21"/>
  <c r="U37" i="21"/>
  <c r="Q37" i="21"/>
  <c r="K37" i="21"/>
  <c r="AW37" i="21"/>
  <c r="AS37" i="21"/>
  <c r="AO37" i="21"/>
  <c r="AK37" i="21"/>
  <c r="AG37" i="21"/>
  <c r="AB37" i="21"/>
  <c r="X37" i="21"/>
  <c r="T37" i="21"/>
  <c r="P37" i="21"/>
  <c r="J37" i="21"/>
  <c r="AR37" i="21"/>
  <c r="AA37" i="21"/>
  <c r="AN37" i="21"/>
  <c r="W37" i="21"/>
  <c r="AJ37" i="21"/>
  <c r="S37" i="21"/>
  <c r="AV37" i="21"/>
  <c r="AE37" i="21"/>
  <c r="M37" i="21"/>
  <c r="AW44" i="21"/>
  <c r="AS44" i="21"/>
  <c r="AO44" i="21"/>
  <c r="AK44" i="21"/>
  <c r="AF44" i="21"/>
  <c r="AB44" i="21"/>
  <c r="X44" i="21"/>
  <c r="T44" i="21"/>
  <c r="P44" i="21"/>
  <c r="J44" i="21"/>
  <c r="AV44" i="21"/>
  <c r="AQ44" i="21"/>
  <c r="AL44" i="21"/>
  <c r="AE44" i="21"/>
  <c r="Z44" i="21"/>
  <c r="U44" i="21"/>
  <c r="M44" i="21"/>
  <c r="AU44" i="21"/>
  <c r="AP44" i="21"/>
  <c r="AJ44" i="21"/>
  <c r="AD44" i="21"/>
  <c r="Y44" i="21"/>
  <c r="S44" i="21"/>
  <c r="AY44" i="21"/>
  <c r="AT44" i="21"/>
  <c r="AN44" i="21"/>
  <c r="AI44" i="21"/>
  <c r="AC44" i="21"/>
  <c r="W44" i="21"/>
  <c r="R44" i="21"/>
  <c r="K44" i="21"/>
  <c r="AM44" i="21"/>
  <c r="Q44" i="21"/>
  <c r="AH44" i="21"/>
  <c r="AX44" i="21"/>
  <c r="AA44" i="21"/>
  <c r="AR44" i="21"/>
  <c r="V44" i="21"/>
  <c r="AY73" i="21"/>
  <c r="AU73" i="21"/>
  <c r="AQ73" i="21"/>
  <c r="AM73" i="21"/>
  <c r="AH73" i="21"/>
  <c r="AD73" i="21"/>
  <c r="Z73" i="21"/>
  <c r="V73" i="21"/>
  <c r="R73" i="21"/>
  <c r="AV73" i="21"/>
  <c r="AP73" i="21"/>
  <c r="AJ73" i="21"/>
  <c r="AE73" i="21"/>
  <c r="Y73" i="21"/>
  <c r="T73" i="21"/>
  <c r="M73" i="21"/>
  <c r="AT73" i="21"/>
  <c r="AO73" i="21"/>
  <c r="AI73" i="21"/>
  <c r="AC73" i="21"/>
  <c r="X73" i="21"/>
  <c r="S73" i="21"/>
  <c r="K73" i="21"/>
  <c r="AX73" i="21"/>
  <c r="AS73" i="21"/>
  <c r="AN73" i="21"/>
  <c r="AG73" i="21"/>
  <c r="AB73" i="21"/>
  <c r="W73" i="21"/>
  <c r="Q73" i="21"/>
  <c r="J73" i="21"/>
  <c r="AL73" i="21"/>
  <c r="P73" i="21"/>
  <c r="AF73" i="21"/>
  <c r="AW73" i="21"/>
  <c r="AA73" i="21"/>
  <c r="AR73" i="21"/>
  <c r="U73" i="21"/>
  <c r="AW94" i="21"/>
  <c r="AS94" i="21"/>
  <c r="AO94" i="21"/>
  <c r="AJ94" i="21"/>
  <c r="AF94" i="21"/>
  <c r="AB94" i="21"/>
  <c r="X94" i="21"/>
  <c r="T94" i="21"/>
  <c r="P94" i="21"/>
  <c r="J94" i="21"/>
  <c r="AV94" i="21"/>
  <c r="AQ94" i="21"/>
  <c r="AK94" i="21"/>
  <c r="AE94" i="21"/>
  <c r="Z94" i="21"/>
  <c r="U94" i="21"/>
  <c r="M94" i="21"/>
  <c r="AU94" i="21"/>
  <c r="AP94" i="21"/>
  <c r="AI94" i="21"/>
  <c r="AD94" i="21"/>
  <c r="Y94" i="21"/>
  <c r="S94" i="21"/>
  <c r="AY94" i="21"/>
  <c r="AT94" i="21"/>
  <c r="AM94" i="21"/>
  <c r="AH94" i="21"/>
  <c r="AC94" i="21"/>
  <c r="W94" i="21"/>
  <c r="R94" i="21"/>
  <c r="K94" i="21"/>
  <c r="AL94" i="21"/>
  <c r="Q94" i="21"/>
  <c r="AG94" i="21"/>
  <c r="AX94" i="21"/>
  <c r="AA94" i="21"/>
  <c r="AR94" i="21"/>
  <c r="V94" i="21"/>
  <c r="AY123" i="21"/>
  <c r="AU123" i="21"/>
  <c r="AP123" i="21"/>
  <c r="AL123" i="21"/>
  <c r="AH123" i="21"/>
  <c r="AD123" i="21"/>
  <c r="Z123" i="21"/>
  <c r="V123" i="21"/>
  <c r="R123" i="21"/>
  <c r="AT123" i="21"/>
  <c r="AN123" i="21"/>
  <c r="AI123" i="21"/>
  <c r="AC123" i="21"/>
  <c r="X123" i="21"/>
  <c r="S123" i="21"/>
  <c r="K123" i="21"/>
  <c r="AS123" i="21"/>
  <c r="AK123" i="21"/>
  <c r="AE123" i="21"/>
  <c r="W123" i="21"/>
  <c r="P123" i="21"/>
  <c r="AX123" i="21"/>
  <c r="AR123" i="21"/>
  <c r="AJ123" i="21"/>
  <c r="AB123" i="21"/>
  <c r="U123" i="21"/>
  <c r="M123" i="21"/>
  <c r="AW123" i="21"/>
  <c r="AO123" i="21"/>
  <c r="AG123" i="21"/>
  <c r="AA123" i="21"/>
  <c r="T123" i="21"/>
  <c r="J123" i="21"/>
  <c r="AV123" i="21"/>
  <c r="Q123" i="21"/>
  <c r="AM123" i="21"/>
  <c r="AF123" i="21"/>
  <c r="Y123" i="21"/>
  <c r="AW23" i="21"/>
  <c r="AS23" i="21"/>
  <c r="AO23" i="21"/>
  <c r="AK23" i="21"/>
  <c r="AG23" i="21"/>
  <c r="AB23" i="21"/>
  <c r="X23" i="21"/>
  <c r="T23" i="21"/>
  <c r="P23" i="21"/>
  <c r="J23" i="21"/>
  <c r="AV23" i="21"/>
  <c r="AR23" i="21"/>
  <c r="AN23" i="21"/>
  <c r="AJ23" i="21"/>
  <c r="AF23" i="21"/>
  <c r="AA23" i="21"/>
  <c r="W23" i="21"/>
  <c r="S23" i="21"/>
  <c r="M23" i="21"/>
  <c r="AY23" i="21"/>
  <c r="AU23" i="21"/>
  <c r="AQ23" i="21"/>
  <c r="AM23" i="21"/>
  <c r="AI23" i="21"/>
  <c r="AE23" i="21"/>
  <c r="Z23" i="21"/>
  <c r="V23" i="21"/>
  <c r="R23" i="21"/>
  <c r="AX16" i="21"/>
  <c r="AT16" i="21"/>
  <c r="AP16" i="21"/>
  <c r="AL16" i="21"/>
  <c r="AH16" i="21"/>
  <c r="AD16" i="21"/>
  <c r="Y16" i="21"/>
  <c r="U16" i="21"/>
  <c r="Q16" i="21"/>
  <c r="K16" i="21"/>
  <c r="AW16" i="21"/>
  <c r="AS16" i="21"/>
  <c r="AO16" i="21"/>
  <c r="AK16" i="21"/>
  <c r="AG16" i="21"/>
  <c r="AB16" i="21"/>
  <c r="X16" i="21"/>
  <c r="T16" i="21"/>
  <c r="P16" i="21"/>
  <c r="J16" i="21"/>
  <c r="AV16" i="21"/>
  <c r="AR16" i="21"/>
  <c r="AN16" i="21"/>
  <c r="AJ16" i="21"/>
  <c r="AF16" i="21"/>
  <c r="AA16" i="21"/>
  <c r="W16" i="21"/>
  <c r="S16" i="21"/>
  <c r="M16" i="21"/>
  <c r="AV10" i="21"/>
  <c r="AR10" i="21"/>
  <c r="AN10" i="21"/>
  <c r="AJ10" i="21"/>
  <c r="AF10" i="21"/>
  <c r="AA10" i="21"/>
  <c r="W10" i="21"/>
  <c r="S10" i="21"/>
  <c r="M10" i="21"/>
  <c r="AY10" i="21"/>
  <c r="AU10" i="21"/>
  <c r="AQ10" i="21"/>
  <c r="AM10" i="21"/>
  <c r="AI10" i="21"/>
  <c r="AE10" i="21"/>
  <c r="Z10" i="21"/>
  <c r="V10" i="21"/>
  <c r="R10" i="21"/>
  <c r="AX10" i="21"/>
  <c r="AT10" i="21"/>
  <c r="AP10" i="21"/>
  <c r="AL10" i="21"/>
  <c r="AH10" i="21"/>
  <c r="AD10" i="21"/>
  <c r="Y10" i="21"/>
  <c r="U10" i="21"/>
  <c r="Q10" i="21"/>
  <c r="K10" i="21"/>
  <c r="AX103" i="21"/>
  <c r="AT103" i="21"/>
  <c r="AP103" i="21"/>
  <c r="AK103" i="21"/>
  <c r="AG103" i="21"/>
  <c r="AC103" i="21"/>
  <c r="Y103" i="21"/>
  <c r="U103" i="21"/>
  <c r="Q103" i="21"/>
  <c r="K103" i="21"/>
  <c r="AU103" i="21"/>
  <c r="AN103" i="21"/>
  <c r="AI103" i="21"/>
  <c r="AD103" i="21"/>
  <c r="X103" i="21"/>
  <c r="S103" i="21"/>
  <c r="AY103" i="21"/>
  <c r="AS103" i="21"/>
  <c r="AM103" i="21"/>
  <c r="AH103" i="21"/>
  <c r="AB103" i="21"/>
  <c r="W103" i="21"/>
  <c r="R103" i="21"/>
  <c r="J103" i="21"/>
  <c r="AW103" i="21"/>
  <c r="AR103" i="21"/>
  <c r="AL103" i="21"/>
  <c r="AF103" i="21"/>
  <c r="AA103" i="21"/>
  <c r="V103" i="21"/>
  <c r="P103" i="21"/>
  <c r="AY96" i="21"/>
  <c r="AU96" i="21"/>
  <c r="AQ96" i="21"/>
  <c r="AL96" i="21"/>
  <c r="AH96" i="21"/>
  <c r="AD96" i="21"/>
  <c r="Z96" i="21"/>
  <c r="V96" i="21"/>
  <c r="R96" i="21"/>
  <c r="AX96" i="21"/>
  <c r="AS96" i="21"/>
  <c r="AM96" i="21"/>
  <c r="AG96" i="21"/>
  <c r="AB96" i="21"/>
  <c r="W96" i="21"/>
  <c r="Q96" i="21"/>
  <c r="J96" i="21"/>
  <c r="AW96" i="21"/>
  <c r="AR96" i="21"/>
  <c r="AK96" i="21"/>
  <c r="AF96" i="21"/>
  <c r="AA96" i="21"/>
  <c r="U96" i="21"/>
  <c r="P96" i="21"/>
  <c r="AV96" i="21"/>
  <c r="AP96" i="21"/>
  <c r="AJ96" i="21"/>
  <c r="AE96" i="21"/>
  <c r="Y96" i="21"/>
  <c r="T96" i="21"/>
  <c r="M96" i="21"/>
  <c r="AW59" i="21"/>
  <c r="AS59" i="21"/>
  <c r="AO59" i="21"/>
  <c r="AK59" i="21"/>
  <c r="AF59" i="21"/>
  <c r="AB59" i="21"/>
  <c r="X59" i="21"/>
  <c r="T59" i="21"/>
  <c r="P59" i="21"/>
  <c r="J59" i="21"/>
  <c r="AY59" i="21"/>
  <c r="AT59" i="21"/>
  <c r="AN59" i="21"/>
  <c r="AH59" i="21"/>
  <c r="AC59" i="21"/>
  <c r="W59" i="21"/>
  <c r="R59" i="21"/>
  <c r="K59" i="21"/>
  <c r="AX59" i="21"/>
  <c r="AR59" i="21"/>
  <c r="AM59" i="21"/>
  <c r="AG59" i="21"/>
  <c r="AA59" i="21"/>
  <c r="V59" i="21"/>
  <c r="Q59" i="21"/>
  <c r="AV59" i="21"/>
  <c r="AQ59" i="21"/>
  <c r="AL59" i="21"/>
  <c r="AE59" i="21"/>
  <c r="Z59" i="21"/>
  <c r="U59" i="21"/>
  <c r="M59" i="21"/>
  <c r="AU158" i="21"/>
  <c r="AQ158" i="21"/>
  <c r="AM158" i="21"/>
  <c r="AI158" i="21"/>
  <c r="AE158" i="21"/>
  <c r="AA158" i="21"/>
  <c r="W158" i="21"/>
  <c r="S158" i="21"/>
  <c r="M158" i="21"/>
  <c r="AY158" i="21"/>
  <c r="AS158" i="21"/>
  <c r="AN158" i="21"/>
  <c r="AH158" i="21"/>
  <c r="AC158" i="21"/>
  <c r="X158" i="21"/>
  <c r="R158" i="21"/>
  <c r="K158" i="21"/>
  <c r="AX158" i="21"/>
  <c r="AR158" i="21"/>
  <c r="AL158" i="21"/>
  <c r="AG158" i="21"/>
  <c r="AB158" i="21"/>
  <c r="V158" i="21"/>
  <c r="Q158" i="21"/>
  <c r="J158" i="21"/>
  <c r="AW158" i="21"/>
  <c r="AP158" i="21"/>
  <c r="AK158" i="21"/>
  <c r="AF158" i="21"/>
  <c r="Z158" i="21"/>
  <c r="U158" i="21"/>
  <c r="P158" i="21"/>
  <c r="AD158" i="21"/>
  <c r="AT158" i="21"/>
  <c r="Y158" i="21"/>
  <c r="AO158" i="21"/>
  <c r="T158" i="21"/>
  <c r="AY199" i="21"/>
  <c r="AU199" i="21"/>
  <c r="AQ199" i="21"/>
  <c r="AM199" i="21"/>
  <c r="AI199" i="21"/>
  <c r="AE199" i="21"/>
  <c r="AA199" i="21"/>
  <c r="W199" i="21"/>
  <c r="S199" i="21"/>
  <c r="M199" i="21"/>
  <c r="AW199" i="21"/>
  <c r="AR199" i="21"/>
  <c r="AL199" i="21"/>
  <c r="AG199" i="21"/>
  <c r="AB199" i="21"/>
  <c r="V199" i="21"/>
  <c r="Q199" i="21"/>
  <c r="J199" i="21"/>
  <c r="AT199" i="21"/>
  <c r="AN199" i="21"/>
  <c r="AF199" i="21"/>
  <c r="Y199" i="21"/>
  <c r="R199" i="21"/>
  <c r="AS199" i="21"/>
  <c r="AK199" i="21"/>
  <c r="AD199" i="21"/>
  <c r="X199" i="21"/>
  <c r="P199" i="21"/>
  <c r="AX199" i="21"/>
  <c r="AP199" i="21"/>
  <c r="AJ199" i="21"/>
  <c r="AC199" i="21"/>
  <c r="U199" i="21"/>
  <c r="AO199" i="21"/>
  <c r="K199" i="21"/>
  <c r="AH199" i="21"/>
  <c r="Z199" i="21"/>
  <c r="AV116" i="21"/>
  <c r="AR116" i="21"/>
  <c r="AM116" i="21"/>
  <c r="AI116" i="21"/>
  <c r="AE116" i="21"/>
  <c r="AA116" i="21"/>
  <c r="W116" i="21"/>
  <c r="S116" i="21"/>
  <c r="M116" i="21"/>
  <c r="AY116" i="21"/>
  <c r="AT116" i="21"/>
  <c r="AN116" i="21"/>
  <c r="AH116" i="21"/>
  <c r="AC116" i="21"/>
  <c r="X116" i="21"/>
  <c r="R116" i="21"/>
  <c r="K116" i="21"/>
  <c r="AX116" i="21"/>
  <c r="AQ116" i="21"/>
  <c r="AJ116" i="21"/>
  <c r="AB116" i="21"/>
  <c r="U116" i="21"/>
  <c r="AW116" i="21"/>
  <c r="AO116" i="21"/>
  <c r="AG116" i="21"/>
  <c r="Z116" i="21"/>
  <c r="T116" i="21"/>
  <c r="J116" i="21"/>
  <c r="AU116" i="21"/>
  <c r="AL116" i="21"/>
  <c r="AF116" i="21"/>
  <c r="Y116" i="21"/>
  <c r="Q116" i="21"/>
  <c r="AW152" i="21"/>
  <c r="AR152" i="21"/>
  <c r="AN152" i="21"/>
  <c r="AJ152" i="21"/>
  <c r="AF152" i="21"/>
  <c r="AB152" i="21"/>
  <c r="X152" i="21"/>
  <c r="T152" i="21"/>
  <c r="P152" i="21"/>
  <c r="J152" i="21"/>
  <c r="AV152" i="21"/>
  <c r="AP152" i="21"/>
  <c r="AK152" i="21"/>
  <c r="AE152" i="21"/>
  <c r="Z152" i="21"/>
  <c r="U152" i="21"/>
  <c r="M152" i="21"/>
  <c r="AT152" i="21"/>
  <c r="AO152" i="21"/>
  <c r="AI152" i="21"/>
  <c r="AD152" i="21"/>
  <c r="Y152" i="21"/>
  <c r="S152" i="21"/>
  <c r="AY152" i="21"/>
  <c r="AS152" i="21"/>
  <c r="AM152" i="21"/>
  <c r="AH152" i="21"/>
  <c r="AC152" i="21"/>
  <c r="W152" i="21"/>
  <c r="R152" i="21"/>
  <c r="K152" i="21"/>
  <c r="AQ152" i="21"/>
  <c r="V152" i="21"/>
  <c r="AL152" i="21"/>
  <c r="Q152" i="21"/>
  <c r="AG152" i="21"/>
  <c r="C24" i="26"/>
  <c r="AK21" i="24"/>
  <c r="C16" i="26"/>
  <c r="AK13" i="24"/>
  <c r="C55" i="26"/>
  <c r="AK26" i="24"/>
  <c r="C54" i="26"/>
  <c r="AK25" i="24"/>
  <c r="C142" i="26"/>
  <c r="AK82" i="24"/>
  <c r="C150" i="26"/>
  <c r="AK79" i="24"/>
  <c r="AU79" i="24"/>
  <c r="AU82" i="24"/>
  <c r="C108" i="26"/>
  <c r="AK57" i="24"/>
  <c r="C67" i="26"/>
  <c r="AK37" i="24"/>
  <c r="W4" i="21"/>
  <c r="AM4" i="21"/>
  <c r="J10" i="21"/>
  <c r="AB10" i="21"/>
  <c r="AS10" i="21"/>
  <c r="Y11" i="21"/>
  <c r="AP11" i="21"/>
  <c r="V12" i="21"/>
  <c r="AM12" i="21"/>
  <c r="J14" i="21"/>
  <c r="AB14" i="21"/>
  <c r="AS14" i="21"/>
  <c r="Y15" i="21"/>
  <c r="AP15" i="21"/>
  <c r="V16" i="21"/>
  <c r="AM16" i="21"/>
  <c r="J18" i="21"/>
  <c r="AB18" i="21"/>
  <c r="AS18" i="21"/>
  <c r="Y19" i="21"/>
  <c r="AP19" i="21"/>
  <c r="V20" i="21"/>
  <c r="AM20" i="21"/>
  <c r="J22" i="21"/>
  <c r="AB22" i="21"/>
  <c r="AS22" i="21"/>
  <c r="Y23" i="21"/>
  <c r="AP23" i="21"/>
  <c r="J26" i="21"/>
  <c r="AB26" i="21"/>
  <c r="AS26" i="21"/>
  <c r="V28" i="21"/>
  <c r="AM28" i="21"/>
  <c r="Y31" i="21"/>
  <c r="AP31" i="21"/>
  <c r="J34" i="21"/>
  <c r="AB34" i="21"/>
  <c r="AS34" i="21"/>
  <c r="J38" i="21"/>
  <c r="AB38" i="21"/>
  <c r="AS38" i="21"/>
  <c r="AW40" i="21"/>
  <c r="AS40" i="21"/>
  <c r="AO40" i="21"/>
  <c r="AK40" i="21"/>
  <c r="AG40" i="21"/>
  <c r="AB40" i="21"/>
  <c r="X40" i="21"/>
  <c r="T40" i="21"/>
  <c r="P40" i="21"/>
  <c r="J40" i="21"/>
  <c r="AV40" i="21"/>
  <c r="AQ40" i="21"/>
  <c r="AL40" i="21"/>
  <c r="AE40" i="21"/>
  <c r="Z40" i="21"/>
  <c r="U40" i="21"/>
  <c r="M40" i="21"/>
  <c r="AU40" i="21"/>
  <c r="AP40" i="21"/>
  <c r="AJ40" i="21"/>
  <c r="AD40" i="21"/>
  <c r="Y40" i="21"/>
  <c r="S40" i="21"/>
  <c r="AY40" i="21"/>
  <c r="AT40" i="21"/>
  <c r="AN40" i="21"/>
  <c r="AI40" i="21"/>
  <c r="AC40" i="21"/>
  <c r="W40" i="21"/>
  <c r="R40" i="21"/>
  <c r="K40" i="21"/>
  <c r="AH40" i="21"/>
  <c r="R43" i="21"/>
  <c r="AO43" i="21"/>
  <c r="AE45" i="21"/>
  <c r="AC47" i="21"/>
  <c r="AY47" i="21"/>
  <c r="AW48" i="21"/>
  <c r="AS48" i="21"/>
  <c r="AO48" i="21"/>
  <c r="AK48" i="21"/>
  <c r="AF48" i="21"/>
  <c r="AB48" i="21"/>
  <c r="X48" i="21"/>
  <c r="T48" i="21"/>
  <c r="P48" i="21"/>
  <c r="J48" i="21"/>
  <c r="AV48" i="21"/>
  <c r="AQ48" i="21"/>
  <c r="AL48" i="21"/>
  <c r="AE48" i="21"/>
  <c r="Z48" i="21"/>
  <c r="U48" i="21"/>
  <c r="M48" i="21"/>
  <c r="AU48" i="21"/>
  <c r="AP48" i="21"/>
  <c r="AJ48" i="21"/>
  <c r="AD48" i="21"/>
  <c r="Y48" i="21"/>
  <c r="S48" i="21"/>
  <c r="AY48" i="21"/>
  <c r="AT48" i="21"/>
  <c r="AN48" i="21"/>
  <c r="AI48" i="21"/>
  <c r="AC48" i="21"/>
  <c r="W48" i="21"/>
  <c r="R48" i="21"/>
  <c r="K48" i="21"/>
  <c r="AH48" i="21"/>
  <c r="U54" i="21"/>
  <c r="AQ54" i="21"/>
  <c r="AD55" i="21"/>
  <c r="R56" i="21"/>
  <c r="AN56" i="21"/>
  <c r="S59" i="21"/>
  <c r="AP59" i="21"/>
  <c r="AB60" i="21"/>
  <c r="AY60" i="21"/>
  <c r="AD63" i="21"/>
  <c r="AF66" i="21"/>
  <c r="S67" i="21"/>
  <c r="AP67" i="21"/>
  <c r="AB68" i="21"/>
  <c r="AY68" i="21"/>
  <c r="AD71" i="21"/>
  <c r="AY77" i="21"/>
  <c r="AU77" i="21"/>
  <c r="AQ77" i="21"/>
  <c r="AM77" i="21"/>
  <c r="AH77" i="21"/>
  <c r="AD77" i="21"/>
  <c r="Z77" i="21"/>
  <c r="V77" i="21"/>
  <c r="R77" i="21"/>
  <c r="AV77" i="21"/>
  <c r="AP77" i="21"/>
  <c r="AJ77" i="21"/>
  <c r="AE77" i="21"/>
  <c r="Y77" i="21"/>
  <c r="T77" i="21"/>
  <c r="M77" i="21"/>
  <c r="AT77" i="21"/>
  <c r="AO77" i="21"/>
  <c r="AI77" i="21"/>
  <c r="AC77" i="21"/>
  <c r="X77" i="21"/>
  <c r="S77" i="21"/>
  <c r="K77" i="21"/>
  <c r="AX77" i="21"/>
  <c r="AS77" i="21"/>
  <c r="AN77" i="21"/>
  <c r="AG77" i="21"/>
  <c r="AB77" i="21"/>
  <c r="W77" i="21"/>
  <c r="Q77" i="21"/>
  <c r="J77" i="21"/>
  <c r="AF77" i="21"/>
  <c r="S80" i="21"/>
  <c r="AO80" i="21"/>
  <c r="AC81" i="21"/>
  <c r="AY81" i="21"/>
  <c r="AC84" i="21"/>
  <c r="AE87" i="21"/>
  <c r="AC89" i="21"/>
  <c r="AY89" i="21"/>
  <c r="T91" i="21"/>
  <c r="AQ91" i="21"/>
  <c r="AC92" i="21"/>
  <c r="AE95" i="21"/>
  <c r="S96" i="21"/>
  <c r="AO96" i="21"/>
  <c r="T99" i="21"/>
  <c r="AQ99" i="21"/>
  <c r="AC100" i="21"/>
  <c r="AE103" i="21"/>
  <c r="S104" i="21"/>
  <c r="AN104" i="21"/>
  <c r="T107" i="21"/>
  <c r="AQ107" i="21"/>
  <c r="R109" i="21"/>
  <c r="AN109" i="21"/>
  <c r="AC113" i="21"/>
  <c r="V114" i="21"/>
  <c r="AY114" i="21"/>
  <c r="AK116" i="21"/>
  <c r="J120" i="21"/>
  <c r="AO120" i="21"/>
  <c r="V124" i="21"/>
  <c r="U125" i="21"/>
  <c r="AY125" i="21"/>
  <c r="Z128" i="21"/>
  <c r="Y129" i="21"/>
  <c r="V130" i="21"/>
  <c r="AY130" i="21"/>
  <c r="U136" i="21"/>
  <c r="P139" i="21"/>
  <c r="AF140" i="21"/>
  <c r="AK147" i="21"/>
  <c r="Q148" i="21"/>
  <c r="AA152" i="21"/>
  <c r="P164" i="21"/>
  <c r="AA168" i="21"/>
  <c r="Y184" i="21"/>
  <c r="Y188" i="21"/>
  <c r="Y192" i="21"/>
  <c r="Y196" i="21"/>
  <c r="T199" i="21"/>
  <c r="V212" i="21"/>
  <c r="AW3" i="21"/>
  <c r="AS3" i="21"/>
  <c r="AO3" i="21"/>
  <c r="AK3" i="21"/>
  <c r="AG3" i="21"/>
  <c r="AC3" i="21"/>
  <c r="Y3" i="21"/>
  <c r="U3" i="21"/>
  <c r="Q3" i="21"/>
  <c r="J3" i="21"/>
  <c r="AV3" i="21"/>
  <c r="AR3" i="21"/>
  <c r="AN3" i="21"/>
  <c r="AJ3" i="21"/>
  <c r="AF3" i="21"/>
  <c r="AB3" i="21"/>
  <c r="X3" i="21"/>
  <c r="T3" i="21"/>
  <c r="M3" i="21"/>
  <c r="AY3" i="21"/>
  <c r="AU3" i="21"/>
  <c r="AQ3" i="21"/>
  <c r="AM3" i="21"/>
  <c r="AI3" i="21"/>
  <c r="AE3" i="21"/>
  <c r="AA3" i="21"/>
  <c r="W3" i="21"/>
  <c r="S3" i="21"/>
  <c r="AX8" i="21"/>
  <c r="AT8" i="21"/>
  <c r="AP8" i="21"/>
  <c r="AL8" i="21"/>
  <c r="AH8" i="21"/>
  <c r="AD8" i="21"/>
  <c r="Y8" i="21"/>
  <c r="U8" i="21"/>
  <c r="Q8" i="21"/>
  <c r="K8" i="21"/>
  <c r="AW8" i="21"/>
  <c r="AS8" i="21"/>
  <c r="AO8" i="21"/>
  <c r="AK8" i="21"/>
  <c r="AG8" i="21"/>
  <c r="AC8" i="21"/>
  <c r="X8" i="21"/>
  <c r="T8" i="21"/>
  <c r="P8" i="21"/>
  <c r="J8" i="21"/>
  <c r="AV8" i="21"/>
  <c r="AR8" i="21"/>
  <c r="AN8" i="21"/>
  <c r="AJ8" i="21"/>
  <c r="AF8" i="21"/>
  <c r="AB8" i="21"/>
  <c r="W8" i="21"/>
  <c r="S8" i="21"/>
  <c r="M8" i="21"/>
  <c r="AX24" i="21"/>
  <c r="AT24" i="21"/>
  <c r="AP24" i="21"/>
  <c r="AL24" i="21"/>
  <c r="AH24" i="21"/>
  <c r="AC24" i="21"/>
  <c r="Y24" i="21"/>
  <c r="U24" i="21"/>
  <c r="Q24" i="21"/>
  <c r="K24" i="21"/>
  <c r="AW24" i="21"/>
  <c r="AS24" i="21"/>
  <c r="AO24" i="21"/>
  <c r="AK24" i="21"/>
  <c r="AG24" i="21"/>
  <c r="AB24" i="21"/>
  <c r="X24" i="21"/>
  <c r="T24" i="21"/>
  <c r="P24" i="21"/>
  <c r="J24" i="21"/>
  <c r="AV24" i="21"/>
  <c r="AR24" i="21"/>
  <c r="AN24" i="21"/>
  <c r="AJ24" i="21"/>
  <c r="AF24" i="21"/>
  <c r="AA24" i="21"/>
  <c r="W24" i="21"/>
  <c r="S24" i="21"/>
  <c r="M24" i="21"/>
  <c r="AX64" i="21"/>
  <c r="AT64" i="21"/>
  <c r="AP64" i="21"/>
  <c r="AL64" i="21"/>
  <c r="AG64" i="21"/>
  <c r="AC64" i="21"/>
  <c r="Y64" i="21"/>
  <c r="U64" i="21"/>
  <c r="Q64" i="21"/>
  <c r="K64" i="21"/>
  <c r="AW64" i="21"/>
  <c r="AR64" i="21"/>
  <c r="AM64" i="21"/>
  <c r="AF64" i="21"/>
  <c r="AA64" i="21"/>
  <c r="V64" i="21"/>
  <c r="P64" i="21"/>
  <c r="AV64" i="21"/>
  <c r="AQ64" i="21"/>
  <c r="AK64" i="21"/>
  <c r="AE64" i="21"/>
  <c r="Z64" i="21"/>
  <c r="T64" i="21"/>
  <c r="M64" i="21"/>
  <c r="AU64" i="21"/>
  <c r="AO64" i="21"/>
  <c r="AI64" i="21"/>
  <c r="AD64" i="21"/>
  <c r="X64" i="21"/>
  <c r="S64" i="21"/>
  <c r="AV30" i="21"/>
  <c r="AR30" i="21"/>
  <c r="AN30" i="21"/>
  <c r="AJ30" i="21"/>
  <c r="AF30" i="21"/>
  <c r="AA30" i="21"/>
  <c r="W30" i="21"/>
  <c r="S30" i="21"/>
  <c r="M30" i="21"/>
  <c r="AY30" i="21"/>
  <c r="AU30" i="21"/>
  <c r="AQ30" i="21"/>
  <c r="AM30" i="21"/>
  <c r="AI30" i="21"/>
  <c r="AD30" i="21"/>
  <c r="Z30" i="21"/>
  <c r="V30" i="21"/>
  <c r="R30" i="21"/>
  <c r="AX30" i="21"/>
  <c r="AT30" i="21"/>
  <c r="AP30" i="21"/>
  <c r="AL30" i="21"/>
  <c r="AH30" i="21"/>
  <c r="AC30" i="21"/>
  <c r="Y30" i="21"/>
  <c r="U30" i="21"/>
  <c r="Q30" i="21"/>
  <c r="K30" i="21"/>
  <c r="AY50" i="21"/>
  <c r="AU50" i="21"/>
  <c r="AQ50" i="21"/>
  <c r="AM50" i="21"/>
  <c r="AI50" i="21"/>
  <c r="AD50" i="21"/>
  <c r="Z50" i="21"/>
  <c r="V50" i="21"/>
  <c r="R50" i="21"/>
  <c r="AX50" i="21"/>
  <c r="AS50" i="21"/>
  <c r="AN50" i="21"/>
  <c r="AH50" i="21"/>
  <c r="AB50" i="21"/>
  <c r="W50" i="21"/>
  <c r="Q50" i="21"/>
  <c r="J50" i="21"/>
  <c r="AW50" i="21"/>
  <c r="AR50" i="21"/>
  <c r="AL50" i="21"/>
  <c r="AF50" i="21"/>
  <c r="AA50" i="21"/>
  <c r="U50" i="21"/>
  <c r="P50" i="21"/>
  <c r="AV50" i="21"/>
  <c r="AP50" i="21"/>
  <c r="AK50" i="21"/>
  <c r="AE50" i="21"/>
  <c r="Y50" i="21"/>
  <c r="T50" i="21"/>
  <c r="M50" i="21"/>
  <c r="AV105" i="21"/>
  <c r="AR105" i="21"/>
  <c r="AM105" i="21"/>
  <c r="AI105" i="21"/>
  <c r="AE105" i="21"/>
  <c r="AA105" i="21"/>
  <c r="W105" i="21"/>
  <c r="S105" i="21"/>
  <c r="M105" i="21"/>
  <c r="AX105" i="21"/>
  <c r="AS105" i="21"/>
  <c r="AL105" i="21"/>
  <c r="AG105" i="21"/>
  <c r="AB105" i="21"/>
  <c r="V105" i="21"/>
  <c r="Q105" i="21"/>
  <c r="J105" i="21"/>
  <c r="AW105" i="21"/>
  <c r="AQ105" i="21"/>
  <c r="AK105" i="21"/>
  <c r="AF105" i="21"/>
  <c r="Z105" i="21"/>
  <c r="U105" i="21"/>
  <c r="P105" i="21"/>
  <c r="AU105" i="21"/>
  <c r="AP105" i="21"/>
  <c r="AJ105" i="21"/>
  <c r="AD105" i="21"/>
  <c r="Y105" i="21"/>
  <c r="T105" i="21"/>
  <c r="AX111" i="21"/>
  <c r="AT111" i="21"/>
  <c r="AO111" i="21"/>
  <c r="AK111" i="21"/>
  <c r="AG111" i="21"/>
  <c r="AC111" i="21"/>
  <c r="Y111" i="21"/>
  <c r="U111" i="21"/>
  <c r="Q111" i="21"/>
  <c r="K111" i="21"/>
  <c r="AU111" i="21"/>
  <c r="AN111" i="21"/>
  <c r="AI111" i="21"/>
  <c r="AD111" i="21"/>
  <c r="X111" i="21"/>
  <c r="S111" i="21"/>
  <c r="AY111" i="21"/>
  <c r="AS111" i="21"/>
  <c r="AM111" i="21"/>
  <c r="AH111" i="21"/>
  <c r="AB111" i="21"/>
  <c r="W111" i="21"/>
  <c r="R111" i="21"/>
  <c r="J111" i="21"/>
  <c r="AW111" i="21"/>
  <c r="AR111" i="21"/>
  <c r="AL111" i="21"/>
  <c r="AF111" i="21"/>
  <c r="AA111" i="21"/>
  <c r="V111" i="21"/>
  <c r="P111" i="21"/>
  <c r="AY108" i="21"/>
  <c r="AU108" i="21"/>
  <c r="AQ108" i="21"/>
  <c r="AL108" i="21"/>
  <c r="AH108" i="21"/>
  <c r="AD108" i="21"/>
  <c r="Z108" i="21"/>
  <c r="V108" i="21"/>
  <c r="R108" i="21"/>
  <c r="AX108" i="21"/>
  <c r="AS108" i="21"/>
  <c r="AM108" i="21"/>
  <c r="AG108" i="21"/>
  <c r="AB108" i="21"/>
  <c r="W108" i="21"/>
  <c r="Q108" i="21"/>
  <c r="J108" i="21"/>
  <c r="AW108" i="21"/>
  <c r="AR108" i="21"/>
  <c r="AK108" i="21"/>
  <c r="AF108" i="21"/>
  <c r="AA108" i="21"/>
  <c r="U108" i="21"/>
  <c r="P108" i="21"/>
  <c r="AV108" i="21"/>
  <c r="AP108" i="21"/>
  <c r="AJ108" i="21"/>
  <c r="AE108" i="21"/>
  <c r="Y108" i="21"/>
  <c r="T108" i="21"/>
  <c r="M108" i="21"/>
  <c r="AW172" i="21"/>
  <c r="AS172" i="21"/>
  <c r="AO172" i="21"/>
  <c r="AK172" i="21"/>
  <c r="AG172" i="21"/>
  <c r="AC172" i="21"/>
  <c r="Y172" i="21"/>
  <c r="U172" i="21"/>
  <c r="Q172" i="21"/>
  <c r="K172" i="21"/>
  <c r="AU172" i="21"/>
  <c r="AP172" i="21"/>
  <c r="AJ172" i="21"/>
  <c r="AE172" i="21"/>
  <c r="Z172" i="21"/>
  <c r="T172" i="21"/>
  <c r="M172" i="21"/>
  <c r="AT172" i="21"/>
  <c r="AN172" i="21"/>
  <c r="AI172" i="21"/>
  <c r="AD172" i="21"/>
  <c r="X172" i="21"/>
  <c r="S172" i="21"/>
  <c r="AY172" i="21"/>
  <c r="AR172" i="21"/>
  <c r="AM172" i="21"/>
  <c r="AH172" i="21"/>
  <c r="AB172" i="21"/>
  <c r="W172" i="21"/>
  <c r="R172" i="21"/>
  <c r="J172" i="21"/>
  <c r="AF172" i="21"/>
  <c r="AV172" i="21"/>
  <c r="AA172" i="21"/>
  <c r="AQ172" i="21"/>
  <c r="V172" i="21"/>
  <c r="AW75" i="21"/>
  <c r="AS75" i="21"/>
  <c r="AO75" i="21"/>
  <c r="AJ75" i="21"/>
  <c r="AF75" i="21"/>
  <c r="AB75" i="21"/>
  <c r="X75" i="21"/>
  <c r="T75" i="21"/>
  <c r="P75" i="21"/>
  <c r="J75" i="21"/>
  <c r="AY75" i="21"/>
  <c r="AT75" i="21"/>
  <c r="AN75" i="21"/>
  <c r="AH75" i="21"/>
  <c r="AC75" i="21"/>
  <c r="W75" i="21"/>
  <c r="R75" i="21"/>
  <c r="K75" i="21"/>
  <c r="AX75" i="21"/>
  <c r="AR75" i="21"/>
  <c r="AM75" i="21"/>
  <c r="AG75" i="21"/>
  <c r="AA75" i="21"/>
  <c r="V75" i="21"/>
  <c r="Q75" i="21"/>
  <c r="AV75" i="21"/>
  <c r="AQ75" i="21"/>
  <c r="AL75" i="21"/>
  <c r="AE75" i="21"/>
  <c r="Z75" i="21"/>
  <c r="U75" i="21"/>
  <c r="M75" i="21"/>
  <c r="AV101" i="21"/>
  <c r="AV102" i="21" s="1"/>
  <c r="AR101" i="21"/>
  <c r="AR102" i="21" s="1"/>
  <c r="AM101" i="21"/>
  <c r="AI101" i="21"/>
  <c r="AE101" i="21"/>
  <c r="AA101" i="21"/>
  <c r="W101" i="21"/>
  <c r="S101" i="21"/>
  <c r="M101" i="21"/>
  <c r="AX101" i="21"/>
  <c r="AX102" i="21" s="1"/>
  <c r="AS101" i="21"/>
  <c r="AS102" i="21" s="1"/>
  <c r="AL101" i="21"/>
  <c r="AG101" i="21"/>
  <c r="AB101" i="21"/>
  <c r="V101" i="21"/>
  <c r="Q101" i="21"/>
  <c r="J101" i="21"/>
  <c r="AW101" i="21"/>
  <c r="AW102" i="21" s="1"/>
  <c r="AQ101" i="21"/>
  <c r="AQ102" i="21" s="1"/>
  <c r="AK101" i="21"/>
  <c r="AF101" i="21"/>
  <c r="Z101" i="21"/>
  <c r="U101" i="21"/>
  <c r="P101" i="21"/>
  <c r="AU101" i="21"/>
  <c r="AU102" i="21" s="1"/>
  <c r="AP101" i="21"/>
  <c r="AP102" i="21" s="1"/>
  <c r="AJ101" i="21"/>
  <c r="AD101" i="21"/>
  <c r="Y101" i="21"/>
  <c r="T101" i="21"/>
  <c r="AX134" i="21"/>
  <c r="AT134" i="21"/>
  <c r="AO134" i="21"/>
  <c r="AK134" i="21"/>
  <c r="AG134" i="21"/>
  <c r="AC134" i="21"/>
  <c r="Y134" i="21"/>
  <c r="U134" i="21"/>
  <c r="Q134" i="21"/>
  <c r="K134" i="21"/>
  <c r="AW134" i="21"/>
  <c r="AQ134" i="21"/>
  <c r="AL134" i="21"/>
  <c r="AF134" i="21"/>
  <c r="AA134" i="21"/>
  <c r="V134" i="21"/>
  <c r="P134" i="21"/>
  <c r="AV134" i="21"/>
  <c r="AP134" i="21"/>
  <c r="AJ134" i="21"/>
  <c r="AE134" i="21"/>
  <c r="Z134" i="21"/>
  <c r="T134" i="21"/>
  <c r="M134" i="21"/>
  <c r="AN134" i="21"/>
  <c r="AD134" i="21"/>
  <c r="S134" i="21"/>
  <c r="AY134" i="21"/>
  <c r="AM134" i="21"/>
  <c r="AB134" i="21"/>
  <c r="R134" i="21"/>
  <c r="AU134" i="21"/>
  <c r="AI134" i="21"/>
  <c r="X134" i="21"/>
  <c r="AY88" i="21"/>
  <c r="AU88" i="21"/>
  <c r="AQ88" i="21"/>
  <c r="AL88" i="21"/>
  <c r="AH88" i="21"/>
  <c r="AD88" i="21"/>
  <c r="Z88" i="21"/>
  <c r="V88" i="21"/>
  <c r="R88" i="21"/>
  <c r="AX88" i="21"/>
  <c r="AS88" i="21"/>
  <c r="AM88" i="21"/>
  <c r="AG88" i="21"/>
  <c r="AB88" i="21"/>
  <c r="W88" i="21"/>
  <c r="Q88" i="21"/>
  <c r="J88" i="21"/>
  <c r="AW88" i="21"/>
  <c r="AR88" i="21"/>
  <c r="AK88" i="21"/>
  <c r="AF88" i="21"/>
  <c r="AA88" i="21"/>
  <c r="U88" i="21"/>
  <c r="P88" i="21"/>
  <c r="AV88" i="21"/>
  <c r="AP88" i="21"/>
  <c r="AJ88" i="21"/>
  <c r="AE88" i="21"/>
  <c r="Y88" i="21"/>
  <c r="T88" i="21"/>
  <c r="M88" i="21"/>
  <c r="AV258" i="21"/>
  <c r="AR258" i="21"/>
  <c r="AN258" i="21"/>
  <c r="AJ258" i="21"/>
  <c r="AF258" i="21"/>
  <c r="AB258" i="21"/>
  <c r="X258" i="21"/>
  <c r="T258" i="21"/>
  <c r="P258" i="21"/>
  <c r="J258" i="21"/>
  <c r="AX258" i="21"/>
  <c r="AS258" i="21"/>
  <c r="AM258" i="21"/>
  <c r="AH258" i="21"/>
  <c r="AC258" i="21"/>
  <c r="W258" i="21"/>
  <c r="R258" i="21"/>
  <c r="K258" i="21"/>
  <c r="AY258" i="21"/>
  <c r="AQ258" i="21"/>
  <c r="AK258" i="21"/>
  <c r="AD258" i="21"/>
  <c r="V258" i="21"/>
  <c r="M258" i="21"/>
  <c r="AW258" i="21"/>
  <c r="AO258" i="21"/>
  <c r="AE258" i="21"/>
  <c r="U258" i="21"/>
  <c r="AU258" i="21"/>
  <c r="AL258" i="21"/>
  <c r="AA258" i="21"/>
  <c r="S258" i="21"/>
  <c r="AT258" i="21"/>
  <c r="AI258" i="21"/>
  <c r="Z258" i="21"/>
  <c r="Q258" i="21"/>
  <c r="AP258" i="21"/>
  <c r="AG258" i="21"/>
  <c r="Y258" i="21"/>
  <c r="AY180" i="21"/>
  <c r="AU180" i="21"/>
  <c r="AQ180" i="21"/>
  <c r="AM180" i="21"/>
  <c r="AI180" i="21"/>
  <c r="AE180" i="21"/>
  <c r="AA180" i="21"/>
  <c r="W180" i="21"/>
  <c r="S180" i="21"/>
  <c r="M180" i="21"/>
  <c r="AX180" i="21"/>
  <c r="AS180" i="21"/>
  <c r="AN180" i="21"/>
  <c r="AH180" i="21"/>
  <c r="AC180" i="21"/>
  <c r="X180" i="21"/>
  <c r="R180" i="21"/>
  <c r="K180" i="21"/>
  <c r="AW180" i="21"/>
  <c r="AR180" i="21"/>
  <c r="AL180" i="21"/>
  <c r="AG180" i="21"/>
  <c r="AB180" i="21"/>
  <c r="V180" i="21"/>
  <c r="Q180" i="21"/>
  <c r="J180" i="21"/>
  <c r="AV180" i="21"/>
  <c r="AP180" i="21"/>
  <c r="AK180" i="21"/>
  <c r="AF180" i="21"/>
  <c r="Z180" i="21"/>
  <c r="U180" i="21"/>
  <c r="P180" i="21"/>
  <c r="AD180" i="21"/>
  <c r="AT180" i="21"/>
  <c r="Y180" i="21"/>
  <c r="AO180" i="21"/>
  <c r="T180" i="21"/>
  <c r="AV85" i="21"/>
  <c r="AR85" i="21"/>
  <c r="AM85" i="21"/>
  <c r="AI85" i="21"/>
  <c r="AE85" i="21"/>
  <c r="AA85" i="21"/>
  <c r="W85" i="21"/>
  <c r="S85" i="21"/>
  <c r="M85" i="21"/>
  <c r="AX85" i="21"/>
  <c r="AS85" i="21"/>
  <c r="AL85" i="21"/>
  <c r="AG85" i="21"/>
  <c r="AB85" i="21"/>
  <c r="V85" i="21"/>
  <c r="Q85" i="21"/>
  <c r="J85" i="21"/>
  <c r="AW85" i="21"/>
  <c r="AQ85" i="21"/>
  <c r="AK85" i="21"/>
  <c r="AF85" i="21"/>
  <c r="Z85" i="21"/>
  <c r="U85" i="21"/>
  <c r="P85" i="21"/>
  <c r="AU85" i="21"/>
  <c r="AP85" i="21"/>
  <c r="AJ85" i="21"/>
  <c r="AD85" i="21"/>
  <c r="Y85" i="21"/>
  <c r="T85" i="21"/>
  <c r="AV93" i="21"/>
  <c r="AR93" i="21"/>
  <c r="AM93" i="21"/>
  <c r="AI93" i="21"/>
  <c r="AE93" i="21"/>
  <c r="AA93" i="21"/>
  <c r="W93" i="21"/>
  <c r="S93" i="21"/>
  <c r="M93" i="21"/>
  <c r="AX93" i="21"/>
  <c r="AS93" i="21"/>
  <c r="AL93" i="21"/>
  <c r="AG93" i="21"/>
  <c r="AB93" i="21"/>
  <c r="V93" i="21"/>
  <c r="Q93" i="21"/>
  <c r="J93" i="21"/>
  <c r="AW93" i="21"/>
  <c r="AQ93" i="21"/>
  <c r="AK93" i="21"/>
  <c r="AF93" i="21"/>
  <c r="Z93" i="21"/>
  <c r="U93" i="21"/>
  <c r="P93" i="21"/>
  <c r="AU93" i="21"/>
  <c r="AP93" i="21"/>
  <c r="AJ93" i="21"/>
  <c r="AD93" i="21"/>
  <c r="Y93" i="21"/>
  <c r="T93" i="21"/>
  <c r="AV97" i="21"/>
  <c r="AR97" i="21"/>
  <c r="AM97" i="21"/>
  <c r="AI97" i="21"/>
  <c r="AE97" i="21"/>
  <c r="AA97" i="21"/>
  <c r="W97" i="21"/>
  <c r="S97" i="21"/>
  <c r="M97" i="21"/>
  <c r="AX97" i="21"/>
  <c r="AS97" i="21"/>
  <c r="AL97" i="21"/>
  <c r="AG97" i="21"/>
  <c r="AB97" i="21"/>
  <c r="V97" i="21"/>
  <c r="Q97" i="21"/>
  <c r="J97" i="21"/>
  <c r="AW97" i="21"/>
  <c r="AQ97" i="21"/>
  <c r="AK97" i="21"/>
  <c r="AF97" i="21"/>
  <c r="Z97" i="21"/>
  <c r="U97" i="21"/>
  <c r="P97" i="21"/>
  <c r="AU97" i="21"/>
  <c r="AP97" i="21"/>
  <c r="AJ97" i="21"/>
  <c r="AD97" i="21"/>
  <c r="Y97" i="21"/>
  <c r="T97" i="21"/>
  <c r="AY119" i="21"/>
  <c r="AU119" i="21"/>
  <c r="AQ119" i="21"/>
  <c r="AL119" i="21"/>
  <c r="AH119" i="21"/>
  <c r="AD119" i="21"/>
  <c r="Z119" i="21"/>
  <c r="V119" i="21"/>
  <c r="R119" i="21"/>
  <c r="AT119" i="21"/>
  <c r="AN119" i="21"/>
  <c r="AI119" i="21"/>
  <c r="AC119" i="21"/>
  <c r="X119" i="21"/>
  <c r="S119" i="21"/>
  <c r="K119" i="21"/>
  <c r="AW119" i="21"/>
  <c r="AO119" i="21"/>
  <c r="AG119" i="21"/>
  <c r="AA119" i="21"/>
  <c r="T119" i="21"/>
  <c r="J119" i="21"/>
  <c r="AV119" i="21"/>
  <c r="AM119" i="21"/>
  <c r="AF119" i="21"/>
  <c r="Y119" i="21"/>
  <c r="Q119" i="21"/>
  <c r="AS119" i="21"/>
  <c r="AK119" i="21"/>
  <c r="AE119" i="21"/>
  <c r="W119" i="21"/>
  <c r="P119" i="21"/>
  <c r="AY157" i="21"/>
  <c r="AT157" i="21"/>
  <c r="AP157" i="21"/>
  <c r="AL157" i="21"/>
  <c r="AH157" i="21"/>
  <c r="AD157" i="21"/>
  <c r="Z157" i="21"/>
  <c r="V157" i="21"/>
  <c r="R157" i="21"/>
  <c r="AS157" i="21"/>
  <c r="AN157" i="21"/>
  <c r="AI157" i="21"/>
  <c r="AC157" i="21"/>
  <c r="X157" i="21"/>
  <c r="S157" i="21"/>
  <c r="K157" i="21"/>
  <c r="AX157" i="21"/>
  <c r="AR157" i="21"/>
  <c r="AM157" i="21"/>
  <c r="AG157" i="21"/>
  <c r="AB157" i="21"/>
  <c r="W157" i="21"/>
  <c r="Q157" i="21"/>
  <c r="J157" i="21"/>
  <c r="AW157" i="21"/>
  <c r="AQ157" i="21"/>
  <c r="AK157" i="21"/>
  <c r="AF157" i="21"/>
  <c r="AA157" i="21"/>
  <c r="U157" i="21"/>
  <c r="P157" i="21"/>
  <c r="AO157" i="21"/>
  <c r="T157" i="21"/>
  <c r="AJ157" i="21"/>
  <c r="M157" i="21"/>
  <c r="AE157" i="21"/>
  <c r="AV186" i="21"/>
  <c r="AR186" i="21"/>
  <c r="AN186" i="21"/>
  <c r="AJ186" i="21"/>
  <c r="AF186" i="21"/>
  <c r="AB186" i="21"/>
  <c r="X186" i="21"/>
  <c r="T186" i="21"/>
  <c r="P186" i="21"/>
  <c r="J186" i="21"/>
  <c r="AX186" i="21"/>
  <c r="AS186" i="21"/>
  <c r="AM186" i="21"/>
  <c r="AH186" i="21"/>
  <c r="AC186" i="21"/>
  <c r="W186" i="21"/>
  <c r="R186" i="21"/>
  <c r="K186" i="21"/>
  <c r="AW186" i="21"/>
  <c r="AQ186" i="21"/>
  <c r="AL186" i="21"/>
  <c r="AG186" i="21"/>
  <c r="AA186" i="21"/>
  <c r="V186" i="21"/>
  <c r="Q186" i="21"/>
  <c r="AU186" i="21"/>
  <c r="AP186" i="21"/>
  <c r="AK186" i="21"/>
  <c r="AE186" i="21"/>
  <c r="Z186" i="21"/>
  <c r="U186" i="21"/>
  <c r="M186" i="21"/>
  <c r="AY186" i="21"/>
  <c r="AD186" i="21"/>
  <c r="AT186" i="21"/>
  <c r="Y186" i="21"/>
  <c r="AO186" i="21"/>
  <c r="S186" i="21"/>
  <c r="AV190" i="21"/>
  <c r="AR190" i="21"/>
  <c r="AN190" i="21"/>
  <c r="AJ190" i="21"/>
  <c r="AF190" i="21"/>
  <c r="AB190" i="21"/>
  <c r="X190" i="21"/>
  <c r="T190" i="21"/>
  <c r="P190" i="21"/>
  <c r="J190" i="21"/>
  <c r="AX190" i="21"/>
  <c r="AS190" i="21"/>
  <c r="AM190" i="21"/>
  <c r="AH190" i="21"/>
  <c r="AC190" i="21"/>
  <c r="W190" i="21"/>
  <c r="R190" i="21"/>
  <c r="K190" i="21"/>
  <c r="AW190" i="21"/>
  <c r="AQ190" i="21"/>
  <c r="AL190" i="21"/>
  <c r="AG190" i="21"/>
  <c r="AA190" i="21"/>
  <c r="V190" i="21"/>
  <c r="Q190" i="21"/>
  <c r="AU190" i="21"/>
  <c r="AP190" i="21"/>
  <c r="AK190" i="21"/>
  <c r="AE190" i="21"/>
  <c r="Z190" i="21"/>
  <c r="U190" i="21"/>
  <c r="M190" i="21"/>
  <c r="AY190" i="21"/>
  <c r="AD190" i="21"/>
  <c r="AT190" i="21"/>
  <c r="Y190" i="21"/>
  <c r="AO190" i="21"/>
  <c r="S190" i="21"/>
  <c r="AT154" i="21"/>
  <c r="AP154" i="21"/>
  <c r="AL154" i="21"/>
  <c r="AH154" i="21"/>
  <c r="AD154" i="21"/>
  <c r="Z154" i="21"/>
  <c r="V154" i="21"/>
  <c r="R154" i="21"/>
  <c r="AY154" i="21"/>
  <c r="AR154" i="21"/>
  <c r="AM154" i="21"/>
  <c r="AG154" i="21"/>
  <c r="AB154" i="21"/>
  <c r="W154" i="21"/>
  <c r="Q154" i="21"/>
  <c r="J154" i="21"/>
  <c r="AV154" i="21"/>
  <c r="AQ154" i="21"/>
  <c r="AK154" i="21"/>
  <c r="AF154" i="21"/>
  <c r="AA154" i="21"/>
  <c r="U154" i="21"/>
  <c r="P154" i="21"/>
  <c r="AU154" i="21"/>
  <c r="AO154" i="21"/>
  <c r="AJ154" i="21"/>
  <c r="AE154" i="21"/>
  <c r="Y154" i="21"/>
  <c r="T154" i="21"/>
  <c r="M154" i="21"/>
  <c r="AN154" i="21"/>
  <c r="S154" i="21"/>
  <c r="AI154" i="21"/>
  <c r="K154" i="21"/>
  <c r="AC154" i="21"/>
  <c r="AY127" i="21"/>
  <c r="AU127" i="21"/>
  <c r="AP127" i="21"/>
  <c r="AL127" i="21"/>
  <c r="AH127" i="21"/>
  <c r="AD127" i="21"/>
  <c r="Z127" i="21"/>
  <c r="V127" i="21"/>
  <c r="R127" i="21"/>
  <c r="AT127" i="21"/>
  <c r="AN127" i="21"/>
  <c r="AI127" i="21"/>
  <c r="AC127" i="21"/>
  <c r="X127" i="21"/>
  <c r="S127" i="21"/>
  <c r="K127" i="21"/>
  <c r="AW127" i="21"/>
  <c r="AO127" i="21"/>
  <c r="AG127" i="21"/>
  <c r="AA127" i="21"/>
  <c r="T127" i="21"/>
  <c r="J127" i="21"/>
  <c r="AV127" i="21"/>
  <c r="AM127" i="21"/>
  <c r="AF127" i="21"/>
  <c r="Y127" i="21"/>
  <c r="Q127" i="21"/>
  <c r="AS127" i="21"/>
  <c r="AK127" i="21"/>
  <c r="AE127" i="21"/>
  <c r="W127" i="21"/>
  <c r="P127" i="21"/>
  <c r="AY173" i="21"/>
  <c r="AT173" i="21"/>
  <c r="AP173" i="21"/>
  <c r="AL173" i="21"/>
  <c r="AH173" i="21"/>
  <c r="AD173" i="21"/>
  <c r="Z173" i="21"/>
  <c r="V173" i="21"/>
  <c r="R173" i="21"/>
  <c r="AS173" i="21"/>
  <c r="AN173" i="21"/>
  <c r="AI173" i="21"/>
  <c r="AC173" i="21"/>
  <c r="X173" i="21"/>
  <c r="S173" i="21"/>
  <c r="K173" i="21"/>
  <c r="AW173" i="21"/>
  <c r="AR173" i="21"/>
  <c r="AM173" i="21"/>
  <c r="AG173" i="21"/>
  <c r="AB173" i="21"/>
  <c r="W173" i="21"/>
  <c r="Q173" i="21"/>
  <c r="J173" i="21"/>
  <c r="AV173" i="21"/>
  <c r="AQ173" i="21"/>
  <c r="AK173" i="21"/>
  <c r="AF173" i="21"/>
  <c r="AA173" i="21"/>
  <c r="U173" i="21"/>
  <c r="P173" i="21"/>
  <c r="AO173" i="21"/>
  <c r="T173" i="21"/>
  <c r="AJ173" i="21"/>
  <c r="M173" i="21"/>
  <c r="AE173" i="21"/>
  <c r="AT151" i="21"/>
  <c r="AP151" i="21"/>
  <c r="AL151" i="21"/>
  <c r="AH151" i="21"/>
  <c r="AD151" i="21"/>
  <c r="Z151" i="21"/>
  <c r="V151" i="21"/>
  <c r="R151" i="21"/>
  <c r="AX151" i="21"/>
  <c r="AQ151" i="21"/>
  <c r="AK151" i="21"/>
  <c r="AF151" i="21"/>
  <c r="AA151" i="21"/>
  <c r="U151" i="21"/>
  <c r="P151" i="21"/>
  <c r="AW151" i="21"/>
  <c r="AO151" i="21"/>
  <c r="AJ151" i="21"/>
  <c r="AE151" i="21"/>
  <c r="Y151" i="21"/>
  <c r="T151" i="21"/>
  <c r="M151" i="21"/>
  <c r="AS151" i="21"/>
  <c r="AN151" i="21"/>
  <c r="AI151" i="21"/>
  <c r="AC151" i="21"/>
  <c r="X151" i="21"/>
  <c r="S151" i="21"/>
  <c r="K151" i="21"/>
  <c r="AM151" i="21"/>
  <c r="Q151" i="21"/>
  <c r="AG151" i="21"/>
  <c r="J151" i="21"/>
  <c r="AY151" i="21"/>
  <c r="AB151" i="21"/>
  <c r="AU170" i="21"/>
  <c r="AQ170" i="21"/>
  <c r="AM170" i="21"/>
  <c r="AI170" i="21"/>
  <c r="AE170" i="21"/>
  <c r="AA170" i="21"/>
  <c r="W170" i="21"/>
  <c r="S170" i="21"/>
  <c r="M170" i="21"/>
  <c r="AY170" i="21"/>
  <c r="AS170" i="21"/>
  <c r="AN170" i="21"/>
  <c r="AH170" i="21"/>
  <c r="AC170" i="21"/>
  <c r="X170" i="21"/>
  <c r="R170" i="21"/>
  <c r="K170" i="21"/>
  <c r="AW170" i="21"/>
  <c r="AR170" i="21"/>
  <c r="AL170" i="21"/>
  <c r="AG170" i="21"/>
  <c r="AB170" i="21"/>
  <c r="V170" i="21"/>
  <c r="Q170" i="21"/>
  <c r="J170" i="21"/>
  <c r="AV170" i="21"/>
  <c r="AP170" i="21"/>
  <c r="AK170" i="21"/>
  <c r="AF170" i="21"/>
  <c r="Z170" i="21"/>
  <c r="U170" i="21"/>
  <c r="P170" i="21"/>
  <c r="AO170" i="21"/>
  <c r="T170" i="21"/>
  <c r="AJ170" i="21"/>
  <c r="AD170" i="21"/>
  <c r="AY247" i="21"/>
  <c r="AU247" i="21"/>
  <c r="AQ247" i="21"/>
  <c r="AM247" i="21"/>
  <c r="AI247" i="21"/>
  <c r="AE247" i="21"/>
  <c r="AA247" i="21"/>
  <c r="W247" i="21"/>
  <c r="S247" i="21"/>
  <c r="M247" i="21"/>
  <c r="AW247" i="21"/>
  <c r="AR247" i="21"/>
  <c r="AL247" i="21"/>
  <c r="AG247" i="21"/>
  <c r="AB247" i="21"/>
  <c r="V247" i="21"/>
  <c r="Q247" i="21"/>
  <c r="J247" i="21"/>
  <c r="AV247" i="21"/>
  <c r="AO247" i="21"/>
  <c r="AH247" i="21"/>
  <c r="Z247" i="21"/>
  <c r="T247" i="21"/>
  <c r="K247" i="21"/>
  <c r="AT247" i="21"/>
  <c r="AK247" i="21"/>
  <c r="AC247" i="21"/>
  <c r="R247" i="21"/>
  <c r="AS247" i="21"/>
  <c r="AJ247" i="21"/>
  <c r="Y247" i="21"/>
  <c r="P247" i="21"/>
  <c r="AP247" i="21"/>
  <c r="X247" i="21"/>
  <c r="AN247" i="21"/>
  <c r="U247" i="21"/>
  <c r="AF247" i="21"/>
  <c r="AX247" i="21"/>
  <c r="AD247" i="21"/>
  <c r="AY234" i="21"/>
  <c r="AU234" i="21"/>
  <c r="AQ234" i="21"/>
  <c r="AM234" i="21"/>
  <c r="AI234" i="21"/>
  <c r="AE234" i="21"/>
  <c r="AA234" i="21"/>
  <c r="W234" i="21"/>
  <c r="S234" i="21"/>
  <c r="M234" i="21"/>
  <c r="AT234" i="21"/>
  <c r="AO234" i="21"/>
  <c r="AJ234" i="21"/>
  <c r="AD234" i="21"/>
  <c r="Y234" i="21"/>
  <c r="T234" i="21"/>
  <c r="AX234" i="21"/>
  <c r="AR234" i="21"/>
  <c r="AK234" i="21"/>
  <c r="AC234" i="21"/>
  <c r="V234" i="21"/>
  <c r="P234" i="21"/>
  <c r="AW234" i="21"/>
  <c r="AN234" i="21"/>
  <c r="AF234" i="21"/>
  <c r="U234" i="21"/>
  <c r="J234" i="21"/>
  <c r="AV234" i="21"/>
  <c r="AL234" i="21"/>
  <c r="AB234" i="21"/>
  <c r="R234" i="21"/>
  <c r="AS234" i="21"/>
  <c r="AH234" i="21"/>
  <c r="Z234" i="21"/>
  <c r="Q234" i="21"/>
  <c r="AG234" i="21"/>
  <c r="X234" i="21"/>
  <c r="K234" i="21"/>
  <c r="AY206" i="21"/>
  <c r="AU206" i="21"/>
  <c r="AQ206" i="21"/>
  <c r="AM206" i="21"/>
  <c r="AI206" i="21"/>
  <c r="AE206" i="21"/>
  <c r="AA206" i="21"/>
  <c r="W206" i="21"/>
  <c r="S206" i="21"/>
  <c r="M206" i="21"/>
  <c r="AX206" i="21"/>
  <c r="AS206" i="21"/>
  <c r="AN206" i="21"/>
  <c r="AH206" i="21"/>
  <c r="AC206" i="21"/>
  <c r="X206" i="21"/>
  <c r="R206" i="21"/>
  <c r="K206" i="21"/>
  <c r="AV206" i="21"/>
  <c r="AO206" i="21"/>
  <c r="AG206" i="21"/>
  <c r="Z206" i="21"/>
  <c r="T206" i="21"/>
  <c r="J206" i="21"/>
  <c r="AT206" i="21"/>
  <c r="AL206" i="21"/>
  <c r="AF206" i="21"/>
  <c r="Y206" i="21"/>
  <c r="Q206" i="21"/>
  <c r="AR206" i="21"/>
  <c r="AK206" i="21"/>
  <c r="AD206" i="21"/>
  <c r="V206" i="21"/>
  <c r="P206" i="21"/>
  <c r="AW206" i="21"/>
  <c r="U206" i="21"/>
  <c r="AP206" i="21"/>
  <c r="AJ206" i="21"/>
  <c r="C110" i="26"/>
  <c r="AK59" i="24"/>
  <c r="C124" i="26"/>
  <c r="AK68" i="24"/>
  <c r="C255" i="30"/>
  <c r="C255" i="26"/>
  <c r="AK100" i="24"/>
  <c r="V368" i="2"/>
  <c r="C182" i="26"/>
  <c r="AK84" i="24"/>
  <c r="P371" i="2"/>
  <c r="U371" i="2" s="1"/>
  <c r="V375" i="2"/>
  <c r="V377" i="2"/>
  <c r="R381" i="2"/>
  <c r="V388" i="2"/>
  <c r="V389" i="2"/>
  <c r="S390" i="2"/>
  <c r="T390" i="2" s="1"/>
  <c r="AQ390" i="2" s="1"/>
  <c r="P391" i="2"/>
  <c r="U391" i="2" s="1"/>
  <c r="P395" i="2"/>
  <c r="U395" i="2" s="1"/>
  <c r="P399" i="2"/>
  <c r="U399" i="2" s="1"/>
  <c r="P402" i="2"/>
  <c r="U402" i="2" s="1"/>
  <c r="R403" i="2"/>
  <c r="P404" i="2"/>
  <c r="U404" i="2" s="1"/>
  <c r="V405" i="2"/>
  <c r="V408" i="2"/>
  <c r="V410" i="2"/>
  <c r="P414" i="2"/>
  <c r="U414" i="2" s="1"/>
  <c r="S415" i="2"/>
  <c r="T415" i="2" s="1"/>
  <c r="Z415" i="2" s="1"/>
  <c r="R419" i="2"/>
  <c r="V420" i="2"/>
  <c r="S421" i="2"/>
  <c r="T421" i="2" s="1"/>
  <c r="Z421" i="2" s="1"/>
  <c r="V422" i="2"/>
  <c r="P423" i="2"/>
  <c r="U423" i="2" s="1"/>
  <c r="V424" i="2"/>
  <c r="P426" i="2"/>
  <c r="U426" i="2" s="1"/>
  <c r="P429" i="2"/>
  <c r="U429" i="2" s="1"/>
  <c r="C248" i="30"/>
  <c r="T248" i="30" s="1"/>
  <c r="C248" i="26"/>
  <c r="T248" i="26" s="1"/>
  <c r="R430" i="2"/>
  <c r="AU107" i="24" s="1"/>
  <c r="P433" i="2"/>
  <c r="U433" i="2" s="1"/>
  <c r="V434" i="2"/>
  <c r="P436" i="2"/>
  <c r="V437" i="2"/>
  <c r="P439" i="2"/>
  <c r="U439" i="2" s="1"/>
  <c r="V441" i="2"/>
  <c r="P443" i="2"/>
  <c r="U443" i="2" s="1"/>
  <c r="P448" i="2"/>
  <c r="U448" i="2" s="1"/>
  <c r="P449" i="2"/>
  <c r="U449" i="2" s="1"/>
  <c r="P451" i="2"/>
  <c r="U451" i="2" s="1"/>
  <c r="P457" i="2"/>
  <c r="U457" i="2" s="1"/>
  <c r="R461" i="2"/>
  <c r="V462" i="2"/>
  <c r="V466" i="2"/>
  <c r="V467" i="2"/>
  <c r="P469" i="2"/>
  <c r="U469" i="2" s="1"/>
  <c r="V471" i="2"/>
  <c r="P473" i="2"/>
  <c r="U473" i="2" s="1"/>
  <c r="R475" i="2"/>
  <c r="P476" i="2"/>
  <c r="U476" i="2" s="1"/>
  <c r="V477" i="2"/>
  <c r="P479" i="2"/>
  <c r="U479" i="2" s="1"/>
  <c r="V481" i="2"/>
  <c r="P483" i="2"/>
  <c r="U483" i="2" s="1"/>
  <c r="V484" i="2"/>
  <c r="V491" i="2"/>
  <c r="P492" i="2"/>
  <c r="U492" i="2" s="1"/>
  <c r="V493" i="2"/>
  <c r="V494" i="2"/>
  <c r="P495" i="2"/>
  <c r="U495" i="2" s="1"/>
  <c r="P501" i="2"/>
  <c r="U501" i="2" s="1"/>
  <c r="V507" i="2"/>
  <c r="V511" i="2"/>
  <c r="V513" i="2"/>
  <c r="V515" i="2"/>
  <c r="P516" i="2"/>
  <c r="U516" i="2" s="1"/>
  <c r="V517" i="2"/>
  <c r="V520" i="2"/>
  <c r="P523" i="2"/>
  <c r="U523" i="2" s="1"/>
  <c r="V369" i="2"/>
  <c r="R369" i="2"/>
  <c r="AU84" i="24" s="1"/>
  <c r="S366" i="2"/>
  <c r="S360" i="2"/>
  <c r="T360" i="2" s="1"/>
  <c r="AQ360" i="2" s="1"/>
  <c r="T57" i="26" s="1"/>
  <c r="S356" i="2"/>
  <c r="S354" i="2"/>
  <c r="S352" i="2"/>
  <c r="K3" i="21"/>
  <c r="AD3" i="21"/>
  <c r="AT3" i="21"/>
  <c r="AA4" i="21"/>
  <c r="AQ4" i="21"/>
  <c r="Z8" i="21"/>
  <c r="AQ8" i="21"/>
  <c r="P10" i="21"/>
  <c r="AG10" i="21"/>
  <c r="AW10" i="21"/>
  <c r="K11" i="21"/>
  <c r="AD11" i="21"/>
  <c r="AT11" i="21"/>
  <c r="Z12" i="21"/>
  <c r="P14" i="21"/>
  <c r="AG14" i="21"/>
  <c r="AW14" i="21"/>
  <c r="K15" i="21"/>
  <c r="AD15" i="21"/>
  <c r="AT15" i="21"/>
  <c r="Z16" i="21"/>
  <c r="AQ16" i="21"/>
  <c r="P18" i="21"/>
  <c r="AG18" i="21"/>
  <c r="AW18" i="21"/>
  <c r="K19" i="21"/>
  <c r="AD19" i="21"/>
  <c r="Z20" i="21"/>
  <c r="P22" i="21"/>
  <c r="AG22" i="21"/>
  <c r="AW22" i="21"/>
  <c r="K23" i="21"/>
  <c r="AC23" i="21"/>
  <c r="AT23" i="21"/>
  <c r="Z24" i="21"/>
  <c r="AQ24" i="21"/>
  <c r="P26" i="21"/>
  <c r="AG26" i="21"/>
  <c r="Z28" i="21"/>
  <c r="AQ28" i="21"/>
  <c r="P30" i="21"/>
  <c r="AG30" i="21"/>
  <c r="AW30" i="21"/>
  <c r="K31" i="21"/>
  <c r="AC31" i="21"/>
  <c r="AT31" i="21"/>
  <c r="P34" i="21"/>
  <c r="AG34" i="21"/>
  <c r="AW34" i="21"/>
  <c r="P38" i="21"/>
  <c r="AG38" i="21"/>
  <c r="Q40" i="21"/>
  <c r="AM40" i="21"/>
  <c r="X43" i="21"/>
  <c r="M45" i="21"/>
  <c r="AK45" i="21"/>
  <c r="K47" i="21"/>
  <c r="Q48" i="21"/>
  <c r="AM48" i="21"/>
  <c r="S50" i="21"/>
  <c r="AO50" i="21"/>
  <c r="Z54" i="21"/>
  <c r="AW54" i="21"/>
  <c r="AJ55" i="21"/>
  <c r="W56" i="21"/>
  <c r="Y59" i="21"/>
  <c r="AU59" i="21"/>
  <c r="J60" i="21"/>
  <c r="W64" i="21"/>
  <c r="AS64" i="21"/>
  <c r="P66" i="21"/>
  <c r="Y67" i="21"/>
  <c r="AU67" i="21"/>
  <c r="J68" i="21"/>
  <c r="Y75" i="21"/>
  <c r="AU75" i="21"/>
  <c r="P77" i="21"/>
  <c r="AK77" i="21"/>
  <c r="X80" i="21"/>
  <c r="K81" i="21"/>
  <c r="K84" i="21"/>
  <c r="X85" i="21"/>
  <c r="AT85" i="21"/>
  <c r="M87" i="21"/>
  <c r="X88" i="21"/>
  <c r="AT88" i="21"/>
  <c r="K89" i="21"/>
  <c r="AH89" i="21"/>
  <c r="Z91" i="21"/>
  <c r="K92" i="21"/>
  <c r="AI92" i="21"/>
  <c r="X93" i="21"/>
  <c r="AT93" i="21"/>
  <c r="M95" i="21"/>
  <c r="X96" i="21"/>
  <c r="AT96" i="21"/>
  <c r="K97" i="21"/>
  <c r="AH97" i="21"/>
  <c r="Z99" i="21"/>
  <c r="AV99" i="21"/>
  <c r="K100" i="21"/>
  <c r="AI100" i="21"/>
  <c r="X101" i="21"/>
  <c r="AT101" i="21"/>
  <c r="AT102" i="21" s="1"/>
  <c r="M103" i="21"/>
  <c r="AJ103" i="21"/>
  <c r="X104" i="21"/>
  <c r="AT104" i="21"/>
  <c r="K105" i="21"/>
  <c r="AH105" i="21"/>
  <c r="Z107" i="21"/>
  <c r="K108" i="21"/>
  <c r="AI108" i="21"/>
  <c r="X109" i="21"/>
  <c r="M111" i="21"/>
  <c r="AJ111" i="21"/>
  <c r="K113" i="21"/>
  <c r="P116" i="21"/>
  <c r="AS116" i="21"/>
  <c r="AB119" i="21"/>
  <c r="T120" i="21"/>
  <c r="AC125" i="21"/>
  <c r="M127" i="21"/>
  <c r="AR127" i="21"/>
  <c r="AG128" i="21"/>
  <c r="AS134" i="21"/>
  <c r="AF136" i="21"/>
  <c r="AX152" i="21"/>
  <c r="Y157" i="21"/>
  <c r="AL172" i="21"/>
  <c r="Y173" i="21"/>
  <c r="AJ180" i="21"/>
  <c r="AV199" i="21"/>
  <c r="AX20" i="21"/>
  <c r="AT20" i="21"/>
  <c r="AP20" i="21"/>
  <c r="AL20" i="21"/>
  <c r="AH20" i="21"/>
  <c r="AC20" i="21"/>
  <c r="Y20" i="21"/>
  <c r="U20" i="21"/>
  <c r="Q20" i="21"/>
  <c r="K20" i="21"/>
  <c r="AW20" i="21"/>
  <c r="AS20" i="21"/>
  <c r="AO20" i="21"/>
  <c r="AK20" i="21"/>
  <c r="AG20" i="21"/>
  <c r="AB20" i="21"/>
  <c r="X20" i="21"/>
  <c r="T20" i="21"/>
  <c r="P20" i="21"/>
  <c r="J20" i="21"/>
  <c r="AV20" i="21"/>
  <c r="AR20" i="21"/>
  <c r="AN20" i="21"/>
  <c r="AJ20" i="21"/>
  <c r="AF20" i="21"/>
  <c r="AA20" i="21"/>
  <c r="W20" i="21"/>
  <c r="S20" i="21"/>
  <c r="M20" i="21"/>
  <c r="AW63" i="21"/>
  <c r="AS63" i="21"/>
  <c r="AO63" i="21"/>
  <c r="AK63" i="21"/>
  <c r="AF63" i="21"/>
  <c r="AB63" i="21"/>
  <c r="X63" i="21"/>
  <c r="T63" i="21"/>
  <c r="P63" i="21"/>
  <c r="J63" i="21"/>
  <c r="AY63" i="21"/>
  <c r="AT63" i="21"/>
  <c r="AN63" i="21"/>
  <c r="AH63" i="21"/>
  <c r="AC63" i="21"/>
  <c r="W63" i="21"/>
  <c r="R63" i="21"/>
  <c r="K63" i="21"/>
  <c r="AX63" i="21"/>
  <c r="AR63" i="21"/>
  <c r="AM63" i="21"/>
  <c r="AG63" i="21"/>
  <c r="AA63" i="21"/>
  <c r="V63" i="21"/>
  <c r="Q63" i="21"/>
  <c r="AV63" i="21"/>
  <c r="AQ63" i="21"/>
  <c r="AL63" i="21"/>
  <c r="AE63" i="21"/>
  <c r="Z63" i="21"/>
  <c r="U63" i="21"/>
  <c r="M63" i="21"/>
  <c r="AW19" i="21"/>
  <c r="AS19" i="21"/>
  <c r="AO19" i="21"/>
  <c r="AK19" i="21"/>
  <c r="AG19" i="21"/>
  <c r="AB19" i="21"/>
  <c r="X19" i="21"/>
  <c r="T19" i="21"/>
  <c r="P19" i="21"/>
  <c r="J19" i="21"/>
  <c r="AV19" i="21"/>
  <c r="AR19" i="21"/>
  <c r="AN19" i="21"/>
  <c r="AJ19" i="21"/>
  <c r="AF19" i="21"/>
  <c r="AA19" i="21"/>
  <c r="W19" i="21"/>
  <c r="S19" i="21"/>
  <c r="M19" i="21"/>
  <c r="AY19" i="21"/>
  <c r="AU19" i="21"/>
  <c r="AQ19" i="21"/>
  <c r="AM19" i="21"/>
  <c r="AI19" i="21"/>
  <c r="AE19" i="21"/>
  <c r="Z19" i="21"/>
  <c r="V19" i="21"/>
  <c r="R19" i="21"/>
  <c r="AW71" i="21"/>
  <c r="AS71" i="21"/>
  <c r="AO71" i="21"/>
  <c r="AJ71" i="21"/>
  <c r="AF71" i="21"/>
  <c r="AB71" i="21"/>
  <c r="X71" i="21"/>
  <c r="T71" i="21"/>
  <c r="P71" i="21"/>
  <c r="J71" i="21"/>
  <c r="AY71" i="21"/>
  <c r="AT71" i="21"/>
  <c r="AN71" i="21"/>
  <c r="AH71" i="21"/>
  <c r="AC71" i="21"/>
  <c r="W71" i="21"/>
  <c r="R71" i="21"/>
  <c r="K71" i="21"/>
  <c r="AX71" i="21"/>
  <c r="AR71" i="21"/>
  <c r="AM71" i="21"/>
  <c r="AG71" i="21"/>
  <c r="AA71" i="21"/>
  <c r="V71" i="21"/>
  <c r="Q71" i="21"/>
  <c r="AV71" i="21"/>
  <c r="AQ71" i="21"/>
  <c r="AL71" i="21"/>
  <c r="AE71" i="21"/>
  <c r="Z71" i="21"/>
  <c r="U71" i="21"/>
  <c r="M71" i="21"/>
  <c r="AV120" i="21"/>
  <c r="AR120" i="21"/>
  <c r="AM120" i="21"/>
  <c r="AI120" i="21"/>
  <c r="AE120" i="21"/>
  <c r="AA120" i="21"/>
  <c r="W120" i="21"/>
  <c r="S120" i="21"/>
  <c r="M120" i="21"/>
  <c r="AY120" i="21"/>
  <c r="AT120" i="21"/>
  <c r="AN120" i="21"/>
  <c r="AH120" i="21"/>
  <c r="AC120" i="21"/>
  <c r="X120" i="21"/>
  <c r="R120" i="21"/>
  <c r="K120" i="21"/>
  <c r="AU120" i="21"/>
  <c r="AL120" i="21"/>
  <c r="AF120" i="21"/>
  <c r="Y120" i="21"/>
  <c r="Q120" i="21"/>
  <c r="AS120" i="21"/>
  <c r="AK120" i="21"/>
  <c r="AD120" i="21"/>
  <c r="V120" i="21"/>
  <c r="P120" i="21"/>
  <c r="AX120" i="21"/>
  <c r="AP120" i="21"/>
  <c r="AJ120" i="21"/>
  <c r="AB120" i="21"/>
  <c r="U120" i="21"/>
  <c r="AX107" i="21"/>
  <c r="AT107" i="21"/>
  <c r="AP107" i="21"/>
  <c r="AK107" i="21"/>
  <c r="AG107" i="21"/>
  <c r="AC107" i="21"/>
  <c r="Y107" i="21"/>
  <c r="U107" i="21"/>
  <c r="Q107" i="21"/>
  <c r="K107" i="21"/>
  <c r="AU107" i="21"/>
  <c r="AN107" i="21"/>
  <c r="AI107" i="21"/>
  <c r="AD107" i="21"/>
  <c r="X107" i="21"/>
  <c r="S107" i="21"/>
  <c r="AY107" i="21"/>
  <c r="AS107" i="21"/>
  <c r="AM107" i="21"/>
  <c r="AH107" i="21"/>
  <c r="AB107" i="21"/>
  <c r="W107" i="21"/>
  <c r="R107" i="21"/>
  <c r="J107" i="21"/>
  <c r="AW107" i="21"/>
  <c r="AR107" i="21"/>
  <c r="AL107" i="21"/>
  <c r="AF107" i="21"/>
  <c r="AA107" i="21"/>
  <c r="V107" i="21"/>
  <c r="P107" i="21"/>
  <c r="AV81" i="21"/>
  <c r="AR81" i="21"/>
  <c r="AN81" i="21"/>
  <c r="AI81" i="21"/>
  <c r="AE81" i="21"/>
  <c r="AA81" i="21"/>
  <c r="W81" i="21"/>
  <c r="S81" i="21"/>
  <c r="M81" i="21"/>
  <c r="AX81" i="21"/>
  <c r="AS81" i="21"/>
  <c r="AL81" i="21"/>
  <c r="AG81" i="21"/>
  <c r="AB81" i="21"/>
  <c r="V81" i="21"/>
  <c r="Q81" i="21"/>
  <c r="J81" i="21"/>
  <c r="AW81" i="21"/>
  <c r="AQ81" i="21"/>
  <c r="AK81" i="21"/>
  <c r="AF81" i="21"/>
  <c r="Z81" i="21"/>
  <c r="U81" i="21"/>
  <c r="P81" i="21"/>
  <c r="AU81" i="21"/>
  <c r="AP81" i="21"/>
  <c r="AJ81" i="21"/>
  <c r="AD81" i="21"/>
  <c r="Y81" i="21"/>
  <c r="T81" i="21"/>
  <c r="AY165" i="21"/>
  <c r="AT165" i="21"/>
  <c r="AP165" i="21"/>
  <c r="AL165" i="21"/>
  <c r="AH165" i="21"/>
  <c r="AD165" i="21"/>
  <c r="Z165" i="21"/>
  <c r="V165" i="21"/>
  <c r="R165" i="21"/>
  <c r="AS165" i="21"/>
  <c r="AN165" i="21"/>
  <c r="AI165" i="21"/>
  <c r="AC165" i="21"/>
  <c r="X165" i="21"/>
  <c r="S165" i="21"/>
  <c r="K165" i="21"/>
  <c r="AX165" i="21"/>
  <c r="AR165" i="21"/>
  <c r="AM165" i="21"/>
  <c r="AG165" i="21"/>
  <c r="AB165" i="21"/>
  <c r="W165" i="21"/>
  <c r="Q165" i="21"/>
  <c r="J165" i="21"/>
  <c r="AV165" i="21"/>
  <c r="AQ165" i="21"/>
  <c r="AK165" i="21"/>
  <c r="AF165" i="21"/>
  <c r="AA165" i="21"/>
  <c r="U165" i="21"/>
  <c r="P165" i="21"/>
  <c r="AO165" i="21"/>
  <c r="T165" i="21"/>
  <c r="AJ165" i="21"/>
  <c r="M165" i="21"/>
  <c r="AE165" i="21"/>
  <c r="AX87" i="21"/>
  <c r="AT87" i="21"/>
  <c r="AP87" i="21"/>
  <c r="AK87" i="21"/>
  <c r="AG87" i="21"/>
  <c r="AC87" i="21"/>
  <c r="Y87" i="21"/>
  <c r="U87" i="21"/>
  <c r="Q87" i="21"/>
  <c r="K87" i="21"/>
  <c r="AU87" i="21"/>
  <c r="AO87" i="21"/>
  <c r="AI87" i="21"/>
  <c r="AD87" i="21"/>
  <c r="X87" i="21"/>
  <c r="S87" i="21"/>
  <c r="AY87" i="21"/>
  <c r="AS87" i="21"/>
  <c r="AM87" i="21"/>
  <c r="AH87" i="21"/>
  <c r="AB87" i="21"/>
  <c r="W87" i="21"/>
  <c r="R87" i="21"/>
  <c r="J87" i="21"/>
  <c r="AW87" i="21"/>
  <c r="AR87" i="21"/>
  <c r="AL87" i="21"/>
  <c r="AF87" i="21"/>
  <c r="AA87" i="21"/>
  <c r="V87" i="21"/>
  <c r="P87" i="21"/>
  <c r="AY212" i="21"/>
  <c r="AU212" i="21"/>
  <c r="AQ212" i="21"/>
  <c r="AM212" i="21"/>
  <c r="AI212" i="21"/>
  <c r="AE212" i="21"/>
  <c r="AA212" i="21"/>
  <c r="W212" i="21"/>
  <c r="S212" i="21"/>
  <c r="M212" i="21"/>
  <c r="AV212" i="21"/>
  <c r="AP212" i="21"/>
  <c r="AK212" i="21"/>
  <c r="AF212" i="21"/>
  <c r="Z212" i="21"/>
  <c r="U212" i="21"/>
  <c r="P212" i="21"/>
  <c r="AW212" i="21"/>
  <c r="AO212" i="21"/>
  <c r="AH212" i="21"/>
  <c r="AB212" i="21"/>
  <c r="T212" i="21"/>
  <c r="K212" i="21"/>
  <c r="AT212" i="21"/>
  <c r="AN212" i="21"/>
  <c r="AG212" i="21"/>
  <c r="Y212" i="21"/>
  <c r="R212" i="21"/>
  <c r="J212" i="21"/>
  <c r="AS212" i="21"/>
  <c r="AL212" i="21"/>
  <c r="AD212" i="21"/>
  <c r="X212" i="21"/>
  <c r="Q212" i="21"/>
  <c r="AR212" i="21"/>
  <c r="AJ212" i="21"/>
  <c r="AC212" i="21"/>
  <c r="AV185" i="21"/>
  <c r="AR185" i="21"/>
  <c r="AN185" i="21"/>
  <c r="AJ185" i="21"/>
  <c r="AF185" i="21"/>
  <c r="AB185" i="21"/>
  <c r="X185" i="21"/>
  <c r="T185" i="21"/>
  <c r="P185" i="21"/>
  <c r="J185" i="21"/>
  <c r="AU185" i="21"/>
  <c r="AP185" i="21"/>
  <c r="AK185" i="21"/>
  <c r="AE185" i="21"/>
  <c r="Z185" i="21"/>
  <c r="U185" i="21"/>
  <c r="M185" i="21"/>
  <c r="AY185" i="21"/>
  <c r="AT185" i="21"/>
  <c r="AO185" i="21"/>
  <c r="AI185" i="21"/>
  <c r="AD185" i="21"/>
  <c r="Y185" i="21"/>
  <c r="S185" i="21"/>
  <c r="AX185" i="21"/>
  <c r="AS185" i="21"/>
  <c r="AM185" i="21"/>
  <c r="AH185" i="21"/>
  <c r="AC185" i="21"/>
  <c r="W185" i="21"/>
  <c r="R185" i="21"/>
  <c r="K185" i="21"/>
  <c r="AQ185" i="21"/>
  <c r="V185" i="21"/>
  <c r="AL185" i="21"/>
  <c r="Q185" i="21"/>
  <c r="AG185" i="21"/>
  <c r="AV189" i="21"/>
  <c r="AR189" i="21"/>
  <c r="AN189" i="21"/>
  <c r="AJ189" i="21"/>
  <c r="AF189" i="21"/>
  <c r="AB189" i="21"/>
  <c r="X189" i="21"/>
  <c r="T189" i="21"/>
  <c r="P189" i="21"/>
  <c r="J189" i="21"/>
  <c r="AU189" i="21"/>
  <c r="AP189" i="21"/>
  <c r="AK189" i="21"/>
  <c r="AE189" i="21"/>
  <c r="Z189" i="21"/>
  <c r="U189" i="21"/>
  <c r="M189" i="21"/>
  <c r="AY189" i="21"/>
  <c r="AT189" i="21"/>
  <c r="AO189" i="21"/>
  <c r="AI189" i="21"/>
  <c r="AD189" i="21"/>
  <c r="Y189" i="21"/>
  <c r="S189" i="21"/>
  <c r="AX189" i="21"/>
  <c r="AS189" i="21"/>
  <c r="AM189" i="21"/>
  <c r="AH189" i="21"/>
  <c r="AC189" i="21"/>
  <c r="W189" i="21"/>
  <c r="R189" i="21"/>
  <c r="K189" i="21"/>
  <c r="AQ189" i="21"/>
  <c r="V189" i="21"/>
  <c r="AL189" i="21"/>
  <c r="Q189" i="21"/>
  <c r="AG189" i="21"/>
  <c r="AV192" i="21"/>
  <c r="AR192" i="21"/>
  <c r="AN192" i="21"/>
  <c r="AJ192" i="21"/>
  <c r="AF192" i="21"/>
  <c r="AB192" i="21"/>
  <c r="X192" i="21"/>
  <c r="T192" i="21"/>
  <c r="P192" i="21"/>
  <c r="J192" i="21"/>
  <c r="AX192" i="21"/>
  <c r="AS192" i="21"/>
  <c r="AM192" i="21"/>
  <c r="AH192" i="21"/>
  <c r="AC192" i="21"/>
  <c r="W192" i="21"/>
  <c r="R192" i="21"/>
  <c r="K192" i="21"/>
  <c r="AW192" i="21"/>
  <c r="AQ192" i="21"/>
  <c r="AL192" i="21"/>
  <c r="AG192" i="21"/>
  <c r="AA192" i="21"/>
  <c r="V192" i="21"/>
  <c r="Q192" i="21"/>
  <c r="AU192" i="21"/>
  <c r="AP192" i="21"/>
  <c r="AK192" i="21"/>
  <c r="AE192" i="21"/>
  <c r="Z192" i="21"/>
  <c r="U192" i="21"/>
  <c r="M192" i="21"/>
  <c r="AO192" i="21"/>
  <c r="S192" i="21"/>
  <c r="AI192" i="21"/>
  <c r="AY192" i="21"/>
  <c r="AD192" i="21"/>
  <c r="AY220" i="21"/>
  <c r="AU220" i="21"/>
  <c r="AQ220" i="21"/>
  <c r="AM220" i="21"/>
  <c r="AI220" i="21"/>
  <c r="AE220" i="21"/>
  <c r="AA220" i="21"/>
  <c r="W220" i="21"/>
  <c r="S220" i="21"/>
  <c r="M220" i="21"/>
  <c r="AV220" i="21"/>
  <c r="AP220" i="21"/>
  <c r="AK220" i="21"/>
  <c r="AF220" i="21"/>
  <c r="Z220" i="21"/>
  <c r="U220" i="21"/>
  <c r="P220" i="21"/>
  <c r="AW220" i="21"/>
  <c r="AO220" i="21"/>
  <c r="AH220" i="21"/>
  <c r="AB220" i="21"/>
  <c r="T220" i="21"/>
  <c r="K220" i="21"/>
  <c r="AT220" i="21"/>
  <c r="AN220" i="21"/>
  <c r="AG220" i="21"/>
  <c r="Y220" i="21"/>
  <c r="R220" i="21"/>
  <c r="J220" i="21"/>
  <c r="AS220" i="21"/>
  <c r="AL220" i="21"/>
  <c r="AD220" i="21"/>
  <c r="X220" i="21"/>
  <c r="Q220" i="21"/>
  <c r="AJ220" i="21"/>
  <c r="AC220" i="21"/>
  <c r="AX220" i="21"/>
  <c r="V220" i="21"/>
  <c r="AX164" i="21"/>
  <c r="AS164" i="21"/>
  <c r="AO164" i="21"/>
  <c r="AK164" i="21"/>
  <c r="AG164" i="21"/>
  <c r="AC164" i="21"/>
  <c r="Y164" i="21"/>
  <c r="U164" i="21"/>
  <c r="Q164" i="21"/>
  <c r="K164" i="21"/>
  <c r="AU164" i="21"/>
  <c r="AP164" i="21"/>
  <c r="AJ164" i="21"/>
  <c r="AE164" i="21"/>
  <c r="Z164" i="21"/>
  <c r="T164" i="21"/>
  <c r="M164" i="21"/>
  <c r="AT164" i="21"/>
  <c r="AN164" i="21"/>
  <c r="AI164" i="21"/>
  <c r="AD164" i="21"/>
  <c r="X164" i="21"/>
  <c r="S164" i="21"/>
  <c r="AY164" i="21"/>
  <c r="AR164" i="21"/>
  <c r="AM164" i="21"/>
  <c r="AH164" i="21"/>
  <c r="AB164" i="21"/>
  <c r="W164" i="21"/>
  <c r="R164" i="21"/>
  <c r="J164" i="21"/>
  <c r="AF164" i="21"/>
  <c r="AV164" i="21"/>
  <c r="AA164" i="21"/>
  <c r="AQ164" i="21"/>
  <c r="V164" i="21"/>
  <c r="C21" i="26"/>
  <c r="AK18" i="24"/>
  <c r="C20" i="26"/>
  <c r="AK17" i="24"/>
  <c r="C19" i="26"/>
  <c r="AK16" i="24"/>
  <c r="C66" i="26"/>
  <c r="AK36" i="24"/>
  <c r="C127" i="26"/>
  <c r="AK71" i="24"/>
  <c r="C130" i="26"/>
  <c r="AK74" i="24"/>
  <c r="C212" i="26"/>
  <c r="AK95" i="24"/>
  <c r="AK89" i="24"/>
  <c r="C192" i="26"/>
  <c r="AX56" i="21"/>
  <c r="AT56" i="21"/>
  <c r="AP56" i="21"/>
  <c r="AL56" i="21"/>
  <c r="AG56" i="21"/>
  <c r="AC56" i="21"/>
  <c r="Y56" i="21"/>
  <c r="U56" i="21"/>
  <c r="Q56" i="21"/>
  <c r="K56" i="21"/>
  <c r="AW56" i="21"/>
  <c r="AR56" i="21"/>
  <c r="AM56" i="21"/>
  <c r="AF56" i="21"/>
  <c r="AA56" i="21"/>
  <c r="V56" i="21"/>
  <c r="P56" i="21"/>
  <c r="AV56" i="21"/>
  <c r="AQ56" i="21"/>
  <c r="AK56" i="21"/>
  <c r="AE56" i="21"/>
  <c r="Z56" i="21"/>
  <c r="T56" i="21"/>
  <c r="M56" i="21"/>
  <c r="AU56" i="21"/>
  <c r="AO56" i="21"/>
  <c r="AJ56" i="21"/>
  <c r="AD56" i="21"/>
  <c r="X56" i="21"/>
  <c r="S56" i="21"/>
  <c r="AY80" i="21"/>
  <c r="AU80" i="21"/>
  <c r="AQ80" i="21"/>
  <c r="AL80" i="21"/>
  <c r="AH80" i="21"/>
  <c r="AD80" i="21"/>
  <c r="Z80" i="21"/>
  <c r="V80" i="21"/>
  <c r="R80" i="21"/>
  <c r="AX80" i="21"/>
  <c r="AS80" i="21"/>
  <c r="AN80" i="21"/>
  <c r="AG80" i="21"/>
  <c r="AB80" i="21"/>
  <c r="W80" i="21"/>
  <c r="Q80" i="21"/>
  <c r="J80" i="21"/>
  <c r="AW80" i="21"/>
  <c r="AR80" i="21"/>
  <c r="AK80" i="21"/>
  <c r="AF80" i="21"/>
  <c r="AA80" i="21"/>
  <c r="U80" i="21"/>
  <c r="P80" i="21"/>
  <c r="AV80" i="21"/>
  <c r="AP80" i="21"/>
  <c r="AJ80" i="21"/>
  <c r="AE80" i="21"/>
  <c r="Y80" i="21"/>
  <c r="T80" i="21"/>
  <c r="M80" i="21"/>
  <c r="AV38" i="21"/>
  <c r="AR38" i="21"/>
  <c r="AN38" i="21"/>
  <c r="AJ38" i="21"/>
  <c r="AE38" i="21"/>
  <c r="AA38" i="21"/>
  <c r="W38" i="21"/>
  <c r="S38" i="21"/>
  <c r="M38" i="21"/>
  <c r="AY38" i="21"/>
  <c r="AU38" i="21"/>
  <c r="AQ38" i="21"/>
  <c r="AM38" i="21"/>
  <c r="AI38" i="21"/>
  <c r="AD38" i="21"/>
  <c r="Z38" i="21"/>
  <c r="V38" i="21"/>
  <c r="R38" i="21"/>
  <c r="AX38" i="21"/>
  <c r="AT38" i="21"/>
  <c r="AP38" i="21"/>
  <c r="AL38" i="21"/>
  <c r="AH38" i="21"/>
  <c r="AC38" i="21"/>
  <c r="Y38" i="21"/>
  <c r="U38" i="21"/>
  <c r="Q38" i="21"/>
  <c r="K38" i="21"/>
  <c r="AV66" i="21"/>
  <c r="AR66" i="21"/>
  <c r="AN66" i="21"/>
  <c r="AI66" i="21"/>
  <c r="AE66" i="21"/>
  <c r="AA66" i="21"/>
  <c r="W66" i="21"/>
  <c r="S66" i="21"/>
  <c r="M66" i="21"/>
  <c r="AU66" i="21"/>
  <c r="AP66" i="21"/>
  <c r="AK66" i="21"/>
  <c r="AD66" i="21"/>
  <c r="Y66" i="21"/>
  <c r="T66" i="21"/>
  <c r="AY66" i="21"/>
  <c r="AT66" i="21"/>
  <c r="AO66" i="21"/>
  <c r="AH66" i="21"/>
  <c r="AC66" i="21"/>
  <c r="X66" i="21"/>
  <c r="R66" i="21"/>
  <c r="K66" i="21"/>
  <c r="AX66" i="21"/>
  <c r="AS66" i="21"/>
  <c r="AM66" i="21"/>
  <c r="AG66" i="21"/>
  <c r="AB66" i="21"/>
  <c r="V66" i="21"/>
  <c r="Q66" i="21"/>
  <c r="J66" i="21"/>
  <c r="AX68" i="21"/>
  <c r="AT68" i="21"/>
  <c r="AP68" i="21"/>
  <c r="AL68" i="21"/>
  <c r="AG68" i="21"/>
  <c r="AC68" i="21"/>
  <c r="Y68" i="21"/>
  <c r="U68" i="21"/>
  <c r="Q68" i="21"/>
  <c r="K68" i="21"/>
  <c r="AW68" i="21"/>
  <c r="AR68" i="21"/>
  <c r="AM68" i="21"/>
  <c r="AF68" i="21"/>
  <c r="AA68" i="21"/>
  <c r="V68" i="21"/>
  <c r="P68" i="21"/>
  <c r="AV68" i="21"/>
  <c r="AQ68" i="21"/>
  <c r="AK68" i="21"/>
  <c r="AE68" i="21"/>
  <c r="Z68" i="21"/>
  <c r="T68" i="21"/>
  <c r="M68" i="21"/>
  <c r="AU68" i="21"/>
  <c r="AO68" i="21"/>
  <c r="AI68" i="21"/>
  <c r="AD68" i="21"/>
  <c r="X68" i="21"/>
  <c r="S68" i="21"/>
  <c r="AY84" i="21"/>
  <c r="AU84" i="21"/>
  <c r="AQ84" i="21"/>
  <c r="AL84" i="21"/>
  <c r="AH84" i="21"/>
  <c r="AD84" i="21"/>
  <c r="Z84" i="21"/>
  <c r="V84" i="21"/>
  <c r="R84" i="21"/>
  <c r="AX84" i="21"/>
  <c r="AS84" i="21"/>
  <c r="AN84" i="21"/>
  <c r="AG84" i="21"/>
  <c r="AB84" i="21"/>
  <c r="W84" i="21"/>
  <c r="Q84" i="21"/>
  <c r="J84" i="21"/>
  <c r="AW84" i="21"/>
  <c r="AR84" i="21"/>
  <c r="AK84" i="21"/>
  <c r="AF84" i="21"/>
  <c r="AA84" i="21"/>
  <c r="U84" i="21"/>
  <c r="P84" i="21"/>
  <c r="AV84" i="21"/>
  <c r="AP84" i="21"/>
  <c r="AJ84" i="21"/>
  <c r="AE84" i="21"/>
  <c r="Y84" i="21"/>
  <c r="T84" i="21"/>
  <c r="M84" i="21"/>
  <c r="AV43" i="21"/>
  <c r="AR43" i="21"/>
  <c r="AN43" i="21"/>
  <c r="AJ43" i="21"/>
  <c r="AE43" i="21"/>
  <c r="AA43" i="21"/>
  <c r="W43" i="21"/>
  <c r="S43" i="21"/>
  <c r="M43" i="21"/>
  <c r="AX43" i="21"/>
  <c r="AS43" i="21"/>
  <c r="AM43" i="21"/>
  <c r="AH43" i="21"/>
  <c r="AB43" i="21"/>
  <c r="V43" i="21"/>
  <c r="Q43" i="21"/>
  <c r="J43" i="21"/>
  <c r="AW43" i="21"/>
  <c r="AQ43" i="21"/>
  <c r="AL43" i="21"/>
  <c r="AF43" i="21"/>
  <c r="Z43" i="21"/>
  <c r="U43" i="21"/>
  <c r="P43" i="21"/>
  <c r="AU43" i="21"/>
  <c r="AP43" i="21"/>
  <c r="AK43" i="21"/>
  <c r="AD43" i="21"/>
  <c r="Y43" i="21"/>
  <c r="T43" i="21"/>
  <c r="AX12" i="21"/>
  <c r="AT12" i="21"/>
  <c r="AP12" i="21"/>
  <c r="AL12" i="21"/>
  <c r="AH12" i="21"/>
  <c r="AD12" i="21"/>
  <c r="Y12" i="21"/>
  <c r="U12" i="21"/>
  <c r="Q12" i="21"/>
  <c r="K12" i="21"/>
  <c r="AW12" i="21"/>
  <c r="AS12" i="21"/>
  <c r="AO12" i="21"/>
  <c r="AK12" i="21"/>
  <c r="AG12" i="21"/>
  <c r="AB12" i="21"/>
  <c r="X12" i="21"/>
  <c r="T12" i="21"/>
  <c r="P12" i="21"/>
  <c r="J12" i="21"/>
  <c r="AV12" i="21"/>
  <c r="AR12" i="21"/>
  <c r="AN12" i="21"/>
  <c r="AJ12" i="21"/>
  <c r="AF12" i="21"/>
  <c r="AA12" i="21"/>
  <c r="W12" i="21"/>
  <c r="S12" i="21"/>
  <c r="M12" i="21"/>
  <c r="AV47" i="21"/>
  <c r="AR47" i="21"/>
  <c r="AN47" i="21"/>
  <c r="AJ47" i="21"/>
  <c r="AE47" i="21"/>
  <c r="AA47" i="21"/>
  <c r="W47" i="21"/>
  <c r="S47" i="21"/>
  <c r="M47" i="21"/>
  <c r="AX47" i="21"/>
  <c r="AS47" i="21"/>
  <c r="AM47" i="21"/>
  <c r="AH47" i="21"/>
  <c r="AB47" i="21"/>
  <c r="V47" i="21"/>
  <c r="Q47" i="21"/>
  <c r="J47" i="21"/>
  <c r="AW47" i="21"/>
  <c r="AQ47" i="21"/>
  <c r="AL47" i="21"/>
  <c r="AF47" i="21"/>
  <c r="Z47" i="21"/>
  <c r="U47" i="21"/>
  <c r="P47" i="21"/>
  <c r="AU47" i="21"/>
  <c r="AP47" i="21"/>
  <c r="AK47" i="21"/>
  <c r="AD47" i="21"/>
  <c r="Y47" i="21"/>
  <c r="T47" i="21"/>
  <c r="AV26" i="21"/>
  <c r="AR26" i="21"/>
  <c r="AN26" i="21"/>
  <c r="AJ26" i="21"/>
  <c r="AF26" i="21"/>
  <c r="AA26" i="21"/>
  <c r="W26" i="21"/>
  <c r="S26" i="21"/>
  <c r="M26" i="21"/>
  <c r="AY26" i="21"/>
  <c r="AU26" i="21"/>
  <c r="AQ26" i="21"/>
  <c r="AM26" i="21"/>
  <c r="AI26" i="21"/>
  <c r="AE26" i="21"/>
  <c r="Z26" i="21"/>
  <c r="V26" i="21"/>
  <c r="R26" i="21"/>
  <c r="AX26" i="21"/>
  <c r="AT26" i="21"/>
  <c r="AP26" i="21"/>
  <c r="AL26" i="21"/>
  <c r="AH26" i="21"/>
  <c r="AC26" i="21"/>
  <c r="Y26" i="21"/>
  <c r="U26" i="21"/>
  <c r="Q26" i="21"/>
  <c r="K26" i="21"/>
  <c r="AX60" i="21"/>
  <c r="AT60" i="21"/>
  <c r="AP60" i="21"/>
  <c r="AL60" i="21"/>
  <c r="AG60" i="21"/>
  <c r="AC60" i="21"/>
  <c r="Y60" i="21"/>
  <c r="U60" i="21"/>
  <c r="Q60" i="21"/>
  <c r="K60" i="21"/>
  <c r="AW60" i="21"/>
  <c r="AR60" i="21"/>
  <c r="AM60" i="21"/>
  <c r="AF60" i="21"/>
  <c r="AA60" i="21"/>
  <c r="V60" i="21"/>
  <c r="P60" i="21"/>
  <c r="AV60" i="21"/>
  <c r="AQ60" i="21"/>
  <c r="AK60" i="21"/>
  <c r="AE60" i="21"/>
  <c r="Z60" i="21"/>
  <c r="T60" i="21"/>
  <c r="M60" i="21"/>
  <c r="AU60" i="21"/>
  <c r="AO60" i="21"/>
  <c r="AJ60" i="21"/>
  <c r="AD60" i="21"/>
  <c r="X60" i="21"/>
  <c r="S60" i="21"/>
  <c r="AW113" i="21"/>
  <c r="AS113" i="21"/>
  <c r="AX113" i="21"/>
  <c r="AR113" i="21"/>
  <c r="AM113" i="21"/>
  <c r="AI113" i="21"/>
  <c r="AE113" i="21"/>
  <c r="AA113" i="21"/>
  <c r="W113" i="21"/>
  <c r="S113" i="21"/>
  <c r="M113" i="21"/>
  <c r="AT113" i="21"/>
  <c r="AL113" i="21"/>
  <c r="AG113" i="21"/>
  <c r="AB113" i="21"/>
  <c r="V113" i="21"/>
  <c r="Q113" i="21"/>
  <c r="J113" i="21"/>
  <c r="AY113" i="21"/>
  <c r="AQ113" i="21"/>
  <c r="AK113" i="21"/>
  <c r="AF113" i="21"/>
  <c r="Z113" i="21"/>
  <c r="U113" i="21"/>
  <c r="P113" i="21"/>
  <c r="AV113" i="21"/>
  <c r="AO113" i="21"/>
  <c r="AJ113" i="21"/>
  <c r="AD113" i="21"/>
  <c r="Y113" i="21"/>
  <c r="T113" i="21"/>
  <c r="AX130" i="21"/>
  <c r="AT130" i="21"/>
  <c r="AO130" i="21"/>
  <c r="AK130" i="21"/>
  <c r="AG130" i="21"/>
  <c r="AC130" i="21"/>
  <c r="Y130" i="21"/>
  <c r="U130" i="21"/>
  <c r="Q130" i="21"/>
  <c r="K130" i="21"/>
  <c r="AV130" i="21"/>
  <c r="AP130" i="21"/>
  <c r="AJ130" i="21"/>
  <c r="AE130" i="21"/>
  <c r="Z130" i="21"/>
  <c r="T130" i="21"/>
  <c r="M130" i="21"/>
  <c r="AW130" i="21"/>
  <c r="AN130" i="21"/>
  <c r="AH130" i="21"/>
  <c r="AA130" i="21"/>
  <c r="S130" i="21"/>
  <c r="J130" i="21"/>
  <c r="AU130" i="21"/>
  <c r="AM130" i="21"/>
  <c r="AF130" i="21"/>
  <c r="X130" i="21"/>
  <c r="R130" i="21"/>
  <c r="AS130" i="21"/>
  <c r="AL130" i="21"/>
  <c r="AD130" i="21"/>
  <c r="W130" i="21"/>
  <c r="P130" i="21"/>
  <c r="AX95" i="21"/>
  <c r="AT95" i="21"/>
  <c r="AP95" i="21"/>
  <c r="AK95" i="21"/>
  <c r="AG95" i="21"/>
  <c r="AC95" i="21"/>
  <c r="Y95" i="21"/>
  <c r="U95" i="21"/>
  <c r="Q95" i="21"/>
  <c r="K95" i="21"/>
  <c r="AU95" i="21"/>
  <c r="AO95" i="21"/>
  <c r="AI95" i="21"/>
  <c r="AD95" i="21"/>
  <c r="X95" i="21"/>
  <c r="S95" i="21"/>
  <c r="AY95" i="21"/>
  <c r="AS95" i="21"/>
  <c r="AM95" i="21"/>
  <c r="AH95" i="21"/>
  <c r="AB95" i="21"/>
  <c r="W95" i="21"/>
  <c r="R95" i="21"/>
  <c r="J95" i="21"/>
  <c r="AW95" i="21"/>
  <c r="AR95" i="21"/>
  <c r="AL95" i="21"/>
  <c r="AF95" i="21"/>
  <c r="AA95" i="21"/>
  <c r="V95" i="21"/>
  <c r="P95" i="21"/>
  <c r="AX114" i="21"/>
  <c r="AT114" i="21"/>
  <c r="AO114" i="21"/>
  <c r="AK114" i="21"/>
  <c r="AG114" i="21"/>
  <c r="AC114" i="21"/>
  <c r="Y114" i="21"/>
  <c r="U114" i="21"/>
  <c r="Q114" i="21"/>
  <c r="K114" i="21"/>
  <c r="AV114" i="21"/>
  <c r="AQ114" i="21"/>
  <c r="AJ114" i="21"/>
  <c r="AE114" i="21"/>
  <c r="Z114" i="21"/>
  <c r="T114" i="21"/>
  <c r="M114" i="21"/>
  <c r="AW114" i="21"/>
  <c r="AN114" i="21"/>
  <c r="AH114" i="21"/>
  <c r="AA114" i="21"/>
  <c r="S114" i="21"/>
  <c r="J114" i="21"/>
  <c r="AU114" i="21"/>
  <c r="AM114" i="21"/>
  <c r="AF114" i="21"/>
  <c r="X114" i="21"/>
  <c r="R114" i="21"/>
  <c r="AS114" i="21"/>
  <c r="AL114" i="21"/>
  <c r="AD114" i="21"/>
  <c r="W114" i="21"/>
  <c r="P114" i="21"/>
  <c r="AW159" i="21"/>
  <c r="AR159" i="21"/>
  <c r="AN159" i="21"/>
  <c r="AJ159" i="21"/>
  <c r="AF159" i="21"/>
  <c r="AB159" i="21"/>
  <c r="X159" i="21"/>
  <c r="T159" i="21"/>
  <c r="P159" i="21"/>
  <c r="J159" i="21"/>
  <c r="AX159" i="21"/>
  <c r="AQ159" i="21"/>
  <c r="AL159" i="21"/>
  <c r="AG159" i="21"/>
  <c r="AA159" i="21"/>
  <c r="V159" i="21"/>
  <c r="Q159" i="21"/>
  <c r="AU159" i="21"/>
  <c r="AP159" i="21"/>
  <c r="AK159" i="21"/>
  <c r="AE159" i="21"/>
  <c r="Z159" i="21"/>
  <c r="U159" i="21"/>
  <c r="M159" i="21"/>
  <c r="AT159" i="21"/>
  <c r="AO159" i="21"/>
  <c r="AI159" i="21"/>
  <c r="AD159" i="21"/>
  <c r="Y159" i="21"/>
  <c r="S159" i="21"/>
  <c r="AM159" i="21"/>
  <c r="R159" i="21"/>
  <c r="AH159" i="21"/>
  <c r="K159" i="21"/>
  <c r="AY159" i="21"/>
  <c r="AC159" i="21"/>
  <c r="AY161" i="21"/>
  <c r="AT161" i="21"/>
  <c r="AP161" i="21"/>
  <c r="AL161" i="21"/>
  <c r="AH161" i="21"/>
  <c r="AD161" i="21"/>
  <c r="Z161" i="21"/>
  <c r="V161" i="21"/>
  <c r="R161" i="21"/>
  <c r="AS161" i="21"/>
  <c r="AN161" i="21"/>
  <c r="AI161" i="21"/>
  <c r="AC161" i="21"/>
  <c r="X161" i="21"/>
  <c r="S161" i="21"/>
  <c r="K161" i="21"/>
  <c r="AX161" i="21"/>
  <c r="AR161" i="21"/>
  <c r="AM161" i="21"/>
  <c r="AG161" i="21"/>
  <c r="AB161" i="21"/>
  <c r="W161" i="21"/>
  <c r="Q161" i="21"/>
  <c r="J161" i="21"/>
  <c r="AW161" i="21"/>
  <c r="AQ161" i="21"/>
  <c r="AK161" i="21"/>
  <c r="AF161" i="21"/>
  <c r="AA161" i="21"/>
  <c r="U161" i="21"/>
  <c r="P161" i="21"/>
  <c r="AE161" i="21"/>
  <c r="AU161" i="21"/>
  <c r="Y161" i="21"/>
  <c r="AO161" i="21"/>
  <c r="T161" i="21"/>
  <c r="AV109" i="21"/>
  <c r="AR109" i="21"/>
  <c r="AM109" i="21"/>
  <c r="AI109" i="21"/>
  <c r="AE109" i="21"/>
  <c r="AA109" i="21"/>
  <c r="W109" i="21"/>
  <c r="S109" i="21"/>
  <c r="M109" i="21"/>
  <c r="AX109" i="21"/>
  <c r="AS109" i="21"/>
  <c r="AL109" i="21"/>
  <c r="AG109" i="21"/>
  <c r="AB109" i="21"/>
  <c r="V109" i="21"/>
  <c r="Q109" i="21"/>
  <c r="J109" i="21"/>
  <c r="AW109" i="21"/>
  <c r="AQ109" i="21"/>
  <c r="AK109" i="21"/>
  <c r="AF109" i="21"/>
  <c r="Z109" i="21"/>
  <c r="U109" i="21"/>
  <c r="P109" i="21"/>
  <c r="AU109" i="21"/>
  <c r="AP109" i="21"/>
  <c r="AJ109" i="21"/>
  <c r="AD109" i="21"/>
  <c r="Y109" i="21"/>
  <c r="T109" i="21"/>
  <c r="AY139" i="21"/>
  <c r="AU139" i="21"/>
  <c r="AP139" i="21"/>
  <c r="AL139" i="21"/>
  <c r="AH139" i="21"/>
  <c r="AD139" i="21"/>
  <c r="Z139" i="21"/>
  <c r="V139" i="21"/>
  <c r="R139" i="21"/>
  <c r="AV139" i="21"/>
  <c r="AO139" i="21"/>
  <c r="AJ139" i="21"/>
  <c r="AE139" i="21"/>
  <c r="Y139" i="21"/>
  <c r="T139" i="21"/>
  <c r="M139" i="21"/>
  <c r="AT139" i="21"/>
  <c r="AN139" i="21"/>
  <c r="AI139" i="21"/>
  <c r="AC139" i="21"/>
  <c r="X139" i="21"/>
  <c r="S139" i="21"/>
  <c r="K139" i="21"/>
  <c r="AR139" i="21"/>
  <c r="AG139" i="21"/>
  <c r="W139" i="21"/>
  <c r="J139" i="21"/>
  <c r="AQ139" i="21"/>
  <c r="AF139" i="21"/>
  <c r="U139" i="21"/>
  <c r="AX139" i="21"/>
  <c r="AM139" i="21"/>
  <c r="AB139" i="21"/>
  <c r="Q139" i="21"/>
  <c r="AX91" i="21"/>
  <c r="AT91" i="21"/>
  <c r="AP91" i="21"/>
  <c r="AK91" i="21"/>
  <c r="AG91" i="21"/>
  <c r="AC91" i="21"/>
  <c r="Y91" i="21"/>
  <c r="U91" i="21"/>
  <c r="Q91" i="21"/>
  <c r="K91" i="21"/>
  <c r="AU91" i="21"/>
  <c r="AO91" i="21"/>
  <c r="AI91" i="21"/>
  <c r="AD91" i="21"/>
  <c r="X91" i="21"/>
  <c r="S91" i="21"/>
  <c r="AY91" i="21"/>
  <c r="AS91" i="21"/>
  <c r="AM91" i="21"/>
  <c r="AH91" i="21"/>
  <c r="AB91" i="21"/>
  <c r="W91" i="21"/>
  <c r="R91" i="21"/>
  <c r="J91" i="21"/>
  <c r="AW91" i="21"/>
  <c r="AR91" i="21"/>
  <c r="AL91" i="21"/>
  <c r="AF91" i="21"/>
  <c r="AA91" i="21"/>
  <c r="V91" i="21"/>
  <c r="P91" i="21"/>
  <c r="AW129" i="21"/>
  <c r="AS129" i="21"/>
  <c r="AN129" i="21"/>
  <c r="AJ129" i="21"/>
  <c r="AF129" i="21"/>
  <c r="AB129" i="21"/>
  <c r="X129" i="21"/>
  <c r="T129" i="21"/>
  <c r="P129" i="21"/>
  <c r="J129" i="21"/>
  <c r="AX129" i="21"/>
  <c r="AR129" i="21"/>
  <c r="AL129" i="21"/>
  <c r="AG129" i="21"/>
  <c r="AA129" i="21"/>
  <c r="V129" i="21"/>
  <c r="Q129" i="21"/>
  <c r="AT129" i="21"/>
  <c r="AK129" i="21"/>
  <c r="AD129" i="21"/>
  <c r="W129" i="21"/>
  <c r="M129" i="21"/>
  <c r="AY129" i="21"/>
  <c r="AP129" i="21"/>
  <c r="AI129" i="21"/>
  <c r="AC129" i="21"/>
  <c r="U129" i="21"/>
  <c r="AV129" i="21"/>
  <c r="AO129" i="21"/>
  <c r="AH129" i="21"/>
  <c r="Z129" i="21"/>
  <c r="S129" i="21"/>
  <c r="K129" i="21"/>
  <c r="AY235" i="21"/>
  <c r="AU235" i="21"/>
  <c r="AQ235" i="21"/>
  <c r="AM235" i="21"/>
  <c r="AI235" i="21"/>
  <c r="AE235" i="21"/>
  <c r="AA235" i="21"/>
  <c r="W235" i="21"/>
  <c r="S235" i="21"/>
  <c r="M235" i="21"/>
  <c r="AX235" i="21"/>
  <c r="AS235" i="21"/>
  <c r="AN235" i="21"/>
  <c r="AH235" i="21"/>
  <c r="AC235" i="21"/>
  <c r="X235" i="21"/>
  <c r="R235" i="21"/>
  <c r="K235" i="21"/>
  <c r="AV235" i="21"/>
  <c r="AO235" i="21"/>
  <c r="AG235" i="21"/>
  <c r="Z235" i="21"/>
  <c r="T235" i="21"/>
  <c r="J235" i="21"/>
  <c r="AP235" i="21"/>
  <c r="AF235" i="21"/>
  <c r="V235" i="21"/>
  <c r="AW235" i="21"/>
  <c r="AL235" i="21"/>
  <c r="AD235" i="21"/>
  <c r="U235" i="21"/>
  <c r="AT235" i="21"/>
  <c r="AK235" i="21"/>
  <c r="AB235" i="21"/>
  <c r="Q235" i="21"/>
  <c r="AR235" i="21"/>
  <c r="AJ235" i="21"/>
  <c r="Y235" i="21"/>
  <c r="AY181" i="21"/>
  <c r="AU181" i="21"/>
  <c r="AQ181" i="21"/>
  <c r="AM181" i="21"/>
  <c r="AI181" i="21"/>
  <c r="AE181" i="21"/>
  <c r="AA181" i="21"/>
  <c r="W181" i="21"/>
  <c r="S181" i="21"/>
  <c r="M181" i="21"/>
  <c r="AW181" i="21"/>
  <c r="AR181" i="21"/>
  <c r="AL181" i="21"/>
  <c r="AG181" i="21"/>
  <c r="AB181" i="21"/>
  <c r="V181" i="21"/>
  <c r="Q181" i="21"/>
  <c r="J181" i="21"/>
  <c r="AV181" i="21"/>
  <c r="AP181" i="21"/>
  <c r="AK181" i="21"/>
  <c r="AF181" i="21"/>
  <c r="Z181" i="21"/>
  <c r="U181" i="21"/>
  <c r="P181" i="21"/>
  <c r="AT181" i="21"/>
  <c r="AO181" i="21"/>
  <c r="AJ181" i="21"/>
  <c r="AD181" i="21"/>
  <c r="Y181" i="21"/>
  <c r="T181" i="21"/>
  <c r="AN181" i="21"/>
  <c r="R181" i="21"/>
  <c r="AH181" i="21"/>
  <c r="K181" i="21"/>
  <c r="AX181" i="21"/>
  <c r="AC181" i="21"/>
  <c r="AV187" i="21"/>
  <c r="AR187" i="21"/>
  <c r="AN187" i="21"/>
  <c r="AJ187" i="21"/>
  <c r="AF187" i="21"/>
  <c r="AB187" i="21"/>
  <c r="X187" i="21"/>
  <c r="T187" i="21"/>
  <c r="P187" i="21"/>
  <c r="J187" i="21"/>
  <c r="AU187" i="21"/>
  <c r="AP187" i="21"/>
  <c r="AK187" i="21"/>
  <c r="AE187" i="21"/>
  <c r="Z187" i="21"/>
  <c r="U187" i="21"/>
  <c r="M187" i="21"/>
  <c r="AY187" i="21"/>
  <c r="AT187" i="21"/>
  <c r="AO187" i="21"/>
  <c r="AI187" i="21"/>
  <c r="AD187" i="21"/>
  <c r="Y187" i="21"/>
  <c r="S187" i="21"/>
  <c r="AX187" i="21"/>
  <c r="AS187" i="21"/>
  <c r="AM187" i="21"/>
  <c r="AH187" i="21"/>
  <c r="AC187" i="21"/>
  <c r="W187" i="21"/>
  <c r="R187" i="21"/>
  <c r="K187" i="21"/>
  <c r="AG187" i="21"/>
  <c r="AW187" i="21"/>
  <c r="AA187" i="21"/>
  <c r="AQ187" i="21"/>
  <c r="V187" i="21"/>
  <c r="AV191" i="21"/>
  <c r="AR191" i="21"/>
  <c r="AN191" i="21"/>
  <c r="AJ191" i="21"/>
  <c r="AF191" i="21"/>
  <c r="AB191" i="21"/>
  <c r="X191" i="21"/>
  <c r="T191" i="21"/>
  <c r="P191" i="21"/>
  <c r="J191" i="21"/>
  <c r="AU191" i="21"/>
  <c r="AP191" i="21"/>
  <c r="AK191" i="21"/>
  <c r="AE191" i="21"/>
  <c r="Z191" i="21"/>
  <c r="U191" i="21"/>
  <c r="M191" i="21"/>
  <c r="AY191" i="21"/>
  <c r="AT191" i="21"/>
  <c r="AO191" i="21"/>
  <c r="AI191" i="21"/>
  <c r="AD191" i="21"/>
  <c r="Y191" i="21"/>
  <c r="S191" i="21"/>
  <c r="AX191" i="21"/>
  <c r="AS191" i="21"/>
  <c r="AM191" i="21"/>
  <c r="AH191" i="21"/>
  <c r="AC191" i="21"/>
  <c r="W191" i="21"/>
  <c r="R191" i="21"/>
  <c r="K191" i="21"/>
  <c r="AG191" i="21"/>
  <c r="AW191" i="21"/>
  <c r="AA191" i="21"/>
  <c r="AQ191" i="21"/>
  <c r="V191" i="21"/>
  <c r="AV193" i="21"/>
  <c r="AR193" i="21"/>
  <c r="AN193" i="21"/>
  <c r="AJ193" i="21"/>
  <c r="AF193" i="21"/>
  <c r="AB193" i="21"/>
  <c r="X193" i="21"/>
  <c r="T193" i="21"/>
  <c r="P193" i="21"/>
  <c r="J193" i="21"/>
  <c r="AU193" i="21"/>
  <c r="AP193" i="21"/>
  <c r="AK193" i="21"/>
  <c r="AE193" i="21"/>
  <c r="Z193" i="21"/>
  <c r="U193" i="21"/>
  <c r="M193" i="21"/>
  <c r="AY193" i="21"/>
  <c r="AT193" i="21"/>
  <c r="AO193" i="21"/>
  <c r="AI193" i="21"/>
  <c r="AD193" i="21"/>
  <c r="Y193" i="21"/>
  <c r="S193" i="21"/>
  <c r="AX193" i="21"/>
  <c r="AS193" i="21"/>
  <c r="AM193" i="21"/>
  <c r="AH193" i="21"/>
  <c r="AC193" i="21"/>
  <c r="W193" i="21"/>
  <c r="R193" i="21"/>
  <c r="K193" i="21"/>
  <c r="AQ193" i="21"/>
  <c r="V193" i="21"/>
  <c r="AL193" i="21"/>
  <c r="Q193" i="21"/>
  <c r="AG193" i="21"/>
  <c r="AV124" i="21"/>
  <c r="AR124" i="21"/>
  <c r="AM124" i="21"/>
  <c r="AI124" i="21"/>
  <c r="AE124" i="21"/>
  <c r="AA124" i="21"/>
  <c r="W124" i="21"/>
  <c r="S124" i="21"/>
  <c r="M124" i="21"/>
  <c r="AY124" i="21"/>
  <c r="AT124" i="21"/>
  <c r="AN124" i="21"/>
  <c r="AH124" i="21"/>
  <c r="AC124" i="21"/>
  <c r="X124" i="21"/>
  <c r="R124" i="21"/>
  <c r="K124" i="21"/>
  <c r="AX124" i="21"/>
  <c r="AP124" i="21"/>
  <c r="AJ124" i="21"/>
  <c r="AB124" i="21"/>
  <c r="U124" i="21"/>
  <c r="AW124" i="21"/>
  <c r="AO124" i="21"/>
  <c r="AG124" i="21"/>
  <c r="Z124" i="21"/>
  <c r="T124" i="21"/>
  <c r="J124" i="21"/>
  <c r="AU124" i="21"/>
  <c r="AL124" i="21"/>
  <c r="AF124" i="21"/>
  <c r="Y124" i="21"/>
  <c r="Q124" i="21"/>
  <c r="AY169" i="21"/>
  <c r="AT169" i="21"/>
  <c r="AP169" i="21"/>
  <c r="AL169" i="21"/>
  <c r="AH169" i="21"/>
  <c r="AD169" i="21"/>
  <c r="Z169" i="21"/>
  <c r="V169" i="21"/>
  <c r="R169" i="21"/>
  <c r="AS169" i="21"/>
  <c r="AN169" i="21"/>
  <c r="AI169" i="21"/>
  <c r="AC169" i="21"/>
  <c r="X169" i="21"/>
  <c r="S169" i="21"/>
  <c r="K169" i="21"/>
  <c r="AW169" i="21"/>
  <c r="AR169" i="21"/>
  <c r="AM169" i="21"/>
  <c r="AG169" i="21"/>
  <c r="AB169" i="21"/>
  <c r="W169" i="21"/>
  <c r="Q169" i="21"/>
  <c r="J169" i="21"/>
  <c r="AV169" i="21"/>
  <c r="AQ169" i="21"/>
  <c r="AK169" i="21"/>
  <c r="AF169" i="21"/>
  <c r="AA169" i="21"/>
  <c r="U169" i="21"/>
  <c r="P169" i="21"/>
  <c r="AE169" i="21"/>
  <c r="AU169" i="21"/>
  <c r="Y169" i="21"/>
  <c r="AO169" i="21"/>
  <c r="T169" i="21"/>
  <c r="AV140" i="21"/>
  <c r="AQ140" i="21"/>
  <c r="AM140" i="21"/>
  <c r="AI140" i="21"/>
  <c r="AE140" i="21"/>
  <c r="AA140" i="21"/>
  <c r="W140" i="21"/>
  <c r="S140" i="21"/>
  <c r="M140" i="21"/>
  <c r="AU140" i="21"/>
  <c r="AO140" i="21"/>
  <c r="AJ140" i="21"/>
  <c r="AD140" i="21"/>
  <c r="Y140" i="21"/>
  <c r="T140" i="21"/>
  <c r="AY140" i="21"/>
  <c r="AT140" i="21"/>
  <c r="AN140" i="21"/>
  <c r="AH140" i="21"/>
  <c r="AC140" i="21"/>
  <c r="X140" i="21"/>
  <c r="R140" i="21"/>
  <c r="K140" i="21"/>
  <c r="AX140" i="21"/>
  <c r="AL140" i="21"/>
  <c r="AB140" i="21"/>
  <c r="Q140" i="21"/>
  <c r="AW140" i="21"/>
  <c r="AK140" i="21"/>
  <c r="Z140" i="21"/>
  <c r="P140" i="21"/>
  <c r="AR140" i="21"/>
  <c r="AG140" i="21"/>
  <c r="V140" i="21"/>
  <c r="J140" i="21"/>
  <c r="AV148" i="21"/>
  <c r="AQ148" i="21"/>
  <c r="AM148" i="21"/>
  <c r="AI148" i="21"/>
  <c r="AE148" i="21"/>
  <c r="AA148" i="21"/>
  <c r="W148" i="21"/>
  <c r="S148" i="21"/>
  <c r="M148" i="21"/>
  <c r="AW148" i="21"/>
  <c r="AP148" i="21"/>
  <c r="AK148" i="21"/>
  <c r="AF148" i="21"/>
  <c r="Z148" i="21"/>
  <c r="U148" i="21"/>
  <c r="P148" i="21"/>
  <c r="AT148" i="21"/>
  <c r="AO148" i="21"/>
  <c r="AJ148" i="21"/>
  <c r="AD148" i="21"/>
  <c r="Y148" i="21"/>
  <c r="T148" i="21"/>
  <c r="AY148" i="21"/>
  <c r="AS148" i="21"/>
  <c r="AN148" i="21"/>
  <c r="AH148" i="21"/>
  <c r="AC148" i="21"/>
  <c r="X148" i="21"/>
  <c r="R148" i="21"/>
  <c r="K148" i="21"/>
  <c r="AG148" i="21"/>
  <c r="J148" i="21"/>
  <c r="AX148" i="21"/>
  <c r="AB148" i="21"/>
  <c r="AR148" i="21"/>
  <c r="V148" i="21"/>
  <c r="AY244" i="21"/>
  <c r="AU244" i="21"/>
  <c r="AQ244" i="21"/>
  <c r="AM244" i="21"/>
  <c r="AI244" i="21"/>
  <c r="AE244" i="21"/>
  <c r="AA244" i="21"/>
  <c r="W244" i="21"/>
  <c r="S244" i="21"/>
  <c r="M244" i="21"/>
  <c r="AW244" i="21"/>
  <c r="AR244" i="21"/>
  <c r="AL244" i="21"/>
  <c r="AG244" i="21"/>
  <c r="AB244" i="21"/>
  <c r="V244" i="21"/>
  <c r="Q244" i="21"/>
  <c r="J244" i="21"/>
  <c r="AX244" i="21"/>
  <c r="AP244" i="21"/>
  <c r="AJ244" i="21"/>
  <c r="AC244" i="21"/>
  <c r="U244" i="21"/>
  <c r="AV244" i="21"/>
  <c r="AO244" i="21"/>
  <c r="AH244" i="21"/>
  <c r="Z244" i="21"/>
  <c r="T244" i="21"/>
  <c r="K244" i="21"/>
  <c r="AK244" i="21"/>
  <c r="X244" i="21"/>
  <c r="AT244" i="21"/>
  <c r="AF244" i="21"/>
  <c r="R244" i="21"/>
  <c r="AS244" i="21"/>
  <c r="AD244" i="21"/>
  <c r="P244" i="21"/>
  <c r="AN244" i="21"/>
  <c r="Y244" i="21"/>
  <c r="AY242" i="21"/>
  <c r="AU242" i="21"/>
  <c r="AQ242" i="21"/>
  <c r="AM242" i="21"/>
  <c r="AI242" i="21"/>
  <c r="AE242" i="21"/>
  <c r="AA242" i="21"/>
  <c r="W242" i="21"/>
  <c r="S242" i="21"/>
  <c r="M242" i="21"/>
  <c r="AT242" i="21"/>
  <c r="AO242" i="21"/>
  <c r="AJ242" i="21"/>
  <c r="AD242" i="21"/>
  <c r="Y242" i="21"/>
  <c r="T242" i="21"/>
  <c r="AV242" i="21"/>
  <c r="AN242" i="21"/>
  <c r="AG242" i="21"/>
  <c r="Z242" i="21"/>
  <c r="R242" i="21"/>
  <c r="J242" i="21"/>
  <c r="AS242" i="21"/>
  <c r="AL242" i="21"/>
  <c r="AF242" i="21"/>
  <c r="X242" i="21"/>
  <c r="Q242" i="21"/>
  <c r="AW242" i="21"/>
  <c r="AH242" i="21"/>
  <c r="U242" i="21"/>
  <c r="AR242" i="21"/>
  <c r="AC242" i="21"/>
  <c r="P242" i="21"/>
  <c r="AP242" i="21"/>
  <c r="AB242" i="21"/>
  <c r="K242" i="21"/>
  <c r="V242" i="21"/>
  <c r="AX242" i="21"/>
  <c r="AV254" i="21"/>
  <c r="AR254" i="21"/>
  <c r="AN254" i="21"/>
  <c r="AJ254" i="21"/>
  <c r="AF254" i="21"/>
  <c r="AB254" i="21"/>
  <c r="X254" i="21"/>
  <c r="T254" i="21"/>
  <c r="P254" i="21"/>
  <c r="J254" i="21"/>
  <c r="AY254" i="21"/>
  <c r="AT254" i="21"/>
  <c r="AO254" i="21"/>
  <c r="AI254" i="21"/>
  <c r="AD254" i="21"/>
  <c r="Y254" i="21"/>
  <c r="S254" i="21"/>
  <c r="AX254" i="21"/>
  <c r="AQ254" i="21"/>
  <c r="AK254" i="21"/>
  <c r="AC254" i="21"/>
  <c r="V254" i="21"/>
  <c r="M254" i="21"/>
  <c r="AS254" i="21"/>
  <c r="AH254" i="21"/>
  <c r="Z254" i="21"/>
  <c r="Q254" i="21"/>
  <c r="AP254" i="21"/>
  <c r="AG254" i="21"/>
  <c r="W254" i="21"/>
  <c r="K254" i="21"/>
  <c r="AM254" i="21"/>
  <c r="U254" i="21"/>
  <c r="AL254" i="21"/>
  <c r="R254" i="21"/>
  <c r="AW254" i="21"/>
  <c r="AE254" i="21"/>
  <c r="AU254" i="21"/>
  <c r="AV194" i="21"/>
  <c r="AR194" i="21"/>
  <c r="AN194" i="21"/>
  <c r="AJ194" i="21"/>
  <c r="AF194" i="21"/>
  <c r="AB194" i="21"/>
  <c r="X194" i="21"/>
  <c r="T194" i="21"/>
  <c r="P194" i="21"/>
  <c r="J194" i="21"/>
  <c r="AX194" i="21"/>
  <c r="AS194" i="21"/>
  <c r="AM194" i="21"/>
  <c r="AH194" i="21"/>
  <c r="AC194" i="21"/>
  <c r="W194" i="21"/>
  <c r="R194" i="21"/>
  <c r="K194" i="21"/>
  <c r="AW194" i="21"/>
  <c r="AQ194" i="21"/>
  <c r="AL194" i="21"/>
  <c r="AG194" i="21"/>
  <c r="AA194" i="21"/>
  <c r="V194" i="21"/>
  <c r="Q194" i="21"/>
  <c r="AU194" i="21"/>
  <c r="AP194" i="21"/>
  <c r="AK194" i="21"/>
  <c r="AE194" i="21"/>
  <c r="Z194" i="21"/>
  <c r="U194" i="21"/>
  <c r="M194" i="21"/>
  <c r="AY194" i="21"/>
  <c r="AD194" i="21"/>
  <c r="AT194" i="21"/>
  <c r="Y194" i="21"/>
  <c r="AO194" i="21"/>
  <c r="S194" i="21"/>
  <c r="AY197" i="21"/>
  <c r="AU197" i="21"/>
  <c r="AQ197" i="21"/>
  <c r="AM197" i="21"/>
  <c r="AT197" i="21"/>
  <c r="AO197" i="21"/>
  <c r="AJ197" i="21"/>
  <c r="AF197" i="21"/>
  <c r="AB197" i="21"/>
  <c r="X197" i="21"/>
  <c r="T197" i="21"/>
  <c r="P197" i="21"/>
  <c r="J197" i="21"/>
  <c r="AX197" i="21"/>
  <c r="AR197" i="21"/>
  <c r="AK197" i="21"/>
  <c r="AE197" i="21"/>
  <c r="Z197" i="21"/>
  <c r="U197" i="21"/>
  <c r="M197" i="21"/>
  <c r="AW197" i="21"/>
  <c r="AP197" i="21"/>
  <c r="AI197" i="21"/>
  <c r="AD197" i="21"/>
  <c r="Y197" i="21"/>
  <c r="S197" i="21"/>
  <c r="AV197" i="21"/>
  <c r="AN197" i="21"/>
  <c r="AH197" i="21"/>
  <c r="AC197" i="21"/>
  <c r="W197" i="21"/>
  <c r="R197" i="21"/>
  <c r="K197" i="21"/>
  <c r="AS197" i="21"/>
  <c r="V197" i="21"/>
  <c r="AL197" i="21"/>
  <c r="Q197" i="21"/>
  <c r="AG197" i="21"/>
  <c r="AY200" i="21"/>
  <c r="AU200" i="21"/>
  <c r="AQ200" i="21"/>
  <c r="AM200" i="21"/>
  <c r="AI200" i="21"/>
  <c r="AE200" i="21"/>
  <c r="AA200" i="21"/>
  <c r="W200" i="21"/>
  <c r="S200" i="21"/>
  <c r="M200" i="21"/>
  <c r="AV200" i="21"/>
  <c r="AP200" i="21"/>
  <c r="AK200" i="21"/>
  <c r="AF200" i="21"/>
  <c r="Z200" i="21"/>
  <c r="U200" i="21"/>
  <c r="P200" i="21"/>
  <c r="AX200" i="21"/>
  <c r="AR200" i="21"/>
  <c r="AJ200" i="21"/>
  <c r="AC200" i="21"/>
  <c r="V200" i="21"/>
  <c r="AW200" i="21"/>
  <c r="AO200" i="21"/>
  <c r="AH200" i="21"/>
  <c r="AB200" i="21"/>
  <c r="T200" i="21"/>
  <c r="K200" i="21"/>
  <c r="AT200" i="21"/>
  <c r="AN200" i="21"/>
  <c r="AG200" i="21"/>
  <c r="Y200" i="21"/>
  <c r="R200" i="21"/>
  <c r="J200" i="21"/>
  <c r="AL200" i="21"/>
  <c r="AD200" i="21"/>
  <c r="X200" i="21"/>
  <c r="C12" i="26"/>
  <c r="AK9" i="24"/>
  <c r="C14" i="26"/>
  <c r="AK11" i="24"/>
  <c r="C18" i="26"/>
  <c r="AK15" i="24"/>
  <c r="C13" i="26"/>
  <c r="AK10" i="24"/>
  <c r="C77" i="26"/>
  <c r="AK39" i="24"/>
  <c r="C15" i="26"/>
  <c r="AK12" i="24"/>
  <c r="C93" i="26"/>
  <c r="AK46" i="24"/>
  <c r="C105" i="26"/>
  <c r="AK54" i="24"/>
  <c r="C245" i="30"/>
  <c r="C245" i="26"/>
  <c r="AK104" i="24"/>
  <c r="C120" i="26"/>
  <c r="AK63" i="24"/>
  <c r="C265" i="30"/>
  <c r="AK106" i="24"/>
  <c r="C265" i="26"/>
  <c r="C96" i="26"/>
  <c r="AK49" i="24"/>
  <c r="C133" i="26"/>
  <c r="AK77" i="24"/>
  <c r="C128" i="26"/>
  <c r="AK72" i="24"/>
  <c r="C11" i="26"/>
  <c r="AK8" i="24"/>
  <c r="C119" i="26"/>
  <c r="AK62" i="24"/>
  <c r="C39" i="26"/>
  <c r="AK23" i="24"/>
  <c r="C104" i="26"/>
  <c r="AK53" i="24"/>
  <c r="C256" i="30"/>
  <c r="C256" i="26"/>
  <c r="AK101" i="24"/>
  <c r="C111" i="26"/>
  <c r="AK60" i="24"/>
  <c r="C10" i="26"/>
  <c r="AK7" i="24"/>
  <c r="C253" i="30"/>
  <c r="C253" i="26"/>
  <c r="AK97" i="24"/>
  <c r="C95" i="26"/>
  <c r="AK48" i="24"/>
  <c r="AK70" i="24"/>
  <c r="C126" i="26"/>
  <c r="AK42" i="24"/>
  <c r="C84" i="26"/>
  <c r="C63" i="26"/>
  <c r="AK33" i="24"/>
  <c r="C200" i="26"/>
  <c r="AK93" i="24"/>
  <c r="C58" i="26"/>
  <c r="AK28" i="24"/>
  <c r="C60" i="26"/>
  <c r="AK30" i="24"/>
  <c r="C102" i="26"/>
  <c r="AK51" i="24"/>
  <c r="C257" i="30"/>
  <c r="C71" i="26"/>
  <c r="C257" i="26"/>
  <c r="C59" i="26"/>
  <c r="AK29" i="24"/>
  <c r="C129" i="26"/>
  <c r="AK73" i="24"/>
  <c r="C87" i="26"/>
  <c r="AK45" i="24"/>
  <c r="C106" i="26"/>
  <c r="AK55" i="24"/>
  <c r="C252" i="30"/>
  <c r="AK96" i="24"/>
  <c r="C252" i="26"/>
  <c r="C121" i="26"/>
  <c r="AK64" i="24"/>
  <c r="C79" i="26"/>
  <c r="C125" i="26"/>
  <c r="AK41" i="24"/>
  <c r="AK69" i="24"/>
  <c r="AK91" i="24"/>
  <c r="C198" i="26"/>
  <c r="C107" i="26"/>
  <c r="AK56" i="24"/>
  <c r="C22" i="26"/>
  <c r="AK19" i="24"/>
  <c r="C178" i="26"/>
  <c r="AK83" i="24"/>
  <c r="C183" i="26"/>
  <c r="AK85" i="24"/>
  <c r="C260" i="30"/>
  <c r="C260" i="26"/>
  <c r="P438" i="2"/>
  <c r="U438" i="2" s="1"/>
  <c r="V440" i="2"/>
  <c r="P442" i="2"/>
  <c r="U442" i="2" s="1"/>
  <c r="V444" i="2"/>
  <c r="P447" i="2"/>
  <c r="U447" i="2" s="1"/>
  <c r="V449" i="2"/>
  <c r="P450" i="2"/>
  <c r="U450" i="2" s="1"/>
  <c r="P456" i="2"/>
  <c r="U456" i="2" s="1"/>
  <c r="V458" i="2"/>
  <c r="V459" i="2"/>
  <c r="S461" i="2"/>
  <c r="T461" i="2" s="1"/>
  <c r="Z461" i="2" s="1"/>
  <c r="V463" i="2"/>
  <c r="R466" i="2"/>
  <c r="P468" i="2"/>
  <c r="U468" i="2" s="1"/>
  <c r="V470" i="2"/>
  <c r="P472" i="2"/>
  <c r="U472" i="2" s="1"/>
  <c r="C247" i="30"/>
  <c r="T247" i="30" s="1"/>
  <c r="C247" i="26"/>
  <c r="T247" i="26" s="1"/>
  <c r="V474" i="2"/>
  <c r="V476" i="2"/>
  <c r="P478" i="2"/>
  <c r="U478" i="2" s="1"/>
  <c r="V480" i="2"/>
  <c r="P482" i="2"/>
  <c r="U482" i="2" s="1"/>
  <c r="R484" i="2"/>
  <c r="P485" i="2"/>
  <c r="U485" i="2" s="1"/>
  <c r="P489" i="2"/>
  <c r="U489" i="2" s="1"/>
  <c r="V495" i="2"/>
  <c r="P496" i="2"/>
  <c r="U496" i="2" s="1"/>
  <c r="V497" i="2"/>
  <c r="V498" i="2"/>
  <c r="P499" i="2"/>
  <c r="U499" i="2" s="1"/>
  <c r="P505" i="2"/>
  <c r="U505" i="2" s="1"/>
  <c r="V508" i="2"/>
  <c r="P512" i="2"/>
  <c r="U512" i="2" s="1"/>
  <c r="P514" i="2"/>
  <c r="U514" i="2" s="1"/>
  <c r="P518" i="2"/>
  <c r="U518" i="2" s="1"/>
  <c r="P521" i="2"/>
  <c r="U521" i="2" s="1"/>
  <c r="P527" i="2"/>
  <c r="U527" i="2" s="1"/>
  <c r="R3" i="21"/>
  <c r="AH3" i="21"/>
  <c r="AX3" i="21"/>
  <c r="AE4" i="21"/>
  <c r="AE8" i="21"/>
  <c r="AU8" i="21"/>
  <c r="T10" i="21"/>
  <c r="AK10" i="21"/>
  <c r="Q11" i="21"/>
  <c r="AH11" i="21"/>
  <c r="AE12" i="21"/>
  <c r="AU12" i="21"/>
  <c r="T14" i="21"/>
  <c r="Q15" i="21"/>
  <c r="AH15" i="21"/>
  <c r="AE16" i="21"/>
  <c r="AU16" i="21"/>
  <c r="T18" i="21"/>
  <c r="Q19" i="21"/>
  <c r="AH19" i="21"/>
  <c r="AX19" i="21"/>
  <c r="AE20" i="21"/>
  <c r="AU20" i="21"/>
  <c r="T22" i="21"/>
  <c r="Q23" i="21"/>
  <c r="AH23" i="21"/>
  <c r="AX23" i="21"/>
  <c r="AE24" i="21"/>
  <c r="AU24" i="21"/>
  <c r="T26" i="21"/>
  <c r="AK26" i="21"/>
  <c r="AE28" i="21"/>
  <c r="T30" i="21"/>
  <c r="AK30" i="21"/>
  <c r="Q31" i="21"/>
  <c r="AH31" i="21"/>
  <c r="T34" i="21"/>
  <c r="T38" i="21"/>
  <c r="AK38" i="21"/>
  <c r="V40" i="21"/>
  <c r="AR40" i="21"/>
  <c r="AC43" i="21"/>
  <c r="AY43" i="21"/>
  <c r="T45" i="21"/>
  <c r="R47" i="21"/>
  <c r="AO47" i="21"/>
  <c r="V48" i="21"/>
  <c r="AR48" i="21"/>
  <c r="X50" i="21"/>
  <c r="AT50" i="21"/>
  <c r="S55" i="21"/>
  <c r="AB56" i="21"/>
  <c r="AY56" i="21"/>
  <c r="AD59" i="21"/>
  <c r="R60" i="21"/>
  <c r="AN60" i="21"/>
  <c r="S63" i="21"/>
  <c r="AP63" i="21"/>
  <c r="AB64" i="21"/>
  <c r="AY64" i="21"/>
  <c r="U66" i="21"/>
  <c r="AQ66" i="21"/>
  <c r="R68" i="21"/>
  <c r="AN68" i="21"/>
  <c r="S71" i="21"/>
  <c r="AP71" i="21"/>
  <c r="AD75" i="21"/>
  <c r="U77" i="21"/>
  <c r="AR77" i="21"/>
  <c r="AC80" i="21"/>
  <c r="R81" i="21"/>
  <c r="AO81" i="21"/>
  <c r="S84" i="21"/>
  <c r="AO84" i="21"/>
  <c r="AC85" i="21"/>
  <c r="AY85" i="21"/>
  <c r="T87" i="21"/>
  <c r="AQ87" i="21"/>
  <c r="AC88" i="21"/>
  <c r="R89" i="21"/>
  <c r="AE91" i="21"/>
  <c r="S92" i="21"/>
  <c r="AC93" i="21"/>
  <c r="AY93" i="21"/>
  <c r="T95" i="21"/>
  <c r="AQ95" i="21"/>
  <c r="AC96" i="21"/>
  <c r="R97" i="21"/>
  <c r="AO97" i="21"/>
  <c r="S100" i="21"/>
  <c r="AC101" i="21"/>
  <c r="AY101" i="21"/>
  <c r="AY102" i="21" s="1"/>
  <c r="T103" i="21"/>
  <c r="AQ103" i="21"/>
  <c r="R105" i="21"/>
  <c r="AN105" i="21"/>
  <c r="AE107" i="21"/>
  <c r="S108" i="21"/>
  <c r="AN108" i="21"/>
  <c r="AC109" i="21"/>
  <c r="AY109" i="21"/>
  <c r="T111" i="21"/>
  <c r="AQ111" i="21"/>
  <c r="R113" i="21"/>
  <c r="AN113" i="21"/>
  <c r="AI114" i="21"/>
  <c r="V116" i="21"/>
  <c r="AJ119" i="21"/>
  <c r="Z120" i="21"/>
  <c r="AK124" i="21"/>
  <c r="U127" i="21"/>
  <c r="AX127" i="21"/>
  <c r="J128" i="21"/>
  <c r="AM129" i="21"/>
  <c r="AI130" i="21"/>
  <c r="J134" i="21"/>
  <c r="AK139" i="21"/>
  <c r="X154" i="21"/>
  <c r="AU157" i="21"/>
  <c r="AJ161" i="21"/>
  <c r="AU165" i="21"/>
  <c r="AJ169" i="21"/>
  <c r="Y170" i="21"/>
  <c r="AU173" i="21"/>
  <c r="AS181" i="21"/>
  <c r="AW185" i="21"/>
  <c r="AW189" i="21"/>
  <c r="AW193" i="21"/>
  <c r="AS200" i="21"/>
  <c r="AP234" i="21"/>
  <c r="P235" i="21"/>
  <c r="AK242" i="21"/>
  <c r="Q221" i="28"/>
  <c r="D221" i="28"/>
  <c r="O218" i="28"/>
  <c r="J218" i="28"/>
  <c r="Q217" i="28"/>
  <c r="O216" i="28"/>
  <c r="J216" i="28"/>
  <c r="R215" i="28"/>
  <c r="N215" i="28"/>
  <c r="Q214" i="28"/>
  <c r="D214" i="28"/>
  <c r="O212" i="28"/>
  <c r="J212" i="28"/>
  <c r="R211" i="28"/>
  <c r="N211" i="28"/>
  <c r="Q210" i="28"/>
  <c r="D210" i="28"/>
  <c r="R208" i="28"/>
  <c r="O205" i="28"/>
  <c r="J205" i="28"/>
  <c r="O203" i="28"/>
  <c r="J203" i="28"/>
  <c r="Q199" i="28"/>
  <c r="O221" i="28"/>
  <c r="R218" i="28"/>
  <c r="R217" i="28"/>
  <c r="R216" i="28"/>
  <c r="D215" i="28"/>
  <c r="O214" i="28"/>
  <c r="J213" i="28"/>
  <c r="R212" i="28"/>
  <c r="D211" i="28"/>
  <c r="O210" i="28"/>
  <c r="O208" i="28"/>
  <c r="N205" i="28"/>
  <c r="D205" i="28"/>
  <c r="Q203" i="28"/>
  <c r="O202" i="28"/>
  <c r="O199" i="28"/>
  <c r="Q182" i="28"/>
  <c r="D182" i="28"/>
  <c r="Q171" i="28"/>
  <c r="D171" i="28"/>
  <c r="O169" i="28"/>
  <c r="J169" i="28"/>
  <c r="R168" i="28"/>
  <c r="N168" i="28"/>
  <c r="R163" i="28"/>
  <c r="N163" i="28"/>
  <c r="Q162" i="28"/>
  <c r="D162" i="28"/>
  <c r="Q157" i="28"/>
  <c r="D157" i="28"/>
  <c r="Q125" i="28"/>
  <c r="D125" i="28"/>
  <c r="Q121" i="28"/>
  <c r="D121" i="28"/>
  <c r="Q114" i="28"/>
  <c r="D114" i="28"/>
  <c r="O112" i="28"/>
  <c r="J112" i="28"/>
  <c r="R111" i="28"/>
  <c r="N111" i="28"/>
  <c r="Q110" i="28"/>
  <c r="D110" i="28"/>
  <c r="O108" i="28"/>
  <c r="J108" i="28"/>
  <c r="R107" i="28"/>
  <c r="N107" i="28"/>
  <c r="Q106" i="28"/>
  <c r="D106" i="28"/>
  <c r="O104" i="28"/>
  <c r="J104" i="28"/>
  <c r="R103" i="28"/>
  <c r="N103" i="28"/>
  <c r="Q102" i="28"/>
  <c r="D102" i="28"/>
  <c r="O100" i="28"/>
  <c r="J100" i="28"/>
  <c r="O93" i="28"/>
  <c r="J93" i="28"/>
  <c r="R92" i="28"/>
  <c r="N92" i="28"/>
  <c r="Q91" i="28"/>
  <c r="E91" i="28"/>
  <c r="Q90" i="28"/>
  <c r="D90" i="28"/>
  <c r="O217" i="28"/>
  <c r="Q215" i="28"/>
  <c r="J215" i="28"/>
  <c r="D212" i="28"/>
  <c r="O211" i="28"/>
  <c r="N182" i="28"/>
  <c r="O181" i="28"/>
  <c r="R171" i="28"/>
  <c r="R170" i="28"/>
  <c r="N170" i="28"/>
  <c r="D170" i="28"/>
  <c r="J168" i="28"/>
  <c r="Q163" i="28"/>
  <c r="N162" i="28"/>
  <c r="N157" i="28"/>
  <c r="O156" i="28"/>
  <c r="Q152" i="28"/>
  <c r="N125" i="28"/>
  <c r="N121" i="28"/>
  <c r="O120" i="28"/>
  <c r="J114" i="28"/>
  <c r="Q113" i="28"/>
  <c r="N112" i="28"/>
  <c r="D112" i="28"/>
  <c r="O111" i="28"/>
  <c r="J110" i="28"/>
  <c r="Q109" i="28"/>
  <c r="N108" i="28"/>
  <c r="D108" i="28"/>
  <c r="O107" i="28"/>
  <c r="J106" i="28"/>
  <c r="Q105" i="28"/>
  <c r="N104" i="28"/>
  <c r="D104" i="28"/>
  <c r="O103" i="28"/>
  <c r="J102" i="28"/>
  <c r="Q101" i="28"/>
  <c r="N100" i="28"/>
  <c r="D100" i="28"/>
  <c r="J94" i="28"/>
  <c r="R93" i="28"/>
  <c r="D92" i="28"/>
  <c r="O91" i="28"/>
  <c r="J90" i="28"/>
  <c r="Q89" i="28"/>
  <c r="D89" i="28"/>
  <c r="O87" i="28"/>
  <c r="J87" i="28"/>
  <c r="R86" i="28"/>
  <c r="N86" i="28"/>
  <c r="R81" i="28"/>
  <c r="N81" i="28"/>
  <c r="O80" i="28"/>
  <c r="J80" i="28"/>
  <c r="R79" i="28"/>
  <c r="N79" i="28"/>
  <c r="Q78" i="28"/>
  <c r="D78" i="28"/>
  <c r="Q72" i="28"/>
  <c r="D72" i="28"/>
  <c r="O70" i="28"/>
  <c r="J70" i="28"/>
  <c r="O65" i="28"/>
  <c r="J65" i="28"/>
  <c r="R64" i="28"/>
  <c r="N64" i="28"/>
  <c r="Q63" i="28"/>
  <c r="D63" i="28"/>
  <c r="R58" i="28"/>
  <c r="N58" i="28"/>
  <c r="O57" i="28"/>
  <c r="J56" i="28"/>
  <c r="L56" i="28" s="1"/>
  <c r="O55" i="28"/>
  <c r="J54" i="28"/>
  <c r="L54" i="28" s="1"/>
  <c r="Q53" i="28"/>
  <c r="D53" i="28"/>
  <c r="R51" i="28"/>
  <c r="N51" i="28"/>
  <c r="Q50" i="28"/>
  <c r="D50" i="28"/>
  <c r="O48" i="28"/>
  <c r="J48" i="28"/>
  <c r="R47" i="28"/>
  <c r="N47" i="28"/>
  <c r="O46" i="28"/>
  <c r="J44" i="28"/>
  <c r="L44" i="28" s="1"/>
  <c r="O36" i="28"/>
  <c r="J36" i="28"/>
  <c r="R35" i="28"/>
  <c r="N35" i="28"/>
  <c r="R27" i="28"/>
  <c r="N27" i="28"/>
  <c r="Q26" i="28"/>
  <c r="D26" i="28"/>
  <c r="R22" i="28"/>
  <c r="N22" i="28"/>
  <c r="Q21" i="28"/>
  <c r="D21" i="28"/>
  <c r="O19" i="28"/>
  <c r="J19" i="28"/>
  <c r="R18" i="28"/>
  <c r="N18" i="28"/>
  <c r="Q17" i="28"/>
  <c r="D17" i="28"/>
  <c r="O15" i="28"/>
  <c r="J15" i="28"/>
  <c r="R14" i="28"/>
  <c r="N14" i="28"/>
  <c r="Q13" i="28"/>
  <c r="D13" i="28"/>
  <c r="O11" i="28"/>
  <c r="J11" i="28"/>
  <c r="R10" i="28"/>
  <c r="N10" i="28"/>
  <c r="R221" i="28"/>
  <c r="J221" i="28"/>
  <c r="Q218" i="28"/>
  <c r="N217" i="28"/>
  <c r="Q216" i="28"/>
  <c r="N214" i="28"/>
  <c r="O213" i="28"/>
  <c r="D213" i="28"/>
  <c r="N212" i="28"/>
  <c r="R210" i="28"/>
  <c r="J210" i="28"/>
  <c r="Q208" i="28"/>
  <c r="R205" i="28"/>
  <c r="R203" i="28"/>
  <c r="N202" i="28"/>
  <c r="J199" i="28"/>
  <c r="R182" i="28"/>
  <c r="R181" i="28"/>
  <c r="N181" i="28"/>
  <c r="D181" i="28"/>
  <c r="J171" i="28"/>
  <c r="Q170" i="28"/>
  <c r="N169" i="28"/>
  <c r="D169" i="28"/>
  <c r="O168" i="28"/>
  <c r="J163" i="28"/>
  <c r="R162" i="28"/>
  <c r="R157" i="28"/>
  <c r="R156" i="28"/>
  <c r="N156" i="28"/>
  <c r="D156" i="28"/>
  <c r="J152" i="28"/>
  <c r="R125" i="28"/>
  <c r="R121" i="28"/>
  <c r="R120" i="28"/>
  <c r="N120" i="28"/>
  <c r="D120" i="28"/>
  <c r="O114" i="28"/>
  <c r="J113" i="28"/>
  <c r="R112" i="28"/>
  <c r="D111" i="28"/>
  <c r="O110" i="28"/>
  <c r="J109" i="28"/>
  <c r="R108" i="28"/>
  <c r="D107" i="28"/>
  <c r="O106" i="28"/>
  <c r="J105" i="28"/>
  <c r="R104" i="28"/>
  <c r="D103" i="28"/>
  <c r="O102" i="28"/>
  <c r="J101" i="28"/>
  <c r="R100" i="28"/>
  <c r="O94" i="28"/>
  <c r="Q93" i="28"/>
  <c r="Q92" i="28"/>
  <c r="N91" i="28"/>
  <c r="D91" i="28"/>
  <c r="O90" i="28"/>
  <c r="O88" i="28"/>
  <c r="J88" i="28"/>
  <c r="R87" i="28"/>
  <c r="N87" i="28"/>
  <c r="Q86" i="28"/>
  <c r="D86" i="28"/>
  <c r="Q81" i="28"/>
  <c r="R80" i="28"/>
  <c r="N80" i="28"/>
  <c r="Q79" i="28"/>
  <c r="D79" i="28"/>
  <c r="O71" i="28"/>
  <c r="J71" i="28"/>
  <c r="R70" i="28"/>
  <c r="N70" i="28"/>
  <c r="R65" i="28"/>
  <c r="N65" i="28"/>
  <c r="Q64" i="28"/>
  <c r="D64" i="28"/>
  <c r="Q58" i="28"/>
  <c r="D58" i="28"/>
  <c r="J52" i="28"/>
  <c r="L52" i="28" s="1"/>
  <c r="Q51" i="28"/>
  <c r="D51" i="28"/>
  <c r="O49" i="28"/>
  <c r="J49" i="28"/>
  <c r="R48" i="28"/>
  <c r="N48" i="28"/>
  <c r="Q47" i="28"/>
  <c r="D47" i="28"/>
  <c r="O45" i="28"/>
  <c r="O43" i="28"/>
  <c r="J43" i="28"/>
  <c r="R36" i="28"/>
  <c r="N36" i="28"/>
  <c r="Q35" i="28"/>
  <c r="D35" i="28"/>
  <c r="Q27" i="28"/>
  <c r="D27" i="28"/>
  <c r="J25" i="28"/>
  <c r="L25" i="28" s="1"/>
  <c r="O24" i="28"/>
  <c r="J23" i="28"/>
  <c r="L23" i="28" s="1"/>
  <c r="Q22" i="28"/>
  <c r="D22" i="28"/>
  <c r="O20" i="28"/>
  <c r="J20" i="28"/>
  <c r="R19" i="28"/>
  <c r="N19" i="28"/>
  <c r="Q18" i="28"/>
  <c r="D18" i="28"/>
  <c r="O16" i="28"/>
  <c r="J16" i="28"/>
  <c r="R15" i="28"/>
  <c r="N15" i="28"/>
  <c r="Q14" i="28"/>
  <c r="D14" i="28"/>
  <c r="O12" i="28"/>
  <c r="J12" i="28"/>
  <c r="R11" i="28"/>
  <c r="N11" i="28"/>
  <c r="Q10" i="28"/>
  <c r="D10" i="28"/>
  <c r="N218" i="28"/>
  <c r="J217" i="28"/>
  <c r="N216" i="28"/>
  <c r="J214" i="28"/>
  <c r="Q213" i="28"/>
  <c r="J208" i="28"/>
  <c r="Q205" i="28"/>
  <c r="O157" i="28"/>
  <c r="Q156" i="28"/>
  <c r="N152" i="28"/>
  <c r="O121" i="28"/>
  <c r="Q120" i="28"/>
  <c r="R114" i="28"/>
  <c r="O113" i="28"/>
  <c r="R110" i="28"/>
  <c r="O109" i="28"/>
  <c r="R106" i="28"/>
  <c r="O105" i="28"/>
  <c r="R102" i="28"/>
  <c r="O101" i="28"/>
  <c r="R94" i="28"/>
  <c r="R90" i="28"/>
  <c r="O89" i="28"/>
  <c r="N88" i="28"/>
  <c r="J81" i="28"/>
  <c r="J79" i="28"/>
  <c r="D71" i="28"/>
  <c r="Q65" i="28"/>
  <c r="O64" i="28"/>
  <c r="N63" i="28"/>
  <c r="J55" i="28"/>
  <c r="L55" i="28" s="1"/>
  <c r="O54" i="28"/>
  <c r="R53" i="28"/>
  <c r="J53" i="28"/>
  <c r="O52" i="28"/>
  <c r="O51" i="28"/>
  <c r="N50" i="28"/>
  <c r="R49" i="28"/>
  <c r="Q48" i="28"/>
  <c r="O47" i="28"/>
  <c r="R43" i="28"/>
  <c r="O37" i="28"/>
  <c r="D36" i="28"/>
  <c r="O27" i="28"/>
  <c r="N26" i="28"/>
  <c r="J22" i="28"/>
  <c r="D20" i="28"/>
  <c r="J18" i="28"/>
  <c r="D16" i="28"/>
  <c r="J14" i="28"/>
  <c r="D12" i="28"/>
  <c r="J10" i="28"/>
  <c r="N221" i="28"/>
  <c r="O215" i="28"/>
  <c r="R214" i="28"/>
  <c r="J211" i="28"/>
  <c r="N210" i="28"/>
  <c r="R199" i="28"/>
  <c r="J181" i="28"/>
  <c r="O171" i="28"/>
  <c r="Q168" i="28"/>
  <c r="O162" i="28"/>
  <c r="J157" i="28"/>
  <c r="R152" i="28"/>
  <c r="O125" i="28"/>
  <c r="J121" i="28"/>
  <c r="N113" i="28"/>
  <c r="Q112" i="28"/>
  <c r="J111" i="28"/>
  <c r="N109" i="28"/>
  <c r="Q108" i="28"/>
  <c r="J107" i="28"/>
  <c r="N105" i="28"/>
  <c r="Q104" i="28"/>
  <c r="J103" i="28"/>
  <c r="N101" i="28"/>
  <c r="Q100" i="28"/>
  <c r="Q94" i="28"/>
  <c r="N93" i="28"/>
  <c r="J91" i="28"/>
  <c r="N89" i="28"/>
  <c r="R88" i="28"/>
  <c r="Q87" i="28"/>
  <c r="O86" i="28"/>
  <c r="O78" i="28"/>
  <c r="O72" i="28"/>
  <c r="N71" i="28"/>
  <c r="D65" i="28"/>
  <c r="R63" i="28"/>
  <c r="J63" i="28"/>
  <c r="O58" i="28"/>
  <c r="R50" i="28"/>
  <c r="J50" i="28"/>
  <c r="Q49" i="28"/>
  <c r="D48" i="28"/>
  <c r="O44" i="28"/>
  <c r="Q43" i="28"/>
  <c r="N37" i="28"/>
  <c r="J35" i="28"/>
  <c r="R26" i="28"/>
  <c r="J26" i="28"/>
  <c r="O25" i="28"/>
  <c r="O21" i="28"/>
  <c r="N20" i="28"/>
  <c r="O17" i="28"/>
  <c r="N16" i="28"/>
  <c r="O13" i="28"/>
  <c r="N12" i="28"/>
  <c r="D216" i="28"/>
  <c r="N213" i="28"/>
  <c r="Q212" i="28"/>
  <c r="Q211" i="28"/>
  <c r="N203" i="28"/>
  <c r="J182" i="28"/>
  <c r="J170" i="28"/>
  <c r="Q169" i="28"/>
  <c r="D168" i="28"/>
  <c r="D113" i="28"/>
  <c r="Q107" i="28"/>
  <c r="D105" i="28"/>
  <c r="N94" i="28"/>
  <c r="J89" i="28"/>
  <c r="Q80" i="28"/>
  <c r="N78" i="28"/>
  <c r="N43" i="28"/>
  <c r="O35" i="28"/>
  <c r="J21" i="28"/>
  <c r="Q20" i="28"/>
  <c r="D19" i="28"/>
  <c r="J13" i="28"/>
  <c r="Q12" i="28"/>
  <c r="D11" i="28"/>
  <c r="J202" i="28"/>
  <c r="O163" i="28"/>
  <c r="O152" i="28"/>
  <c r="J125" i="28"/>
  <c r="N114" i="28"/>
  <c r="R113" i="28"/>
  <c r="N106" i="28"/>
  <c r="R105" i="28"/>
  <c r="O92" i="28"/>
  <c r="R91" i="28"/>
  <c r="O81" i="28"/>
  <c r="J78" i="28"/>
  <c r="N72" i="28"/>
  <c r="R71" i="28"/>
  <c r="O53" i="28"/>
  <c r="J51" i="28"/>
  <c r="O50" i="28"/>
  <c r="N49" i="28"/>
  <c r="J24" i="28"/>
  <c r="L24" i="28" s="1"/>
  <c r="O23" i="28"/>
  <c r="O22" i="28"/>
  <c r="R21" i="28"/>
  <c r="Q19" i="28"/>
  <c r="N17" i="28"/>
  <c r="R16" i="28"/>
  <c r="O14" i="28"/>
  <c r="R13" i="28"/>
  <c r="Q11" i="28"/>
  <c r="R213" i="28"/>
  <c r="N208" i="28"/>
  <c r="O182" i="28"/>
  <c r="D152" i="28"/>
  <c r="J120" i="28"/>
  <c r="Q111" i="28"/>
  <c r="R109" i="28"/>
  <c r="D88" i="28"/>
  <c r="D87" i="28"/>
  <c r="J86" i="28"/>
  <c r="O79" i="28"/>
  <c r="R78" i="28"/>
  <c r="J72" i="28"/>
  <c r="N53" i="28"/>
  <c r="J27" i="28"/>
  <c r="O26" i="28"/>
  <c r="R20" i="28"/>
  <c r="R17" i="28"/>
  <c r="D15" i="28"/>
  <c r="R202" i="28"/>
  <c r="N199" i="28"/>
  <c r="R169" i="28"/>
  <c r="D163" i="28"/>
  <c r="J156" i="28"/>
  <c r="Q103" i="28"/>
  <c r="R101" i="28"/>
  <c r="J92" i="28"/>
  <c r="R72" i="28"/>
  <c r="D70" i="28"/>
  <c r="J58" i="28"/>
  <c r="J57" i="28"/>
  <c r="L57" i="28" s="1"/>
  <c r="O56" i="28"/>
  <c r="D49" i="28"/>
  <c r="J47" i="28"/>
  <c r="J46" i="28"/>
  <c r="L46" i="28" s="1"/>
  <c r="Q36" i="28"/>
  <c r="J17" i="28"/>
  <c r="R12" i="28"/>
  <c r="D94" i="28"/>
  <c r="D93" i="28"/>
  <c r="R89" i="28"/>
  <c r="Q88" i="28"/>
  <c r="O10" i="28"/>
  <c r="N171" i="28"/>
  <c r="O170" i="28"/>
  <c r="N102" i="28"/>
  <c r="N90" i="28"/>
  <c r="D80" i="28"/>
  <c r="J64" i="28"/>
  <c r="O63" i="28"/>
  <c r="D43" i="28"/>
  <c r="N21" i="28"/>
  <c r="Q16" i="28"/>
  <c r="Q15" i="28"/>
  <c r="Q202" i="28"/>
  <c r="Q181" i="28"/>
  <c r="N110" i="28"/>
  <c r="D101" i="28"/>
  <c r="N13" i="28"/>
  <c r="J162" i="28"/>
  <c r="Q71" i="28"/>
  <c r="Q70" i="28"/>
  <c r="J45" i="28"/>
  <c r="L45" i="28" s="1"/>
  <c r="D109" i="28"/>
  <c r="O18" i="28"/>
  <c r="AW15" i="21"/>
  <c r="AS15" i="21"/>
  <c r="AO15" i="21"/>
  <c r="AK15" i="21"/>
  <c r="AG15" i="21"/>
  <c r="AB15" i="21"/>
  <c r="X15" i="21"/>
  <c r="T15" i="21"/>
  <c r="P15" i="21"/>
  <c r="J15" i="21"/>
  <c r="AV15" i="21"/>
  <c r="AR15" i="21"/>
  <c r="AN15" i="21"/>
  <c r="AJ15" i="21"/>
  <c r="AF15" i="21"/>
  <c r="AA15" i="21"/>
  <c r="W15" i="21"/>
  <c r="S15" i="21"/>
  <c r="M15" i="21"/>
  <c r="AY15" i="21"/>
  <c r="AU15" i="21"/>
  <c r="AQ15" i="21"/>
  <c r="AM15" i="21"/>
  <c r="AI15" i="21"/>
  <c r="AE15" i="21"/>
  <c r="Z15" i="21"/>
  <c r="V15" i="21"/>
  <c r="R15" i="21"/>
  <c r="AW67" i="21"/>
  <c r="AS67" i="21"/>
  <c r="AO67" i="21"/>
  <c r="AK67" i="21"/>
  <c r="AF67" i="21"/>
  <c r="AB67" i="21"/>
  <c r="X67" i="21"/>
  <c r="T67" i="21"/>
  <c r="P67" i="21"/>
  <c r="J67" i="21"/>
  <c r="AY67" i="21"/>
  <c r="AT67" i="21"/>
  <c r="AN67" i="21"/>
  <c r="AH67" i="21"/>
  <c r="AC67" i="21"/>
  <c r="W67" i="21"/>
  <c r="R67" i="21"/>
  <c r="K67" i="21"/>
  <c r="AX67" i="21"/>
  <c r="AR67" i="21"/>
  <c r="AM67" i="21"/>
  <c r="AG67" i="21"/>
  <c r="AA67" i="21"/>
  <c r="V67" i="21"/>
  <c r="Q67" i="21"/>
  <c r="AV67" i="21"/>
  <c r="AQ67" i="21"/>
  <c r="AL67" i="21"/>
  <c r="AE67" i="21"/>
  <c r="Z67" i="21"/>
  <c r="U67" i="21"/>
  <c r="M67" i="21"/>
  <c r="AY104" i="21"/>
  <c r="AU104" i="21"/>
  <c r="AQ104" i="21"/>
  <c r="AL104" i="21"/>
  <c r="AH104" i="21"/>
  <c r="AD104" i="21"/>
  <c r="Z104" i="21"/>
  <c r="V104" i="21"/>
  <c r="R104" i="21"/>
  <c r="AX104" i="21"/>
  <c r="AS104" i="21"/>
  <c r="AM104" i="21"/>
  <c r="AG104" i="21"/>
  <c r="AB104" i="21"/>
  <c r="W104" i="21"/>
  <c r="Q104" i="21"/>
  <c r="J104" i="21"/>
  <c r="AW104" i="21"/>
  <c r="AR104" i="21"/>
  <c r="AK104" i="21"/>
  <c r="AF104" i="21"/>
  <c r="AA104" i="21"/>
  <c r="U104" i="21"/>
  <c r="P104" i="21"/>
  <c r="AV104" i="21"/>
  <c r="AP104" i="21"/>
  <c r="AJ104" i="21"/>
  <c r="AE104" i="21"/>
  <c r="Y104" i="21"/>
  <c r="T104" i="21"/>
  <c r="M104" i="21"/>
  <c r="AY246" i="21"/>
  <c r="AU246" i="21"/>
  <c r="AQ246" i="21"/>
  <c r="AM246" i="21"/>
  <c r="AI246" i="21"/>
  <c r="AE246" i="21"/>
  <c r="AA246" i="21"/>
  <c r="W246" i="21"/>
  <c r="S246" i="21"/>
  <c r="M246" i="21"/>
  <c r="AX246" i="21"/>
  <c r="AS246" i="21"/>
  <c r="AN246" i="21"/>
  <c r="AH246" i="21"/>
  <c r="AC246" i="21"/>
  <c r="X246" i="21"/>
  <c r="R246" i="21"/>
  <c r="AW246" i="21"/>
  <c r="AP246" i="21"/>
  <c r="AJ246" i="21"/>
  <c r="AB246" i="21"/>
  <c r="U246" i="21"/>
  <c r="AR246" i="21"/>
  <c r="AG246" i="21"/>
  <c r="Y246" i="21"/>
  <c r="P246" i="21"/>
  <c r="AO246" i="21"/>
  <c r="AF246" i="21"/>
  <c r="V246" i="21"/>
  <c r="K246" i="21"/>
  <c r="AL246" i="21"/>
  <c r="T246" i="21"/>
  <c r="AK246" i="21"/>
  <c r="Q246" i="21"/>
  <c r="AV246" i="21"/>
  <c r="AD246" i="21"/>
  <c r="J246" i="21"/>
  <c r="AT246" i="21"/>
  <c r="Z246" i="21"/>
  <c r="AW178" i="21"/>
  <c r="AS178" i="21"/>
  <c r="AO178" i="21"/>
  <c r="AK178" i="21"/>
  <c r="AG178" i="21"/>
  <c r="AC178" i="21"/>
  <c r="Y178" i="21"/>
  <c r="U178" i="21"/>
  <c r="Q178" i="21"/>
  <c r="K178" i="21"/>
  <c r="AU178" i="21"/>
  <c r="AP178" i="21"/>
  <c r="AJ178" i="21"/>
  <c r="AE178" i="21"/>
  <c r="Z178" i="21"/>
  <c r="T178" i="21"/>
  <c r="M178" i="21"/>
  <c r="AT178" i="21"/>
  <c r="AN178" i="21"/>
  <c r="AI178" i="21"/>
  <c r="AD178" i="21"/>
  <c r="X178" i="21"/>
  <c r="S178" i="21"/>
  <c r="AX178" i="21"/>
  <c r="AR178" i="21"/>
  <c r="AM178" i="21"/>
  <c r="AH178" i="21"/>
  <c r="AB178" i="21"/>
  <c r="W178" i="21"/>
  <c r="R178" i="21"/>
  <c r="J178" i="21"/>
  <c r="AF178" i="21"/>
  <c r="AV178" i="21"/>
  <c r="AA178" i="21"/>
  <c r="AQ178" i="21"/>
  <c r="V178" i="21"/>
  <c r="AX179" i="21"/>
  <c r="AT179" i="21"/>
  <c r="AP179" i="21"/>
  <c r="AL179" i="21"/>
  <c r="AH179" i="21"/>
  <c r="AD179" i="21"/>
  <c r="Z179" i="21"/>
  <c r="V179" i="21"/>
  <c r="R179" i="21"/>
  <c r="AS179" i="21"/>
  <c r="AN179" i="21"/>
  <c r="AI179" i="21"/>
  <c r="AC179" i="21"/>
  <c r="X179" i="21"/>
  <c r="S179" i="21"/>
  <c r="K179" i="21"/>
  <c r="AW179" i="21"/>
  <c r="AR179" i="21"/>
  <c r="AM179" i="21"/>
  <c r="AG179" i="21"/>
  <c r="AB179" i="21"/>
  <c r="W179" i="21"/>
  <c r="Q179" i="21"/>
  <c r="J179" i="21"/>
  <c r="AV179" i="21"/>
  <c r="AQ179" i="21"/>
  <c r="AK179" i="21"/>
  <c r="AF179" i="21"/>
  <c r="AA179" i="21"/>
  <c r="U179" i="21"/>
  <c r="P179" i="21"/>
  <c r="AO179" i="21"/>
  <c r="T179" i="21"/>
  <c r="AJ179" i="21"/>
  <c r="M179" i="21"/>
  <c r="AE179" i="21"/>
  <c r="AK22" i="24"/>
  <c r="C25" i="26"/>
  <c r="C103" i="26"/>
  <c r="AK52" i="24"/>
  <c r="C122" i="26"/>
  <c r="AK65" i="24"/>
  <c r="C134" i="26"/>
  <c r="AK78" i="24"/>
  <c r="C132" i="26"/>
  <c r="AK76" i="24"/>
  <c r="C131" i="26"/>
  <c r="AK75" i="24"/>
  <c r="C123" i="26"/>
  <c r="AK67" i="24"/>
  <c r="C85" i="26"/>
  <c r="AK43" i="24"/>
  <c r="C190" i="26"/>
  <c r="AK87" i="24"/>
  <c r="C86" i="26"/>
  <c r="AK44" i="24"/>
  <c r="C191" i="26"/>
  <c r="AK88" i="24"/>
  <c r="AV14" i="21"/>
  <c r="AR14" i="21"/>
  <c r="AN14" i="21"/>
  <c r="AJ14" i="21"/>
  <c r="AF14" i="21"/>
  <c r="AA14" i="21"/>
  <c r="W14" i="21"/>
  <c r="S14" i="21"/>
  <c r="M14" i="21"/>
  <c r="AY14" i="21"/>
  <c r="AU14" i="21"/>
  <c r="AQ14" i="21"/>
  <c r="AM14" i="21"/>
  <c r="AI14" i="21"/>
  <c r="AE14" i="21"/>
  <c r="Z14" i="21"/>
  <c r="V14" i="21"/>
  <c r="R14" i="21"/>
  <c r="AX14" i="21"/>
  <c r="AT14" i="21"/>
  <c r="AP14" i="21"/>
  <c r="AL14" i="21"/>
  <c r="AH14" i="21"/>
  <c r="AD14" i="21"/>
  <c r="Y14" i="21"/>
  <c r="U14" i="21"/>
  <c r="Q14" i="21"/>
  <c r="K14" i="21"/>
  <c r="AX4" i="21"/>
  <c r="AT4" i="21"/>
  <c r="AP4" i="21"/>
  <c r="AL4" i="21"/>
  <c r="AH4" i="21"/>
  <c r="AD4" i="21"/>
  <c r="Z4" i="21"/>
  <c r="U4" i="21"/>
  <c r="Q4" i="21"/>
  <c r="K4" i="21"/>
  <c r="AW4" i="21"/>
  <c r="AS4" i="21"/>
  <c r="AO4" i="21"/>
  <c r="AK4" i="21"/>
  <c r="AG4" i="21"/>
  <c r="AC4" i="21"/>
  <c r="Y4" i="21"/>
  <c r="T4" i="21"/>
  <c r="P4" i="21"/>
  <c r="J4" i="21"/>
  <c r="AV4" i="21"/>
  <c r="AR4" i="21"/>
  <c r="AN4" i="21"/>
  <c r="AJ4" i="21"/>
  <c r="AF4" i="21"/>
  <c r="AB4" i="21"/>
  <c r="X4" i="21"/>
  <c r="S4" i="21"/>
  <c r="M4" i="21"/>
  <c r="AX28" i="21"/>
  <c r="AT28" i="21"/>
  <c r="AP28" i="21"/>
  <c r="AL28" i="21"/>
  <c r="AH28" i="21"/>
  <c r="AC28" i="21"/>
  <c r="Y28" i="21"/>
  <c r="U28" i="21"/>
  <c r="Q28" i="21"/>
  <c r="K28" i="21"/>
  <c r="AW28" i="21"/>
  <c r="AS28" i="21"/>
  <c r="AO28" i="21"/>
  <c r="AK28" i="21"/>
  <c r="AG28" i="21"/>
  <c r="AB28" i="21"/>
  <c r="X28" i="21"/>
  <c r="T28" i="21"/>
  <c r="P28" i="21"/>
  <c r="J28" i="21"/>
  <c r="AV28" i="21"/>
  <c r="AR28" i="21"/>
  <c r="AN28" i="21"/>
  <c r="AJ28" i="21"/>
  <c r="AF28" i="21"/>
  <c r="AA28" i="21"/>
  <c r="W28" i="21"/>
  <c r="S28" i="21"/>
  <c r="M28" i="21"/>
  <c r="AW11" i="21"/>
  <c r="AS11" i="21"/>
  <c r="AO11" i="21"/>
  <c r="AK11" i="21"/>
  <c r="AG11" i="21"/>
  <c r="AB11" i="21"/>
  <c r="X11" i="21"/>
  <c r="T11" i="21"/>
  <c r="P11" i="21"/>
  <c r="J11" i="21"/>
  <c r="AV11" i="21"/>
  <c r="AR11" i="21"/>
  <c r="AN11" i="21"/>
  <c r="AJ11" i="21"/>
  <c r="AF11" i="21"/>
  <c r="AA11" i="21"/>
  <c r="W11" i="21"/>
  <c r="S11" i="21"/>
  <c r="M11" i="21"/>
  <c r="AY11" i="21"/>
  <c r="AU11" i="21"/>
  <c r="AQ11" i="21"/>
  <c r="AM11" i="21"/>
  <c r="AI11" i="21"/>
  <c r="AE11" i="21"/>
  <c r="Z11" i="21"/>
  <c r="V11" i="21"/>
  <c r="R11" i="21"/>
  <c r="AV18" i="21"/>
  <c r="AR18" i="21"/>
  <c r="AN18" i="21"/>
  <c r="AJ18" i="21"/>
  <c r="AF18" i="21"/>
  <c r="AA18" i="21"/>
  <c r="W18" i="21"/>
  <c r="S18" i="21"/>
  <c r="M18" i="21"/>
  <c r="AY18" i="21"/>
  <c r="AU18" i="21"/>
  <c r="AQ18" i="21"/>
  <c r="AM18" i="21"/>
  <c r="AI18" i="21"/>
  <c r="AE18" i="21"/>
  <c r="Z18" i="21"/>
  <c r="V18" i="21"/>
  <c r="R18" i="21"/>
  <c r="AX18" i="21"/>
  <c r="AT18" i="21"/>
  <c r="AP18" i="21"/>
  <c r="AL18" i="21"/>
  <c r="AH18" i="21"/>
  <c r="AD18" i="21"/>
  <c r="Y18" i="21"/>
  <c r="U18" i="21"/>
  <c r="Q18" i="21"/>
  <c r="K18" i="21"/>
  <c r="AV22" i="21"/>
  <c r="AR22" i="21"/>
  <c r="AN22" i="21"/>
  <c r="AJ22" i="21"/>
  <c r="AF22" i="21"/>
  <c r="AA22" i="21"/>
  <c r="W22" i="21"/>
  <c r="S22" i="21"/>
  <c r="M22" i="21"/>
  <c r="AY22" i="21"/>
  <c r="AU22" i="21"/>
  <c r="AQ22" i="21"/>
  <c r="AM22" i="21"/>
  <c r="AI22" i="21"/>
  <c r="AE22" i="21"/>
  <c r="Z22" i="21"/>
  <c r="V22" i="21"/>
  <c r="R22" i="21"/>
  <c r="AX22" i="21"/>
  <c r="AT22" i="21"/>
  <c r="AP22" i="21"/>
  <c r="AL22" i="21"/>
  <c r="AH22" i="21"/>
  <c r="AC22" i="21"/>
  <c r="Y22" i="21"/>
  <c r="U22" i="21"/>
  <c r="Q22" i="21"/>
  <c r="K22" i="21"/>
  <c r="AW31" i="21"/>
  <c r="AS31" i="21"/>
  <c r="AO31" i="21"/>
  <c r="AK31" i="21"/>
  <c r="AG31" i="21"/>
  <c r="AB31" i="21"/>
  <c r="X31" i="21"/>
  <c r="T31" i="21"/>
  <c r="P31" i="21"/>
  <c r="J31" i="21"/>
  <c r="AV31" i="21"/>
  <c r="AR31" i="21"/>
  <c r="AN31" i="21"/>
  <c r="AJ31" i="21"/>
  <c r="AF31" i="21"/>
  <c r="AA31" i="21"/>
  <c r="W31" i="21"/>
  <c r="S31" i="21"/>
  <c r="M31" i="21"/>
  <c r="AY31" i="21"/>
  <c r="AU31" i="21"/>
  <c r="AQ31" i="21"/>
  <c r="AM31" i="21"/>
  <c r="AI31" i="21"/>
  <c r="AD31" i="21"/>
  <c r="Z31" i="21"/>
  <c r="V31" i="21"/>
  <c r="R31" i="21"/>
  <c r="AW55" i="21"/>
  <c r="AS55" i="21"/>
  <c r="AO55" i="21"/>
  <c r="AK55" i="21"/>
  <c r="AF55" i="21"/>
  <c r="AB55" i="21"/>
  <c r="X55" i="21"/>
  <c r="T55" i="21"/>
  <c r="P55" i="21"/>
  <c r="J55" i="21"/>
  <c r="AY55" i="21"/>
  <c r="AT55" i="21"/>
  <c r="AN55" i="21"/>
  <c r="AI55" i="21"/>
  <c r="AC55" i="21"/>
  <c r="W55" i="21"/>
  <c r="R55" i="21"/>
  <c r="K55" i="21"/>
  <c r="AX55" i="21"/>
  <c r="AR55" i="21"/>
  <c r="AM55" i="21"/>
  <c r="AG55" i="21"/>
  <c r="AA55" i="21"/>
  <c r="V55" i="21"/>
  <c r="Q55" i="21"/>
  <c r="AV55" i="21"/>
  <c r="AQ55" i="21"/>
  <c r="AL55" i="21"/>
  <c r="AE55" i="21"/>
  <c r="Z55" i="21"/>
  <c r="U55" i="21"/>
  <c r="M55" i="21"/>
  <c r="AV54" i="21"/>
  <c r="AR54" i="21"/>
  <c r="AN54" i="21"/>
  <c r="AJ54" i="21"/>
  <c r="AE54" i="21"/>
  <c r="AA54" i="21"/>
  <c r="W54" i="21"/>
  <c r="S54" i="21"/>
  <c r="M54" i="21"/>
  <c r="AU54" i="21"/>
  <c r="AP54" i="21"/>
  <c r="AK54" i="21"/>
  <c r="AD54" i="21"/>
  <c r="Y54" i="21"/>
  <c r="T54" i="21"/>
  <c r="AY54" i="21"/>
  <c r="AT54" i="21"/>
  <c r="AO54" i="21"/>
  <c r="AI54" i="21"/>
  <c r="AC54" i="21"/>
  <c r="X54" i="21"/>
  <c r="R54" i="21"/>
  <c r="K54" i="21"/>
  <c r="AX54" i="21"/>
  <c r="AS54" i="21"/>
  <c r="AM54" i="21"/>
  <c r="AG54" i="21"/>
  <c r="AB54" i="21"/>
  <c r="V54" i="21"/>
  <c r="Q54" i="21"/>
  <c r="J54" i="21"/>
  <c r="AV34" i="21"/>
  <c r="AR34" i="21"/>
  <c r="AN34" i="21"/>
  <c r="AJ34" i="21"/>
  <c r="AF34" i="21"/>
  <c r="AA34" i="21"/>
  <c r="W34" i="21"/>
  <c r="S34" i="21"/>
  <c r="M34" i="21"/>
  <c r="AY34" i="21"/>
  <c r="AU34" i="21"/>
  <c r="AQ34" i="21"/>
  <c r="AM34" i="21"/>
  <c r="AI34" i="21"/>
  <c r="AD34" i="21"/>
  <c r="Z34" i="21"/>
  <c r="V34" i="21"/>
  <c r="R34" i="21"/>
  <c r="AX34" i="21"/>
  <c r="AT34" i="21"/>
  <c r="AP34" i="21"/>
  <c r="AL34" i="21"/>
  <c r="AH34" i="21"/>
  <c r="AC34" i="21"/>
  <c r="Y34" i="21"/>
  <c r="U34" i="21"/>
  <c r="Q34" i="21"/>
  <c r="K34" i="21"/>
  <c r="AX45" i="21"/>
  <c r="AT45" i="21"/>
  <c r="AP45" i="21"/>
  <c r="AL45" i="21"/>
  <c r="AH45" i="21"/>
  <c r="AC45" i="21"/>
  <c r="Y45" i="21"/>
  <c r="U45" i="21"/>
  <c r="Q45" i="21"/>
  <c r="K45" i="21"/>
  <c r="AU45" i="21"/>
  <c r="AO45" i="21"/>
  <c r="AJ45" i="21"/>
  <c r="AD45" i="21"/>
  <c r="X45" i="21"/>
  <c r="S45" i="21"/>
  <c r="AY45" i="21"/>
  <c r="AS45" i="21"/>
  <c r="AN45" i="21"/>
  <c r="AI45" i="21"/>
  <c r="AB45" i="21"/>
  <c r="W45" i="21"/>
  <c r="R45" i="21"/>
  <c r="J45" i="21"/>
  <c r="AW45" i="21"/>
  <c r="AR45" i="21"/>
  <c r="AM45" i="21"/>
  <c r="AF45" i="21"/>
  <c r="AA45" i="21"/>
  <c r="V45" i="21"/>
  <c r="P45" i="21"/>
  <c r="AV89" i="21"/>
  <c r="AR89" i="21"/>
  <c r="AM89" i="21"/>
  <c r="AI89" i="21"/>
  <c r="AE89" i="21"/>
  <c r="AA89" i="21"/>
  <c r="W89" i="21"/>
  <c r="S89" i="21"/>
  <c r="M89" i="21"/>
  <c r="AX89" i="21"/>
  <c r="AS89" i="21"/>
  <c r="AL89" i="21"/>
  <c r="AG89" i="21"/>
  <c r="AB89" i="21"/>
  <c r="V89" i="21"/>
  <c r="Q89" i="21"/>
  <c r="J89" i="21"/>
  <c r="AW89" i="21"/>
  <c r="AQ89" i="21"/>
  <c r="AK89" i="21"/>
  <c r="AF89" i="21"/>
  <c r="Z89" i="21"/>
  <c r="U89" i="21"/>
  <c r="P89" i="21"/>
  <c r="AU89" i="21"/>
  <c r="AP89" i="21"/>
  <c r="AJ89" i="21"/>
  <c r="AD89" i="21"/>
  <c r="Y89" i="21"/>
  <c r="T89" i="21"/>
  <c r="AV136" i="21"/>
  <c r="AQ136" i="21"/>
  <c r="AM136" i="21"/>
  <c r="AI136" i="21"/>
  <c r="AE136" i="21"/>
  <c r="AA136" i="21"/>
  <c r="W136" i="21"/>
  <c r="S136" i="21"/>
  <c r="M136" i="21"/>
  <c r="AU136" i="21"/>
  <c r="AO136" i="21"/>
  <c r="AJ136" i="21"/>
  <c r="AD136" i="21"/>
  <c r="Y136" i="21"/>
  <c r="T136" i="21"/>
  <c r="AY136" i="21"/>
  <c r="AT136" i="21"/>
  <c r="AN136" i="21"/>
  <c r="AH136" i="21"/>
  <c r="AC136" i="21"/>
  <c r="X136" i="21"/>
  <c r="R136" i="21"/>
  <c r="K136" i="21"/>
  <c r="AX136" i="21"/>
  <c r="AL136" i="21"/>
  <c r="AB136" i="21"/>
  <c r="Q136" i="21"/>
  <c r="AW136" i="21"/>
  <c r="AK136" i="21"/>
  <c r="Z136" i="21"/>
  <c r="P136" i="21"/>
  <c r="AR136" i="21"/>
  <c r="AG136" i="21"/>
  <c r="V136" i="21"/>
  <c r="J136" i="21"/>
  <c r="AX99" i="21"/>
  <c r="AT99" i="21"/>
  <c r="AP99" i="21"/>
  <c r="AK99" i="21"/>
  <c r="AG99" i="21"/>
  <c r="AC99" i="21"/>
  <c r="Y99" i="21"/>
  <c r="U99" i="21"/>
  <c r="Q99" i="21"/>
  <c r="K99" i="21"/>
  <c r="AU99" i="21"/>
  <c r="AO99" i="21"/>
  <c r="AI99" i="21"/>
  <c r="AD99" i="21"/>
  <c r="X99" i="21"/>
  <c r="S99" i="21"/>
  <c r="AY99" i="21"/>
  <c r="AS99" i="21"/>
  <c r="AM99" i="21"/>
  <c r="AH99" i="21"/>
  <c r="AB99" i="21"/>
  <c r="W99" i="21"/>
  <c r="R99" i="21"/>
  <c r="J99" i="21"/>
  <c r="AW99" i="21"/>
  <c r="AR99" i="21"/>
  <c r="AL99" i="21"/>
  <c r="AF99" i="21"/>
  <c r="AA99" i="21"/>
  <c r="V99" i="21"/>
  <c r="P99" i="21"/>
  <c r="AW163" i="21"/>
  <c r="AR163" i="21"/>
  <c r="AN163" i="21"/>
  <c r="AJ163" i="21"/>
  <c r="AF163" i="21"/>
  <c r="AB163" i="21"/>
  <c r="X163" i="21"/>
  <c r="T163" i="21"/>
  <c r="P163" i="21"/>
  <c r="J163" i="21"/>
  <c r="AX163" i="21"/>
  <c r="AQ163" i="21"/>
  <c r="AL163" i="21"/>
  <c r="AG163" i="21"/>
  <c r="AA163" i="21"/>
  <c r="V163" i="21"/>
  <c r="Q163" i="21"/>
  <c r="AU163" i="21"/>
  <c r="AP163" i="21"/>
  <c r="AK163" i="21"/>
  <c r="AE163" i="21"/>
  <c r="Z163" i="21"/>
  <c r="U163" i="21"/>
  <c r="M163" i="21"/>
  <c r="AT163" i="21"/>
  <c r="AO163" i="21"/>
  <c r="AI163" i="21"/>
  <c r="AD163" i="21"/>
  <c r="Y163" i="21"/>
  <c r="S163" i="21"/>
  <c r="AY163" i="21"/>
  <c r="AC163" i="21"/>
  <c r="AS163" i="21"/>
  <c r="W163" i="21"/>
  <c r="AM163" i="21"/>
  <c r="R163" i="21"/>
  <c r="AV167" i="21"/>
  <c r="AR167" i="21"/>
  <c r="AN167" i="21"/>
  <c r="AJ167" i="21"/>
  <c r="AF167" i="21"/>
  <c r="AB167" i="21"/>
  <c r="X167" i="21"/>
  <c r="T167" i="21"/>
  <c r="P167" i="21"/>
  <c r="J167" i="21"/>
  <c r="AX167" i="21"/>
  <c r="AQ167" i="21"/>
  <c r="AL167" i="21"/>
  <c r="AG167" i="21"/>
  <c r="AA167" i="21"/>
  <c r="V167" i="21"/>
  <c r="Q167" i="21"/>
  <c r="AU167" i="21"/>
  <c r="AP167" i="21"/>
  <c r="AK167" i="21"/>
  <c r="AE167" i="21"/>
  <c r="Z167" i="21"/>
  <c r="U167" i="21"/>
  <c r="M167" i="21"/>
  <c r="AT167" i="21"/>
  <c r="AO167" i="21"/>
  <c r="AI167" i="21"/>
  <c r="AD167" i="21"/>
  <c r="Y167" i="21"/>
  <c r="S167" i="21"/>
  <c r="AM167" i="21"/>
  <c r="R167" i="21"/>
  <c r="AH167" i="21"/>
  <c r="K167" i="21"/>
  <c r="AY167" i="21"/>
  <c r="AC167" i="21"/>
  <c r="AX168" i="21"/>
  <c r="AS168" i="21"/>
  <c r="AO168" i="21"/>
  <c r="AK168" i="21"/>
  <c r="AG168" i="21"/>
  <c r="AC168" i="21"/>
  <c r="Y168" i="21"/>
  <c r="U168" i="21"/>
  <c r="Q168" i="21"/>
  <c r="K168" i="21"/>
  <c r="AU168" i="21"/>
  <c r="AP168" i="21"/>
  <c r="AJ168" i="21"/>
  <c r="AE168" i="21"/>
  <c r="Z168" i="21"/>
  <c r="T168" i="21"/>
  <c r="M168" i="21"/>
  <c r="AT168" i="21"/>
  <c r="AN168" i="21"/>
  <c r="AI168" i="21"/>
  <c r="AD168" i="21"/>
  <c r="X168" i="21"/>
  <c r="S168" i="21"/>
  <c r="AY168" i="21"/>
  <c r="AR168" i="21"/>
  <c r="AM168" i="21"/>
  <c r="AH168" i="21"/>
  <c r="AB168" i="21"/>
  <c r="W168" i="21"/>
  <c r="R168" i="21"/>
  <c r="J168" i="21"/>
  <c r="AQ168" i="21"/>
  <c r="V168" i="21"/>
  <c r="AL168" i="21"/>
  <c r="P168" i="21"/>
  <c r="AF168" i="21"/>
  <c r="AW125" i="21"/>
  <c r="AS125" i="21"/>
  <c r="AN125" i="21"/>
  <c r="AJ125" i="21"/>
  <c r="AF125" i="21"/>
  <c r="AB125" i="21"/>
  <c r="X125" i="21"/>
  <c r="T125" i="21"/>
  <c r="P125" i="21"/>
  <c r="J125" i="21"/>
  <c r="AX125" i="21"/>
  <c r="AR125" i="21"/>
  <c r="AL125" i="21"/>
  <c r="AG125" i="21"/>
  <c r="AA125" i="21"/>
  <c r="V125" i="21"/>
  <c r="Q125" i="21"/>
  <c r="AV125" i="21"/>
  <c r="AO125" i="21"/>
  <c r="AH125" i="21"/>
  <c r="Z125" i="21"/>
  <c r="S125" i="21"/>
  <c r="K125" i="21"/>
  <c r="AU125" i="21"/>
  <c r="AM125" i="21"/>
  <c r="AE125" i="21"/>
  <c r="Y125" i="21"/>
  <c r="R125" i="21"/>
  <c r="AT125" i="21"/>
  <c r="AK125" i="21"/>
  <c r="AD125" i="21"/>
  <c r="W125" i="21"/>
  <c r="M125" i="21"/>
  <c r="AW177" i="21"/>
  <c r="AS177" i="21"/>
  <c r="AO177" i="21"/>
  <c r="AK177" i="21"/>
  <c r="AG177" i="21"/>
  <c r="AC177" i="21"/>
  <c r="Y177" i="21"/>
  <c r="U177" i="21"/>
  <c r="Q177" i="21"/>
  <c r="K177" i="21"/>
  <c r="AX177" i="21"/>
  <c r="AR177" i="21"/>
  <c r="AM177" i="21"/>
  <c r="AH177" i="21"/>
  <c r="AB177" i="21"/>
  <c r="W177" i="21"/>
  <c r="R177" i="21"/>
  <c r="J177" i="21"/>
  <c r="AV177" i="21"/>
  <c r="AQ177" i="21"/>
  <c r="AL177" i="21"/>
  <c r="AF177" i="21"/>
  <c r="AA177" i="21"/>
  <c r="V177" i="21"/>
  <c r="P177" i="21"/>
  <c r="AU177" i="21"/>
  <c r="AP177" i="21"/>
  <c r="AJ177" i="21"/>
  <c r="AE177" i="21"/>
  <c r="Z177" i="21"/>
  <c r="T177" i="21"/>
  <c r="M177" i="21"/>
  <c r="AY177" i="21"/>
  <c r="AD177" i="21"/>
  <c r="AT177" i="21"/>
  <c r="X177" i="21"/>
  <c r="AN177" i="21"/>
  <c r="S177" i="21"/>
  <c r="AY92" i="21"/>
  <c r="AU92" i="21"/>
  <c r="AQ92" i="21"/>
  <c r="AL92" i="21"/>
  <c r="AH92" i="21"/>
  <c r="AD92" i="21"/>
  <c r="Z92" i="21"/>
  <c r="V92" i="21"/>
  <c r="R92" i="21"/>
  <c r="AX92" i="21"/>
  <c r="AS92" i="21"/>
  <c r="AM92" i="21"/>
  <c r="AG92" i="21"/>
  <c r="AB92" i="21"/>
  <c r="W92" i="21"/>
  <c r="Q92" i="21"/>
  <c r="J92" i="21"/>
  <c r="AW92" i="21"/>
  <c r="AR92" i="21"/>
  <c r="AK92" i="21"/>
  <c r="AF92" i="21"/>
  <c r="AA92" i="21"/>
  <c r="U92" i="21"/>
  <c r="P92" i="21"/>
  <c r="AV92" i="21"/>
  <c r="AP92" i="21"/>
  <c r="AJ92" i="21"/>
  <c r="AE92" i="21"/>
  <c r="Y92" i="21"/>
  <c r="T92" i="21"/>
  <c r="M92" i="21"/>
  <c r="AV128" i="21"/>
  <c r="AR128" i="21"/>
  <c r="AM128" i="21"/>
  <c r="AI128" i="21"/>
  <c r="AE128" i="21"/>
  <c r="AA128" i="21"/>
  <c r="W128" i="21"/>
  <c r="S128" i="21"/>
  <c r="M128" i="21"/>
  <c r="AY128" i="21"/>
  <c r="AT128" i="21"/>
  <c r="AN128" i="21"/>
  <c r="AH128" i="21"/>
  <c r="AC128" i="21"/>
  <c r="X128" i="21"/>
  <c r="R128" i="21"/>
  <c r="K128" i="21"/>
  <c r="AU128" i="21"/>
  <c r="AL128" i="21"/>
  <c r="AF128" i="21"/>
  <c r="Y128" i="21"/>
  <c r="Q128" i="21"/>
  <c r="AS128" i="21"/>
  <c r="AK128" i="21"/>
  <c r="AD128" i="21"/>
  <c r="V128" i="21"/>
  <c r="P128" i="21"/>
  <c r="AX128" i="21"/>
  <c r="AP128" i="21"/>
  <c r="AJ128" i="21"/>
  <c r="AB128" i="21"/>
  <c r="U128" i="21"/>
  <c r="AY201" i="21"/>
  <c r="AU201" i="21"/>
  <c r="AQ201" i="21"/>
  <c r="AM201" i="21"/>
  <c r="AI201" i="21"/>
  <c r="AE201" i="21"/>
  <c r="AA201" i="21"/>
  <c r="W201" i="21"/>
  <c r="S201" i="21"/>
  <c r="M201" i="21"/>
  <c r="AT201" i="21"/>
  <c r="AO201" i="21"/>
  <c r="AJ201" i="21"/>
  <c r="AD201" i="21"/>
  <c r="Y201" i="21"/>
  <c r="T201" i="21"/>
  <c r="AV201" i="21"/>
  <c r="AN201" i="21"/>
  <c r="AG201" i="21"/>
  <c r="Z201" i="21"/>
  <c r="R201" i="21"/>
  <c r="J201" i="21"/>
  <c r="L201" i="21" s="1"/>
  <c r="AS201" i="21"/>
  <c r="AL201" i="21"/>
  <c r="AF201" i="21"/>
  <c r="X201" i="21"/>
  <c r="Q201" i="21"/>
  <c r="AX201" i="21"/>
  <c r="AR201" i="21"/>
  <c r="AK201" i="21"/>
  <c r="AC201" i="21"/>
  <c r="V201" i="21"/>
  <c r="P201" i="21"/>
  <c r="AH201" i="21"/>
  <c r="AB201" i="21"/>
  <c r="AW201" i="21"/>
  <c r="U201" i="21"/>
  <c r="AY100" i="21"/>
  <c r="AU100" i="21"/>
  <c r="AQ100" i="21"/>
  <c r="AL100" i="21"/>
  <c r="AH100" i="21"/>
  <c r="AD100" i="21"/>
  <c r="Z100" i="21"/>
  <c r="V100" i="21"/>
  <c r="R100" i="21"/>
  <c r="AX100" i="21"/>
  <c r="AS100" i="21"/>
  <c r="AM100" i="21"/>
  <c r="AG100" i="21"/>
  <c r="AB100" i="21"/>
  <c r="W100" i="21"/>
  <c r="Q100" i="21"/>
  <c r="J100" i="21"/>
  <c r="AW100" i="21"/>
  <c r="AR100" i="21"/>
  <c r="AK100" i="21"/>
  <c r="AF100" i="21"/>
  <c r="AA100" i="21"/>
  <c r="U100" i="21"/>
  <c r="P100" i="21"/>
  <c r="AV100" i="21"/>
  <c r="AP100" i="21"/>
  <c r="AJ100" i="21"/>
  <c r="AE100" i="21"/>
  <c r="Y100" i="21"/>
  <c r="T100" i="21"/>
  <c r="M100" i="21"/>
  <c r="AV184" i="21"/>
  <c r="AR184" i="21"/>
  <c r="AN184" i="21"/>
  <c r="AJ184" i="21"/>
  <c r="AF184" i="21"/>
  <c r="AB184" i="21"/>
  <c r="X184" i="21"/>
  <c r="T184" i="21"/>
  <c r="P184" i="21"/>
  <c r="J184" i="21"/>
  <c r="AX184" i="21"/>
  <c r="AS184" i="21"/>
  <c r="AM184" i="21"/>
  <c r="AH184" i="21"/>
  <c r="AC184" i="21"/>
  <c r="W184" i="21"/>
  <c r="R184" i="21"/>
  <c r="K184" i="21"/>
  <c r="AW184" i="21"/>
  <c r="AQ184" i="21"/>
  <c r="AL184" i="21"/>
  <c r="AG184" i="21"/>
  <c r="AA184" i="21"/>
  <c r="V184" i="21"/>
  <c r="Q184" i="21"/>
  <c r="AU184" i="21"/>
  <c r="AP184" i="21"/>
  <c r="AK184" i="21"/>
  <c r="AE184" i="21"/>
  <c r="Z184" i="21"/>
  <c r="U184" i="21"/>
  <c r="M184" i="21"/>
  <c r="AO184" i="21"/>
  <c r="S184" i="21"/>
  <c r="AI184" i="21"/>
  <c r="AY184" i="21"/>
  <c r="AD184" i="21"/>
  <c r="AV196" i="21"/>
  <c r="AR196" i="21"/>
  <c r="AN196" i="21"/>
  <c r="AJ196" i="21"/>
  <c r="AF196" i="21"/>
  <c r="AB196" i="21"/>
  <c r="X196" i="21"/>
  <c r="T196" i="21"/>
  <c r="P196" i="21"/>
  <c r="J196" i="21"/>
  <c r="AX196" i="21"/>
  <c r="AS196" i="21"/>
  <c r="AM196" i="21"/>
  <c r="AH196" i="21"/>
  <c r="AC196" i="21"/>
  <c r="W196" i="21"/>
  <c r="R196" i="21"/>
  <c r="K196" i="21"/>
  <c r="AW196" i="21"/>
  <c r="AQ196" i="21"/>
  <c r="AL196" i="21"/>
  <c r="AG196" i="21"/>
  <c r="AA196" i="21"/>
  <c r="V196" i="21"/>
  <c r="Q196" i="21"/>
  <c r="AU196" i="21"/>
  <c r="AP196" i="21"/>
  <c r="AK196" i="21"/>
  <c r="AE196" i="21"/>
  <c r="Z196" i="21"/>
  <c r="U196" i="21"/>
  <c r="M196" i="21"/>
  <c r="AO196" i="21"/>
  <c r="S196" i="21"/>
  <c r="AI196" i="21"/>
  <c r="AY196" i="21"/>
  <c r="AD196" i="21"/>
  <c r="AV188" i="21"/>
  <c r="AR188" i="21"/>
  <c r="AN188" i="21"/>
  <c r="AJ188" i="21"/>
  <c r="AF188" i="21"/>
  <c r="AB188" i="21"/>
  <c r="X188" i="21"/>
  <c r="T188" i="21"/>
  <c r="P188" i="21"/>
  <c r="J188" i="21"/>
  <c r="AX188" i="21"/>
  <c r="AS188" i="21"/>
  <c r="AM188" i="21"/>
  <c r="AH188" i="21"/>
  <c r="AC188" i="21"/>
  <c r="W188" i="21"/>
  <c r="R188" i="21"/>
  <c r="K188" i="21"/>
  <c r="AW188" i="21"/>
  <c r="AQ188" i="21"/>
  <c r="AL188" i="21"/>
  <c r="AG188" i="21"/>
  <c r="AA188" i="21"/>
  <c r="V188" i="21"/>
  <c r="Q188" i="21"/>
  <c r="AU188" i="21"/>
  <c r="AP188" i="21"/>
  <c r="AK188" i="21"/>
  <c r="AE188" i="21"/>
  <c r="Z188" i="21"/>
  <c r="U188" i="21"/>
  <c r="M188" i="21"/>
  <c r="AO188" i="21"/>
  <c r="S188" i="21"/>
  <c r="AI188" i="21"/>
  <c r="AY188" i="21"/>
  <c r="AD188" i="21"/>
  <c r="AY217" i="21"/>
  <c r="AU217" i="21"/>
  <c r="AQ217" i="21"/>
  <c r="AM217" i="21"/>
  <c r="AI217" i="21"/>
  <c r="AE217" i="21"/>
  <c r="AA217" i="21"/>
  <c r="W217" i="21"/>
  <c r="S217" i="21"/>
  <c r="M217" i="21"/>
  <c r="AT217" i="21"/>
  <c r="AO217" i="21"/>
  <c r="AJ217" i="21"/>
  <c r="AD217" i="21"/>
  <c r="Y217" i="21"/>
  <c r="T217" i="21"/>
  <c r="AW217" i="21"/>
  <c r="AP217" i="21"/>
  <c r="AH217" i="21"/>
  <c r="AB217" i="21"/>
  <c r="U217" i="21"/>
  <c r="K217" i="21"/>
  <c r="AV217" i="21"/>
  <c r="AN217" i="21"/>
  <c r="AG217" i="21"/>
  <c r="Z217" i="21"/>
  <c r="R217" i="21"/>
  <c r="J217" i="21"/>
  <c r="AS217" i="21"/>
  <c r="AL217" i="21"/>
  <c r="AF217" i="21"/>
  <c r="X217" i="21"/>
  <c r="Q217" i="21"/>
  <c r="AX217" i="21"/>
  <c r="V217" i="21"/>
  <c r="AR217" i="21"/>
  <c r="P217" i="21"/>
  <c r="AK217" i="21"/>
  <c r="AV195" i="21"/>
  <c r="AR195" i="21"/>
  <c r="AN195" i="21"/>
  <c r="AJ195" i="21"/>
  <c r="AF195" i="21"/>
  <c r="AB195" i="21"/>
  <c r="X195" i="21"/>
  <c r="T195" i="21"/>
  <c r="P195" i="21"/>
  <c r="J195" i="21"/>
  <c r="AU195" i="21"/>
  <c r="AP195" i="21"/>
  <c r="AK195" i="21"/>
  <c r="AE195" i="21"/>
  <c r="Z195" i="21"/>
  <c r="U195" i="21"/>
  <c r="M195" i="21"/>
  <c r="AY195" i="21"/>
  <c r="AT195" i="21"/>
  <c r="AO195" i="21"/>
  <c r="AI195" i="21"/>
  <c r="AD195" i="21"/>
  <c r="Y195" i="21"/>
  <c r="S195" i="21"/>
  <c r="AX195" i="21"/>
  <c r="AS195" i="21"/>
  <c r="AM195" i="21"/>
  <c r="AH195" i="21"/>
  <c r="AC195" i="21"/>
  <c r="W195" i="21"/>
  <c r="R195" i="21"/>
  <c r="K195" i="21"/>
  <c r="AG195" i="21"/>
  <c r="AW195" i="21"/>
  <c r="AA195" i="21"/>
  <c r="AQ195" i="21"/>
  <c r="V195" i="21"/>
  <c r="AY228" i="21"/>
  <c r="AU228" i="21"/>
  <c r="AQ228" i="21"/>
  <c r="AM228" i="21"/>
  <c r="AI228" i="21"/>
  <c r="AE228" i="21"/>
  <c r="AA228" i="21"/>
  <c r="W228" i="21"/>
  <c r="S228" i="21"/>
  <c r="M228" i="21"/>
  <c r="AV228" i="21"/>
  <c r="AP228" i="21"/>
  <c r="AK228" i="21"/>
  <c r="AF228" i="21"/>
  <c r="Z228" i="21"/>
  <c r="U228" i="21"/>
  <c r="P228" i="21"/>
  <c r="AX228" i="21"/>
  <c r="AR228" i="21"/>
  <c r="AJ228" i="21"/>
  <c r="AC228" i="21"/>
  <c r="V228" i="21"/>
  <c r="AW228" i="21"/>
  <c r="AO228" i="21"/>
  <c r="AH228" i="21"/>
  <c r="AB228" i="21"/>
  <c r="T228" i="21"/>
  <c r="K228" i="21"/>
  <c r="AT228" i="21"/>
  <c r="AN228" i="21"/>
  <c r="AG228" i="21"/>
  <c r="Y228" i="21"/>
  <c r="R228" i="21"/>
  <c r="J228" i="21"/>
  <c r="AD228" i="21"/>
  <c r="X228" i="21"/>
  <c r="AS228" i="21"/>
  <c r="Q228" i="21"/>
  <c r="AY229" i="21"/>
  <c r="AU229" i="21"/>
  <c r="AQ229" i="21"/>
  <c r="AM229" i="21"/>
  <c r="AI229" i="21"/>
  <c r="AE229" i="21"/>
  <c r="AA229" i="21"/>
  <c r="W229" i="21"/>
  <c r="S229" i="21"/>
  <c r="M229" i="21"/>
  <c r="AT229" i="21"/>
  <c r="AO229" i="21"/>
  <c r="AJ229" i="21"/>
  <c r="AD229" i="21"/>
  <c r="Y229" i="21"/>
  <c r="T229" i="21"/>
  <c r="AV229" i="21"/>
  <c r="AN229" i="21"/>
  <c r="AG229" i="21"/>
  <c r="Z229" i="21"/>
  <c r="R229" i="21"/>
  <c r="J229" i="21"/>
  <c r="AS229" i="21"/>
  <c r="AL229" i="21"/>
  <c r="AF229" i="21"/>
  <c r="X229" i="21"/>
  <c r="Q229" i="21"/>
  <c r="AX229" i="21"/>
  <c r="AR229" i="21"/>
  <c r="AK229" i="21"/>
  <c r="AC229" i="21"/>
  <c r="V229" i="21"/>
  <c r="P229" i="21"/>
  <c r="AB229" i="21"/>
  <c r="AW229" i="21"/>
  <c r="U229" i="21"/>
  <c r="AP229" i="21"/>
  <c r="K229" i="21"/>
  <c r="AU166" i="21"/>
  <c r="AQ166" i="21"/>
  <c r="AM166" i="21"/>
  <c r="AI166" i="21"/>
  <c r="AE166" i="21"/>
  <c r="AA166" i="21"/>
  <c r="W166" i="21"/>
  <c r="S166" i="21"/>
  <c r="M166" i="21"/>
  <c r="AY166" i="21"/>
  <c r="AS166" i="21"/>
  <c r="AN166" i="21"/>
  <c r="AH166" i="21"/>
  <c r="AC166" i="21"/>
  <c r="X166" i="21"/>
  <c r="R166" i="21"/>
  <c r="K166" i="21"/>
  <c r="AX166" i="21"/>
  <c r="AR166" i="21"/>
  <c r="AL166" i="21"/>
  <c r="AG166" i="21"/>
  <c r="AB166" i="21"/>
  <c r="V166" i="21"/>
  <c r="Q166" i="21"/>
  <c r="J166" i="21"/>
  <c r="AV166" i="21"/>
  <c r="AP166" i="21"/>
  <c r="AK166" i="21"/>
  <c r="AF166" i="21"/>
  <c r="Z166" i="21"/>
  <c r="U166" i="21"/>
  <c r="P166" i="21"/>
  <c r="AD166" i="21"/>
  <c r="AT166" i="21"/>
  <c r="Y166" i="21"/>
  <c r="AO166" i="21"/>
  <c r="T166" i="21"/>
  <c r="AY147" i="21"/>
  <c r="AT147" i="21"/>
  <c r="AP147" i="21"/>
  <c r="AL147" i="21"/>
  <c r="AH147" i="21"/>
  <c r="AD147" i="21"/>
  <c r="Z147" i="21"/>
  <c r="V147" i="21"/>
  <c r="R147" i="21"/>
  <c r="AW147" i="21"/>
  <c r="AQ147" i="21"/>
  <c r="AV147" i="21"/>
  <c r="AO147" i="21"/>
  <c r="AJ147" i="21"/>
  <c r="AE147" i="21"/>
  <c r="Y147" i="21"/>
  <c r="T147" i="21"/>
  <c r="M147" i="21"/>
  <c r="AS147" i="21"/>
  <c r="AN147" i="21"/>
  <c r="AI147" i="21"/>
  <c r="AC147" i="21"/>
  <c r="X147" i="21"/>
  <c r="S147" i="21"/>
  <c r="K147" i="21"/>
  <c r="AX147" i="21"/>
  <c r="AG147" i="21"/>
  <c r="W147" i="21"/>
  <c r="J147" i="21"/>
  <c r="AR147" i="21"/>
  <c r="AF147" i="21"/>
  <c r="U147" i="21"/>
  <c r="AM147" i="21"/>
  <c r="AB147" i="21"/>
  <c r="Q147" i="21"/>
  <c r="AY205" i="21"/>
  <c r="AU205" i="21"/>
  <c r="AQ205" i="21"/>
  <c r="AM205" i="21"/>
  <c r="AI205" i="21"/>
  <c r="AE205" i="21"/>
  <c r="AA205" i="21"/>
  <c r="W205" i="21"/>
  <c r="S205" i="21"/>
  <c r="M205" i="21"/>
  <c r="AT205" i="21"/>
  <c r="AO205" i="21"/>
  <c r="AJ205" i="21"/>
  <c r="AD205" i="21"/>
  <c r="Y205" i="21"/>
  <c r="T205" i="21"/>
  <c r="AX205" i="21"/>
  <c r="AR205" i="21"/>
  <c r="AK205" i="21"/>
  <c r="AC205" i="21"/>
  <c r="V205" i="21"/>
  <c r="P205" i="21"/>
  <c r="AW205" i="21"/>
  <c r="AP205" i="21"/>
  <c r="AH205" i="21"/>
  <c r="AB205" i="21"/>
  <c r="U205" i="21"/>
  <c r="K205" i="21"/>
  <c r="AV205" i="21"/>
  <c r="AN205" i="21"/>
  <c r="AG205" i="21"/>
  <c r="Z205" i="21"/>
  <c r="R205" i="21"/>
  <c r="J205" i="21"/>
  <c r="X205" i="21"/>
  <c r="AS205" i="21"/>
  <c r="Q205" i="21"/>
  <c r="AL205" i="21"/>
  <c r="AY218" i="21"/>
  <c r="AU218" i="21"/>
  <c r="AQ218" i="21"/>
  <c r="AM218" i="21"/>
  <c r="AI218" i="21"/>
  <c r="AE218" i="21"/>
  <c r="AA218" i="21"/>
  <c r="W218" i="21"/>
  <c r="S218" i="21"/>
  <c r="M218" i="21"/>
  <c r="AX218" i="21"/>
  <c r="AS218" i="21"/>
  <c r="AN218" i="21"/>
  <c r="AH218" i="21"/>
  <c r="AC218" i="21"/>
  <c r="X218" i="21"/>
  <c r="R218" i="21"/>
  <c r="K218" i="21"/>
  <c r="AT218" i="21"/>
  <c r="AL218" i="21"/>
  <c r="AF218" i="21"/>
  <c r="Y218" i="21"/>
  <c r="Q218" i="21"/>
  <c r="AR218" i="21"/>
  <c r="AK218" i="21"/>
  <c r="AD218" i="21"/>
  <c r="V218" i="21"/>
  <c r="P218" i="21"/>
  <c r="AW218" i="21"/>
  <c r="AP218" i="21"/>
  <c r="AJ218" i="21"/>
  <c r="AB218" i="21"/>
  <c r="U218" i="21"/>
  <c r="AO218" i="21"/>
  <c r="J218" i="21"/>
  <c r="AG218" i="21"/>
  <c r="Z218" i="21"/>
  <c r="AV171" i="21"/>
  <c r="AR171" i="21"/>
  <c r="AN171" i="21"/>
  <c r="AJ171" i="21"/>
  <c r="AF171" i="21"/>
  <c r="AB171" i="21"/>
  <c r="X171" i="21"/>
  <c r="T171" i="21"/>
  <c r="P171" i="21"/>
  <c r="J171" i="21"/>
  <c r="AW171" i="21"/>
  <c r="AQ171" i="21"/>
  <c r="AL171" i="21"/>
  <c r="AG171" i="21"/>
  <c r="AA171" i="21"/>
  <c r="V171" i="21"/>
  <c r="Q171" i="21"/>
  <c r="AU171" i="21"/>
  <c r="AP171" i="21"/>
  <c r="AK171" i="21"/>
  <c r="AE171" i="21"/>
  <c r="Z171" i="21"/>
  <c r="U171" i="21"/>
  <c r="M171" i="21"/>
  <c r="AT171" i="21"/>
  <c r="AO171" i="21"/>
  <c r="AI171" i="21"/>
  <c r="AD171" i="21"/>
  <c r="Y171" i="21"/>
  <c r="S171" i="21"/>
  <c r="AY171" i="21"/>
  <c r="AC171" i="21"/>
  <c r="AS171" i="21"/>
  <c r="W171" i="21"/>
  <c r="AM171" i="21"/>
  <c r="R171" i="21"/>
  <c r="AV250" i="21"/>
  <c r="AR250" i="21"/>
  <c r="AN250" i="21"/>
  <c r="AJ250" i="21"/>
  <c r="AF250" i="21"/>
  <c r="AB250" i="21"/>
  <c r="X250" i="21"/>
  <c r="T250" i="21"/>
  <c r="P250" i="21"/>
  <c r="J250" i="21"/>
  <c r="AX250" i="21"/>
  <c r="AS250" i="21"/>
  <c r="AM250" i="21"/>
  <c r="AH250" i="21"/>
  <c r="AC250" i="21"/>
  <c r="W250" i="21"/>
  <c r="R250" i="21"/>
  <c r="K250" i="21"/>
  <c r="AU250" i="21"/>
  <c r="AO250" i="21"/>
  <c r="AG250" i="21"/>
  <c r="Z250" i="21"/>
  <c r="S250" i="21"/>
  <c r="AY250" i="21"/>
  <c r="AP250" i="21"/>
  <c r="AE250" i="21"/>
  <c r="V250" i="21"/>
  <c r="AW250" i="21"/>
  <c r="AL250" i="21"/>
  <c r="AD250" i="21"/>
  <c r="U250" i="21"/>
  <c r="AQ250" i="21"/>
  <c r="Y250" i="21"/>
  <c r="AK250" i="21"/>
  <c r="Q250" i="21"/>
  <c r="AI250" i="21"/>
  <c r="M250" i="21"/>
  <c r="AA250" i="21"/>
  <c r="AY204" i="21"/>
  <c r="AU204" i="21"/>
  <c r="AQ204" i="21"/>
  <c r="AM204" i="21"/>
  <c r="AI204" i="21"/>
  <c r="AE204" i="21"/>
  <c r="AA204" i="21"/>
  <c r="W204" i="21"/>
  <c r="S204" i="21"/>
  <c r="M204" i="21"/>
  <c r="AV204" i="21"/>
  <c r="AP204" i="21"/>
  <c r="AK204" i="21"/>
  <c r="AF204" i="21"/>
  <c r="Z204" i="21"/>
  <c r="U204" i="21"/>
  <c r="P204" i="21"/>
  <c r="AT204" i="21"/>
  <c r="AN204" i="21"/>
  <c r="AG204" i="21"/>
  <c r="Y204" i="21"/>
  <c r="R204" i="21"/>
  <c r="J204" i="21"/>
  <c r="AS204" i="21"/>
  <c r="AL204" i="21"/>
  <c r="AD204" i="21"/>
  <c r="X204" i="21"/>
  <c r="Q204" i="21"/>
  <c r="AX204" i="21"/>
  <c r="AR204" i="21"/>
  <c r="AJ204" i="21"/>
  <c r="AC204" i="21"/>
  <c r="V204" i="21"/>
  <c r="AB204" i="21"/>
  <c r="AW204" i="21"/>
  <c r="T204" i="21"/>
  <c r="AO204" i="21"/>
  <c r="K204" i="21"/>
  <c r="AY202" i="21"/>
  <c r="AU202" i="21"/>
  <c r="AQ202" i="21"/>
  <c r="AM202" i="21"/>
  <c r="AI202" i="21"/>
  <c r="AE202" i="21"/>
  <c r="AA202" i="21"/>
  <c r="W202" i="21"/>
  <c r="S202" i="21"/>
  <c r="M202" i="21"/>
  <c r="AX202" i="21"/>
  <c r="AS202" i="21"/>
  <c r="AN202" i="21"/>
  <c r="AH202" i="21"/>
  <c r="AC202" i="21"/>
  <c r="X202" i="21"/>
  <c r="R202" i="21"/>
  <c r="K202" i="21"/>
  <c r="AR202" i="21"/>
  <c r="AK202" i="21"/>
  <c r="AD202" i="21"/>
  <c r="V202" i="21"/>
  <c r="P202" i="21"/>
  <c r="AW202" i="21"/>
  <c r="AP202" i="21"/>
  <c r="AJ202" i="21"/>
  <c r="AB202" i="21"/>
  <c r="U202" i="21"/>
  <c r="AV202" i="21"/>
  <c r="AO202" i="21"/>
  <c r="AG202" i="21"/>
  <c r="Z202" i="21"/>
  <c r="T202" i="21"/>
  <c r="J202" i="21"/>
  <c r="AF202" i="21"/>
  <c r="Y202" i="21"/>
  <c r="AT202" i="21"/>
  <c r="Q202" i="21"/>
  <c r="C23" i="26"/>
  <c r="AK20" i="24"/>
  <c r="C17" i="26"/>
  <c r="AK14" i="24"/>
  <c r="C258" i="30"/>
  <c r="C258" i="26"/>
  <c r="AK92" i="24"/>
  <c r="C199" i="26"/>
  <c r="C259" i="30"/>
  <c r="C259" i="26"/>
  <c r="C211" i="26"/>
  <c r="AK94" i="24"/>
  <c r="V3" i="21"/>
  <c r="AL3" i="21"/>
  <c r="R4" i="21"/>
  <c r="AI4" i="21"/>
  <c r="AY4" i="21"/>
  <c r="R8" i="21"/>
  <c r="AI8" i="21"/>
  <c r="AY8" i="21"/>
  <c r="X10" i="21"/>
  <c r="AO10" i="21"/>
  <c r="U11" i="21"/>
  <c r="AL11" i="21"/>
  <c r="R12" i="21"/>
  <c r="AI12" i="21"/>
  <c r="AY12" i="21"/>
  <c r="X14" i="21"/>
  <c r="AO14" i="21"/>
  <c r="U15" i="21"/>
  <c r="AL15" i="21"/>
  <c r="R16" i="21"/>
  <c r="AI16" i="21"/>
  <c r="AY16" i="21"/>
  <c r="X18" i="21"/>
  <c r="AO18" i="21"/>
  <c r="U19" i="21"/>
  <c r="AL19" i="21"/>
  <c r="R20" i="21"/>
  <c r="AI20" i="21"/>
  <c r="AY20" i="21"/>
  <c r="X22" i="21"/>
  <c r="AO22" i="21"/>
  <c r="U23" i="21"/>
  <c r="AL23" i="21"/>
  <c r="R24" i="21"/>
  <c r="AI24" i="21"/>
  <c r="AY24" i="21"/>
  <c r="X26" i="21"/>
  <c r="AO26" i="21"/>
  <c r="R28" i="21"/>
  <c r="AI28" i="21"/>
  <c r="AY28" i="21"/>
  <c r="X30" i="21"/>
  <c r="AO30" i="21"/>
  <c r="U31" i="21"/>
  <c r="AL31" i="21"/>
  <c r="X34" i="21"/>
  <c r="AO34" i="21"/>
  <c r="X38" i="21"/>
  <c r="AO38" i="21"/>
  <c r="AA40" i="21"/>
  <c r="AX40" i="21"/>
  <c r="K43" i="21"/>
  <c r="AI43" i="21"/>
  <c r="Z45" i="21"/>
  <c r="AV45" i="21"/>
  <c r="X47" i="21"/>
  <c r="AT47" i="21"/>
  <c r="AA48" i="21"/>
  <c r="AX48" i="21"/>
  <c r="AC50" i="21"/>
  <c r="P54" i="21"/>
  <c r="AL54" i="21"/>
  <c r="Y55" i="21"/>
  <c r="AU55" i="21"/>
  <c r="J56" i="21"/>
  <c r="AI56" i="21"/>
  <c r="AJ59" i="21"/>
  <c r="W60" i="21"/>
  <c r="AS60" i="21"/>
  <c r="Y63" i="21"/>
  <c r="AU63" i="21"/>
  <c r="J64" i="21"/>
  <c r="AH64" i="21"/>
  <c r="Z66" i="21"/>
  <c r="AW66" i="21"/>
  <c r="AI67" i="21"/>
  <c r="W68" i="21"/>
  <c r="AS68" i="21"/>
  <c r="Y71" i="21"/>
  <c r="AU71" i="21"/>
  <c r="AI75" i="21"/>
  <c r="AA77" i="21"/>
  <c r="AW77" i="21"/>
  <c r="K80" i="21"/>
  <c r="AI80" i="21"/>
  <c r="X81" i="21"/>
  <c r="AT81" i="21"/>
  <c r="X84" i="21"/>
  <c r="AT84" i="21"/>
  <c r="K85" i="21"/>
  <c r="AH85" i="21"/>
  <c r="Z87" i="21"/>
  <c r="AV87" i="21"/>
  <c r="K88" i="21"/>
  <c r="AI88" i="21"/>
  <c r="X89" i="21"/>
  <c r="AT89" i="21"/>
  <c r="M91" i="21"/>
  <c r="AJ91" i="21"/>
  <c r="X92" i="21"/>
  <c r="AT92" i="21"/>
  <c r="K93" i="21"/>
  <c r="AH93" i="21"/>
  <c r="Z95" i="21"/>
  <c r="AV95" i="21"/>
  <c r="K96" i="21"/>
  <c r="AI96" i="21"/>
  <c r="X97" i="21"/>
  <c r="AT97" i="21"/>
  <c r="M99" i="21"/>
  <c r="AJ99" i="21"/>
  <c r="X100" i="21"/>
  <c r="AT100" i="21"/>
  <c r="K101" i="21"/>
  <c r="AH101" i="21"/>
  <c r="Z103" i="21"/>
  <c r="AV103" i="21"/>
  <c r="K104" i="21"/>
  <c r="AI104" i="21"/>
  <c r="X105" i="21"/>
  <c r="AT105" i="21"/>
  <c r="M107" i="21"/>
  <c r="AJ107" i="21"/>
  <c r="X108" i="21"/>
  <c r="AT108" i="21"/>
  <c r="K109" i="21"/>
  <c r="AH109" i="21"/>
  <c r="Z111" i="21"/>
  <c r="AV111" i="21"/>
  <c r="X113" i="21"/>
  <c r="AU113" i="21"/>
  <c r="AR114" i="21"/>
  <c r="AD116" i="21"/>
  <c r="M119" i="21"/>
  <c r="AR119" i="21"/>
  <c r="AG120" i="21"/>
  <c r="P124" i="21"/>
  <c r="AS124" i="21"/>
  <c r="AP125" i="21"/>
  <c r="AB127" i="21"/>
  <c r="T128" i="21"/>
  <c r="AW128" i="21"/>
  <c r="R129" i="21"/>
  <c r="AU129" i="21"/>
  <c r="AQ130" i="21"/>
  <c r="W134" i="21"/>
  <c r="AW139" i="21"/>
  <c r="U140" i="21"/>
  <c r="AA147" i="21"/>
  <c r="W151" i="21"/>
  <c r="AS154" i="21"/>
  <c r="AJ158" i="21"/>
  <c r="W159" i="21"/>
  <c r="K163" i="21"/>
  <c r="AJ166" i="21"/>
  <c r="W167" i="21"/>
  <c r="AT170" i="21"/>
  <c r="K171" i="21"/>
  <c r="AL178" i="21"/>
  <c r="Y179" i="21"/>
  <c r="AI186" i="21"/>
  <c r="Q187" i="21"/>
  <c r="AI190" i="21"/>
  <c r="Q191" i="21"/>
  <c r="AI194" i="21"/>
  <c r="Q195" i="21"/>
  <c r="AP201" i="21"/>
  <c r="AL202" i="21"/>
  <c r="AH204" i="21"/>
  <c r="AF205" i="21"/>
  <c r="AB206" i="21"/>
  <c r="AV218" i="21"/>
  <c r="AL228" i="21"/>
  <c r="AH229" i="21"/>
  <c r="I46" i="23"/>
  <c r="J46" i="23" s="1"/>
  <c r="K46" i="23"/>
  <c r="L46" i="23" s="1"/>
  <c r="P370" i="2"/>
  <c r="U370" i="2" s="1"/>
  <c r="C223" i="30"/>
  <c r="C223" i="26"/>
  <c r="V371" i="2"/>
  <c r="P372" i="2"/>
  <c r="U372" i="2" s="1"/>
  <c r="C224" i="30"/>
  <c r="C224" i="26"/>
  <c r="V374" i="2"/>
  <c r="P375" i="2"/>
  <c r="V376" i="2"/>
  <c r="P377" i="2"/>
  <c r="U377" i="2" s="1"/>
  <c r="C62" i="26"/>
  <c r="AK32" i="24"/>
  <c r="R378" i="2"/>
  <c r="AU32" i="24" s="1"/>
  <c r="V378" i="2"/>
  <c r="P379" i="2"/>
  <c r="U379" i="2" s="1"/>
  <c r="V380" i="2"/>
  <c r="P381" i="2"/>
  <c r="U381" i="2" s="1"/>
  <c r="V382" i="2"/>
  <c r="P383" i="2"/>
  <c r="U383" i="2" s="1"/>
  <c r="V384" i="2"/>
  <c r="P385" i="2"/>
  <c r="U385" i="2" s="1"/>
  <c r="V386" i="2"/>
  <c r="P388" i="2"/>
  <c r="U388" i="2" s="1"/>
  <c r="R390" i="2"/>
  <c r="V390" i="2"/>
  <c r="P392" i="2"/>
  <c r="U392" i="2" s="1"/>
  <c r="V394" i="2"/>
  <c r="P396" i="2"/>
  <c r="U396" i="2" s="1"/>
  <c r="V398" i="2"/>
  <c r="P400" i="2"/>
  <c r="U400" i="2" s="1"/>
  <c r="S402" i="2"/>
  <c r="T402" i="2" s="1"/>
  <c r="Z402" i="2" s="1"/>
  <c r="S403" i="2"/>
  <c r="T403" i="2" s="1"/>
  <c r="Z403" i="2" s="1"/>
  <c r="S404" i="2"/>
  <c r="T404" i="2" s="1"/>
  <c r="Z404" i="2" s="1"/>
  <c r="P407" i="2"/>
  <c r="U407" i="2" s="1"/>
  <c r="P410" i="2"/>
  <c r="U410" i="2" s="1"/>
  <c r="P411" i="2"/>
  <c r="U411" i="2" s="1"/>
  <c r="V413" i="2"/>
  <c r="P415" i="2"/>
  <c r="U415" i="2" s="1"/>
  <c r="V417" i="2"/>
  <c r="P419" i="2"/>
  <c r="U419" i="2" s="1"/>
  <c r="V423" i="2"/>
  <c r="P427" i="2"/>
  <c r="U427" i="2" s="1"/>
  <c r="V431" i="2"/>
  <c r="S434" i="2"/>
  <c r="S436" i="2"/>
  <c r="V445" i="2"/>
  <c r="V446" i="2"/>
  <c r="V447" i="2"/>
  <c r="V448" i="2"/>
  <c r="V450" i="2"/>
  <c r="V451" i="2"/>
  <c r="V452" i="2"/>
  <c r="V453" i="2"/>
  <c r="V455" i="2"/>
  <c r="P459" i="2"/>
  <c r="U459" i="2" s="1"/>
  <c r="P460" i="2"/>
  <c r="U460" i="2" s="1"/>
  <c r="P461" i="2"/>
  <c r="U461" i="2" s="1"/>
  <c r="P462" i="2"/>
  <c r="U462" i="2" s="1"/>
  <c r="P463" i="2"/>
  <c r="U463" i="2" s="1"/>
  <c r="P464" i="2"/>
  <c r="U464" i="2" s="1"/>
  <c r="P465" i="2"/>
  <c r="U465" i="2" s="1"/>
  <c r="P466" i="2"/>
  <c r="U466" i="2" s="1"/>
  <c r="S475" i="2"/>
  <c r="T475" i="2" s="1"/>
  <c r="Z475" i="2" s="1"/>
  <c r="S476" i="2"/>
  <c r="T476" i="2" s="1"/>
  <c r="Z476" i="2" s="1"/>
  <c r="S484" i="2"/>
  <c r="T484" i="2" s="1"/>
  <c r="AK484" i="2" s="1"/>
  <c r="S485" i="2"/>
  <c r="T485" i="2" s="1"/>
  <c r="Z485" i="2" s="1"/>
  <c r="P486" i="2"/>
  <c r="U486" i="2" s="1"/>
  <c r="V488" i="2"/>
  <c r="P490" i="2"/>
  <c r="U490" i="2" s="1"/>
  <c r="V492" i="2"/>
  <c r="P494" i="2"/>
  <c r="U494" i="2" s="1"/>
  <c r="V496" i="2"/>
  <c r="P498" i="2"/>
  <c r="U498" i="2" s="1"/>
  <c r="V500" i="2"/>
  <c r="P502" i="2"/>
  <c r="U502" i="2" s="1"/>
  <c r="V504" i="2"/>
  <c r="P506" i="2"/>
  <c r="U506" i="2" s="1"/>
  <c r="P507" i="2"/>
  <c r="U507" i="2" s="1"/>
  <c r="P508" i="2"/>
  <c r="U508" i="2" s="1"/>
  <c r="P509" i="2"/>
  <c r="U509" i="2" s="1"/>
  <c r="P510" i="2"/>
  <c r="U510" i="2" s="1"/>
  <c r="V516" i="2"/>
  <c r="P519" i="2"/>
  <c r="U519" i="2" s="1"/>
  <c r="V522" i="2"/>
  <c r="P524" i="2"/>
  <c r="U524" i="2" s="1"/>
  <c r="V526" i="2"/>
  <c r="P528" i="2"/>
  <c r="U528" i="2" s="1"/>
  <c r="AX49" i="21"/>
  <c r="AT49" i="21"/>
  <c r="AP49" i="21"/>
  <c r="AL49" i="21"/>
  <c r="AH49" i="21"/>
  <c r="AC49" i="21"/>
  <c r="Y49" i="21"/>
  <c r="U49" i="21"/>
  <c r="Q49" i="21"/>
  <c r="K49" i="21"/>
  <c r="P49" i="21"/>
  <c r="V49" i="21"/>
  <c r="AA49" i="21"/>
  <c r="AF49" i="21"/>
  <c r="AM49" i="21"/>
  <c r="AR49" i="21"/>
  <c r="AW49" i="21"/>
  <c r="I209" i="21"/>
  <c r="S209" i="21" s="1"/>
  <c r="K156" i="23"/>
  <c r="L156" i="23" s="1"/>
  <c r="I156" i="23"/>
  <c r="J156" i="23" s="1"/>
  <c r="F249" i="21"/>
  <c r="G249" i="21" s="1"/>
  <c r="H249" i="21"/>
  <c r="K22" i="23"/>
  <c r="I22" i="23"/>
  <c r="K81" i="23"/>
  <c r="I81" i="23"/>
  <c r="K218" i="23"/>
  <c r="L218" i="23" s="1"/>
  <c r="I218" i="23"/>
  <c r="J218" i="23" s="1"/>
  <c r="I208" i="21"/>
  <c r="W208" i="21" s="1"/>
  <c r="I211" i="21"/>
  <c r="AE211" i="21" s="1"/>
  <c r="I10" i="23"/>
  <c r="J10" i="23" s="1"/>
  <c r="K10" i="23"/>
  <c r="L10" i="23" s="1"/>
  <c r="K34" i="23"/>
  <c r="L34" i="23" s="1"/>
  <c r="I34" i="23"/>
  <c r="J34" i="23" s="1"/>
  <c r="I174" i="21"/>
  <c r="W174" i="21" s="1"/>
  <c r="I203" i="21"/>
  <c r="N203" i="21" s="1"/>
  <c r="O203" i="21" s="1"/>
  <c r="I225" i="21"/>
  <c r="AE225" i="21" s="1"/>
  <c r="I237" i="21"/>
  <c r="W237" i="21" s="1"/>
  <c r="I245" i="21"/>
  <c r="AI245" i="21" s="1"/>
  <c r="F257" i="21"/>
  <c r="H257" i="21"/>
  <c r="D257" i="21"/>
  <c r="K51" i="23"/>
  <c r="L51" i="23" s="1"/>
  <c r="I51" i="23"/>
  <c r="J51" i="23" s="1"/>
  <c r="K130" i="23"/>
  <c r="L130" i="23" s="1"/>
  <c r="I130" i="23"/>
  <c r="J130" i="23" s="1"/>
  <c r="K164" i="23"/>
  <c r="L164" i="23" s="1"/>
  <c r="I164" i="23"/>
  <c r="J164" i="23" s="1"/>
  <c r="I198" i="21"/>
  <c r="AU198" i="21" s="1"/>
  <c r="I210" i="21"/>
  <c r="AA210" i="21" s="1"/>
  <c r="I222" i="21"/>
  <c r="F251" i="21"/>
  <c r="D251" i="21"/>
  <c r="M261" i="21"/>
  <c r="Z261" i="21"/>
  <c r="AI261" i="21"/>
  <c r="AQ261" i="21"/>
  <c r="I7" i="23"/>
  <c r="J7" i="23" s="1"/>
  <c r="K7" i="23"/>
  <c r="L7" i="23" s="1"/>
  <c r="K25" i="23"/>
  <c r="I25" i="23"/>
  <c r="I29" i="23"/>
  <c r="I49" i="23"/>
  <c r="J49" i="23" s="1"/>
  <c r="K56" i="23"/>
  <c r="I59" i="23"/>
  <c r="K59" i="23"/>
  <c r="I60" i="23"/>
  <c r="J60" i="23" s="1"/>
  <c r="I61" i="23"/>
  <c r="J61" i="23" s="1"/>
  <c r="K61" i="23"/>
  <c r="L61" i="23" s="1"/>
  <c r="K77" i="23"/>
  <c r="L77" i="23" s="1"/>
  <c r="I77" i="23"/>
  <c r="J77" i="23" s="1"/>
  <c r="K88" i="23"/>
  <c r="L88" i="23" s="1"/>
  <c r="I88" i="23"/>
  <c r="J88" i="23" s="1"/>
  <c r="I145" i="23"/>
  <c r="J145" i="23" s="1"/>
  <c r="K145" i="23"/>
  <c r="L145" i="23" s="1"/>
  <c r="I165" i="23"/>
  <c r="J165" i="23" s="1"/>
  <c r="K165" i="23"/>
  <c r="L165" i="23" s="1"/>
  <c r="F259" i="21"/>
  <c r="D259" i="21"/>
  <c r="S261" i="21"/>
  <c r="AA261" i="21"/>
  <c r="AK261" i="21"/>
  <c r="K31" i="23"/>
  <c r="L31" i="23" s="1"/>
  <c r="I31" i="23"/>
  <c r="J31" i="23" s="1"/>
  <c r="I68" i="23"/>
  <c r="I71" i="23"/>
  <c r="I113" i="23"/>
  <c r="J113" i="23" s="1"/>
  <c r="K113" i="23"/>
  <c r="L113" i="23" s="1"/>
  <c r="I121" i="23"/>
  <c r="J121" i="23" s="1"/>
  <c r="K121" i="23"/>
  <c r="L121" i="23" s="1"/>
  <c r="I124" i="23"/>
  <c r="J124" i="23" s="1"/>
  <c r="K124" i="23"/>
  <c r="L124" i="23" s="1"/>
  <c r="I132" i="23"/>
  <c r="K132" i="23"/>
  <c r="I146" i="23"/>
  <c r="J146" i="23" s="1"/>
  <c r="K146" i="23"/>
  <c r="L146" i="23" s="1"/>
  <c r="K161" i="23"/>
  <c r="L161" i="23" s="1"/>
  <c r="I161" i="23"/>
  <c r="J161" i="23" s="1"/>
  <c r="I166" i="23"/>
  <c r="K166" i="23"/>
  <c r="I223" i="23"/>
  <c r="J223" i="23" s="1"/>
  <c r="K223" i="23"/>
  <c r="L223" i="23" s="1"/>
  <c r="O311" i="23"/>
  <c r="K311" i="23"/>
  <c r="L311" i="23" s="1"/>
  <c r="I311" i="23"/>
  <c r="J311" i="23" s="1"/>
  <c r="M311" i="23"/>
  <c r="AV261" i="21"/>
  <c r="AR261" i="21"/>
  <c r="AN261" i="21"/>
  <c r="AJ261" i="21"/>
  <c r="AF261" i="21"/>
  <c r="AB261" i="21"/>
  <c r="X261" i="21"/>
  <c r="T261" i="21"/>
  <c r="P261" i="21"/>
  <c r="J261" i="21"/>
  <c r="AX261" i="21"/>
  <c r="AS261" i="21"/>
  <c r="AM261" i="21"/>
  <c r="AH261" i="21"/>
  <c r="AC261" i="21"/>
  <c r="W261" i="21"/>
  <c r="R261" i="21"/>
  <c r="K261" i="21"/>
  <c r="AT261" i="21"/>
  <c r="AL261" i="21"/>
  <c r="AE261" i="21"/>
  <c r="Y261" i="21"/>
  <c r="Q261" i="21"/>
  <c r="U261" i="21"/>
  <c r="AD261" i="21"/>
  <c r="AO261" i="21"/>
  <c r="AW261" i="21"/>
  <c r="I9" i="23"/>
  <c r="J9" i="23" s="1"/>
  <c r="K9" i="23"/>
  <c r="L9" i="23" s="1"/>
  <c r="I27" i="23"/>
  <c r="J27" i="23" s="1"/>
  <c r="I56" i="23"/>
  <c r="K62" i="23"/>
  <c r="L62" i="23" s="1"/>
  <c r="I62" i="23"/>
  <c r="J62" i="23" s="1"/>
  <c r="I70" i="23"/>
  <c r="I73" i="23"/>
  <c r="K74" i="23"/>
  <c r="I74" i="23"/>
  <c r="I114" i="23"/>
  <c r="J114" i="23" s="1"/>
  <c r="K114" i="23"/>
  <c r="L114" i="23" s="1"/>
  <c r="I116" i="23"/>
  <c r="J116" i="23" s="1"/>
  <c r="K116" i="23"/>
  <c r="L116" i="23" s="1"/>
  <c r="I122" i="23"/>
  <c r="J122" i="23" s="1"/>
  <c r="K122" i="23"/>
  <c r="L122" i="23" s="1"/>
  <c r="K158" i="23"/>
  <c r="L158" i="23" s="1"/>
  <c r="I158" i="23"/>
  <c r="J158" i="23" s="1"/>
  <c r="I162" i="23"/>
  <c r="J162" i="23" s="1"/>
  <c r="K162" i="23"/>
  <c r="L162" i="23" s="1"/>
  <c r="I224" i="23"/>
  <c r="K224" i="23"/>
  <c r="I219" i="23"/>
  <c r="K219" i="23"/>
  <c r="I302" i="23"/>
  <c r="J302" i="23" s="1"/>
  <c r="K302" i="23"/>
  <c r="L302" i="23" s="1"/>
  <c r="I243" i="21"/>
  <c r="N243" i="21" s="1"/>
  <c r="O243" i="21" s="1"/>
  <c r="F256" i="21"/>
  <c r="D256" i="21"/>
  <c r="F260" i="21"/>
  <c r="G260" i="21" s="1"/>
  <c r="H260" i="21"/>
  <c r="K33" i="23"/>
  <c r="I35" i="23"/>
  <c r="J35" i="23" s="1"/>
  <c r="K36" i="23"/>
  <c r="L36" i="23" s="1"/>
  <c r="I36" i="23"/>
  <c r="J36" i="23" s="1"/>
  <c r="K39" i="23"/>
  <c r="L39" i="23" s="1"/>
  <c r="I39" i="23"/>
  <c r="J39" i="23" s="1"/>
  <c r="K45" i="23"/>
  <c r="L45" i="23" s="1"/>
  <c r="I45" i="23"/>
  <c r="J45" i="23" s="1"/>
  <c r="I47" i="23"/>
  <c r="J47" i="23" s="1"/>
  <c r="K48" i="23"/>
  <c r="K53" i="23"/>
  <c r="I57" i="23"/>
  <c r="J57" i="23" s="1"/>
  <c r="K90" i="23"/>
  <c r="I90" i="23"/>
  <c r="K112" i="23"/>
  <c r="L112" i="23" s="1"/>
  <c r="I112" i="23"/>
  <c r="J112" i="23" s="1"/>
  <c r="I131" i="23"/>
  <c r="J131" i="23" s="1"/>
  <c r="K131" i="23"/>
  <c r="L131" i="23" s="1"/>
  <c r="I159" i="23"/>
  <c r="K159" i="23"/>
  <c r="I220" i="23"/>
  <c r="J220" i="23" s="1"/>
  <c r="K220" i="23"/>
  <c r="L220" i="23" s="1"/>
  <c r="I237" i="23"/>
  <c r="J237" i="23" s="1"/>
  <c r="K237" i="23"/>
  <c r="L237" i="23" s="1"/>
  <c r="I240" i="23"/>
  <c r="J240" i="23" s="1"/>
  <c r="K240" i="23"/>
  <c r="L240" i="23" s="1"/>
  <c r="I254" i="23"/>
  <c r="J254" i="23" s="1"/>
  <c r="K254" i="23"/>
  <c r="L254" i="23" s="1"/>
  <c r="I266" i="23"/>
  <c r="J266" i="23" s="1"/>
  <c r="K266" i="23"/>
  <c r="L266" i="23" s="1"/>
  <c r="O305" i="23"/>
  <c r="K305" i="23"/>
  <c r="L305" i="23" s="1"/>
  <c r="I305" i="23"/>
  <c r="J305" i="23" s="1"/>
  <c r="M305" i="23"/>
  <c r="F255" i="21"/>
  <c r="K12" i="23"/>
  <c r="L12" i="23" s="1"/>
  <c r="I14" i="23"/>
  <c r="J14" i="23" s="1"/>
  <c r="K14" i="23"/>
  <c r="L14" i="23" s="1"/>
  <c r="K16" i="23"/>
  <c r="K18" i="23"/>
  <c r="I20" i="23"/>
  <c r="J20" i="23" s="1"/>
  <c r="K20" i="23"/>
  <c r="L20" i="23" s="1"/>
  <c r="I23" i="23"/>
  <c r="J23" i="23" s="1"/>
  <c r="K23" i="23"/>
  <c r="L23" i="23" s="1"/>
  <c r="I32" i="23"/>
  <c r="K32" i="23"/>
  <c r="I37" i="23"/>
  <c r="J37" i="23" s="1"/>
  <c r="K37" i="23"/>
  <c r="L37" i="23" s="1"/>
  <c r="I40" i="23"/>
  <c r="J40" i="23" s="1"/>
  <c r="K40" i="23"/>
  <c r="L40" i="23" s="1"/>
  <c r="I43" i="23"/>
  <c r="J43" i="23" s="1"/>
  <c r="K43" i="23"/>
  <c r="L43" i="23" s="1"/>
  <c r="I63" i="23"/>
  <c r="J63" i="23" s="1"/>
  <c r="K63" i="23"/>
  <c r="L63" i="23" s="1"/>
  <c r="K65" i="23"/>
  <c r="I75" i="23"/>
  <c r="K75" i="23"/>
  <c r="I78" i="23"/>
  <c r="K78" i="23"/>
  <c r="I91" i="23"/>
  <c r="J91" i="23" s="1"/>
  <c r="K110" i="23"/>
  <c r="L110" i="23" s="1"/>
  <c r="K117" i="23"/>
  <c r="I117" i="23"/>
  <c r="I118" i="23"/>
  <c r="I119" i="23"/>
  <c r="J119" i="23" s="1"/>
  <c r="K125" i="23"/>
  <c r="L125" i="23" s="1"/>
  <c r="I125" i="23"/>
  <c r="J125" i="23" s="1"/>
  <c r="I134" i="23"/>
  <c r="I135" i="23"/>
  <c r="I141" i="23"/>
  <c r="J141" i="23" s="1"/>
  <c r="I148" i="23"/>
  <c r="K150" i="23"/>
  <c r="L150" i="23" s="1"/>
  <c r="I150" i="23"/>
  <c r="J150" i="23" s="1"/>
  <c r="I151" i="23"/>
  <c r="J151" i="23" s="1"/>
  <c r="K188" i="23"/>
  <c r="L188" i="23" s="1"/>
  <c r="I188" i="23"/>
  <c r="J188" i="23" s="1"/>
  <c r="I189" i="23"/>
  <c r="I190" i="23"/>
  <c r="J190" i="23" s="1"/>
  <c r="I196" i="23"/>
  <c r="I198" i="23"/>
  <c r="K207" i="23"/>
  <c r="L207" i="23" s="1"/>
  <c r="I207" i="23"/>
  <c r="J207" i="23" s="1"/>
  <c r="K222" i="23"/>
  <c r="I227" i="23"/>
  <c r="J227" i="23" s="1"/>
  <c r="K252" i="23"/>
  <c r="L252" i="23" s="1"/>
  <c r="I256" i="23"/>
  <c r="J256" i="23" s="1"/>
  <c r="K256" i="23"/>
  <c r="L256" i="23" s="1"/>
  <c r="I277" i="23"/>
  <c r="J277" i="23" s="1"/>
  <c r="K277" i="23"/>
  <c r="L277" i="23" s="1"/>
  <c r="I281" i="23"/>
  <c r="K281" i="23"/>
  <c r="I285" i="23"/>
  <c r="K285" i="23"/>
  <c r="K289" i="23"/>
  <c r="I289" i="23"/>
  <c r="I104" i="23"/>
  <c r="I106" i="23"/>
  <c r="I137" i="23"/>
  <c r="K180" i="23"/>
  <c r="L180" i="23" s="1"/>
  <c r="I180" i="23"/>
  <c r="J180" i="23" s="1"/>
  <c r="I181" i="23"/>
  <c r="I182" i="23"/>
  <c r="J182" i="23" s="1"/>
  <c r="K191" i="23"/>
  <c r="I191" i="23"/>
  <c r="I192" i="23"/>
  <c r="J192" i="23" s="1"/>
  <c r="I193" i="23"/>
  <c r="K199" i="23"/>
  <c r="L199" i="23" s="1"/>
  <c r="I199" i="23"/>
  <c r="J199" i="23" s="1"/>
  <c r="K201" i="23"/>
  <c r="L201" i="23" s="1"/>
  <c r="I201" i="23"/>
  <c r="J201" i="23" s="1"/>
  <c r="I202" i="23"/>
  <c r="K228" i="23"/>
  <c r="L228" i="23" s="1"/>
  <c r="I228" i="23"/>
  <c r="J228" i="23" s="1"/>
  <c r="K230" i="23"/>
  <c r="L230" i="23" s="1"/>
  <c r="I230" i="23"/>
  <c r="J230" i="23" s="1"/>
  <c r="I231" i="23"/>
  <c r="J231" i="23" s="1"/>
  <c r="K245" i="23"/>
  <c r="I245" i="23"/>
  <c r="I247" i="23"/>
  <c r="J247" i="23" s="1"/>
  <c r="K265" i="23"/>
  <c r="L265" i="23" s="1"/>
  <c r="I265" i="23"/>
  <c r="J265" i="23" s="1"/>
  <c r="I267" i="23"/>
  <c r="J267" i="23" s="1"/>
  <c r="K267" i="23"/>
  <c r="L267" i="23" s="1"/>
  <c r="K301" i="23"/>
  <c r="I301" i="23"/>
  <c r="M303" i="23"/>
  <c r="I303" i="23"/>
  <c r="J303" i="23" s="1"/>
  <c r="O303" i="23"/>
  <c r="K303" i="23"/>
  <c r="L303" i="23" s="1"/>
  <c r="K107" i="23"/>
  <c r="L107" i="23" s="1"/>
  <c r="I107" i="23"/>
  <c r="J107" i="23" s="1"/>
  <c r="K109" i="23"/>
  <c r="I109" i="23"/>
  <c r="I110" i="23"/>
  <c r="J110" i="23" s="1"/>
  <c r="I111" i="23"/>
  <c r="J111" i="23" s="1"/>
  <c r="K172" i="23"/>
  <c r="L172" i="23" s="1"/>
  <c r="I172" i="23"/>
  <c r="J172" i="23" s="1"/>
  <c r="I222" i="23"/>
  <c r="U222" i="23"/>
  <c r="K233" i="23"/>
  <c r="L233" i="23" s="1"/>
  <c r="I233" i="23"/>
  <c r="J233" i="23" s="1"/>
  <c r="I234" i="23"/>
  <c r="J234" i="23" s="1"/>
  <c r="I290" i="23"/>
  <c r="J290" i="23" s="1"/>
  <c r="K290" i="23"/>
  <c r="L290" i="23" s="1"/>
  <c r="E14" i="25"/>
  <c r="G14" i="25"/>
  <c r="K100" i="23"/>
  <c r="K101" i="23"/>
  <c r="L101" i="23" s="1"/>
  <c r="I108" i="23"/>
  <c r="J108" i="23" s="1"/>
  <c r="K108" i="23"/>
  <c r="L108" i="23" s="1"/>
  <c r="I126" i="23"/>
  <c r="J126" i="23" s="1"/>
  <c r="K126" i="23"/>
  <c r="L126" i="23" s="1"/>
  <c r="K128" i="23"/>
  <c r="L128" i="23" s="1"/>
  <c r="I129" i="23"/>
  <c r="J129" i="23" s="1"/>
  <c r="K129" i="23"/>
  <c r="L129" i="23" s="1"/>
  <c r="I157" i="23"/>
  <c r="J157" i="23" s="1"/>
  <c r="K157" i="23"/>
  <c r="L157" i="23" s="1"/>
  <c r="K177" i="23"/>
  <c r="L177" i="23" s="1"/>
  <c r="K178" i="23"/>
  <c r="L178" i="23" s="1"/>
  <c r="I179" i="23"/>
  <c r="J179" i="23" s="1"/>
  <c r="K179" i="23"/>
  <c r="L179" i="23" s="1"/>
  <c r="I200" i="23"/>
  <c r="K200" i="23"/>
  <c r="K209" i="23"/>
  <c r="L209" i="23" s="1"/>
  <c r="K211" i="23"/>
  <c r="L211" i="23" s="1"/>
  <c r="K212" i="23"/>
  <c r="L212" i="23" s="1"/>
  <c r="I213" i="23"/>
  <c r="K213" i="23"/>
  <c r="K215" i="23"/>
  <c r="L215" i="23" s="1"/>
  <c r="I216" i="23"/>
  <c r="K216" i="23"/>
  <c r="I229" i="23"/>
  <c r="K229" i="23"/>
  <c r="I243" i="23"/>
  <c r="J243" i="23" s="1"/>
  <c r="I250" i="23"/>
  <c r="J250" i="23" s="1"/>
  <c r="G19" i="25"/>
  <c r="K80" i="23"/>
  <c r="L80" i="23" s="1"/>
  <c r="K87" i="23"/>
  <c r="K94" i="23"/>
  <c r="L94" i="23" s="1"/>
  <c r="I96" i="23"/>
  <c r="K96" i="23"/>
  <c r="I99" i="23"/>
  <c r="J99" i="23" s="1"/>
  <c r="K99" i="23"/>
  <c r="L99" i="23" s="1"/>
  <c r="K139" i="23"/>
  <c r="L139" i="23" s="1"/>
  <c r="K143" i="23"/>
  <c r="L143" i="23" s="1"/>
  <c r="K168" i="23"/>
  <c r="L168" i="23" s="1"/>
  <c r="I170" i="23"/>
  <c r="J170" i="23" s="1"/>
  <c r="K170" i="23"/>
  <c r="L170" i="23" s="1"/>
  <c r="I173" i="23"/>
  <c r="J173" i="23" s="1"/>
  <c r="K173" i="23"/>
  <c r="L173" i="23" s="1"/>
  <c r="I176" i="23"/>
  <c r="J176" i="23" s="1"/>
  <c r="K176" i="23"/>
  <c r="L176" i="23" s="1"/>
  <c r="K184" i="23"/>
  <c r="I186" i="23"/>
  <c r="K186" i="23"/>
  <c r="I205" i="23"/>
  <c r="J205" i="23" s="1"/>
  <c r="K205" i="23"/>
  <c r="L205" i="23" s="1"/>
  <c r="I236" i="23"/>
  <c r="J236" i="23" s="1"/>
  <c r="K239" i="23"/>
  <c r="L239" i="23" s="1"/>
  <c r="K249" i="23"/>
  <c r="I253" i="23"/>
  <c r="K269" i="23"/>
  <c r="L269" i="23" s="1"/>
  <c r="I269" i="23"/>
  <c r="J269" i="23" s="1"/>
  <c r="K279" i="23"/>
  <c r="L279" i="23" s="1"/>
  <c r="I279" i="23"/>
  <c r="J279" i="23" s="1"/>
  <c r="K283" i="23"/>
  <c r="L283" i="23" s="1"/>
  <c r="I283" i="23"/>
  <c r="J283" i="23" s="1"/>
  <c r="K287" i="23"/>
  <c r="L287" i="23" s="1"/>
  <c r="I287" i="23"/>
  <c r="J287" i="23" s="1"/>
  <c r="M309" i="23"/>
  <c r="I309" i="23"/>
  <c r="J309" i="23" s="1"/>
  <c r="E21" i="25"/>
  <c r="K258" i="23"/>
  <c r="I260" i="23"/>
  <c r="J260" i="23" s="1"/>
  <c r="K260" i="23"/>
  <c r="L260" i="23" s="1"/>
  <c r="I263" i="23"/>
  <c r="J263" i="23" s="1"/>
  <c r="K263" i="23"/>
  <c r="L263" i="23" s="1"/>
  <c r="K268" i="23"/>
  <c r="I275" i="23"/>
  <c r="J275" i="23" s="1"/>
  <c r="K275" i="23"/>
  <c r="L275" i="23" s="1"/>
  <c r="I293" i="23"/>
  <c r="K293" i="23"/>
  <c r="I297" i="23"/>
  <c r="K297" i="23"/>
  <c r="H14" i="25"/>
  <c r="I14" i="25" s="1"/>
  <c r="E20" i="25"/>
  <c r="G20" i="25"/>
  <c r="G21" i="25"/>
  <c r="E24" i="25"/>
  <c r="G24" i="25"/>
  <c r="E26" i="25"/>
  <c r="H26" i="25"/>
  <c r="I26" i="25" s="1"/>
  <c r="I273" i="23"/>
  <c r="J273" i="23" s="1"/>
  <c r="K273" i="23"/>
  <c r="L273" i="23" s="1"/>
  <c r="K278" i="23"/>
  <c r="L278" i="23" s="1"/>
  <c r="K282" i="23"/>
  <c r="L282" i="23" s="1"/>
  <c r="K286" i="23"/>
  <c r="O307" i="23"/>
  <c r="K307" i="23"/>
  <c r="L307" i="23" s="1"/>
  <c r="E23" i="25"/>
  <c r="H40" i="25"/>
  <c r="I40" i="25" s="1"/>
  <c r="H51" i="25"/>
  <c r="I51" i="25" s="1"/>
  <c r="G51" i="25"/>
  <c r="N111" i="26"/>
  <c r="L111" i="26"/>
  <c r="J49" i="27"/>
  <c r="N236" i="26"/>
  <c r="N49" i="27" s="1"/>
  <c r="J234" i="26"/>
  <c r="L236" i="26"/>
  <c r="E38" i="25"/>
  <c r="G38" i="25"/>
  <c r="H39" i="25"/>
  <c r="I39" i="25" s="1"/>
  <c r="N78" i="26"/>
  <c r="L78" i="26"/>
  <c r="N110" i="26"/>
  <c r="L110" i="26"/>
  <c r="J100" i="26"/>
  <c r="N122" i="26"/>
  <c r="L122" i="26"/>
  <c r="N183" i="26"/>
  <c r="L183" i="26"/>
  <c r="L180" i="26" s="1"/>
  <c r="L32" i="27" s="1"/>
  <c r="J180" i="26"/>
  <c r="N126" i="30"/>
  <c r="L126" i="30"/>
  <c r="N135" i="30"/>
  <c r="L135" i="30"/>
  <c r="G40" i="25"/>
  <c r="E40" i="25"/>
  <c r="G39" i="25"/>
  <c r="N39" i="26"/>
  <c r="L39" i="26"/>
  <c r="L37" i="26" s="1"/>
  <c r="L10" i="27" s="1"/>
  <c r="J37" i="26"/>
  <c r="N132" i="26"/>
  <c r="L132" i="26"/>
  <c r="N201" i="26"/>
  <c r="L201" i="26"/>
  <c r="L196" i="26" s="1"/>
  <c r="L34" i="27" s="1"/>
  <c r="N23" i="26"/>
  <c r="L23" i="26"/>
  <c r="N71" i="26"/>
  <c r="L71" i="26"/>
  <c r="N25" i="26"/>
  <c r="L25" i="26"/>
  <c r="N55" i="26"/>
  <c r="L55" i="26"/>
  <c r="J51" i="26"/>
  <c r="N58" i="26"/>
  <c r="L58" i="26"/>
  <c r="N59" i="26"/>
  <c r="L59" i="26"/>
  <c r="N64" i="26"/>
  <c r="L64" i="26"/>
  <c r="N70" i="26"/>
  <c r="L70" i="26"/>
  <c r="N85" i="26"/>
  <c r="L85" i="26"/>
  <c r="J82" i="26"/>
  <c r="N86" i="26"/>
  <c r="L86" i="26"/>
  <c r="N95" i="26"/>
  <c r="L95" i="26"/>
  <c r="N96" i="26"/>
  <c r="L96" i="26"/>
  <c r="N211" i="26"/>
  <c r="J209" i="26"/>
  <c r="L211" i="26"/>
  <c r="J58" i="27"/>
  <c r="N245" i="26"/>
  <c r="N58" i="27" s="1"/>
  <c r="J244" i="26"/>
  <c r="L245" i="26"/>
  <c r="J69" i="27"/>
  <c r="N256" i="26"/>
  <c r="N69" i="27" s="1"/>
  <c r="L256" i="26"/>
  <c r="L69" i="27" s="1"/>
  <c r="N22" i="26"/>
  <c r="J8" i="26"/>
  <c r="L22" i="26"/>
  <c r="N24" i="26"/>
  <c r="L24" i="26"/>
  <c r="N28" i="26"/>
  <c r="L28" i="26"/>
  <c r="N103" i="26"/>
  <c r="L103" i="26"/>
  <c r="N107" i="26"/>
  <c r="L107" i="26"/>
  <c r="N127" i="26"/>
  <c r="L127" i="26"/>
  <c r="N191" i="26"/>
  <c r="L191" i="26"/>
  <c r="E388" i="26"/>
  <c r="E387" i="26" s="1"/>
  <c r="E386" i="26" s="1"/>
  <c r="E385" i="26" s="1"/>
  <c r="E384" i="26" s="1"/>
  <c r="E383" i="26" s="1"/>
  <c r="N16" i="30"/>
  <c r="L16" i="30"/>
  <c r="J8" i="30"/>
  <c r="N18" i="30"/>
  <c r="L18" i="30"/>
  <c r="N25" i="30"/>
  <c r="L25" i="30"/>
  <c r="L62" i="26"/>
  <c r="L66" i="26"/>
  <c r="N121" i="26"/>
  <c r="L121" i="26"/>
  <c r="N131" i="26"/>
  <c r="L131" i="26"/>
  <c r="N198" i="26"/>
  <c r="J196" i="26"/>
  <c r="L212" i="26"/>
  <c r="N56" i="27"/>
  <c r="N242" i="26"/>
  <c r="N55" i="27" s="1"/>
  <c r="J63" i="27"/>
  <c r="N250" i="26"/>
  <c r="N63" i="27" s="1"/>
  <c r="J67" i="27"/>
  <c r="N254" i="26"/>
  <c r="N67" i="27" s="1"/>
  <c r="E291" i="26"/>
  <c r="N22" i="30"/>
  <c r="L22" i="30"/>
  <c r="L41" i="30"/>
  <c r="N41" i="30"/>
  <c r="N130" i="30"/>
  <c r="L130" i="30"/>
  <c r="K147" i="30"/>
  <c r="N12" i="30"/>
  <c r="L12" i="30"/>
  <c r="N28" i="30"/>
  <c r="L28" i="30"/>
  <c r="L86" i="30"/>
  <c r="N86" i="30"/>
  <c r="N119" i="30"/>
  <c r="J117" i="30"/>
  <c r="L119" i="30"/>
  <c r="L253" i="26"/>
  <c r="L66" i="27" s="1"/>
  <c r="N21" i="30"/>
  <c r="L21" i="30"/>
  <c r="L97" i="30"/>
  <c r="N97" i="30"/>
  <c r="N24" i="30"/>
  <c r="L24" i="30"/>
  <c r="L44" i="30"/>
  <c r="N44" i="30"/>
  <c r="N77" i="30"/>
  <c r="J75" i="30"/>
  <c r="L77" i="30"/>
  <c r="L93" i="30"/>
  <c r="J91" i="30"/>
  <c r="N122" i="30"/>
  <c r="L122" i="30"/>
  <c r="N190" i="30"/>
  <c r="L190" i="30"/>
  <c r="H279" i="30"/>
  <c r="E277" i="30"/>
  <c r="L14" i="30"/>
  <c r="L17" i="30"/>
  <c r="N20" i="30"/>
  <c r="L20" i="30"/>
  <c r="L30" i="30"/>
  <c r="L40" i="30"/>
  <c r="N40" i="30"/>
  <c r="L85" i="30"/>
  <c r="J82" i="30"/>
  <c r="N85" i="30"/>
  <c r="L96" i="30"/>
  <c r="N96" i="30"/>
  <c r="N134" i="30"/>
  <c r="L134" i="30"/>
  <c r="N198" i="30"/>
  <c r="L198" i="30"/>
  <c r="J196" i="30"/>
  <c r="N200" i="30"/>
  <c r="L200" i="30"/>
  <c r="N224" i="30"/>
  <c r="L224" i="30"/>
  <c r="L39" i="30"/>
  <c r="J37" i="30"/>
  <c r="N199" i="30"/>
  <c r="L199" i="30"/>
  <c r="N201" i="30"/>
  <c r="L201" i="30"/>
  <c r="L223" i="30"/>
  <c r="N253" i="30"/>
  <c r="L253" i="30"/>
  <c r="N265" i="30"/>
  <c r="N264" i="30" s="1"/>
  <c r="L265" i="30"/>
  <c r="L264" i="30" s="1"/>
  <c r="J264" i="30"/>
  <c r="K264" i="30" s="1"/>
  <c r="E388" i="30"/>
  <c r="E387" i="30" s="1"/>
  <c r="E386" i="30" s="1"/>
  <c r="E385" i="30" s="1"/>
  <c r="E384" i="30" s="1"/>
  <c r="E383" i="30" s="1"/>
  <c r="N252" i="30"/>
  <c r="J251" i="30"/>
  <c r="N258" i="30"/>
  <c r="E328" i="30"/>
  <c r="E327" i="30" s="1"/>
  <c r="N13" i="21"/>
  <c r="O13" i="21" s="1"/>
  <c r="N37" i="21"/>
  <c r="O37" i="21" s="1"/>
  <c r="N38" i="21"/>
  <c r="O38" i="21" s="1"/>
  <c r="N75" i="21"/>
  <c r="O75" i="21" s="1"/>
  <c r="N105" i="21"/>
  <c r="O105" i="21" s="1"/>
  <c r="N17" i="21"/>
  <c r="O17" i="21" s="1"/>
  <c r="N55" i="21"/>
  <c r="O55" i="21" s="1"/>
  <c r="N73" i="21"/>
  <c r="O73" i="21" s="1"/>
  <c r="N170" i="21"/>
  <c r="O170" i="21" s="1"/>
  <c r="N21" i="21"/>
  <c r="O21" i="21" s="1"/>
  <c r="N50" i="21"/>
  <c r="O50" i="21" s="1"/>
  <c r="N63" i="21"/>
  <c r="O63" i="21" s="1"/>
  <c r="N85" i="21"/>
  <c r="O85" i="21" s="1"/>
  <c r="N168" i="21"/>
  <c r="O168" i="21" s="1"/>
  <c r="N254" i="21"/>
  <c r="O254" i="21" s="1"/>
  <c r="N40" i="21"/>
  <c r="O40" i="21" s="1"/>
  <c r="N101" i="21"/>
  <c r="O101" i="21" s="1"/>
  <c r="N158" i="21"/>
  <c r="O158" i="21" s="1"/>
  <c r="N187" i="21"/>
  <c r="O187" i="21" s="1"/>
  <c r="N9" i="21"/>
  <c r="O9" i="21" s="1"/>
  <c r="N25" i="21"/>
  <c r="O25" i="21" s="1"/>
  <c r="N34" i="21"/>
  <c r="O34" i="21" s="1"/>
  <c r="N89" i="21"/>
  <c r="O89" i="21" s="1"/>
  <c r="N191" i="21"/>
  <c r="O191" i="21" s="1"/>
  <c r="N235" i="21"/>
  <c r="O235" i="21" s="1"/>
  <c r="N250" i="21"/>
  <c r="O250" i="21" s="1"/>
  <c r="N28" i="21"/>
  <c r="O28" i="21" s="1"/>
  <c r="N29" i="21"/>
  <c r="O29" i="21" s="1"/>
  <c r="N44" i="21"/>
  <c r="O44" i="21" s="1"/>
  <c r="N45" i="21"/>
  <c r="O45" i="21" s="1"/>
  <c r="N48" i="21"/>
  <c r="O48" i="21" s="1"/>
  <c r="N59" i="21"/>
  <c r="O59" i="21" s="1"/>
  <c r="N67" i="21"/>
  <c r="O67" i="21" s="1"/>
  <c r="N68" i="21"/>
  <c r="O68" i="21" s="1"/>
  <c r="N71" i="21"/>
  <c r="O71" i="21" s="1"/>
  <c r="N93" i="21"/>
  <c r="O93" i="21" s="1"/>
  <c r="N109" i="21"/>
  <c r="O109" i="21" s="1"/>
  <c r="N125" i="21"/>
  <c r="O125" i="21" s="1"/>
  <c r="N163" i="21"/>
  <c r="O163" i="21" s="1"/>
  <c r="N166" i="21"/>
  <c r="O166" i="21" s="1"/>
  <c r="N195" i="21"/>
  <c r="O195" i="21" s="1"/>
  <c r="N3" i="21"/>
  <c r="O3" i="21" s="1"/>
  <c r="N4" i="21"/>
  <c r="O4" i="21" s="1"/>
  <c r="N8" i="21"/>
  <c r="O8" i="21" s="1"/>
  <c r="N11" i="21"/>
  <c r="O11" i="21" s="1"/>
  <c r="N12" i="21"/>
  <c r="O12" i="21" s="1"/>
  <c r="N15" i="21"/>
  <c r="O15" i="21" s="1"/>
  <c r="N16" i="21"/>
  <c r="O16" i="21" s="1"/>
  <c r="N19" i="21"/>
  <c r="O19" i="21" s="1"/>
  <c r="N20" i="21"/>
  <c r="O20" i="21" s="1"/>
  <c r="N23" i="21"/>
  <c r="O23" i="21" s="1"/>
  <c r="N24" i="21"/>
  <c r="O24" i="21" s="1"/>
  <c r="N30" i="21"/>
  <c r="O30" i="21" s="1"/>
  <c r="N54" i="21"/>
  <c r="O54" i="21" s="1"/>
  <c r="N57" i="21"/>
  <c r="O57" i="21" s="1"/>
  <c r="N69" i="21"/>
  <c r="O69" i="21" s="1"/>
  <c r="N77" i="21"/>
  <c r="O77" i="21" s="1"/>
  <c r="N81" i="21"/>
  <c r="O81" i="21" s="1"/>
  <c r="N97" i="21"/>
  <c r="O97" i="21" s="1"/>
  <c r="N113" i="21"/>
  <c r="O113" i="21" s="1"/>
  <c r="N129" i="21"/>
  <c r="O129" i="21" s="1"/>
  <c r="N164" i="21"/>
  <c r="O164" i="21" s="1"/>
  <c r="N172" i="21"/>
  <c r="O172" i="21" s="1"/>
  <c r="Z150" i="2"/>
  <c r="Z600" i="2"/>
  <c r="Z592" i="2"/>
  <c r="Z595" i="2"/>
  <c r="Z598" i="2"/>
  <c r="Z594" i="2"/>
  <c r="Z590" i="2"/>
  <c r="Z597" i="2"/>
  <c r="Z593" i="2"/>
  <c r="Z589" i="2"/>
  <c r="N246" i="21"/>
  <c r="O246" i="21" s="1"/>
  <c r="N244" i="21"/>
  <c r="O244" i="21" s="1"/>
  <c r="N242" i="21"/>
  <c r="O242" i="21" s="1"/>
  <c r="N234" i="21"/>
  <c r="O234" i="21" s="1"/>
  <c r="N228" i="21"/>
  <c r="O228" i="21" s="1"/>
  <c r="N220" i="21"/>
  <c r="O220" i="21" s="1"/>
  <c r="N218" i="21"/>
  <c r="O218" i="21" s="1"/>
  <c r="N212" i="21"/>
  <c r="O212" i="21" s="1"/>
  <c r="N206" i="21"/>
  <c r="O206" i="21" s="1"/>
  <c r="N204" i="21"/>
  <c r="O204" i="21" s="1"/>
  <c r="N202" i="21"/>
  <c r="O202" i="21" s="1"/>
  <c r="N200" i="21"/>
  <c r="O200" i="21" s="1"/>
  <c r="N196" i="21"/>
  <c r="O196" i="21" s="1"/>
  <c r="N194" i="21"/>
  <c r="O194" i="21" s="1"/>
  <c r="N192" i="21"/>
  <c r="O192" i="21" s="1"/>
  <c r="N190" i="21"/>
  <c r="O190" i="21" s="1"/>
  <c r="N188" i="21"/>
  <c r="O188" i="21" s="1"/>
  <c r="N186" i="21"/>
  <c r="O186" i="21" s="1"/>
  <c r="N184" i="21"/>
  <c r="O184" i="21" s="1"/>
  <c r="N179" i="21"/>
  <c r="O179" i="21" s="1"/>
  <c r="N173" i="21"/>
  <c r="O173" i="21" s="1"/>
  <c r="N169" i="21"/>
  <c r="O169" i="21" s="1"/>
  <c r="N165" i="21"/>
  <c r="O165" i="21" s="1"/>
  <c r="N161" i="21"/>
  <c r="O161" i="21" s="1"/>
  <c r="N157" i="21"/>
  <c r="O157" i="21" s="1"/>
  <c r="N152" i="21"/>
  <c r="O152" i="21" s="1"/>
  <c r="N151" i="21"/>
  <c r="O151" i="21" s="1"/>
  <c r="N147" i="21"/>
  <c r="O147" i="21" s="1"/>
  <c r="N139" i="21"/>
  <c r="O139" i="21" s="1"/>
  <c r="N131" i="21"/>
  <c r="O131" i="21" s="1"/>
  <c r="N127" i="21"/>
  <c r="O127" i="21" s="1"/>
  <c r="N123" i="21"/>
  <c r="O123" i="21" s="1"/>
  <c r="N119" i="21"/>
  <c r="O119" i="21" s="1"/>
  <c r="N115" i="21"/>
  <c r="O115" i="21" s="1"/>
  <c r="N111" i="21"/>
  <c r="O111" i="21" s="1"/>
  <c r="N107" i="21"/>
  <c r="O107" i="21" s="1"/>
  <c r="N103" i="21"/>
  <c r="O103" i="21" s="1"/>
  <c r="N99" i="21"/>
  <c r="O99" i="21" s="1"/>
  <c r="N95" i="21"/>
  <c r="O95" i="21" s="1"/>
  <c r="N91" i="21"/>
  <c r="O91" i="21" s="1"/>
  <c r="N87" i="21"/>
  <c r="O87" i="21" s="1"/>
  <c r="N66" i="21"/>
  <c r="O66" i="21" s="1"/>
  <c r="N229" i="21"/>
  <c r="O229" i="21" s="1"/>
  <c r="N205" i="21"/>
  <c r="O205" i="21" s="1"/>
  <c r="N197" i="21"/>
  <c r="O197" i="21" s="1"/>
  <c r="N189" i="21"/>
  <c r="O189" i="21" s="1"/>
  <c r="N180" i="21"/>
  <c r="O180" i="21" s="1"/>
  <c r="N178" i="21"/>
  <c r="O178" i="21" s="1"/>
  <c r="N167" i="21"/>
  <c r="O167" i="21" s="1"/>
  <c r="N159" i="21"/>
  <c r="O159" i="21" s="1"/>
  <c r="N148" i="21"/>
  <c r="O148" i="21" s="1"/>
  <c r="N140" i="21"/>
  <c r="O140" i="21" s="1"/>
  <c r="N130" i="21"/>
  <c r="O130" i="21" s="1"/>
  <c r="N124" i="21"/>
  <c r="O124" i="21" s="1"/>
  <c r="N116" i="21"/>
  <c r="O116" i="21" s="1"/>
  <c r="N114" i="21"/>
  <c r="O114" i="21" s="1"/>
  <c r="N108" i="21"/>
  <c r="O108" i="21" s="1"/>
  <c r="N106" i="21"/>
  <c r="O106" i="21" s="1"/>
  <c r="N100" i="21"/>
  <c r="O100" i="21" s="1"/>
  <c r="N98" i="21"/>
  <c r="O98" i="21" s="1"/>
  <c r="N92" i="21"/>
  <c r="O92" i="21" s="1"/>
  <c r="N90" i="21"/>
  <c r="O90" i="21" s="1"/>
  <c r="N84" i="21"/>
  <c r="O84" i="21" s="1"/>
  <c r="N64" i="21"/>
  <c r="O64" i="21" s="1"/>
  <c r="N56" i="21"/>
  <c r="O56" i="21" s="1"/>
  <c r="N47" i="21"/>
  <c r="O47" i="21" s="1"/>
  <c r="N43" i="21"/>
  <c r="O43" i="21" s="1"/>
  <c r="N31" i="21"/>
  <c r="O31" i="21" s="1"/>
  <c r="N217" i="21"/>
  <c r="O217" i="21" s="1"/>
  <c r="N201" i="21"/>
  <c r="O201" i="21" s="1"/>
  <c r="N193" i="21"/>
  <c r="O193" i="21" s="1"/>
  <c r="N185" i="21"/>
  <c r="O185" i="21" s="1"/>
  <c r="N181" i="21"/>
  <c r="O181" i="21" s="1"/>
  <c r="N177" i="21"/>
  <c r="O177" i="21" s="1"/>
  <c r="N171" i="21"/>
  <c r="O171" i="21" s="1"/>
  <c r="N10" i="21"/>
  <c r="O10" i="21" s="1"/>
  <c r="N14" i="21"/>
  <c r="O14" i="21" s="1"/>
  <c r="N18" i="21"/>
  <c r="O18" i="21" s="1"/>
  <c r="N22" i="21"/>
  <c r="O22" i="21" s="1"/>
  <c r="N26" i="21"/>
  <c r="O26" i="21" s="1"/>
  <c r="N33" i="21"/>
  <c r="O33" i="21" s="1"/>
  <c r="N49" i="21"/>
  <c r="O49" i="21" s="1"/>
  <c r="N60" i="21"/>
  <c r="O60" i="21" s="1"/>
  <c r="N80" i="21"/>
  <c r="O80" i="21" s="1"/>
  <c r="N86" i="21"/>
  <c r="O86" i="21" s="1"/>
  <c r="N88" i="21"/>
  <c r="O88" i="21" s="1"/>
  <c r="N94" i="21"/>
  <c r="O94" i="21" s="1"/>
  <c r="N96" i="21"/>
  <c r="O96" i="21" s="1"/>
  <c r="N102" i="21"/>
  <c r="O102" i="21" s="1"/>
  <c r="N104" i="21"/>
  <c r="O104" i="21" s="1"/>
  <c r="N110" i="21"/>
  <c r="O110" i="21" s="1"/>
  <c r="N118" i="21"/>
  <c r="O118" i="21" s="1"/>
  <c r="N120" i="21"/>
  <c r="O120" i="21" s="1"/>
  <c r="N126" i="21"/>
  <c r="O126" i="21" s="1"/>
  <c r="N128" i="21"/>
  <c r="O128" i="21" s="1"/>
  <c r="N134" i="21"/>
  <c r="O134" i="21" s="1"/>
  <c r="N136" i="21"/>
  <c r="O136" i="21" s="1"/>
  <c r="N154" i="21"/>
  <c r="O154" i="21" s="1"/>
  <c r="N199" i="21"/>
  <c r="O199" i="21" s="1"/>
  <c r="N247" i="21"/>
  <c r="O247" i="21" s="1"/>
  <c r="N258" i="21"/>
  <c r="O258" i="21" s="1"/>
  <c r="AK716" i="2" l="1"/>
  <c r="Y899" i="2"/>
  <c r="AC899" i="2" s="1"/>
  <c r="Y940" i="2"/>
  <c r="AC940" i="2" s="1"/>
  <c r="Y883" i="2"/>
  <c r="AC883" i="2" s="1"/>
  <c r="Y836" i="2"/>
  <c r="AC836" i="2" s="1"/>
  <c r="Y976" i="2"/>
  <c r="AC976" i="2" s="1"/>
  <c r="W992" i="2"/>
  <c r="W945" i="2"/>
  <c r="Y999" i="2"/>
  <c r="AC999" i="2" s="1"/>
  <c r="W918" i="2"/>
  <c r="W880" i="2"/>
  <c r="W854" i="2"/>
  <c r="Y944" i="2"/>
  <c r="AC944" i="2" s="1"/>
  <c r="W939" i="2"/>
  <c r="Z753" i="2"/>
  <c r="AB753" i="2" s="1"/>
  <c r="AK753" i="2"/>
  <c r="W905" i="2"/>
  <c r="AK696" i="2"/>
  <c r="Y907" i="2"/>
  <c r="AC907" i="2" s="1"/>
  <c r="Y917" i="2"/>
  <c r="AC917" i="2" s="1"/>
  <c r="Y984" i="2"/>
  <c r="AC984" i="2" s="1"/>
  <c r="Y989" i="2"/>
  <c r="AC989" i="2" s="1"/>
  <c r="Y981" i="2"/>
  <c r="AC981" i="2" s="1"/>
  <c r="Y852" i="2"/>
  <c r="AC852" i="2" s="1"/>
  <c r="Y815" i="2"/>
  <c r="AC815" i="2" s="1"/>
  <c r="Y882" i="2"/>
  <c r="AC882" i="2" s="1"/>
  <c r="Y980" i="2"/>
  <c r="AC980" i="2" s="1"/>
  <c r="Y969" i="2"/>
  <c r="AC969" i="2" s="1"/>
  <c r="Y903" i="2"/>
  <c r="AC903" i="2" s="1"/>
  <c r="Y822" i="2"/>
  <c r="AC822" i="2" s="1"/>
  <c r="Y990" i="2"/>
  <c r="AC990" i="2" s="1"/>
  <c r="Y973" i="2"/>
  <c r="AC973" i="2" s="1"/>
  <c r="Y848" i="2"/>
  <c r="AC848" i="2" s="1"/>
  <c r="Y879" i="2"/>
  <c r="AC879" i="2" s="1"/>
  <c r="Y936" i="2"/>
  <c r="AC936" i="2" s="1"/>
  <c r="Y888" i="2"/>
  <c r="AC888" i="2" s="1"/>
  <c r="Y813" i="2"/>
  <c r="AC813" i="2" s="1"/>
  <c r="Y823" i="2"/>
  <c r="AC823" i="2" s="1"/>
  <c r="Y929" i="2"/>
  <c r="AC929" i="2" s="1"/>
  <c r="Y844" i="2"/>
  <c r="AC844" i="2" s="1"/>
  <c r="Y994" i="2"/>
  <c r="AC994" i="2" s="1"/>
  <c r="Y985" i="2"/>
  <c r="AC985" i="2" s="1"/>
  <c r="W812" i="2"/>
  <c r="W982" i="2"/>
  <c r="W914" i="2"/>
  <c r="W804" i="2"/>
  <c r="Y827" i="2"/>
  <c r="AC827" i="2" s="1"/>
  <c r="W808" i="2"/>
  <c r="W970" i="2"/>
  <c r="Y835" i="2"/>
  <c r="AC835" i="2" s="1"/>
  <c r="W974" i="2"/>
  <c r="Y923" i="2"/>
  <c r="AC923" i="2" s="1"/>
  <c r="Y904" i="2"/>
  <c r="AC904" i="2" s="1"/>
  <c r="Y810" i="2"/>
  <c r="AC810" i="2" s="1"/>
  <c r="Y877" i="2"/>
  <c r="AC877" i="2" s="1"/>
  <c r="Y895" i="2"/>
  <c r="AC895" i="2" s="1"/>
  <c r="Y968" i="2"/>
  <c r="AC968" i="2" s="1"/>
  <c r="Y831" i="2"/>
  <c r="AC831" i="2" s="1"/>
  <c r="Y977" i="2"/>
  <c r="AC977" i="2" s="1"/>
  <c r="Y874" i="2"/>
  <c r="AC874" i="2" s="1"/>
  <c r="Y948" i="2"/>
  <c r="AC948" i="2" s="1"/>
  <c r="Y856" i="2"/>
  <c r="AC856" i="2" s="1"/>
  <c r="Y960" i="2"/>
  <c r="AC960" i="2" s="1"/>
  <c r="Y956" i="2"/>
  <c r="AC956" i="2" s="1"/>
  <c r="Y865" i="2"/>
  <c r="AC865" i="2" s="1"/>
  <c r="Y896" i="2"/>
  <c r="AC896" i="2" s="1"/>
  <c r="Y830" i="2"/>
  <c r="AC830" i="2" s="1"/>
  <c r="Y937" i="2"/>
  <c r="AC937" i="2" s="1"/>
  <c r="Y932" i="2"/>
  <c r="AC932" i="2" s="1"/>
  <c r="Y952" i="2"/>
  <c r="AC952" i="2" s="1"/>
  <c r="Y864" i="2"/>
  <c r="AC864" i="2" s="1"/>
  <c r="Y887" i="2"/>
  <c r="AC887" i="2" s="1"/>
  <c r="Y964" i="2"/>
  <c r="AC964" i="2" s="1"/>
  <c r="Y814" i="2"/>
  <c r="AC814" i="2" s="1"/>
  <c r="Y847" i="2"/>
  <c r="AC847" i="2" s="1"/>
  <c r="Y916" i="2"/>
  <c r="AC916" i="2" s="1"/>
  <c r="W868" i="2"/>
  <c r="W824" i="2"/>
  <c r="W1000" i="2"/>
  <c r="W841" i="2"/>
  <c r="W872" i="2"/>
  <c r="W884" i="2"/>
  <c r="W938" i="2"/>
  <c r="Y912" i="2"/>
  <c r="AC912" i="2" s="1"/>
  <c r="W987" i="2"/>
  <c r="W991" i="2"/>
  <c r="W941" i="2"/>
  <c r="Y843" i="2"/>
  <c r="AC843" i="2" s="1"/>
  <c r="Y802" i="2"/>
  <c r="AC802" i="2" s="1"/>
  <c r="Y998" i="2"/>
  <c r="AC998" i="2" s="1"/>
  <c r="Y892" i="2"/>
  <c r="AC892" i="2" s="1"/>
  <c r="W966" i="2"/>
  <c r="W819" i="2"/>
  <c r="W910" i="2"/>
  <c r="W837" i="2"/>
  <c r="W978" i="2"/>
  <c r="W850" i="2"/>
  <c r="W930" i="2"/>
  <c r="W900" i="2"/>
  <c r="W931" i="2"/>
  <c r="W871" i="2"/>
  <c r="W894" i="2"/>
  <c r="W963" i="2"/>
  <c r="W967" i="2"/>
  <c r="W859" i="2"/>
  <c r="W975" i="2"/>
  <c r="W885" i="2"/>
  <c r="W840" i="2"/>
  <c r="W979" i="2"/>
  <c r="W922" i="2"/>
  <c r="W858" i="2"/>
  <c r="W909" i="2"/>
  <c r="W988" i="2"/>
  <c r="W876" i="2"/>
  <c r="W797" i="2"/>
  <c r="W951" i="2"/>
  <c r="W826" i="2"/>
  <c r="W955" i="2"/>
  <c r="W866" i="2"/>
  <c r="W799" i="2"/>
  <c r="W820" i="2"/>
  <c r="W838" i="2"/>
  <c r="W926" i="2"/>
  <c r="W943" i="2"/>
  <c r="W867" i="2"/>
  <c r="W811" i="2"/>
  <c r="W796" i="2"/>
  <c r="W925" i="2"/>
  <c r="W919" i="2"/>
  <c r="W846" i="2"/>
  <c r="V326" i="2"/>
  <c r="Y935" i="2"/>
  <c r="AC935" i="2" s="1"/>
  <c r="Y949" i="2"/>
  <c r="AC949" i="2" s="1"/>
  <c r="W855" i="2"/>
  <c r="W842" i="2"/>
  <c r="W886" i="2"/>
  <c r="Y915" i="2"/>
  <c r="AC915" i="2" s="1"/>
  <c r="Y834" i="2"/>
  <c r="AC834" i="2" s="1"/>
  <c r="Y821" i="2"/>
  <c r="AC821" i="2" s="1"/>
  <c r="Y890" i="2"/>
  <c r="AC890" i="2" s="1"/>
  <c r="Y942" i="2"/>
  <c r="AC942" i="2" s="1"/>
  <c r="Y996" i="2"/>
  <c r="AC996" i="2" s="1"/>
  <c r="Y897" i="2"/>
  <c r="AC897" i="2" s="1"/>
  <c r="Y953" i="2"/>
  <c r="AC953" i="2" s="1"/>
  <c r="Y853" i="2"/>
  <c r="AC853" i="2" s="1"/>
  <c r="Y928" i="2"/>
  <c r="AC928" i="2" s="1"/>
  <c r="W934" i="2"/>
  <c r="W803" i="2"/>
  <c r="W862" i="2"/>
  <c r="W962" i="2"/>
  <c r="Y818" i="2"/>
  <c r="AC818" i="2" s="1"/>
  <c r="Y801" i="2"/>
  <c r="AC801" i="2" s="1"/>
  <c r="Y798" i="2"/>
  <c r="AC798" i="2" s="1"/>
  <c r="W946" i="2"/>
  <c r="W954" i="2"/>
  <c r="Y878" i="2"/>
  <c r="AC878" i="2" s="1"/>
  <c r="W816" i="2"/>
  <c r="W950" i="2"/>
  <c r="W870" i="2"/>
  <c r="Y961" i="2"/>
  <c r="AC961" i="2" s="1"/>
  <c r="W889" i="2"/>
  <c r="W958" i="2"/>
  <c r="Y972" i="2"/>
  <c r="AC972" i="2" s="1"/>
  <c r="W913" i="2"/>
  <c r="W828" i="2"/>
  <c r="W809" i="2"/>
  <c r="W924" i="2"/>
  <c r="W861" i="2"/>
  <c r="W805" i="2"/>
  <c r="W911" i="2"/>
  <c r="W920" i="2"/>
  <c r="W795" i="2"/>
  <c r="W860" i="2"/>
  <c r="W829" i="2"/>
  <c r="W908" i="2"/>
  <c r="W806" i="2"/>
  <c r="W891" i="2"/>
  <c r="Y927" i="2"/>
  <c r="AC927" i="2" s="1"/>
  <c r="W993" i="2"/>
  <c r="W997" i="2"/>
  <c r="W800" i="2"/>
  <c r="W849" i="2"/>
  <c r="W873" i="2"/>
  <c r="W898" i="2"/>
  <c r="Y947" i="2"/>
  <c r="AC947" i="2" s="1"/>
  <c r="W959" i="2"/>
  <c r="Y906" i="2"/>
  <c r="AC906" i="2" s="1"/>
  <c r="W901" i="2"/>
  <c r="Y995" i="2"/>
  <c r="AC995" i="2" s="1"/>
  <c r="W995" i="2"/>
  <c r="Y920" i="2"/>
  <c r="AC920" i="2" s="1"/>
  <c r="Y924" i="2"/>
  <c r="AC924" i="2" s="1"/>
  <c r="Y860" i="2"/>
  <c r="AC860" i="2" s="1"/>
  <c r="Y919" i="2"/>
  <c r="AC919" i="2" s="1"/>
  <c r="Y845" i="2"/>
  <c r="AC845" i="2" s="1"/>
  <c r="W845" i="2"/>
  <c r="Y943" i="2"/>
  <c r="AC943" i="2" s="1"/>
  <c r="W847" i="2"/>
  <c r="Y829" i="2"/>
  <c r="AC829" i="2" s="1"/>
  <c r="W896" i="2"/>
  <c r="W830" i="2"/>
  <c r="Y846" i="2"/>
  <c r="AC846" i="2" s="1"/>
  <c r="Y926" i="2"/>
  <c r="AC926" i="2" s="1"/>
  <c r="Y806" i="2"/>
  <c r="AC806" i="2" s="1"/>
  <c r="W874" i="2"/>
  <c r="W948" i="2"/>
  <c r="Y811" i="2"/>
  <c r="AC811" i="2" s="1"/>
  <c r="Y908" i="2"/>
  <c r="AC908" i="2" s="1"/>
  <c r="W960" i="2"/>
  <c r="Y796" i="2"/>
  <c r="AC796" i="2" s="1"/>
  <c r="W856" i="2"/>
  <c r="Y925" i="2"/>
  <c r="AC925" i="2" s="1"/>
  <c r="Y863" i="2"/>
  <c r="AC863" i="2" s="1"/>
  <c r="W863" i="2"/>
  <c r="W996" i="2"/>
  <c r="W915" i="2"/>
  <c r="Y873" i="2"/>
  <c r="AC873" i="2" s="1"/>
  <c r="Y921" i="2"/>
  <c r="AC921" i="2" s="1"/>
  <c r="W921" i="2"/>
  <c r="Y993" i="2"/>
  <c r="AC993" i="2" s="1"/>
  <c r="W949" i="2"/>
  <c r="W927" i="2"/>
  <c r="W832" i="2"/>
  <c r="Y898" i="2"/>
  <c r="AC898" i="2" s="1"/>
  <c r="Y954" i="2"/>
  <c r="AC954" i="2" s="1"/>
  <c r="Y849" i="2"/>
  <c r="AC849" i="2" s="1"/>
  <c r="Y857" i="2"/>
  <c r="AC857" i="2" s="1"/>
  <c r="W857" i="2"/>
  <c r="Y934" i="2"/>
  <c r="AC934" i="2" s="1"/>
  <c r="Y803" i="2"/>
  <c r="AC803" i="2" s="1"/>
  <c r="W878" i="2"/>
  <c r="Y950" i="2"/>
  <c r="AC950" i="2" s="1"/>
  <c r="W818" i="2"/>
  <c r="Y913" i="2"/>
  <c r="AC913" i="2" s="1"/>
  <c r="Y962" i="2"/>
  <c r="AC962" i="2" s="1"/>
  <c r="W798" i="2"/>
  <c r="Y862" i="2"/>
  <c r="AC862" i="2" s="1"/>
  <c r="W928" i="2"/>
  <c r="Y997" i="2"/>
  <c r="AC997" i="2" s="1"/>
  <c r="W853" i="2"/>
  <c r="W953" i="2"/>
  <c r="W935" i="2"/>
  <c r="Y838" i="2"/>
  <c r="AC838" i="2" s="1"/>
  <c r="Y955" i="2"/>
  <c r="AC955" i="2" s="1"/>
  <c r="W864" i="2"/>
  <c r="W937" i="2"/>
  <c r="W814" i="2"/>
  <c r="W887" i="2"/>
  <c r="W952" i="2"/>
  <c r="Y820" i="2"/>
  <c r="AC820" i="2" s="1"/>
  <c r="W916" i="2"/>
  <c r="W964" i="2"/>
  <c r="Y799" i="2"/>
  <c r="AC799" i="2" s="1"/>
  <c r="Y866" i="2"/>
  <c r="AC866" i="2" s="1"/>
  <c r="W932" i="2"/>
  <c r="Y861" i="2"/>
  <c r="AC861" i="2" s="1"/>
  <c r="W942" i="2"/>
  <c r="W906" i="2"/>
  <c r="Y855" i="2"/>
  <c r="AC855" i="2" s="1"/>
  <c r="Y959" i="2"/>
  <c r="AC959" i="2" s="1"/>
  <c r="W947" i="2"/>
  <c r="Y842" i="2"/>
  <c r="AC842" i="2" s="1"/>
  <c r="Y901" i="2"/>
  <c r="AC901" i="2" s="1"/>
  <c r="W961" i="2"/>
  <c r="W865" i="2"/>
  <c r="Y946" i="2"/>
  <c r="AC946" i="2" s="1"/>
  <c r="Y816" i="2"/>
  <c r="AC816" i="2" s="1"/>
  <c r="Y889" i="2"/>
  <c r="AC889" i="2" s="1"/>
  <c r="Y958" i="2"/>
  <c r="AC958" i="2" s="1"/>
  <c r="Y828" i="2"/>
  <c r="AC828" i="2" s="1"/>
  <c r="W972" i="2"/>
  <c r="W801" i="2"/>
  <c r="Y870" i="2"/>
  <c r="AC870" i="2" s="1"/>
  <c r="W956" i="2"/>
  <c r="Y795" i="2"/>
  <c r="AC795" i="2" s="1"/>
  <c r="Y886" i="2"/>
  <c r="AC886" i="2" s="1"/>
  <c r="W904" i="2"/>
  <c r="Y808" i="2"/>
  <c r="AC808" i="2" s="1"/>
  <c r="Y867" i="2"/>
  <c r="AC867" i="2" s="1"/>
  <c r="W957" i="2"/>
  <c r="W827" i="2"/>
  <c r="Y970" i="2"/>
  <c r="AC970" i="2" s="1"/>
  <c r="W835" i="2"/>
  <c r="W923" i="2"/>
  <c r="Y974" i="2"/>
  <c r="AC974" i="2" s="1"/>
  <c r="Y807" i="2"/>
  <c r="AC807" i="2" s="1"/>
  <c r="Y965" i="2"/>
  <c r="AC965" i="2" s="1"/>
  <c r="W890" i="2"/>
  <c r="Y881" i="2"/>
  <c r="AC881" i="2" s="1"/>
  <c r="W881" i="2"/>
  <c r="Y894" i="2"/>
  <c r="AC894" i="2" s="1"/>
  <c r="Y963" i="2"/>
  <c r="AC963" i="2" s="1"/>
  <c r="Y859" i="2"/>
  <c r="AC859" i="2" s="1"/>
  <c r="Y910" i="2"/>
  <c r="AC910" i="2" s="1"/>
  <c r="Y967" i="2"/>
  <c r="AC967" i="2" s="1"/>
  <c r="W810" i="2"/>
  <c r="Y871" i="2"/>
  <c r="AC871" i="2" s="1"/>
  <c r="Y966" i="2"/>
  <c r="AC966" i="2" s="1"/>
  <c r="W831" i="2"/>
  <c r="W895" i="2"/>
  <c r="W977" i="2"/>
  <c r="Y837" i="2"/>
  <c r="AC837" i="2" s="1"/>
  <c r="Y930" i="2"/>
  <c r="AC930" i="2" s="1"/>
  <c r="Y978" i="2"/>
  <c r="AC978" i="2" s="1"/>
  <c r="Y819" i="2"/>
  <c r="AC819" i="2" s="1"/>
  <c r="W877" i="2"/>
  <c r="W968" i="2"/>
  <c r="Y817" i="2"/>
  <c r="AC817" i="2" s="1"/>
  <c r="W817" i="2"/>
  <c r="W821" i="2"/>
  <c r="Y805" i="2"/>
  <c r="AC805" i="2" s="1"/>
  <c r="Y809" i="2"/>
  <c r="AC809" i="2" s="1"/>
  <c r="W897" i="2"/>
  <c r="Y804" i="2"/>
  <c r="AC804" i="2" s="1"/>
  <c r="Y868" i="2"/>
  <c r="AC868" i="2" s="1"/>
  <c r="Y797" i="2"/>
  <c r="AC797" i="2" s="1"/>
  <c r="Y914" i="2"/>
  <c r="AC914" i="2" s="1"/>
  <c r="W973" i="2"/>
  <c r="Y812" i="2"/>
  <c r="AC812" i="2" s="1"/>
  <c r="W879" i="2"/>
  <c r="W969" i="2"/>
  <c r="W903" i="2"/>
  <c r="W990" i="2"/>
  <c r="W848" i="2"/>
  <c r="W936" i="2"/>
  <c r="Y982" i="2"/>
  <c r="AC982" i="2" s="1"/>
  <c r="W822" i="2"/>
  <c r="W882" i="2"/>
  <c r="W980" i="2"/>
  <c r="Y826" i="2"/>
  <c r="AC826" i="2" s="1"/>
  <c r="Y951" i="2"/>
  <c r="AC951" i="2" s="1"/>
  <c r="Y875" i="2"/>
  <c r="AC875" i="2" s="1"/>
  <c r="W875" i="2"/>
  <c r="Y872" i="2"/>
  <c r="AC872" i="2" s="1"/>
  <c r="W917" i="2"/>
  <c r="Y975" i="2"/>
  <c r="AC975" i="2" s="1"/>
  <c r="W815" i="2"/>
  <c r="Y885" i="2"/>
  <c r="AC885" i="2" s="1"/>
  <c r="W981" i="2"/>
  <c r="Y841" i="2"/>
  <c r="AC841" i="2" s="1"/>
  <c r="W907" i="2"/>
  <c r="Y1000" i="2"/>
  <c r="AC1000" i="2" s="1"/>
  <c r="W852" i="2"/>
  <c r="Y938" i="2"/>
  <c r="AC938" i="2" s="1"/>
  <c r="W989" i="2"/>
  <c r="Y824" i="2"/>
  <c r="AC824" i="2" s="1"/>
  <c r="Y884" i="2"/>
  <c r="AC884" i="2" s="1"/>
  <c r="W984" i="2"/>
  <c r="W834" i="2"/>
  <c r="Y891" i="2"/>
  <c r="AC891" i="2" s="1"/>
  <c r="Y922" i="2"/>
  <c r="AC922" i="2" s="1"/>
  <c r="Y800" i="2"/>
  <c r="AC800" i="2" s="1"/>
  <c r="Y876" i="2"/>
  <c r="AC876" i="2" s="1"/>
  <c r="W929" i="2"/>
  <c r="Y979" i="2"/>
  <c r="AC979" i="2" s="1"/>
  <c r="W823" i="2"/>
  <c r="W888" i="2"/>
  <c r="W985" i="2"/>
  <c r="W844" i="2"/>
  <c r="Y909" i="2"/>
  <c r="AC909" i="2" s="1"/>
  <c r="W813" i="2"/>
  <c r="Y858" i="2"/>
  <c r="AC858" i="2" s="1"/>
  <c r="W940" i="2"/>
  <c r="W994" i="2"/>
  <c r="Y839" i="2"/>
  <c r="AC839" i="2" s="1"/>
  <c r="W839" i="2"/>
  <c r="W899" i="2"/>
  <c r="Y986" i="2"/>
  <c r="AC986" i="2" s="1"/>
  <c r="Y893" i="2"/>
  <c r="AC893" i="2" s="1"/>
  <c r="W893" i="2"/>
  <c r="Y911" i="2"/>
  <c r="AC911" i="2" s="1"/>
  <c r="Y988" i="2"/>
  <c r="AC988" i="2" s="1"/>
  <c r="W802" i="2"/>
  <c r="Y931" i="2"/>
  <c r="AC931" i="2" s="1"/>
  <c r="Y825" i="2"/>
  <c r="AC825" i="2" s="1"/>
  <c r="W892" i="2"/>
  <c r="Y987" i="2"/>
  <c r="AC987" i="2" s="1"/>
  <c r="Y850" i="2"/>
  <c r="AC850" i="2" s="1"/>
  <c r="W912" i="2"/>
  <c r="Y840" i="2"/>
  <c r="AC840" i="2" s="1"/>
  <c r="Y869" i="2"/>
  <c r="AC869" i="2" s="1"/>
  <c r="W869" i="2"/>
  <c r="Y941" i="2"/>
  <c r="AC941" i="2" s="1"/>
  <c r="W998" i="2"/>
  <c r="W843" i="2"/>
  <c r="Y900" i="2"/>
  <c r="AC900" i="2" s="1"/>
  <c r="Y991" i="2"/>
  <c r="AC991" i="2" s="1"/>
  <c r="Y851" i="2"/>
  <c r="AC851" i="2" s="1"/>
  <c r="W851" i="2"/>
  <c r="Y971" i="2"/>
  <c r="AC971" i="2" s="1"/>
  <c r="W971" i="2"/>
  <c r="Y983" i="2"/>
  <c r="AC983" i="2" s="1"/>
  <c r="W983" i="2"/>
  <c r="Y833" i="2"/>
  <c r="AC833" i="2" s="1"/>
  <c r="W833" i="2"/>
  <c r="Y939" i="2"/>
  <c r="AC939" i="2" s="1"/>
  <c r="W883" i="2"/>
  <c r="Y933" i="2"/>
  <c r="AC933" i="2" s="1"/>
  <c r="W933" i="2"/>
  <c r="W999" i="2"/>
  <c r="W836" i="2"/>
  <c r="Y905" i="2"/>
  <c r="AC905" i="2" s="1"/>
  <c r="Y992" i="2"/>
  <c r="AC992" i="2" s="1"/>
  <c r="Y854" i="2"/>
  <c r="AC854" i="2" s="1"/>
  <c r="Y918" i="2"/>
  <c r="AC918" i="2" s="1"/>
  <c r="Y945" i="2"/>
  <c r="AC945" i="2" s="1"/>
  <c r="Y880" i="2"/>
  <c r="AC880" i="2" s="1"/>
  <c r="W944" i="2"/>
  <c r="W976" i="2"/>
  <c r="W902" i="2"/>
  <c r="AB978" i="2"/>
  <c r="AA978" i="2"/>
  <c r="AB971" i="2"/>
  <c r="AA971" i="2"/>
  <c r="AB990" i="2"/>
  <c r="AB979" i="2"/>
  <c r="AB995" i="2"/>
  <c r="AB991" i="2"/>
  <c r="AB976" i="2"/>
  <c r="AB972" i="2"/>
  <c r="AB988" i="2"/>
  <c r="AB984" i="2"/>
  <c r="AB987" i="2"/>
  <c r="AB1000" i="2"/>
  <c r="AB996" i="2"/>
  <c r="AB980" i="2"/>
  <c r="AB981" i="2"/>
  <c r="AB977" i="2"/>
  <c r="AB992" i="2"/>
  <c r="AB993" i="2"/>
  <c r="AB989" i="2"/>
  <c r="AB999" i="2"/>
  <c r="AB983" i="2"/>
  <c r="AB975" i="2"/>
  <c r="AB973" i="2"/>
  <c r="AB974" i="2"/>
  <c r="AB970" i="2"/>
  <c r="AB985" i="2"/>
  <c r="AB986" i="2"/>
  <c r="AB982" i="2"/>
  <c r="AB997" i="2"/>
  <c r="AB998" i="2"/>
  <c r="AB994" i="2"/>
  <c r="AB959" i="2"/>
  <c r="AB967" i="2"/>
  <c r="AB940" i="2"/>
  <c r="AB948" i="2"/>
  <c r="AB952" i="2"/>
  <c r="AB960" i="2"/>
  <c r="AB964" i="2"/>
  <c r="AB941" i="2"/>
  <c r="AB968" i="2"/>
  <c r="AB953" i="2"/>
  <c r="AB956" i="2"/>
  <c r="AB945" i="2"/>
  <c r="AB965" i="2"/>
  <c r="AB949" i="2"/>
  <c r="AB957" i="2"/>
  <c r="AA957" i="2"/>
  <c r="AB946" i="2"/>
  <c r="AB961" i="2"/>
  <c r="AB969" i="2"/>
  <c r="AB958" i="2"/>
  <c r="AB942" i="2"/>
  <c r="AB950" i="2"/>
  <c r="AB944" i="2"/>
  <c r="AB954" i="2"/>
  <c r="AB962" i="2"/>
  <c r="AB939" i="2"/>
  <c r="AB966" i="2"/>
  <c r="AB943" i="2"/>
  <c r="AB951" i="2"/>
  <c r="AB947" i="2"/>
  <c r="AB955" i="2"/>
  <c r="AB963" i="2"/>
  <c r="AB926" i="2"/>
  <c r="AB938" i="2"/>
  <c r="AB919" i="2"/>
  <c r="AB931" i="2"/>
  <c r="AB925" i="2"/>
  <c r="AB924" i="2"/>
  <c r="AB930" i="2"/>
  <c r="AB936" i="2"/>
  <c r="AB937" i="2"/>
  <c r="AB929" i="2"/>
  <c r="AB923" i="2"/>
  <c r="AB922" i="2"/>
  <c r="AB935" i="2"/>
  <c r="AB934" i="2"/>
  <c r="AB928" i="2"/>
  <c r="AB927" i="2"/>
  <c r="AB921" i="2"/>
  <c r="AB920" i="2"/>
  <c r="AB933" i="2"/>
  <c r="AB932" i="2"/>
  <c r="AB913" i="2"/>
  <c r="AB906" i="2"/>
  <c r="AB918" i="2"/>
  <c r="AB911" i="2"/>
  <c r="AB904" i="2"/>
  <c r="AB905" i="2"/>
  <c r="AB916" i="2"/>
  <c r="AB917" i="2"/>
  <c r="AB909" i="2"/>
  <c r="AB903" i="2"/>
  <c r="AB902" i="2"/>
  <c r="AA902" i="2"/>
  <c r="AB915" i="2"/>
  <c r="AB914" i="2"/>
  <c r="AB910" i="2"/>
  <c r="AB907" i="2"/>
  <c r="AB908" i="2"/>
  <c r="AB900" i="2"/>
  <c r="AB901" i="2"/>
  <c r="AB912" i="2"/>
  <c r="AB899" i="2"/>
  <c r="AB842" i="2"/>
  <c r="AB828" i="2"/>
  <c r="AB826" i="2"/>
  <c r="AB861" i="2"/>
  <c r="AB865" i="2"/>
  <c r="AB839" i="2"/>
  <c r="AB854" i="2"/>
  <c r="AB840" i="2"/>
  <c r="AB838" i="2"/>
  <c r="AB843" i="2"/>
  <c r="AB877" i="2"/>
  <c r="AB851" i="2"/>
  <c r="AB866" i="2"/>
  <c r="AB852" i="2"/>
  <c r="AB850" i="2"/>
  <c r="AB824" i="2"/>
  <c r="AB889" i="2"/>
  <c r="AB863" i="2"/>
  <c r="AB878" i="2"/>
  <c r="AB864" i="2"/>
  <c r="AB862" i="2"/>
  <c r="AB836" i="2"/>
  <c r="AB829" i="2"/>
  <c r="AB875" i="2"/>
  <c r="AB890" i="2"/>
  <c r="AB876" i="2"/>
  <c r="AB874" i="2"/>
  <c r="AB848" i="2"/>
  <c r="AB834" i="2"/>
  <c r="AB887" i="2"/>
  <c r="AB823" i="2"/>
  <c r="AB888" i="2"/>
  <c r="AB886" i="2"/>
  <c r="AB860" i="2"/>
  <c r="AB846" i="2"/>
  <c r="AB831" i="2"/>
  <c r="AB835" i="2"/>
  <c r="AB833" i="2"/>
  <c r="AB898" i="2"/>
  <c r="AB872" i="2"/>
  <c r="AB858" i="2"/>
  <c r="AA832" i="2"/>
  <c r="AB832" i="2"/>
  <c r="AB847" i="2"/>
  <c r="AB845" i="2"/>
  <c r="AB855" i="2"/>
  <c r="AB884" i="2"/>
  <c r="AB870" i="2"/>
  <c r="AB844" i="2"/>
  <c r="AB825" i="2"/>
  <c r="AB859" i="2"/>
  <c r="AB857" i="2"/>
  <c r="AB867" i="2"/>
  <c r="AB896" i="2"/>
  <c r="AB882" i="2"/>
  <c r="AB856" i="2"/>
  <c r="AB885" i="2"/>
  <c r="AB871" i="2"/>
  <c r="AB869" i="2"/>
  <c r="AB879" i="2"/>
  <c r="AB873" i="2"/>
  <c r="AB894" i="2"/>
  <c r="AB868" i="2"/>
  <c r="AB897" i="2"/>
  <c r="AB883" i="2"/>
  <c r="AB881" i="2"/>
  <c r="AB891" i="2"/>
  <c r="AB841" i="2"/>
  <c r="AB849" i="2"/>
  <c r="AB880" i="2"/>
  <c r="AB830" i="2"/>
  <c r="AB895" i="2"/>
  <c r="AB893" i="2"/>
  <c r="AB837" i="2"/>
  <c r="AB853" i="2"/>
  <c r="AB827" i="2"/>
  <c r="AB892" i="2"/>
  <c r="AB812" i="2"/>
  <c r="AB809" i="2"/>
  <c r="AB817" i="2"/>
  <c r="AB810" i="2"/>
  <c r="AB822" i="2"/>
  <c r="AB815" i="2"/>
  <c r="AB808" i="2"/>
  <c r="AB820" i="2"/>
  <c r="AB813" i="2"/>
  <c r="AB821" i="2"/>
  <c r="AB818" i="2"/>
  <c r="AB814" i="2"/>
  <c r="AB811" i="2"/>
  <c r="AB819" i="2"/>
  <c r="AB816" i="2"/>
  <c r="AB801" i="2"/>
  <c r="AB806" i="2"/>
  <c r="AB804" i="2"/>
  <c r="AB802" i="2"/>
  <c r="AB807" i="2"/>
  <c r="AB800" i="2"/>
  <c r="AB805" i="2"/>
  <c r="AB803" i="2"/>
  <c r="AB798" i="2"/>
  <c r="AB799" i="2"/>
  <c r="AB797" i="2"/>
  <c r="AB796" i="2"/>
  <c r="AB795" i="2"/>
  <c r="T58" i="32"/>
  <c r="T257" i="32"/>
  <c r="T122" i="32"/>
  <c r="T21" i="32"/>
  <c r="T259" i="32"/>
  <c r="T258" i="32"/>
  <c r="Z734" i="2"/>
  <c r="AB734" i="2" s="1"/>
  <c r="AK660" i="2"/>
  <c r="AK674" i="2"/>
  <c r="AK615" i="2"/>
  <c r="Z692" i="2"/>
  <c r="AB692" i="2" s="1"/>
  <c r="AK669" i="2"/>
  <c r="AK659" i="2"/>
  <c r="Z628" i="2"/>
  <c r="AB628" i="2" s="1"/>
  <c r="Y793" i="2"/>
  <c r="AC793" i="2" s="1"/>
  <c r="Y791" i="2"/>
  <c r="AC791" i="2" s="1"/>
  <c r="Y794" i="2"/>
  <c r="AC794" i="2" s="1"/>
  <c r="W793" i="2"/>
  <c r="W792" i="2"/>
  <c r="Y792" i="2"/>
  <c r="AC792" i="2" s="1"/>
  <c r="W791" i="2"/>
  <c r="W794" i="2"/>
  <c r="Z758" i="2"/>
  <c r="AB758" i="2" s="1"/>
  <c r="AK678" i="2"/>
  <c r="AB794" i="2"/>
  <c r="AB793" i="2"/>
  <c r="AB792" i="2"/>
  <c r="AB791" i="2"/>
  <c r="AK703" i="2"/>
  <c r="AK681" i="2"/>
  <c r="W785" i="2"/>
  <c r="Z623" i="2"/>
  <c r="AB623" i="2" s="1"/>
  <c r="W773" i="2"/>
  <c r="W765" i="2"/>
  <c r="W779" i="2"/>
  <c r="W789" i="2"/>
  <c r="W767" i="2"/>
  <c r="W778" i="2"/>
  <c r="W788" i="2"/>
  <c r="W766" i="2"/>
  <c r="W777" i="2"/>
  <c r="W761" i="2"/>
  <c r="W790" i="2"/>
  <c r="W787" i="2"/>
  <c r="W760" i="2"/>
  <c r="W775" i="2"/>
  <c r="W782" i="2"/>
  <c r="W762" i="2"/>
  <c r="W780" i="2"/>
  <c r="W769" i="2"/>
  <c r="W781" i="2"/>
  <c r="W764" i="2"/>
  <c r="W774" i="2"/>
  <c r="W758" i="2"/>
  <c r="W772" i="2"/>
  <c r="W770" i="2"/>
  <c r="W783" i="2"/>
  <c r="W771" i="2"/>
  <c r="Y759" i="2"/>
  <c r="AC759" i="2" s="1"/>
  <c r="Y763" i="2"/>
  <c r="AC763" i="2" s="1"/>
  <c r="Y784" i="2"/>
  <c r="AC784" i="2" s="1"/>
  <c r="Y768" i="2"/>
  <c r="AC768" i="2" s="1"/>
  <c r="Y786" i="2"/>
  <c r="AC786" i="2" s="1"/>
  <c r="Y776" i="2"/>
  <c r="AC776" i="2" s="1"/>
  <c r="Y788" i="2"/>
  <c r="AC788" i="2" s="1"/>
  <c r="Y760" i="2"/>
  <c r="AC760" i="2" s="1"/>
  <c r="Y778" i="2"/>
  <c r="AC778" i="2" s="1"/>
  <c r="Y775" i="2"/>
  <c r="AC775" i="2" s="1"/>
  <c r="Y766" i="2"/>
  <c r="AC766" i="2" s="1"/>
  <c r="Y783" i="2"/>
  <c r="AC783" i="2" s="1"/>
  <c r="Y787" i="2"/>
  <c r="AC787" i="2" s="1"/>
  <c r="Y781" i="2"/>
  <c r="AC781" i="2" s="1"/>
  <c r="Y777" i="2"/>
  <c r="AC777" i="2" s="1"/>
  <c r="Y758" i="2"/>
  <c r="AC758" i="2" s="1"/>
  <c r="Y769" i="2"/>
  <c r="AC769" i="2" s="1"/>
  <c r="Y765" i="2"/>
  <c r="AC765" i="2" s="1"/>
  <c r="W786" i="2"/>
  <c r="W784" i="2"/>
  <c r="Y790" i="2"/>
  <c r="AC790" i="2" s="1"/>
  <c r="Y772" i="2"/>
  <c r="AC772" i="2" s="1"/>
  <c r="Y774" i="2"/>
  <c r="AC774" i="2" s="1"/>
  <c r="W768" i="2"/>
  <c r="W776" i="2"/>
  <c r="Y780" i="2"/>
  <c r="AC780" i="2" s="1"/>
  <c r="Y782" i="2"/>
  <c r="AC782" i="2" s="1"/>
  <c r="Y762" i="2"/>
  <c r="AC762" i="2" s="1"/>
  <c r="Y770" i="2"/>
  <c r="AC770" i="2" s="1"/>
  <c r="Y771" i="2"/>
  <c r="AC771" i="2" s="1"/>
  <c r="Y789" i="2"/>
  <c r="AC789" i="2" s="1"/>
  <c r="Y785" i="2"/>
  <c r="AC785" i="2" s="1"/>
  <c r="Y779" i="2"/>
  <c r="AC779" i="2" s="1"/>
  <c r="Y773" i="2"/>
  <c r="AC773" i="2" s="1"/>
  <c r="W763" i="2"/>
  <c r="W759" i="2"/>
  <c r="Y767" i="2"/>
  <c r="AC767" i="2" s="1"/>
  <c r="Y764" i="2"/>
  <c r="AC764" i="2" s="1"/>
  <c r="Y761" i="2"/>
  <c r="AC761" i="2" s="1"/>
  <c r="AB785" i="2"/>
  <c r="AB769" i="2"/>
  <c r="AB777" i="2"/>
  <c r="AB773" i="2"/>
  <c r="AB761" i="2"/>
  <c r="AB780" i="2"/>
  <c r="AB786" i="2"/>
  <c r="AB784" i="2"/>
  <c r="AB768" i="2"/>
  <c r="AB776" i="2"/>
  <c r="AB772" i="2"/>
  <c r="AB781" i="2"/>
  <c r="AB764" i="2"/>
  <c r="AB760" i="2"/>
  <c r="AB790" i="2"/>
  <c r="AB789" i="2"/>
  <c r="AB783" i="2"/>
  <c r="AB779" i="2"/>
  <c r="AB775" i="2"/>
  <c r="AB771" i="2"/>
  <c r="AB767" i="2"/>
  <c r="AB763" i="2"/>
  <c r="AB759" i="2"/>
  <c r="AB765" i="2"/>
  <c r="AB788" i="2"/>
  <c r="AB782" i="2"/>
  <c r="AB778" i="2"/>
  <c r="AB774" i="2"/>
  <c r="AB770" i="2"/>
  <c r="AB787" i="2"/>
  <c r="AB766" i="2"/>
  <c r="AB762" i="2"/>
  <c r="W757" i="2"/>
  <c r="Y757" i="2"/>
  <c r="Z649" i="2"/>
  <c r="AB649" i="2" s="1"/>
  <c r="AK671" i="2"/>
  <c r="AK652" i="2"/>
  <c r="AK661" i="2"/>
  <c r="Z645" i="2"/>
  <c r="AB645" i="2" s="1"/>
  <c r="Z653" i="2"/>
  <c r="AB653" i="2" s="1"/>
  <c r="Z690" i="2"/>
  <c r="AB690" i="2" s="1"/>
  <c r="AK657" i="2"/>
  <c r="Z642" i="2"/>
  <c r="AB642" i="2" s="1"/>
  <c r="AK654" i="2"/>
  <c r="L159" i="21"/>
  <c r="Z648" i="2"/>
  <c r="AB648" i="2" s="1"/>
  <c r="Z712" i="2"/>
  <c r="AB712" i="2" s="1"/>
  <c r="AK656" i="2"/>
  <c r="AK655" i="2"/>
  <c r="Z651" i="2"/>
  <c r="AB651" i="2" s="1"/>
  <c r="Z667" i="2"/>
  <c r="AB667" i="2" s="1"/>
  <c r="Z591" i="2"/>
  <c r="AB591" i="2" s="1"/>
  <c r="Z635" i="2"/>
  <c r="AB635" i="2" s="1"/>
  <c r="Z650" i="2"/>
  <c r="AB650" i="2" s="1"/>
  <c r="Y740" i="2"/>
  <c r="AC740" i="2" s="1"/>
  <c r="Y741" i="2"/>
  <c r="AC741" i="2" s="1"/>
  <c r="Z610" i="2"/>
  <c r="AB610" i="2" s="1"/>
  <c r="AK610" i="2"/>
  <c r="Y716" i="2"/>
  <c r="AC716" i="2" s="1"/>
  <c r="Y746" i="2"/>
  <c r="AC746" i="2" s="1"/>
  <c r="Y714" i="2"/>
  <c r="AC714" i="2" s="1"/>
  <c r="Y751" i="2"/>
  <c r="AC751" i="2" s="1"/>
  <c r="Y83" i="2"/>
  <c r="M83" i="23" s="1"/>
  <c r="W578" i="2"/>
  <c r="W691" i="2"/>
  <c r="Y696" i="2"/>
  <c r="AC696" i="2" s="1"/>
  <c r="W735" i="2"/>
  <c r="Y115" i="2"/>
  <c r="AC115" i="2" s="1"/>
  <c r="AK707" i="2"/>
  <c r="Y717" i="2"/>
  <c r="AC717" i="2" s="1"/>
  <c r="Z630" i="2"/>
  <c r="AB630" i="2" s="1"/>
  <c r="AK710" i="2"/>
  <c r="W689" i="2"/>
  <c r="Z638" i="2"/>
  <c r="AB638" i="2" s="1"/>
  <c r="Y672" i="2"/>
  <c r="AC672" i="2" s="1"/>
  <c r="W752" i="2"/>
  <c r="W712" i="2"/>
  <c r="W729" i="2"/>
  <c r="Y753" i="2"/>
  <c r="AC753" i="2" s="1"/>
  <c r="Y730" i="2"/>
  <c r="AC730" i="2" s="1"/>
  <c r="W739" i="2"/>
  <c r="W725" i="2"/>
  <c r="Y738" i="2"/>
  <c r="AC738" i="2" s="1"/>
  <c r="Y733" i="2"/>
  <c r="AC733" i="2" s="1"/>
  <c r="Y726" i="2"/>
  <c r="AC726" i="2" s="1"/>
  <c r="W724" i="2"/>
  <c r="Y732" i="2"/>
  <c r="AC732" i="2" s="1"/>
  <c r="Y687" i="2"/>
  <c r="AC687" i="2" s="1"/>
  <c r="W755" i="2"/>
  <c r="AC718" i="2"/>
  <c r="W750" i="2"/>
  <c r="Y727" i="2"/>
  <c r="AC727" i="2" s="1"/>
  <c r="W745" i="2"/>
  <c r="W748" i="2"/>
  <c r="W719" i="2"/>
  <c r="Y728" i="2"/>
  <c r="AC728" i="2" s="1"/>
  <c r="Y723" i="2"/>
  <c r="AC723" i="2" s="1"/>
  <c r="W749" i="2"/>
  <c r="W731" i="2"/>
  <c r="W744" i="2"/>
  <c r="W747" i="2"/>
  <c r="W743" i="2"/>
  <c r="Y756" i="2"/>
  <c r="AC756" i="2" s="1"/>
  <c r="Y720" i="2"/>
  <c r="AC720" i="2" s="1"/>
  <c r="W734" i="2"/>
  <c r="Y742" i="2"/>
  <c r="AC742" i="2" s="1"/>
  <c r="W721" i="2"/>
  <c r="Y736" i="2"/>
  <c r="AC736" i="2" s="1"/>
  <c r="Y737" i="2"/>
  <c r="AC737" i="2" s="1"/>
  <c r="Y754" i="2"/>
  <c r="AC754" i="2" s="1"/>
  <c r="W722" i="2"/>
  <c r="W746" i="2"/>
  <c r="Y752" i="2"/>
  <c r="AC752" i="2" s="1"/>
  <c r="W718" i="2"/>
  <c r="W751" i="2"/>
  <c r="Y744" i="2"/>
  <c r="AC744" i="2" s="1"/>
  <c r="W741" i="2"/>
  <c r="Y745" i="2"/>
  <c r="AC745" i="2" s="1"/>
  <c r="Y750" i="2"/>
  <c r="AC750" i="2" s="1"/>
  <c r="W720" i="2"/>
  <c r="W742" i="2"/>
  <c r="Y734" i="2"/>
  <c r="AC734" i="2" s="1"/>
  <c r="Y735" i="2"/>
  <c r="AC735" i="2" s="1"/>
  <c r="Y743" i="2"/>
  <c r="AC743" i="2" s="1"/>
  <c r="W756" i="2"/>
  <c r="W740" i="2"/>
  <c r="Y719" i="2"/>
  <c r="AC719" i="2" s="1"/>
  <c r="Y748" i="2"/>
  <c r="AC748" i="2" s="1"/>
  <c r="W727" i="2"/>
  <c r="W733" i="2"/>
  <c r="Y749" i="2"/>
  <c r="AC749" i="2" s="1"/>
  <c r="W723" i="2"/>
  <c r="W728" i="2"/>
  <c r="Y731" i="2"/>
  <c r="AC731" i="2" s="1"/>
  <c r="Y724" i="2"/>
  <c r="AC724" i="2" s="1"/>
  <c r="W738" i="2"/>
  <c r="Y747" i="2"/>
  <c r="AC747" i="2" s="1"/>
  <c r="Y755" i="2"/>
  <c r="AC755" i="2" s="1"/>
  <c r="W726" i="2"/>
  <c r="W732" i="2"/>
  <c r="W717" i="2"/>
  <c r="Y721" i="2"/>
  <c r="AC721" i="2" s="1"/>
  <c r="W754" i="2"/>
  <c r="W736" i="2"/>
  <c r="Y722" i="2"/>
  <c r="AC722" i="2" s="1"/>
  <c r="W737" i="2"/>
  <c r="W716" i="2"/>
  <c r="Y729" i="2"/>
  <c r="AC729" i="2" s="1"/>
  <c r="Y739" i="2"/>
  <c r="AC739" i="2" s="1"/>
  <c r="Y725" i="2"/>
  <c r="AC725" i="2" s="1"/>
  <c r="W753" i="2"/>
  <c r="W730" i="2"/>
  <c r="AB729" i="2"/>
  <c r="AB742" i="2"/>
  <c r="AB725" i="2"/>
  <c r="AB749" i="2"/>
  <c r="AB731" i="2"/>
  <c r="AB756" i="2"/>
  <c r="AB722" i="2"/>
  <c r="AB737" i="2"/>
  <c r="AB726" i="2"/>
  <c r="AB720" i="2"/>
  <c r="AB717" i="2"/>
  <c r="AB733" i="2"/>
  <c r="AB754" i="2"/>
  <c r="AB739" i="2"/>
  <c r="AB755" i="2"/>
  <c r="AB732" i="2"/>
  <c r="AB748" i="2"/>
  <c r="AB724" i="2"/>
  <c r="AB750" i="2"/>
  <c r="AB721" i="2"/>
  <c r="AB746" i="2"/>
  <c r="AB727" i="2"/>
  <c r="AB743" i="2"/>
  <c r="AB736" i="2"/>
  <c r="AB752" i="2"/>
  <c r="AB718" i="2"/>
  <c r="AB738" i="2"/>
  <c r="AB747" i="2"/>
  <c r="AB740" i="2"/>
  <c r="AB719" i="2"/>
  <c r="AB723" i="2"/>
  <c r="AB716" i="2"/>
  <c r="AB745" i="2"/>
  <c r="AB730" i="2"/>
  <c r="AB741" i="2"/>
  <c r="AB735" i="2"/>
  <c r="AB751" i="2"/>
  <c r="AB728" i="2"/>
  <c r="AB744" i="2"/>
  <c r="J32" i="23"/>
  <c r="Z596" i="2"/>
  <c r="AB596" i="2" s="1"/>
  <c r="W684" i="2"/>
  <c r="AK664" i="2"/>
  <c r="Z637" i="2"/>
  <c r="AB637" i="2" s="1"/>
  <c r="W697" i="2"/>
  <c r="Y709" i="2"/>
  <c r="AC709" i="2" s="1"/>
  <c r="Y695" i="2"/>
  <c r="AC695" i="2" s="1"/>
  <c r="Y703" i="2"/>
  <c r="AC703" i="2" s="1"/>
  <c r="Y705" i="2"/>
  <c r="AC705" i="2" s="1"/>
  <c r="W710" i="2"/>
  <c r="W713" i="2"/>
  <c r="W704" i="2"/>
  <c r="Y711" i="2"/>
  <c r="AC711" i="2" s="1"/>
  <c r="Y699" i="2"/>
  <c r="AC699" i="2" s="1"/>
  <c r="Y707" i="2"/>
  <c r="AC707" i="2" s="1"/>
  <c r="Y715" i="2"/>
  <c r="AC715" i="2" s="1"/>
  <c r="Y693" i="2"/>
  <c r="AC693" i="2" s="1"/>
  <c r="Y701" i="2"/>
  <c r="AC701" i="2" s="1"/>
  <c r="Y708" i="2"/>
  <c r="AC708" i="2" s="1"/>
  <c r="Y698" i="2"/>
  <c r="AC698" i="2" s="1"/>
  <c r="Y706" i="2"/>
  <c r="AC706" i="2" s="1"/>
  <c r="Y692" i="2"/>
  <c r="AC692" i="2" s="1"/>
  <c r="Y700" i="2"/>
  <c r="AC700" i="2" s="1"/>
  <c r="Y694" i="2"/>
  <c r="AC694" i="2" s="1"/>
  <c r="Y702" i="2"/>
  <c r="AC702" i="2" s="1"/>
  <c r="Y697" i="2"/>
  <c r="AC697" i="2" s="1"/>
  <c r="W698" i="2"/>
  <c r="W706" i="2"/>
  <c r="W692" i="2"/>
  <c r="W700" i="2"/>
  <c r="W708" i="2"/>
  <c r="W696" i="2"/>
  <c r="W694" i="2"/>
  <c r="W702" i="2"/>
  <c r="W711" i="2"/>
  <c r="Y712" i="2"/>
  <c r="AC712" i="2" s="1"/>
  <c r="Y710" i="2"/>
  <c r="AC710" i="2" s="1"/>
  <c r="W705" i="2"/>
  <c r="Y713" i="2"/>
  <c r="AC713" i="2" s="1"/>
  <c r="W699" i="2"/>
  <c r="W707" i="2"/>
  <c r="W715" i="2"/>
  <c r="Y704" i="2"/>
  <c r="AC704" i="2" s="1"/>
  <c r="W693" i="2"/>
  <c r="W701" i="2"/>
  <c r="W709" i="2"/>
  <c r="W695" i="2"/>
  <c r="W703" i="2"/>
  <c r="W714" i="2"/>
  <c r="AB710" i="2"/>
  <c r="AB708" i="2"/>
  <c r="AB714" i="2"/>
  <c r="AB711" i="2"/>
  <c r="AB709" i="2"/>
  <c r="AB715" i="2"/>
  <c r="AB713" i="2"/>
  <c r="AB701" i="2"/>
  <c r="AB702" i="2"/>
  <c r="AB700" i="2"/>
  <c r="AB703" i="2"/>
  <c r="AB706" i="2"/>
  <c r="AB704" i="2"/>
  <c r="AB707" i="2"/>
  <c r="AB705" i="2"/>
  <c r="AB694" i="2"/>
  <c r="AB698" i="2"/>
  <c r="AB696" i="2"/>
  <c r="AB695" i="2"/>
  <c r="AB693" i="2"/>
  <c r="AB699" i="2"/>
  <c r="AB697" i="2"/>
  <c r="Y619" i="2"/>
  <c r="AC619" i="2" s="1"/>
  <c r="W664" i="2"/>
  <c r="Y683" i="2"/>
  <c r="AC683" i="2" s="1"/>
  <c r="Y676" i="2"/>
  <c r="AC676" i="2" s="1"/>
  <c r="W680" i="2"/>
  <c r="W678" i="2"/>
  <c r="Y681" i="2"/>
  <c r="AC681" i="2" s="1"/>
  <c r="Y679" i="2"/>
  <c r="AC679" i="2" s="1"/>
  <c r="Y686" i="2"/>
  <c r="AC686" i="2" s="1"/>
  <c r="W688" i="2"/>
  <c r="W677" i="2"/>
  <c r="W690" i="2"/>
  <c r="Y682" i="2"/>
  <c r="AC682" i="2" s="1"/>
  <c r="W685" i="2"/>
  <c r="W686" i="2"/>
  <c r="Y690" i="2"/>
  <c r="AC690" i="2" s="1"/>
  <c r="Y685" i="2"/>
  <c r="AC685" i="2" s="1"/>
  <c r="Y691" i="2"/>
  <c r="AC691" i="2" s="1"/>
  <c r="Y677" i="2"/>
  <c r="AC677" i="2" s="1"/>
  <c r="W676" i="2"/>
  <c r="Y680" i="2"/>
  <c r="AC680" i="2" s="1"/>
  <c r="W687" i="2"/>
  <c r="Y688" i="2"/>
  <c r="AC688" i="2" s="1"/>
  <c r="W681" i="2"/>
  <c r="Y689" i="2"/>
  <c r="AC689" i="2" s="1"/>
  <c r="W682" i="2"/>
  <c r="W679" i="2"/>
  <c r="Y678" i="2"/>
  <c r="AC678" i="2" s="1"/>
  <c r="Y684" i="2"/>
  <c r="AC684" i="2" s="1"/>
  <c r="W683" i="2"/>
  <c r="AB684" i="2"/>
  <c r="AB688" i="2"/>
  <c r="AB685" i="2"/>
  <c r="AB691" i="2"/>
  <c r="AB687" i="2"/>
  <c r="AB686" i="2"/>
  <c r="AB689" i="2"/>
  <c r="AB680" i="2"/>
  <c r="AB683" i="2"/>
  <c r="AB682" i="2"/>
  <c r="AB677" i="2"/>
  <c r="AB678" i="2"/>
  <c r="AB676" i="2"/>
  <c r="AB679" i="2"/>
  <c r="AB681" i="2"/>
  <c r="Y579" i="2"/>
  <c r="AC579" i="2" s="1"/>
  <c r="AK621" i="2"/>
  <c r="Y8" i="2"/>
  <c r="M8" i="23" s="1"/>
  <c r="Y631" i="2"/>
  <c r="AC631" i="2" s="1"/>
  <c r="Y632" i="2"/>
  <c r="AC632" i="2" s="1"/>
  <c r="Y665" i="2"/>
  <c r="AC665" i="2" s="1"/>
  <c r="Y99" i="2"/>
  <c r="AC99" i="2" s="1"/>
  <c r="Y655" i="2"/>
  <c r="AC655" i="2" s="1"/>
  <c r="W663" i="2"/>
  <c r="Y670" i="2"/>
  <c r="AC670" i="2" s="1"/>
  <c r="Y674" i="2"/>
  <c r="AC674" i="2" s="1"/>
  <c r="Y647" i="2"/>
  <c r="AC647" i="2" s="1"/>
  <c r="Y653" i="2"/>
  <c r="AC653" i="2" s="1"/>
  <c r="Y657" i="2"/>
  <c r="AC657" i="2" s="1"/>
  <c r="Y656" i="2"/>
  <c r="AC656" i="2" s="1"/>
  <c r="Y649" i="2"/>
  <c r="AC649" i="2" s="1"/>
  <c r="W659" i="2"/>
  <c r="Y668" i="2"/>
  <c r="AC668" i="2" s="1"/>
  <c r="W651" i="2"/>
  <c r="W654" i="2"/>
  <c r="W662" i="2"/>
  <c r="W675" i="2"/>
  <c r="W667" i="2"/>
  <c r="W669" i="2"/>
  <c r="W650" i="2"/>
  <c r="Y671" i="2"/>
  <c r="AC671" i="2" s="1"/>
  <c r="W660" i="2"/>
  <c r="Y673" i="2"/>
  <c r="AC673" i="2" s="1"/>
  <c r="Y661" i="2"/>
  <c r="AC661" i="2" s="1"/>
  <c r="W652" i="2"/>
  <c r="W646" i="2"/>
  <c r="Y648" i="2"/>
  <c r="AC648" i="2" s="1"/>
  <c r="Y666" i="2"/>
  <c r="AC666" i="2" s="1"/>
  <c r="Y658" i="2"/>
  <c r="AC658" i="2" s="1"/>
  <c r="W656" i="2"/>
  <c r="W671" i="2"/>
  <c r="Y654" i="2"/>
  <c r="AC654" i="2" s="1"/>
  <c r="W648" i="2"/>
  <c r="W672" i="2"/>
  <c r="Y669" i="2"/>
  <c r="AC669" i="2" s="1"/>
  <c r="Y650" i="2"/>
  <c r="AC650" i="2" s="1"/>
  <c r="W657" i="2"/>
  <c r="W653" i="2"/>
  <c r="Y662" i="2"/>
  <c r="AC662" i="2" s="1"/>
  <c r="Y667" i="2"/>
  <c r="AC667" i="2" s="1"/>
  <c r="W670" i="2"/>
  <c r="W674" i="2"/>
  <c r="Y652" i="2"/>
  <c r="AC652" i="2" s="1"/>
  <c r="Y646" i="2"/>
  <c r="AC646" i="2" s="1"/>
  <c r="Y660" i="2"/>
  <c r="AC660" i="2" s="1"/>
  <c r="Y664" i="2"/>
  <c r="AC664" i="2" s="1"/>
  <c r="W673" i="2"/>
  <c r="W658" i="2"/>
  <c r="W661" i="2"/>
  <c r="Y659" i="2"/>
  <c r="AC659" i="2" s="1"/>
  <c r="W666" i="2"/>
  <c r="W668" i="2"/>
  <c r="Y675" i="2"/>
  <c r="AC675" i="2" s="1"/>
  <c r="W649" i="2"/>
  <c r="W655" i="2"/>
  <c r="Y651" i="2"/>
  <c r="AC651" i="2" s="1"/>
  <c r="Y663" i="2"/>
  <c r="AC663" i="2" s="1"/>
  <c r="W665" i="2"/>
  <c r="W647" i="2"/>
  <c r="AB660" i="2"/>
  <c r="AB672" i="2"/>
  <c r="AB652" i="2"/>
  <c r="AB663" i="2"/>
  <c r="AB658" i="2"/>
  <c r="AB674" i="2"/>
  <c r="AB665" i="2"/>
  <c r="AB670" i="2"/>
  <c r="AB656" i="2"/>
  <c r="AB671" i="2"/>
  <c r="AB655" i="2"/>
  <c r="AB646" i="2"/>
  <c r="AB662" i="2"/>
  <c r="AB664" i="2"/>
  <c r="AB669" i="2"/>
  <c r="AB654" i="2"/>
  <c r="AB661" i="2"/>
  <c r="AB675" i="2"/>
  <c r="AB659" i="2"/>
  <c r="AB647" i="2"/>
  <c r="AB666" i="2"/>
  <c r="AB668" i="2"/>
  <c r="AB657" i="2"/>
  <c r="AB673" i="2"/>
  <c r="AK603" i="2"/>
  <c r="L261" i="21"/>
  <c r="Z599" i="2"/>
  <c r="AB599" i="2" s="1"/>
  <c r="AK524" i="2"/>
  <c r="AQ509" i="2"/>
  <c r="AK503" i="2"/>
  <c r="AK527" i="2"/>
  <c r="AK518" i="2"/>
  <c r="Z519" i="2"/>
  <c r="AB519" i="2" s="1"/>
  <c r="AK528" i="2"/>
  <c r="AK525" i="2"/>
  <c r="AQ514" i="2"/>
  <c r="AK548" i="2"/>
  <c r="AQ506" i="2"/>
  <c r="AQ520" i="2"/>
  <c r="AQ508" i="2"/>
  <c r="AK515" i="2"/>
  <c r="AQ512" i="2"/>
  <c r="AK526" i="2"/>
  <c r="AQ513" i="2"/>
  <c r="AK521" i="2"/>
  <c r="Z255" i="2"/>
  <c r="O255" i="23" s="1"/>
  <c r="S392" i="26"/>
  <c r="Z120" i="2"/>
  <c r="O120" i="23" s="1"/>
  <c r="Z105" i="2"/>
  <c r="O105" i="23" s="1"/>
  <c r="T105" i="23" s="1"/>
  <c r="Z114" i="2"/>
  <c r="AB114" i="2" s="1"/>
  <c r="Z588" i="2"/>
  <c r="AB588" i="2" s="1"/>
  <c r="Z19" i="2"/>
  <c r="AB19" i="2" s="1"/>
  <c r="G183" i="23"/>
  <c r="S183" i="23" s="1"/>
  <c r="Z99" i="2"/>
  <c r="O99" i="23" s="1"/>
  <c r="L186" i="21"/>
  <c r="Z26" i="2"/>
  <c r="AB26" i="2" s="1"/>
  <c r="G105" i="23"/>
  <c r="P105" i="23" s="1"/>
  <c r="Q105" i="23" s="1"/>
  <c r="N160" i="23"/>
  <c r="Z100" i="2"/>
  <c r="AB100" i="2" s="1"/>
  <c r="G255" i="23"/>
  <c r="N255" i="23" s="1"/>
  <c r="Z377" i="2"/>
  <c r="AB377" i="2" s="1"/>
  <c r="S8" i="23"/>
  <c r="Z29" i="2"/>
  <c r="O29" i="23" s="1"/>
  <c r="Z36" i="2"/>
  <c r="AB36" i="2" s="1"/>
  <c r="Z8" i="2"/>
  <c r="AB8" i="2" s="1"/>
  <c r="Z428" i="2"/>
  <c r="AB428" i="2" s="1"/>
  <c r="Z398" i="2"/>
  <c r="AB398" i="2" s="1"/>
  <c r="Z12" i="2"/>
  <c r="AB12" i="2" s="1"/>
  <c r="Z567" i="2"/>
  <c r="AB567" i="2" s="1"/>
  <c r="AQ161" i="2"/>
  <c r="U161" i="23" s="1"/>
  <c r="AQ153" i="2"/>
  <c r="U153" i="23" s="1"/>
  <c r="Z240" i="2"/>
  <c r="O240" i="23" s="1"/>
  <c r="Z569" i="2"/>
  <c r="AB569" i="2" s="1"/>
  <c r="Z583" i="2"/>
  <c r="AB583" i="2" s="1"/>
  <c r="Z456" i="2"/>
  <c r="AB456" i="2" s="1"/>
  <c r="AQ36" i="2"/>
  <c r="U36" i="23" s="1"/>
  <c r="AQ8" i="2"/>
  <c r="U8" i="23" s="1"/>
  <c r="S396" i="30"/>
  <c r="G161" i="23"/>
  <c r="S161" i="23" s="1"/>
  <c r="AQ217" i="2"/>
  <c r="U217" i="23" s="1"/>
  <c r="G153" i="23"/>
  <c r="N153" i="23" s="1"/>
  <c r="AV36" i="24"/>
  <c r="G240" i="23"/>
  <c r="S240" i="23" s="1"/>
  <c r="T347" i="2"/>
  <c r="AW73" i="24" s="1"/>
  <c r="Z161" i="2"/>
  <c r="AB161" i="2" s="1"/>
  <c r="AQ91" i="2"/>
  <c r="U91" i="23" s="1"/>
  <c r="S393" i="26"/>
  <c r="Z153" i="2"/>
  <c r="AB153" i="2" s="1"/>
  <c r="Z91" i="2"/>
  <c r="O91" i="23" s="1"/>
  <c r="N12" i="23"/>
  <c r="S36" i="23"/>
  <c r="AV96" i="24"/>
  <c r="AQ100" i="2"/>
  <c r="U100" i="23" s="1"/>
  <c r="T189" i="2"/>
  <c r="S333" i="32" s="1"/>
  <c r="AQ67" i="2"/>
  <c r="U67" i="23" s="1"/>
  <c r="AQ12" i="2"/>
  <c r="U12" i="23" s="1"/>
  <c r="S393" i="30"/>
  <c r="T237" i="2"/>
  <c r="AQ237" i="2" s="1"/>
  <c r="U237" i="23" s="1"/>
  <c r="Z46" i="2"/>
  <c r="AB46" i="2" s="1"/>
  <c r="AQ163" i="2"/>
  <c r="U163" i="23" s="1"/>
  <c r="Z124" i="2"/>
  <c r="O124" i="23" s="1"/>
  <c r="Z407" i="2"/>
  <c r="AB407" i="2" s="1"/>
  <c r="S282" i="26"/>
  <c r="N188" i="23"/>
  <c r="Z207" i="2"/>
  <c r="AB207" i="2" s="1"/>
  <c r="Z479" i="2"/>
  <c r="AB479" i="2" s="1"/>
  <c r="Z30" i="2"/>
  <c r="AB30" i="2" s="1"/>
  <c r="AQ168" i="2"/>
  <c r="U168" i="23" s="1"/>
  <c r="AQ29" i="2"/>
  <c r="U29" i="23" s="1"/>
  <c r="AQ272" i="2"/>
  <c r="U272" i="23" s="1"/>
  <c r="Z37" i="2"/>
  <c r="AB37" i="2" s="1"/>
  <c r="Z289" i="2"/>
  <c r="AB289" i="2" s="1"/>
  <c r="Z545" i="2"/>
  <c r="AB545" i="2" s="1"/>
  <c r="G254" i="23"/>
  <c r="N254" i="23" s="1"/>
  <c r="AQ156" i="2"/>
  <c r="U156" i="23" s="1"/>
  <c r="S356" i="30"/>
  <c r="AD66" i="24"/>
  <c r="S111" i="23"/>
  <c r="S24" i="23"/>
  <c r="Z159" i="2"/>
  <c r="AB159" i="2" s="1"/>
  <c r="Z495" i="2"/>
  <c r="AB495" i="2" s="1"/>
  <c r="Z451" i="2"/>
  <c r="AB451" i="2" s="1"/>
  <c r="Z204" i="2"/>
  <c r="AB204" i="2" s="1"/>
  <c r="AQ99" i="2"/>
  <c r="U99" i="23" s="1"/>
  <c r="Z145" i="2"/>
  <c r="AB145" i="2" s="1"/>
  <c r="Z163" i="2"/>
  <c r="AB163" i="2" s="1"/>
  <c r="Z254" i="2"/>
  <c r="AB254" i="2" s="1"/>
  <c r="Z272" i="2"/>
  <c r="AB272" i="2" s="1"/>
  <c r="Z565" i="2"/>
  <c r="AB565" i="2" s="1"/>
  <c r="AQ128" i="2"/>
  <c r="U128" i="23" s="1"/>
  <c r="AQ207" i="2"/>
  <c r="U207" i="23" s="1"/>
  <c r="T232" i="2"/>
  <c r="AK232" i="2" s="1"/>
  <c r="R232" i="23" s="1"/>
  <c r="Z80" i="2"/>
  <c r="O80" i="23" s="1"/>
  <c r="Z376" i="2"/>
  <c r="AB376" i="2" s="1"/>
  <c r="Z183" i="2"/>
  <c r="AB183" i="2" s="1"/>
  <c r="Z263" i="2"/>
  <c r="O263" i="23" s="1"/>
  <c r="Z370" i="2"/>
  <c r="AB370" i="2" s="1"/>
  <c r="Z530" i="2"/>
  <c r="AB530" i="2" s="1"/>
  <c r="Z86" i="2"/>
  <c r="O86" i="23" s="1"/>
  <c r="Z143" i="2"/>
  <c r="O143" i="23" s="1"/>
  <c r="G37" i="23"/>
  <c r="N37" i="23" s="1"/>
  <c r="T358" i="2"/>
  <c r="AQ358" i="2" s="1"/>
  <c r="T199" i="26" s="1"/>
  <c r="S309" i="30"/>
  <c r="Z554" i="2"/>
  <c r="AB554" i="2" s="1"/>
  <c r="Z523" i="2"/>
  <c r="AB523" i="2" s="1"/>
  <c r="Z580" i="2"/>
  <c r="AB580" i="2" s="1"/>
  <c r="Z408" i="2"/>
  <c r="AB408" i="2" s="1"/>
  <c r="Z482" i="2"/>
  <c r="AB482" i="2" s="1"/>
  <c r="Z467" i="2"/>
  <c r="AB467" i="2" s="1"/>
  <c r="Z537" i="2"/>
  <c r="AB537" i="2" s="1"/>
  <c r="Z538" i="2"/>
  <c r="AB538" i="2" s="1"/>
  <c r="Z564" i="2"/>
  <c r="AB564" i="2" s="1"/>
  <c r="Z406" i="2"/>
  <c r="AB406" i="2" s="1"/>
  <c r="Z478" i="2"/>
  <c r="AB478" i="2" s="1"/>
  <c r="Z460" i="2"/>
  <c r="AB460" i="2" s="1"/>
  <c r="Z172" i="2"/>
  <c r="AB172" i="2" s="1"/>
  <c r="Z186" i="2"/>
  <c r="AB186" i="2" s="1"/>
  <c r="Z273" i="2"/>
  <c r="AB273" i="2" s="1"/>
  <c r="S309" i="26"/>
  <c r="S35" i="23"/>
  <c r="S281" i="26"/>
  <c r="AQ48" i="2"/>
  <c r="U48" i="23" s="1"/>
  <c r="S40" i="23"/>
  <c r="G165" i="23"/>
  <c r="S165" i="23" s="1"/>
  <c r="Z462" i="2"/>
  <c r="AB462" i="2" s="1"/>
  <c r="AQ49" i="2"/>
  <c r="U49" i="23" s="1"/>
  <c r="Y609" i="2"/>
  <c r="AC609" i="2" s="1"/>
  <c r="Z170" i="2"/>
  <c r="AB170" i="2" s="1"/>
  <c r="Z9" i="2"/>
  <c r="O9" i="23" s="1"/>
  <c r="Z494" i="2"/>
  <c r="AB494" i="2" s="1"/>
  <c r="Z540" i="2"/>
  <c r="AB540" i="2" s="1"/>
  <c r="AQ140" i="2"/>
  <c r="U140" i="23" s="1"/>
  <c r="AQ88" i="2"/>
  <c r="U88" i="23" s="1"/>
  <c r="AQ9" i="2"/>
  <c r="U9" i="23" s="1"/>
  <c r="N9" i="23"/>
  <c r="T244" i="2"/>
  <c r="G244" i="23" s="1"/>
  <c r="N244" i="23" s="1"/>
  <c r="Z61" i="2"/>
  <c r="O61" i="23" s="1"/>
  <c r="AK275" i="2"/>
  <c r="R275" i="23" s="1"/>
  <c r="Z72" i="2"/>
  <c r="O72" i="23" s="1"/>
  <c r="Z166" i="2"/>
  <c r="AB166" i="2" s="1"/>
  <c r="Z534" i="2"/>
  <c r="AB534" i="2" s="1"/>
  <c r="Z129" i="2"/>
  <c r="AB129" i="2" s="1"/>
  <c r="Z44" i="2"/>
  <c r="O44" i="23" s="1"/>
  <c r="Z437" i="2"/>
  <c r="AB437" i="2" s="1"/>
  <c r="Z505" i="2"/>
  <c r="AB505" i="2" s="1"/>
  <c r="Z514" i="2"/>
  <c r="AB514" i="2" s="1"/>
  <c r="Z418" i="2"/>
  <c r="AB418" i="2" s="1"/>
  <c r="Z69" i="2"/>
  <c r="AB69" i="2" s="1"/>
  <c r="Z21" i="2"/>
  <c r="AA21" i="2" s="1"/>
  <c r="Z184" i="2"/>
  <c r="AB184" i="2" s="1"/>
  <c r="Z155" i="2"/>
  <c r="AB155" i="2" s="1"/>
  <c r="Z140" i="2"/>
  <c r="O140" i="23" s="1"/>
  <c r="Z169" i="2"/>
  <c r="AB169" i="2" s="1"/>
  <c r="Z257" i="2"/>
  <c r="O257" i="23" s="1"/>
  <c r="Z446" i="2"/>
  <c r="AB446" i="2" s="1"/>
  <c r="Z75" i="2"/>
  <c r="AB75" i="2" s="1"/>
  <c r="AQ273" i="2"/>
  <c r="U273" i="23" s="1"/>
  <c r="AQ517" i="2"/>
  <c r="G49" i="23"/>
  <c r="P49" i="23" s="1"/>
  <c r="Q49" i="23" s="1"/>
  <c r="AQ170" i="2"/>
  <c r="U170" i="23" s="1"/>
  <c r="Z101" i="2"/>
  <c r="AB101" i="2" s="1"/>
  <c r="Z220" i="2"/>
  <c r="AB220" i="2" s="1"/>
  <c r="Z195" i="2"/>
  <c r="AB195" i="2" s="1"/>
  <c r="S370" i="26"/>
  <c r="Z173" i="2"/>
  <c r="O173" i="23" s="1"/>
  <c r="Z337" i="2"/>
  <c r="AB337" i="2" s="1"/>
  <c r="Z513" i="2"/>
  <c r="AB513" i="2" s="1"/>
  <c r="Z444" i="2"/>
  <c r="AB444" i="2" s="1"/>
  <c r="Z447" i="2"/>
  <c r="AB447" i="2" s="1"/>
  <c r="S370" i="30"/>
  <c r="T344" i="2"/>
  <c r="Z344" i="2" s="1"/>
  <c r="AB344" i="2" s="1"/>
  <c r="AQ184" i="2"/>
  <c r="U184" i="23" s="1"/>
  <c r="AQ173" i="2"/>
  <c r="U173" i="23" s="1"/>
  <c r="AV56" i="24"/>
  <c r="AQ69" i="2"/>
  <c r="U69" i="23" s="1"/>
  <c r="Z171" i="2"/>
  <c r="O171" i="23" s="1"/>
  <c r="Z239" i="2"/>
  <c r="AB239" i="2" s="1"/>
  <c r="Z401" i="2"/>
  <c r="AB401" i="2" s="1"/>
  <c r="Z493" i="2"/>
  <c r="AB493" i="2" s="1"/>
  <c r="Z427" i="2"/>
  <c r="AB427" i="2" s="1"/>
  <c r="Z334" i="2"/>
  <c r="AB334" i="2" s="1"/>
  <c r="Z416" i="2"/>
  <c r="AB416" i="2" s="1"/>
  <c r="Z142" i="2"/>
  <c r="AB142" i="2" s="1"/>
  <c r="Z38" i="2"/>
  <c r="AB38" i="2" s="1"/>
  <c r="Z119" i="2"/>
  <c r="AB119" i="2" s="1"/>
  <c r="S295" i="30"/>
  <c r="N28" i="23"/>
  <c r="T223" i="2"/>
  <c r="Z223" i="2" s="1"/>
  <c r="O223" i="23" s="1"/>
  <c r="AQ275" i="2"/>
  <c r="U275" i="23" s="1"/>
  <c r="AQ14" i="2"/>
  <c r="U14" i="23" s="1"/>
  <c r="S295" i="26"/>
  <c r="AQ72" i="2"/>
  <c r="U72" i="23" s="1"/>
  <c r="AQ60" i="2"/>
  <c r="U60" i="23" s="1"/>
  <c r="AQ44" i="2"/>
  <c r="U44" i="23" s="1"/>
  <c r="N72" i="23"/>
  <c r="AQ101" i="2"/>
  <c r="U101" i="23" s="1"/>
  <c r="AQ61" i="2"/>
  <c r="U61" i="23" s="1"/>
  <c r="G14" i="23"/>
  <c r="S14" i="23" s="1"/>
  <c r="G38" i="23"/>
  <c r="S38" i="23" s="1"/>
  <c r="AK217" i="2"/>
  <c r="AK255" i="2"/>
  <c r="AK377" i="2"/>
  <c r="Z28" i="2"/>
  <c r="AB28" i="2" s="1"/>
  <c r="Z190" i="2"/>
  <c r="AB190" i="2" s="1"/>
  <c r="Z388" i="2"/>
  <c r="AB388" i="2" s="1"/>
  <c r="Z367" i="2"/>
  <c r="AB367" i="2" s="1"/>
  <c r="Z411" i="2"/>
  <c r="AB411" i="2" s="1"/>
  <c r="Z389" i="2"/>
  <c r="AB389" i="2" s="1"/>
  <c r="Z510" i="2"/>
  <c r="AB510" i="2" s="1"/>
  <c r="Z511" i="2"/>
  <c r="AB511" i="2" s="1"/>
  <c r="Z550" i="2"/>
  <c r="AB550" i="2" s="1"/>
  <c r="Z473" i="2"/>
  <c r="AB473" i="2" s="1"/>
  <c r="Z459" i="2"/>
  <c r="AB459" i="2" s="1"/>
  <c r="Z102" i="2"/>
  <c r="AB102" i="2" s="1"/>
  <c r="Z107" i="2"/>
  <c r="AB107" i="2" s="1"/>
  <c r="Z39" i="2"/>
  <c r="AB39" i="2" s="1"/>
  <c r="S195" i="23"/>
  <c r="AQ171" i="2"/>
  <c r="U171" i="23" s="1"/>
  <c r="AQ107" i="2"/>
  <c r="U107" i="23" s="1"/>
  <c r="AQ129" i="2"/>
  <c r="U129" i="23" s="1"/>
  <c r="S280" i="26"/>
  <c r="AQ21" i="2"/>
  <c r="U21" i="23" s="1"/>
  <c r="T349" i="2"/>
  <c r="Z349" i="2" s="1"/>
  <c r="AB349" i="2" s="1"/>
  <c r="AK546" i="2"/>
  <c r="S283" i="32"/>
  <c r="T222" i="2"/>
  <c r="AK222" i="2" s="1"/>
  <c r="T318" i="2"/>
  <c r="Z318" i="2" s="1"/>
  <c r="AB318" i="2" s="1"/>
  <c r="G88" i="23"/>
  <c r="N88" i="23" s="1"/>
  <c r="T342" i="2"/>
  <c r="AQ342" i="2" s="1"/>
  <c r="T60" i="26" s="1"/>
  <c r="AQ102" i="2"/>
  <c r="U102" i="23" s="1"/>
  <c r="AK166" i="2"/>
  <c r="AK220" i="2"/>
  <c r="R220" i="23" s="1"/>
  <c r="P220" i="23" s="1"/>
  <c r="Q220" i="23" s="1"/>
  <c r="AQ188" i="2"/>
  <c r="U188" i="23" s="1"/>
  <c r="AQ195" i="2"/>
  <c r="U195" i="23" s="1"/>
  <c r="AQ39" i="2"/>
  <c r="U39" i="23" s="1"/>
  <c r="G239" i="23"/>
  <c r="S239" i="23" s="1"/>
  <c r="G129" i="23"/>
  <c r="N129" i="23" s="1"/>
  <c r="S356" i="26"/>
  <c r="T286" i="2"/>
  <c r="Z286" i="2" s="1"/>
  <c r="O286" i="23" s="1"/>
  <c r="T350" i="2"/>
  <c r="AW55" i="24" s="1"/>
  <c r="G215" i="23"/>
  <c r="N215" i="23" s="1"/>
  <c r="Z508" i="2"/>
  <c r="AB508" i="2" s="1"/>
  <c r="Z48" i="2"/>
  <c r="AB48" i="2" s="1"/>
  <c r="Z374" i="2"/>
  <c r="AB374" i="2" s="1"/>
  <c r="Z382" i="2"/>
  <c r="AB382" i="2" s="1"/>
  <c r="Z469" i="2"/>
  <c r="AB469" i="2" s="1"/>
  <c r="Z566" i="2"/>
  <c r="AB566" i="2" s="1"/>
  <c r="Z515" i="2"/>
  <c r="AB515" i="2" s="1"/>
  <c r="Z548" i="2"/>
  <c r="AB548" i="2" s="1"/>
  <c r="Z422" i="2"/>
  <c r="AB422" i="2" s="1"/>
  <c r="Z371" i="2"/>
  <c r="AB371" i="2" s="1"/>
  <c r="Z431" i="2"/>
  <c r="AB431" i="2" s="1"/>
  <c r="Z465" i="2"/>
  <c r="AB465" i="2" s="1"/>
  <c r="Z110" i="2"/>
  <c r="AB110" i="2" s="1"/>
  <c r="Z42" i="2"/>
  <c r="AB42" i="2" s="1"/>
  <c r="Z47" i="2"/>
  <c r="AB47" i="2" s="1"/>
  <c r="G261" i="23"/>
  <c r="S261" i="23" s="1"/>
  <c r="AQ75" i="2"/>
  <c r="U75" i="23" s="1"/>
  <c r="S287" i="26"/>
  <c r="G275" i="23"/>
  <c r="S275" i="23" s="1"/>
  <c r="S27" i="23"/>
  <c r="T179" i="2"/>
  <c r="Z179" i="2" s="1"/>
  <c r="AB179" i="2" s="1"/>
  <c r="AK47" i="2"/>
  <c r="AK585" i="2"/>
  <c r="Z112" i="2"/>
  <c r="O112" i="23" s="1"/>
  <c r="Z160" i="2"/>
  <c r="O160" i="23" s="1"/>
  <c r="Z571" i="2"/>
  <c r="AB571" i="2" s="1"/>
  <c r="T221" i="2"/>
  <c r="Z221" i="2" s="1"/>
  <c r="AB221" i="2" s="1"/>
  <c r="AQ141" i="2"/>
  <c r="U141" i="23" s="1"/>
  <c r="Z24" i="2"/>
  <c r="O24" i="23" s="1"/>
  <c r="Z141" i="2"/>
  <c r="AB141" i="2" s="1"/>
  <c r="Z85" i="2"/>
  <c r="AB85" i="2" s="1"/>
  <c r="Z164" i="2"/>
  <c r="AB164" i="2" s="1"/>
  <c r="Z405" i="2"/>
  <c r="AB405" i="2" s="1"/>
  <c r="Z266" i="2"/>
  <c r="AB266" i="2" s="1"/>
  <c r="Z384" i="2"/>
  <c r="AB384" i="2" s="1"/>
  <c r="Z448" i="2"/>
  <c r="AB448" i="2" s="1"/>
  <c r="Z333" i="2"/>
  <c r="AB333" i="2" s="1"/>
  <c r="Z525" i="2"/>
  <c r="AB525" i="2" s="1"/>
  <c r="Z557" i="2"/>
  <c r="AB557" i="2" s="1"/>
  <c r="Z413" i="2"/>
  <c r="AB413" i="2" s="1"/>
  <c r="Z477" i="2"/>
  <c r="AB477" i="2" s="1"/>
  <c r="Z574" i="2"/>
  <c r="AB574" i="2" s="1"/>
  <c r="Z531" i="2"/>
  <c r="AB531" i="2" s="1"/>
  <c r="Z524" i="2"/>
  <c r="AB524" i="2" s="1"/>
  <c r="Z556" i="2"/>
  <c r="AB556" i="2" s="1"/>
  <c r="Z438" i="2"/>
  <c r="AB438" i="2" s="1"/>
  <c r="Z470" i="2"/>
  <c r="AB470" i="2" s="1"/>
  <c r="Z95" i="2"/>
  <c r="O95" i="23" s="1"/>
  <c r="S381" i="26"/>
  <c r="S283" i="26"/>
  <c r="AQ144" i="2"/>
  <c r="U144" i="23" s="1"/>
  <c r="N112" i="23"/>
  <c r="T197" i="2"/>
  <c r="S345" i="32" s="1"/>
  <c r="AQ159" i="2"/>
  <c r="U159" i="23" s="1"/>
  <c r="AQ95" i="2"/>
  <c r="U95" i="23" s="1"/>
  <c r="S287" i="30"/>
  <c r="T276" i="2"/>
  <c r="AK276" i="2" s="1"/>
  <c r="R276" i="23" s="1"/>
  <c r="Z40" i="2"/>
  <c r="AB40" i="2" s="1"/>
  <c r="Z16" i="2"/>
  <c r="O16" i="23" s="1"/>
  <c r="Z165" i="2"/>
  <c r="AB165" i="2" s="1"/>
  <c r="Z329" i="2"/>
  <c r="AB329" i="2" s="1"/>
  <c r="Z261" i="2"/>
  <c r="AB261" i="2" s="1"/>
  <c r="Z336" i="2"/>
  <c r="AB336" i="2" s="1"/>
  <c r="Z393" i="2"/>
  <c r="AB393" i="2" s="1"/>
  <c r="Z500" i="2"/>
  <c r="AB500" i="2" s="1"/>
  <c r="Z439" i="2"/>
  <c r="AB439" i="2" s="1"/>
  <c r="Z517" i="2"/>
  <c r="AB517" i="2" s="1"/>
  <c r="Z582" i="2"/>
  <c r="AB582" i="2" s="1"/>
  <c r="Z486" i="2"/>
  <c r="AB486" i="2" s="1"/>
  <c r="Z543" i="2"/>
  <c r="AB543" i="2" s="1"/>
  <c r="Z587" i="2"/>
  <c r="AB587" i="2" s="1"/>
  <c r="Z532" i="2"/>
  <c r="Z322" i="2"/>
  <c r="AB322" i="2" s="1"/>
  <c r="Z111" i="2"/>
  <c r="AB111" i="2" s="1"/>
  <c r="Z27" i="2"/>
  <c r="O27" i="23" s="1"/>
  <c r="S381" i="30"/>
  <c r="AQ266" i="2"/>
  <c r="U266" i="23" s="1"/>
  <c r="AQ164" i="2"/>
  <c r="U164" i="23" s="1"/>
  <c r="AQ120" i="2"/>
  <c r="U120" i="23" s="1"/>
  <c r="T227" i="2"/>
  <c r="Z227" i="2" s="1"/>
  <c r="AB227" i="2" s="1"/>
  <c r="AQ53" i="2"/>
  <c r="U53" i="23" s="1"/>
  <c r="AQ169" i="2"/>
  <c r="U169" i="23" s="1"/>
  <c r="AQ105" i="2"/>
  <c r="U105" i="23" s="1"/>
  <c r="AQ85" i="2"/>
  <c r="U85" i="23" s="1"/>
  <c r="AV59" i="24"/>
  <c r="AD39" i="24"/>
  <c r="AD56" i="24"/>
  <c r="AD109" i="24"/>
  <c r="T315" i="2"/>
  <c r="AW43" i="24" s="1"/>
  <c r="AD63" i="24"/>
  <c r="G48" i="23"/>
  <c r="N48" i="23" s="1"/>
  <c r="Z144" i="2"/>
  <c r="AB144" i="2" s="1"/>
  <c r="Z53" i="2"/>
  <c r="AB53" i="2" s="1"/>
  <c r="Z192" i="2"/>
  <c r="AB192" i="2" s="1"/>
  <c r="Z383" i="2"/>
  <c r="AB383" i="2" s="1"/>
  <c r="Z372" i="2"/>
  <c r="AB372" i="2" s="1"/>
  <c r="Z549" i="2"/>
  <c r="AB549" i="2" s="1"/>
  <c r="Z412" i="2"/>
  <c r="AB412" i="2" s="1"/>
  <c r="Z512" i="2"/>
  <c r="AB512" i="2" s="1"/>
  <c r="G190" i="23"/>
  <c r="N190" i="23" s="1"/>
  <c r="AQ112" i="2"/>
  <c r="U112" i="23" s="1"/>
  <c r="G21" i="23"/>
  <c r="N21" i="23" s="1"/>
  <c r="AD20" i="24"/>
  <c r="T265" i="2"/>
  <c r="AE44" i="24" s="1"/>
  <c r="T386" i="2"/>
  <c r="AW66" i="24" s="1"/>
  <c r="AK517" i="2"/>
  <c r="AK512" i="2"/>
  <c r="Z88" i="2"/>
  <c r="AB88" i="2" s="1"/>
  <c r="Z49" i="2"/>
  <c r="O49" i="23" s="1"/>
  <c r="T49" i="23" s="1"/>
  <c r="Z156" i="2"/>
  <c r="AB156" i="2" s="1"/>
  <c r="Z188" i="2"/>
  <c r="O188" i="23" s="1"/>
  <c r="Z214" i="2"/>
  <c r="O214" i="23" s="1"/>
  <c r="Z248" i="2"/>
  <c r="O248" i="23" s="1"/>
  <c r="Z14" i="2"/>
  <c r="AB14" i="2" s="1"/>
  <c r="Z496" i="2"/>
  <c r="AB496" i="2" s="1"/>
  <c r="Z553" i="2"/>
  <c r="AB553" i="2" s="1"/>
  <c r="Z581" i="2"/>
  <c r="AB581" i="2" s="1"/>
  <c r="Z522" i="2"/>
  <c r="AB522" i="2" s="1"/>
  <c r="Z527" i="2"/>
  <c r="AB527" i="2" s="1"/>
  <c r="Z503" i="2"/>
  <c r="AB503" i="2" s="1"/>
  <c r="Z572" i="2"/>
  <c r="AB572" i="2" s="1"/>
  <c r="Z432" i="2"/>
  <c r="AB432" i="2" s="1"/>
  <c r="Z463" i="2"/>
  <c r="AB463" i="2" s="1"/>
  <c r="Z67" i="2"/>
  <c r="AB67" i="2" s="1"/>
  <c r="G257" i="23"/>
  <c r="N257" i="23" s="1"/>
  <c r="S392" i="30"/>
  <c r="AQ220" i="2"/>
  <c r="U220" i="23" s="1"/>
  <c r="S281" i="30"/>
  <c r="G166" i="23"/>
  <c r="N166" i="23" s="1"/>
  <c r="AQ155" i="2"/>
  <c r="U155" i="23" s="1"/>
  <c r="AQ19" i="2"/>
  <c r="U19" i="23" s="1"/>
  <c r="AQ255" i="2"/>
  <c r="U255" i="23" s="1"/>
  <c r="AQ239" i="2"/>
  <c r="U239" i="23" s="1"/>
  <c r="G101" i="23"/>
  <c r="S101" i="23" s="1"/>
  <c r="G272" i="23"/>
  <c r="S272" i="23" s="1"/>
  <c r="AQ86" i="2"/>
  <c r="U86" i="23" s="1"/>
  <c r="AQ214" i="2"/>
  <c r="U214" i="23" s="1"/>
  <c r="T291" i="2"/>
  <c r="AQ291" i="2" s="1"/>
  <c r="U290" i="23" s="1"/>
  <c r="G91" i="23"/>
  <c r="S91" i="23" s="1"/>
  <c r="S295" i="32"/>
  <c r="T368" i="2"/>
  <c r="AQ368" i="2" s="1"/>
  <c r="AQ248" i="2"/>
  <c r="U248" i="23" s="1"/>
  <c r="T308" i="2"/>
  <c r="AW62" i="24" s="1"/>
  <c r="T306" i="2"/>
  <c r="G305" i="23" s="1"/>
  <c r="S305" i="23" s="1"/>
  <c r="G86" i="23"/>
  <c r="N86" i="23" s="1"/>
  <c r="T262" i="2"/>
  <c r="AK262" i="2" s="1"/>
  <c r="R262" i="23" s="1"/>
  <c r="T297" i="2"/>
  <c r="Z297" i="2" s="1"/>
  <c r="O296" i="23" s="1"/>
  <c r="T230" i="2"/>
  <c r="S297" i="32" s="1"/>
  <c r="AQ142" i="2"/>
  <c r="U142" i="23" s="1"/>
  <c r="T288" i="2"/>
  <c r="Z288" i="2" s="1"/>
  <c r="AB288" i="2" s="1"/>
  <c r="AK72" i="2"/>
  <c r="R72" i="23" s="1"/>
  <c r="P72" i="23" s="1"/>
  <c r="Q72" i="23" s="1"/>
  <c r="AK334" i="2"/>
  <c r="AQ257" i="2"/>
  <c r="T283" i="2"/>
  <c r="AQ283" i="2" s="1"/>
  <c r="U283" i="23" s="1"/>
  <c r="T305" i="2"/>
  <c r="AK305" i="2" s="1"/>
  <c r="R304" i="23" s="1"/>
  <c r="T304" i="23" s="1"/>
  <c r="AQ38" i="2"/>
  <c r="U38" i="23" s="1"/>
  <c r="J8" i="23"/>
  <c r="AK8" i="2"/>
  <c r="R8" i="23" s="1"/>
  <c r="P8" i="23" s="1"/>
  <c r="Q8" i="23" s="1"/>
  <c r="G214" i="23"/>
  <c r="S214" i="23" s="1"/>
  <c r="Z10" i="2"/>
  <c r="O10" i="23" s="1"/>
  <c r="T10" i="23" s="1"/>
  <c r="Z187" i="2"/>
  <c r="AB187" i="2" s="1"/>
  <c r="Z250" i="2"/>
  <c r="O250" i="23" s="1"/>
  <c r="Z136" i="2"/>
  <c r="O136" i="23" s="1"/>
  <c r="AQ64" i="2"/>
  <c r="U64" i="23" s="1"/>
  <c r="AK114" i="2"/>
  <c r="R114" i="23" s="1"/>
  <c r="AK165" i="2"/>
  <c r="R165" i="23" s="1"/>
  <c r="S381" i="32"/>
  <c r="AV106" i="24"/>
  <c r="AK384" i="2"/>
  <c r="W622" i="2"/>
  <c r="Z148" i="2"/>
  <c r="O148" i="23" s="1"/>
  <c r="Z242" i="2"/>
  <c r="O242" i="23" s="1"/>
  <c r="Z268" i="2"/>
  <c r="O268" i="23" s="1"/>
  <c r="T268" i="23" s="1"/>
  <c r="Z151" i="2"/>
  <c r="AB151" i="2" s="1"/>
  <c r="AK185" i="2"/>
  <c r="AK61" i="2"/>
  <c r="R61" i="23" s="1"/>
  <c r="P61" i="23" s="1"/>
  <c r="Q61" i="23" s="1"/>
  <c r="AK388" i="2"/>
  <c r="G143" i="23"/>
  <c r="S143" i="23" s="1"/>
  <c r="Z492" i="2"/>
  <c r="AB492" i="2" s="1"/>
  <c r="Z409" i="2"/>
  <c r="AB409" i="2" s="1"/>
  <c r="Z433" i="2"/>
  <c r="AB433" i="2" s="1"/>
  <c r="Z573" i="2"/>
  <c r="AB573" i="2" s="1"/>
  <c r="Z547" i="2"/>
  <c r="AB547" i="2" s="1"/>
  <c r="Z481" i="2"/>
  <c r="AB481" i="2" s="1"/>
  <c r="Z584" i="2"/>
  <c r="AB584" i="2" s="1"/>
  <c r="Z497" i="2"/>
  <c r="AB497" i="2" s="1"/>
  <c r="Z498" i="2"/>
  <c r="AB498" i="2" s="1"/>
  <c r="Z568" i="2"/>
  <c r="AB568" i="2" s="1"/>
  <c r="Z453" i="2"/>
  <c r="AB453" i="2" s="1"/>
  <c r="Z507" i="2"/>
  <c r="AB507" i="2" s="1"/>
  <c r="Z457" i="2"/>
  <c r="AB457" i="2" s="1"/>
  <c r="Z410" i="2"/>
  <c r="AB410" i="2" s="1"/>
  <c r="Z506" i="2"/>
  <c r="AB506" i="2" s="1"/>
  <c r="Z536" i="2"/>
  <c r="AB536" i="2" s="1"/>
  <c r="Z533" i="2"/>
  <c r="AB533" i="2" s="1"/>
  <c r="AQ236" i="2"/>
  <c r="U236" i="23" s="1"/>
  <c r="AD52" i="24"/>
  <c r="T279" i="2"/>
  <c r="AW18" i="24" s="1"/>
  <c r="AQ46" i="2"/>
  <c r="U46" i="23" s="1"/>
  <c r="G138" i="23"/>
  <c r="S138" i="23" s="1"/>
  <c r="T328" i="2"/>
  <c r="Z328" i="2" s="1"/>
  <c r="AB328" i="2" s="1"/>
  <c r="AK263" i="2"/>
  <c r="AK119" i="2"/>
  <c r="R119" i="23" s="1"/>
  <c r="P119" i="23" s="1"/>
  <c r="Q119" i="23" s="1"/>
  <c r="AK535" i="2"/>
  <c r="Z225" i="2"/>
  <c r="AB225" i="2" s="1"/>
  <c r="Z7" i="2"/>
  <c r="O7" i="23" s="1"/>
  <c r="Z357" i="2"/>
  <c r="AB357" i="2" s="1"/>
  <c r="Z576" i="2"/>
  <c r="AB576" i="2" s="1"/>
  <c r="Z454" i="2"/>
  <c r="AB454" i="2" s="1"/>
  <c r="S282" i="30"/>
  <c r="T274" i="2"/>
  <c r="Z274" i="2" s="1"/>
  <c r="O274" i="23" s="1"/>
  <c r="G145" i="23"/>
  <c r="N145" i="23" s="1"/>
  <c r="AK29" i="2"/>
  <c r="AK514" i="2"/>
  <c r="AK519" i="2"/>
  <c r="AQ225" i="2"/>
  <c r="Z89" i="2"/>
  <c r="O89" i="23" s="1"/>
  <c r="Z392" i="2"/>
  <c r="AB392" i="2" s="1"/>
  <c r="Z185" i="2"/>
  <c r="AB185" i="2" s="1"/>
  <c r="Z441" i="2"/>
  <c r="AB441" i="2" s="1"/>
  <c r="Z502" i="2"/>
  <c r="AB502" i="2" s="1"/>
  <c r="Z555" i="2"/>
  <c r="AB555" i="2" s="1"/>
  <c r="Z575" i="2"/>
  <c r="AB575" i="2" s="1"/>
  <c r="Z468" i="2"/>
  <c r="AB468" i="2" s="1"/>
  <c r="Z138" i="2"/>
  <c r="O138" i="23" s="1"/>
  <c r="G7" i="23"/>
  <c r="S7" i="23" s="1"/>
  <c r="S80" i="23"/>
  <c r="S44" i="23"/>
  <c r="T201" i="2"/>
  <c r="Z201" i="2" s="1"/>
  <c r="O201" i="23" s="1"/>
  <c r="AQ35" i="2"/>
  <c r="U35" i="23" s="1"/>
  <c r="AQ263" i="2"/>
  <c r="U263" i="23" s="1"/>
  <c r="AQ89" i="2"/>
  <c r="U89" i="23" s="1"/>
  <c r="T324" i="2"/>
  <c r="AW48" i="24" s="1"/>
  <c r="Z128" i="2"/>
  <c r="AB128" i="2" s="1"/>
  <c r="Z60" i="2"/>
  <c r="O60" i="23" s="1"/>
  <c r="Z113" i="2"/>
  <c r="O113" i="23" s="1"/>
  <c r="Z168" i="2"/>
  <c r="AB168" i="2" s="1"/>
  <c r="Z194" i="2"/>
  <c r="O194" i="23" s="1"/>
  <c r="Z339" i="2"/>
  <c r="AB339" i="2" s="1"/>
  <c r="Z396" i="2"/>
  <c r="AB396" i="2" s="1"/>
  <c r="Z395" i="2"/>
  <c r="AB395" i="2" s="1"/>
  <c r="Z256" i="2"/>
  <c r="O256" i="23" s="1"/>
  <c r="Z331" i="2"/>
  <c r="AB331" i="2" s="1"/>
  <c r="Z443" i="2"/>
  <c r="AB443" i="2" s="1"/>
  <c r="Z236" i="2"/>
  <c r="AB236" i="2" s="1"/>
  <c r="Z529" i="2"/>
  <c r="AB529" i="2" s="1"/>
  <c r="Z379" i="2"/>
  <c r="AB379" i="2" s="1"/>
  <c r="Z417" i="2"/>
  <c r="AB417" i="2" s="1"/>
  <c r="Z526" i="2"/>
  <c r="AB526" i="2" s="1"/>
  <c r="Z542" i="2"/>
  <c r="AB542" i="2" s="1"/>
  <c r="Z558" i="2"/>
  <c r="AB558" i="2" s="1"/>
  <c r="Z490" i="2"/>
  <c r="AB490" i="2" s="1"/>
  <c r="Z535" i="2"/>
  <c r="AB535" i="2" s="1"/>
  <c r="Z559" i="2"/>
  <c r="AB559" i="2" s="1"/>
  <c r="Z472" i="2"/>
  <c r="AB472" i="2" s="1"/>
  <c r="Z385" i="2"/>
  <c r="AB385" i="2" s="1"/>
  <c r="Z414" i="2"/>
  <c r="AB414" i="2" s="1"/>
  <c r="Z122" i="2"/>
  <c r="O122" i="23" s="1"/>
  <c r="Z90" i="2"/>
  <c r="AB90" i="2" s="1"/>
  <c r="Z147" i="2"/>
  <c r="AB147" i="2" s="1"/>
  <c r="Z35" i="2"/>
  <c r="AB35" i="2" s="1"/>
  <c r="Z23" i="2"/>
  <c r="AB23" i="2" s="1"/>
  <c r="G225" i="23"/>
  <c r="S225" i="23" s="1"/>
  <c r="AQ204" i="2"/>
  <c r="U204" i="23" s="1"/>
  <c r="AQ80" i="2"/>
  <c r="U80" i="23" s="1"/>
  <c r="AQ28" i="2"/>
  <c r="U28" i="23" s="1"/>
  <c r="S315" i="26"/>
  <c r="T271" i="2"/>
  <c r="Z271" i="2" s="1"/>
  <c r="O271" i="23" s="1"/>
  <c r="S396" i="26"/>
  <c r="G89" i="23"/>
  <c r="N89" i="23" s="1"/>
  <c r="AQ185" i="2"/>
  <c r="U185" i="23" s="1"/>
  <c r="G113" i="23"/>
  <c r="S113" i="23" s="1"/>
  <c r="T241" i="2"/>
  <c r="Z241" i="2" s="1"/>
  <c r="AB241" i="2" s="1"/>
  <c r="T338" i="2"/>
  <c r="AW93" i="24" s="1"/>
  <c r="AV15" i="24"/>
  <c r="G30" i="23"/>
  <c r="S30" i="23" s="1"/>
  <c r="AQ122" i="2"/>
  <c r="U122" i="23" s="1"/>
  <c r="T234" i="2"/>
  <c r="G234" i="23" s="1"/>
  <c r="S234" i="23" s="1"/>
  <c r="AK23" i="2"/>
  <c r="R23" i="23" s="1"/>
  <c r="P23" i="23" s="1"/>
  <c r="Q23" i="23" s="1"/>
  <c r="AK60" i="2"/>
  <c r="R60" i="23" s="1"/>
  <c r="P60" i="23" s="1"/>
  <c r="Q60" i="23" s="1"/>
  <c r="Z509" i="2"/>
  <c r="AB509" i="2" s="1"/>
  <c r="S390" i="30"/>
  <c r="Z157" i="2"/>
  <c r="AB157" i="2" s="1"/>
  <c r="Z516" i="2"/>
  <c r="AB516" i="2" s="1"/>
  <c r="Z359" i="2"/>
  <c r="AB359" i="2" s="1"/>
  <c r="Z578" i="2"/>
  <c r="AB578" i="2" s="1"/>
  <c r="Z66" i="2"/>
  <c r="AB66" i="2" s="1"/>
  <c r="Z34" i="2"/>
  <c r="AB34" i="2" s="1"/>
  <c r="AD85" i="24"/>
  <c r="Z84" i="2"/>
  <c r="AB84" i="2" s="1"/>
  <c r="Z32" i="2"/>
  <c r="AB32" i="2" s="1"/>
  <c r="Z121" i="2"/>
  <c r="AB121" i="2" s="1"/>
  <c r="Z93" i="2"/>
  <c r="O93" i="23" s="1"/>
  <c r="Z65" i="2"/>
  <c r="AB65" i="2" s="1"/>
  <c r="Z45" i="2"/>
  <c r="O45" i="23" s="1"/>
  <c r="Z215" i="2"/>
  <c r="AB215" i="2" s="1"/>
  <c r="Z345" i="2"/>
  <c r="AB345" i="2" s="1"/>
  <c r="Z399" i="2"/>
  <c r="AB399" i="2" s="1"/>
  <c r="Z561" i="2"/>
  <c r="AB561" i="2" s="1"/>
  <c r="Z577" i="2"/>
  <c r="AB577" i="2" s="1"/>
  <c r="Z552" i="2"/>
  <c r="AB552" i="2" s="1"/>
  <c r="Z520" i="2"/>
  <c r="AB520" i="2" s="1"/>
  <c r="Z130" i="2"/>
  <c r="O130" i="23" s="1"/>
  <c r="N32" i="23"/>
  <c r="T177" i="2"/>
  <c r="Z177" i="2" s="1"/>
  <c r="AB177" i="2" s="1"/>
  <c r="AQ93" i="2"/>
  <c r="U93" i="23" s="1"/>
  <c r="AQ66" i="2"/>
  <c r="U66" i="23" s="1"/>
  <c r="T284" i="2"/>
  <c r="Z284" i="2" s="1"/>
  <c r="O284" i="23" s="1"/>
  <c r="S361" i="30"/>
  <c r="T285" i="2"/>
  <c r="Z285" i="2" s="1"/>
  <c r="O285" i="23" s="1"/>
  <c r="AQ84" i="2"/>
  <c r="U84" i="23" s="1"/>
  <c r="AQ10" i="2"/>
  <c r="U10" i="23" s="1"/>
  <c r="G93" i="23"/>
  <c r="N93" i="23" s="1"/>
  <c r="Z471" i="2"/>
  <c r="AB471" i="2" s="1"/>
  <c r="Z521" i="2"/>
  <c r="AB521" i="2" s="1"/>
  <c r="Z501" i="2"/>
  <c r="AB501" i="2" s="1"/>
  <c r="Z483" i="2"/>
  <c r="AB483" i="2" s="1"/>
  <c r="Z491" i="2"/>
  <c r="AB491" i="2" s="1"/>
  <c r="G269" i="23"/>
  <c r="S269" i="23" s="1"/>
  <c r="G10" i="23"/>
  <c r="N10" i="23" s="1"/>
  <c r="AQ157" i="2"/>
  <c r="U157" i="23" s="1"/>
  <c r="AQ121" i="2"/>
  <c r="U121" i="23" s="1"/>
  <c r="T216" i="2"/>
  <c r="S344" i="32" s="1"/>
  <c r="AD86" i="24"/>
  <c r="S305" i="26"/>
  <c r="AQ32" i="2"/>
  <c r="U32" i="23" s="1"/>
  <c r="S11" i="23"/>
  <c r="Z92" i="2"/>
  <c r="AB92" i="2" s="1"/>
  <c r="Z400" i="2"/>
  <c r="AB400" i="2" s="1"/>
  <c r="Z167" i="2"/>
  <c r="AB167" i="2" s="1"/>
  <c r="Z269" i="2"/>
  <c r="AB269" i="2" s="1"/>
  <c r="Z348" i="2"/>
  <c r="AB348" i="2" s="1"/>
  <c r="Z394" i="2"/>
  <c r="AB394" i="2" s="1"/>
  <c r="Z11" i="2"/>
  <c r="AB11" i="2" s="1"/>
  <c r="Z341" i="2"/>
  <c r="AB341" i="2" s="1"/>
  <c r="Z570" i="2"/>
  <c r="AB570" i="2" s="1"/>
  <c r="Z586" i="2"/>
  <c r="AB586" i="2" s="1"/>
  <c r="Z563" i="2"/>
  <c r="AB563" i="2" s="1"/>
  <c r="Z579" i="2"/>
  <c r="AB579" i="2" s="1"/>
  <c r="Z423" i="2"/>
  <c r="AB423" i="2" s="1"/>
  <c r="Z455" i="2"/>
  <c r="AB455" i="2" s="1"/>
  <c r="Z474" i="2"/>
  <c r="AB474" i="2" s="1"/>
  <c r="Z146" i="2"/>
  <c r="O146" i="23" s="1"/>
  <c r="Z94" i="2"/>
  <c r="O94" i="23" s="1"/>
  <c r="Z63" i="2"/>
  <c r="AB63" i="2" s="1"/>
  <c r="Z31" i="2"/>
  <c r="AB31" i="2" s="1"/>
  <c r="S305" i="30"/>
  <c r="AE85" i="24"/>
  <c r="AQ87" i="2"/>
  <c r="U87" i="23" s="1"/>
  <c r="Z64" i="2"/>
  <c r="O64" i="23" s="1"/>
  <c r="Z209" i="2"/>
  <c r="AB209" i="2" s="1"/>
  <c r="Z387" i="2"/>
  <c r="AB387" i="2" s="1"/>
  <c r="Z450" i="2"/>
  <c r="AB450" i="2" s="1"/>
  <c r="Z258" i="2"/>
  <c r="AB258" i="2" s="1"/>
  <c r="Z373" i="2"/>
  <c r="AB373" i="2" s="1"/>
  <c r="Z332" i="2"/>
  <c r="AB332" i="2" s="1"/>
  <c r="Z541" i="2"/>
  <c r="AB541" i="2" s="1"/>
  <c r="Z343" i="2"/>
  <c r="AB343" i="2" s="1"/>
  <c r="Z380" i="2"/>
  <c r="AB380" i="2" s="1"/>
  <c r="Z551" i="2"/>
  <c r="AB551" i="2" s="1"/>
  <c r="Z528" i="2"/>
  <c r="AB528" i="2" s="1"/>
  <c r="Z544" i="2"/>
  <c r="AB544" i="2" s="1"/>
  <c r="Z560" i="2"/>
  <c r="AB560" i="2" s="1"/>
  <c r="Z424" i="2"/>
  <c r="AB424" i="2" s="1"/>
  <c r="Z445" i="2"/>
  <c r="AB445" i="2" s="1"/>
  <c r="Z480" i="2"/>
  <c r="AB480" i="2" s="1"/>
  <c r="Z426" i="2"/>
  <c r="AB426" i="2" s="1"/>
  <c r="Z442" i="2"/>
  <c r="AB442" i="2" s="1"/>
  <c r="Z458" i="2"/>
  <c r="AB458" i="2" s="1"/>
  <c r="Z518" i="2"/>
  <c r="AB518" i="2" s="1"/>
  <c r="Z127" i="2"/>
  <c r="AB127" i="2" s="1"/>
  <c r="Z103" i="2"/>
  <c r="O103" i="23" s="1"/>
  <c r="Z87" i="2"/>
  <c r="O87" i="23" s="1"/>
  <c r="S390" i="26"/>
  <c r="N31" i="23"/>
  <c r="AE86" i="24"/>
  <c r="AW82" i="24"/>
  <c r="J29" i="25" s="1"/>
  <c r="K29" i="25" s="1"/>
  <c r="AQ127" i="2"/>
  <c r="U127" i="23" s="1"/>
  <c r="AQ65" i="2"/>
  <c r="U65" i="23" s="1"/>
  <c r="AQ45" i="2"/>
  <c r="U45" i="23" s="1"/>
  <c r="T281" i="2"/>
  <c r="AQ281" i="2" s="1"/>
  <c r="U281" i="23" s="1"/>
  <c r="T176" i="2"/>
  <c r="AQ176" i="2" s="1"/>
  <c r="U176" i="23" s="1"/>
  <c r="T304" i="2"/>
  <c r="Z304" i="2" s="1"/>
  <c r="AB304" i="2" s="1"/>
  <c r="AQ268" i="2"/>
  <c r="U268" i="23" s="1"/>
  <c r="AK26" i="2"/>
  <c r="R26" i="23" s="1"/>
  <c r="AK186" i="2"/>
  <c r="AK9" i="2"/>
  <c r="R9" i="23" s="1"/>
  <c r="P9" i="23" s="1"/>
  <c r="Q9" i="23" s="1"/>
  <c r="AK140" i="2"/>
  <c r="R140" i="23" s="1"/>
  <c r="P140" i="23" s="1"/>
  <c r="Q140" i="23" s="1"/>
  <c r="AK508" i="2"/>
  <c r="G142" i="23"/>
  <c r="S142" i="23" s="1"/>
  <c r="S392" i="32"/>
  <c r="Y607" i="2"/>
  <c r="AC607" i="2" s="1"/>
  <c r="Y638" i="2"/>
  <c r="AC638" i="2" s="1"/>
  <c r="W633" i="2"/>
  <c r="Y616" i="2"/>
  <c r="AC616" i="2" s="1"/>
  <c r="Y611" i="2"/>
  <c r="AC611" i="2" s="1"/>
  <c r="AK273" i="2"/>
  <c r="R273" i="23" s="1"/>
  <c r="P273" i="23" s="1"/>
  <c r="Q273" i="23" s="1"/>
  <c r="AK254" i="2"/>
  <c r="AK272" i="2"/>
  <c r="AK188" i="2"/>
  <c r="R188" i="23" s="1"/>
  <c r="P188" i="23" s="1"/>
  <c r="Q188" i="23" s="1"/>
  <c r="AK36" i="2"/>
  <c r="R36" i="23" s="1"/>
  <c r="P36" i="23" s="1"/>
  <c r="Q36" i="23" s="1"/>
  <c r="AK513" i="2"/>
  <c r="AK398" i="2"/>
  <c r="AK511" i="2"/>
  <c r="S281" i="32"/>
  <c r="W613" i="2"/>
  <c r="Y627" i="2"/>
  <c r="AC627" i="2" s="1"/>
  <c r="AK257" i="2"/>
  <c r="AK195" i="2"/>
  <c r="R195" i="23" s="1"/>
  <c r="P195" i="23" s="1"/>
  <c r="Q195" i="23" s="1"/>
  <c r="AK107" i="2"/>
  <c r="R107" i="23" s="1"/>
  <c r="P107" i="23" s="1"/>
  <c r="Q107" i="23" s="1"/>
  <c r="AK248" i="2"/>
  <c r="R248" i="23" s="1"/>
  <c r="P248" i="23" s="1"/>
  <c r="Q248" i="23" s="1"/>
  <c r="AK12" i="2"/>
  <c r="R12" i="23" s="1"/>
  <c r="P12" i="23" s="1"/>
  <c r="Q12" i="23" s="1"/>
  <c r="AK401" i="2"/>
  <c r="AK370" i="2"/>
  <c r="Y643" i="2"/>
  <c r="AC643" i="2" s="1"/>
  <c r="Y630" i="2"/>
  <c r="AC630" i="2" s="1"/>
  <c r="W620" i="2"/>
  <c r="W624" i="2"/>
  <c r="W617" i="2"/>
  <c r="W642" i="2"/>
  <c r="Y634" i="2"/>
  <c r="AC634" i="2" s="1"/>
  <c r="Y623" i="2"/>
  <c r="AC623" i="2" s="1"/>
  <c r="W644" i="2"/>
  <c r="Y645" i="2"/>
  <c r="AC645" i="2" s="1"/>
  <c r="Y629" i="2"/>
  <c r="AC629" i="2" s="1"/>
  <c r="W639" i="2"/>
  <c r="Y635" i="2"/>
  <c r="AC635" i="2" s="1"/>
  <c r="W641" i="2"/>
  <c r="W625" i="2"/>
  <c r="W610" i="2"/>
  <c r="Y618" i="2"/>
  <c r="AC618" i="2" s="1"/>
  <c r="Y636" i="2"/>
  <c r="AC636" i="2" s="1"/>
  <c r="W608" i="2"/>
  <c r="W640" i="2"/>
  <c r="Y612" i="2"/>
  <c r="AC612" i="2" s="1"/>
  <c r="Y615" i="2"/>
  <c r="AC615" i="2" s="1"/>
  <c r="W637" i="2"/>
  <c r="W621" i="2"/>
  <c r="Y614" i="2"/>
  <c r="AC614" i="2" s="1"/>
  <c r="W628" i="2"/>
  <c r="W626" i="2"/>
  <c r="W632" i="2"/>
  <c r="W623" i="2"/>
  <c r="G258" i="23"/>
  <c r="N258" i="23" s="1"/>
  <c r="S361" i="26"/>
  <c r="AW79" i="24"/>
  <c r="J28" i="25" s="1"/>
  <c r="K28" i="25" s="1"/>
  <c r="AQ250" i="2"/>
  <c r="U250" i="23" s="1"/>
  <c r="AQ136" i="2"/>
  <c r="U136" i="23" s="1"/>
  <c r="AV82" i="24"/>
  <c r="T243" i="2"/>
  <c r="AE16" i="24" s="1"/>
  <c r="T205" i="2"/>
  <c r="AK205" i="2" s="1"/>
  <c r="AQ187" i="2"/>
  <c r="U187" i="23" s="1"/>
  <c r="AQ167" i="2"/>
  <c r="U167" i="23" s="1"/>
  <c r="AQ151" i="2"/>
  <c r="U151" i="23" s="1"/>
  <c r="AQ63" i="2"/>
  <c r="U63" i="23" s="1"/>
  <c r="AQ209" i="2"/>
  <c r="U209" i="23" s="1"/>
  <c r="G45" i="23"/>
  <c r="N45" i="23" s="1"/>
  <c r="G121" i="23"/>
  <c r="S121" i="23" s="1"/>
  <c r="T340" i="2"/>
  <c r="AK340" i="2" s="1"/>
  <c r="T314" i="2"/>
  <c r="AW101" i="24" s="1"/>
  <c r="T198" i="2"/>
  <c r="Z198" i="2" s="1"/>
  <c r="AB198" i="2" s="1"/>
  <c r="AQ94" i="2"/>
  <c r="U94" i="23" s="1"/>
  <c r="T303" i="2"/>
  <c r="AW26" i="24" s="1"/>
  <c r="AQ34" i="2"/>
  <c r="U34" i="23" s="1"/>
  <c r="AD59" i="24"/>
  <c r="T278" i="2"/>
  <c r="Z278" i="2" s="1"/>
  <c r="AB278" i="2" s="1"/>
  <c r="G268" i="23"/>
  <c r="N268" i="23" s="1"/>
  <c r="T362" i="2"/>
  <c r="Z362" i="2" s="1"/>
  <c r="AB362" i="2" s="1"/>
  <c r="G65" i="23"/>
  <c r="N65" i="23" s="1"/>
  <c r="W645" i="2"/>
  <c r="W629" i="2"/>
  <c r="Y639" i="2"/>
  <c r="AC639" i="2" s="1"/>
  <c r="W618" i="2"/>
  <c r="Y644" i="2"/>
  <c r="AC644" i="2" s="1"/>
  <c r="Y628" i="2"/>
  <c r="AC628" i="2" s="1"/>
  <c r="W636" i="2"/>
  <c r="Y641" i="2"/>
  <c r="AC641" i="2" s="1"/>
  <c r="Y625" i="2"/>
  <c r="AC625" i="2" s="1"/>
  <c r="Y610" i="2"/>
  <c r="AC610" i="2" s="1"/>
  <c r="Y608" i="2"/>
  <c r="AC608" i="2" s="1"/>
  <c r="W635" i="2"/>
  <c r="W619" i="2"/>
  <c r="AQ242" i="2"/>
  <c r="U242" i="23" s="1"/>
  <c r="AQ92" i="2"/>
  <c r="U92" i="23" s="1"/>
  <c r="AV79" i="24"/>
  <c r="T235" i="2"/>
  <c r="Z235" i="2" s="1"/>
  <c r="O235" i="23" s="1"/>
  <c r="T181" i="2"/>
  <c r="AK181" i="2" s="1"/>
  <c r="R181" i="23" s="1"/>
  <c r="AQ103" i="2"/>
  <c r="U103" i="23" s="1"/>
  <c r="AQ31" i="2"/>
  <c r="U31" i="23" s="1"/>
  <c r="T249" i="2"/>
  <c r="AQ249" i="2" s="1"/>
  <c r="T112" i="26" s="1"/>
  <c r="AQ11" i="2"/>
  <c r="U11" i="23" s="1"/>
  <c r="G94" i="23"/>
  <c r="S94" i="23" s="1"/>
  <c r="AQ146" i="2"/>
  <c r="U146" i="23" s="1"/>
  <c r="AD26" i="24"/>
  <c r="AK145" i="2"/>
  <c r="R145" i="23" s="1"/>
  <c r="AK99" i="2"/>
  <c r="R99" i="23" s="1"/>
  <c r="P99" i="23" s="1"/>
  <c r="Q99" i="23" s="1"/>
  <c r="Y617" i="2"/>
  <c r="AC617" i="2" s="1"/>
  <c r="W614" i="2"/>
  <c r="Y642" i="2"/>
  <c r="AC642" i="2" s="1"/>
  <c r="W634" i="2"/>
  <c r="W612" i="2"/>
  <c r="Y640" i="2"/>
  <c r="AC640" i="2" s="1"/>
  <c r="Y624" i="2"/>
  <c r="AC624" i="2" s="1"/>
  <c r="Y626" i="2"/>
  <c r="AC626" i="2" s="1"/>
  <c r="Y637" i="2"/>
  <c r="AC637" i="2" s="1"/>
  <c r="Y621" i="2"/>
  <c r="AC621" i="2" s="1"/>
  <c r="Y622" i="2"/>
  <c r="AC622" i="2" s="1"/>
  <c r="W631" i="2"/>
  <c r="W615" i="2"/>
  <c r="T182" i="2"/>
  <c r="AQ182" i="2" s="1"/>
  <c r="U182" i="23" s="1"/>
  <c r="AQ130" i="2"/>
  <c r="U130" i="23" s="1"/>
  <c r="T211" i="2"/>
  <c r="AQ211" i="2" s="1"/>
  <c r="U211" i="23" s="1"/>
  <c r="AK269" i="2"/>
  <c r="W630" i="2"/>
  <c r="W609" i="2"/>
  <c r="Y620" i="2"/>
  <c r="AC620" i="2" s="1"/>
  <c r="W607" i="2"/>
  <c r="Y633" i="2"/>
  <c r="AC633" i="2" s="1"/>
  <c r="Y613" i="2"/>
  <c r="AC613" i="2" s="1"/>
  <c r="W638" i="2"/>
  <c r="W616" i="2"/>
  <c r="W643" i="2"/>
  <c r="W627" i="2"/>
  <c r="W611" i="2"/>
  <c r="AB624" i="2"/>
  <c r="AB616" i="2"/>
  <c r="AB608" i="2"/>
  <c r="AB643" i="2"/>
  <c r="AB627" i="2"/>
  <c r="AB611" i="2"/>
  <c r="AB634" i="2"/>
  <c r="AB618" i="2"/>
  <c r="AB621" i="2"/>
  <c r="AB636" i="2"/>
  <c r="AB632" i="2"/>
  <c r="AB639" i="2"/>
  <c r="AB607" i="2"/>
  <c r="AB614" i="2"/>
  <c r="AB633" i="2"/>
  <c r="AB617" i="2"/>
  <c r="AB620" i="2"/>
  <c r="AB612" i="2"/>
  <c r="AB619" i="2"/>
  <c r="AB626" i="2"/>
  <c r="AB629" i="2"/>
  <c r="AB613" i="2"/>
  <c r="AB644" i="2"/>
  <c r="AB640" i="2"/>
  <c r="AB631" i="2"/>
  <c r="AB615" i="2"/>
  <c r="AB622" i="2"/>
  <c r="AB641" i="2"/>
  <c r="AB625" i="2"/>
  <c r="AB609" i="2"/>
  <c r="AK66" i="2"/>
  <c r="R66" i="23" s="1"/>
  <c r="P66" i="23" s="1"/>
  <c r="Q66" i="23" s="1"/>
  <c r="AK127" i="2"/>
  <c r="R127" i="23" s="1"/>
  <c r="P127" i="23" s="1"/>
  <c r="Q127" i="23" s="1"/>
  <c r="AK148" i="2"/>
  <c r="AK387" i="2"/>
  <c r="AK242" i="2"/>
  <c r="R242" i="23" s="1"/>
  <c r="P242" i="23" s="1"/>
  <c r="Q242" i="23" s="1"/>
  <c r="G146" i="23"/>
  <c r="S146" i="23" s="1"/>
  <c r="AV19" i="24"/>
  <c r="T180" i="2"/>
  <c r="AE9" i="24" s="1"/>
  <c r="AK250" i="2"/>
  <c r="R250" i="23" s="1"/>
  <c r="P250" i="23" s="1"/>
  <c r="Q250" i="23" s="1"/>
  <c r="AK63" i="2"/>
  <c r="R63" i="23" s="1"/>
  <c r="P63" i="23" s="1"/>
  <c r="Q63" i="23" s="1"/>
  <c r="AK172" i="2"/>
  <c r="AK393" i="2"/>
  <c r="AK400" i="2"/>
  <c r="G87" i="23"/>
  <c r="N87" i="23" s="1"/>
  <c r="G130" i="23"/>
  <c r="N130" i="23" s="1"/>
  <c r="G34" i="23"/>
  <c r="S34" i="23" s="1"/>
  <c r="AK215" i="2"/>
  <c r="AK11" i="2"/>
  <c r="R11" i="23" s="1"/>
  <c r="P11" i="23" s="1"/>
  <c r="Q11" i="23" s="1"/>
  <c r="AK341" i="2"/>
  <c r="AK506" i="2"/>
  <c r="AK474" i="2"/>
  <c r="AK359" i="2"/>
  <c r="AK136" i="2"/>
  <c r="R136" i="23" s="1"/>
  <c r="P136" i="23" s="1"/>
  <c r="Q136" i="23" s="1"/>
  <c r="AK345" i="2"/>
  <c r="AK380" i="2"/>
  <c r="AK394" i="2"/>
  <c r="AK348" i="2"/>
  <c r="AK343" i="2"/>
  <c r="S390" i="32"/>
  <c r="S361" i="32"/>
  <c r="AK258" i="2"/>
  <c r="R258" i="23" s="1"/>
  <c r="AK32" i="2"/>
  <c r="R32" i="23" s="1"/>
  <c r="P32" i="23" s="1"/>
  <c r="Q32" i="23" s="1"/>
  <c r="AK410" i="2"/>
  <c r="S305" i="32"/>
  <c r="AV23" i="24"/>
  <c r="G114" i="23"/>
  <c r="S114" i="23" s="1"/>
  <c r="AQ110" i="2"/>
  <c r="U110" i="23" s="1"/>
  <c r="G42" i="23"/>
  <c r="S42" i="23" s="1"/>
  <c r="G26" i="23"/>
  <c r="S26" i="23" s="1"/>
  <c r="T355" i="2"/>
  <c r="AW57" i="24" s="1"/>
  <c r="T295" i="2"/>
  <c r="Z295" i="2" s="1"/>
  <c r="O294" i="23" s="1"/>
  <c r="AV16" i="24"/>
  <c r="AK111" i="2"/>
  <c r="R111" i="23" s="1"/>
  <c r="P111" i="23" s="1"/>
  <c r="Q111" i="23" s="1"/>
  <c r="AK95" i="2"/>
  <c r="R95" i="23" s="1"/>
  <c r="P95" i="23" s="1"/>
  <c r="Q95" i="23" s="1"/>
  <c r="AK27" i="2"/>
  <c r="R27" i="23" s="1"/>
  <c r="P27" i="23" s="1"/>
  <c r="Q27" i="23" s="1"/>
  <c r="AK192" i="2"/>
  <c r="AK144" i="2"/>
  <c r="R144" i="23" s="1"/>
  <c r="P144" i="23" s="1"/>
  <c r="Q144" i="23" s="1"/>
  <c r="AK112" i="2"/>
  <c r="R112" i="23" s="1"/>
  <c r="P112" i="23" s="1"/>
  <c r="Q112" i="23" s="1"/>
  <c r="AK24" i="2"/>
  <c r="R24" i="23" s="1"/>
  <c r="P24" i="23" s="1"/>
  <c r="Q24" i="23" s="1"/>
  <c r="AK322" i="2"/>
  <c r="AK333" i="2"/>
  <c r="AK382" i="2"/>
  <c r="AQ192" i="2"/>
  <c r="U192" i="23" s="1"/>
  <c r="S283" i="30"/>
  <c r="AQ160" i="2"/>
  <c r="U160" i="23" s="1"/>
  <c r="AQ40" i="2"/>
  <c r="U40" i="23" s="1"/>
  <c r="AQ24" i="2"/>
  <c r="U24" i="23" s="1"/>
  <c r="AQ16" i="2"/>
  <c r="U16" i="23" s="1"/>
  <c r="AQ111" i="2"/>
  <c r="U111" i="23" s="1"/>
  <c r="AQ27" i="2"/>
  <c r="U27" i="23" s="1"/>
  <c r="G192" i="23"/>
  <c r="S192" i="23" s="1"/>
  <c r="G141" i="23"/>
  <c r="S141" i="23" s="1"/>
  <c r="G53" i="23"/>
  <c r="N53" i="23" s="1"/>
  <c r="G85" i="23"/>
  <c r="S85" i="23" s="1"/>
  <c r="AV97" i="24"/>
  <c r="AK266" i="2"/>
  <c r="R266" i="23" s="1"/>
  <c r="P266" i="23" s="1"/>
  <c r="Q266" i="23" s="1"/>
  <c r="AK261" i="2"/>
  <c r="AK190" i="2"/>
  <c r="AK42" i="2"/>
  <c r="R42" i="23" s="1"/>
  <c r="AK240" i="2"/>
  <c r="R240" i="23" s="1"/>
  <c r="AK160" i="2"/>
  <c r="R160" i="23" s="1"/>
  <c r="P160" i="23" s="1"/>
  <c r="Q160" i="23" s="1"/>
  <c r="AK40" i="2"/>
  <c r="R40" i="23" s="1"/>
  <c r="P40" i="23" s="1"/>
  <c r="Q40" i="23" s="1"/>
  <c r="AK520" i="2"/>
  <c r="AK329" i="2"/>
  <c r="AK374" i="2"/>
  <c r="AK371" i="2"/>
  <c r="AK170" i="2"/>
  <c r="R170" i="23" s="1"/>
  <c r="P170" i="23" s="1"/>
  <c r="Q170" i="23" s="1"/>
  <c r="AK372" i="2"/>
  <c r="AK399" i="2"/>
  <c r="AQ138" i="2"/>
  <c r="U138" i="23" s="1"/>
  <c r="T200" i="2"/>
  <c r="AE76" i="24" s="1"/>
  <c r="G194" i="23"/>
  <c r="N194" i="23" s="1"/>
  <c r="AV53" i="24"/>
  <c r="Z154" i="2"/>
  <c r="AB154" i="2" s="1"/>
  <c r="AK194" i="2"/>
  <c r="R194" i="23" s="1"/>
  <c r="AK90" i="2"/>
  <c r="AK113" i="2"/>
  <c r="R113" i="23" s="1"/>
  <c r="AK30" i="2"/>
  <c r="R30" i="23" s="1"/>
  <c r="AK37" i="2"/>
  <c r="AK256" i="2"/>
  <c r="R256" i="23" s="1"/>
  <c r="P256" i="23" s="1"/>
  <c r="Q256" i="23" s="1"/>
  <c r="AK7" i="2"/>
  <c r="R7" i="23" s="1"/>
  <c r="AK337" i="2"/>
  <c r="AK396" i="2"/>
  <c r="AK376" i="2"/>
  <c r="AK507" i="2"/>
  <c r="AK367" i="2"/>
  <c r="AK331" i="2"/>
  <c r="G236" i="23"/>
  <c r="S236" i="23" s="1"/>
  <c r="S370" i="32"/>
  <c r="T264" i="2"/>
  <c r="S334" i="32" s="1"/>
  <c r="AQ154" i="2"/>
  <c r="U154" i="23" s="1"/>
  <c r="G122" i="23"/>
  <c r="N122" i="23" s="1"/>
  <c r="T296" i="2"/>
  <c r="AW63" i="24" s="1"/>
  <c r="AQ256" i="2"/>
  <c r="U256" i="23" s="1"/>
  <c r="AK163" i="2"/>
  <c r="R163" i="23" s="1"/>
  <c r="P163" i="23" s="1"/>
  <c r="Q163" i="23" s="1"/>
  <c r="AK147" i="2"/>
  <c r="AK35" i="2"/>
  <c r="R35" i="23" s="1"/>
  <c r="P35" i="23" s="1"/>
  <c r="Q35" i="23" s="1"/>
  <c r="AK128" i="2"/>
  <c r="R128" i="23" s="1"/>
  <c r="P128" i="23" s="1"/>
  <c r="Q128" i="23" s="1"/>
  <c r="AK80" i="2"/>
  <c r="R80" i="23" s="1"/>
  <c r="P80" i="23" s="1"/>
  <c r="Q80" i="23" s="1"/>
  <c r="AK392" i="2"/>
  <c r="AK379" i="2"/>
  <c r="G124" i="23"/>
  <c r="N124" i="23" s="1"/>
  <c r="S282" i="32"/>
  <c r="S315" i="32"/>
  <c r="AQ124" i="2"/>
  <c r="U124" i="23" s="1"/>
  <c r="S315" i="30"/>
  <c r="AQ289" i="2"/>
  <c r="U288" i="23" s="1"/>
  <c r="T231" i="2"/>
  <c r="Z231" i="2" s="1"/>
  <c r="O231" i="23" s="1"/>
  <c r="AQ143" i="2"/>
  <c r="U143" i="23" s="1"/>
  <c r="AQ119" i="2"/>
  <c r="U119" i="23" s="1"/>
  <c r="AQ23" i="2"/>
  <c r="U23" i="23" s="1"/>
  <c r="G263" i="23"/>
  <c r="S263" i="23" s="1"/>
  <c r="S280" i="30"/>
  <c r="T346" i="2"/>
  <c r="Z346" i="2" s="1"/>
  <c r="AB346" i="2" s="1"/>
  <c r="AK289" i="2"/>
  <c r="R288" i="23" s="1"/>
  <c r="P288" i="23" s="1"/>
  <c r="Q288" i="23" s="1"/>
  <c r="AK183" i="2"/>
  <c r="AK31" i="2"/>
  <c r="R31" i="23" s="1"/>
  <c r="P31" i="23" s="1"/>
  <c r="Q31" i="23" s="1"/>
  <c r="AK44" i="2"/>
  <c r="R44" i="23" s="1"/>
  <c r="P44" i="23" s="1"/>
  <c r="Q44" i="23" s="1"/>
  <c r="AK28" i="2"/>
  <c r="R28" i="23" s="1"/>
  <c r="P28" i="23" s="1"/>
  <c r="Q28" i="23" s="1"/>
  <c r="AK509" i="2"/>
  <c r="AK385" i="2"/>
  <c r="AK357" i="2"/>
  <c r="AK339" i="2"/>
  <c r="W604" i="2"/>
  <c r="T258" i="26"/>
  <c r="T150" i="26"/>
  <c r="T142" i="26"/>
  <c r="T21" i="30"/>
  <c r="T185" i="26"/>
  <c r="T77" i="30"/>
  <c r="T259" i="30"/>
  <c r="T71" i="26"/>
  <c r="T58" i="30"/>
  <c r="T257" i="30"/>
  <c r="T259" i="26"/>
  <c r="T257" i="26"/>
  <c r="T122" i="30"/>
  <c r="T258" i="30"/>
  <c r="T77" i="32"/>
  <c r="AK389" i="2"/>
  <c r="AK332" i="2"/>
  <c r="AK395" i="2"/>
  <c r="AK409" i="2"/>
  <c r="AK336" i="2"/>
  <c r="AK383" i="2"/>
  <c r="W603" i="2"/>
  <c r="W602" i="2"/>
  <c r="W606" i="2"/>
  <c r="W605" i="2"/>
  <c r="AK504" i="2"/>
  <c r="Z504" i="2"/>
  <c r="AB504" i="2" s="1"/>
  <c r="Z487" i="2"/>
  <c r="AB487" i="2" s="1"/>
  <c r="Z464" i="2"/>
  <c r="AB464" i="2" s="1"/>
  <c r="F370" i="30"/>
  <c r="F370" i="32"/>
  <c r="J330" i="26"/>
  <c r="J330" i="32"/>
  <c r="AG106" i="24"/>
  <c r="J394" i="32"/>
  <c r="J366" i="26"/>
  <c r="J366" i="32"/>
  <c r="J351" i="30"/>
  <c r="J348" i="30" s="1"/>
  <c r="J347" i="30" s="1"/>
  <c r="J351" i="32"/>
  <c r="J348" i="32" s="1"/>
  <c r="J371" i="26"/>
  <c r="J371" i="32"/>
  <c r="J393" i="26"/>
  <c r="J393" i="32"/>
  <c r="J357" i="30"/>
  <c r="J357" i="32"/>
  <c r="J396" i="30"/>
  <c r="J396" i="32"/>
  <c r="J395" i="30"/>
  <c r="J395" i="32"/>
  <c r="Z267" i="2"/>
  <c r="O267" i="23" s="1"/>
  <c r="S395" i="32"/>
  <c r="F390" i="26"/>
  <c r="F390" i="32"/>
  <c r="S319" i="26"/>
  <c r="S319" i="32"/>
  <c r="AK98" i="2"/>
  <c r="S303" i="32"/>
  <c r="F298" i="26"/>
  <c r="F298" i="32"/>
  <c r="F280" i="26"/>
  <c r="F280" i="32"/>
  <c r="F305" i="30"/>
  <c r="F305" i="32"/>
  <c r="J339" i="30"/>
  <c r="J339" i="32"/>
  <c r="AE26" i="24"/>
  <c r="S294" i="32"/>
  <c r="J283" i="26"/>
  <c r="J283" i="32"/>
  <c r="G157" i="23"/>
  <c r="S157" i="23" s="1"/>
  <c r="S341" i="32"/>
  <c r="F319" i="26"/>
  <c r="F319" i="32"/>
  <c r="F341" i="30"/>
  <c r="F341" i="32"/>
  <c r="G134" i="23"/>
  <c r="S134" i="23" s="1"/>
  <c r="S343" i="32"/>
  <c r="S304" i="32"/>
  <c r="S337" i="30"/>
  <c r="S337" i="32"/>
  <c r="J310" i="26"/>
  <c r="J340" i="32"/>
  <c r="J310" i="32"/>
  <c r="J307" i="32" s="1"/>
  <c r="J294" i="30"/>
  <c r="J294" i="32"/>
  <c r="AG65" i="24"/>
  <c r="J345" i="32"/>
  <c r="J279" i="30"/>
  <c r="J279" i="32"/>
  <c r="AG77" i="24"/>
  <c r="J338" i="32"/>
  <c r="J297" i="30"/>
  <c r="J297" i="32"/>
  <c r="AE39" i="24"/>
  <c r="S302" i="32"/>
  <c r="J321" i="30"/>
  <c r="J321" i="32"/>
  <c r="J317" i="32" s="1"/>
  <c r="F393" i="30"/>
  <c r="F393" i="32"/>
  <c r="F356" i="26"/>
  <c r="F356" i="32"/>
  <c r="J281" i="30"/>
  <c r="J281" i="32"/>
  <c r="H263" i="23"/>
  <c r="F396" i="32"/>
  <c r="J296" i="30"/>
  <c r="J296" i="32"/>
  <c r="J280" i="30"/>
  <c r="J280" i="32"/>
  <c r="F282" i="26"/>
  <c r="F282" i="32"/>
  <c r="AQ135" i="2"/>
  <c r="U135" i="23" s="1"/>
  <c r="S296" i="32"/>
  <c r="F303" i="30"/>
  <c r="F303" i="32"/>
  <c r="G132" i="23"/>
  <c r="J132" i="23" s="1"/>
  <c r="S298" i="32"/>
  <c r="J337" i="30"/>
  <c r="J337" i="32"/>
  <c r="J303" i="30"/>
  <c r="J303" i="32"/>
  <c r="J315" i="26"/>
  <c r="J315" i="32"/>
  <c r="H247" i="23"/>
  <c r="F391" i="32"/>
  <c r="J335" i="30"/>
  <c r="J335" i="32"/>
  <c r="J305" i="30"/>
  <c r="J305" i="32"/>
  <c r="J287" i="26"/>
  <c r="J285" i="26" s="1"/>
  <c r="J287" i="32"/>
  <c r="J285" i="32" s="1"/>
  <c r="K285" i="32" s="1"/>
  <c r="J325" i="30"/>
  <c r="J323" i="30" s="1"/>
  <c r="J325" i="32"/>
  <c r="J323" i="32" s="1"/>
  <c r="AG95" i="24"/>
  <c r="J375" i="32"/>
  <c r="J378" i="32"/>
  <c r="J334" i="26"/>
  <c r="J334" i="32"/>
  <c r="J356" i="26"/>
  <c r="J356" i="32"/>
  <c r="J304" i="32"/>
  <c r="J343" i="32"/>
  <c r="AG75" i="24"/>
  <c r="J332" i="32"/>
  <c r="Z247" i="2"/>
  <c r="O247" i="23" s="1"/>
  <c r="S391" i="32"/>
  <c r="F395" i="30"/>
  <c r="F395" i="32"/>
  <c r="Z193" i="2"/>
  <c r="O193" i="23" s="1"/>
  <c r="S279" i="32"/>
  <c r="J295" i="30"/>
  <c r="J295" i="32"/>
  <c r="J298" i="30"/>
  <c r="J298" i="32"/>
  <c r="F339" i="26"/>
  <c r="F339" i="32"/>
  <c r="H7" i="23"/>
  <c r="F315" i="32"/>
  <c r="F381" i="30"/>
  <c r="F379" i="30" s="1"/>
  <c r="F378" i="30" s="1"/>
  <c r="F381" i="32"/>
  <c r="F379" i="32" s="1"/>
  <c r="F378" i="32" s="1"/>
  <c r="J370" i="30"/>
  <c r="J370" i="32"/>
  <c r="J391" i="30"/>
  <c r="J391" i="32"/>
  <c r="J392" i="26"/>
  <c r="J392" i="32"/>
  <c r="J376" i="26"/>
  <c r="J376" i="32"/>
  <c r="F279" i="26"/>
  <c r="I279" i="26" s="1"/>
  <c r="F279" i="32"/>
  <c r="F337" i="30"/>
  <c r="F337" i="32"/>
  <c r="F296" i="26"/>
  <c r="F296" i="32"/>
  <c r="F304" i="30"/>
  <c r="F343" i="32"/>
  <c r="F304" i="32"/>
  <c r="J365" i="26"/>
  <c r="J365" i="32"/>
  <c r="J361" i="26"/>
  <c r="J359" i="26" s="1"/>
  <c r="J361" i="32"/>
  <c r="J359" i="32" s="1"/>
  <c r="K359" i="32" s="1"/>
  <c r="J342" i="26"/>
  <c r="J342" i="32"/>
  <c r="J282" i="26"/>
  <c r="J282" i="32"/>
  <c r="S365" i="30"/>
  <c r="S365" i="32"/>
  <c r="U297" i="23"/>
  <c r="T265" i="32"/>
  <c r="R225" i="23"/>
  <c r="O370" i="32"/>
  <c r="N370" i="32" s="1"/>
  <c r="Y606" i="2"/>
  <c r="AC606" i="2" s="1"/>
  <c r="Y605" i="2"/>
  <c r="AC605" i="2" s="1"/>
  <c r="W601" i="2"/>
  <c r="Y604" i="2"/>
  <c r="AC604" i="2" s="1"/>
  <c r="Y603" i="2"/>
  <c r="AC603" i="2" s="1"/>
  <c r="Y601" i="2"/>
  <c r="AC601" i="2" s="1"/>
  <c r="Y602" i="2"/>
  <c r="AC602" i="2" s="1"/>
  <c r="Z499" i="2"/>
  <c r="AB499" i="2" s="1"/>
  <c r="AB601" i="2"/>
  <c r="AB602" i="2"/>
  <c r="AB605" i="2"/>
  <c r="AB603" i="2"/>
  <c r="AB604" i="2"/>
  <c r="AB606" i="2"/>
  <c r="AK562" i="2"/>
  <c r="Z562" i="2"/>
  <c r="AB562" i="2" s="1"/>
  <c r="AK489" i="2"/>
  <c r="Z539" i="2"/>
  <c r="AB539" i="2" s="1"/>
  <c r="Z488" i="2"/>
  <c r="AB488" i="2" s="1"/>
  <c r="N136" i="23"/>
  <c r="N99" i="23"/>
  <c r="N63" i="23"/>
  <c r="S250" i="23"/>
  <c r="S220" i="23"/>
  <c r="S144" i="23"/>
  <c r="S288" i="23"/>
  <c r="N140" i="23"/>
  <c r="S107" i="23"/>
  <c r="S273" i="23"/>
  <c r="L250" i="21"/>
  <c r="S163" i="23"/>
  <c r="L190" i="21"/>
  <c r="S119" i="23"/>
  <c r="N23" i="23"/>
  <c r="S95" i="23"/>
  <c r="N127" i="23"/>
  <c r="N242" i="23"/>
  <c r="N170" i="23"/>
  <c r="N128" i="23"/>
  <c r="N248" i="23"/>
  <c r="N266" i="23"/>
  <c r="H248" i="23"/>
  <c r="G186" i="23"/>
  <c r="S186" i="23" s="1"/>
  <c r="W377" i="2"/>
  <c r="G69" i="23"/>
  <c r="N69" i="23" s="1"/>
  <c r="G185" i="23"/>
  <c r="N185" i="23" s="1"/>
  <c r="G173" i="23"/>
  <c r="S173" i="23" s="1"/>
  <c r="N60" i="23"/>
  <c r="H250" i="23"/>
  <c r="H236" i="23"/>
  <c r="G102" i="23"/>
  <c r="S102" i="23" s="1"/>
  <c r="J186" i="23"/>
  <c r="J29" i="23"/>
  <c r="AV65" i="24"/>
  <c r="R89" i="23"/>
  <c r="R21" i="23"/>
  <c r="R125" i="23"/>
  <c r="R138" i="23"/>
  <c r="R87" i="23"/>
  <c r="T265" i="30"/>
  <c r="R122" i="23"/>
  <c r="R214" i="23"/>
  <c r="G148" i="23"/>
  <c r="N148" i="23" s="1"/>
  <c r="H76" i="23"/>
  <c r="L76" i="23" s="1"/>
  <c r="H116" i="23"/>
  <c r="G110" i="23"/>
  <c r="N110" i="23" s="1"/>
  <c r="H194" i="23"/>
  <c r="H72" i="23"/>
  <c r="AT64" i="24"/>
  <c r="H256" i="23"/>
  <c r="H39" i="23"/>
  <c r="H34" i="23"/>
  <c r="H291" i="23"/>
  <c r="AU104" i="24"/>
  <c r="G46" i="23"/>
  <c r="N46" i="23" s="1"/>
  <c r="H188" i="23"/>
  <c r="U436" i="2"/>
  <c r="AX110" i="24" s="1"/>
  <c r="AT110" i="24"/>
  <c r="J85" i="23"/>
  <c r="AT54" i="24"/>
  <c r="AT104" i="24"/>
  <c r="H75" i="23"/>
  <c r="H51" i="23"/>
  <c r="H27" i="23"/>
  <c r="H19" i="23"/>
  <c r="H195" i="23"/>
  <c r="H80" i="23"/>
  <c r="H120" i="23"/>
  <c r="L120" i="23" s="1"/>
  <c r="T430" i="2"/>
  <c r="AK430" i="2" s="1"/>
  <c r="AV107" i="24"/>
  <c r="H171" i="23"/>
  <c r="H62" i="23"/>
  <c r="H126" i="23"/>
  <c r="H152" i="23"/>
  <c r="L152" i="23" s="1"/>
  <c r="H130" i="23"/>
  <c r="H82" i="23"/>
  <c r="H54" i="23"/>
  <c r="H18" i="23"/>
  <c r="L18" i="23" s="1"/>
  <c r="H63" i="23"/>
  <c r="H17" i="23"/>
  <c r="L17" i="23" s="1"/>
  <c r="R34" i="23"/>
  <c r="R110" i="23"/>
  <c r="R39" i="23"/>
  <c r="G19" i="23"/>
  <c r="J105" i="23"/>
  <c r="G178" i="23"/>
  <c r="N178" i="23" s="1"/>
  <c r="G75" i="23"/>
  <c r="J75" i="23" s="1"/>
  <c r="T436" i="2"/>
  <c r="AK436" i="2" s="1"/>
  <c r="AV110" i="24"/>
  <c r="L75" i="23"/>
  <c r="U430" i="2"/>
  <c r="AX107" i="24" s="1"/>
  <c r="AT107" i="24"/>
  <c r="R143" i="23"/>
  <c r="R91" i="23"/>
  <c r="G92" i="23"/>
  <c r="J92" i="23" s="1"/>
  <c r="H190" i="23"/>
  <c r="G238" i="23"/>
  <c r="N238" i="23" s="1"/>
  <c r="G169" i="23"/>
  <c r="N169" i="23" s="1"/>
  <c r="AT53" i="24"/>
  <c r="G156" i="23"/>
  <c r="AW54" i="24"/>
  <c r="T434" i="2"/>
  <c r="AK434" i="2" s="1"/>
  <c r="R209" i="23" s="1"/>
  <c r="AV58" i="24"/>
  <c r="G172" i="23"/>
  <c r="U434" i="2"/>
  <c r="AX58" i="24" s="1"/>
  <c r="AT58" i="24"/>
  <c r="AV54" i="24"/>
  <c r="Z191" i="2"/>
  <c r="G154" i="23"/>
  <c r="Z104" i="2"/>
  <c r="G90" i="23"/>
  <c r="N90" i="23" s="1"/>
  <c r="H192" i="23"/>
  <c r="G158" i="23"/>
  <c r="S158" i="23" s="1"/>
  <c r="Z96" i="2"/>
  <c r="AB96" i="2" s="1"/>
  <c r="G84" i="23"/>
  <c r="J84" i="23" s="1"/>
  <c r="H79" i="23"/>
  <c r="Z429" i="2"/>
  <c r="AB429" i="2" s="1"/>
  <c r="G207" i="23"/>
  <c r="G171" i="23"/>
  <c r="G217" i="23"/>
  <c r="S217" i="23" s="1"/>
  <c r="AE109" i="24"/>
  <c r="G155" i="23"/>
  <c r="H207" i="23"/>
  <c r="Z375" i="2"/>
  <c r="AB375" i="2" s="1"/>
  <c r="G187" i="23"/>
  <c r="J187" i="23" s="1"/>
  <c r="AV67" i="24"/>
  <c r="G164" i="23"/>
  <c r="J90" i="23"/>
  <c r="AN58" i="24"/>
  <c r="G150" i="23"/>
  <c r="H214" i="23"/>
  <c r="U474" i="2"/>
  <c r="AX105" i="24" s="1"/>
  <c r="AT105" i="24"/>
  <c r="AT19" i="24"/>
  <c r="G203" i="23"/>
  <c r="N203" i="23" s="1"/>
  <c r="H288" i="23"/>
  <c r="H36" i="23"/>
  <c r="H44" i="23"/>
  <c r="H253" i="23"/>
  <c r="L253" i="23" s="1"/>
  <c r="H204" i="23"/>
  <c r="H179" i="23"/>
  <c r="H163" i="23"/>
  <c r="H47" i="23"/>
  <c r="H140" i="23"/>
  <c r="H161" i="23"/>
  <c r="J53" i="23"/>
  <c r="L291" i="23"/>
  <c r="G199" i="23"/>
  <c r="S199" i="23" s="1"/>
  <c r="L54" i="23"/>
  <c r="H118" i="23"/>
  <c r="L118" i="23" s="1"/>
  <c r="H110" i="23"/>
  <c r="H102" i="23"/>
  <c r="H86" i="23"/>
  <c r="G71" i="23"/>
  <c r="S71" i="23" s="1"/>
  <c r="H43" i="23"/>
  <c r="H35" i="23"/>
  <c r="H23" i="23"/>
  <c r="H58" i="23"/>
  <c r="L58" i="23" s="1"/>
  <c r="H50" i="23"/>
  <c r="H38" i="23"/>
  <c r="H153" i="23"/>
  <c r="H119" i="23"/>
  <c r="H103" i="23"/>
  <c r="L103" i="23" s="1"/>
  <c r="G68" i="23"/>
  <c r="N68" i="23" s="1"/>
  <c r="H20" i="23"/>
  <c r="H148" i="23"/>
  <c r="L148" i="23" s="1"/>
  <c r="H136" i="23"/>
  <c r="L102" i="23"/>
  <c r="R93" i="23"/>
  <c r="R146" i="23"/>
  <c r="R161" i="23"/>
  <c r="R121" i="23"/>
  <c r="R45" i="23"/>
  <c r="G67" i="23"/>
  <c r="J67" i="23" s="1"/>
  <c r="G16" i="23"/>
  <c r="J16" i="23" s="1"/>
  <c r="H100" i="23"/>
  <c r="L100" i="23" s="1"/>
  <c r="AT10" i="24"/>
  <c r="H170" i="23"/>
  <c r="H174" i="23"/>
  <c r="J65" i="23"/>
  <c r="J48" i="23"/>
  <c r="G52" i="23"/>
  <c r="S52" i="23" s="1"/>
  <c r="H191" i="23"/>
  <c r="L191" i="23" s="1"/>
  <c r="H111" i="23"/>
  <c r="H91" i="23"/>
  <c r="H55" i="23"/>
  <c r="J291" i="23"/>
  <c r="R153" i="23"/>
  <c r="R38" i="23"/>
  <c r="R124" i="23"/>
  <c r="G47" i="23"/>
  <c r="G147" i="23"/>
  <c r="G64" i="23"/>
  <c r="J64" i="23" s="1"/>
  <c r="G204" i="23"/>
  <c r="G100" i="23"/>
  <c r="H139" i="23"/>
  <c r="H123" i="23"/>
  <c r="R79" i="23"/>
  <c r="H147" i="23"/>
  <c r="H165" i="23"/>
  <c r="J127" i="23"/>
  <c r="AW53" i="24"/>
  <c r="H122" i="23"/>
  <c r="H114" i="23"/>
  <c r="H106" i="23"/>
  <c r="L106" i="23" s="1"/>
  <c r="H74" i="23"/>
  <c r="L74" i="23" s="1"/>
  <c r="H66" i="23"/>
  <c r="H131" i="23"/>
  <c r="G116" i="23"/>
  <c r="S116" i="23" s="1"/>
  <c r="G108" i="23"/>
  <c r="N108" i="23" s="1"/>
  <c r="H99" i="23"/>
  <c r="H71" i="23"/>
  <c r="L71" i="23" s="1"/>
  <c r="H209" i="23"/>
  <c r="R141" i="23"/>
  <c r="R130" i="23"/>
  <c r="R142" i="23"/>
  <c r="R86" i="23"/>
  <c r="R88" i="23"/>
  <c r="G168" i="23"/>
  <c r="G184" i="23"/>
  <c r="J184" i="23" s="1"/>
  <c r="G103" i="23"/>
  <c r="G120" i="23"/>
  <c r="J120" i="23" s="1"/>
  <c r="G151" i="23"/>
  <c r="G39" i="23"/>
  <c r="T265" i="26"/>
  <c r="U249" i="23"/>
  <c r="AS39" i="21"/>
  <c r="AK162" i="2"/>
  <c r="AK97" i="2"/>
  <c r="R97" i="23" s="1"/>
  <c r="AK425" i="2"/>
  <c r="R204" i="23" s="1"/>
  <c r="AK17" i="2"/>
  <c r="R17" i="23" s="1"/>
  <c r="AK116" i="2"/>
  <c r="AK435" i="2"/>
  <c r="AK54" i="2"/>
  <c r="AK50" i="2"/>
  <c r="AK193" i="2"/>
  <c r="AK62" i="2"/>
  <c r="AK293" i="2"/>
  <c r="R292" i="23" s="1"/>
  <c r="AK82" i="2"/>
  <c r="R82" i="23" s="1"/>
  <c r="AK238" i="2"/>
  <c r="R238" i="23" s="1"/>
  <c r="AK174" i="2"/>
  <c r="R174" i="23" s="1"/>
  <c r="P174" i="23" s="1"/>
  <c r="Q174" i="23" s="1"/>
  <c r="AK78" i="2"/>
  <c r="AK33" i="2"/>
  <c r="R33" i="23" s="1"/>
  <c r="AK131" i="2"/>
  <c r="R131" i="23" s="1"/>
  <c r="P131" i="23" s="1"/>
  <c r="Q131" i="23" s="1"/>
  <c r="AK115" i="2"/>
  <c r="R100" i="23" s="1"/>
  <c r="AK83" i="2"/>
  <c r="R83" i="23" s="1"/>
  <c r="P83" i="23" s="1"/>
  <c r="Q83" i="23" s="1"/>
  <c r="AK51" i="2"/>
  <c r="AK292" i="2"/>
  <c r="R291" i="23" s="1"/>
  <c r="P291" i="23" s="1"/>
  <c r="Q291" i="23" s="1"/>
  <c r="AK260" i="2"/>
  <c r="AK228" i="2"/>
  <c r="AK196" i="2"/>
  <c r="AK132" i="2"/>
  <c r="AK68" i="2"/>
  <c r="AK52" i="2"/>
  <c r="R48" i="23" s="1"/>
  <c r="AK20" i="2"/>
  <c r="R20" i="23" s="1"/>
  <c r="P20" i="23" s="1"/>
  <c r="Q20" i="23" s="1"/>
  <c r="AK320" i="2"/>
  <c r="AK319" i="2"/>
  <c r="AK361" i="2"/>
  <c r="AK466" i="2"/>
  <c r="AK402" i="2"/>
  <c r="AK440" i="2"/>
  <c r="AK419" i="2"/>
  <c r="AK403" i="2"/>
  <c r="AK253" i="2"/>
  <c r="R253" i="23" s="1"/>
  <c r="P253" i="23" s="1"/>
  <c r="Q253" i="23" s="1"/>
  <c r="AK22" i="2"/>
  <c r="R19" i="23" s="1"/>
  <c r="AK277" i="2"/>
  <c r="R277" i="23" s="1"/>
  <c r="P277" i="23" s="1"/>
  <c r="Q277" i="23" s="1"/>
  <c r="AK149" i="2"/>
  <c r="AK290" i="2"/>
  <c r="AK226" i="2"/>
  <c r="R226" i="23" s="1"/>
  <c r="AK134" i="2"/>
  <c r="AK70" i="2"/>
  <c r="R70" i="23" s="1"/>
  <c r="AK287" i="2"/>
  <c r="R287" i="23" s="1"/>
  <c r="AK191" i="2"/>
  <c r="AK15" i="2"/>
  <c r="R15" i="23" s="1"/>
  <c r="P15" i="23" s="1"/>
  <c r="Q15" i="23" s="1"/>
  <c r="AK13" i="2"/>
  <c r="R13" i="23" s="1"/>
  <c r="P13" i="23" s="1"/>
  <c r="Q13" i="23" s="1"/>
  <c r="AK208" i="2"/>
  <c r="AK96" i="2"/>
  <c r="R96" i="23" s="1"/>
  <c r="AK326" i="2"/>
  <c r="AK317" i="2"/>
  <c r="AK421" i="2"/>
  <c r="AK397" i="2"/>
  <c r="AK485" i="2"/>
  <c r="AK404" i="2"/>
  <c r="AK415" i="2"/>
  <c r="AK351" i="2"/>
  <c r="AK335" i="2"/>
  <c r="AK301" i="2"/>
  <c r="AK117" i="2"/>
  <c r="AK77" i="2"/>
  <c r="R77" i="23" s="1"/>
  <c r="AK298" i="2"/>
  <c r="AK178" i="2"/>
  <c r="AK74" i="2"/>
  <c r="AK18" i="2"/>
  <c r="R18" i="23" s="1"/>
  <c r="AK81" i="2"/>
  <c r="R81" i="23" s="1"/>
  <c r="AK133" i="2"/>
  <c r="R133" i="23" s="1"/>
  <c r="AK158" i="2"/>
  <c r="AK126" i="2"/>
  <c r="R126" i="23" s="1"/>
  <c r="AK58" i="2"/>
  <c r="R58" i="23" s="1"/>
  <c r="AK41" i="2"/>
  <c r="R41" i="23" s="1"/>
  <c r="P41" i="23" s="1"/>
  <c r="Q41" i="23" s="1"/>
  <c r="AK25" i="2"/>
  <c r="R25" i="23" s="1"/>
  <c r="P25" i="23" s="1"/>
  <c r="Q25" i="23" s="1"/>
  <c r="AK267" i="2"/>
  <c r="AK203" i="2"/>
  <c r="R203" i="23" s="1"/>
  <c r="AK139" i="2"/>
  <c r="R139" i="23" s="1"/>
  <c r="AK123" i="2"/>
  <c r="R123" i="23" s="1"/>
  <c r="P123" i="23" s="1"/>
  <c r="Q123" i="23" s="1"/>
  <c r="AK59" i="2"/>
  <c r="R59" i="23" s="1"/>
  <c r="AK108" i="2"/>
  <c r="AK76" i="2"/>
  <c r="R76" i="23" s="1"/>
  <c r="P76" i="23" s="1"/>
  <c r="Q76" i="23" s="1"/>
  <c r="AK312" i="2"/>
  <c r="AK461" i="2"/>
  <c r="AK476" i="2"/>
  <c r="AK353" i="2"/>
  <c r="AK381" i="2"/>
  <c r="AK330" i="2"/>
  <c r="AK360" i="2"/>
  <c r="AK475" i="2"/>
  <c r="AK363" i="2"/>
  <c r="AK106" i="2"/>
  <c r="R106" i="23" s="1"/>
  <c r="AK233" i="2"/>
  <c r="R233" i="23" s="1"/>
  <c r="AK137" i="2"/>
  <c r="AK73" i="2"/>
  <c r="AK109" i="2"/>
  <c r="R109" i="23" s="1"/>
  <c r="AK118" i="2"/>
  <c r="AK57" i="2"/>
  <c r="AK247" i="2"/>
  <c r="AK199" i="2"/>
  <c r="AK135" i="2"/>
  <c r="AK71" i="2"/>
  <c r="R71" i="23" s="1"/>
  <c r="AK55" i="2"/>
  <c r="R55" i="23" s="1"/>
  <c r="P55" i="23" s="1"/>
  <c r="Q55" i="23" s="1"/>
  <c r="AK280" i="2"/>
  <c r="AK152" i="2"/>
  <c r="R152" i="23" s="1"/>
  <c r="P152" i="23" s="1"/>
  <c r="Q152" i="23" s="1"/>
  <c r="AK104" i="2"/>
  <c r="R104" i="23" s="1"/>
  <c r="AK56" i="2"/>
  <c r="R56" i="23" s="1"/>
  <c r="P56" i="23" s="1"/>
  <c r="Q56" i="23" s="1"/>
  <c r="AK310" i="2"/>
  <c r="AK429" i="2"/>
  <c r="R207" i="23" s="1"/>
  <c r="AK449" i="2"/>
  <c r="AK452" i="2"/>
  <c r="AK420" i="2"/>
  <c r="AK390" i="2"/>
  <c r="AK391" i="2"/>
  <c r="AK375" i="2"/>
  <c r="R187" i="23" s="1"/>
  <c r="O370" i="30"/>
  <c r="N370" i="30" s="1"/>
  <c r="O370" i="26"/>
  <c r="N370" i="26" s="1"/>
  <c r="L167" i="21"/>
  <c r="AU260" i="21"/>
  <c r="K260" i="21"/>
  <c r="Z260" i="21"/>
  <c r="S260" i="21"/>
  <c r="AN260" i="21"/>
  <c r="AC260" i="21"/>
  <c r="AY260" i="21"/>
  <c r="AS260" i="21"/>
  <c r="X260" i="21"/>
  <c r="R260" i="21"/>
  <c r="AA260" i="21"/>
  <c r="W260" i="21"/>
  <c r="AQ260" i="21"/>
  <c r="AK260" i="21"/>
  <c r="P260" i="21"/>
  <c r="AF260" i="21"/>
  <c r="AV260" i="21"/>
  <c r="AG260" i="21"/>
  <c r="L188" i="21"/>
  <c r="N260" i="21"/>
  <c r="O260" i="21" s="1"/>
  <c r="AX260" i="21"/>
  <c r="V260" i="21"/>
  <c r="AE260" i="21"/>
  <c r="AB260" i="21"/>
  <c r="AR260" i="21"/>
  <c r="AD260" i="21"/>
  <c r="Y260" i="21"/>
  <c r="AL260" i="21"/>
  <c r="AM260" i="21"/>
  <c r="J260" i="21"/>
  <c r="AI260" i="21"/>
  <c r="U260" i="21"/>
  <c r="AP260" i="21"/>
  <c r="T260" i="21"/>
  <c r="AJ260" i="21"/>
  <c r="AH260" i="21"/>
  <c r="AT260" i="21"/>
  <c r="AW260" i="21"/>
  <c r="AO260" i="21"/>
  <c r="Q260" i="21"/>
  <c r="M34" i="26"/>
  <c r="M9" i="27" s="1"/>
  <c r="H3" i="28"/>
  <c r="L197" i="21"/>
  <c r="N223" i="21"/>
  <c r="O223" i="21" s="1"/>
  <c r="L229" i="21"/>
  <c r="Z484" i="2"/>
  <c r="AB484" i="2" s="1"/>
  <c r="AQ484" i="2"/>
  <c r="Z57" i="2"/>
  <c r="O57" i="23" s="1"/>
  <c r="AI155" i="21"/>
  <c r="Z41" i="2"/>
  <c r="AB41" i="2" s="1"/>
  <c r="U7" i="21"/>
  <c r="AC257" i="21"/>
  <c r="Q176" i="21"/>
  <c r="N79" i="21"/>
  <c r="O79" i="21" s="1"/>
  <c r="Z132" i="2"/>
  <c r="O132" i="23" s="1"/>
  <c r="AB155" i="21"/>
  <c r="T257" i="21"/>
  <c r="S257" i="21"/>
  <c r="AR257" i="21"/>
  <c r="AI257" i="21"/>
  <c r="H98" i="23"/>
  <c r="L98" i="23" s="1"/>
  <c r="T122" i="21"/>
  <c r="F315" i="30"/>
  <c r="L192" i="21"/>
  <c r="Z326" i="2"/>
  <c r="AB326" i="2" s="1"/>
  <c r="S279" i="30"/>
  <c r="K112" i="21"/>
  <c r="AG112" i="21"/>
  <c r="L75" i="21"/>
  <c r="G81" i="23"/>
  <c r="J81" i="23" s="1"/>
  <c r="N256" i="23"/>
  <c r="F339" i="30"/>
  <c r="AT257" i="21"/>
  <c r="U257" i="21"/>
  <c r="U155" i="21"/>
  <c r="N7" i="21"/>
  <c r="O7" i="21" s="1"/>
  <c r="N257" i="21"/>
  <c r="O257" i="21" s="1"/>
  <c r="Z15" i="2"/>
  <c r="AB15" i="2" s="1"/>
  <c r="AW58" i="21"/>
  <c r="K46" i="21"/>
  <c r="L46" i="21" s="1"/>
  <c r="AD79" i="21"/>
  <c r="G57" i="23"/>
  <c r="S57" i="23" s="1"/>
  <c r="Z13" i="2"/>
  <c r="O13" i="23" s="1"/>
  <c r="Z123" i="2"/>
  <c r="O123" i="23" s="1"/>
  <c r="N46" i="21"/>
  <c r="O46" i="21" s="1"/>
  <c r="AX155" i="21"/>
  <c r="N122" i="21"/>
  <c r="O122" i="21" s="1"/>
  <c r="P65" i="21"/>
  <c r="AV42" i="24"/>
  <c r="AO112" i="21"/>
  <c r="AI52" i="21"/>
  <c r="J337" i="26"/>
  <c r="AL35" i="21"/>
  <c r="F343" i="26"/>
  <c r="AQ108" i="2"/>
  <c r="U108" i="23" s="1"/>
  <c r="Y7" i="2"/>
  <c r="M7" i="23" s="1"/>
  <c r="AW23" i="24"/>
  <c r="J16" i="25" s="1"/>
  <c r="K16" i="25" s="1"/>
  <c r="J365" i="30"/>
  <c r="AU69" i="24"/>
  <c r="AF112" i="21"/>
  <c r="Z109" i="2"/>
  <c r="AB109" i="2" s="1"/>
  <c r="Z83" i="2"/>
  <c r="O83" i="23" s="1"/>
  <c r="Z55" i="2"/>
  <c r="O55" i="23" s="1"/>
  <c r="N65" i="21"/>
  <c r="O65" i="21" s="1"/>
  <c r="AC112" i="21"/>
  <c r="AX141" i="21"/>
  <c r="AR112" i="21"/>
  <c r="AH112" i="21"/>
  <c r="X35" i="21"/>
  <c r="AC65" i="21"/>
  <c r="Z320" i="2"/>
  <c r="AB320" i="2" s="1"/>
  <c r="Z397" i="2"/>
  <c r="AB397" i="2" s="1"/>
  <c r="Z51" i="2"/>
  <c r="AT39" i="21"/>
  <c r="AQ326" i="2"/>
  <c r="T126" i="26" s="1"/>
  <c r="F315" i="26"/>
  <c r="G311" i="23"/>
  <c r="S311" i="23" s="1"/>
  <c r="Z141" i="21"/>
  <c r="AO39" i="21"/>
  <c r="AU122" i="21"/>
  <c r="AQ20" i="2"/>
  <c r="U20" i="23" s="1"/>
  <c r="AC141" i="21"/>
  <c r="Y112" i="21"/>
  <c r="AB112" i="21"/>
  <c r="AO35" i="21"/>
  <c r="J282" i="30"/>
  <c r="AW39" i="21"/>
  <c r="AH65" i="21"/>
  <c r="N112" i="21"/>
  <c r="O112" i="21" s="1"/>
  <c r="Z112" i="21"/>
  <c r="V35" i="21"/>
  <c r="K39" i="21"/>
  <c r="AN39" i="21"/>
  <c r="AP52" i="21"/>
  <c r="AO53" i="21"/>
  <c r="AN65" i="21"/>
  <c r="R176" i="21"/>
  <c r="AQ115" i="2"/>
  <c r="U115" i="23" s="1"/>
  <c r="AF79" i="21"/>
  <c r="AV79" i="21"/>
  <c r="S296" i="30"/>
  <c r="S123" i="23"/>
  <c r="AW155" i="21"/>
  <c r="AG257" i="21"/>
  <c r="Z52" i="2"/>
  <c r="AB52" i="2" s="1"/>
  <c r="Z135" i="2"/>
  <c r="AB135" i="2" s="1"/>
  <c r="Z115" i="2"/>
  <c r="AD257" i="21"/>
  <c r="AH257" i="21"/>
  <c r="AE257" i="21"/>
  <c r="AB257" i="21"/>
  <c r="AM155" i="21"/>
  <c r="AP155" i="21"/>
  <c r="N15" i="23"/>
  <c r="AN46" i="21"/>
  <c r="V58" i="21"/>
  <c r="J223" i="21"/>
  <c r="R7" i="21"/>
  <c r="N58" i="21"/>
  <c r="O58" i="21" s="1"/>
  <c r="Y257" i="21"/>
  <c r="AX257" i="21"/>
  <c r="AW257" i="21"/>
  <c r="AP257" i="21"/>
  <c r="AJ257" i="21"/>
  <c r="W257" i="21"/>
  <c r="AQ257" i="21"/>
  <c r="AY155" i="21"/>
  <c r="AA155" i="21"/>
  <c r="AY46" i="21"/>
  <c r="AO58" i="21"/>
  <c r="AQ223" i="21"/>
  <c r="AN7" i="21"/>
  <c r="AI248" i="21"/>
  <c r="AA46" i="21"/>
  <c r="AN176" i="21"/>
  <c r="W58" i="21"/>
  <c r="M257" i="21"/>
  <c r="AK223" i="21"/>
  <c r="V248" i="21"/>
  <c r="F337" i="26"/>
  <c r="U283" i="2"/>
  <c r="W283" i="2" s="1"/>
  <c r="AY17" i="24" s="1"/>
  <c r="AS248" i="21"/>
  <c r="P39" i="21"/>
  <c r="AK65" i="21"/>
  <c r="G211" i="21"/>
  <c r="AD90" i="24"/>
  <c r="H134" i="23"/>
  <c r="L134" i="23" s="1"/>
  <c r="G228" i="23"/>
  <c r="S228" i="23" s="1"/>
  <c r="J361" i="30"/>
  <c r="J359" i="30" s="1"/>
  <c r="AN141" i="21"/>
  <c r="M112" i="21"/>
  <c r="AV112" i="21"/>
  <c r="AW112" i="21"/>
  <c r="AX112" i="21"/>
  <c r="AQ112" i="21"/>
  <c r="AM35" i="21"/>
  <c r="Q39" i="21"/>
  <c r="AR39" i="21"/>
  <c r="AF53" i="21"/>
  <c r="AD53" i="21"/>
  <c r="AS65" i="21"/>
  <c r="AM65" i="21"/>
  <c r="Z228" i="2"/>
  <c r="AB228" i="2" s="1"/>
  <c r="N52" i="21"/>
  <c r="O52" i="21" s="1"/>
  <c r="AT42" i="21"/>
  <c r="X39" i="21"/>
  <c r="AQ320" i="2"/>
  <c r="N55" i="23"/>
  <c r="R39" i="21"/>
  <c r="R248" i="21"/>
  <c r="AF248" i="21"/>
  <c r="AQ248" i="21"/>
  <c r="W122" i="21"/>
  <c r="AP122" i="21"/>
  <c r="T39" i="21"/>
  <c r="U39" i="21"/>
  <c r="S39" i="21"/>
  <c r="S52" i="21"/>
  <c r="G97" i="23"/>
  <c r="N97" i="23" s="1"/>
  <c r="U65" i="21"/>
  <c r="AL65" i="21"/>
  <c r="AT65" i="21"/>
  <c r="AV65" i="21"/>
  <c r="N39" i="21"/>
  <c r="O39" i="21" s="1"/>
  <c r="Z108" i="2"/>
  <c r="AB108" i="2" s="1"/>
  <c r="Z97" i="2"/>
  <c r="O97" i="23" s="1"/>
  <c r="Z81" i="2"/>
  <c r="AB81" i="2" s="1"/>
  <c r="Z25" i="2"/>
  <c r="AB25" i="2" s="1"/>
  <c r="N53" i="21"/>
  <c r="O53" i="21" s="1"/>
  <c r="N141" i="21"/>
  <c r="O141" i="21" s="1"/>
  <c r="AI112" i="21"/>
  <c r="AV94" i="24"/>
  <c r="AQ310" i="2"/>
  <c r="U309" i="23" s="1"/>
  <c r="F304" i="26"/>
  <c r="N83" i="23"/>
  <c r="AG248" i="21"/>
  <c r="AB248" i="21"/>
  <c r="AK248" i="21"/>
  <c r="R122" i="21"/>
  <c r="U122" i="21"/>
  <c r="AI141" i="21"/>
  <c r="T112" i="21"/>
  <c r="U112" i="21"/>
  <c r="W112" i="21"/>
  <c r="R112" i="21"/>
  <c r="AU112" i="21"/>
  <c r="AV35" i="21"/>
  <c r="AI39" i="21"/>
  <c r="AC35" i="21"/>
  <c r="AD39" i="21"/>
  <c r="Z39" i="21"/>
  <c r="AB39" i="21"/>
  <c r="W39" i="21"/>
  <c r="AQ52" i="21"/>
  <c r="Q53" i="21"/>
  <c r="AU53" i="21"/>
  <c r="AR65" i="21"/>
  <c r="Q65" i="21"/>
  <c r="S65" i="21"/>
  <c r="M65" i="21"/>
  <c r="R65" i="21"/>
  <c r="AY65" i="21"/>
  <c r="AX248" i="21"/>
  <c r="X248" i="21"/>
  <c r="AA248" i="21"/>
  <c r="U276" i="2"/>
  <c r="W276" i="2" s="1"/>
  <c r="AY9" i="24" s="1"/>
  <c r="AK39" i="21"/>
  <c r="AQ39" i="21"/>
  <c r="AM39" i="21"/>
  <c r="AA39" i="21"/>
  <c r="S112" i="21"/>
  <c r="AW52" i="21"/>
  <c r="S53" i="21"/>
  <c r="AA65" i="21"/>
  <c r="AB65" i="21"/>
  <c r="X65" i="21"/>
  <c r="Y65" i="21"/>
  <c r="AD65" i="21"/>
  <c r="N248" i="21"/>
  <c r="O248" i="21" s="1"/>
  <c r="Z310" i="2"/>
  <c r="AB310" i="2" s="1"/>
  <c r="AV70" i="24"/>
  <c r="F343" i="30"/>
  <c r="AW70" i="24"/>
  <c r="AY122" i="21"/>
  <c r="AH35" i="21"/>
  <c r="AE66" i="24"/>
  <c r="Y248" i="21"/>
  <c r="AL248" i="21"/>
  <c r="AH122" i="21"/>
  <c r="AK122" i="21"/>
  <c r="U141" i="21"/>
  <c r="AJ112" i="21"/>
  <c r="AA112" i="21"/>
  <c r="J112" i="21"/>
  <c r="AS112" i="21"/>
  <c r="AD112" i="21"/>
  <c r="AY112" i="21"/>
  <c r="X112" i="21"/>
  <c r="J342" i="30"/>
  <c r="AP39" i="21"/>
  <c r="AL39" i="21"/>
  <c r="V39" i="21"/>
  <c r="AX39" i="21"/>
  <c r="AC52" i="21"/>
  <c r="G109" i="23"/>
  <c r="AR53" i="21"/>
  <c r="AF65" i="21"/>
  <c r="W65" i="21"/>
  <c r="AX65" i="21"/>
  <c r="AO65" i="21"/>
  <c r="AE65" i="21"/>
  <c r="V65" i="21"/>
  <c r="Y9" i="2"/>
  <c r="AC9" i="2" s="1"/>
  <c r="Y520" i="2"/>
  <c r="AC520" i="2" s="1"/>
  <c r="AF28" i="24"/>
  <c r="AS257" i="21"/>
  <c r="AL257" i="21"/>
  <c r="AM257" i="21"/>
  <c r="AA257" i="21"/>
  <c r="AK257" i="21"/>
  <c r="P257" i="21"/>
  <c r="AF257" i="21"/>
  <c r="AV257" i="21"/>
  <c r="Z58" i="21"/>
  <c r="AJ46" i="21"/>
  <c r="AL7" i="21"/>
  <c r="AC155" i="21"/>
  <c r="M155" i="21"/>
  <c r="V155" i="21"/>
  <c r="X155" i="21"/>
  <c r="Q7" i="21"/>
  <c r="AE46" i="21"/>
  <c r="AD46" i="21"/>
  <c r="P176" i="21"/>
  <c r="Z176" i="21"/>
  <c r="K58" i="21"/>
  <c r="AR58" i="21"/>
  <c r="J257" i="21"/>
  <c r="L257" i="21" s="1"/>
  <c r="W79" i="21"/>
  <c r="AT223" i="21"/>
  <c r="X7" i="21"/>
  <c r="S46" i="21"/>
  <c r="J115" i="23"/>
  <c r="N155" i="21"/>
  <c r="O155" i="21" s="1"/>
  <c r="N176" i="21"/>
  <c r="O176" i="21" s="1"/>
  <c r="R257" i="21"/>
  <c r="V257" i="21"/>
  <c r="AO257" i="21"/>
  <c r="Z257" i="21"/>
  <c r="AU257" i="21"/>
  <c r="X257" i="21"/>
  <c r="AN257" i="21"/>
  <c r="Q257" i="21"/>
  <c r="AY257" i="21"/>
  <c r="K155" i="21"/>
  <c r="N115" i="23"/>
  <c r="R155" i="21"/>
  <c r="AD155" i="21"/>
  <c r="AK155" i="21"/>
  <c r="AQ155" i="21"/>
  <c r="S13" i="23"/>
  <c r="AQ13" i="2"/>
  <c r="U13" i="23" s="1"/>
  <c r="AX176" i="21"/>
  <c r="Y67" i="2"/>
  <c r="Y504" i="2"/>
  <c r="AC504" i="2" s="1"/>
  <c r="W370" i="2"/>
  <c r="L63" i="21"/>
  <c r="AC70" i="24"/>
  <c r="AP253" i="21"/>
  <c r="L258" i="21"/>
  <c r="N221" i="21"/>
  <c r="O221" i="21" s="1"/>
  <c r="X41" i="21"/>
  <c r="AG67" i="24"/>
  <c r="G238" i="21"/>
  <c r="N153" i="21"/>
  <c r="O153" i="21" s="1"/>
  <c r="AH251" i="21"/>
  <c r="AD153" i="21"/>
  <c r="AA259" i="21"/>
  <c r="AL153" i="21"/>
  <c r="AR83" i="21"/>
  <c r="AF214" i="21"/>
  <c r="X146" i="21"/>
  <c r="Z361" i="2"/>
  <c r="AB361" i="2" s="1"/>
  <c r="AM74" i="21"/>
  <c r="AO83" i="21"/>
  <c r="AA214" i="21"/>
  <c r="U146" i="21"/>
  <c r="N138" i="21"/>
  <c r="O138" i="21" s="1"/>
  <c r="U281" i="2"/>
  <c r="AX21" i="24" s="1"/>
  <c r="AT132" i="21"/>
  <c r="AP138" i="21"/>
  <c r="W74" i="21"/>
  <c r="W251" i="21"/>
  <c r="AB253" i="21"/>
  <c r="L59" i="21"/>
  <c r="AN117" i="21"/>
  <c r="AC255" i="21"/>
  <c r="AF51" i="21"/>
  <c r="P142" i="21"/>
  <c r="Q142" i="21"/>
  <c r="AH51" i="21"/>
  <c r="AL41" i="21"/>
  <c r="P255" i="21"/>
  <c r="AO117" i="21"/>
  <c r="AI142" i="21"/>
  <c r="AX142" i="21"/>
  <c r="AR51" i="21"/>
  <c r="AV255" i="21"/>
  <c r="W76" i="21"/>
  <c r="M41" i="21"/>
  <c r="AO6" i="21"/>
  <c r="AX117" i="21"/>
  <c r="AN142" i="21"/>
  <c r="Y51" i="21"/>
  <c r="AW41" i="21"/>
  <c r="F341" i="26"/>
  <c r="AH143" i="21"/>
  <c r="AB5" i="21"/>
  <c r="Y255" i="21"/>
  <c r="Y117" i="21"/>
  <c r="AL6" i="21"/>
  <c r="AX143" i="21"/>
  <c r="K76" i="21"/>
  <c r="U212" i="2"/>
  <c r="AX255" i="21"/>
  <c r="AF255" i="21"/>
  <c r="AC104" i="24"/>
  <c r="K117" i="21"/>
  <c r="X117" i="21"/>
  <c r="AM142" i="21"/>
  <c r="AL142" i="21"/>
  <c r="F319" i="30"/>
  <c r="J51" i="21"/>
  <c r="P41" i="21"/>
  <c r="Q41" i="21"/>
  <c r="AW143" i="21"/>
  <c r="AV6" i="21"/>
  <c r="AV143" i="21"/>
  <c r="AT51" i="21"/>
  <c r="V76" i="21"/>
  <c r="AV5" i="21"/>
  <c r="R5" i="21"/>
  <c r="N6" i="21"/>
  <c r="O6" i="21" s="1"/>
  <c r="N255" i="21"/>
  <c r="O255" i="21" s="1"/>
  <c r="AD117" i="21"/>
  <c r="AA117" i="21"/>
  <c r="AE142" i="21"/>
  <c r="AG142" i="21"/>
  <c r="AU51" i="21"/>
  <c r="W51" i="21"/>
  <c r="AI41" i="21"/>
  <c r="AO231" i="21"/>
  <c r="R76" i="21"/>
  <c r="AK6" i="21"/>
  <c r="AL255" i="21"/>
  <c r="W6" i="21"/>
  <c r="J76" i="21"/>
  <c r="W143" i="21"/>
  <c r="S76" i="23"/>
  <c r="AG76" i="21"/>
  <c r="Y148" i="2"/>
  <c r="AC148" i="2" s="1"/>
  <c r="AW5" i="21"/>
  <c r="AW255" i="21"/>
  <c r="S304" i="26"/>
  <c r="AU6" i="21"/>
  <c r="T143" i="21"/>
  <c r="AQ41" i="21"/>
  <c r="AO76" i="21"/>
  <c r="AD5" i="21"/>
  <c r="AC259" i="21"/>
  <c r="R253" i="21"/>
  <c r="AC153" i="21"/>
  <c r="AV138" i="21"/>
  <c r="U214" i="21"/>
  <c r="AL137" i="21"/>
  <c r="AB42" i="24"/>
  <c r="L196" i="21"/>
  <c r="Z317" i="2"/>
  <c r="AB317" i="2" s="1"/>
  <c r="Z290" i="2"/>
  <c r="O289" i="23" s="1"/>
  <c r="AF251" i="21"/>
  <c r="J153" i="21"/>
  <c r="L153" i="21" s="1"/>
  <c r="AO74" i="21"/>
  <c r="AG83" i="21"/>
  <c r="N74" i="21"/>
  <c r="O74" i="21" s="1"/>
  <c r="AT74" i="21"/>
  <c r="AJ214" i="21"/>
  <c r="AP146" i="21"/>
  <c r="AK150" i="21"/>
  <c r="N36" i="21"/>
  <c r="O36" i="21" s="1"/>
  <c r="AI259" i="21"/>
  <c r="AE74" i="21"/>
  <c r="AW83" i="21"/>
  <c r="AB146" i="21"/>
  <c r="Z56" i="2"/>
  <c r="O56" i="23" s="1"/>
  <c r="AK259" i="21"/>
  <c r="P259" i="21"/>
  <c r="V251" i="21"/>
  <c r="AJ251" i="21"/>
  <c r="AM259" i="21"/>
  <c r="V253" i="21"/>
  <c r="T153" i="21"/>
  <c r="S153" i="21"/>
  <c r="AO153" i="21"/>
  <c r="AO138" i="21"/>
  <c r="AV74" i="21"/>
  <c r="AY83" i="21"/>
  <c r="AK83" i="21"/>
  <c r="H241" i="23"/>
  <c r="P137" i="21"/>
  <c r="Z137" i="2"/>
  <c r="O137" i="23" s="1"/>
  <c r="N137" i="21"/>
  <c r="O137" i="21" s="1"/>
  <c r="X259" i="21"/>
  <c r="Y251" i="21"/>
  <c r="AQ251" i="21"/>
  <c r="P70" i="21"/>
  <c r="AV69" i="24"/>
  <c r="AD253" i="21"/>
  <c r="AW253" i="21"/>
  <c r="P153" i="21"/>
  <c r="X153" i="21"/>
  <c r="R138" i="21"/>
  <c r="V74" i="21"/>
  <c r="T74" i="21"/>
  <c r="S83" i="21"/>
  <c r="AR214" i="21"/>
  <c r="AC214" i="21"/>
  <c r="J219" i="21"/>
  <c r="AQ146" i="21"/>
  <c r="AJ231" i="21"/>
  <c r="F393" i="26"/>
  <c r="Q6" i="21"/>
  <c r="AB6" i="21"/>
  <c r="U282" i="2"/>
  <c r="AN10" i="24" s="1"/>
  <c r="X143" i="21"/>
  <c r="AE76" i="21"/>
  <c r="AC5" i="21"/>
  <c r="AM5" i="21"/>
  <c r="AU231" i="21"/>
  <c r="H255" i="23"/>
  <c r="L55" i="21"/>
  <c r="L184" i="21"/>
  <c r="H272" i="23"/>
  <c r="AD231" i="21"/>
  <c r="AG231" i="21"/>
  <c r="AQ290" i="2"/>
  <c r="U289" i="23" s="1"/>
  <c r="S253" i="21"/>
  <c r="AC35" i="24"/>
  <c r="AN231" i="21"/>
  <c r="M231" i="21"/>
  <c r="M153" i="21"/>
  <c r="AA256" i="21"/>
  <c r="U231" i="21"/>
  <c r="AA231" i="21"/>
  <c r="Z255" i="21"/>
  <c r="W51" i="2"/>
  <c r="Y102" i="2"/>
  <c r="Y23" i="2"/>
  <c r="AC23" i="2" s="1"/>
  <c r="Y15" i="2"/>
  <c r="AW106" i="24"/>
  <c r="N249" i="30"/>
  <c r="Y500" i="2"/>
  <c r="AC500" i="2" s="1"/>
  <c r="Y455" i="2"/>
  <c r="AC455" i="2" s="1"/>
  <c r="W400" i="2"/>
  <c r="N231" i="21"/>
  <c r="O231" i="21" s="1"/>
  <c r="J394" i="26"/>
  <c r="L14" i="21"/>
  <c r="AT231" i="21"/>
  <c r="AB231" i="21"/>
  <c r="AQ231" i="21"/>
  <c r="X70" i="21"/>
  <c r="AP36" i="21"/>
  <c r="L67" i="21"/>
  <c r="Y58" i="2"/>
  <c r="AC58" i="2" s="1"/>
  <c r="AY117" i="21"/>
  <c r="AQ117" i="21"/>
  <c r="AI51" i="21"/>
  <c r="K51" i="21"/>
  <c r="AJ51" i="21"/>
  <c r="S51" i="21"/>
  <c r="AM51" i="21"/>
  <c r="AS255" i="21"/>
  <c r="W255" i="21"/>
  <c r="T255" i="21"/>
  <c r="AJ255" i="21"/>
  <c r="N142" i="21"/>
  <c r="O142" i="21" s="1"/>
  <c r="N76" i="21"/>
  <c r="O76" i="21" s="1"/>
  <c r="N51" i="21"/>
  <c r="O51" i="21" s="1"/>
  <c r="Z134" i="2"/>
  <c r="O134" i="23" s="1"/>
  <c r="Z71" i="2"/>
  <c r="AB71" i="2" s="1"/>
  <c r="AG255" i="21"/>
  <c r="P143" i="21"/>
  <c r="R51" i="21"/>
  <c r="AB63" i="24"/>
  <c r="AT117" i="21"/>
  <c r="AM117" i="21"/>
  <c r="Q117" i="21"/>
  <c r="AL117" i="21"/>
  <c r="AF117" i="21"/>
  <c r="AW117" i="21"/>
  <c r="S142" i="21"/>
  <c r="T142" i="21"/>
  <c r="AP142" i="21"/>
  <c r="AA142" i="21"/>
  <c r="AW142" i="21"/>
  <c r="Y142" i="21"/>
  <c r="AO142" i="21"/>
  <c r="H78" i="23"/>
  <c r="L78" i="23" s="1"/>
  <c r="AK51" i="21"/>
  <c r="U51" i="21"/>
  <c r="AQ51" i="21"/>
  <c r="V51" i="21"/>
  <c r="AX51" i="21"/>
  <c r="AE51" i="21"/>
  <c r="AG41" i="21"/>
  <c r="R41" i="21"/>
  <c r="AY41" i="21"/>
  <c r="AO41" i="21"/>
  <c r="Y41" i="21"/>
  <c r="AX41" i="21"/>
  <c r="M255" i="21"/>
  <c r="AE255" i="21"/>
  <c r="S255" i="21"/>
  <c r="AA255" i="21"/>
  <c r="J255" i="21"/>
  <c r="L255" i="21" s="1"/>
  <c r="AQ76" i="2"/>
  <c r="U76" i="23" s="1"/>
  <c r="AQ68" i="2"/>
  <c r="U68" i="23" s="1"/>
  <c r="W142" i="21"/>
  <c r="Z41" i="21"/>
  <c r="AG6" i="21"/>
  <c r="Z152" i="2"/>
  <c r="AB152" i="2" s="1"/>
  <c r="Z76" i="2"/>
  <c r="AB76" i="2" s="1"/>
  <c r="Z77" i="2"/>
  <c r="O77" i="23" s="1"/>
  <c r="AH255" i="21"/>
  <c r="AB255" i="21"/>
  <c r="AR255" i="21"/>
  <c r="AR142" i="21"/>
  <c r="AC117" i="21"/>
  <c r="AS76" i="21"/>
  <c r="AK41" i="21"/>
  <c r="W117" i="21"/>
  <c r="R117" i="21"/>
  <c r="AU117" i="21"/>
  <c r="AH117" i="21"/>
  <c r="V117" i="21"/>
  <c r="AR117" i="21"/>
  <c r="T117" i="21"/>
  <c r="AJ117" i="21"/>
  <c r="X142" i="21"/>
  <c r="AB142" i="21"/>
  <c r="AD142" i="21"/>
  <c r="Z142" i="21"/>
  <c r="AV142" i="21"/>
  <c r="AF142" i="21"/>
  <c r="K142" i="21"/>
  <c r="AC142" i="21"/>
  <c r="AT142" i="21"/>
  <c r="T51" i="21"/>
  <c r="AP51" i="21"/>
  <c r="Z51" i="21"/>
  <c r="AW51" i="21"/>
  <c r="AB51" i="21"/>
  <c r="M51" i="21"/>
  <c r="AN51" i="21"/>
  <c r="AM41" i="21"/>
  <c r="AB41" i="21"/>
  <c r="S41" i="21"/>
  <c r="AU41" i="21"/>
  <c r="AH41" i="21"/>
  <c r="Y35" i="2"/>
  <c r="AC35" i="2" s="1"/>
  <c r="AN76" i="21"/>
  <c r="V255" i="21"/>
  <c r="Q255" i="21"/>
  <c r="AD255" i="21"/>
  <c r="AI255" i="21"/>
  <c r="AH6" i="21"/>
  <c r="R6" i="21"/>
  <c r="AM6" i="21"/>
  <c r="X6" i="21"/>
  <c r="AR6" i="21"/>
  <c r="AF63" i="24"/>
  <c r="N152" i="23"/>
  <c r="AH76" i="21"/>
  <c r="AB143" i="21"/>
  <c r="J143" i="21"/>
  <c r="S143" i="21"/>
  <c r="AT143" i="21"/>
  <c r="AO143" i="21"/>
  <c r="AD143" i="21"/>
  <c r="W102" i="2"/>
  <c r="W58" i="2"/>
  <c r="AB76" i="21"/>
  <c r="AD76" i="21"/>
  <c r="Z76" i="21"/>
  <c r="P76" i="21"/>
  <c r="AR76" i="21"/>
  <c r="AC76" i="21"/>
  <c r="S337" i="26"/>
  <c r="G77" i="23"/>
  <c r="S77" i="23" s="1"/>
  <c r="W160" i="2"/>
  <c r="F361" i="30"/>
  <c r="F359" i="30" s="1"/>
  <c r="W20" i="2"/>
  <c r="AF5" i="21"/>
  <c r="AN5" i="21"/>
  <c r="T5" i="21"/>
  <c r="AS5" i="21"/>
  <c r="Z5" i="21"/>
  <c r="AT5" i="21"/>
  <c r="AI5" i="21"/>
  <c r="K216" i="21"/>
  <c r="AL216" i="21"/>
  <c r="AQ134" i="2"/>
  <c r="U134" i="23" s="1"/>
  <c r="S343" i="26"/>
  <c r="AA143" i="21"/>
  <c r="AL143" i="21"/>
  <c r="V143" i="21"/>
  <c r="AJ143" i="21"/>
  <c r="M143" i="21"/>
  <c r="AC143" i="21"/>
  <c r="AR143" i="21"/>
  <c r="AQ143" i="21"/>
  <c r="AM143" i="21"/>
  <c r="Y43" i="2"/>
  <c r="AC43" i="2" s="1"/>
  <c r="AP76" i="21"/>
  <c r="Y76" i="21"/>
  <c r="AW76" i="21"/>
  <c r="AA76" i="21"/>
  <c r="AQ76" i="21"/>
  <c r="T76" i="21"/>
  <c r="AI76" i="21"/>
  <c r="AY76" i="21"/>
  <c r="AW6" i="21"/>
  <c r="AC6" i="21"/>
  <c r="AJ6" i="21"/>
  <c r="S6" i="21"/>
  <c r="AQ6" i="21"/>
  <c r="AA6" i="21"/>
  <c r="AT6" i="21"/>
  <c r="AD6" i="21"/>
  <c r="K6" i="21"/>
  <c r="T6" i="21"/>
  <c r="N41" i="21"/>
  <c r="O41" i="21" s="1"/>
  <c r="Z117" i="2"/>
  <c r="O117" i="23" s="1"/>
  <c r="N117" i="21"/>
  <c r="O117" i="21" s="1"/>
  <c r="AO51" i="21"/>
  <c r="Y6" i="21"/>
  <c r="AC63" i="24"/>
  <c r="AK117" i="21"/>
  <c r="AE117" i="21"/>
  <c r="S117" i="21"/>
  <c r="AV117" i="21"/>
  <c r="AG117" i="21"/>
  <c r="J117" i="21"/>
  <c r="AB117" i="21"/>
  <c r="AS117" i="21"/>
  <c r="AU142" i="21"/>
  <c r="AY142" i="21"/>
  <c r="M142" i="21"/>
  <c r="AJ142" i="21"/>
  <c r="V142" i="21"/>
  <c r="AQ142" i="21"/>
  <c r="U142" i="21"/>
  <c r="AD51" i="21"/>
  <c r="P51" i="21"/>
  <c r="AL51" i="21"/>
  <c r="Q51" i="21"/>
  <c r="AS51" i="21"/>
  <c r="AA51" i="21"/>
  <c r="AV51" i="21"/>
  <c r="AA41" i="21"/>
  <c r="J41" i="21"/>
  <c r="AN41" i="21"/>
  <c r="AJ41" i="21"/>
  <c r="U41" i="21"/>
  <c r="AP41" i="21"/>
  <c r="U117" i="21"/>
  <c r="AQ255" i="21"/>
  <c r="AK255" i="21"/>
  <c r="U255" i="21"/>
  <c r="S343" i="30"/>
  <c r="W43" i="2"/>
  <c r="U6" i="21"/>
  <c r="AP6" i="21"/>
  <c r="AE6" i="21"/>
  <c r="AY6" i="21"/>
  <c r="AF6" i="21"/>
  <c r="AK143" i="21"/>
  <c r="AC51" i="21"/>
  <c r="U143" i="21"/>
  <c r="AG143" i="21"/>
  <c r="AI143" i="21"/>
  <c r="Y143" i="21"/>
  <c r="R143" i="21"/>
  <c r="AP143" i="21"/>
  <c r="X51" i="21"/>
  <c r="AS6" i="21"/>
  <c r="S76" i="21"/>
  <c r="AU76" i="21"/>
  <c r="AJ76" i="21"/>
  <c r="AF76" i="21"/>
  <c r="Q76" i="21"/>
  <c r="AK76" i="21"/>
  <c r="AQ117" i="2"/>
  <c r="U117" i="23" s="1"/>
  <c r="W148" i="2"/>
  <c r="S5" i="21"/>
  <c r="J5" i="21"/>
  <c r="AG5" i="21"/>
  <c r="K5" i="21"/>
  <c r="AL5" i="21"/>
  <c r="V5" i="21"/>
  <c r="F320" i="26"/>
  <c r="H104" i="23"/>
  <c r="L104" i="23" s="1"/>
  <c r="Y124" i="2"/>
  <c r="AC124" i="2" s="1"/>
  <c r="AE248" i="21"/>
  <c r="AU248" i="21"/>
  <c r="S248" i="21"/>
  <c r="Z248" i="21"/>
  <c r="AT248" i="21"/>
  <c r="AO248" i="21"/>
  <c r="J248" i="21"/>
  <c r="AP255" i="21"/>
  <c r="AU255" i="21"/>
  <c r="AT255" i="21"/>
  <c r="AY255" i="21"/>
  <c r="AO255" i="21"/>
  <c r="AU5" i="21"/>
  <c r="AE5" i="21"/>
  <c r="AX5" i="21"/>
  <c r="AH5" i="21"/>
  <c r="Q5" i="21"/>
  <c r="AO5" i="21"/>
  <c r="X5" i="21"/>
  <c r="AR5" i="21"/>
  <c r="AJ5" i="21"/>
  <c r="M5" i="21"/>
  <c r="AE41" i="21"/>
  <c r="AV41" i="21"/>
  <c r="AT41" i="21"/>
  <c r="AC41" i="21"/>
  <c r="K41" i="21"/>
  <c r="AD41" i="21"/>
  <c r="AS41" i="21"/>
  <c r="W41" i="21"/>
  <c r="AR41" i="21"/>
  <c r="V41" i="21"/>
  <c r="AH142" i="21"/>
  <c r="J142" i="21"/>
  <c r="Z68" i="2"/>
  <c r="AB68" i="2" s="1"/>
  <c r="N5" i="21"/>
  <c r="O5" i="21" s="1"/>
  <c r="N143" i="21"/>
  <c r="O143" i="21" s="1"/>
  <c r="AM255" i="21"/>
  <c r="R255" i="21"/>
  <c r="X255" i="21"/>
  <c r="AN255" i="21"/>
  <c r="M117" i="21"/>
  <c r="Z117" i="21"/>
  <c r="P117" i="21"/>
  <c r="R142" i="21"/>
  <c r="Y103" i="2"/>
  <c r="AC103" i="2" s="1"/>
  <c r="AQ152" i="2"/>
  <c r="U152" i="23" s="1"/>
  <c r="S304" i="30"/>
  <c r="W23" i="2"/>
  <c r="Z6" i="21"/>
  <c r="AX6" i="21"/>
  <c r="AI6" i="21"/>
  <c r="M6" i="21"/>
  <c r="AN6" i="21"/>
  <c r="W15" i="2"/>
  <c r="H199" i="23"/>
  <c r="Q143" i="21"/>
  <c r="AF143" i="21"/>
  <c r="K143" i="21"/>
  <c r="AN143" i="21"/>
  <c r="AE143" i="21"/>
  <c r="Z143" i="21"/>
  <c r="AU143" i="21"/>
  <c r="AQ71" i="2"/>
  <c r="U71" i="23" s="1"/>
  <c r="J6" i="21"/>
  <c r="X76" i="21"/>
  <c r="M76" i="21"/>
  <c r="AV76" i="21"/>
  <c r="AM76" i="21"/>
  <c r="U76" i="21"/>
  <c r="AT76" i="21"/>
  <c r="G117" i="23"/>
  <c r="J117" i="23" s="1"/>
  <c r="F361" i="26"/>
  <c r="F359" i="26" s="1"/>
  <c r="W5" i="21"/>
  <c r="P5" i="21"/>
  <c r="AK5" i="21"/>
  <c r="U5" i="21"/>
  <c r="AP5" i="21"/>
  <c r="AA5" i="21"/>
  <c r="AY5" i="21"/>
  <c r="W199" i="2"/>
  <c r="U278" i="2"/>
  <c r="AN11" i="24" s="1"/>
  <c r="J152" i="23"/>
  <c r="W150" i="2"/>
  <c r="J76" i="23"/>
  <c r="W90" i="2"/>
  <c r="Y16" i="2"/>
  <c r="AC16" i="2" s="1"/>
  <c r="W28" i="2"/>
  <c r="Y119" i="2"/>
  <c r="AC119" i="2" s="1"/>
  <c r="W103" i="2"/>
  <c r="Y57" i="2"/>
  <c r="AC57" i="2" s="1"/>
  <c r="Y85" i="2"/>
  <c r="AC85" i="2" s="1"/>
  <c r="Y93" i="2"/>
  <c r="Y113" i="2"/>
  <c r="AC113" i="2" s="1"/>
  <c r="Y153" i="2"/>
  <c r="AC153" i="2" s="1"/>
  <c r="Y118" i="2"/>
  <c r="AC118" i="2" s="1"/>
  <c r="Y110" i="2"/>
  <c r="AC110" i="2" s="1"/>
  <c r="W502" i="2"/>
  <c r="W383" i="2"/>
  <c r="W336" i="2"/>
  <c r="W482" i="2"/>
  <c r="AG74" i="24"/>
  <c r="Y133" i="21"/>
  <c r="AI256" i="21"/>
  <c r="AF256" i="21"/>
  <c r="W418" i="2"/>
  <c r="N146" i="21"/>
  <c r="O146" i="21" s="1"/>
  <c r="N62" i="21"/>
  <c r="O62" i="21" s="1"/>
  <c r="N83" i="21"/>
  <c r="O83" i="21" s="1"/>
  <c r="N214" i="21"/>
  <c r="O214" i="21" s="1"/>
  <c r="N61" i="21"/>
  <c r="O61" i="21" s="1"/>
  <c r="AV256" i="21"/>
  <c r="W259" i="21"/>
  <c r="AG259" i="21"/>
  <c r="AR259" i="21"/>
  <c r="AI251" i="21"/>
  <c r="Q251" i="21"/>
  <c r="P251" i="21"/>
  <c r="M83" i="21"/>
  <c r="AY36" i="21"/>
  <c r="R32" i="21"/>
  <c r="AE259" i="21"/>
  <c r="AH227" i="21"/>
  <c r="AP153" i="21"/>
  <c r="W153" i="21"/>
  <c r="U153" i="21"/>
  <c r="X138" i="21"/>
  <c r="AK138" i="21"/>
  <c r="K74" i="21"/>
  <c r="AU74" i="21"/>
  <c r="W83" i="21"/>
  <c r="Q83" i="21"/>
  <c r="T214" i="21"/>
  <c r="M214" i="21"/>
  <c r="X219" i="21"/>
  <c r="T146" i="21"/>
  <c r="M137" i="21"/>
  <c r="AQ150" i="21"/>
  <c r="AP137" i="21"/>
  <c r="W239" i="21"/>
  <c r="Z298" i="2"/>
  <c r="AB298" i="2" s="1"/>
  <c r="AC133" i="21"/>
  <c r="AC44" i="24"/>
  <c r="AV216" i="21"/>
  <c r="M219" i="21"/>
  <c r="X133" i="21"/>
  <c r="U279" i="2"/>
  <c r="Y279" i="2" s="1"/>
  <c r="M279" i="23" s="1"/>
  <c r="P216" i="21"/>
  <c r="W396" i="2"/>
  <c r="J338" i="26"/>
  <c r="AD138" i="21"/>
  <c r="AQ138" i="21"/>
  <c r="Z219" i="21"/>
  <c r="S302" i="26"/>
  <c r="Q61" i="21"/>
  <c r="AK82" i="21"/>
  <c r="Y152" i="2"/>
  <c r="N240" i="21"/>
  <c r="O240" i="21" s="1"/>
  <c r="Z158" i="2"/>
  <c r="Z319" i="2"/>
  <c r="AB319" i="2" s="1"/>
  <c r="N32" i="21"/>
  <c r="O32" i="21" s="1"/>
  <c r="AY259" i="21"/>
  <c r="AL259" i="21"/>
  <c r="AF259" i="21"/>
  <c r="W379" i="2"/>
  <c r="Y374" i="2"/>
  <c r="AC374" i="2" s="1"/>
  <c r="R219" i="21"/>
  <c r="V153" i="21"/>
  <c r="AH153" i="21"/>
  <c r="M138" i="21"/>
  <c r="Y79" i="2"/>
  <c r="J74" i="21"/>
  <c r="R74" i="21"/>
  <c r="AP74" i="21"/>
  <c r="V83" i="21"/>
  <c r="AH83" i="21"/>
  <c r="K83" i="21"/>
  <c r="AS231" i="21"/>
  <c r="K231" i="21"/>
  <c r="J231" i="21"/>
  <c r="S231" i="21"/>
  <c r="AL214" i="21"/>
  <c r="R214" i="21"/>
  <c r="AO219" i="21"/>
  <c r="Z146" i="21"/>
  <c r="U356" i="2"/>
  <c r="AN37" i="24" s="1"/>
  <c r="W273" i="2"/>
  <c r="AT62" i="24"/>
  <c r="U308" i="2"/>
  <c r="AN62" i="24" s="1"/>
  <c r="AA133" i="21"/>
  <c r="AD133" i="21"/>
  <c r="AW133" i="21"/>
  <c r="AO133" i="21"/>
  <c r="AC138" i="21"/>
  <c r="AW138" i="21"/>
  <c r="V138" i="21"/>
  <c r="Z138" i="21"/>
  <c r="S138" i="21"/>
  <c r="AU138" i="21"/>
  <c r="AU160" i="21"/>
  <c r="AQ160" i="21"/>
  <c r="N160" i="21"/>
  <c r="O160" i="21" s="1"/>
  <c r="T160" i="21"/>
  <c r="AA160" i="21"/>
  <c r="Y61" i="21"/>
  <c r="AL61" i="21"/>
  <c r="AC61" i="21"/>
  <c r="G79" i="23"/>
  <c r="Z79" i="2"/>
  <c r="G43" i="23"/>
  <c r="Z43" i="2"/>
  <c r="O43" i="23" s="1"/>
  <c r="T43" i="23" s="1"/>
  <c r="AU82" i="21"/>
  <c r="AS82" i="21"/>
  <c r="AY82" i="21"/>
  <c r="T82" i="21"/>
  <c r="W82" i="21"/>
  <c r="AT219" i="21"/>
  <c r="AM219" i="21"/>
  <c r="AR219" i="21"/>
  <c r="AK219" i="21"/>
  <c r="U219" i="21"/>
  <c r="AF219" i="21"/>
  <c r="N219" i="21"/>
  <c r="O219" i="21" s="1"/>
  <c r="W168" i="2"/>
  <c r="U176" i="2"/>
  <c r="H176" i="23" s="1"/>
  <c r="AB53" i="24"/>
  <c r="K251" i="21"/>
  <c r="T251" i="21"/>
  <c r="AL251" i="21"/>
  <c r="AO251" i="21"/>
  <c r="Y164" i="2"/>
  <c r="AC164" i="2" s="1"/>
  <c r="J259" i="21"/>
  <c r="L259" i="21" s="1"/>
  <c r="AU259" i="21"/>
  <c r="U259" i="21"/>
  <c r="AP259" i="21"/>
  <c r="AN259" i="21"/>
  <c r="Z259" i="21"/>
  <c r="Y146" i="21"/>
  <c r="AS146" i="21"/>
  <c r="AF146" i="21"/>
  <c r="AY146" i="21"/>
  <c r="P36" i="21"/>
  <c r="W36" i="21"/>
  <c r="AU214" i="21"/>
  <c r="AI214" i="21"/>
  <c r="X214" i="21"/>
  <c r="AO214" i="21"/>
  <c r="V214" i="21"/>
  <c r="AD70" i="21"/>
  <c r="M70" i="21"/>
  <c r="Z83" i="21"/>
  <c r="AC83" i="21"/>
  <c r="AD83" i="21"/>
  <c r="AB83" i="21"/>
  <c r="AF83" i="21"/>
  <c r="U150" i="21"/>
  <c r="V150" i="21"/>
  <c r="AN74" i="21"/>
  <c r="AA74" i="21"/>
  <c r="AD74" i="21"/>
  <c r="X74" i="21"/>
  <c r="AG74" i="21"/>
  <c r="S32" i="21"/>
  <c r="AB32" i="21"/>
  <c r="AN62" i="21"/>
  <c r="AP62" i="21"/>
  <c r="AL62" i="21"/>
  <c r="AH62" i="21"/>
  <c r="AS153" i="21"/>
  <c r="AK153" i="21"/>
  <c r="AT153" i="21"/>
  <c r="AM153" i="21"/>
  <c r="AQ153" i="21"/>
  <c r="AE153" i="21"/>
  <c r="AB138" i="21"/>
  <c r="T138" i="21"/>
  <c r="AA138" i="21"/>
  <c r="U138" i="21"/>
  <c r="AT138" i="21"/>
  <c r="AJ219" i="21"/>
  <c r="V219" i="21"/>
  <c r="AE219" i="21"/>
  <c r="U133" i="21"/>
  <c r="J251" i="21"/>
  <c r="AJ150" i="21"/>
  <c r="AS32" i="21"/>
  <c r="K133" i="21"/>
  <c r="AD160" i="21"/>
  <c r="AG36" i="21"/>
  <c r="U70" i="21"/>
  <c r="V32" i="21"/>
  <c r="AS61" i="21"/>
  <c r="AI239" i="21"/>
  <c r="Y239" i="21"/>
  <c r="Q239" i="21"/>
  <c r="N239" i="21"/>
  <c r="O239" i="21" s="1"/>
  <c r="AH138" i="21"/>
  <c r="Y272" i="2"/>
  <c r="M272" i="23" s="1"/>
  <c r="AY138" i="21"/>
  <c r="AJ138" i="21"/>
  <c r="AF138" i="21"/>
  <c r="Y138" i="21"/>
  <c r="K219" i="21"/>
  <c r="AX219" i="21"/>
  <c r="AG219" i="21"/>
  <c r="AU219" i="21"/>
  <c r="AX133" i="21"/>
  <c r="AG160" i="21"/>
  <c r="W126" i="2"/>
  <c r="AS239" i="21"/>
  <c r="R61" i="21"/>
  <c r="AR82" i="21"/>
  <c r="Y82" i="2"/>
  <c r="AC82" i="2" s="1"/>
  <c r="AP256" i="21"/>
  <c r="AW256" i="21"/>
  <c r="J56" i="23"/>
  <c r="L49" i="21"/>
  <c r="Y526" i="2"/>
  <c r="AC526" i="2" s="1"/>
  <c r="Y382" i="2"/>
  <c r="AC382" i="2" s="1"/>
  <c r="W387" i="2"/>
  <c r="Y158" i="2"/>
  <c r="Y50" i="2"/>
  <c r="W7" i="2"/>
  <c r="AF44" i="24"/>
  <c r="H265" i="23"/>
  <c r="AT97" i="24"/>
  <c r="U320" i="2"/>
  <c r="W320" i="2" s="1"/>
  <c r="AY97" i="24" s="1"/>
  <c r="AB95" i="24"/>
  <c r="U246" i="2"/>
  <c r="J296" i="26"/>
  <c r="Y135" i="2"/>
  <c r="AC135" i="2" s="1"/>
  <c r="AK156" i="21"/>
  <c r="AJ156" i="21"/>
  <c r="AY156" i="21"/>
  <c r="AW156" i="21"/>
  <c r="AO156" i="21"/>
  <c r="M156" i="21"/>
  <c r="AB156" i="21"/>
  <c r="AL156" i="21"/>
  <c r="Y156" i="21"/>
  <c r="AN156" i="21"/>
  <c r="J156" i="21"/>
  <c r="Q156" i="21"/>
  <c r="AI156" i="21"/>
  <c r="AQ156" i="21"/>
  <c r="U200" i="2"/>
  <c r="AC76" i="24"/>
  <c r="AB76" i="24"/>
  <c r="Z391" i="2"/>
  <c r="AB391" i="2" s="1"/>
  <c r="Z381" i="2"/>
  <c r="AB381" i="2" s="1"/>
  <c r="N156" i="21"/>
  <c r="O156" i="21" s="1"/>
  <c r="AY253" i="21"/>
  <c r="M253" i="21"/>
  <c r="AC253" i="21"/>
  <c r="AH253" i="21"/>
  <c r="AA253" i="21"/>
  <c r="J253" i="21"/>
  <c r="J280" i="26"/>
  <c r="F295" i="26"/>
  <c r="AX253" i="21"/>
  <c r="AV253" i="21"/>
  <c r="AF253" i="21"/>
  <c r="P253" i="21"/>
  <c r="AL253" i="21"/>
  <c r="Q253" i="21"/>
  <c r="Z253" i="21"/>
  <c r="AK253" i="21"/>
  <c r="AI253" i="21"/>
  <c r="W253" i="21"/>
  <c r="AE253" i="21"/>
  <c r="T212" i="2"/>
  <c r="AD42" i="24"/>
  <c r="AC68" i="24"/>
  <c r="AB68" i="24"/>
  <c r="N253" i="21"/>
  <c r="O253" i="21" s="1"/>
  <c r="W392" i="2"/>
  <c r="U253" i="21"/>
  <c r="Y253" i="21"/>
  <c r="AT253" i="21"/>
  <c r="AO253" i="21"/>
  <c r="AG253" i="21"/>
  <c r="T253" i="21"/>
  <c r="AN253" i="21"/>
  <c r="F295" i="30"/>
  <c r="AR156" i="21"/>
  <c r="F396" i="30"/>
  <c r="F396" i="26"/>
  <c r="Y453" i="2"/>
  <c r="AC453" i="2" s="1"/>
  <c r="Z240" i="21"/>
  <c r="AV41" i="24"/>
  <c r="AB44" i="24"/>
  <c r="AM253" i="21"/>
  <c r="AS253" i="21"/>
  <c r="K253" i="21"/>
  <c r="AU253" i="21"/>
  <c r="AQ253" i="21"/>
  <c r="X253" i="21"/>
  <c r="AR253" i="21"/>
  <c r="AD70" i="24"/>
  <c r="W135" i="2"/>
  <c r="J281" i="26"/>
  <c r="U216" i="2"/>
  <c r="AP156" i="21"/>
  <c r="AP133" i="21"/>
  <c r="AS133" i="21"/>
  <c r="AB133" i="21"/>
  <c r="W138" i="21"/>
  <c r="J138" i="21"/>
  <c r="L138" i="21" s="1"/>
  <c r="AW160" i="21"/>
  <c r="AS160" i="21"/>
  <c r="AC160" i="21"/>
  <c r="K160" i="21"/>
  <c r="AE160" i="21"/>
  <c r="AT160" i="21"/>
  <c r="X160" i="21"/>
  <c r="AM160" i="21"/>
  <c r="R160" i="21"/>
  <c r="AL160" i="21"/>
  <c r="AQ61" i="21"/>
  <c r="Z61" i="21"/>
  <c r="AP61" i="21"/>
  <c r="T61" i="21"/>
  <c r="AJ61" i="21"/>
  <c r="K61" i="21"/>
  <c r="AG61" i="21"/>
  <c r="J61" i="21"/>
  <c r="U61" i="21"/>
  <c r="AO82" i="21"/>
  <c r="X82" i="21"/>
  <c r="AV82" i="21"/>
  <c r="Z82" i="21"/>
  <c r="AP82" i="21"/>
  <c r="S82" i="21"/>
  <c r="AH82" i="21"/>
  <c r="K82" i="21"/>
  <c r="V82" i="21"/>
  <c r="G18" i="23"/>
  <c r="S18" i="23" s="1"/>
  <c r="AQ18" i="2"/>
  <c r="U18" i="23" s="1"/>
  <c r="Y219" i="21"/>
  <c r="T219" i="21"/>
  <c r="AV219" i="21"/>
  <c r="AP219" i="21"/>
  <c r="AD219" i="21"/>
  <c r="Q219" i="21"/>
  <c r="AL219" i="21"/>
  <c r="S219" i="21"/>
  <c r="AI219" i="21"/>
  <c r="AY219" i="21"/>
  <c r="Y444" i="2"/>
  <c r="AC444" i="2" s="1"/>
  <c r="AE251" i="21"/>
  <c r="W123" i="2"/>
  <c r="AQ56" i="2"/>
  <c r="U56" i="23" s="1"/>
  <c r="AK133" i="21"/>
  <c r="AE133" i="21"/>
  <c r="S133" i="21"/>
  <c r="AV133" i="21"/>
  <c r="AG133" i="21"/>
  <c r="J133" i="21"/>
  <c r="AF133" i="21"/>
  <c r="AF160" i="21"/>
  <c r="J160" i="21"/>
  <c r="AR160" i="21"/>
  <c r="AI160" i="21"/>
  <c r="Z160" i="21"/>
  <c r="Q160" i="21"/>
  <c r="AK160" i="21"/>
  <c r="AI133" i="21"/>
  <c r="AC53" i="24"/>
  <c r="N56" i="23"/>
  <c r="AR61" i="21"/>
  <c r="W61" i="21"/>
  <c r="AX61" i="21"/>
  <c r="AO61" i="21"/>
  <c r="AE61" i="21"/>
  <c r="V61" i="21"/>
  <c r="AU61" i="21"/>
  <c r="AG82" i="21"/>
  <c r="AA82" i="21"/>
  <c r="AC82" i="21"/>
  <c r="Y82" i="21"/>
  <c r="M82" i="21"/>
  <c r="AQ82" i="21"/>
  <c r="AB82" i="21"/>
  <c r="AW82" i="21"/>
  <c r="W593" i="2"/>
  <c r="M133" i="21"/>
  <c r="AT133" i="21"/>
  <c r="AM133" i="21"/>
  <c r="Z133" i="21"/>
  <c r="Q133" i="21"/>
  <c r="AL133" i="21"/>
  <c r="P133" i="21"/>
  <c r="AJ133" i="21"/>
  <c r="P160" i="21"/>
  <c r="W160" i="21"/>
  <c r="AY160" i="21"/>
  <c r="AN160" i="21"/>
  <c r="AJ160" i="21"/>
  <c r="U160" i="21"/>
  <c r="AO160" i="21"/>
  <c r="AF61" i="21"/>
  <c r="AA61" i="21"/>
  <c r="AB61" i="21"/>
  <c r="S61" i="21"/>
  <c r="AT61" i="21"/>
  <c r="AK61" i="21"/>
  <c r="AD61" i="21"/>
  <c r="AY61" i="21"/>
  <c r="Q82" i="21"/>
  <c r="AX82" i="21"/>
  <c r="AN82" i="21"/>
  <c r="AD82" i="21"/>
  <c r="U82" i="21"/>
  <c r="J82" i="21"/>
  <c r="AF82" i="21"/>
  <c r="Y431" i="2"/>
  <c r="AC431" i="2" s="1"/>
  <c r="L93" i="21"/>
  <c r="AI138" i="21"/>
  <c r="AM138" i="21"/>
  <c r="AN138" i="21"/>
  <c r="AE138" i="21"/>
  <c r="P138" i="21"/>
  <c r="AL138" i="21"/>
  <c r="Q138" i="21"/>
  <c r="AG138" i="21"/>
  <c r="AX138" i="21"/>
  <c r="L34" i="21"/>
  <c r="AN219" i="21"/>
  <c r="AH219" i="21"/>
  <c r="AC219" i="21"/>
  <c r="P219" i="21"/>
  <c r="AS219" i="21"/>
  <c r="AB219" i="21"/>
  <c r="AW219" i="21"/>
  <c r="AA219" i="21"/>
  <c r="AQ219" i="21"/>
  <c r="AY133" i="21"/>
  <c r="AC251" i="21"/>
  <c r="W133" i="21"/>
  <c r="R133" i="21"/>
  <c r="AU133" i="21"/>
  <c r="AH133" i="21"/>
  <c r="V133" i="21"/>
  <c r="AQ133" i="21"/>
  <c r="T133" i="21"/>
  <c r="AN133" i="21"/>
  <c r="V160" i="21"/>
  <c r="AB160" i="21"/>
  <c r="S160" i="21"/>
  <c r="M160" i="21"/>
  <c r="AP160" i="21"/>
  <c r="Y160" i="21"/>
  <c r="AX160" i="21"/>
  <c r="AQ79" i="2"/>
  <c r="U79" i="23" s="1"/>
  <c r="AQ43" i="2"/>
  <c r="U43" i="23" s="1"/>
  <c r="AR138" i="21"/>
  <c r="P61" i="21"/>
  <c r="AW61" i="21"/>
  <c r="AN61" i="21"/>
  <c r="X61" i="21"/>
  <c r="M61" i="21"/>
  <c r="AV61" i="21"/>
  <c r="AH61" i="21"/>
  <c r="AL82" i="21"/>
  <c r="R82" i="21"/>
  <c r="AT82" i="21"/>
  <c r="AI82" i="21"/>
  <c r="AE82" i="21"/>
  <c r="P82" i="21"/>
  <c r="AJ82" i="21"/>
  <c r="F287" i="30"/>
  <c r="F285" i="30" s="1"/>
  <c r="AE90" i="24"/>
  <c r="AE89" i="24"/>
  <c r="G162" i="23"/>
  <c r="N162" i="23" s="1"/>
  <c r="AQ162" i="2"/>
  <c r="U162" i="23" s="1"/>
  <c r="G17" i="23"/>
  <c r="N17" i="23" s="1"/>
  <c r="AQ17" i="2"/>
  <c r="U17" i="23" s="1"/>
  <c r="M141" i="21"/>
  <c r="X141" i="21"/>
  <c r="AA141" i="21"/>
  <c r="AT35" i="21"/>
  <c r="Y35" i="21"/>
  <c r="AE35" i="21"/>
  <c r="AQ53" i="21"/>
  <c r="AV53" i="21"/>
  <c r="AN53" i="21"/>
  <c r="AL52" i="21"/>
  <c r="Z52" i="21"/>
  <c r="AS52" i="21"/>
  <c r="AQ73" i="2"/>
  <c r="U73" i="23" s="1"/>
  <c r="G73" i="23"/>
  <c r="J73" i="23" s="1"/>
  <c r="AT112" i="21"/>
  <c r="AL112" i="21"/>
  <c r="V112" i="21"/>
  <c r="AM112" i="21"/>
  <c r="Q112" i="21"/>
  <c r="AK112" i="21"/>
  <c r="P112" i="21"/>
  <c r="AE112" i="21"/>
  <c r="AQ65" i="21"/>
  <c r="Z65" i="21"/>
  <c r="AP65" i="21"/>
  <c r="T65" i="21"/>
  <c r="AI65" i="21"/>
  <c r="K65" i="21"/>
  <c r="AG65" i="21"/>
  <c r="J65" i="21"/>
  <c r="AW65" i="21"/>
  <c r="AY39" i="21"/>
  <c r="AC39" i="21"/>
  <c r="AV39" i="21"/>
  <c r="AE39" i="21"/>
  <c r="M39" i="21"/>
  <c r="AH39" i="21"/>
  <c r="J39" i="21"/>
  <c r="AG39" i="21"/>
  <c r="AU39" i="21"/>
  <c r="Y39" i="21"/>
  <c r="K239" i="21"/>
  <c r="W64" i="2"/>
  <c r="Y147" i="2"/>
  <c r="W120" i="2"/>
  <c r="W104" i="2"/>
  <c r="Y91" i="2"/>
  <c r="AC91" i="2" s="1"/>
  <c r="W42" i="2"/>
  <c r="W122" i="2"/>
  <c r="W27" i="2"/>
  <c r="Y12" i="2"/>
  <c r="AC12" i="2" s="1"/>
  <c r="W131" i="2"/>
  <c r="N259" i="21"/>
  <c r="O259" i="21" s="1"/>
  <c r="N70" i="21"/>
  <c r="O70" i="21" s="1"/>
  <c r="N216" i="21"/>
  <c r="O216" i="21" s="1"/>
  <c r="Z466" i="2"/>
  <c r="AB466" i="2" s="1"/>
  <c r="AT259" i="21"/>
  <c r="AD259" i="21"/>
  <c r="Q259" i="21"/>
  <c r="AW259" i="21"/>
  <c r="AB259" i="21"/>
  <c r="AV259" i="21"/>
  <c r="AH259" i="21"/>
  <c r="J146" i="21"/>
  <c r="Z74" i="21"/>
  <c r="AI36" i="21"/>
  <c r="AI32" i="21"/>
  <c r="AO259" i="21"/>
  <c r="J338" i="30"/>
  <c r="Z153" i="21"/>
  <c r="AF153" i="21"/>
  <c r="R153" i="21"/>
  <c r="AR153" i="21"/>
  <c r="AN153" i="21"/>
  <c r="Y153" i="21"/>
  <c r="Q74" i="21"/>
  <c r="AS74" i="21"/>
  <c r="AH74" i="21"/>
  <c r="Y74" i="21"/>
  <c r="M74" i="21"/>
  <c r="AA83" i="21"/>
  <c r="J83" i="21"/>
  <c r="AS83" i="21"/>
  <c r="AI83" i="21"/>
  <c r="U83" i="21"/>
  <c r="AT83" i="21"/>
  <c r="Y27" i="2"/>
  <c r="AC27" i="2" s="1"/>
  <c r="AT216" i="21"/>
  <c r="Y214" i="21"/>
  <c r="Z214" i="21"/>
  <c r="AP214" i="21"/>
  <c r="AX214" i="21"/>
  <c r="S146" i="21"/>
  <c r="V146" i="21"/>
  <c r="AQ36" i="21"/>
  <c r="W585" i="2"/>
  <c r="M259" i="21"/>
  <c r="S259" i="21"/>
  <c r="AX259" i="21"/>
  <c r="Y259" i="21"/>
  <c r="AJ259" i="21"/>
  <c r="T259" i="21"/>
  <c r="AQ259" i="21"/>
  <c r="V259" i="21"/>
  <c r="AS259" i="21"/>
  <c r="R259" i="21"/>
  <c r="AO146" i="21"/>
  <c r="AW146" i="21"/>
  <c r="AV146" i="21"/>
  <c r="M146" i="21"/>
  <c r="AU146" i="21"/>
  <c r="V36" i="21"/>
  <c r="AW36" i="21"/>
  <c r="R36" i="21"/>
  <c r="AF137" i="21"/>
  <c r="Q137" i="21"/>
  <c r="Z137" i="21"/>
  <c r="AE214" i="21"/>
  <c r="AN214" i="21"/>
  <c r="AW214" i="21"/>
  <c r="AV214" i="21"/>
  <c r="J214" i="21"/>
  <c r="AD214" i="21"/>
  <c r="AE70" i="21"/>
  <c r="AS70" i="21"/>
  <c r="AL70" i="21"/>
  <c r="AP83" i="21"/>
  <c r="Y83" i="21"/>
  <c r="AU83" i="21"/>
  <c r="X83" i="21"/>
  <c r="AN83" i="21"/>
  <c r="R83" i="21"/>
  <c r="AL83" i="21"/>
  <c r="P83" i="21"/>
  <c r="AJ83" i="21"/>
  <c r="AR150" i="21"/>
  <c r="AN150" i="21"/>
  <c r="AI150" i="21"/>
  <c r="U74" i="21"/>
  <c r="AI74" i="21"/>
  <c r="S74" i="21"/>
  <c r="AJ74" i="21"/>
  <c r="AY74" i="21"/>
  <c r="AC74" i="21"/>
  <c r="AX74" i="21"/>
  <c r="AB74" i="21"/>
  <c r="AW74" i="21"/>
  <c r="J32" i="21"/>
  <c r="AD32" i="21"/>
  <c r="AY32" i="21"/>
  <c r="W62" i="21"/>
  <c r="AG62" i="21"/>
  <c r="P62" i="21"/>
  <c r="AJ153" i="21"/>
  <c r="AX153" i="21"/>
  <c r="AG153" i="21"/>
  <c r="Q153" i="21"/>
  <c r="AI153" i="21"/>
  <c r="AY153" i="21"/>
  <c r="AB153" i="21"/>
  <c r="AW153" i="21"/>
  <c r="AA153" i="21"/>
  <c r="AV153" i="21"/>
  <c r="J331" i="26"/>
  <c r="J331" i="30"/>
  <c r="U341" i="2"/>
  <c r="Y341" i="2" s="1"/>
  <c r="AC341" i="2" s="1"/>
  <c r="AT82" i="24"/>
  <c r="Q256" i="21"/>
  <c r="AB256" i="21"/>
  <c r="AC64" i="24"/>
  <c r="G297" i="23"/>
  <c r="N297" i="23" s="1"/>
  <c r="AB28" i="24"/>
  <c r="U237" i="2"/>
  <c r="AC93" i="24"/>
  <c r="Y105" i="2"/>
  <c r="L43" i="21"/>
  <c r="AT46" i="24"/>
  <c r="U288" i="2"/>
  <c r="W288" i="2" s="1"/>
  <c r="AY46" i="24" s="1"/>
  <c r="U180" i="2"/>
  <c r="W180" i="2" s="1"/>
  <c r="W9" i="24" s="1"/>
  <c r="AC9" i="24"/>
  <c r="AB9" i="24"/>
  <c r="J320" i="30"/>
  <c r="J320" i="26"/>
  <c r="H90" i="23"/>
  <c r="L90" i="23" s="1"/>
  <c r="Y90" i="2"/>
  <c r="F365" i="30"/>
  <c r="F365" i="26"/>
  <c r="H137" i="23"/>
  <c r="L137" i="23" s="1"/>
  <c r="G59" i="23"/>
  <c r="J59" i="23" s="1"/>
  <c r="AQ59" i="2"/>
  <c r="U59" i="23" s="1"/>
  <c r="H42" i="23"/>
  <c r="Y42" i="2"/>
  <c r="AC42" i="2" s="1"/>
  <c r="U197" i="2"/>
  <c r="AB65" i="24"/>
  <c r="H115" i="23"/>
  <c r="L115" i="23" s="1"/>
  <c r="W115" i="2"/>
  <c r="G96" i="23"/>
  <c r="J96" i="23" s="1"/>
  <c r="AQ96" i="2"/>
  <c r="U96" i="23" s="1"/>
  <c r="H87" i="23"/>
  <c r="L87" i="23" s="1"/>
  <c r="W87" i="2"/>
  <c r="G33" i="23"/>
  <c r="J33" i="23" s="1"/>
  <c r="AQ33" i="2"/>
  <c r="U33" i="23" s="1"/>
  <c r="H16" i="23"/>
  <c r="L16" i="23" s="1"/>
  <c r="W16" i="2"/>
  <c r="H8" i="23"/>
  <c r="L8" i="23" s="1"/>
  <c r="W8" i="2"/>
  <c r="AR146" i="21"/>
  <c r="AX146" i="21"/>
  <c r="AG146" i="21"/>
  <c r="Q146" i="21"/>
  <c r="AL146" i="21"/>
  <c r="P146" i="21"/>
  <c r="AE146" i="21"/>
  <c r="AN146" i="21"/>
  <c r="AM146" i="21"/>
  <c r="AI146" i="21"/>
  <c r="AH146" i="21"/>
  <c r="W146" i="21"/>
  <c r="AM36" i="21"/>
  <c r="AL36" i="21"/>
  <c r="U36" i="21"/>
  <c r="AS36" i="21"/>
  <c r="AB36" i="21"/>
  <c r="J36" i="21"/>
  <c r="AJ36" i="21"/>
  <c r="S36" i="21"/>
  <c r="AX36" i="21"/>
  <c r="AH36" i="21"/>
  <c r="Q36" i="21"/>
  <c r="AO36" i="21"/>
  <c r="X36" i="21"/>
  <c r="AV36" i="21"/>
  <c r="AE36" i="21"/>
  <c r="M36" i="21"/>
  <c r="AT36" i="21"/>
  <c r="AC36" i="21"/>
  <c r="K36" i="21"/>
  <c r="AK36" i="21"/>
  <c r="T36" i="21"/>
  <c r="AR36" i="21"/>
  <c r="AA36" i="21"/>
  <c r="Z36" i="21"/>
  <c r="AU36" i="21"/>
  <c r="AV137" i="21"/>
  <c r="AR137" i="21"/>
  <c r="AB137" i="21"/>
  <c r="J137" i="21"/>
  <c r="AH137" i="21"/>
  <c r="K137" i="21"/>
  <c r="AG137" i="21"/>
  <c r="AU137" i="21"/>
  <c r="AE137" i="21"/>
  <c r="S137" i="21"/>
  <c r="AK137" i="21"/>
  <c r="AN137" i="21"/>
  <c r="X137" i="21"/>
  <c r="AY137" i="21"/>
  <c r="AC137" i="21"/>
  <c r="AX137" i="21"/>
  <c r="AA137" i="21"/>
  <c r="AI137" i="21"/>
  <c r="U137" i="21"/>
  <c r="AJ137" i="21"/>
  <c r="T137" i="21"/>
  <c r="AT137" i="21"/>
  <c r="W137" i="21"/>
  <c r="AQ137" i="21"/>
  <c r="V137" i="21"/>
  <c r="Y137" i="21"/>
  <c r="AO137" i="21"/>
  <c r="AK214" i="21"/>
  <c r="AM214" i="21"/>
  <c r="W214" i="21"/>
  <c r="AS214" i="21"/>
  <c r="AW70" i="21"/>
  <c r="AQ70" i="21"/>
  <c r="Z70" i="21"/>
  <c r="AR70" i="21"/>
  <c r="AA70" i="21"/>
  <c r="AU70" i="21"/>
  <c r="Y70" i="21"/>
  <c r="AO70" i="21"/>
  <c r="R70" i="21"/>
  <c r="AM70" i="21"/>
  <c r="Q70" i="21"/>
  <c r="AN70" i="21"/>
  <c r="W70" i="21"/>
  <c r="AP70" i="21"/>
  <c r="T70" i="21"/>
  <c r="AH70" i="21"/>
  <c r="K70" i="21"/>
  <c r="AG70" i="21"/>
  <c r="J70" i="21"/>
  <c r="AI70" i="21"/>
  <c r="S70" i="21"/>
  <c r="AK70" i="21"/>
  <c r="AY70" i="21"/>
  <c r="AC70" i="21"/>
  <c r="AX70" i="21"/>
  <c r="AB70" i="21"/>
  <c r="AF70" i="21"/>
  <c r="AE83" i="21"/>
  <c r="AV83" i="21"/>
  <c r="T83" i="21"/>
  <c r="AQ83" i="21"/>
  <c r="G149" i="23"/>
  <c r="N149" i="23" s="1"/>
  <c r="AQ149" i="2"/>
  <c r="U149" i="23" s="1"/>
  <c r="S365" i="26"/>
  <c r="G137" i="23"/>
  <c r="S137" i="23" s="1"/>
  <c r="AQ137" i="2"/>
  <c r="U137" i="23" s="1"/>
  <c r="J319" i="26"/>
  <c r="Y78" i="2"/>
  <c r="AC78" i="2" s="1"/>
  <c r="AX150" i="21"/>
  <c r="AG150" i="21"/>
  <c r="Q150" i="21"/>
  <c r="AM150" i="21"/>
  <c r="R150" i="21"/>
  <c r="AL150" i="21"/>
  <c r="P150" i="21"/>
  <c r="AE150" i="21"/>
  <c r="AD150" i="21"/>
  <c r="S150" i="21"/>
  <c r="AS150" i="21"/>
  <c r="AC150" i="21"/>
  <c r="K150" i="21"/>
  <c r="AH150" i="21"/>
  <c r="J150" i="21"/>
  <c r="AF150" i="21"/>
  <c r="AV150" i="21"/>
  <c r="Z150" i="21"/>
  <c r="AT150" i="21"/>
  <c r="AO150" i="21"/>
  <c r="Y150" i="21"/>
  <c r="AY150" i="21"/>
  <c r="AB150" i="21"/>
  <c r="AW150" i="21"/>
  <c r="AA150" i="21"/>
  <c r="AP150" i="21"/>
  <c r="T150" i="21"/>
  <c r="X150" i="21"/>
  <c r="AQ74" i="21"/>
  <c r="P74" i="21"/>
  <c r="AF74" i="21"/>
  <c r="AL74" i="21"/>
  <c r="AQ32" i="21"/>
  <c r="AM32" i="21"/>
  <c r="AX32" i="21"/>
  <c r="AH32" i="21"/>
  <c r="Q32" i="21"/>
  <c r="AO32" i="21"/>
  <c r="X32" i="21"/>
  <c r="AV32" i="21"/>
  <c r="AF32" i="21"/>
  <c r="M32" i="21"/>
  <c r="Z32" i="21"/>
  <c r="AT32" i="21"/>
  <c r="AC32" i="21"/>
  <c r="K32" i="21"/>
  <c r="AK32" i="21"/>
  <c r="T32" i="21"/>
  <c r="AR32" i="21"/>
  <c r="AA32" i="21"/>
  <c r="AP32" i="21"/>
  <c r="Y32" i="21"/>
  <c r="AW32" i="21"/>
  <c r="AG32" i="21"/>
  <c r="P32" i="21"/>
  <c r="AN32" i="21"/>
  <c r="W32" i="21"/>
  <c r="AU32" i="21"/>
  <c r="AW62" i="21"/>
  <c r="AQ62" i="21"/>
  <c r="AJ62" i="21"/>
  <c r="S62" i="21"/>
  <c r="AK62" i="21"/>
  <c r="AY62" i="21"/>
  <c r="AC62" i="21"/>
  <c r="AX62" i="21"/>
  <c r="AB62" i="21"/>
  <c r="Z62" i="21"/>
  <c r="AV62" i="21"/>
  <c r="AE62" i="21"/>
  <c r="M62" i="21"/>
  <c r="AD62" i="21"/>
  <c r="AT62" i="21"/>
  <c r="X62" i="21"/>
  <c r="AS62" i="21"/>
  <c r="V62" i="21"/>
  <c r="AR62" i="21"/>
  <c r="AA62" i="21"/>
  <c r="AU62" i="21"/>
  <c r="Y62" i="21"/>
  <c r="AO62" i="21"/>
  <c r="R62" i="21"/>
  <c r="AM62" i="21"/>
  <c r="Q62" i="21"/>
  <c r="Y87" i="2"/>
  <c r="AC87" i="2" s="1"/>
  <c r="P214" i="21"/>
  <c r="Q214" i="21"/>
  <c r="AT214" i="21"/>
  <c r="AG214" i="21"/>
  <c r="AB214" i="21"/>
  <c r="K214" i="21"/>
  <c r="AH214" i="21"/>
  <c r="S214" i="21"/>
  <c r="AQ214" i="21"/>
  <c r="R146" i="21"/>
  <c r="AD146" i="21"/>
  <c r="AJ146" i="21"/>
  <c r="AA146" i="21"/>
  <c r="K146" i="21"/>
  <c r="AK146" i="21"/>
  <c r="AF62" i="21"/>
  <c r="M150" i="21"/>
  <c r="W150" i="21"/>
  <c r="AD137" i="21"/>
  <c r="R137" i="21"/>
  <c r="AW137" i="21"/>
  <c r="AJ32" i="21"/>
  <c r="U32" i="21"/>
  <c r="AT70" i="21"/>
  <c r="AV70" i="21"/>
  <c r="J62" i="21"/>
  <c r="L62" i="21" s="1"/>
  <c r="T62" i="21"/>
  <c r="AN36" i="21"/>
  <c r="Y36" i="21"/>
  <c r="U62" i="21"/>
  <c r="J319" i="30"/>
  <c r="AV22" i="24"/>
  <c r="W17" i="2"/>
  <c r="W577" i="2"/>
  <c r="AQ158" i="2"/>
  <c r="U158" i="23" s="1"/>
  <c r="Y61" i="2"/>
  <c r="AC61" i="2" s="1"/>
  <c r="Y45" i="2"/>
  <c r="Y69" i="2"/>
  <c r="W78" i="2"/>
  <c r="W32" i="2"/>
  <c r="W46" i="2"/>
  <c r="Y63" i="2"/>
  <c r="AC63" i="2" s="1"/>
  <c r="W146" i="2"/>
  <c r="Y130" i="2"/>
  <c r="M130" i="23" s="1"/>
  <c r="Y114" i="2"/>
  <c r="AC114" i="2" s="1"/>
  <c r="Y86" i="2"/>
  <c r="M86" i="23" s="1"/>
  <c r="Y72" i="2"/>
  <c r="Y137" i="2"/>
  <c r="W164" i="2"/>
  <c r="H26" i="23"/>
  <c r="W26" i="2"/>
  <c r="S298" i="26"/>
  <c r="AQ132" i="2"/>
  <c r="U132" i="23" s="1"/>
  <c r="H83" i="23"/>
  <c r="L83" i="23" s="1"/>
  <c r="W83" i="2"/>
  <c r="H67" i="23"/>
  <c r="L67" i="23" s="1"/>
  <c r="W67" i="2"/>
  <c r="Y26" i="2"/>
  <c r="Y18" i="2"/>
  <c r="AA18" i="2" s="1"/>
  <c r="W18" i="2"/>
  <c r="AH155" i="21"/>
  <c r="AJ155" i="21"/>
  <c r="T155" i="21"/>
  <c r="AS7" i="21"/>
  <c r="AP7" i="21"/>
  <c r="AG7" i="21"/>
  <c r="AV7" i="21"/>
  <c r="AB7" i="21"/>
  <c r="AU7" i="21"/>
  <c r="V7" i="21"/>
  <c r="AX7" i="21"/>
  <c r="AE79" i="21"/>
  <c r="AK79" i="21"/>
  <c r="K79" i="21"/>
  <c r="X79" i="21"/>
  <c r="AH79" i="21"/>
  <c r="AR79" i="21"/>
  <c r="P79" i="21"/>
  <c r="AJ79" i="21"/>
  <c r="AT46" i="21"/>
  <c r="AQ46" i="21"/>
  <c r="Z46" i="21"/>
  <c r="AS46" i="21"/>
  <c r="W46" i="21"/>
  <c r="AR46" i="21"/>
  <c r="U46" i="21"/>
  <c r="AK46" i="21"/>
  <c r="M46" i="21"/>
  <c r="AC46" i="21"/>
  <c r="W21" i="2"/>
  <c r="H21" i="23"/>
  <c r="AM223" i="21"/>
  <c r="AY223" i="21"/>
  <c r="AE223" i="21"/>
  <c r="AW223" i="21"/>
  <c r="Q223" i="21"/>
  <c r="Z223" i="21"/>
  <c r="AF223" i="21"/>
  <c r="X223" i="21"/>
  <c r="AJ223" i="21"/>
  <c r="AV176" i="21"/>
  <c r="AS176" i="21"/>
  <c r="AC176" i="21"/>
  <c r="K176" i="21"/>
  <c r="AE176" i="21"/>
  <c r="AY176" i="21"/>
  <c r="AD176" i="21"/>
  <c r="AR176" i="21"/>
  <c r="W176" i="21"/>
  <c r="V176" i="21"/>
  <c r="AL58" i="21"/>
  <c r="AF58" i="21"/>
  <c r="AJ58" i="21"/>
  <c r="S58" i="21"/>
  <c r="AK58" i="21"/>
  <c r="AY58" i="21"/>
  <c r="AC58" i="21"/>
  <c r="AX58" i="21"/>
  <c r="AB58" i="21"/>
  <c r="AQ58" i="21"/>
  <c r="Z79" i="21"/>
  <c r="G135" i="23"/>
  <c r="Y111" i="2"/>
  <c r="AC111" i="2" s="1"/>
  <c r="F303" i="26"/>
  <c r="W155" i="21"/>
  <c r="S155" i="21"/>
  <c r="AO155" i="21"/>
  <c r="Z155" i="21"/>
  <c r="AU155" i="21"/>
  <c r="AG155" i="21"/>
  <c r="J155" i="21"/>
  <c r="AF155" i="21"/>
  <c r="U58" i="21"/>
  <c r="W63" i="2"/>
  <c r="AP46" i="21"/>
  <c r="AF46" i="21"/>
  <c r="Q46" i="21"/>
  <c r="AX46" i="21"/>
  <c r="AI46" i="21"/>
  <c r="AQ52" i="2"/>
  <c r="U52" i="23" s="1"/>
  <c r="AL176" i="21"/>
  <c r="AB176" i="21"/>
  <c r="S176" i="21"/>
  <c r="AT176" i="21"/>
  <c r="AJ176" i="21"/>
  <c r="U176" i="21"/>
  <c r="AO176" i="21"/>
  <c r="AG58" i="21"/>
  <c r="R58" i="21"/>
  <c r="AT58" i="21"/>
  <c r="AP58" i="21"/>
  <c r="AA58" i="21"/>
  <c r="AV58" i="21"/>
  <c r="M79" i="21"/>
  <c r="P58" i="21"/>
  <c r="X46" i="21"/>
  <c r="AT7" i="21"/>
  <c r="T251" i="2"/>
  <c r="S397" i="32" s="1"/>
  <c r="W130" i="2"/>
  <c r="AM79" i="21"/>
  <c r="AN79" i="21"/>
  <c r="AO79" i="21"/>
  <c r="AC79" i="21"/>
  <c r="AP223" i="21"/>
  <c r="AS223" i="21"/>
  <c r="T223" i="21"/>
  <c r="AB223" i="21"/>
  <c r="S223" i="21"/>
  <c r="AU223" i="21"/>
  <c r="AE7" i="21"/>
  <c r="M7" i="21"/>
  <c r="AR7" i="21"/>
  <c r="AK7" i="21"/>
  <c r="S298" i="30"/>
  <c r="W13" i="2"/>
  <c r="AQ41" i="2"/>
  <c r="U41" i="23" s="1"/>
  <c r="Y172" i="2"/>
  <c r="AC172" i="2" s="1"/>
  <c r="J13" i="23"/>
  <c r="W98" i="2"/>
  <c r="S296" i="26"/>
  <c r="AS155" i="21"/>
  <c r="Y155" i="21"/>
  <c r="AT155" i="21"/>
  <c r="AE155" i="21"/>
  <c r="Q155" i="21"/>
  <c r="AL155" i="21"/>
  <c r="P155" i="21"/>
  <c r="AN155" i="21"/>
  <c r="AQ79" i="21"/>
  <c r="W111" i="2"/>
  <c r="T46" i="21"/>
  <c r="AV46" i="21"/>
  <c r="AL46" i="21"/>
  <c r="AB46" i="21"/>
  <c r="R46" i="21"/>
  <c r="AM46" i="21"/>
  <c r="AQ176" i="21"/>
  <c r="AH176" i="21"/>
  <c r="X176" i="21"/>
  <c r="M176" i="21"/>
  <c r="AP176" i="21"/>
  <c r="Y176" i="21"/>
  <c r="AW176" i="21"/>
  <c r="J303" i="26"/>
  <c r="J58" i="21"/>
  <c r="AM58" i="21"/>
  <c r="X58" i="21"/>
  <c r="T58" i="21"/>
  <c r="AU58" i="21"/>
  <c r="AE58" i="21"/>
  <c r="J315" i="30"/>
  <c r="AD7" i="21"/>
  <c r="W86" i="2"/>
  <c r="J79" i="21"/>
  <c r="AS79" i="21"/>
  <c r="AU79" i="21"/>
  <c r="AP79" i="21"/>
  <c r="AX223" i="21"/>
  <c r="R223" i="21"/>
  <c r="AH223" i="21"/>
  <c r="AG223" i="21"/>
  <c r="AA223" i="21"/>
  <c r="AI7" i="21"/>
  <c r="W7" i="21"/>
  <c r="P7" i="21"/>
  <c r="AO7" i="21"/>
  <c r="AI216" i="21"/>
  <c r="AW216" i="21"/>
  <c r="U264" i="2"/>
  <c r="AB74" i="24"/>
  <c r="AQ293" i="2"/>
  <c r="U292" i="23" s="1"/>
  <c r="G292" i="23"/>
  <c r="N292" i="23" s="1"/>
  <c r="T79" i="21"/>
  <c r="AH7" i="21"/>
  <c r="Y98" i="2"/>
  <c r="M98" i="23" s="1"/>
  <c r="W91" i="2"/>
  <c r="Y46" i="21"/>
  <c r="P46" i="21"/>
  <c r="AW46" i="21"/>
  <c r="AH46" i="21"/>
  <c r="V46" i="21"/>
  <c r="AU46" i="21"/>
  <c r="AF176" i="21"/>
  <c r="J176" i="21"/>
  <c r="AM176" i="21"/>
  <c r="AI176" i="21"/>
  <c r="T176" i="21"/>
  <c r="AU176" i="21"/>
  <c r="AG176" i="21"/>
  <c r="Q58" i="21"/>
  <c r="AS58" i="21"/>
  <c r="AI58" i="21"/>
  <c r="Y58" i="21"/>
  <c r="M58" i="21"/>
  <c r="AN58" i="21"/>
  <c r="AC223" i="21"/>
  <c r="K7" i="21"/>
  <c r="V79" i="21"/>
  <c r="R79" i="21"/>
  <c r="S79" i="21"/>
  <c r="U79" i="21"/>
  <c r="AT79" i="21"/>
  <c r="P223" i="21"/>
  <c r="AN223" i="21"/>
  <c r="AV223" i="21"/>
  <c r="AL223" i="21"/>
  <c r="AI223" i="21"/>
  <c r="AM7" i="21"/>
  <c r="AF7" i="21"/>
  <c r="T7" i="21"/>
  <c r="AW7" i="21"/>
  <c r="AQ15" i="2"/>
  <c r="U15" i="23" s="1"/>
  <c r="AO46" i="21"/>
  <c r="AT224" i="21"/>
  <c r="AB55" i="24"/>
  <c r="Y348" i="2"/>
  <c r="AC348" i="2" s="1"/>
  <c r="Y269" i="2"/>
  <c r="W152" i="2"/>
  <c r="Y168" i="2"/>
  <c r="W172" i="2"/>
  <c r="W100" i="2"/>
  <c r="Y123" i="2"/>
  <c r="AC123" i="2" s="1"/>
  <c r="W79" i="2"/>
  <c r="Y20" i="2"/>
  <c r="AC20" i="2" s="1"/>
  <c r="W14" i="2"/>
  <c r="W50" i="2"/>
  <c r="Y38" i="2"/>
  <c r="AC38" i="2" s="1"/>
  <c r="W35" i="2"/>
  <c r="AN69" i="24"/>
  <c r="W191" i="2"/>
  <c r="Y203" i="2"/>
  <c r="Y7" i="21"/>
  <c r="W48" i="2"/>
  <c r="Y108" i="2"/>
  <c r="W151" i="2"/>
  <c r="Y56" i="2"/>
  <c r="AC56" i="2" s="1"/>
  <c r="W68" i="2"/>
  <c r="Y73" i="2"/>
  <c r="AC73" i="2" s="1"/>
  <c r="Y169" i="2"/>
  <c r="Y59" i="2"/>
  <c r="AC59" i="2" s="1"/>
  <c r="W55" i="2"/>
  <c r="AQ123" i="2"/>
  <c r="U123" i="23" s="1"/>
  <c r="AA79" i="21"/>
  <c r="AW79" i="21"/>
  <c r="AB79" i="21"/>
  <c r="AY79" i="21"/>
  <c r="AI79" i="21"/>
  <c r="Q79" i="21"/>
  <c r="AG79" i="21"/>
  <c r="AX79" i="21"/>
  <c r="U223" i="21"/>
  <c r="AD223" i="21"/>
  <c r="Y223" i="21"/>
  <c r="K223" i="21"/>
  <c r="AO223" i="21"/>
  <c r="V223" i="21"/>
  <c r="AR223" i="21"/>
  <c r="W223" i="21"/>
  <c r="Z7" i="21"/>
  <c r="AQ7" i="21"/>
  <c r="S7" i="21"/>
  <c r="AJ7" i="21"/>
  <c r="J7" i="21"/>
  <c r="AC7" i="21"/>
  <c r="AA176" i="21"/>
  <c r="AG239" i="21"/>
  <c r="AY239" i="21"/>
  <c r="Y29" i="2"/>
  <c r="H14" i="23"/>
  <c r="AN57" i="24"/>
  <c r="AI238" i="21"/>
  <c r="AE238" i="21"/>
  <c r="Y220" i="2"/>
  <c r="AC220" i="2" s="1"/>
  <c r="AH175" i="21"/>
  <c r="AT175" i="21"/>
  <c r="W159" i="2"/>
  <c r="Y155" i="2"/>
  <c r="W155" i="2"/>
  <c r="AM249" i="21"/>
  <c r="W509" i="2"/>
  <c r="AK141" i="21"/>
  <c r="AB122" i="21"/>
  <c r="U35" i="21"/>
  <c r="Y55" i="2"/>
  <c r="Y39" i="2"/>
  <c r="M39" i="23" s="1"/>
  <c r="V122" i="21"/>
  <c r="Q35" i="21"/>
  <c r="J298" i="26"/>
  <c r="AD122" i="21"/>
  <c r="X122" i="21"/>
  <c r="J122" i="21"/>
  <c r="AN122" i="21"/>
  <c r="Z122" i="21"/>
  <c r="AV122" i="21"/>
  <c r="Y122" i="21"/>
  <c r="AO122" i="21"/>
  <c r="W71" i="2"/>
  <c r="W39" i="2"/>
  <c r="J295" i="26"/>
  <c r="S141" i="21"/>
  <c r="AE141" i="21"/>
  <c r="AU141" i="21"/>
  <c r="AG141" i="21"/>
  <c r="K141" i="21"/>
  <c r="AH141" i="21"/>
  <c r="J141" i="21"/>
  <c r="AB141" i="21"/>
  <c r="AR141" i="21"/>
  <c r="Z35" i="21"/>
  <c r="AQ35" i="21"/>
  <c r="S35" i="21"/>
  <c r="AJ35" i="21"/>
  <c r="J35" i="21"/>
  <c r="AB35" i="21"/>
  <c r="AS35" i="21"/>
  <c r="K35" i="21"/>
  <c r="AL145" i="21"/>
  <c r="W106" i="2"/>
  <c r="W66" i="2"/>
  <c r="W38" i="2"/>
  <c r="AI122" i="21"/>
  <c r="AT41" i="24"/>
  <c r="Q52" i="21"/>
  <c r="K52" i="21"/>
  <c r="AJ52" i="21"/>
  <c r="Y52" i="21"/>
  <c r="AV52" i="21"/>
  <c r="AE52" i="21"/>
  <c r="J52" i="21"/>
  <c r="AB52" i="21"/>
  <c r="AT52" i="21"/>
  <c r="W9" i="2"/>
  <c r="P53" i="21"/>
  <c r="AA53" i="21"/>
  <c r="W53" i="21"/>
  <c r="AS53" i="21"/>
  <c r="X53" i="21"/>
  <c r="AT53" i="21"/>
  <c r="AE53" i="21"/>
  <c r="R53" i="21"/>
  <c r="AI53" i="21"/>
  <c r="AY53" i="21"/>
  <c r="G215" i="21"/>
  <c r="Y34" i="2"/>
  <c r="AC34" i="2" s="1"/>
  <c r="Y11" i="2"/>
  <c r="M11" i="23" s="1"/>
  <c r="AQ226" i="2"/>
  <c r="Y166" i="2"/>
  <c r="AC166" i="2" s="1"/>
  <c r="AQ116" i="2"/>
  <c r="U116" i="23" s="1"/>
  <c r="AL122" i="21"/>
  <c r="AF122" i="21"/>
  <c r="S122" i="21"/>
  <c r="AW122" i="21"/>
  <c r="AE122" i="21"/>
  <c r="K122" i="21"/>
  <c r="AC122" i="21"/>
  <c r="AT122" i="21"/>
  <c r="AD141" i="21"/>
  <c r="AP141" i="21"/>
  <c r="Q141" i="21"/>
  <c r="AL141" i="21"/>
  <c r="R141" i="21"/>
  <c r="AM141" i="21"/>
  <c r="P141" i="21"/>
  <c r="AF141" i="21"/>
  <c r="AW141" i="21"/>
  <c r="AD35" i="21"/>
  <c r="AU35" i="21"/>
  <c r="W35" i="21"/>
  <c r="AN35" i="21"/>
  <c r="P35" i="21"/>
  <c r="AG35" i="21"/>
  <c r="AW35" i="21"/>
  <c r="W114" i="2"/>
  <c r="AQ83" i="2"/>
  <c r="U83" i="23" s="1"/>
  <c r="W74" i="2"/>
  <c r="G226" i="23"/>
  <c r="N226" i="23" s="1"/>
  <c r="AA52" i="21"/>
  <c r="AN52" i="21"/>
  <c r="R52" i="21"/>
  <c r="AO52" i="21"/>
  <c r="AD52" i="21"/>
  <c r="M52" i="21"/>
  <c r="AM52" i="21"/>
  <c r="P52" i="21"/>
  <c r="AF52" i="21"/>
  <c r="AX52" i="21"/>
  <c r="AQ25" i="2"/>
  <c r="U25" i="23" s="1"/>
  <c r="AL53" i="21"/>
  <c r="AW53" i="21"/>
  <c r="AB53" i="21"/>
  <c r="AX53" i="21"/>
  <c r="AC53" i="21"/>
  <c r="M53" i="21"/>
  <c r="AK53" i="21"/>
  <c r="V53" i="21"/>
  <c r="AM53" i="21"/>
  <c r="J83" i="23"/>
  <c r="Y122" i="2"/>
  <c r="AC122" i="2" s="1"/>
  <c r="Y92" i="2"/>
  <c r="AC92" i="2" s="1"/>
  <c r="Y19" i="2"/>
  <c r="AC19" i="2" s="1"/>
  <c r="N35" i="21"/>
  <c r="O35" i="21" s="1"/>
  <c r="Z116" i="2"/>
  <c r="AB116" i="2" s="1"/>
  <c r="G257" i="21"/>
  <c r="AD89" i="24"/>
  <c r="Y131" i="2"/>
  <c r="AC131" i="2" s="1"/>
  <c r="Y71" i="2"/>
  <c r="AC71" i="2" s="1"/>
  <c r="Y51" i="2"/>
  <c r="AC51" i="2" s="1"/>
  <c r="AX35" i="21"/>
  <c r="P122" i="21"/>
  <c r="AS122" i="21"/>
  <c r="AM122" i="21"/>
  <c r="AA122" i="21"/>
  <c r="M122" i="21"/>
  <c r="AJ122" i="21"/>
  <c r="Q122" i="21"/>
  <c r="AG122" i="21"/>
  <c r="AX122" i="21"/>
  <c r="W99" i="2"/>
  <c r="W19" i="2"/>
  <c r="AO141" i="21"/>
  <c r="Y141" i="21"/>
  <c r="V141" i="21"/>
  <c r="AQ141" i="21"/>
  <c r="W141" i="21"/>
  <c r="AT141" i="21"/>
  <c r="T141" i="21"/>
  <c r="AJ141" i="21"/>
  <c r="R35" i="21"/>
  <c r="AI35" i="21"/>
  <c r="AY35" i="21"/>
  <c r="AA35" i="21"/>
  <c r="AR35" i="21"/>
  <c r="T35" i="21"/>
  <c r="AK35" i="21"/>
  <c r="AQ55" i="2"/>
  <c r="U55" i="23" s="1"/>
  <c r="AV141" i="21"/>
  <c r="AP35" i="21"/>
  <c r="AY52" i="21"/>
  <c r="V52" i="21"/>
  <c r="W52" i="21"/>
  <c r="AU52" i="21"/>
  <c r="AK52" i="21"/>
  <c r="U52" i="21"/>
  <c r="AR52" i="21"/>
  <c r="T52" i="21"/>
  <c r="U53" i="21"/>
  <c r="J53" i="21"/>
  <c r="AG53" i="21"/>
  <c r="K53" i="21"/>
  <c r="AJ53" i="21"/>
  <c r="T53" i="21"/>
  <c r="AP53" i="21"/>
  <c r="Z53" i="21"/>
  <c r="G174" i="21"/>
  <c r="Y66" i="2"/>
  <c r="AC66" i="2" s="1"/>
  <c r="W166" i="2"/>
  <c r="Y106" i="2"/>
  <c r="AA106" i="2" s="1"/>
  <c r="Y74" i="2"/>
  <c r="AC74" i="2" s="1"/>
  <c r="Y14" i="2"/>
  <c r="L80" i="21"/>
  <c r="L71" i="21"/>
  <c r="U365" i="2"/>
  <c r="AX83" i="24" s="1"/>
  <c r="P224" i="21"/>
  <c r="AB239" i="21"/>
  <c r="AL239" i="21"/>
  <c r="X239" i="21"/>
  <c r="AE239" i="21"/>
  <c r="R231" i="21"/>
  <c r="AH231" i="21"/>
  <c r="AX231" i="21"/>
  <c r="AL231" i="21"/>
  <c r="AU70" i="24"/>
  <c r="AW248" i="21"/>
  <c r="T248" i="21"/>
  <c r="AR248" i="21"/>
  <c r="Q248" i="21"/>
  <c r="P248" i="21"/>
  <c r="AV248" i="21"/>
  <c r="AP239" i="21"/>
  <c r="Z239" i="21"/>
  <c r="AN239" i="21"/>
  <c r="Z203" i="2"/>
  <c r="AA175" i="21"/>
  <c r="AJ175" i="21"/>
  <c r="L194" i="21"/>
  <c r="J253" i="23"/>
  <c r="AK249" i="21"/>
  <c r="Y497" i="2"/>
  <c r="AC497" i="2" s="1"/>
  <c r="AW233" i="21"/>
  <c r="Y591" i="2"/>
  <c r="AC591" i="2" s="1"/>
  <c r="Y559" i="2"/>
  <c r="AC559" i="2" s="1"/>
  <c r="N233" i="21"/>
  <c r="O233" i="21" s="1"/>
  <c r="Z178" i="2"/>
  <c r="O178" i="23" s="1"/>
  <c r="Z253" i="2"/>
  <c r="AB253" i="2" s="1"/>
  <c r="Y417" i="2"/>
  <c r="AC417" i="2" s="1"/>
  <c r="N253" i="23"/>
  <c r="Y219" i="2"/>
  <c r="AC55" i="24"/>
  <c r="Y78" i="21"/>
  <c r="Y213" i="21"/>
  <c r="AP72" i="21"/>
  <c r="AE72" i="21"/>
  <c r="H219" i="23"/>
  <c r="L219" i="23" s="1"/>
  <c r="F335" i="26"/>
  <c r="AA224" i="21"/>
  <c r="M224" i="21"/>
  <c r="K224" i="21"/>
  <c r="AF55" i="24"/>
  <c r="H232" i="23"/>
  <c r="J397" i="30"/>
  <c r="AG32" i="24"/>
  <c r="AQ301" i="2"/>
  <c r="U300" i="23" s="1"/>
  <c r="G300" i="23"/>
  <c r="N300" i="23" s="1"/>
  <c r="AQ260" i="2"/>
  <c r="U260" i="23" s="1"/>
  <c r="G260" i="23"/>
  <c r="U205" i="2"/>
  <c r="AC87" i="24"/>
  <c r="AK231" i="21"/>
  <c r="AM231" i="21"/>
  <c r="W231" i="21"/>
  <c r="AR231" i="21"/>
  <c r="V231" i="21"/>
  <c r="AP231" i="21"/>
  <c r="AV231" i="21"/>
  <c r="T231" i="21"/>
  <c r="AF231" i="21"/>
  <c r="X231" i="21"/>
  <c r="U229" i="2"/>
  <c r="Y229" i="2" s="1"/>
  <c r="AC111" i="24"/>
  <c r="U245" i="2"/>
  <c r="AB31" i="24"/>
  <c r="W272" i="2"/>
  <c r="F356" i="30"/>
  <c r="AM239" i="21"/>
  <c r="S239" i="21"/>
  <c r="AH239" i="21"/>
  <c r="AO239" i="21"/>
  <c r="AT239" i="21"/>
  <c r="AR239" i="21"/>
  <c r="V239" i="21"/>
  <c r="U234" i="2"/>
  <c r="AC92" i="24"/>
  <c r="W60" i="2"/>
  <c r="Y60" i="2"/>
  <c r="AC60" i="2" s="1"/>
  <c r="W117" i="2"/>
  <c r="H117" i="23"/>
  <c r="L117" i="23" s="1"/>
  <c r="W124" i="2"/>
  <c r="H124" i="23"/>
  <c r="H135" i="23"/>
  <c r="L135" i="23" s="1"/>
  <c r="F296" i="30"/>
  <c r="AM248" i="21"/>
  <c r="W248" i="21"/>
  <c r="AP248" i="21"/>
  <c r="U248" i="21"/>
  <c r="AD248" i="21"/>
  <c r="AJ248" i="21"/>
  <c r="AH248" i="21"/>
  <c r="AN248" i="21"/>
  <c r="K248" i="21"/>
  <c r="AC248" i="21"/>
  <c r="U175" i="2"/>
  <c r="F342" i="32" s="1"/>
  <c r="AC67" i="24"/>
  <c r="H203" i="23"/>
  <c r="L203" i="23" s="1"/>
  <c r="W203" i="2"/>
  <c r="Y160" i="2"/>
  <c r="AC160" i="2" s="1"/>
  <c r="AG54" i="24"/>
  <c r="Y179" i="2"/>
  <c r="AI54" i="24" s="1"/>
  <c r="AF121" i="21"/>
  <c r="T121" i="21"/>
  <c r="AO121" i="21"/>
  <c r="Q249" i="21"/>
  <c r="K249" i="21"/>
  <c r="M213" i="21"/>
  <c r="W145" i="21"/>
  <c r="N72" i="21"/>
  <c r="O72" i="21" s="1"/>
  <c r="P256" i="21"/>
  <c r="J391" i="26"/>
  <c r="AQ121" i="21"/>
  <c r="AK145" i="21"/>
  <c r="AF78" i="21"/>
  <c r="AT79" i="24"/>
  <c r="AB213" i="21"/>
  <c r="AB224" i="21"/>
  <c r="V72" i="21"/>
  <c r="W195" i="2"/>
  <c r="AN145" i="21"/>
  <c r="AF145" i="21"/>
  <c r="AI145" i="21"/>
  <c r="AO78" i="21"/>
  <c r="AN78" i="21"/>
  <c r="AS121" i="21"/>
  <c r="AB72" i="21"/>
  <c r="M78" i="21"/>
  <c r="AV213" i="21"/>
  <c r="AI72" i="21"/>
  <c r="U256" i="21"/>
  <c r="AG256" i="21"/>
  <c r="AN256" i="21"/>
  <c r="AY249" i="21"/>
  <c r="X249" i="21"/>
  <c r="AG94" i="24"/>
  <c r="J78" i="21"/>
  <c r="AM213" i="21"/>
  <c r="R121" i="21"/>
  <c r="AI209" i="21"/>
  <c r="AX256" i="21"/>
  <c r="AL256" i="21"/>
  <c r="X256" i="21"/>
  <c r="AR256" i="21"/>
  <c r="AH249" i="21"/>
  <c r="AT249" i="21"/>
  <c r="Y446" i="2"/>
  <c r="AC446" i="2" s="1"/>
  <c r="J397" i="26"/>
  <c r="AC31" i="24"/>
  <c r="AB104" i="24"/>
  <c r="Y225" i="2"/>
  <c r="AT121" i="21"/>
  <c r="AF64" i="24"/>
  <c r="P231" i="21"/>
  <c r="Y231" i="21"/>
  <c r="Z231" i="21"/>
  <c r="AC231" i="21"/>
  <c r="Q231" i="21"/>
  <c r="AW231" i="21"/>
  <c r="AE231" i="21"/>
  <c r="AY231" i="21"/>
  <c r="J376" i="30"/>
  <c r="Y232" i="2"/>
  <c r="M232" i="23" s="1"/>
  <c r="W119" i="2"/>
  <c r="AC78" i="21"/>
  <c r="J334" i="30"/>
  <c r="V213" i="21"/>
  <c r="J356" i="30"/>
  <c r="AC224" i="21"/>
  <c r="AO145" i="21"/>
  <c r="AW72" i="21"/>
  <c r="AJ239" i="21"/>
  <c r="P239" i="21"/>
  <c r="J239" i="21"/>
  <c r="R239" i="21"/>
  <c r="M239" i="21"/>
  <c r="AU239" i="21"/>
  <c r="W72" i="2"/>
  <c r="U249" i="2"/>
  <c r="W249" i="2" s="1"/>
  <c r="W61" i="24" s="1"/>
  <c r="AC61" i="24"/>
  <c r="AA216" i="21"/>
  <c r="AR216" i="21"/>
  <c r="Y353" i="2"/>
  <c r="AC353" i="2" s="1"/>
  <c r="Y458" i="2"/>
  <c r="AC458" i="2" s="1"/>
  <c r="Y481" i="2"/>
  <c r="AC481" i="2" s="1"/>
  <c r="Y420" i="2"/>
  <c r="AC420" i="2" s="1"/>
  <c r="W401" i="2"/>
  <c r="Y139" i="2"/>
  <c r="M139" i="23" s="1"/>
  <c r="Y126" i="2"/>
  <c r="AC126" i="2" s="1"/>
  <c r="J213" i="21"/>
  <c r="AY213" i="21"/>
  <c r="AI213" i="21"/>
  <c r="S213" i="21"/>
  <c r="AJ213" i="21"/>
  <c r="AS213" i="21"/>
  <c r="Q213" i="21"/>
  <c r="AC213" i="21"/>
  <c r="AP213" i="21"/>
  <c r="K213" i="21"/>
  <c r="R213" i="21"/>
  <c r="AN213" i="21"/>
  <c r="J249" i="21"/>
  <c r="R249" i="21"/>
  <c r="AJ249" i="21"/>
  <c r="T249" i="21"/>
  <c r="AP249" i="21"/>
  <c r="U249" i="21"/>
  <c r="AL249" i="21"/>
  <c r="AX249" i="21"/>
  <c r="AW249" i="21"/>
  <c r="AB54" i="24"/>
  <c r="K121" i="21"/>
  <c r="M121" i="21"/>
  <c r="AW121" i="21"/>
  <c r="AF54" i="24"/>
  <c r="AK213" i="21"/>
  <c r="AQ213" i="21"/>
  <c r="AQ131" i="2"/>
  <c r="U131" i="23" s="1"/>
  <c r="U145" i="21"/>
  <c r="P145" i="21"/>
  <c r="Z98" i="2"/>
  <c r="AB98" i="2" s="1"/>
  <c r="S303" i="30"/>
  <c r="AE236" i="21"/>
  <c r="AG236" i="21"/>
  <c r="AX78" i="21"/>
  <c r="Z78" i="21"/>
  <c r="AI78" i="21"/>
  <c r="S78" i="21"/>
  <c r="AJ78" i="21"/>
  <c r="AU78" i="21"/>
  <c r="X78" i="21"/>
  <c r="AT78" i="21"/>
  <c r="V78" i="21"/>
  <c r="H59" i="23"/>
  <c r="L59" i="23" s="1"/>
  <c r="W59" i="2"/>
  <c r="H22" i="23"/>
  <c r="L22" i="23" s="1"/>
  <c r="Y22" i="2"/>
  <c r="AC22" i="2" s="1"/>
  <c r="AQ287" i="2"/>
  <c r="U287" i="23" s="1"/>
  <c r="G287" i="23"/>
  <c r="S287" i="23" s="1"/>
  <c r="AQ199" i="2"/>
  <c r="U199" i="23" s="1"/>
  <c r="S341" i="30"/>
  <c r="Y249" i="21"/>
  <c r="M249" i="21"/>
  <c r="N131" i="23"/>
  <c r="AR121" i="21"/>
  <c r="Q78" i="21"/>
  <c r="W78" i="21"/>
  <c r="AH213" i="21"/>
  <c r="AF213" i="21"/>
  <c r="W213" i="21"/>
  <c r="AQ363" i="2"/>
  <c r="T107" i="26" s="1"/>
  <c r="AU72" i="21"/>
  <c r="AA72" i="21"/>
  <c r="AL72" i="21"/>
  <c r="AC54" i="24"/>
  <c r="S121" i="21"/>
  <c r="AC121" i="21"/>
  <c r="W121" i="21"/>
  <c r="V121" i="21"/>
  <c r="J121" i="21"/>
  <c r="W183" i="2"/>
  <c r="W179" i="2"/>
  <c r="W54" i="24" s="1"/>
  <c r="AB78" i="21"/>
  <c r="K78" i="21"/>
  <c r="AP78" i="21"/>
  <c r="AQ78" i="21"/>
  <c r="AA78" i="21"/>
  <c r="AW78" i="21"/>
  <c r="AG213" i="21"/>
  <c r="AW213" i="21"/>
  <c r="AR213" i="21"/>
  <c r="AL213" i="21"/>
  <c r="AO213" i="21"/>
  <c r="AA213" i="21"/>
  <c r="AU213" i="21"/>
  <c r="AS72" i="21"/>
  <c r="U344" i="2"/>
  <c r="AN51" i="24" s="1"/>
  <c r="U316" i="2"/>
  <c r="AX60" i="24" s="1"/>
  <c r="AP145" i="21"/>
  <c r="V145" i="21"/>
  <c r="AX145" i="21"/>
  <c r="AM145" i="21"/>
  <c r="T145" i="21"/>
  <c r="X72" i="21"/>
  <c r="M72" i="21"/>
  <c r="AQ72" i="21"/>
  <c r="AM72" i="21"/>
  <c r="U72" i="21"/>
  <c r="AQ216" i="21"/>
  <c r="AK216" i="21"/>
  <c r="V216" i="21"/>
  <c r="AG61" i="24"/>
  <c r="M145" i="21"/>
  <c r="AR145" i="21"/>
  <c r="AB145" i="21"/>
  <c r="J145" i="21"/>
  <c r="AH145" i="21"/>
  <c r="K145" i="21"/>
  <c r="AG145" i="21"/>
  <c r="AU145" i="21"/>
  <c r="AE145" i="21"/>
  <c r="S145" i="21"/>
  <c r="AV145" i="21"/>
  <c r="Y121" i="21"/>
  <c r="AN121" i="21"/>
  <c r="X121" i="21"/>
  <c r="AX121" i="21"/>
  <c r="AA121" i="21"/>
  <c r="AK121" i="21"/>
  <c r="AY121" i="21"/>
  <c r="U121" i="21"/>
  <c r="Z121" i="21"/>
  <c r="AE121" i="21"/>
  <c r="AN72" i="21"/>
  <c r="AT72" i="21"/>
  <c r="AC72" i="21"/>
  <c r="K72" i="21"/>
  <c r="AF72" i="21"/>
  <c r="AV72" i="21"/>
  <c r="Z72" i="21"/>
  <c r="AO72" i="21"/>
  <c r="S72" i="21"/>
  <c r="H183" i="23"/>
  <c r="Y183" i="2"/>
  <c r="AC183" i="2" s="1"/>
  <c r="N213" i="21"/>
  <c r="O213" i="21" s="1"/>
  <c r="Z363" i="2"/>
  <c r="AB363" i="2" s="1"/>
  <c r="Z131" i="2"/>
  <c r="O131" i="23" s="1"/>
  <c r="N121" i="21"/>
  <c r="O121" i="21" s="1"/>
  <c r="AA249" i="21"/>
  <c r="V249" i="21"/>
  <c r="W249" i="21"/>
  <c r="AU249" i="21"/>
  <c r="AB249" i="21"/>
  <c r="AV249" i="21"/>
  <c r="AM78" i="21"/>
  <c r="AV121" i="21"/>
  <c r="Q121" i="21"/>
  <c r="AB121" i="21"/>
  <c r="AY78" i="21"/>
  <c r="AH78" i="21"/>
  <c r="AD78" i="21"/>
  <c r="AS78" i="21"/>
  <c r="Z213" i="21"/>
  <c r="AD213" i="21"/>
  <c r="Z145" i="21"/>
  <c r="Q145" i="21"/>
  <c r="AQ145" i="21"/>
  <c r="AC145" i="21"/>
  <c r="AJ145" i="21"/>
  <c r="AJ72" i="21"/>
  <c r="Q72" i="21"/>
  <c r="N78" i="21"/>
  <c r="O78" i="21" s="1"/>
  <c r="Z199" i="2"/>
  <c r="AB199" i="2" s="1"/>
  <c r="N249" i="21"/>
  <c r="O249" i="21" s="1"/>
  <c r="S249" i="21"/>
  <c r="AG249" i="21"/>
  <c r="AD249" i="21"/>
  <c r="Z249" i="21"/>
  <c r="AF249" i="21"/>
  <c r="L109" i="21"/>
  <c r="L101" i="21"/>
  <c r="P78" i="21"/>
  <c r="AH72" i="21"/>
  <c r="AQ249" i="21"/>
  <c r="AE63" i="24"/>
  <c r="AW16" i="24"/>
  <c r="Z174" i="2"/>
  <c r="O174" i="23" s="1"/>
  <c r="N145" i="21"/>
  <c r="O145" i="21" s="1"/>
  <c r="AC249" i="21"/>
  <c r="AO249" i="21"/>
  <c r="AS249" i="21"/>
  <c r="AE249" i="21"/>
  <c r="P249" i="21"/>
  <c r="AN249" i="21"/>
  <c r="J72" i="21"/>
  <c r="AI249" i="21"/>
  <c r="S341" i="26"/>
  <c r="AH121" i="21"/>
  <c r="AI121" i="21"/>
  <c r="AD121" i="21"/>
  <c r="AG121" i="21"/>
  <c r="P121" i="21"/>
  <c r="AJ121" i="21"/>
  <c r="AY72" i="21"/>
  <c r="AP221" i="21"/>
  <c r="N174" i="23"/>
  <c r="AG78" i="21"/>
  <c r="R78" i="21"/>
  <c r="T78" i="21"/>
  <c r="AV78" i="21"/>
  <c r="AE78" i="21"/>
  <c r="W12" i="2"/>
  <c r="F282" i="30"/>
  <c r="U213" i="21"/>
  <c r="P213" i="21"/>
  <c r="AX213" i="21"/>
  <c r="T213" i="21"/>
  <c r="AT213" i="21"/>
  <c r="AE213" i="21"/>
  <c r="AU121" i="21"/>
  <c r="W72" i="21"/>
  <c r="AD145" i="21"/>
  <c r="Y145" i="21"/>
  <c r="AA145" i="21"/>
  <c r="R145" i="21"/>
  <c r="AS145" i="21"/>
  <c r="X145" i="21"/>
  <c r="AW145" i="21"/>
  <c r="AD72" i="21"/>
  <c r="T72" i="21"/>
  <c r="P72" i="21"/>
  <c r="AR72" i="21"/>
  <c r="Y72" i="21"/>
  <c r="AX72" i="21"/>
  <c r="W22" i="2"/>
  <c r="AM121" i="21"/>
  <c r="AR78" i="21"/>
  <c r="Y475" i="2"/>
  <c r="AC475" i="2" s="1"/>
  <c r="Y163" i="2"/>
  <c r="AT59" i="24"/>
  <c r="U364" i="2"/>
  <c r="AN19" i="24" s="1"/>
  <c r="T240" i="21"/>
  <c r="AG50" i="24"/>
  <c r="Y266" i="2"/>
  <c r="W494" i="2"/>
  <c r="AQ208" i="21"/>
  <c r="L13" i="23"/>
  <c r="Z360" i="2"/>
  <c r="AB360" i="2" s="1"/>
  <c r="Y450" i="2"/>
  <c r="AC450" i="2" s="1"/>
  <c r="J227" i="21"/>
  <c r="Y132" i="21"/>
  <c r="AB84" i="24"/>
  <c r="F335" i="30"/>
  <c r="F391" i="26"/>
  <c r="AL224" i="21"/>
  <c r="W92" i="2"/>
  <c r="H68" i="23"/>
  <c r="L68" i="23" s="1"/>
  <c r="Y421" i="2"/>
  <c r="AC421" i="2" s="1"/>
  <c r="AN252" i="21"/>
  <c r="AP207" i="21"/>
  <c r="AJ135" i="21"/>
  <c r="Y75" i="2"/>
  <c r="AC75" i="2" s="1"/>
  <c r="AA221" i="21"/>
  <c r="AY207" i="21"/>
  <c r="R27" i="21"/>
  <c r="AW135" i="21"/>
  <c r="AG83" i="24"/>
  <c r="T132" i="21"/>
  <c r="AE132" i="21"/>
  <c r="Y207" i="21"/>
  <c r="Q135" i="21"/>
  <c r="AD135" i="21"/>
  <c r="Y261" i="2"/>
  <c r="AC21" i="24"/>
  <c r="T236" i="21"/>
  <c r="AA236" i="21"/>
  <c r="AK135" i="21"/>
  <c r="J393" i="30"/>
  <c r="AO236" i="21"/>
  <c r="AW162" i="21"/>
  <c r="L96" i="21"/>
  <c r="L88" i="21"/>
  <c r="L85" i="21"/>
  <c r="AP227" i="21"/>
  <c r="AG227" i="21"/>
  <c r="S291" i="23"/>
  <c r="AR221" i="21"/>
  <c r="AU221" i="21"/>
  <c r="N225" i="21"/>
  <c r="O225" i="21" s="1"/>
  <c r="N207" i="21"/>
  <c r="O207" i="21" s="1"/>
  <c r="AD227" i="21"/>
  <c r="S227" i="21"/>
  <c r="AB132" i="21"/>
  <c r="J283" i="30"/>
  <c r="G104" i="23"/>
  <c r="J104" i="23" s="1"/>
  <c r="Z236" i="21"/>
  <c r="AL221" i="21"/>
  <c r="AB207" i="21"/>
  <c r="H215" i="23"/>
  <c r="J135" i="21"/>
  <c r="Z277" i="2"/>
  <c r="O277" i="23" s="1"/>
  <c r="Z390" i="2"/>
  <c r="AB390" i="2" s="1"/>
  <c r="N162" i="21"/>
  <c r="O162" i="21" s="1"/>
  <c r="AM210" i="21"/>
  <c r="T207" i="21"/>
  <c r="J394" i="30"/>
  <c r="Y227" i="21"/>
  <c r="AM227" i="21"/>
  <c r="R132" i="21"/>
  <c r="T216" i="21"/>
  <c r="X216" i="21"/>
  <c r="AP216" i="21"/>
  <c r="AT57" i="24"/>
  <c r="AW65" i="24"/>
  <c r="Z221" i="21"/>
  <c r="AJ221" i="21"/>
  <c r="J297" i="26"/>
  <c r="Y236" i="21"/>
  <c r="U294" i="2"/>
  <c r="AN104" i="24" s="1"/>
  <c r="M252" i="21"/>
  <c r="AJ240" i="21"/>
  <c r="Z207" i="21"/>
  <c r="S207" i="21"/>
  <c r="J321" i="26"/>
  <c r="AC135" i="21"/>
  <c r="H56" i="23"/>
  <c r="L56" i="23" s="1"/>
  <c r="AT28" i="24"/>
  <c r="U340" i="2"/>
  <c r="AX28" i="24" s="1"/>
  <c r="H28" i="23"/>
  <c r="Y28" i="2"/>
  <c r="W84" i="2"/>
  <c r="Y84" i="2"/>
  <c r="T206" i="2"/>
  <c r="AD47" i="24"/>
  <c r="AW67" i="24"/>
  <c r="AQ313" i="2"/>
  <c r="T123" i="26" s="1"/>
  <c r="Z335" i="2"/>
  <c r="AB335" i="2" s="1"/>
  <c r="W407" i="2"/>
  <c r="J395" i="26"/>
  <c r="J357" i="26"/>
  <c r="U227" i="21"/>
  <c r="AF227" i="21"/>
  <c r="W227" i="21"/>
  <c r="AG132" i="21"/>
  <c r="J221" i="21"/>
  <c r="K221" i="21"/>
  <c r="P221" i="21"/>
  <c r="AX221" i="21"/>
  <c r="AS221" i="21"/>
  <c r="AT221" i="21"/>
  <c r="AE221" i="21"/>
  <c r="AY221" i="21"/>
  <c r="AC236" i="21"/>
  <c r="AX236" i="21"/>
  <c r="AT236" i="21"/>
  <c r="AR236" i="21"/>
  <c r="AL144" i="21"/>
  <c r="N66" i="23"/>
  <c r="G196" i="23"/>
  <c r="N196" i="23" s="1"/>
  <c r="R252" i="21"/>
  <c r="S252" i="21"/>
  <c r="AS162" i="21"/>
  <c r="J341" i="30"/>
  <c r="K207" i="21"/>
  <c r="X207" i="21"/>
  <c r="AF207" i="21"/>
  <c r="AG207" i="21"/>
  <c r="AE207" i="21"/>
  <c r="F305" i="26"/>
  <c r="AM135" i="21"/>
  <c r="W135" i="21"/>
  <c r="AN135" i="21"/>
  <c r="AO135" i="21"/>
  <c r="AL135" i="21"/>
  <c r="H92" i="23"/>
  <c r="L92" i="23" s="1"/>
  <c r="U349" i="2"/>
  <c r="Y349" i="2" s="1"/>
  <c r="AT45" i="24"/>
  <c r="W345" i="2"/>
  <c r="AY216" i="21"/>
  <c r="W216" i="21"/>
  <c r="U216" i="21"/>
  <c r="AX216" i="21"/>
  <c r="AO216" i="21"/>
  <c r="AN216" i="21"/>
  <c r="AF252" i="21"/>
  <c r="AY252" i="21"/>
  <c r="AH252" i="21"/>
  <c r="AA252" i="21"/>
  <c r="AQ252" i="2"/>
  <c r="U252" i="23" s="1"/>
  <c r="G252" i="23"/>
  <c r="P252" i="23" s="1"/>
  <c r="Q252" i="23" s="1"/>
  <c r="H143" i="23"/>
  <c r="Y143" i="2"/>
  <c r="AC143" i="2" s="1"/>
  <c r="Z196" i="2"/>
  <c r="AB196" i="2" s="1"/>
  <c r="AB21" i="24"/>
  <c r="N252" i="21"/>
  <c r="O252" i="21" s="1"/>
  <c r="Z292" i="2"/>
  <c r="O291" i="23" s="1"/>
  <c r="W385" i="2"/>
  <c r="Y376" i="2"/>
  <c r="AC376" i="2" s="1"/>
  <c r="AV227" i="21"/>
  <c r="AC227" i="21"/>
  <c r="P227" i="21"/>
  <c r="AS227" i="21"/>
  <c r="AN227" i="21"/>
  <c r="V227" i="21"/>
  <c r="AR227" i="21"/>
  <c r="AE227" i="21"/>
  <c r="Y195" i="2"/>
  <c r="AC195" i="2" s="1"/>
  <c r="AN221" i="21"/>
  <c r="AB221" i="21"/>
  <c r="V221" i="21"/>
  <c r="Q221" i="21"/>
  <c r="Y221" i="21"/>
  <c r="M221" i="21"/>
  <c r="Y575" i="2"/>
  <c r="AC575" i="2" s="1"/>
  <c r="Y543" i="2"/>
  <c r="AC543" i="2" s="1"/>
  <c r="Y493" i="2"/>
  <c r="AC493" i="2" s="1"/>
  <c r="Y437" i="2"/>
  <c r="AC437" i="2" s="1"/>
  <c r="U310" i="2"/>
  <c r="W310" i="2" s="1"/>
  <c r="AY23" i="24" s="1"/>
  <c r="T259" i="2"/>
  <c r="S357" i="32" s="1"/>
  <c r="U252" i="21"/>
  <c r="AD252" i="21"/>
  <c r="U207" i="21"/>
  <c r="AD207" i="21"/>
  <c r="AT207" i="21"/>
  <c r="AW207" i="21"/>
  <c r="AX135" i="21"/>
  <c r="K135" i="21"/>
  <c r="M135" i="21"/>
  <c r="AV135" i="21"/>
  <c r="W132" i="2"/>
  <c r="H84" i="23"/>
  <c r="L84" i="23" s="1"/>
  <c r="Y68" i="2"/>
  <c r="AC68" i="2" s="1"/>
  <c r="Y36" i="2"/>
  <c r="AC36" i="2" s="1"/>
  <c r="AB162" i="21"/>
  <c r="AM162" i="21"/>
  <c r="Z162" i="21"/>
  <c r="AQ238" i="2"/>
  <c r="U238" i="23" s="1"/>
  <c r="AE20" i="24"/>
  <c r="K227" i="21"/>
  <c r="AQ227" i="21"/>
  <c r="AA227" i="21"/>
  <c r="AW227" i="21"/>
  <c r="AG221" i="21"/>
  <c r="AM221" i="21"/>
  <c r="W221" i="21"/>
  <c r="AO221" i="21"/>
  <c r="T221" i="21"/>
  <c r="X221" i="21"/>
  <c r="AK221" i="21"/>
  <c r="AW221" i="21"/>
  <c r="U221" i="21"/>
  <c r="R221" i="21"/>
  <c r="U326" i="2"/>
  <c r="AT70" i="24"/>
  <c r="Y273" i="2"/>
  <c r="AC273" i="2" s="1"/>
  <c r="W44" i="2"/>
  <c r="Y44" i="2"/>
  <c r="AC44" i="2" s="1"/>
  <c r="AQ98" i="2"/>
  <c r="U98" i="23" s="1"/>
  <c r="S303" i="26"/>
  <c r="Y112" i="2"/>
  <c r="W112" i="2"/>
  <c r="AS132" i="21"/>
  <c r="AQ132" i="21"/>
  <c r="AA132" i="21"/>
  <c r="AY132" i="21"/>
  <c r="AC132" i="21"/>
  <c r="AX132" i="21"/>
  <c r="U132" i="21"/>
  <c r="Z132" i="21"/>
  <c r="AL132" i="21"/>
  <c r="AP135" i="21"/>
  <c r="V135" i="21"/>
  <c r="Y135" i="21"/>
  <c r="AI135" i="21"/>
  <c r="AR135" i="21"/>
  <c r="U135" i="21"/>
  <c r="AA135" i="21"/>
  <c r="AM236" i="21"/>
  <c r="M236" i="21"/>
  <c r="AB236" i="21"/>
  <c r="AN236" i="21"/>
  <c r="X236" i="21"/>
  <c r="K236" i="21"/>
  <c r="P236" i="21"/>
  <c r="AU207" i="21"/>
  <c r="AA207" i="21"/>
  <c r="AL207" i="21"/>
  <c r="J207" i="21"/>
  <c r="R207" i="21"/>
  <c r="AX207" i="21"/>
  <c r="AO207" i="21"/>
  <c r="Y149" i="2"/>
  <c r="AA149" i="2" s="1"/>
  <c r="J339" i="26"/>
  <c r="U230" i="2"/>
  <c r="AC34" i="24"/>
  <c r="Z252" i="2"/>
  <c r="O252" i="23" s="1"/>
  <c r="T252" i="23" s="1"/>
  <c r="Z313" i="2"/>
  <c r="AB313" i="2" s="1"/>
  <c r="Z330" i="2"/>
  <c r="AB330" i="2" s="1"/>
  <c r="AO227" i="21"/>
  <c r="AQ292" i="2"/>
  <c r="T227" i="21"/>
  <c r="AX227" i="21"/>
  <c r="AK227" i="21"/>
  <c r="Q227" i="21"/>
  <c r="AL227" i="21"/>
  <c r="AU227" i="21"/>
  <c r="I182" i="21"/>
  <c r="N182" i="21" s="1"/>
  <c r="O182" i="21" s="1"/>
  <c r="AF132" i="21"/>
  <c r="AJ132" i="21"/>
  <c r="X132" i="21"/>
  <c r="M132" i="21"/>
  <c r="AI132" i="21"/>
  <c r="N236" i="21"/>
  <c r="O236" i="21" s="1"/>
  <c r="N227" i="21"/>
  <c r="O227" i="21" s="1"/>
  <c r="Y413" i="2"/>
  <c r="AC413" i="2" s="1"/>
  <c r="Y390" i="2"/>
  <c r="AC390" i="2" s="1"/>
  <c r="J396" i="26"/>
  <c r="Y199" i="2"/>
  <c r="AU132" i="21"/>
  <c r="AO132" i="21"/>
  <c r="AP132" i="21"/>
  <c r="AH132" i="21"/>
  <c r="S132" i="21"/>
  <c r="AM132" i="21"/>
  <c r="AT42" i="24"/>
  <c r="AJ236" i="21"/>
  <c r="AV236" i="21"/>
  <c r="AP236" i="21"/>
  <c r="J236" i="21"/>
  <c r="AW236" i="21"/>
  <c r="AQ236" i="21"/>
  <c r="AI144" i="21"/>
  <c r="G78" i="23"/>
  <c r="N132" i="21"/>
  <c r="O132" i="21" s="1"/>
  <c r="N135" i="21"/>
  <c r="O135" i="21" s="1"/>
  <c r="Z238" i="2"/>
  <c r="O238" i="23" s="1"/>
  <c r="Z78" i="2"/>
  <c r="O78" i="23" s="1"/>
  <c r="Y380" i="2"/>
  <c r="AC380" i="2" s="1"/>
  <c r="AT162" i="21"/>
  <c r="AD132" i="21"/>
  <c r="Y241" i="2"/>
  <c r="AC241" i="2" s="1"/>
  <c r="Y215" i="2"/>
  <c r="Z227" i="21"/>
  <c r="AJ227" i="21"/>
  <c r="X227" i="21"/>
  <c r="R227" i="21"/>
  <c r="AT227" i="21"/>
  <c r="AB227" i="21"/>
  <c r="M227" i="21"/>
  <c r="AI227" i="21"/>
  <c r="Q132" i="21"/>
  <c r="J132" i="21"/>
  <c r="AW132" i="21"/>
  <c r="K132" i="21"/>
  <c r="AN132" i="21"/>
  <c r="W132" i="21"/>
  <c r="AV132" i="21"/>
  <c r="L22" i="21"/>
  <c r="Y162" i="21"/>
  <c r="Y581" i="2"/>
  <c r="AC581" i="2" s="1"/>
  <c r="Y565" i="2"/>
  <c r="AC565" i="2" s="1"/>
  <c r="Y549" i="2"/>
  <c r="AC549" i="2" s="1"/>
  <c r="Y533" i="2"/>
  <c r="AC533" i="2" s="1"/>
  <c r="AE56" i="24"/>
  <c r="AV221" i="21"/>
  <c r="AH221" i="21"/>
  <c r="AC221" i="21"/>
  <c r="AF221" i="21"/>
  <c r="AD221" i="21"/>
  <c r="S221" i="21"/>
  <c r="AQ221" i="21"/>
  <c r="AS236" i="21"/>
  <c r="U236" i="21"/>
  <c r="R236" i="21"/>
  <c r="V236" i="21"/>
  <c r="W236" i="21"/>
  <c r="AU236" i="21"/>
  <c r="AQ196" i="2"/>
  <c r="U196" i="23" s="1"/>
  <c r="G98" i="23"/>
  <c r="N98" i="23" s="1"/>
  <c r="AG49" i="24"/>
  <c r="Y515" i="2"/>
  <c r="AC515" i="2" s="1"/>
  <c r="Y424" i="2"/>
  <c r="AC424" i="2" s="1"/>
  <c r="Q252" i="21"/>
  <c r="X252" i="21"/>
  <c r="AJ207" i="21"/>
  <c r="AK207" i="21"/>
  <c r="Q207" i="21"/>
  <c r="M207" i="21"/>
  <c r="AQ207" i="21"/>
  <c r="AQ135" i="21"/>
  <c r="S135" i="21"/>
  <c r="T135" i="21"/>
  <c r="Z135" i="21"/>
  <c r="AC17" i="2"/>
  <c r="H132" i="23"/>
  <c r="L132" i="23" s="1"/>
  <c r="H112" i="23"/>
  <c r="W56" i="2"/>
  <c r="W36" i="2"/>
  <c r="Y250" i="2"/>
  <c r="AC250" i="2" s="1"/>
  <c r="W253" i="2"/>
  <c r="Y187" i="2"/>
  <c r="W373" i="2"/>
  <c r="W393" i="2"/>
  <c r="W397" i="2"/>
  <c r="Y107" i="2"/>
  <c r="AC107" i="2" s="1"/>
  <c r="Y470" i="2"/>
  <c r="AC470" i="2" s="1"/>
  <c r="AR240" i="21"/>
  <c r="W367" i="2"/>
  <c r="AT30" i="24"/>
  <c r="U342" i="2"/>
  <c r="AN30" i="24" s="1"/>
  <c r="J336" i="26"/>
  <c r="AG73" i="24"/>
  <c r="J336" i="30"/>
  <c r="J344" i="26"/>
  <c r="AG68" i="24"/>
  <c r="J340" i="26"/>
  <c r="J340" i="30"/>
  <c r="AG70" i="24"/>
  <c r="W204" i="2"/>
  <c r="Y204" i="2"/>
  <c r="J333" i="26"/>
  <c r="J333" i="30"/>
  <c r="U224" i="2"/>
  <c r="AC73" i="24"/>
  <c r="J309" i="26"/>
  <c r="Y257" i="2"/>
  <c r="AC257" i="2" s="1"/>
  <c r="J381" i="30"/>
  <c r="J379" i="30" s="1"/>
  <c r="J381" i="26"/>
  <c r="J379" i="26" s="1"/>
  <c r="J378" i="26" s="1"/>
  <c r="W332" i="2"/>
  <c r="Y332" i="2"/>
  <c r="AC332" i="2" s="1"/>
  <c r="AV84" i="24"/>
  <c r="T369" i="2"/>
  <c r="AW96" i="24"/>
  <c r="AQ351" i="2"/>
  <c r="G280" i="23"/>
  <c r="S280" i="23" s="1"/>
  <c r="AQ280" i="2"/>
  <c r="U280" i="23" s="1"/>
  <c r="AW15" i="24"/>
  <c r="AU233" i="21"/>
  <c r="AA233" i="21"/>
  <c r="AP233" i="21"/>
  <c r="AG233" i="21"/>
  <c r="AD233" i="21"/>
  <c r="AC233" i="21"/>
  <c r="R233" i="21"/>
  <c r="AE233" i="21"/>
  <c r="AF233" i="21"/>
  <c r="T233" i="21"/>
  <c r="AL233" i="21"/>
  <c r="J233" i="21"/>
  <c r="AQ233" i="21"/>
  <c r="M233" i="21"/>
  <c r="AT233" i="21"/>
  <c r="V233" i="21"/>
  <c r="AS233" i="21"/>
  <c r="AR233" i="21"/>
  <c r="U233" i="2"/>
  <c r="H168" i="23" s="1"/>
  <c r="AB59" i="24"/>
  <c r="U270" i="2"/>
  <c r="AC94" i="24"/>
  <c r="Y336" i="2"/>
  <c r="AC336" i="2" s="1"/>
  <c r="J343" i="30"/>
  <c r="J304" i="26"/>
  <c r="AS175" i="21"/>
  <c r="AR175" i="21"/>
  <c r="AB175" i="21"/>
  <c r="J175" i="21"/>
  <c r="AG175" i="21"/>
  <c r="AU175" i="21"/>
  <c r="Z175" i="21"/>
  <c r="AF175" i="21"/>
  <c r="AW175" i="21"/>
  <c r="V175" i="21"/>
  <c r="AE175" i="21"/>
  <c r="AO175" i="21"/>
  <c r="S175" i="21"/>
  <c r="K175" i="21"/>
  <c r="AN175" i="21"/>
  <c r="T175" i="21"/>
  <c r="AL175" i="21"/>
  <c r="AP175" i="21"/>
  <c r="M175" i="21"/>
  <c r="AD175" i="21"/>
  <c r="R175" i="21"/>
  <c r="AC175" i="21"/>
  <c r="T229" i="2"/>
  <c r="AD111" i="24"/>
  <c r="AT63" i="24"/>
  <c r="U296" i="2"/>
  <c r="AN63" i="24" s="1"/>
  <c r="Y159" i="2"/>
  <c r="W167" i="2"/>
  <c r="Y167" i="2"/>
  <c r="M167" i="23" s="1"/>
  <c r="AA232" i="21"/>
  <c r="J232" i="21"/>
  <c r="AH232" i="21"/>
  <c r="AV232" i="21"/>
  <c r="AJ232" i="21"/>
  <c r="Z232" i="21"/>
  <c r="AW232" i="21"/>
  <c r="AN232" i="21"/>
  <c r="U182" i="2"/>
  <c r="H151" i="23" s="1"/>
  <c r="AC14" i="24"/>
  <c r="F281" i="30"/>
  <c r="H186" i="23"/>
  <c r="L186" i="23" s="1"/>
  <c r="AT68" i="24"/>
  <c r="U354" i="2"/>
  <c r="AN68" i="24" s="1"/>
  <c r="F309" i="26"/>
  <c r="H257" i="23"/>
  <c r="AQ233" i="2"/>
  <c r="U233" i="23" s="1"/>
  <c r="AE59" i="24"/>
  <c r="U211" i="2"/>
  <c r="W211" i="2" s="1"/>
  <c r="W91" i="24" s="1"/>
  <c r="AC91" i="24"/>
  <c r="H156" i="23"/>
  <c r="Y156" i="2"/>
  <c r="X149" i="21"/>
  <c r="AG149" i="21"/>
  <c r="R149" i="21"/>
  <c r="AR149" i="21"/>
  <c r="AK149" i="21"/>
  <c r="AO149" i="21"/>
  <c r="AI42" i="21"/>
  <c r="AH42" i="21"/>
  <c r="AG42" i="21"/>
  <c r="Y42" i="21"/>
  <c r="R42" i="21"/>
  <c r="AW42" i="21"/>
  <c r="T42" i="21"/>
  <c r="N42" i="21"/>
  <c r="O42" i="21" s="1"/>
  <c r="AU42" i="21"/>
  <c r="AB42" i="21"/>
  <c r="AV42" i="21"/>
  <c r="AQ125" i="2"/>
  <c r="U125" i="23" s="1"/>
  <c r="Z125" i="2"/>
  <c r="AB125" i="2" s="1"/>
  <c r="AQ133" i="2"/>
  <c r="U133" i="23" s="1"/>
  <c r="G133" i="23"/>
  <c r="S133" i="23" s="1"/>
  <c r="AE226" i="21"/>
  <c r="AF226" i="21"/>
  <c r="X226" i="21"/>
  <c r="Z226" i="21"/>
  <c r="AD226" i="21"/>
  <c r="AW19" i="24"/>
  <c r="Z364" i="2"/>
  <c r="AB364" i="2" s="1"/>
  <c r="AQ193" i="2"/>
  <c r="U193" i="23" s="1"/>
  <c r="S279" i="26"/>
  <c r="G193" i="23"/>
  <c r="J193" i="23" s="1"/>
  <c r="N175" i="21"/>
  <c r="O175" i="21" s="1"/>
  <c r="Z20" i="2"/>
  <c r="AB20" i="2" s="1"/>
  <c r="W230" i="21"/>
  <c r="Y598" i="2"/>
  <c r="AC598" i="2" s="1"/>
  <c r="Y590" i="2"/>
  <c r="AC590" i="2" s="1"/>
  <c r="Y582" i="2"/>
  <c r="AC582" i="2" s="1"/>
  <c r="Y574" i="2"/>
  <c r="AC574" i="2" s="1"/>
  <c r="Y566" i="2"/>
  <c r="AC566" i="2" s="1"/>
  <c r="Y558" i="2"/>
  <c r="AC558" i="2" s="1"/>
  <c r="Y550" i="2"/>
  <c r="AC550" i="2" s="1"/>
  <c r="Y542" i="2"/>
  <c r="AC542" i="2" s="1"/>
  <c r="Y534" i="2"/>
  <c r="AC534" i="2" s="1"/>
  <c r="Y516" i="2"/>
  <c r="AC516" i="2" s="1"/>
  <c r="Y445" i="2"/>
  <c r="AC445" i="2" s="1"/>
  <c r="G233" i="23"/>
  <c r="N233" i="23" s="1"/>
  <c r="F281" i="26"/>
  <c r="AM175" i="21"/>
  <c r="U175" i="21"/>
  <c r="AQ175" i="21"/>
  <c r="AV175" i="21"/>
  <c r="N51" i="23"/>
  <c r="AB94" i="24"/>
  <c r="AP42" i="21"/>
  <c r="AD42" i="21"/>
  <c r="F395" i="26"/>
  <c r="AD104" i="24"/>
  <c r="J344" i="30"/>
  <c r="X233" i="21"/>
  <c r="AO233" i="21"/>
  <c r="W233" i="21"/>
  <c r="Y186" i="2"/>
  <c r="J309" i="30"/>
  <c r="AS149" i="21"/>
  <c r="F309" i="30"/>
  <c r="W524" i="2"/>
  <c r="W461" i="2"/>
  <c r="W381" i="2"/>
  <c r="W175" i="21"/>
  <c r="Y265" i="2"/>
  <c r="AI44" i="24" s="1"/>
  <c r="AC59" i="24"/>
  <c r="Y151" i="2"/>
  <c r="AC151" i="2" s="1"/>
  <c r="Y175" i="21"/>
  <c r="AK175" i="21"/>
  <c r="P175" i="21"/>
  <c r="AA42" i="21"/>
  <c r="AY42" i="21"/>
  <c r="AJ233" i="21"/>
  <c r="Y233" i="21"/>
  <c r="AM233" i="21"/>
  <c r="X232" i="21"/>
  <c r="J345" i="30"/>
  <c r="U228" i="2"/>
  <c r="W228" i="2" s="1"/>
  <c r="W66" i="24" s="1"/>
  <c r="AC66" i="24"/>
  <c r="W209" i="21"/>
  <c r="AQ209" i="21"/>
  <c r="Y452" i="2"/>
  <c r="AC452" i="2" s="1"/>
  <c r="X42" i="21"/>
  <c r="Y253" i="2"/>
  <c r="AC253" i="2" s="1"/>
  <c r="J279" i="26"/>
  <c r="AG71" i="24"/>
  <c r="AX175" i="21"/>
  <c r="AI175" i="21"/>
  <c r="Q175" i="21"/>
  <c r="X175" i="21"/>
  <c r="J42" i="21"/>
  <c r="W257" i="2"/>
  <c r="AB73" i="24"/>
  <c r="K233" i="21"/>
  <c r="Z233" i="21"/>
  <c r="AX226" i="21"/>
  <c r="AQ232" i="21"/>
  <c r="L30" i="21"/>
  <c r="W34" i="2"/>
  <c r="W250" i="2"/>
  <c r="W505" i="2"/>
  <c r="Y467" i="2"/>
  <c r="AC467" i="2" s="1"/>
  <c r="U218" i="2"/>
  <c r="AC60" i="24"/>
  <c r="AG90" i="24"/>
  <c r="AG89" i="24"/>
  <c r="W486" i="2"/>
  <c r="Y451" i="2"/>
  <c r="AC451" i="2" s="1"/>
  <c r="W435" i="2"/>
  <c r="Y357" i="2"/>
  <c r="AC357" i="2" s="1"/>
  <c r="AT33" i="24"/>
  <c r="U328" i="2"/>
  <c r="AN33" i="24" s="1"/>
  <c r="AG216" i="21"/>
  <c r="AM216" i="21"/>
  <c r="S216" i="21"/>
  <c r="Z216" i="21"/>
  <c r="AD216" i="21"/>
  <c r="AJ216" i="21"/>
  <c r="AB216" i="21"/>
  <c r="R216" i="21"/>
  <c r="AG34" i="24"/>
  <c r="J293" i="26"/>
  <c r="AG35" i="24"/>
  <c r="U260" i="2"/>
  <c r="F302" i="32" s="1"/>
  <c r="AC39" i="24"/>
  <c r="L200" i="21"/>
  <c r="G289" i="23"/>
  <c r="J289" i="23" s="1"/>
  <c r="Y405" i="2"/>
  <c r="AC405" i="2" s="1"/>
  <c r="K252" i="21"/>
  <c r="AQ252" i="21"/>
  <c r="P252" i="21"/>
  <c r="U347" i="2"/>
  <c r="AN73" i="24" s="1"/>
  <c r="H273" i="23"/>
  <c r="Y254" i="2"/>
  <c r="AC254" i="2" s="1"/>
  <c r="W292" i="2"/>
  <c r="E312" i="26"/>
  <c r="W95" i="2"/>
  <c r="W31" i="2"/>
  <c r="Y330" i="2"/>
  <c r="AC330" i="2" s="1"/>
  <c r="W425" i="2"/>
  <c r="W528" i="2"/>
  <c r="W459" i="2"/>
  <c r="W499" i="2"/>
  <c r="W490" i="2"/>
  <c r="H127" i="23"/>
  <c r="L127" i="23" s="1"/>
  <c r="W127" i="2"/>
  <c r="AQ104" i="2"/>
  <c r="U104" i="23" s="1"/>
  <c r="S320" i="30"/>
  <c r="S320" i="26"/>
  <c r="AI237" i="21"/>
  <c r="AE208" i="21"/>
  <c r="K27" i="21"/>
  <c r="W82" i="2"/>
  <c r="W62" i="2"/>
  <c r="AU27" i="21"/>
  <c r="AT84" i="24"/>
  <c r="U369" i="2"/>
  <c r="W369" i="2" s="1"/>
  <c r="AY84" i="24" s="1"/>
  <c r="J302" i="30"/>
  <c r="J302" i="26"/>
  <c r="AG39" i="24"/>
  <c r="T245" i="2"/>
  <c r="S293" i="32" s="1"/>
  <c r="AD35" i="24"/>
  <c r="W225" i="2"/>
  <c r="F370" i="26"/>
  <c r="J330" i="30"/>
  <c r="AG72" i="24"/>
  <c r="J366" i="30"/>
  <c r="W190" i="2"/>
  <c r="F283" i="30"/>
  <c r="F283" i="26"/>
  <c r="AP144" i="21"/>
  <c r="AQ144" i="21"/>
  <c r="AA144" i="21"/>
  <c r="AU144" i="21"/>
  <c r="Y144" i="21"/>
  <c r="AN144" i="21"/>
  <c r="R144" i="21"/>
  <c r="AB144" i="21"/>
  <c r="Z144" i="21"/>
  <c r="V144" i="21"/>
  <c r="AE144" i="21"/>
  <c r="AO144" i="21"/>
  <c r="AY144" i="21"/>
  <c r="X144" i="21"/>
  <c r="Q144" i="21"/>
  <c r="AR144" i="21"/>
  <c r="AV144" i="21"/>
  <c r="W144" i="21"/>
  <c r="AJ144" i="21"/>
  <c r="AS144" i="21"/>
  <c r="K144" i="21"/>
  <c r="AW144" i="21"/>
  <c r="AG144" i="21"/>
  <c r="U144" i="21"/>
  <c r="AM144" i="21"/>
  <c r="S144" i="21"/>
  <c r="AD144" i="21"/>
  <c r="AH144" i="21"/>
  <c r="AX144" i="21"/>
  <c r="AK144" i="21"/>
  <c r="J144" i="21"/>
  <c r="W47" i="2"/>
  <c r="Y47" i="2"/>
  <c r="AC47" i="2" s="1"/>
  <c r="U258" i="2"/>
  <c r="Y258" i="2" s="1"/>
  <c r="AB85" i="24"/>
  <c r="AC86" i="24"/>
  <c r="AC85" i="24"/>
  <c r="S208" i="21"/>
  <c r="W222" i="21"/>
  <c r="AI222" i="21"/>
  <c r="AF144" i="21"/>
  <c r="AL27" i="21"/>
  <c r="Y31" i="2"/>
  <c r="AC31" i="2" s="1"/>
  <c r="W171" i="2"/>
  <c r="T144" i="21"/>
  <c r="Y54" i="2"/>
  <c r="AC54" i="2" s="1"/>
  <c r="W54" i="2"/>
  <c r="AS27" i="21"/>
  <c r="T27" i="21"/>
  <c r="AN27" i="21"/>
  <c r="S27" i="21"/>
  <c r="AI27" i="21"/>
  <c r="AC27" i="21"/>
  <c r="AW27" i="21"/>
  <c r="P27" i="21"/>
  <c r="AA27" i="21"/>
  <c r="AQ27" i="21"/>
  <c r="AT27" i="21"/>
  <c r="Q27" i="21"/>
  <c r="AK27" i="21"/>
  <c r="J27" i="21"/>
  <c r="W27" i="21"/>
  <c r="AE27" i="21"/>
  <c r="AH27" i="21"/>
  <c r="U27" i="21"/>
  <c r="AX27" i="21"/>
  <c r="AG27" i="21"/>
  <c r="AR27" i="21"/>
  <c r="AY27" i="21"/>
  <c r="Z27" i="21"/>
  <c r="N237" i="21"/>
  <c r="O237" i="21" s="1"/>
  <c r="AE203" i="21"/>
  <c r="AM203" i="21"/>
  <c r="N144" i="21"/>
  <c r="O144" i="21" s="1"/>
  <c r="N27" i="21"/>
  <c r="O27" i="21" s="1"/>
  <c r="AQ222" i="21"/>
  <c r="AA203" i="21"/>
  <c r="Y171" i="2"/>
  <c r="AC171" i="2" s="1"/>
  <c r="Y127" i="2"/>
  <c r="AC127" i="2" s="1"/>
  <c r="Y95" i="2"/>
  <c r="M95" i="23" s="1"/>
  <c r="P144" i="21"/>
  <c r="M144" i="21"/>
  <c r="AB27" i="21"/>
  <c r="W140" i="2"/>
  <c r="AT7" i="24"/>
  <c r="U318" i="2"/>
  <c r="AN7" i="24" s="1"/>
  <c r="U259" i="2"/>
  <c r="AB83" i="24"/>
  <c r="F279" i="30"/>
  <c r="I279" i="30" s="1"/>
  <c r="H193" i="23"/>
  <c r="L193" i="23" s="1"/>
  <c r="AA240" i="21"/>
  <c r="AU240" i="21"/>
  <c r="AG240" i="21"/>
  <c r="P240" i="21"/>
  <c r="H251" i="23"/>
  <c r="AF32" i="24"/>
  <c r="H144" i="23"/>
  <c r="W144" i="2"/>
  <c r="U363" i="2"/>
  <c r="AN56" i="24" s="1"/>
  <c r="AT56" i="24"/>
  <c r="AX156" i="21"/>
  <c r="U156" i="21"/>
  <c r="Z156" i="21"/>
  <c r="S156" i="21"/>
  <c r="W156" i="21"/>
  <c r="V156" i="21"/>
  <c r="E312" i="30"/>
  <c r="J25" i="23"/>
  <c r="Y207" i="2"/>
  <c r="J345" i="26"/>
  <c r="F397" i="30"/>
  <c r="AG42" i="24"/>
  <c r="J294" i="26"/>
  <c r="R240" i="21"/>
  <c r="W240" i="21"/>
  <c r="L123" i="21"/>
  <c r="J375" i="26"/>
  <c r="J375" i="30"/>
  <c r="W269" i="2"/>
  <c r="Y428" i="2"/>
  <c r="AC428" i="2" s="1"/>
  <c r="AQ178" i="2"/>
  <c r="U178" i="23" s="1"/>
  <c r="AE52" i="24"/>
  <c r="J310" i="30"/>
  <c r="AG26" i="24"/>
  <c r="U352" i="2"/>
  <c r="AX64" i="24" s="1"/>
  <c r="U300" i="2"/>
  <c r="AX49" i="24" s="1"/>
  <c r="AO240" i="21"/>
  <c r="Y240" i="21"/>
  <c r="AE240" i="21"/>
  <c r="H269" i="23"/>
  <c r="Y144" i="2"/>
  <c r="U210" i="2"/>
  <c r="AB50" i="24"/>
  <c r="AB47" i="24"/>
  <c r="AB49" i="24"/>
  <c r="M162" i="21"/>
  <c r="AU162" i="21"/>
  <c r="K162" i="21"/>
  <c r="Y553" i="2"/>
  <c r="AC553" i="2" s="1"/>
  <c r="Y589" i="2"/>
  <c r="AC589" i="2" s="1"/>
  <c r="Y573" i="2"/>
  <c r="AC573" i="2" s="1"/>
  <c r="Y557" i="2"/>
  <c r="AC557" i="2" s="1"/>
  <c r="Y541" i="2"/>
  <c r="AC541" i="2" s="1"/>
  <c r="Y440" i="2"/>
  <c r="AC440" i="2" s="1"/>
  <c r="Y244" i="2"/>
  <c r="AC244" i="2" s="1"/>
  <c r="AC28" i="24"/>
  <c r="Y511" i="2"/>
  <c r="AC511" i="2" s="1"/>
  <c r="Y477" i="2"/>
  <c r="AC477" i="2" s="1"/>
  <c r="W248" i="2"/>
  <c r="AE252" i="21"/>
  <c r="AG252" i="21"/>
  <c r="AC252" i="21"/>
  <c r="AO252" i="21"/>
  <c r="AJ224" i="21"/>
  <c r="Y292" i="2"/>
  <c r="AC292" i="2" s="1"/>
  <c r="Y561" i="2"/>
  <c r="AC561" i="2" s="1"/>
  <c r="Y30" i="2"/>
  <c r="AC30" i="2" s="1"/>
  <c r="W519" i="2"/>
  <c r="W596" i="2"/>
  <c r="W588" i="2"/>
  <c r="W580" i="2"/>
  <c r="W572" i="2"/>
  <c r="W564" i="2"/>
  <c r="W556" i="2"/>
  <c r="W548" i="2"/>
  <c r="W540" i="2"/>
  <c r="W532" i="2"/>
  <c r="W510" i="2"/>
  <c r="W506" i="2"/>
  <c r="W465" i="2"/>
  <c r="W462" i="2"/>
  <c r="N222" i="21"/>
  <c r="O222" i="21" s="1"/>
  <c r="S222" i="21"/>
  <c r="W203" i="21"/>
  <c r="AI224" i="21"/>
  <c r="AV224" i="21"/>
  <c r="AS224" i="21"/>
  <c r="AX224" i="21"/>
  <c r="AO224" i="21"/>
  <c r="AN224" i="21"/>
  <c r="R224" i="21"/>
  <c r="H240" i="23"/>
  <c r="W240" i="2"/>
  <c r="AT106" i="24"/>
  <c r="U298" i="2"/>
  <c r="W298" i="2" s="1"/>
  <c r="N224" i="21"/>
  <c r="O224" i="21" s="1"/>
  <c r="Z260" i="2"/>
  <c r="O260" i="23" s="1"/>
  <c r="AE245" i="21"/>
  <c r="AU225" i="21"/>
  <c r="AQ211" i="21"/>
  <c r="AQ203" i="21"/>
  <c r="S203" i="21"/>
  <c r="Y522" i="2"/>
  <c r="AC522" i="2" s="1"/>
  <c r="Y488" i="2"/>
  <c r="AC488" i="2" s="1"/>
  <c r="Y447" i="2"/>
  <c r="AC447" i="2" s="1"/>
  <c r="Y384" i="2"/>
  <c r="AC384" i="2" s="1"/>
  <c r="W372" i="2"/>
  <c r="L171" i="21"/>
  <c r="U277" i="2"/>
  <c r="AN22" i="24" s="1"/>
  <c r="AB61" i="24"/>
  <c r="AB93" i="24"/>
  <c r="AB64" i="24"/>
  <c r="AG87" i="24"/>
  <c r="Y191" i="2"/>
  <c r="AC191" i="2" s="1"/>
  <c r="H225" i="23"/>
  <c r="AW36" i="24"/>
  <c r="W261" i="2"/>
  <c r="S302" i="30"/>
  <c r="AG86" i="24"/>
  <c r="J392" i="30"/>
  <c r="F397" i="26"/>
  <c r="AD31" i="24"/>
  <c r="AB66" i="24"/>
  <c r="Y484" i="2"/>
  <c r="AC484" i="2" s="1"/>
  <c r="AC32" i="24"/>
  <c r="Y224" i="21"/>
  <c r="AH224" i="21"/>
  <c r="Q224" i="21"/>
  <c r="Z224" i="21"/>
  <c r="AE224" i="21"/>
  <c r="J370" i="26"/>
  <c r="AP240" i="21"/>
  <c r="X240" i="21"/>
  <c r="V240" i="21"/>
  <c r="W214" i="2"/>
  <c r="U162" i="21"/>
  <c r="AR162" i="21"/>
  <c r="AB90" i="24"/>
  <c r="Y120" i="2"/>
  <c r="AC120" i="2" s="1"/>
  <c r="AT85" i="24"/>
  <c r="U366" i="2"/>
  <c r="AN85" i="24" s="1"/>
  <c r="AD106" i="24"/>
  <c r="T213" i="2"/>
  <c r="S394" i="32" s="1"/>
  <c r="AQ239" i="21"/>
  <c r="AA239" i="21"/>
  <c r="AX239" i="21"/>
  <c r="AC239" i="21"/>
  <c r="AV239" i="21"/>
  <c r="T239" i="21"/>
  <c r="AF239" i="21"/>
  <c r="AD239" i="21"/>
  <c r="AK239" i="21"/>
  <c r="U239" i="21"/>
  <c r="AT55" i="24"/>
  <c r="U350" i="2"/>
  <c r="AN55" i="24" s="1"/>
  <c r="F320" i="30"/>
  <c r="Y104" i="2"/>
  <c r="AC104" i="2" s="1"/>
  <c r="U231" i="2"/>
  <c r="AC57" i="24"/>
  <c r="J224" i="21"/>
  <c r="V224" i="21"/>
  <c r="X224" i="21"/>
  <c r="AK224" i="21"/>
  <c r="AU224" i="21"/>
  <c r="L24" i="21"/>
  <c r="W266" i="2"/>
  <c r="Y503" i="2"/>
  <c r="AC503" i="2" s="1"/>
  <c r="Y409" i="2"/>
  <c r="AC409" i="2" s="1"/>
  <c r="W262" i="2"/>
  <c r="W84" i="24" s="1"/>
  <c r="W207" i="2"/>
  <c r="W275" i="2"/>
  <c r="AN41" i="24"/>
  <c r="Y545" i="2"/>
  <c r="AC545" i="2" s="1"/>
  <c r="Y585" i="2"/>
  <c r="AC585" i="2" s="1"/>
  <c r="AT29" i="24"/>
  <c r="U346" i="2"/>
  <c r="Y346" i="2" s="1"/>
  <c r="AE162" i="21"/>
  <c r="X162" i="21"/>
  <c r="J162" i="21"/>
  <c r="AO162" i="21"/>
  <c r="J325" i="26"/>
  <c r="J323" i="26" s="1"/>
  <c r="AG60" i="24"/>
  <c r="J390" i="26"/>
  <c r="J390" i="30"/>
  <c r="AQ240" i="21"/>
  <c r="AW240" i="21"/>
  <c r="J240" i="21"/>
  <c r="AS240" i="21"/>
  <c r="AV240" i="21"/>
  <c r="U243" i="2"/>
  <c r="Y243" i="2" s="1"/>
  <c r="AC16" i="24"/>
  <c r="W52" i="2"/>
  <c r="H52" i="23"/>
  <c r="L52" i="23" s="1"/>
  <c r="G139" i="23"/>
  <c r="AQ139" i="2"/>
  <c r="U139" i="23" s="1"/>
  <c r="U201" i="2"/>
  <c r="W201" i="2" s="1"/>
  <c r="W62" i="24" s="1"/>
  <c r="AB62" i="24"/>
  <c r="AW69" i="24"/>
  <c r="AQ361" i="2"/>
  <c r="T79" i="26" s="1"/>
  <c r="AG156" i="21"/>
  <c r="AU156" i="21"/>
  <c r="T156" i="21"/>
  <c r="AD156" i="21"/>
  <c r="AH156" i="21"/>
  <c r="AF156" i="21"/>
  <c r="H146" i="23"/>
  <c r="Y146" i="2"/>
  <c r="AC146" i="2" s="1"/>
  <c r="L108" i="21"/>
  <c r="Y599" i="2"/>
  <c r="AC599" i="2" s="1"/>
  <c r="Y567" i="2"/>
  <c r="AC567" i="2" s="1"/>
  <c r="Y535" i="2"/>
  <c r="AC535" i="2" s="1"/>
  <c r="Y441" i="2"/>
  <c r="AC441" i="2" s="1"/>
  <c r="Y408" i="2"/>
  <c r="AC408" i="2" s="1"/>
  <c r="U312" i="2"/>
  <c r="AN53" i="24" s="1"/>
  <c r="L154" i="21"/>
  <c r="W170" i="2"/>
  <c r="AC42" i="24"/>
  <c r="L33" i="21"/>
  <c r="L17" i="21"/>
  <c r="W475" i="2"/>
  <c r="W139" i="2"/>
  <c r="W163" i="2"/>
  <c r="W75" i="2"/>
  <c r="W406" i="2"/>
  <c r="W432" i="2"/>
  <c r="W569" i="2"/>
  <c r="AQ174" i="2"/>
  <c r="U174" i="23" s="1"/>
  <c r="W537" i="2"/>
  <c r="Y145" i="2"/>
  <c r="R72" i="21"/>
  <c r="Y140" i="2"/>
  <c r="AC140" i="2" s="1"/>
  <c r="W460" i="2"/>
  <c r="W419" i="2"/>
  <c r="W512" i="2"/>
  <c r="W489" i="2"/>
  <c r="W507" i="2"/>
  <c r="W415" i="2"/>
  <c r="W561" i="2"/>
  <c r="W472" i="2"/>
  <c r="Y569" i="2"/>
  <c r="AC569" i="2" s="1"/>
  <c r="W527" i="2"/>
  <c r="W468" i="2"/>
  <c r="Y537" i="2"/>
  <c r="AC537" i="2" s="1"/>
  <c r="W464" i="2"/>
  <c r="W411" i="2"/>
  <c r="W553" i="2"/>
  <c r="W514" i="2"/>
  <c r="W592" i="2"/>
  <c r="W584" i="2"/>
  <c r="W576" i="2"/>
  <c r="W568" i="2"/>
  <c r="W560" i="2"/>
  <c r="W552" i="2"/>
  <c r="W544" i="2"/>
  <c r="W536" i="2"/>
  <c r="W463" i="2"/>
  <c r="W410" i="2"/>
  <c r="W545" i="2"/>
  <c r="W466" i="2"/>
  <c r="W427" i="2"/>
  <c r="W478" i="2"/>
  <c r="W403" i="2"/>
  <c r="W454" i="2"/>
  <c r="Z312" i="2"/>
  <c r="S251" i="21"/>
  <c r="AU251" i="21"/>
  <c r="AA251" i="21"/>
  <c r="AW251" i="21"/>
  <c r="X251" i="21"/>
  <c r="AN251" i="21"/>
  <c r="K256" i="21"/>
  <c r="AD256" i="21"/>
  <c r="AG92" i="24"/>
  <c r="AY240" i="21"/>
  <c r="AI240" i="21"/>
  <c r="S240" i="21"/>
  <c r="AL240" i="21"/>
  <c r="Q240" i="21"/>
  <c r="AF240" i="21"/>
  <c r="AK240" i="21"/>
  <c r="AX240" i="21"/>
  <c r="AH240" i="21"/>
  <c r="K240" i="21"/>
  <c r="U227" i="2"/>
  <c r="W227" i="2" s="1"/>
  <c r="W7" i="24" s="1"/>
  <c r="AB7" i="24"/>
  <c r="P156" i="21"/>
  <c r="AS156" i="21"/>
  <c r="AC156" i="21"/>
  <c r="K156" i="21"/>
  <c r="AE156" i="21"/>
  <c r="AT156" i="21"/>
  <c r="X156" i="21"/>
  <c r="AM156" i="21"/>
  <c r="R156" i="21"/>
  <c r="AA156" i="21"/>
  <c r="H142" i="23"/>
  <c r="W142" i="2"/>
  <c r="Y150" i="2"/>
  <c r="AA150" i="2" s="1"/>
  <c r="H154" i="23"/>
  <c r="W154" i="2"/>
  <c r="H158" i="23"/>
  <c r="W158" i="2"/>
  <c r="H162" i="23"/>
  <c r="W162" i="2"/>
  <c r="Y27" i="21"/>
  <c r="AO27" i="21"/>
  <c r="X27" i="21"/>
  <c r="AV27" i="21"/>
  <c r="AF27" i="21"/>
  <c r="M27" i="21"/>
  <c r="AM27" i="21"/>
  <c r="V27" i="21"/>
  <c r="H10" i="23"/>
  <c r="Y10" i="2"/>
  <c r="W10" i="2"/>
  <c r="U181" i="2"/>
  <c r="W181" i="2" s="1"/>
  <c r="W11" i="24" s="1"/>
  <c r="AB11" i="24"/>
  <c r="N251" i="21"/>
  <c r="O251" i="21" s="1"/>
  <c r="AE241" i="21"/>
  <c r="S237" i="21"/>
  <c r="AI211" i="21"/>
  <c r="W210" i="21"/>
  <c r="Y448" i="2"/>
  <c r="AC448" i="2" s="1"/>
  <c r="AY251" i="21"/>
  <c r="AP251" i="21"/>
  <c r="AK251" i="21"/>
  <c r="N256" i="21"/>
  <c r="O256" i="21" s="1"/>
  <c r="N211" i="21"/>
  <c r="O211" i="21" s="1"/>
  <c r="AM230" i="21"/>
  <c r="AA211" i="21"/>
  <c r="AI208" i="21"/>
  <c r="AC256" i="21"/>
  <c r="V256" i="21"/>
  <c r="AQ256" i="21"/>
  <c r="T256" i="21"/>
  <c r="AJ256" i="21"/>
  <c r="AS251" i="21"/>
  <c r="Z251" i="21"/>
  <c r="AG251" i="21"/>
  <c r="AB251" i="21"/>
  <c r="AR251" i="21"/>
  <c r="Y530" i="2"/>
  <c r="AC530" i="2" s="1"/>
  <c r="Y496" i="2"/>
  <c r="AC496" i="2" s="1"/>
  <c r="L163" i="21"/>
  <c r="Y275" i="2"/>
  <c r="AA275" i="2" s="1"/>
  <c r="L128" i="21"/>
  <c r="L18" i="21"/>
  <c r="AC84" i="24"/>
  <c r="J216" i="21"/>
  <c r="Y216" i="21"/>
  <c r="AH216" i="21"/>
  <c r="AC216" i="21"/>
  <c r="Q216" i="21"/>
  <c r="AS216" i="21"/>
  <c r="AF216" i="21"/>
  <c r="M216" i="21"/>
  <c r="AE216" i="21"/>
  <c r="AU216" i="21"/>
  <c r="W521" i="2"/>
  <c r="AD251" i="21"/>
  <c r="U251" i="21"/>
  <c r="M251" i="21"/>
  <c r="AT251" i="21"/>
  <c r="AC74" i="24"/>
  <c r="W215" i="2"/>
  <c r="L87" i="21"/>
  <c r="Y583" i="2"/>
  <c r="AC583" i="2" s="1"/>
  <c r="Y551" i="2"/>
  <c r="AC551" i="2" s="1"/>
  <c r="U324" i="2"/>
  <c r="Y324" i="2" s="1"/>
  <c r="AC324" i="2" s="1"/>
  <c r="U286" i="2"/>
  <c r="AN12" i="24" s="1"/>
  <c r="AB32" i="24"/>
  <c r="AC240" i="21"/>
  <c r="U240" i="21"/>
  <c r="AD240" i="21"/>
  <c r="AN240" i="21"/>
  <c r="AB240" i="21"/>
  <c r="M240" i="21"/>
  <c r="AM240" i="21"/>
  <c r="J305" i="26"/>
  <c r="L111" i="21"/>
  <c r="AT69" i="24"/>
  <c r="F390" i="30"/>
  <c r="AC95" i="24"/>
  <c r="Y100" i="2"/>
  <c r="Y52" i="2"/>
  <c r="M52" i="23" s="1"/>
  <c r="F381" i="26"/>
  <c r="F379" i="26" s="1"/>
  <c r="F378" i="26" s="1"/>
  <c r="H261" i="23"/>
  <c r="AA162" i="21"/>
  <c r="AC162" i="21"/>
  <c r="AG162" i="21"/>
  <c r="AP162" i="21"/>
  <c r="AJ162" i="21"/>
  <c r="AG63" i="24"/>
  <c r="J341" i="26"/>
  <c r="AP27" i="21"/>
  <c r="AQ237" i="21"/>
  <c r="W211" i="21"/>
  <c r="AY211" i="21"/>
  <c r="W388" i="2"/>
  <c r="Y371" i="2"/>
  <c r="AC371" i="2" s="1"/>
  <c r="AQ312" i="2"/>
  <c r="U311" i="23" s="1"/>
  <c r="AX251" i="21"/>
  <c r="AM251" i="21"/>
  <c r="R251" i="21"/>
  <c r="U306" i="2"/>
  <c r="W306" i="2" s="1"/>
  <c r="AY8" i="24" s="1"/>
  <c r="F287" i="26"/>
  <c r="F285" i="26" s="1"/>
  <c r="Y339" i="2"/>
  <c r="AC339" i="2" s="1"/>
  <c r="AM224" i="21"/>
  <c r="AQ224" i="21"/>
  <c r="S224" i="21"/>
  <c r="AF224" i="21"/>
  <c r="W232" i="2"/>
  <c r="W55" i="24" s="1"/>
  <c r="Y251" i="2"/>
  <c r="AT96" i="24"/>
  <c r="U351" i="2"/>
  <c r="AN96" i="24" s="1"/>
  <c r="Y331" i="2"/>
  <c r="AC331" i="2" s="1"/>
  <c r="Y125" i="2"/>
  <c r="M125" i="23" s="1"/>
  <c r="W80" i="2"/>
  <c r="W184" i="2"/>
  <c r="Y593" i="2"/>
  <c r="AC593" i="2" s="1"/>
  <c r="Y255" i="2"/>
  <c r="Y263" i="2"/>
  <c r="Y337" i="2"/>
  <c r="AC337" i="2" s="1"/>
  <c r="W359" i="2"/>
  <c r="Y319" i="2"/>
  <c r="AC319" i="2" s="1"/>
  <c r="W487" i="2"/>
  <c r="Y161" i="2"/>
  <c r="S294" i="30"/>
  <c r="AQ208" i="2"/>
  <c r="U208" i="23" s="1"/>
  <c r="U177" i="2"/>
  <c r="W177" i="2" s="1"/>
  <c r="W13" i="24" s="1"/>
  <c r="AC13" i="24"/>
  <c r="AW149" i="21"/>
  <c r="AF149" i="21"/>
  <c r="P149" i="21"/>
  <c r="AI149" i="21"/>
  <c r="AY149" i="21"/>
  <c r="AC149" i="21"/>
  <c r="AX149" i="21"/>
  <c r="AA149" i="21"/>
  <c r="U149" i="21"/>
  <c r="H107" i="23"/>
  <c r="W107" i="2"/>
  <c r="H94" i="23"/>
  <c r="W94" i="2"/>
  <c r="Y94" i="2"/>
  <c r="H70" i="23"/>
  <c r="L70" i="23" s="1"/>
  <c r="W70" i="2"/>
  <c r="Y70" i="2"/>
  <c r="AA70" i="2" s="1"/>
  <c r="AO42" i="21"/>
  <c r="AC42" i="21"/>
  <c r="H46" i="23"/>
  <c r="Y46" i="2"/>
  <c r="AD67" i="24"/>
  <c r="T175" i="2"/>
  <c r="U226" i="21"/>
  <c r="AY226" i="21"/>
  <c r="AI226" i="21"/>
  <c r="S226" i="21"/>
  <c r="AN226" i="21"/>
  <c r="R226" i="21"/>
  <c r="AG226" i="21"/>
  <c r="AT226" i="21"/>
  <c r="Q226" i="21"/>
  <c r="V226" i="21"/>
  <c r="AB226" i="21"/>
  <c r="AD94" i="24"/>
  <c r="T270" i="2"/>
  <c r="AG48" i="24"/>
  <c r="N210" i="21"/>
  <c r="O210" i="21" s="1"/>
  <c r="N226" i="21"/>
  <c r="O226" i="21" s="1"/>
  <c r="Z208" i="2"/>
  <c r="O208" i="23" s="1"/>
  <c r="N149" i="21"/>
  <c r="O149" i="21" s="1"/>
  <c r="AU245" i="21"/>
  <c r="AA245" i="21"/>
  <c r="AU238" i="21"/>
  <c r="AA238" i="21"/>
  <c r="AI230" i="21"/>
  <c r="S230" i="21"/>
  <c r="AM211" i="21"/>
  <c r="S211" i="21"/>
  <c r="AI210" i="21"/>
  <c r="S210" i="21"/>
  <c r="AU208" i="21"/>
  <c r="AA208" i="21"/>
  <c r="AI203" i="21"/>
  <c r="AE198" i="21"/>
  <c r="G255" i="21"/>
  <c r="AY203" i="21"/>
  <c r="AY230" i="21"/>
  <c r="W498" i="2"/>
  <c r="Y423" i="2"/>
  <c r="AC423" i="2" s="1"/>
  <c r="AE42" i="21"/>
  <c r="P42" i="21"/>
  <c r="AL42" i="21"/>
  <c r="Q42" i="21"/>
  <c r="AN42" i="21"/>
  <c r="V42" i="21"/>
  <c r="AM42" i="21"/>
  <c r="L187" i="21"/>
  <c r="L164" i="21"/>
  <c r="S294" i="26"/>
  <c r="AJ226" i="21"/>
  <c r="AK226" i="21"/>
  <c r="AL226" i="21"/>
  <c r="AO226" i="21"/>
  <c r="AC226" i="21"/>
  <c r="M226" i="21"/>
  <c r="AM226" i="21"/>
  <c r="AP149" i="21"/>
  <c r="AL149" i="21"/>
  <c r="W149" i="21"/>
  <c r="S149" i="21"/>
  <c r="AT149" i="21"/>
  <c r="AB149" i="21"/>
  <c r="W118" i="2"/>
  <c r="AQ51" i="2"/>
  <c r="U51" i="23" s="1"/>
  <c r="W11" i="2"/>
  <c r="AQ364" i="2"/>
  <c r="T22" i="26" s="1"/>
  <c r="W156" i="2"/>
  <c r="J335" i="26"/>
  <c r="AG64" i="24"/>
  <c r="AG76" i="24"/>
  <c r="W242" i="2"/>
  <c r="Y242" i="2"/>
  <c r="J293" i="30"/>
  <c r="AG31" i="24"/>
  <c r="H268" i="23"/>
  <c r="L268" i="23" s="1"/>
  <c r="W268" i="2"/>
  <c r="AT93" i="24"/>
  <c r="U338" i="2"/>
  <c r="AN93" i="24" s="1"/>
  <c r="G191" i="23"/>
  <c r="J191" i="23" s="1"/>
  <c r="AQ191" i="2"/>
  <c r="U191" i="23" s="1"/>
  <c r="U196" i="2"/>
  <c r="W196" i="2" s="1"/>
  <c r="W109" i="24" s="1"/>
  <c r="AC109" i="24"/>
  <c r="AQ78" i="2"/>
  <c r="U78" i="23" s="1"/>
  <c r="S319" i="30"/>
  <c r="F298" i="30"/>
  <c r="Y132" i="2"/>
  <c r="V132" i="21"/>
  <c r="AK132" i="21"/>
  <c r="AY135" i="21"/>
  <c r="AH135" i="21"/>
  <c r="R135" i="21"/>
  <c r="AE135" i="21"/>
  <c r="AT135" i="21"/>
  <c r="X135" i="21"/>
  <c r="AG135" i="21"/>
  <c r="AF135" i="21"/>
  <c r="AB135" i="21"/>
  <c r="P135" i="21"/>
  <c r="W185" i="2"/>
  <c r="L280" i="32" s="1"/>
  <c r="F280" i="30"/>
  <c r="AY236" i="21"/>
  <c r="AI236" i="21"/>
  <c r="S236" i="21"/>
  <c r="AL236" i="21"/>
  <c r="Q236" i="21"/>
  <c r="AF236" i="21"/>
  <c r="AH236" i="21"/>
  <c r="AD236" i="21"/>
  <c r="AK236" i="21"/>
  <c r="Y397" i="2"/>
  <c r="AC397" i="2" s="1"/>
  <c r="AV207" i="21"/>
  <c r="AM207" i="21"/>
  <c r="W207" i="21"/>
  <c r="AR207" i="21"/>
  <c r="V207" i="21"/>
  <c r="AN207" i="21"/>
  <c r="AS207" i="21"/>
  <c r="P207" i="21"/>
  <c r="AC207" i="21"/>
  <c r="AH207" i="21"/>
  <c r="H138" i="23"/>
  <c r="W138" i="2"/>
  <c r="Y138" i="2"/>
  <c r="Y165" i="2"/>
  <c r="AQ245" i="21"/>
  <c r="S245" i="21"/>
  <c r="AQ238" i="21"/>
  <c r="S238" i="21"/>
  <c r="AU230" i="21"/>
  <c r="AE230" i="21"/>
  <c r="AU215" i="21"/>
  <c r="AU210" i="21"/>
  <c r="AE210" i="21"/>
  <c r="AY245" i="21"/>
  <c r="AY215" i="21"/>
  <c r="M42" i="21"/>
  <c r="AK42" i="21"/>
  <c r="U42" i="21"/>
  <c r="AR42" i="21"/>
  <c r="W42" i="21"/>
  <c r="AS42" i="21"/>
  <c r="Z42" i="21"/>
  <c r="AQ42" i="21"/>
  <c r="L124" i="21"/>
  <c r="AP226" i="21"/>
  <c r="AR226" i="21"/>
  <c r="J226" i="21"/>
  <c r="AV226" i="21"/>
  <c r="AH226" i="21"/>
  <c r="W226" i="21"/>
  <c r="AQ226" i="21"/>
  <c r="AJ42" i="21"/>
  <c r="L119" i="21"/>
  <c r="AE149" i="21"/>
  <c r="Q149" i="21"/>
  <c r="AQ149" i="21"/>
  <c r="AH149" i="21"/>
  <c r="Y149" i="21"/>
  <c r="J149" i="21"/>
  <c r="AJ149" i="21"/>
  <c r="S256" i="21"/>
  <c r="N20" i="23"/>
  <c r="Y184" i="2"/>
  <c r="AC184" i="2" s="1"/>
  <c r="Y80" i="2"/>
  <c r="AC80" i="2" s="1"/>
  <c r="G243" i="21"/>
  <c r="G230" i="21"/>
  <c r="AC20" i="24"/>
  <c r="U238" i="2"/>
  <c r="W238" i="2" s="1"/>
  <c r="W20" i="24" s="1"/>
  <c r="AC89" i="24"/>
  <c r="AB89" i="24"/>
  <c r="U222" i="2"/>
  <c r="AC80" i="24"/>
  <c r="U206" i="2"/>
  <c r="AC49" i="24"/>
  <c r="AI162" i="21"/>
  <c r="AQ162" i="21"/>
  <c r="W162" i="21"/>
  <c r="AH162" i="21"/>
  <c r="AX162" i="21"/>
  <c r="V162" i="21"/>
  <c r="AF162" i="21"/>
  <c r="T162" i="21"/>
  <c r="L50" i="21"/>
  <c r="N230" i="21"/>
  <c r="O230" i="21" s="1"/>
  <c r="N238" i="21"/>
  <c r="O238" i="21" s="1"/>
  <c r="AU243" i="21"/>
  <c r="AQ230" i="21"/>
  <c r="AQ210" i="21"/>
  <c r="L125" i="21"/>
  <c r="L246" i="21"/>
  <c r="S42" i="21"/>
  <c r="Y495" i="2"/>
  <c r="AC495" i="2" s="1"/>
  <c r="G208" i="23"/>
  <c r="S208" i="23" s="1"/>
  <c r="P226" i="21"/>
  <c r="Y226" i="21"/>
  <c r="T226" i="21"/>
  <c r="K226" i="21"/>
  <c r="AS226" i="21"/>
  <c r="AA226" i="21"/>
  <c r="AU226" i="21"/>
  <c r="Z149" i="21"/>
  <c r="K42" i="21"/>
  <c r="AB13" i="24"/>
  <c r="M149" i="21"/>
  <c r="V149" i="21"/>
  <c r="K149" i="21"/>
  <c r="AM149" i="21"/>
  <c r="AD149" i="21"/>
  <c r="T149" i="21"/>
  <c r="AN149" i="21"/>
  <c r="W110" i="2"/>
  <c r="W30" i="2"/>
  <c r="W493" i="2"/>
  <c r="AY256" i="21"/>
  <c r="L116" i="21"/>
  <c r="G125" i="23"/>
  <c r="N125" i="23" s="1"/>
  <c r="H184" i="23"/>
  <c r="L184" i="23" s="1"/>
  <c r="W330" i="2"/>
  <c r="W503" i="2"/>
  <c r="E290" i="30"/>
  <c r="Y435" i="2"/>
  <c r="AC435" i="2" s="1"/>
  <c r="Y217" i="2"/>
  <c r="AA217" i="2" s="1"/>
  <c r="Y209" i="2"/>
  <c r="W209" i="2"/>
  <c r="U202" i="2"/>
  <c r="AC75" i="24"/>
  <c r="U198" i="2"/>
  <c r="AB48" i="24"/>
  <c r="Y239" i="2"/>
  <c r="W416" i="2"/>
  <c r="W333" i="2"/>
  <c r="Y412" i="2"/>
  <c r="AC412" i="2" s="1"/>
  <c r="W348" i="2"/>
  <c r="Y133" i="2"/>
  <c r="AA133" i="2" s="1"/>
  <c r="W143" i="2"/>
  <c r="W147" i="2"/>
  <c r="W186" i="2"/>
  <c r="L281" i="32" s="1"/>
  <c r="Y154" i="2"/>
  <c r="L193" i="21"/>
  <c r="L26" i="21"/>
  <c r="L105" i="21"/>
  <c r="Y517" i="2"/>
  <c r="AC517" i="2" s="1"/>
  <c r="Y471" i="2"/>
  <c r="AC471" i="2" s="1"/>
  <c r="Y389" i="2"/>
  <c r="AC389" i="2" s="1"/>
  <c r="U290" i="2"/>
  <c r="AN54" i="24" s="1"/>
  <c r="W236" i="2"/>
  <c r="AG224" i="21"/>
  <c r="T224" i="21"/>
  <c r="AW224" i="21"/>
  <c r="AR224" i="21"/>
  <c r="AD224" i="21"/>
  <c r="U224" i="21"/>
  <c r="AP224" i="21"/>
  <c r="W224" i="21"/>
  <c r="U378" i="2"/>
  <c r="AN32" i="24" s="1"/>
  <c r="L86" i="21"/>
  <c r="W335" i="2"/>
  <c r="Y236" i="2"/>
  <c r="Y193" i="2"/>
  <c r="W317" i="2"/>
  <c r="Y329" i="2"/>
  <c r="AC329" i="2" s="1"/>
  <c r="Y577" i="2"/>
  <c r="AC577" i="2" s="1"/>
  <c r="Y142" i="2"/>
  <c r="Y62" i="2"/>
  <c r="AA62" i="2" s="1"/>
  <c r="G209" i="21"/>
  <c r="Y529" i="2"/>
  <c r="AC529" i="2" s="1"/>
  <c r="L209" i="30"/>
  <c r="N209" i="30" s="1"/>
  <c r="AE243" i="21"/>
  <c r="AE237" i="21"/>
  <c r="AE222" i="21"/>
  <c r="AE209" i="21"/>
  <c r="L218" i="21"/>
  <c r="L45" i="21"/>
  <c r="W442" i="2"/>
  <c r="Y442" i="2"/>
  <c r="AC442" i="2" s="1"/>
  <c r="Y194" i="2"/>
  <c r="W194" i="2"/>
  <c r="U208" i="2"/>
  <c r="F294" i="32" s="1"/>
  <c r="AC26" i="24"/>
  <c r="U221" i="2"/>
  <c r="AC72" i="24"/>
  <c r="G267" i="23"/>
  <c r="N267" i="23" s="1"/>
  <c r="AQ267" i="2"/>
  <c r="U267" i="23" s="1"/>
  <c r="S395" i="30"/>
  <c r="AT67" i="24"/>
  <c r="U313" i="2"/>
  <c r="AN67" i="24" s="1"/>
  <c r="AV87" i="24"/>
  <c r="T321" i="2"/>
  <c r="AK321" i="2" s="1"/>
  <c r="AT88" i="24"/>
  <c r="U327" i="2"/>
  <c r="AN88" i="24" s="1"/>
  <c r="AY233" i="21"/>
  <c r="AI233" i="21"/>
  <c r="S233" i="21"/>
  <c r="AK233" i="21"/>
  <c r="AN233" i="21"/>
  <c r="AX233" i="21"/>
  <c r="P233" i="21"/>
  <c r="U233" i="21"/>
  <c r="AB233" i="21"/>
  <c r="Q233" i="21"/>
  <c r="AH233" i="21"/>
  <c r="H220" i="23"/>
  <c r="W220" i="2"/>
  <c r="F392" i="26"/>
  <c r="H254" i="23"/>
  <c r="W254" i="2"/>
  <c r="W322" i="2"/>
  <c r="Y322" i="2"/>
  <c r="AC322" i="2" s="1"/>
  <c r="AV32" i="24"/>
  <c r="T378" i="2"/>
  <c r="AK378" i="2" s="1"/>
  <c r="H24" i="23"/>
  <c r="W24" i="2"/>
  <c r="Y24" i="2"/>
  <c r="Y32" i="2"/>
  <c r="H32" i="23"/>
  <c r="L32" i="23" s="1"/>
  <c r="H40" i="23"/>
  <c r="W40" i="2"/>
  <c r="Y40" i="2"/>
  <c r="Y48" i="2"/>
  <c r="H48" i="23"/>
  <c r="L48" i="23" s="1"/>
  <c r="H53" i="23"/>
  <c r="L53" i="23" s="1"/>
  <c r="W53" i="2"/>
  <c r="Y53" i="2"/>
  <c r="G58" i="23"/>
  <c r="AQ58" i="2"/>
  <c r="U58" i="23" s="1"/>
  <c r="Y64" i="2"/>
  <c r="AC64" i="2" s="1"/>
  <c r="H64" i="23"/>
  <c r="L64" i="23" s="1"/>
  <c r="G70" i="23"/>
  <c r="J70" i="23" s="1"/>
  <c r="AQ70" i="2"/>
  <c r="U70" i="23" s="1"/>
  <c r="W76" i="2"/>
  <c r="Y76" i="2"/>
  <c r="H81" i="23"/>
  <c r="L81" i="23" s="1"/>
  <c r="W81" i="2"/>
  <c r="H88" i="23"/>
  <c r="W88" i="2"/>
  <c r="Y88" i="2"/>
  <c r="Y96" i="2"/>
  <c r="H96" i="23"/>
  <c r="L96" i="23" s="1"/>
  <c r="H101" i="23"/>
  <c r="W101" i="2"/>
  <c r="Y101" i="2"/>
  <c r="H108" i="23"/>
  <c r="W108" i="2"/>
  <c r="W116" i="2"/>
  <c r="Y116" i="2"/>
  <c r="H121" i="23"/>
  <c r="W121" i="2"/>
  <c r="Y121" i="2"/>
  <c r="H128" i="23"/>
  <c r="W128" i="2"/>
  <c r="Y128" i="2"/>
  <c r="J304" i="30"/>
  <c r="J343" i="26"/>
  <c r="Y134" i="2"/>
  <c r="H141" i="23"/>
  <c r="W141" i="2"/>
  <c r="Y174" i="2"/>
  <c r="W174" i="2"/>
  <c r="W187" i="2"/>
  <c r="J332" i="26"/>
  <c r="J332" i="30"/>
  <c r="U213" i="2"/>
  <c r="AC106" i="24"/>
  <c r="AD60" i="24"/>
  <c r="T218" i="2"/>
  <c r="G247" i="23"/>
  <c r="AQ247" i="2"/>
  <c r="U247" i="23" s="1"/>
  <c r="S391" i="30"/>
  <c r="W267" i="2"/>
  <c r="L395" i="32" s="1"/>
  <c r="H267" i="23"/>
  <c r="AV95" i="24"/>
  <c r="T311" i="2"/>
  <c r="AK311" i="2" s="1"/>
  <c r="AV89" i="24"/>
  <c r="T325" i="2"/>
  <c r="AK325" i="2" s="1"/>
  <c r="W343" i="2"/>
  <c r="Y343" i="2"/>
  <c r="AC343" i="2" s="1"/>
  <c r="Y387" i="2"/>
  <c r="AC387" i="2" s="1"/>
  <c r="W525" i="2"/>
  <c r="Y525" i="2"/>
  <c r="AC525" i="2" s="1"/>
  <c r="W136" i="2"/>
  <c r="Y136" i="2"/>
  <c r="AC136" i="2" s="1"/>
  <c r="AM232" i="21"/>
  <c r="W232" i="21"/>
  <c r="AP232" i="21"/>
  <c r="U232" i="21"/>
  <c r="AG232" i="21"/>
  <c r="AS232" i="21"/>
  <c r="Q232" i="21"/>
  <c r="AC232" i="21"/>
  <c r="T232" i="21"/>
  <c r="AY232" i="21"/>
  <c r="AI232" i="21"/>
  <c r="S232" i="21"/>
  <c r="AK232" i="21"/>
  <c r="P232" i="21"/>
  <c r="Y232" i="21"/>
  <c r="AL232" i="21"/>
  <c r="AX232" i="21"/>
  <c r="V232" i="21"/>
  <c r="AO232" i="21"/>
  <c r="AU232" i="21"/>
  <c r="AE232" i="21"/>
  <c r="M232" i="21"/>
  <c r="AF232" i="21"/>
  <c r="AT232" i="21"/>
  <c r="R232" i="21"/>
  <c r="AD232" i="21"/>
  <c r="AR232" i="21"/>
  <c r="AB232" i="21"/>
  <c r="K232" i="21"/>
  <c r="U178" i="2"/>
  <c r="AB52" i="24"/>
  <c r="L204" i="21"/>
  <c r="AU241" i="21"/>
  <c r="AU237" i="21"/>
  <c r="AA237" i="21"/>
  <c r="AU222" i="21"/>
  <c r="AA222" i="21"/>
  <c r="AU211" i="21"/>
  <c r="AU209" i="21"/>
  <c r="AA209" i="21"/>
  <c r="AU203" i="21"/>
  <c r="AY208" i="21"/>
  <c r="L228" i="21"/>
  <c r="Y480" i="2"/>
  <c r="AC480" i="2" s="1"/>
  <c r="W480" i="2"/>
  <c r="L235" i="21"/>
  <c r="L31" i="21"/>
  <c r="W449" i="2"/>
  <c r="Y422" i="2"/>
  <c r="AC422" i="2" s="1"/>
  <c r="W289" i="2"/>
  <c r="AB72" i="24"/>
  <c r="AQ203" i="2"/>
  <c r="U203" i="23" s="1"/>
  <c r="F392" i="30"/>
  <c r="S391" i="26"/>
  <c r="W96" i="2"/>
  <c r="J351" i="26"/>
  <c r="J348" i="26" s="1"/>
  <c r="J347" i="26" s="1"/>
  <c r="AG80" i="24"/>
  <c r="AG104" i="24"/>
  <c r="AG93" i="24"/>
  <c r="J371" i="30"/>
  <c r="AJ252" i="21"/>
  <c r="T252" i="21"/>
  <c r="AT252" i="21"/>
  <c r="Y252" i="21"/>
  <c r="AK252" i="21"/>
  <c r="AS252" i="21"/>
  <c r="AP252" i="21"/>
  <c r="AM252" i="21"/>
  <c r="AW252" i="21"/>
  <c r="AR252" i="21"/>
  <c r="AB252" i="21"/>
  <c r="J252" i="21"/>
  <c r="AI252" i="21"/>
  <c r="AX252" i="21"/>
  <c r="V252" i="21"/>
  <c r="Z252" i="21"/>
  <c r="W252" i="21"/>
  <c r="AL252" i="21"/>
  <c r="AU252" i="21"/>
  <c r="U252" i="2"/>
  <c r="AC56" i="24"/>
  <c r="Y267" i="2"/>
  <c r="AT13" i="24"/>
  <c r="U285" i="2"/>
  <c r="AN13" i="24" s="1"/>
  <c r="AT65" i="24"/>
  <c r="U293" i="2"/>
  <c r="AV75" i="24"/>
  <c r="T299" i="2"/>
  <c r="AK299" i="2" s="1"/>
  <c r="AT74" i="24"/>
  <c r="U309" i="2"/>
  <c r="AN74" i="24" s="1"/>
  <c r="AV44" i="24"/>
  <c r="T323" i="2"/>
  <c r="AK323" i="2" s="1"/>
  <c r="W360" i="2"/>
  <c r="Y360" i="2"/>
  <c r="AC360" i="2" s="1"/>
  <c r="Y373" i="2"/>
  <c r="AC373" i="2" s="1"/>
  <c r="AT52" i="24"/>
  <c r="U291" i="2"/>
  <c r="AN52" i="24" s="1"/>
  <c r="AT20" i="24"/>
  <c r="U271" i="2"/>
  <c r="Y271" i="2" s="1"/>
  <c r="AV88" i="24"/>
  <c r="T327" i="2"/>
  <c r="AK327" i="2" s="1"/>
  <c r="Y256" i="2"/>
  <c r="W256" i="2"/>
  <c r="U189" i="2"/>
  <c r="AC71" i="24"/>
  <c r="AQ277" i="2"/>
  <c r="U277" i="23" s="1"/>
  <c r="AW22" i="24"/>
  <c r="Y460" i="2"/>
  <c r="AC460" i="2" s="1"/>
  <c r="W438" i="2"/>
  <c r="Y438" i="2"/>
  <c r="AC438" i="2" s="1"/>
  <c r="L68" i="21"/>
  <c r="U304" i="2"/>
  <c r="AN72" i="24" s="1"/>
  <c r="AQ253" i="2"/>
  <c r="S395" i="26"/>
  <c r="W420" i="2"/>
  <c r="AT91" i="24"/>
  <c r="U362" i="2"/>
  <c r="AN91" i="24" s="1"/>
  <c r="W334" i="2"/>
  <c r="Y334" i="2"/>
  <c r="AC334" i="2" s="1"/>
  <c r="Y317" i="2"/>
  <c r="AC317" i="2" s="1"/>
  <c r="AT39" i="24"/>
  <c r="U284" i="2"/>
  <c r="W284" i="2" s="1"/>
  <c r="AY39" i="24" s="1"/>
  <c r="Y262" i="2"/>
  <c r="M262" i="23" s="1"/>
  <c r="H262" i="23"/>
  <c r="AF84" i="24"/>
  <c r="AH256" i="21"/>
  <c r="AO256" i="21"/>
  <c r="AT256" i="21"/>
  <c r="AK256" i="21"/>
  <c r="Y256" i="21"/>
  <c r="AE256" i="21"/>
  <c r="Z256" i="21"/>
  <c r="R256" i="21"/>
  <c r="J256" i="21"/>
  <c r="M256" i="21"/>
  <c r="W256" i="21"/>
  <c r="AM256" i="21"/>
  <c r="AU256" i="21"/>
  <c r="W247" i="2"/>
  <c r="L391" i="32" s="1"/>
  <c r="F391" i="30"/>
  <c r="U235" i="2"/>
  <c r="AB58" i="24"/>
  <c r="U223" i="2"/>
  <c r="AB77" i="24"/>
  <c r="AG109" i="24"/>
  <c r="J287" i="30"/>
  <c r="J285" i="30" s="1"/>
  <c r="W192" i="2"/>
  <c r="Y192" i="2"/>
  <c r="W188" i="2"/>
  <c r="Y188" i="2"/>
  <c r="Y81" i="2"/>
  <c r="L38" i="21"/>
  <c r="L134" i="21"/>
  <c r="L172" i="21"/>
  <c r="J55" i="27"/>
  <c r="K242" i="26"/>
  <c r="K55" i="27" s="1"/>
  <c r="W409" i="2"/>
  <c r="AW59" i="24"/>
  <c r="AQ353" i="2"/>
  <c r="T110" i="26" s="1"/>
  <c r="AD95" i="24"/>
  <c r="T246" i="2"/>
  <c r="Y289" i="2"/>
  <c r="G245" i="21"/>
  <c r="W255" i="2"/>
  <c r="L393" i="32" s="1"/>
  <c r="AV49" i="24"/>
  <c r="T300" i="2"/>
  <c r="AK300" i="2" s="1"/>
  <c r="R299" i="23" s="1"/>
  <c r="AT71" i="24"/>
  <c r="U305" i="2"/>
  <c r="W319" i="2"/>
  <c r="AT44" i="24"/>
  <c r="U323" i="2"/>
  <c r="AN44" i="24" s="1"/>
  <c r="W337" i="2"/>
  <c r="Y401" i="2"/>
  <c r="H25" i="23"/>
  <c r="L25" i="23" s="1"/>
  <c r="W25" i="2"/>
  <c r="H33" i="23"/>
  <c r="L33" i="23" s="1"/>
  <c r="W33" i="2"/>
  <c r="H41" i="23"/>
  <c r="W41" i="2"/>
  <c r="H49" i="23"/>
  <c r="W49" i="2"/>
  <c r="G54" i="23"/>
  <c r="J54" i="23" s="1"/>
  <c r="AQ54" i="2"/>
  <c r="U54" i="23" s="1"/>
  <c r="H65" i="23"/>
  <c r="L65" i="23" s="1"/>
  <c r="W65" i="2"/>
  <c r="H77" i="23"/>
  <c r="W77" i="2"/>
  <c r="G82" i="23"/>
  <c r="AQ82" i="2"/>
  <c r="U82" i="23" s="1"/>
  <c r="H89" i="23"/>
  <c r="W89" i="2"/>
  <c r="H97" i="23"/>
  <c r="L97" i="23" s="1"/>
  <c r="W97" i="2"/>
  <c r="H109" i="23"/>
  <c r="L109" i="23" s="1"/>
  <c r="W109" i="2"/>
  <c r="H129" i="23"/>
  <c r="W129" i="2"/>
  <c r="Y214" i="2"/>
  <c r="AD73" i="24"/>
  <c r="T224" i="2"/>
  <c r="Y406" i="2"/>
  <c r="AC406" i="2" s="1"/>
  <c r="W421" i="2"/>
  <c r="Y432" i="2"/>
  <c r="AC432" i="2" s="1"/>
  <c r="Y454" i="2"/>
  <c r="AC454" i="2" s="1"/>
  <c r="Y487" i="2"/>
  <c r="AC487" i="2" s="1"/>
  <c r="W134" i="2"/>
  <c r="AT76" i="24"/>
  <c r="U297" i="2"/>
  <c r="AN76" i="24" s="1"/>
  <c r="Y117" i="2"/>
  <c r="Y109" i="2"/>
  <c r="Y77" i="2"/>
  <c r="W149" i="2"/>
  <c r="L339" i="32" s="1"/>
  <c r="W161" i="2"/>
  <c r="W169" i="2"/>
  <c r="L16" i="21"/>
  <c r="L56" i="27"/>
  <c r="L242" i="26"/>
  <c r="L55" i="27" s="1"/>
  <c r="AV10" i="24"/>
  <c r="T282" i="2"/>
  <c r="AK282" i="2" s="1"/>
  <c r="AT36" i="24"/>
  <c r="U301" i="2"/>
  <c r="AV25" i="24"/>
  <c r="T307" i="2"/>
  <c r="AK307" i="2" s="1"/>
  <c r="AT89" i="24"/>
  <c r="U325" i="2"/>
  <c r="Y190" i="2"/>
  <c r="H239" i="23"/>
  <c r="W239" i="2"/>
  <c r="AV77" i="24"/>
  <c r="T302" i="2"/>
  <c r="AK302" i="2" s="1"/>
  <c r="R301" i="23" s="1"/>
  <c r="AT43" i="24"/>
  <c r="U315" i="2"/>
  <c r="W329" i="2"/>
  <c r="Y345" i="2"/>
  <c r="AC345" i="2" s="1"/>
  <c r="Y367" i="2"/>
  <c r="AC367" i="2" s="1"/>
  <c r="H217" i="23"/>
  <c r="W217" i="2"/>
  <c r="Y268" i="2"/>
  <c r="Y333" i="2"/>
  <c r="AC333" i="2" s="1"/>
  <c r="G50" i="23"/>
  <c r="AQ50" i="2"/>
  <c r="U50" i="23" s="1"/>
  <c r="H61" i="23"/>
  <c r="W61" i="2"/>
  <c r="H73" i="23"/>
  <c r="L73" i="23" s="1"/>
  <c r="W73" i="2"/>
  <c r="H105" i="23"/>
  <c r="L105" i="23" s="1"/>
  <c r="W105" i="2"/>
  <c r="G118" i="23"/>
  <c r="J118" i="23" s="1"/>
  <c r="AQ118" i="2"/>
  <c r="U118" i="23" s="1"/>
  <c r="H125" i="23"/>
  <c r="W125" i="2"/>
  <c r="H157" i="23"/>
  <c r="W157" i="2"/>
  <c r="W241" i="2"/>
  <c r="W21" i="24" s="1"/>
  <c r="AT75" i="24"/>
  <c r="U299" i="2"/>
  <c r="AT100" i="24"/>
  <c r="U368" i="2"/>
  <c r="AN100" i="24" s="1"/>
  <c r="Y141" i="2"/>
  <c r="Y157" i="2"/>
  <c r="Y173" i="2"/>
  <c r="W331" i="2"/>
  <c r="Y162" i="2"/>
  <c r="AA162" i="2" s="1"/>
  <c r="Y240" i="2"/>
  <c r="W153" i="2"/>
  <c r="W600" i="2"/>
  <c r="W518" i="2"/>
  <c r="Y476" i="2"/>
  <c r="AC476" i="2" s="1"/>
  <c r="W456" i="2"/>
  <c r="Y355" i="2"/>
  <c r="AC355" i="2" s="1"/>
  <c r="L120" i="21"/>
  <c r="L97" i="21"/>
  <c r="L84" i="21"/>
  <c r="L23" i="21"/>
  <c r="L3" i="21"/>
  <c r="W597" i="2"/>
  <c r="Y513" i="2"/>
  <c r="AC513" i="2" s="1"/>
  <c r="Y491" i="2"/>
  <c r="AC491" i="2" s="1"/>
  <c r="U314" i="2"/>
  <c r="AN101" i="24" s="1"/>
  <c r="U302" i="2"/>
  <c r="AN77" i="24" s="1"/>
  <c r="U280" i="2"/>
  <c r="AN15" i="24" s="1"/>
  <c r="U226" i="2"/>
  <c r="H226" i="23" s="1"/>
  <c r="L226" i="23" s="1"/>
  <c r="AD162" i="21"/>
  <c r="P162" i="21"/>
  <c r="AK162" i="21"/>
  <c r="Q162" i="21"/>
  <c r="AL162" i="21"/>
  <c r="R162" i="21"/>
  <c r="AN162" i="21"/>
  <c r="S162" i="21"/>
  <c r="L40" i="21"/>
  <c r="W441" i="2"/>
  <c r="L199" i="21"/>
  <c r="L103" i="21"/>
  <c r="L94" i="21"/>
  <c r="L110" i="21"/>
  <c r="L115" i="21"/>
  <c r="G222" i="21"/>
  <c r="W428" i="2"/>
  <c r="W412" i="2"/>
  <c r="Y403" i="2"/>
  <c r="AC403" i="2" s="1"/>
  <c r="AV83" i="24"/>
  <c r="T365" i="2"/>
  <c r="AK365" i="2" s="1"/>
  <c r="W357" i="2"/>
  <c r="AT95" i="24"/>
  <c r="U311" i="2"/>
  <c r="AN95" i="24" s="1"/>
  <c r="AT26" i="24"/>
  <c r="U303" i="2"/>
  <c r="AN26" i="24" s="1"/>
  <c r="Y248" i="2"/>
  <c r="W219" i="2"/>
  <c r="L335" i="32" s="1"/>
  <c r="W244" i="2"/>
  <c r="W28" i="24" s="1"/>
  <c r="Y247" i="2"/>
  <c r="AT92" i="24"/>
  <c r="U358" i="2"/>
  <c r="Y393" i="2"/>
  <c r="AC393" i="2" s="1"/>
  <c r="AV60" i="24"/>
  <c r="T316" i="2"/>
  <c r="AK316" i="2" s="1"/>
  <c r="W193" i="2"/>
  <c r="L279" i="32" s="1"/>
  <c r="AD75" i="24"/>
  <c r="T202" i="2"/>
  <c r="S332" i="32" s="1"/>
  <c r="W251" i="2"/>
  <c r="L397" i="32" s="1"/>
  <c r="W265" i="2"/>
  <c r="W44" i="24" s="1"/>
  <c r="AT14" i="24"/>
  <c r="U274" i="2"/>
  <c r="Y274" i="2" s="1"/>
  <c r="AV104" i="24"/>
  <c r="T294" i="2"/>
  <c r="AK294" i="2" s="1"/>
  <c r="R293" i="23" s="1"/>
  <c r="Y335" i="2"/>
  <c r="AC335" i="2" s="1"/>
  <c r="Y359" i="2"/>
  <c r="AC359" i="2" s="1"/>
  <c r="AD50" i="24"/>
  <c r="T210" i="2"/>
  <c r="AD64" i="24"/>
  <c r="T219" i="2"/>
  <c r="AT78" i="24"/>
  <c r="U295" i="2"/>
  <c r="AN78" i="24" s="1"/>
  <c r="AT25" i="24"/>
  <c r="U307" i="2"/>
  <c r="W339" i="2"/>
  <c r="AT66" i="24"/>
  <c r="U386" i="2"/>
  <c r="AX66" i="24" s="1"/>
  <c r="G22" i="23"/>
  <c r="J22" i="23" s="1"/>
  <c r="AQ22" i="2"/>
  <c r="U22" i="23" s="1"/>
  <c r="H29" i="23"/>
  <c r="L29" i="23" s="1"/>
  <c r="W29" i="2"/>
  <c r="H37" i="23"/>
  <c r="W37" i="2"/>
  <c r="H45" i="23"/>
  <c r="W45" i="2"/>
  <c r="H57" i="23"/>
  <c r="W57" i="2"/>
  <c r="G62" i="23"/>
  <c r="AQ62" i="2"/>
  <c r="U62" i="23" s="1"/>
  <c r="H69" i="23"/>
  <c r="W69" i="2"/>
  <c r="G74" i="23"/>
  <c r="AQ74" i="2"/>
  <c r="U74" i="23" s="1"/>
  <c r="H85" i="23"/>
  <c r="L85" i="23" s="1"/>
  <c r="W85" i="2"/>
  <c r="H93" i="23"/>
  <c r="W93" i="2"/>
  <c r="G106" i="23"/>
  <c r="AQ106" i="2"/>
  <c r="U106" i="23" s="1"/>
  <c r="H113" i="23"/>
  <c r="W113" i="2"/>
  <c r="G126" i="23"/>
  <c r="AQ126" i="2"/>
  <c r="U126" i="23" s="1"/>
  <c r="H133" i="23"/>
  <c r="W133" i="2"/>
  <c r="H173" i="23"/>
  <c r="W173" i="2"/>
  <c r="W263" i="2"/>
  <c r="L396" i="32" s="1"/>
  <c r="AT16" i="24"/>
  <c r="U287" i="2"/>
  <c r="AV74" i="24"/>
  <c r="T309" i="2"/>
  <c r="AK309" i="2" s="1"/>
  <c r="R308" i="23" s="1"/>
  <c r="AT87" i="24"/>
  <c r="U321" i="2"/>
  <c r="Y418" i="2"/>
  <c r="AC418" i="2" s="1"/>
  <c r="Y425" i="2"/>
  <c r="AC425" i="2" s="1"/>
  <c r="Y185" i="2"/>
  <c r="Y37" i="2"/>
  <c r="Y416" i="2"/>
  <c r="AC416" i="2" s="1"/>
  <c r="Y170" i="2"/>
  <c r="Y129" i="2"/>
  <c r="Y97" i="2"/>
  <c r="Y89" i="2"/>
  <c r="Y65" i="2"/>
  <c r="Y49" i="2"/>
  <c r="Y41" i="2"/>
  <c r="Y33" i="2"/>
  <c r="AA33" i="2" s="1"/>
  <c r="Y25" i="2"/>
  <c r="W165" i="2"/>
  <c r="W145" i="2"/>
  <c r="W137" i="2"/>
  <c r="L365" i="32" s="1"/>
  <c r="L175" i="26"/>
  <c r="L30" i="27" s="1"/>
  <c r="L234" i="30"/>
  <c r="L233" i="30" s="1"/>
  <c r="J64" i="27"/>
  <c r="L264" i="26"/>
  <c r="L188" i="26"/>
  <c r="L33" i="27" s="1"/>
  <c r="N147" i="26"/>
  <c r="N23" i="27" s="1"/>
  <c r="L180" i="30"/>
  <c r="N180" i="30" s="1"/>
  <c r="N176" i="26"/>
  <c r="N175" i="26" s="1"/>
  <c r="N30" i="27" s="1"/>
  <c r="K75" i="26"/>
  <c r="K14" i="27" s="1"/>
  <c r="J23" i="27"/>
  <c r="L75" i="30"/>
  <c r="N75" i="30" s="1"/>
  <c r="N70" i="27"/>
  <c r="L75" i="26"/>
  <c r="N75" i="26" s="1"/>
  <c r="N14" i="27" s="1"/>
  <c r="J241" i="30"/>
  <c r="K241" i="30" s="1"/>
  <c r="L140" i="30"/>
  <c r="L139" i="30" s="1"/>
  <c r="N244" i="30"/>
  <c r="L251" i="30"/>
  <c r="N251" i="30" s="1"/>
  <c r="L51" i="30"/>
  <c r="M51" i="30" s="1"/>
  <c r="K188" i="26"/>
  <c r="K33" i="27" s="1"/>
  <c r="L91" i="26"/>
  <c r="L17" i="27" s="1"/>
  <c r="J17" i="27"/>
  <c r="L82" i="30"/>
  <c r="M82" i="30" s="1"/>
  <c r="J175" i="26"/>
  <c r="J30" i="27" s="1"/>
  <c r="K176" i="26"/>
  <c r="K31" i="27" s="1"/>
  <c r="J20" i="27"/>
  <c r="L100" i="30"/>
  <c r="N100" i="30" s="1"/>
  <c r="K117" i="26"/>
  <c r="K20" i="27" s="1"/>
  <c r="L188" i="30"/>
  <c r="N188" i="30" s="1"/>
  <c r="J31" i="27"/>
  <c r="L8" i="30"/>
  <c r="M8" i="30" s="1"/>
  <c r="M7" i="30" s="1"/>
  <c r="M6" i="30" s="1"/>
  <c r="M5" i="30" s="1"/>
  <c r="L22" i="27"/>
  <c r="N140" i="26"/>
  <c r="N22" i="27" s="1"/>
  <c r="L139" i="26"/>
  <c r="L21" i="27" s="1"/>
  <c r="N176" i="30"/>
  <c r="N175" i="30" s="1"/>
  <c r="L117" i="26"/>
  <c r="N117" i="26" s="1"/>
  <c r="Y512" i="2"/>
  <c r="AC512" i="2" s="1"/>
  <c r="J175" i="30"/>
  <c r="K176" i="30"/>
  <c r="N221" i="26"/>
  <c r="N217" i="26" s="1"/>
  <c r="L209" i="26"/>
  <c r="L37" i="27" s="1"/>
  <c r="Y594" i="2"/>
  <c r="AC594" i="2" s="1"/>
  <c r="Y586" i="2"/>
  <c r="AC586" i="2" s="1"/>
  <c r="Y578" i="2"/>
  <c r="AC578" i="2" s="1"/>
  <c r="Y570" i="2"/>
  <c r="AC570" i="2" s="1"/>
  <c r="Y562" i="2"/>
  <c r="AC562" i="2" s="1"/>
  <c r="Y554" i="2"/>
  <c r="AC554" i="2" s="1"/>
  <c r="Y546" i="2"/>
  <c r="AC546" i="2" s="1"/>
  <c r="Y538" i="2"/>
  <c r="AC538" i="2" s="1"/>
  <c r="Y524" i="2"/>
  <c r="AC524" i="2" s="1"/>
  <c r="L91" i="30"/>
  <c r="N91" i="30" s="1"/>
  <c r="L100" i="26"/>
  <c r="L18" i="27" s="1"/>
  <c r="W508" i="2"/>
  <c r="Y509" i="2"/>
  <c r="AC509" i="2" s="1"/>
  <c r="W583" i="2"/>
  <c r="L51" i="26"/>
  <c r="M51" i="26" s="1"/>
  <c r="Y492" i="2"/>
  <c r="AC492" i="2" s="1"/>
  <c r="W551" i="2"/>
  <c r="N180" i="26"/>
  <c r="N32" i="27" s="1"/>
  <c r="J32" i="27"/>
  <c r="K180" i="26"/>
  <c r="K32" i="27" s="1"/>
  <c r="L147" i="21"/>
  <c r="M58" i="28"/>
  <c r="L58" i="28"/>
  <c r="M13" i="28"/>
  <c r="L13" i="28"/>
  <c r="M121" i="28"/>
  <c r="L121" i="28"/>
  <c r="M14" i="28"/>
  <c r="L14" i="28"/>
  <c r="M22" i="28"/>
  <c r="L22" i="28"/>
  <c r="M53" i="28"/>
  <c r="L53" i="28"/>
  <c r="L208" i="28"/>
  <c r="L207" i="28" s="1"/>
  <c r="J207" i="28"/>
  <c r="L16" i="28"/>
  <c r="M16" i="28"/>
  <c r="L163" i="28"/>
  <c r="M163" i="28"/>
  <c r="M221" i="28"/>
  <c r="M220" i="28" s="1"/>
  <c r="J220" i="28"/>
  <c r="K220" i="28" s="1"/>
  <c r="L221" i="28"/>
  <c r="L220" i="28" s="1"/>
  <c r="M11" i="28"/>
  <c r="L11" i="28"/>
  <c r="M19" i="28"/>
  <c r="L19" i="28"/>
  <c r="M36" i="28"/>
  <c r="L36" i="28"/>
  <c r="M65" i="28"/>
  <c r="L65" i="28"/>
  <c r="L87" i="28"/>
  <c r="M87" i="28"/>
  <c r="M90" i="28"/>
  <c r="L90" i="28"/>
  <c r="L94" i="28"/>
  <c r="M94" i="28"/>
  <c r="M102" i="28"/>
  <c r="L102" i="28"/>
  <c r="J166" i="28"/>
  <c r="L168" i="28"/>
  <c r="M168" i="28"/>
  <c r="M100" i="28"/>
  <c r="L100" i="28"/>
  <c r="J98" i="28"/>
  <c r="M108" i="28"/>
  <c r="L108" i="28"/>
  <c r="M216" i="28"/>
  <c r="L216" i="28"/>
  <c r="W496" i="2"/>
  <c r="Y463" i="2"/>
  <c r="AC463" i="2" s="1"/>
  <c r="Y411" i="2"/>
  <c r="AC411" i="2" s="1"/>
  <c r="Y370" i="2"/>
  <c r="AC370" i="2" s="1"/>
  <c r="N277" i="23"/>
  <c r="S277" i="23"/>
  <c r="Y392" i="2"/>
  <c r="AC392" i="2" s="1"/>
  <c r="AN59" i="24"/>
  <c r="L11" i="21"/>
  <c r="AV64" i="24"/>
  <c r="T352" i="2"/>
  <c r="AK352" i="2" s="1"/>
  <c r="AV85" i="24"/>
  <c r="T366" i="2"/>
  <c r="AK366" i="2" s="1"/>
  <c r="W534" i="2"/>
  <c r="W542" i="2"/>
  <c r="W550" i="2"/>
  <c r="W558" i="2"/>
  <c r="W566" i="2"/>
  <c r="W574" i="2"/>
  <c r="W582" i="2"/>
  <c r="W590" i="2"/>
  <c r="W598" i="2"/>
  <c r="W530" i="2"/>
  <c r="Y494" i="2"/>
  <c r="AC494" i="2" s="1"/>
  <c r="Y462" i="2"/>
  <c r="AC462" i="2" s="1"/>
  <c r="W439" i="2"/>
  <c r="Y439" i="2"/>
  <c r="AC439" i="2" s="1"/>
  <c r="W433" i="2"/>
  <c r="Y433" i="2"/>
  <c r="AC433" i="2" s="1"/>
  <c r="W429" i="2"/>
  <c r="Y429" i="2"/>
  <c r="AC429" i="2" s="1"/>
  <c r="W399" i="2"/>
  <c r="Y399" i="2"/>
  <c r="AC399" i="2" s="1"/>
  <c r="L157" i="21"/>
  <c r="L77" i="21"/>
  <c r="Y519" i="2"/>
  <c r="AC519" i="2" s="1"/>
  <c r="W471" i="2"/>
  <c r="Y407" i="2"/>
  <c r="AC407" i="2" s="1"/>
  <c r="W511" i="2"/>
  <c r="M13" i="23"/>
  <c r="AC13" i="2"/>
  <c r="Y499" i="2"/>
  <c r="AC499" i="2" s="1"/>
  <c r="W446" i="2"/>
  <c r="W526" i="2"/>
  <c r="W484" i="2"/>
  <c r="W413" i="2"/>
  <c r="L49" i="27"/>
  <c r="L234" i="26"/>
  <c r="N234" i="26" s="1"/>
  <c r="M198" i="21"/>
  <c r="AX198" i="21"/>
  <c r="AS198" i="21"/>
  <c r="AN198" i="21"/>
  <c r="AH198" i="21"/>
  <c r="AC198" i="21"/>
  <c r="X198" i="21"/>
  <c r="R198" i="21"/>
  <c r="K198" i="21"/>
  <c r="AV198" i="21"/>
  <c r="AO198" i="21"/>
  <c r="AG198" i="21"/>
  <c r="Z198" i="21"/>
  <c r="T198" i="21"/>
  <c r="J198" i="21"/>
  <c r="AT198" i="21"/>
  <c r="AL198" i="21"/>
  <c r="AF198" i="21"/>
  <c r="Y198" i="21"/>
  <c r="Q198" i="21"/>
  <c r="AR198" i="21"/>
  <c r="AK198" i="21"/>
  <c r="AD198" i="21"/>
  <c r="V198" i="21"/>
  <c r="P198" i="21"/>
  <c r="AW198" i="21"/>
  <c r="U198" i="21"/>
  <c r="AP198" i="21"/>
  <c r="AJ198" i="21"/>
  <c r="AB198" i="21"/>
  <c r="AE174" i="21"/>
  <c r="M215" i="21"/>
  <c r="AW215" i="21"/>
  <c r="AR215" i="21"/>
  <c r="AL215" i="21"/>
  <c r="AG215" i="21"/>
  <c r="AB215" i="21"/>
  <c r="V215" i="21"/>
  <c r="Q215" i="21"/>
  <c r="J215" i="21"/>
  <c r="AV215" i="21"/>
  <c r="AO215" i="21"/>
  <c r="AH215" i="21"/>
  <c r="Z215" i="21"/>
  <c r="T215" i="21"/>
  <c r="K215" i="21"/>
  <c r="AT215" i="21"/>
  <c r="AN215" i="21"/>
  <c r="AF215" i="21"/>
  <c r="Y215" i="21"/>
  <c r="R215" i="21"/>
  <c r="AS215" i="21"/>
  <c r="AK215" i="21"/>
  <c r="AD215" i="21"/>
  <c r="X215" i="21"/>
  <c r="P215" i="21"/>
  <c r="AJ215" i="21"/>
  <c r="AC215" i="21"/>
  <c r="AX215" i="21"/>
  <c r="U215" i="21"/>
  <c r="AP215" i="21"/>
  <c r="Y394" i="2"/>
  <c r="AC394" i="2" s="1"/>
  <c r="W394" i="2"/>
  <c r="M89" i="28"/>
  <c r="L89" i="28"/>
  <c r="M182" i="28"/>
  <c r="L182" i="28"/>
  <c r="M63" i="28"/>
  <c r="J61" i="28"/>
  <c r="L63" i="28"/>
  <c r="N174" i="21"/>
  <c r="O174" i="21" s="1"/>
  <c r="L221" i="30"/>
  <c r="N221" i="30" s="1"/>
  <c r="N217" i="30" s="1"/>
  <c r="N216" i="30" s="1"/>
  <c r="K37" i="30"/>
  <c r="K196" i="30"/>
  <c r="J8" i="27"/>
  <c r="J7" i="26"/>
  <c r="K8" i="26"/>
  <c r="K8" i="27" s="1"/>
  <c r="J47" i="27"/>
  <c r="J233" i="26"/>
  <c r="M238" i="21"/>
  <c r="AT238" i="21"/>
  <c r="AO238" i="21"/>
  <c r="AJ238" i="21"/>
  <c r="AD238" i="21"/>
  <c r="Y238" i="21"/>
  <c r="T238" i="21"/>
  <c r="AX238" i="21"/>
  <c r="AR238" i="21"/>
  <c r="AK238" i="21"/>
  <c r="AC238" i="21"/>
  <c r="V238" i="21"/>
  <c r="P238" i="21"/>
  <c r="AW238" i="21"/>
  <c r="AP238" i="21"/>
  <c r="AH238" i="21"/>
  <c r="AB238" i="21"/>
  <c r="U238" i="21"/>
  <c r="K238" i="21"/>
  <c r="AL238" i="21"/>
  <c r="X238" i="21"/>
  <c r="AV238" i="21"/>
  <c r="AG238" i="21"/>
  <c r="R238" i="21"/>
  <c r="AS238" i="21"/>
  <c r="AF238" i="21"/>
  <c r="Q238" i="21"/>
  <c r="J238" i="21"/>
  <c r="AN238" i="21"/>
  <c r="Z238" i="21"/>
  <c r="AY238" i="21"/>
  <c r="AQ174" i="21"/>
  <c r="AA174" i="21"/>
  <c r="L202" i="21"/>
  <c r="L177" i="21"/>
  <c r="L168" i="21"/>
  <c r="L179" i="21"/>
  <c r="L178" i="21"/>
  <c r="M64" i="28"/>
  <c r="L64" i="28"/>
  <c r="M17" i="28"/>
  <c r="L17" i="28"/>
  <c r="M72" i="28"/>
  <c r="L72" i="28"/>
  <c r="L120" i="28"/>
  <c r="J118" i="28"/>
  <c r="M120" i="28"/>
  <c r="L202" i="28"/>
  <c r="M202" i="28"/>
  <c r="M26" i="28"/>
  <c r="L26" i="28"/>
  <c r="M50" i="28"/>
  <c r="L50" i="28"/>
  <c r="M111" i="28"/>
  <c r="L111" i="28"/>
  <c r="M81" i="28"/>
  <c r="L81" i="28"/>
  <c r="M171" i="28"/>
  <c r="L171" i="28"/>
  <c r="M106" i="28"/>
  <c r="L106" i="28"/>
  <c r="M215" i="28"/>
  <c r="L215" i="28"/>
  <c r="L213" i="28"/>
  <c r="M213" i="28"/>
  <c r="L203" i="28"/>
  <c r="L201" i="28" s="1"/>
  <c r="J201" i="28"/>
  <c r="M203" i="28"/>
  <c r="M201" i="28" s="1"/>
  <c r="W595" i="2"/>
  <c r="Y595" i="2"/>
  <c r="AC595" i="2" s="1"/>
  <c r="W579" i="2"/>
  <c r="W563" i="2"/>
  <c r="Y563" i="2"/>
  <c r="AC563" i="2" s="1"/>
  <c r="W547" i="2"/>
  <c r="Y547" i="2"/>
  <c r="AC547" i="2" s="1"/>
  <c r="W531" i="2"/>
  <c r="Y531" i="2"/>
  <c r="AC531" i="2" s="1"/>
  <c r="W450" i="2"/>
  <c r="L242" i="21"/>
  <c r="L148" i="21"/>
  <c r="L140" i="21"/>
  <c r="L129" i="21"/>
  <c r="L91" i="21"/>
  <c r="L114" i="21"/>
  <c r="L130" i="21"/>
  <c r="L12" i="21"/>
  <c r="L66" i="21"/>
  <c r="W405" i="2"/>
  <c r="W389" i="2"/>
  <c r="L189" i="21"/>
  <c r="L185" i="21"/>
  <c r="L212" i="21"/>
  <c r="L165" i="21"/>
  <c r="L107" i="21"/>
  <c r="L89" i="21"/>
  <c r="L19" i="21"/>
  <c r="L15" i="21"/>
  <c r="AV68" i="24"/>
  <c r="T354" i="2"/>
  <c r="AK354" i="2" s="1"/>
  <c r="Y536" i="2"/>
  <c r="AC536" i="2" s="1"/>
  <c r="Y544" i="2"/>
  <c r="AC544" i="2" s="1"/>
  <c r="Y552" i="2"/>
  <c r="AC552" i="2" s="1"/>
  <c r="Y560" i="2"/>
  <c r="AC560" i="2" s="1"/>
  <c r="Y568" i="2"/>
  <c r="AC568" i="2" s="1"/>
  <c r="Y576" i="2"/>
  <c r="AC576" i="2" s="1"/>
  <c r="Y584" i="2"/>
  <c r="AC584" i="2" s="1"/>
  <c r="Y592" i="2"/>
  <c r="AC592" i="2" s="1"/>
  <c r="Y600" i="2"/>
  <c r="AC600" i="2" s="1"/>
  <c r="W589" i="2"/>
  <c r="W573" i="2"/>
  <c r="W557" i="2"/>
  <c r="W541" i="2"/>
  <c r="W516" i="2"/>
  <c r="Y507" i="2"/>
  <c r="AC507" i="2" s="1"/>
  <c r="W483" i="2"/>
  <c r="Y483" i="2"/>
  <c r="AC483" i="2" s="1"/>
  <c r="W476" i="2"/>
  <c r="W469" i="2"/>
  <c r="Y469" i="2"/>
  <c r="AC469" i="2" s="1"/>
  <c r="W448" i="2"/>
  <c r="W426" i="2"/>
  <c r="Y426" i="2"/>
  <c r="AC426" i="2" s="1"/>
  <c r="W414" i="2"/>
  <c r="Y414" i="2"/>
  <c r="AC414" i="2" s="1"/>
  <c r="W404" i="2"/>
  <c r="Y404" i="2"/>
  <c r="AC404" i="2" s="1"/>
  <c r="W395" i="2"/>
  <c r="Y395" i="2"/>
  <c r="AC395" i="2" s="1"/>
  <c r="Y388" i="2"/>
  <c r="AC388" i="2" s="1"/>
  <c r="Y377" i="2"/>
  <c r="AC377" i="2" s="1"/>
  <c r="L234" i="21"/>
  <c r="L173" i="21"/>
  <c r="L127" i="21"/>
  <c r="L180" i="21"/>
  <c r="L64" i="21"/>
  <c r="L8" i="21"/>
  <c r="W575" i="2"/>
  <c r="W543" i="2"/>
  <c r="W517" i="2"/>
  <c r="Y490" i="2"/>
  <c r="AC490" i="2" s="1"/>
  <c r="W467" i="2"/>
  <c r="W437" i="2"/>
  <c r="Y385" i="2"/>
  <c r="AC385" i="2" s="1"/>
  <c r="AX69" i="24"/>
  <c r="AX41" i="24"/>
  <c r="Y361" i="2"/>
  <c r="AC361" i="2" s="1"/>
  <c r="W361" i="2"/>
  <c r="L158" i="21"/>
  <c r="Y472" i="2"/>
  <c r="AC472" i="2" s="1"/>
  <c r="Y527" i="2"/>
  <c r="AC527" i="2" s="1"/>
  <c r="Y505" i="2"/>
  <c r="AC505" i="2" s="1"/>
  <c r="Y468" i="2"/>
  <c r="AC468" i="2" s="1"/>
  <c r="W376" i="2"/>
  <c r="S61" i="23"/>
  <c r="N61" i="23"/>
  <c r="N29" i="23"/>
  <c r="S29" i="23"/>
  <c r="L57" i="21"/>
  <c r="W491" i="2"/>
  <c r="W445" i="2"/>
  <c r="W408" i="2"/>
  <c r="L102" i="21"/>
  <c r="W522" i="2"/>
  <c r="W504" i="2"/>
  <c r="W470" i="2"/>
  <c r="W382" i="2"/>
  <c r="L21" i="21"/>
  <c r="L106" i="21"/>
  <c r="K117" i="30"/>
  <c r="J116" i="30"/>
  <c r="K116" i="30" s="1"/>
  <c r="L8" i="26"/>
  <c r="N8" i="26" s="1"/>
  <c r="J57" i="27"/>
  <c r="K244" i="26"/>
  <c r="K57" i="27" s="1"/>
  <c r="J241" i="26"/>
  <c r="J37" i="27"/>
  <c r="K209" i="26"/>
  <c r="K37" i="27" s="1"/>
  <c r="M243" i="21"/>
  <c r="AX243" i="21"/>
  <c r="AS243" i="21"/>
  <c r="AN243" i="21"/>
  <c r="AH243" i="21"/>
  <c r="AC243" i="21"/>
  <c r="X243" i="21"/>
  <c r="R243" i="21"/>
  <c r="K243" i="21"/>
  <c r="AR243" i="21"/>
  <c r="AK243" i="21"/>
  <c r="AD243" i="21"/>
  <c r="V243" i="21"/>
  <c r="P243" i="21"/>
  <c r="AW243" i="21"/>
  <c r="AP243" i="21"/>
  <c r="AJ243" i="21"/>
  <c r="AB243" i="21"/>
  <c r="U243" i="21"/>
  <c r="AO243" i="21"/>
  <c r="Z243" i="21"/>
  <c r="J243" i="21"/>
  <c r="AL243" i="21"/>
  <c r="Y243" i="21"/>
  <c r="AV243" i="21"/>
  <c r="AG243" i="21"/>
  <c r="T243" i="21"/>
  <c r="AT243" i="21"/>
  <c r="AF243" i="21"/>
  <c r="Q243" i="21"/>
  <c r="M225" i="21"/>
  <c r="AT225" i="21"/>
  <c r="AO225" i="21"/>
  <c r="AJ225" i="21"/>
  <c r="AD225" i="21"/>
  <c r="Y225" i="21"/>
  <c r="T225" i="21"/>
  <c r="AX225" i="21"/>
  <c r="AR225" i="21"/>
  <c r="AK225" i="21"/>
  <c r="AC225" i="21"/>
  <c r="V225" i="21"/>
  <c r="P225" i="21"/>
  <c r="AW225" i="21"/>
  <c r="AP225" i="21"/>
  <c r="AH225" i="21"/>
  <c r="AB225" i="21"/>
  <c r="U225" i="21"/>
  <c r="K225" i="21"/>
  <c r="AV225" i="21"/>
  <c r="AN225" i="21"/>
  <c r="AG225" i="21"/>
  <c r="Z225" i="21"/>
  <c r="R225" i="21"/>
  <c r="J225" i="21"/>
  <c r="AS225" i="21"/>
  <c r="Q225" i="21"/>
  <c r="AL225" i="21"/>
  <c r="AF225" i="21"/>
  <c r="X225" i="21"/>
  <c r="L166" i="21"/>
  <c r="AU183" i="21"/>
  <c r="AQ183" i="21"/>
  <c r="AM183" i="21"/>
  <c r="AI183" i="21"/>
  <c r="AE183" i="21"/>
  <c r="AA183" i="21"/>
  <c r="W183" i="21"/>
  <c r="S183" i="21"/>
  <c r="M183" i="21"/>
  <c r="AT183" i="21"/>
  <c r="AO183" i="21"/>
  <c r="AJ183" i="21"/>
  <c r="AD183" i="21"/>
  <c r="Y183" i="21"/>
  <c r="T183" i="21"/>
  <c r="AX183" i="21"/>
  <c r="AS183" i="21"/>
  <c r="AN183" i="21"/>
  <c r="AH183" i="21"/>
  <c r="AC183" i="21"/>
  <c r="X183" i="21"/>
  <c r="R183" i="21"/>
  <c r="K183" i="21"/>
  <c r="AW183" i="21"/>
  <c r="AR183" i="21"/>
  <c r="AL183" i="21"/>
  <c r="AG183" i="21"/>
  <c r="AB183" i="21"/>
  <c r="V183" i="21"/>
  <c r="Q183" i="21"/>
  <c r="J183" i="21"/>
  <c r="AF183" i="21"/>
  <c r="AV183" i="21"/>
  <c r="Z183" i="21"/>
  <c r="AP183" i="21"/>
  <c r="U183" i="21"/>
  <c r="P183" i="21"/>
  <c r="AK183" i="21"/>
  <c r="L136" i="21"/>
  <c r="M47" i="28"/>
  <c r="L47" i="28"/>
  <c r="M86" i="28"/>
  <c r="J84" i="28"/>
  <c r="L86" i="28"/>
  <c r="M79" i="28"/>
  <c r="L79" i="28"/>
  <c r="M217" i="28"/>
  <c r="L217" i="28"/>
  <c r="N198" i="21"/>
  <c r="O198" i="21" s="1"/>
  <c r="L251" i="26"/>
  <c r="J15" i="27"/>
  <c r="K82" i="26"/>
  <c r="K15" i="27" s="1"/>
  <c r="J18" i="27"/>
  <c r="K100" i="26"/>
  <c r="K18" i="27" s="1"/>
  <c r="J19" i="27"/>
  <c r="K116" i="26"/>
  <c r="K19" i="27" s="1"/>
  <c r="AQ243" i="21"/>
  <c r="AA243" i="21"/>
  <c r="AQ241" i="21"/>
  <c r="AA241" i="21"/>
  <c r="AQ225" i="21"/>
  <c r="AA225" i="21"/>
  <c r="AQ215" i="21"/>
  <c r="AA215" i="21"/>
  <c r="AQ198" i="21"/>
  <c r="AA198" i="21"/>
  <c r="G259" i="21"/>
  <c r="M245" i="21"/>
  <c r="AV245" i="21"/>
  <c r="AP245" i="21"/>
  <c r="AK245" i="21"/>
  <c r="AF245" i="21"/>
  <c r="Z245" i="21"/>
  <c r="U245" i="21"/>
  <c r="P245" i="21"/>
  <c r="AT245" i="21"/>
  <c r="AN245" i="21"/>
  <c r="AG245" i="21"/>
  <c r="Y245" i="21"/>
  <c r="R245" i="21"/>
  <c r="J245" i="21"/>
  <c r="AS245" i="21"/>
  <c r="AL245" i="21"/>
  <c r="AD245" i="21"/>
  <c r="X245" i="21"/>
  <c r="Q245" i="21"/>
  <c r="AR245" i="21"/>
  <c r="AC245" i="21"/>
  <c r="AO245" i="21"/>
  <c r="AB245" i="21"/>
  <c r="K245" i="21"/>
  <c r="AX245" i="21"/>
  <c r="AJ245" i="21"/>
  <c r="V245" i="21"/>
  <c r="T245" i="21"/>
  <c r="AW245" i="21"/>
  <c r="AH245" i="21"/>
  <c r="AY209" i="21"/>
  <c r="AY222" i="21"/>
  <c r="Y502" i="2"/>
  <c r="AC502" i="2" s="1"/>
  <c r="AW94" i="24"/>
  <c r="AQ375" i="2"/>
  <c r="T211" i="26" s="1"/>
  <c r="N215" i="21"/>
  <c r="O215" i="21" s="1"/>
  <c r="N209" i="21"/>
  <c r="O209" i="21" s="1"/>
  <c r="N241" i="21"/>
  <c r="O241" i="21" s="1"/>
  <c r="N245" i="21"/>
  <c r="O245" i="21" s="1"/>
  <c r="N208" i="21"/>
  <c r="O208" i="21" s="1"/>
  <c r="AB18" i="2"/>
  <c r="L37" i="30"/>
  <c r="L196" i="30"/>
  <c r="N196" i="30" s="1"/>
  <c r="K75" i="30"/>
  <c r="J50" i="30"/>
  <c r="L82" i="26"/>
  <c r="L15" i="27" s="1"/>
  <c r="K233" i="30"/>
  <c r="AM245" i="21"/>
  <c r="W245" i="21"/>
  <c r="AM243" i="21"/>
  <c r="W243" i="21"/>
  <c r="AM241" i="21"/>
  <c r="W241" i="21"/>
  <c r="AM238" i="21"/>
  <c r="W238" i="21"/>
  <c r="AM237" i="21"/>
  <c r="AM225" i="21"/>
  <c r="W225" i="21"/>
  <c r="AM222" i="21"/>
  <c r="AM215" i="21"/>
  <c r="W215" i="21"/>
  <c r="AM209" i="21"/>
  <c r="AM208" i="21"/>
  <c r="AM198" i="21"/>
  <c r="W198" i="21"/>
  <c r="G256" i="21"/>
  <c r="G251" i="21"/>
  <c r="M230" i="21"/>
  <c r="AX230" i="21"/>
  <c r="AS230" i="21"/>
  <c r="AN230" i="21"/>
  <c r="AH230" i="21"/>
  <c r="AC230" i="21"/>
  <c r="X230" i="21"/>
  <c r="R230" i="21"/>
  <c r="K230" i="21"/>
  <c r="AR230" i="21"/>
  <c r="AK230" i="21"/>
  <c r="AD230" i="21"/>
  <c r="V230" i="21"/>
  <c r="P230" i="21"/>
  <c r="AW230" i="21"/>
  <c r="AP230" i="21"/>
  <c r="AJ230" i="21"/>
  <c r="AB230" i="21"/>
  <c r="U230" i="21"/>
  <c r="AV230" i="21"/>
  <c r="AO230" i="21"/>
  <c r="AG230" i="21"/>
  <c r="Z230" i="21"/>
  <c r="T230" i="21"/>
  <c r="J230" i="21"/>
  <c r="AF230" i="21"/>
  <c r="Y230" i="21"/>
  <c r="AT230" i="21"/>
  <c r="Q230" i="21"/>
  <c r="AL230" i="21"/>
  <c r="M210" i="21"/>
  <c r="AX210" i="21"/>
  <c r="AS210" i="21"/>
  <c r="AN210" i="21"/>
  <c r="AH210" i="21"/>
  <c r="AC210" i="21"/>
  <c r="X210" i="21"/>
  <c r="R210" i="21"/>
  <c r="K210" i="21"/>
  <c r="AT210" i="21"/>
  <c r="AL210" i="21"/>
  <c r="AF210" i="21"/>
  <c r="Y210" i="21"/>
  <c r="Q210" i="21"/>
  <c r="AR210" i="21"/>
  <c r="AK210" i="21"/>
  <c r="AD210" i="21"/>
  <c r="V210" i="21"/>
  <c r="P210" i="21"/>
  <c r="AW210" i="21"/>
  <c r="AP210" i="21"/>
  <c r="AJ210" i="21"/>
  <c r="AB210" i="21"/>
  <c r="U210" i="21"/>
  <c r="AO210" i="21"/>
  <c r="J210" i="21"/>
  <c r="AG210" i="21"/>
  <c r="Z210" i="21"/>
  <c r="AV210" i="21"/>
  <c r="T210" i="21"/>
  <c r="AM174" i="21"/>
  <c r="M203" i="21"/>
  <c r="AW203" i="21"/>
  <c r="AR203" i="21"/>
  <c r="AL203" i="21"/>
  <c r="AG203" i="21"/>
  <c r="AB203" i="21"/>
  <c r="V203" i="21"/>
  <c r="Q203" i="21"/>
  <c r="J203" i="21"/>
  <c r="AX203" i="21"/>
  <c r="AP203" i="21"/>
  <c r="AJ203" i="21"/>
  <c r="AC203" i="21"/>
  <c r="U203" i="21"/>
  <c r="AV203" i="21"/>
  <c r="AO203" i="21"/>
  <c r="AH203" i="21"/>
  <c r="Z203" i="21"/>
  <c r="T203" i="21"/>
  <c r="K203" i="21"/>
  <c r="AT203" i="21"/>
  <c r="AN203" i="21"/>
  <c r="AF203" i="21"/>
  <c r="Y203" i="21"/>
  <c r="R203" i="21"/>
  <c r="AD203" i="21"/>
  <c r="X203" i="21"/>
  <c r="AS203" i="21"/>
  <c r="P203" i="21"/>
  <c r="AK203" i="21"/>
  <c r="M211" i="21"/>
  <c r="AW211" i="21"/>
  <c r="AR211" i="21"/>
  <c r="AL211" i="21"/>
  <c r="AG211" i="21"/>
  <c r="AB211" i="21"/>
  <c r="V211" i="21"/>
  <c r="Q211" i="21"/>
  <c r="J211" i="21"/>
  <c r="AS211" i="21"/>
  <c r="AK211" i="21"/>
  <c r="AD211" i="21"/>
  <c r="X211" i="21"/>
  <c r="P211" i="21"/>
  <c r="AX211" i="21"/>
  <c r="AP211" i="21"/>
  <c r="AJ211" i="21"/>
  <c r="AC211" i="21"/>
  <c r="U211" i="21"/>
  <c r="AV211" i="21"/>
  <c r="AO211" i="21"/>
  <c r="AH211" i="21"/>
  <c r="Z211" i="21"/>
  <c r="T211" i="21"/>
  <c r="K211" i="21"/>
  <c r="AT211" i="21"/>
  <c r="R211" i="21"/>
  <c r="AN211" i="21"/>
  <c r="AF211" i="21"/>
  <c r="Y211" i="21"/>
  <c r="AY243" i="21"/>
  <c r="Y398" i="2"/>
  <c r="AC398" i="2" s="1"/>
  <c r="W398" i="2"/>
  <c r="Y486" i="2"/>
  <c r="AC486" i="2" s="1"/>
  <c r="Y415" i="2"/>
  <c r="AC415" i="2" s="1"/>
  <c r="AX59" i="24"/>
  <c r="W353" i="2"/>
  <c r="AY59" i="24" s="1"/>
  <c r="L195" i="21"/>
  <c r="L217" i="21"/>
  <c r="L99" i="21"/>
  <c r="M162" i="28"/>
  <c r="J160" i="28"/>
  <c r="L162" i="28"/>
  <c r="L156" i="28"/>
  <c r="J154" i="28"/>
  <c r="M156" i="28"/>
  <c r="M51" i="28"/>
  <c r="L51" i="28"/>
  <c r="M78" i="28"/>
  <c r="J76" i="28"/>
  <c r="L78" i="28"/>
  <c r="M125" i="28"/>
  <c r="J123" i="28"/>
  <c r="L125" i="28"/>
  <c r="L123" i="28" s="1"/>
  <c r="M91" i="28"/>
  <c r="L91" i="28"/>
  <c r="M107" i="28"/>
  <c r="L107" i="28"/>
  <c r="M211" i="28"/>
  <c r="L211" i="28"/>
  <c r="M10" i="28"/>
  <c r="J8" i="28"/>
  <c r="L10" i="28"/>
  <c r="M18" i="28"/>
  <c r="L18" i="28"/>
  <c r="M214" i="28"/>
  <c r="L214" i="28"/>
  <c r="L12" i="28"/>
  <c r="M12" i="28"/>
  <c r="L20" i="28"/>
  <c r="M20" i="28"/>
  <c r="L49" i="28"/>
  <c r="M49" i="28"/>
  <c r="L88" i="28"/>
  <c r="M88" i="28"/>
  <c r="L152" i="28"/>
  <c r="L150" i="28" s="1"/>
  <c r="L149" i="28" s="1"/>
  <c r="M152" i="28"/>
  <c r="J150" i="28"/>
  <c r="L199" i="28"/>
  <c r="L198" i="28" s="1"/>
  <c r="L197" i="28" s="1"/>
  <c r="J198" i="28"/>
  <c r="M199" i="28"/>
  <c r="M15" i="28"/>
  <c r="L15" i="28"/>
  <c r="L48" i="28"/>
  <c r="M48" i="28"/>
  <c r="M70" i="28"/>
  <c r="L70" i="28"/>
  <c r="J68" i="28"/>
  <c r="M80" i="28"/>
  <c r="L80" i="28"/>
  <c r="M110" i="28"/>
  <c r="L110" i="28"/>
  <c r="M93" i="28"/>
  <c r="L93" i="28"/>
  <c r="M104" i="28"/>
  <c r="L104" i="28"/>
  <c r="M112" i="28"/>
  <c r="L112" i="28"/>
  <c r="M169" i="28"/>
  <c r="L169" i="28"/>
  <c r="M212" i="28"/>
  <c r="L212" i="28"/>
  <c r="Y498" i="2"/>
  <c r="AC498" i="2" s="1"/>
  <c r="Y459" i="2"/>
  <c r="AC459" i="2" s="1"/>
  <c r="Y449" i="2"/>
  <c r="AC449" i="2" s="1"/>
  <c r="L244" i="21"/>
  <c r="L169" i="21"/>
  <c r="L191" i="21"/>
  <c r="L95" i="21"/>
  <c r="L60" i="21"/>
  <c r="L56" i="21"/>
  <c r="Y400" i="2"/>
  <c r="AC400" i="2" s="1"/>
  <c r="Y383" i="2"/>
  <c r="AC383" i="2" s="1"/>
  <c r="L220" i="21"/>
  <c r="L20" i="21"/>
  <c r="L113" i="21"/>
  <c r="L92" i="21"/>
  <c r="L81" i="21"/>
  <c r="AV37" i="24"/>
  <c r="T356" i="2"/>
  <c r="AK356" i="2" s="1"/>
  <c r="W538" i="2"/>
  <c r="W546" i="2"/>
  <c r="W554" i="2"/>
  <c r="W562" i="2"/>
  <c r="W570" i="2"/>
  <c r="W586" i="2"/>
  <c r="W594" i="2"/>
  <c r="W523" i="2"/>
  <c r="Y523" i="2"/>
  <c r="AC523" i="2" s="1"/>
  <c r="W501" i="2"/>
  <c r="Y501" i="2"/>
  <c r="AC501" i="2" s="1"/>
  <c r="W492" i="2"/>
  <c r="W457" i="2"/>
  <c r="Y457" i="2"/>
  <c r="AC457" i="2" s="1"/>
  <c r="W443" i="2"/>
  <c r="Y443" i="2"/>
  <c r="AC443" i="2" s="1"/>
  <c r="Y410" i="2"/>
  <c r="AC410" i="2" s="1"/>
  <c r="W391" i="2"/>
  <c r="Y391" i="2"/>
  <c r="AC391" i="2" s="1"/>
  <c r="L206" i="21"/>
  <c r="L170" i="21"/>
  <c r="L151" i="21"/>
  <c r="W599" i="2"/>
  <c r="W567" i="2"/>
  <c r="W535" i="2"/>
  <c r="Y510" i="2"/>
  <c r="AC510" i="2" s="1"/>
  <c r="W481" i="2"/>
  <c r="Y465" i="2"/>
  <c r="AC465" i="2" s="1"/>
  <c r="W424" i="2"/>
  <c r="Y381" i="2"/>
  <c r="AC381" i="2" s="1"/>
  <c r="L152" i="21"/>
  <c r="L10" i="21"/>
  <c r="W520" i="2"/>
  <c r="W453" i="2"/>
  <c r="W422" i="2"/>
  <c r="L73" i="21"/>
  <c r="L44" i="21"/>
  <c r="L37" i="21"/>
  <c r="W515" i="2"/>
  <c r="Y489" i="2"/>
  <c r="AC489" i="2" s="1"/>
  <c r="W458" i="2"/>
  <c r="L13" i="21"/>
  <c r="L131" i="21"/>
  <c r="W529" i="2"/>
  <c r="Y478" i="2"/>
  <c r="AC478" i="2" s="1"/>
  <c r="W444" i="2"/>
  <c r="W390" i="2"/>
  <c r="Y518" i="2"/>
  <c r="AC518" i="2" s="1"/>
  <c r="W500" i="2"/>
  <c r="Y456" i="2"/>
  <c r="AC456" i="2" s="1"/>
  <c r="W380" i="2"/>
  <c r="L126" i="21"/>
  <c r="J7" i="30"/>
  <c r="K8" i="30"/>
  <c r="J13" i="27"/>
  <c r="K51" i="26"/>
  <c r="K13" i="27" s="1"/>
  <c r="J50" i="26"/>
  <c r="J10" i="27"/>
  <c r="N37" i="26"/>
  <c r="N10" i="27" s="1"/>
  <c r="K37" i="26"/>
  <c r="K10" i="27" s="1"/>
  <c r="M241" i="21"/>
  <c r="AV241" i="21"/>
  <c r="AP241" i="21"/>
  <c r="AK241" i="21"/>
  <c r="AF241" i="21"/>
  <c r="Z241" i="21"/>
  <c r="U241" i="21"/>
  <c r="P241" i="21"/>
  <c r="AX241" i="21"/>
  <c r="AR241" i="21"/>
  <c r="AJ241" i="21"/>
  <c r="AC241" i="21"/>
  <c r="V241" i="21"/>
  <c r="AW241" i="21"/>
  <c r="AO241" i="21"/>
  <c r="AH241" i="21"/>
  <c r="AB241" i="21"/>
  <c r="T241" i="21"/>
  <c r="K241" i="21"/>
  <c r="AN241" i="21"/>
  <c r="Y241" i="21"/>
  <c r="J241" i="21"/>
  <c r="AL241" i="21"/>
  <c r="X241" i="21"/>
  <c r="AT241" i="21"/>
  <c r="AG241" i="21"/>
  <c r="R241" i="21"/>
  <c r="AS241" i="21"/>
  <c r="AD241" i="21"/>
  <c r="Q241" i="21"/>
  <c r="M174" i="21"/>
  <c r="AY174" i="21"/>
  <c r="AS174" i="21"/>
  <c r="AN174" i="21"/>
  <c r="AH174" i="21"/>
  <c r="AC174" i="21"/>
  <c r="X174" i="21"/>
  <c r="R174" i="21"/>
  <c r="K174" i="21"/>
  <c r="AW174" i="21"/>
  <c r="AR174" i="21"/>
  <c r="AL174" i="21"/>
  <c r="AG174" i="21"/>
  <c r="AB174" i="21"/>
  <c r="V174" i="21"/>
  <c r="Q174" i="21"/>
  <c r="J174" i="21"/>
  <c r="AV174" i="21"/>
  <c r="AP174" i="21"/>
  <c r="AK174" i="21"/>
  <c r="AF174" i="21"/>
  <c r="Z174" i="21"/>
  <c r="U174" i="21"/>
  <c r="P174" i="21"/>
  <c r="AD174" i="21"/>
  <c r="AT174" i="21"/>
  <c r="Y174" i="21"/>
  <c r="AO174" i="21"/>
  <c r="T174" i="21"/>
  <c r="AJ174" i="21"/>
  <c r="AY225" i="21"/>
  <c r="AU174" i="21"/>
  <c r="K251" i="30"/>
  <c r="K82" i="30"/>
  <c r="E276" i="30"/>
  <c r="E275" i="30" s="1"/>
  <c r="E274" i="30" s="1"/>
  <c r="K91" i="30"/>
  <c r="L117" i="30"/>
  <c r="L116" i="30" s="1"/>
  <c r="E290" i="26"/>
  <c r="K196" i="26"/>
  <c r="K34" i="27" s="1"/>
  <c r="J34" i="27"/>
  <c r="N196" i="26"/>
  <c r="N34" i="27" s="1"/>
  <c r="L58" i="27"/>
  <c r="L244" i="26"/>
  <c r="N244" i="26" s="1"/>
  <c r="N57" i="27" s="1"/>
  <c r="AI243" i="21"/>
  <c r="S243" i="21"/>
  <c r="AI241" i="21"/>
  <c r="S241" i="21"/>
  <c r="AI225" i="21"/>
  <c r="S225" i="21"/>
  <c r="AI215" i="21"/>
  <c r="S215" i="21"/>
  <c r="AI198" i="21"/>
  <c r="S198" i="21"/>
  <c r="M222" i="21"/>
  <c r="AX222" i="21"/>
  <c r="AS222" i="21"/>
  <c r="AN222" i="21"/>
  <c r="AH222" i="21"/>
  <c r="AC222" i="21"/>
  <c r="X222" i="21"/>
  <c r="R222" i="21"/>
  <c r="K222" i="21"/>
  <c r="AW222" i="21"/>
  <c r="AP222" i="21"/>
  <c r="AJ222" i="21"/>
  <c r="AB222" i="21"/>
  <c r="U222" i="21"/>
  <c r="AV222" i="21"/>
  <c r="AO222" i="21"/>
  <c r="AG222" i="21"/>
  <c r="Z222" i="21"/>
  <c r="T222" i="21"/>
  <c r="J222" i="21"/>
  <c r="AT222" i="21"/>
  <c r="AL222" i="21"/>
  <c r="AF222" i="21"/>
  <c r="Y222" i="21"/>
  <c r="Q222" i="21"/>
  <c r="V222" i="21"/>
  <c r="AR222" i="21"/>
  <c r="P222" i="21"/>
  <c r="AK222" i="21"/>
  <c r="AD222" i="21"/>
  <c r="AI174" i="21"/>
  <c r="S174" i="21"/>
  <c r="M237" i="21"/>
  <c r="AV237" i="21"/>
  <c r="AP237" i="21"/>
  <c r="AK237" i="21"/>
  <c r="AF237" i="21"/>
  <c r="Z237" i="21"/>
  <c r="U237" i="21"/>
  <c r="P237" i="21"/>
  <c r="AX237" i="21"/>
  <c r="AR237" i="21"/>
  <c r="AJ237" i="21"/>
  <c r="AC237" i="21"/>
  <c r="V237" i="21"/>
  <c r="AS237" i="21"/>
  <c r="AH237" i="21"/>
  <c r="Y237" i="21"/>
  <c r="Q237" i="21"/>
  <c r="AO237" i="21"/>
  <c r="AG237" i="21"/>
  <c r="X237" i="21"/>
  <c r="K237" i="21"/>
  <c r="AW237" i="21"/>
  <c r="AN237" i="21"/>
  <c r="AD237" i="21"/>
  <c r="T237" i="21"/>
  <c r="J237" i="21"/>
  <c r="AL237" i="21"/>
  <c r="AB237" i="21"/>
  <c r="R237" i="21"/>
  <c r="AT237" i="21"/>
  <c r="AY198" i="21"/>
  <c r="AY237" i="21"/>
  <c r="M208" i="21"/>
  <c r="AV208" i="21"/>
  <c r="AP208" i="21"/>
  <c r="AK208" i="21"/>
  <c r="AF208" i="21"/>
  <c r="Z208" i="21"/>
  <c r="U208" i="21"/>
  <c r="P208" i="21"/>
  <c r="AX208" i="21"/>
  <c r="AR208" i="21"/>
  <c r="AJ208" i="21"/>
  <c r="AC208" i="21"/>
  <c r="V208" i="21"/>
  <c r="AW208" i="21"/>
  <c r="AO208" i="21"/>
  <c r="AH208" i="21"/>
  <c r="AB208" i="21"/>
  <c r="T208" i="21"/>
  <c r="K208" i="21"/>
  <c r="AT208" i="21"/>
  <c r="AN208" i="21"/>
  <c r="AG208" i="21"/>
  <c r="Y208" i="21"/>
  <c r="R208" i="21"/>
  <c r="J208" i="21"/>
  <c r="AL208" i="21"/>
  <c r="AD208" i="21"/>
  <c r="X208" i="21"/>
  <c r="AS208" i="21"/>
  <c r="Q208" i="21"/>
  <c r="M209" i="21"/>
  <c r="AT209" i="21"/>
  <c r="AO209" i="21"/>
  <c r="AJ209" i="21"/>
  <c r="AD209" i="21"/>
  <c r="Y209" i="21"/>
  <c r="T209" i="21"/>
  <c r="AW209" i="21"/>
  <c r="AP209" i="21"/>
  <c r="AH209" i="21"/>
  <c r="AB209" i="21"/>
  <c r="U209" i="21"/>
  <c r="K209" i="21"/>
  <c r="AV209" i="21"/>
  <c r="AN209" i="21"/>
  <c r="AG209" i="21"/>
  <c r="Z209" i="21"/>
  <c r="R209" i="21"/>
  <c r="J209" i="21"/>
  <c r="AS209" i="21"/>
  <c r="AL209" i="21"/>
  <c r="AF209" i="21"/>
  <c r="X209" i="21"/>
  <c r="Q209" i="21"/>
  <c r="AR209" i="21"/>
  <c r="P209" i="21"/>
  <c r="AK209" i="21"/>
  <c r="AC209" i="21"/>
  <c r="AX209" i="21"/>
  <c r="V209" i="21"/>
  <c r="AT94" i="24"/>
  <c r="U375" i="2"/>
  <c r="Y375" i="2" s="1"/>
  <c r="L104" i="21"/>
  <c r="Y464" i="2"/>
  <c r="AC464" i="2" s="1"/>
  <c r="Y427" i="2"/>
  <c r="AC427" i="2" s="1"/>
  <c r="L205" i="21"/>
  <c r="L54" i="21"/>
  <c r="L28" i="21"/>
  <c r="L4" i="21"/>
  <c r="M92" i="28"/>
  <c r="L92" i="28"/>
  <c r="M27" i="28"/>
  <c r="L27" i="28"/>
  <c r="M21" i="28"/>
  <c r="L21" i="28"/>
  <c r="L170" i="28"/>
  <c r="M170" i="28"/>
  <c r="M35" i="28"/>
  <c r="J33" i="28"/>
  <c r="L35" i="28"/>
  <c r="M103" i="28"/>
  <c r="L103" i="28"/>
  <c r="M157" i="28"/>
  <c r="L157" i="28"/>
  <c r="L181" i="28"/>
  <c r="J179" i="28"/>
  <c r="M181" i="28"/>
  <c r="L43" i="28"/>
  <c r="M43" i="28"/>
  <c r="J41" i="28"/>
  <c r="L71" i="28"/>
  <c r="M71" i="28"/>
  <c r="L101" i="28"/>
  <c r="M101" i="28"/>
  <c r="L105" i="28"/>
  <c r="M105" i="28"/>
  <c r="L109" i="28"/>
  <c r="M109" i="28"/>
  <c r="L113" i="28"/>
  <c r="M113" i="28"/>
  <c r="M210" i="28"/>
  <c r="J209" i="28"/>
  <c r="L210" i="28"/>
  <c r="M114" i="28"/>
  <c r="L114" i="28"/>
  <c r="M205" i="28"/>
  <c r="L205" i="28"/>
  <c r="L204" i="28" s="1"/>
  <c r="J204" i="28"/>
  <c r="M218" i="28"/>
  <c r="L218" i="28"/>
  <c r="W587" i="2"/>
  <c r="Y587" i="2"/>
  <c r="AC587" i="2" s="1"/>
  <c r="W571" i="2"/>
  <c r="Y571" i="2"/>
  <c r="AC571" i="2" s="1"/>
  <c r="W555" i="2"/>
  <c r="Y555" i="2"/>
  <c r="AC555" i="2" s="1"/>
  <c r="W539" i="2"/>
  <c r="Y539" i="2"/>
  <c r="AC539" i="2" s="1"/>
  <c r="Y508" i="2"/>
  <c r="AC508" i="2" s="1"/>
  <c r="W485" i="2"/>
  <c r="Y485" i="2"/>
  <c r="AC485" i="2" s="1"/>
  <c r="W447" i="2"/>
  <c r="Y372" i="2"/>
  <c r="AC372" i="2" s="1"/>
  <c r="AX57" i="24"/>
  <c r="W355" i="2"/>
  <c r="AY57" i="24" s="1"/>
  <c r="L254" i="21"/>
  <c r="L181" i="21"/>
  <c r="L139" i="21"/>
  <c r="L161" i="21"/>
  <c r="Y396" i="2"/>
  <c r="AC396" i="2" s="1"/>
  <c r="Y379" i="2"/>
  <c r="AC379" i="2" s="1"/>
  <c r="AY210" i="21"/>
  <c r="L100" i="21"/>
  <c r="L47" i="21"/>
  <c r="Y532" i="2"/>
  <c r="AC532" i="2" s="1"/>
  <c r="Y540" i="2"/>
  <c r="AC540" i="2" s="1"/>
  <c r="Y548" i="2"/>
  <c r="AC548" i="2" s="1"/>
  <c r="Y556" i="2"/>
  <c r="AC556" i="2" s="1"/>
  <c r="Y564" i="2"/>
  <c r="AC564" i="2" s="1"/>
  <c r="Y572" i="2"/>
  <c r="AC572" i="2" s="1"/>
  <c r="Y580" i="2"/>
  <c r="AC580" i="2" s="1"/>
  <c r="Y588" i="2"/>
  <c r="AC588" i="2" s="1"/>
  <c r="Y596" i="2"/>
  <c r="AC596" i="2" s="1"/>
  <c r="W581" i="2"/>
  <c r="W565" i="2"/>
  <c r="W549" i="2"/>
  <c r="W533" i="2"/>
  <c r="W495" i="2"/>
  <c r="W479" i="2"/>
  <c r="Y479" i="2"/>
  <c r="AC479" i="2" s="1"/>
  <c r="W473" i="2"/>
  <c r="Y473" i="2"/>
  <c r="AC473" i="2" s="1"/>
  <c r="Y466" i="2"/>
  <c r="AC466" i="2" s="1"/>
  <c r="W451" i="2"/>
  <c r="W423" i="2"/>
  <c r="W402" i="2"/>
  <c r="Y402" i="2"/>
  <c r="AC402" i="2" s="1"/>
  <c r="W371" i="2"/>
  <c r="L247" i="21"/>
  <c r="L48" i="21"/>
  <c r="W591" i="2"/>
  <c r="W559" i="2"/>
  <c r="Y528" i="2"/>
  <c r="AC528" i="2" s="1"/>
  <c r="Y506" i="2"/>
  <c r="AC506" i="2" s="1"/>
  <c r="W477" i="2"/>
  <c r="Y461" i="2"/>
  <c r="AC461" i="2" s="1"/>
  <c r="Y419" i="2"/>
  <c r="AC419" i="2" s="1"/>
  <c r="W497" i="2"/>
  <c r="W452" i="2"/>
  <c r="W417" i="2"/>
  <c r="W513" i="2"/>
  <c r="Y482" i="2"/>
  <c r="AC482" i="2" s="1"/>
  <c r="W455" i="2"/>
  <c r="L118" i="21"/>
  <c r="L9" i="21"/>
  <c r="S41" i="23"/>
  <c r="N41" i="23"/>
  <c r="N25" i="23"/>
  <c r="S25" i="23"/>
  <c r="L25" i="21"/>
  <c r="Y521" i="2"/>
  <c r="AC521" i="2" s="1"/>
  <c r="W431" i="2"/>
  <c r="W384" i="2"/>
  <c r="Y597" i="2"/>
  <c r="AC597" i="2" s="1"/>
  <c r="Y514" i="2"/>
  <c r="AC514" i="2" s="1"/>
  <c r="W488" i="2"/>
  <c r="W440" i="2"/>
  <c r="W374" i="2"/>
  <c r="L90" i="21"/>
  <c r="L98" i="21"/>
  <c r="L69" i="21"/>
  <c r="L29" i="21"/>
  <c r="O17" i="23"/>
  <c r="AA17" i="2"/>
  <c r="AB17" i="2"/>
  <c r="AB162" i="2"/>
  <c r="AB280" i="2"/>
  <c r="AB353" i="2"/>
  <c r="O233" i="23"/>
  <c r="AB233" i="2"/>
  <c r="O287" i="23"/>
  <c r="AB287" i="2"/>
  <c r="AB593" i="2"/>
  <c r="AB489" i="2"/>
  <c r="AB475" i="2"/>
  <c r="AB419" i="2"/>
  <c r="O106" i="23"/>
  <c r="AB106" i="2"/>
  <c r="O74" i="23"/>
  <c r="AB74" i="2"/>
  <c r="O58" i="23"/>
  <c r="AB58" i="2"/>
  <c r="AB73" i="2"/>
  <c r="AB301" i="2"/>
  <c r="AB351" i="2"/>
  <c r="AB597" i="2"/>
  <c r="AB590" i="2"/>
  <c r="AB592" i="2"/>
  <c r="AB476" i="2"/>
  <c r="AB420" i="2"/>
  <c r="AB461" i="2"/>
  <c r="AB150" i="2"/>
  <c r="AB118" i="2"/>
  <c r="AB70" i="2"/>
  <c r="O54" i="23"/>
  <c r="AB54" i="2"/>
  <c r="AB149" i="2"/>
  <c r="O133" i="23"/>
  <c r="AB133" i="2"/>
  <c r="AB435" i="2"/>
  <c r="O275" i="23"/>
  <c r="AB275" i="2"/>
  <c r="AB403" i="2"/>
  <c r="AB415" i="2"/>
  <c r="AB452" i="2"/>
  <c r="O226" i="23"/>
  <c r="AB226" i="2"/>
  <c r="AB585" i="2"/>
  <c r="AB404" i="2"/>
  <c r="AB546" i="2"/>
  <c r="AB594" i="2"/>
  <c r="AB595" i="2"/>
  <c r="AB402" i="2"/>
  <c r="O82" i="23"/>
  <c r="AB82" i="2"/>
  <c r="O50" i="23"/>
  <c r="AB50" i="2"/>
  <c r="AB22" i="2"/>
  <c r="O139" i="23"/>
  <c r="AB139" i="2"/>
  <c r="O59" i="23"/>
  <c r="AB59" i="2"/>
  <c r="O33" i="23"/>
  <c r="AB33" i="2"/>
  <c r="AB449" i="2"/>
  <c r="O217" i="23"/>
  <c r="AB217" i="2"/>
  <c r="O292" i="23"/>
  <c r="AB293" i="2"/>
  <c r="AB425" i="2"/>
  <c r="AB421" i="2"/>
  <c r="AB589" i="2"/>
  <c r="AB485" i="2"/>
  <c r="AB598" i="2"/>
  <c r="AB600" i="2"/>
  <c r="AB440" i="2"/>
  <c r="O126" i="23"/>
  <c r="AB126" i="2"/>
  <c r="AB62" i="2"/>
  <c r="AN42" i="24" l="1"/>
  <c r="AA990" i="2"/>
  <c r="AA883" i="2"/>
  <c r="AA944" i="2"/>
  <c r="AA940" i="2"/>
  <c r="AA899" i="2"/>
  <c r="AA999" i="2"/>
  <c r="AA836" i="2"/>
  <c r="AA976" i="2"/>
  <c r="AA981" i="2"/>
  <c r="AA980" i="2"/>
  <c r="AA852" i="2"/>
  <c r="AA917" i="2"/>
  <c r="AA989" i="2"/>
  <c r="AA844" i="2"/>
  <c r="AA969" i="2"/>
  <c r="AA903" i="2"/>
  <c r="AA936" i="2"/>
  <c r="AA815" i="2"/>
  <c r="AA994" i="2"/>
  <c r="AA888" i="2"/>
  <c r="AA984" i="2"/>
  <c r="AA985" i="2"/>
  <c r="AA907" i="2"/>
  <c r="AA973" i="2"/>
  <c r="AA822" i="2"/>
  <c r="AA879" i="2"/>
  <c r="AA848" i="2"/>
  <c r="AA882" i="2"/>
  <c r="AA929" i="2"/>
  <c r="AA823" i="2"/>
  <c r="AA813" i="2"/>
  <c r="AA827" i="2"/>
  <c r="AA956" i="2"/>
  <c r="AA968" i="2"/>
  <c r="AA923" i="2"/>
  <c r="AA977" i="2"/>
  <c r="AA904" i="2"/>
  <c r="AA877" i="2"/>
  <c r="AA810" i="2"/>
  <c r="AA895" i="2"/>
  <c r="AA835" i="2"/>
  <c r="AA831" i="2"/>
  <c r="AA874" i="2"/>
  <c r="AA830" i="2"/>
  <c r="AA856" i="2"/>
  <c r="AA960" i="2"/>
  <c r="AA948" i="2"/>
  <c r="AA896" i="2"/>
  <c r="AA865" i="2"/>
  <c r="AA964" i="2"/>
  <c r="AA814" i="2"/>
  <c r="AA847" i="2"/>
  <c r="AA932" i="2"/>
  <c r="AA937" i="2"/>
  <c r="AA952" i="2"/>
  <c r="AA802" i="2"/>
  <c r="AA864" i="2"/>
  <c r="AA916" i="2"/>
  <c r="AA887" i="2"/>
  <c r="AA892" i="2"/>
  <c r="AA998" i="2"/>
  <c r="AA912" i="2"/>
  <c r="AA890" i="2"/>
  <c r="AA801" i="2"/>
  <c r="AA843" i="2"/>
  <c r="AA821" i="2"/>
  <c r="AA818" i="2"/>
  <c r="AA961" i="2"/>
  <c r="AA996" i="2"/>
  <c r="AA949" i="2"/>
  <c r="AA972" i="2"/>
  <c r="AA915" i="2"/>
  <c r="AA928" i="2"/>
  <c r="AA834" i="2"/>
  <c r="AA945" i="2"/>
  <c r="AA897" i="2"/>
  <c r="AA795" i="2"/>
  <c r="AA935" i="2"/>
  <c r="AA901" i="2"/>
  <c r="AA878" i="2"/>
  <c r="AA953" i="2"/>
  <c r="AA889" i="2"/>
  <c r="AA942" i="2"/>
  <c r="AA798" i="2"/>
  <c r="AA825" i="2"/>
  <c r="AA853" i="2"/>
  <c r="AA842" i="2"/>
  <c r="AA927" i="2"/>
  <c r="AA833" i="2"/>
  <c r="AA846" i="2"/>
  <c r="AA861" i="2"/>
  <c r="AA885" i="2"/>
  <c r="AA837" i="2"/>
  <c r="AA804" i="2"/>
  <c r="AA947" i="2"/>
  <c r="AA799" i="2"/>
  <c r="AA884" i="2"/>
  <c r="AA812" i="2"/>
  <c r="AA829" i="2"/>
  <c r="AA803" i="2"/>
  <c r="AA797" i="2"/>
  <c r="AA851" i="2"/>
  <c r="AA908" i="2"/>
  <c r="AA913" i="2"/>
  <c r="AA872" i="2"/>
  <c r="AA914" i="2"/>
  <c r="AA920" i="2"/>
  <c r="AA805" i="2"/>
  <c r="AA849" i="2"/>
  <c r="AA867" i="2"/>
  <c r="AA950" i="2"/>
  <c r="AA939" i="2"/>
  <c r="AA918" i="2"/>
  <c r="AA995" i="2"/>
  <c r="AA891" i="2"/>
  <c r="AA839" i="2"/>
  <c r="AA921" i="2"/>
  <c r="AA811" i="2"/>
  <c r="AA894" i="2"/>
  <c r="AA870" i="2"/>
  <c r="AA933" i="2"/>
  <c r="AA943" i="2"/>
  <c r="AA965" i="2"/>
  <c r="AA881" i="2"/>
  <c r="AA845" i="2"/>
  <c r="AA863" i="2"/>
  <c r="AA826" i="2"/>
  <c r="AA900" i="2"/>
  <c r="AA962" i="2"/>
  <c r="AA806" i="2"/>
  <c r="AA859" i="2"/>
  <c r="AA875" i="2"/>
  <c r="AA828" i="2"/>
  <c r="AA906" i="2"/>
  <c r="AA987" i="2"/>
  <c r="AA979" i="2"/>
  <c r="AA992" i="2"/>
  <c r="AA934" i="2"/>
  <c r="AA796" i="2"/>
  <c r="AA808" i="2"/>
  <c r="AA860" i="2"/>
  <c r="AA951" i="2"/>
  <c r="AA868" i="2"/>
  <c r="AA924" i="2"/>
  <c r="AA963" i="2"/>
  <c r="AA841" i="2"/>
  <c r="AA858" i="2"/>
  <c r="AA824" i="2"/>
  <c r="AA911" i="2"/>
  <c r="AA922" i="2"/>
  <c r="AA955" i="2"/>
  <c r="AA997" i="2"/>
  <c r="AA975" i="2"/>
  <c r="AA925" i="2"/>
  <c r="AA817" i="2"/>
  <c r="AA840" i="2"/>
  <c r="AA983" i="2"/>
  <c r="AA909" i="2"/>
  <c r="AA931" i="2"/>
  <c r="AA946" i="2"/>
  <c r="AA982" i="2"/>
  <c r="AA898" i="2"/>
  <c r="AA854" i="2"/>
  <c r="AA986" i="2"/>
  <c r="AA800" i="2"/>
  <c r="AA816" i="2"/>
  <c r="AA869" i="2"/>
  <c r="AA876" i="2"/>
  <c r="AA866" i="2"/>
  <c r="AA919" i="2"/>
  <c r="AA959" i="2"/>
  <c r="AA938" i="2"/>
  <c r="AA880" i="2"/>
  <c r="AA958" i="2"/>
  <c r="AA871" i="2"/>
  <c r="AA857" i="2"/>
  <c r="AA855" i="2"/>
  <c r="AA886" i="2"/>
  <c r="AA862" i="2"/>
  <c r="AA850" i="2"/>
  <c r="AA838" i="2"/>
  <c r="AA930" i="2"/>
  <c r="AA926" i="2"/>
  <c r="AA966" i="2"/>
  <c r="AA941" i="2"/>
  <c r="AA967" i="2"/>
  <c r="AA988" i="2"/>
  <c r="AA970" i="2"/>
  <c r="AA807" i="2"/>
  <c r="AA819" i="2"/>
  <c r="AA820" i="2"/>
  <c r="AA809" i="2"/>
  <c r="AA893" i="2"/>
  <c r="AA873" i="2"/>
  <c r="AA910" i="2"/>
  <c r="AA954" i="2"/>
  <c r="AA974" i="2"/>
  <c r="AA993" i="2"/>
  <c r="AA1000" i="2"/>
  <c r="AA991" i="2"/>
  <c r="AA905" i="2"/>
  <c r="O381" i="26"/>
  <c r="R269" i="23"/>
  <c r="P269" i="23" s="1"/>
  <c r="Q269" i="23" s="1"/>
  <c r="T255" i="32"/>
  <c r="R183" i="23"/>
  <c r="P183" i="23" s="1"/>
  <c r="Q183" i="23" s="1"/>
  <c r="O393" i="32"/>
  <c r="N393" i="32" s="1"/>
  <c r="O305" i="32"/>
  <c r="N305" i="32" s="1"/>
  <c r="O280" i="32"/>
  <c r="N280" i="32" s="1"/>
  <c r="O361" i="32"/>
  <c r="N361" i="32" s="1"/>
  <c r="N359" i="32" s="1"/>
  <c r="O356" i="32"/>
  <c r="N356" i="32" s="1"/>
  <c r="T10" i="32"/>
  <c r="R254" i="23"/>
  <c r="P254" i="23" s="1"/>
  <c r="Q254" i="23" s="1"/>
  <c r="O281" i="32"/>
  <c r="N281" i="32" s="1"/>
  <c r="O295" i="32"/>
  <c r="N295" i="32" s="1"/>
  <c r="T11" i="30"/>
  <c r="T26" i="32"/>
  <c r="O303" i="32"/>
  <c r="N303" i="32" s="1"/>
  <c r="O287" i="32"/>
  <c r="N287" i="32" s="1"/>
  <c r="N285" i="32" s="1"/>
  <c r="R257" i="23"/>
  <c r="T257" i="23" s="1"/>
  <c r="T27" i="32"/>
  <c r="T19" i="30"/>
  <c r="O283" i="32"/>
  <c r="N283" i="32" s="1"/>
  <c r="R263" i="23"/>
  <c r="T263" i="23" s="1"/>
  <c r="T13" i="30"/>
  <c r="AA791" i="2"/>
  <c r="AA793" i="2"/>
  <c r="AA794" i="2"/>
  <c r="AA792" i="2"/>
  <c r="AA783" i="2"/>
  <c r="AA787" i="2"/>
  <c r="AA780" i="2"/>
  <c r="AA788" i="2"/>
  <c r="AA760" i="2"/>
  <c r="AA775" i="2"/>
  <c r="AA758" i="2"/>
  <c r="AA762" i="2"/>
  <c r="AA771" i="2"/>
  <c r="AA761" i="2"/>
  <c r="AA781" i="2"/>
  <c r="AA786" i="2"/>
  <c r="AA790" i="2"/>
  <c r="AA759" i="2"/>
  <c r="AA776" i="2"/>
  <c r="AA773" i="2"/>
  <c r="AA774" i="2"/>
  <c r="AA763" i="2"/>
  <c r="AA768" i="2"/>
  <c r="AA777" i="2"/>
  <c r="AA778" i="2"/>
  <c r="AA784" i="2"/>
  <c r="AA769" i="2"/>
  <c r="AA766" i="2"/>
  <c r="AA772" i="2"/>
  <c r="AA770" i="2"/>
  <c r="AA765" i="2"/>
  <c r="AA779" i="2"/>
  <c r="AA764" i="2"/>
  <c r="AA785" i="2"/>
  <c r="AA782" i="2"/>
  <c r="AA767" i="2"/>
  <c r="AA789" i="2"/>
  <c r="AC757" i="2"/>
  <c r="AA757" i="2"/>
  <c r="AA746" i="2"/>
  <c r="AA741" i="2"/>
  <c r="AA740" i="2"/>
  <c r="M115" i="23"/>
  <c r="AA716" i="2"/>
  <c r="J226" i="23"/>
  <c r="AA714" i="2"/>
  <c r="AC83" i="2"/>
  <c r="AA751" i="2"/>
  <c r="AA696" i="2"/>
  <c r="AA742" i="2"/>
  <c r="AA717" i="2"/>
  <c r="AA734" i="2"/>
  <c r="AA729" i="2"/>
  <c r="AA672" i="2"/>
  <c r="AA753" i="2"/>
  <c r="AA730" i="2"/>
  <c r="AA744" i="2"/>
  <c r="AA750" i="2"/>
  <c r="AA737" i="2"/>
  <c r="AA747" i="2"/>
  <c r="AA687" i="2"/>
  <c r="AA735" i="2"/>
  <c r="AA738" i="2"/>
  <c r="AA726" i="2"/>
  <c r="AA723" i="2"/>
  <c r="AA724" i="2"/>
  <c r="AA756" i="2"/>
  <c r="AA732" i="2"/>
  <c r="AA733" i="2"/>
  <c r="AA749" i="2"/>
  <c r="AA720" i="2"/>
  <c r="AA736" i="2"/>
  <c r="AA725" i="2"/>
  <c r="AA739" i="2"/>
  <c r="AA754" i="2"/>
  <c r="AA722" i="2"/>
  <c r="AA718" i="2"/>
  <c r="AA748" i="2"/>
  <c r="AA728" i="2"/>
  <c r="AA727" i="2"/>
  <c r="AA719" i="2"/>
  <c r="AA752" i="2"/>
  <c r="AA755" i="2"/>
  <c r="AA743" i="2"/>
  <c r="AA731" i="2"/>
  <c r="AA721" i="2"/>
  <c r="AA745" i="2"/>
  <c r="AA699" i="2"/>
  <c r="AA701" i="2"/>
  <c r="AA709" i="2"/>
  <c r="AA703" i="2"/>
  <c r="AA695" i="2"/>
  <c r="AA705" i="2"/>
  <c r="AA712" i="2"/>
  <c r="AA692" i="2"/>
  <c r="AA697" i="2"/>
  <c r="AA704" i="2"/>
  <c r="AA700" i="2"/>
  <c r="AA711" i="2"/>
  <c r="AA710" i="2"/>
  <c r="AA693" i="2"/>
  <c r="AA707" i="2"/>
  <c r="AA706" i="2"/>
  <c r="AA702" i="2"/>
  <c r="AA713" i="2"/>
  <c r="AA708" i="2"/>
  <c r="AA698" i="2"/>
  <c r="AA694" i="2"/>
  <c r="AA715" i="2"/>
  <c r="AA619" i="2"/>
  <c r="AA683" i="2"/>
  <c r="M99" i="23"/>
  <c r="AC8" i="2"/>
  <c r="AA676" i="2"/>
  <c r="AA681" i="2"/>
  <c r="AA677" i="2"/>
  <c r="AA688" i="2"/>
  <c r="AA685" i="2"/>
  <c r="AA684" i="2"/>
  <c r="AA678" i="2"/>
  <c r="AA679" i="2"/>
  <c r="AA690" i="2"/>
  <c r="AA691" i="2"/>
  <c r="AA689" i="2"/>
  <c r="AA682" i="2"/>
  <c r="AA680" i="2"/>
  <c r="AA686" i="2"/>
  <c r="P7" i="23"/>
  <c r="Q7" i="23" s="1"/>
  <c r="AA609" i="2"/>
  <c r="AA631" i="2"/>
  <c r="AA632" i="2"/>
  <c r="AB532" i="2"/>
  <c r="AA532" i="2"/>
  <c r="AA665" i="2"/>
  <c r="AA647" i="2"/>
  <c r="AA655" i="2"/>
  <c r="AA653" i="2"/>
  <c r="AA674" i="2"/>
  <c r="AA656" i="2"/>
  <c r="AA670" i="2"/>
  <c r="AA657" i="2"/>
  <c r="AA668" i="2"/>
  <c r="AA649" i="2"/>
  <c r="AA671" i="2"/>
  <c r="AA658" i="2"/>
  <c r="AA648" i="2"/>
  <c r="AA673" i="2"/>
  <c r="AA666" i="2"/>
  <c r="AA667" i="2"/>
  <c r="AA661" i="2"/>
  <c r="AA650" i="2"/>
  <c r="AA654" i="2"/>
  <c r="AA646" i="2"/>
  <c r="AA675" i="2"/>
  <c r="AA659" i="2"/>
  <c r="AA664" i="2"/>
  <c r="AA652" i="2"/>
  <c r="AA669" i="2"/>
  <c r="AA662" i="2"/>
  <c r="AA663" i="2"/>
  <c r="AA651" i="2"/>
  <c r="AA660" i="2"/>
  <c r="AE68" i="24"/>
  <c r="S49" i="23"/>
  <c r="Z189" i="2"/>
  <c r="AB189" i="2" s="1"/>
  <c r="T10" i="30"/>
  <c r="T11" i="32"/>
  <c r="T26" i="30"/>
  <c r="T19" i="32"/>
  <c r="T13" i="32"/>
  <c r="T27" i="30"/>
  <c r="AA255" i="2"/>
  <c r="S105" i="23"/>
  <c r="AB255" i="2"/>
  <c r="G221" i="23"/>
  <c r="S221" i="23" s="1"/>
  <c r="S255" i="23"/>
  <c r="S366" i="30"/>
  <c r="G232" i="23"/>
  <c r="N232" i="23" s="1"/>
  <c r="AQ347" i="2"/>
  <c r="T129" i="26" s="1"/>
  <c r="S153" i="23"/>
  <c r="N183" i="23"/>
  <c r="N105" i="23"/>
  <c r="AB120" i="2"/>
  <c r="AB105" i="2"/>
  <c r="O114" i="23"/>
  <c r="T114" i="23" s="1"/>
  <c r="AE71" i="24"/>
  <c r="AA240" i="2"/>
  <c r="O19" i="23"/>
  <c r="T19" i="23" s="1"/>
  <c r="AA100" i="2"/>
  <c r="N240" i="23"/>
  <c r="AA99" i="2"/>
  <c r="AB99" i="2"/>
  <c r="G189" i="23"/>
  <c r="J189" i="23" s="1"/>
  <c r="G223" i="23"/>
  <c r="S223" i="23" s="1"/>
  <c r="N239" i="23"/>
  <c r="AE28" i="24"/>
  <c r="AQ340" i="2"/>
  <c r="T58" i="26" s="1"/>
  <c r="N114" i="23"/>
  <c r="AQ303" i="2"/>
  <c r="U302" i="23" s="1"/>
  <c r="Z232" i="2"/>
  <c r="O232" i="23" s="1"/>
  <c r="T232" i="23" s="1"/>
  <c r="AK347" i="2"/>
  <c r="R184" i="23" s="1"/>
  <c r="P184" i="23" s="1"/>
  <c r="Q184" i="23" s="1"/>
  <c r="AK244" i="2"/>
  <c r="R244" i="23" s="1"/>
  <c r="P244" i="23" s="1"/>
  <c r="Q244" i="23" s="1"/>
  <c r="N165" i="23"/>
  <c r="G274" i="23"/>
  <c r="N274" i="23" s="1"/>
  <c r="AE77" i="24"/>
  <c r="AE55" i="24"/>
  <c r="AQ181" i="2"/>
  <c r="U181" i="23" s="1"/>
  <c r="AE72" i="24"/>
  <c r="S244" i="23"/>
  <c r="AW71" i="24"/>
  <c r="N225" i="23"/>
  <c r="G181" i="23"/>
  <c r="J181" i="23" s="1"/>
  <c r="AQ305" i="2"/>
  <c r="U304" i="23" s="1"/>
  <c r="AQ244" i="2"/>
  <c r="U244" i="23" s="1"/>
  <c r="N269" i="23"/>
  <c r="AQ205" i="2"/>
  <c r="U205" i="23" s="1"/>
  <c r="N85" i="23"/>
  <c r="S338" i="26"/>
  <c r="G303" i="23"/>
  <c r="S303" i="23" s="1"/>
  <c r="Z244" i="2"/>
  <c r="AB244" i="2" s="1"/>
  <c r="AQ350" i="2"/>
  <c r="T106" i="26" s="1"/>
  <c r="AQ232" i="2"/>
  <c r="U232" i="23" s="1"/>
  <c r="Z347" i="2"/>
  <c r="AB347" i="2" s="1"/>
  <c r="O26" i="23"/>
  <c r="T26" i="23" s="1"/>
  <c r="AA26" i="2"/>
  <c r="N161" i="23"/>
  <c r="P161" i="23"/>
  <c r="Q161" i="23" s="1"/>
  <c r="AB29" i="2"/>
  <c r="AA29" i="2"/>
  <c r="O100" i="23"/>
  <c r="T100" i="23" s="1"/>
  <c r="AW92" i="24"/>
  <c r="S371" i="26"/>
  <c r="S254" i="23"/>
  <c r="N14" i="23"/>
  <c r="AK237" i="2"/>
  <c r="AK189" i="2"/>
  <c r="O288" i="23"/>
  <c r="T288" i="23" s="1"/>
  <c r="O36" i="23"/>
  <c r="T36" i="23" s="1"/>
  <c r="AB240" i="2"/>
  <c r="O12" i="23"/>
  <c r="T12" i="23" s="1"/>
  <c r="AB91" i="2"/>
  <c r="O153" i="23"/>
  <c r="T153" i="23" s="1"/>
  <c r="AA8" i="2"/>
  <c r="P153" i="23"/>
  <c r="Q153" i="23" s="1"/>
  <c r="AQ230" i="2"/>
  <c r="U230" i="23" s="1"/>
  <c r="O161" i="23"/>
  <c r="T161" i="23" s="1"/>
  <c r="O8" i="23"/>
  <c r="T8" i="23" s="1"/>
  <c r="AA161" i="2"/>
  <c r="S333" i="30"/>
  <c r="AQ189" i="2"/>
  <c r="U189" i="23" s="1"/>
  <c r="S333" i="26"/>
  <c r="S371" i="30"/>
  <c r="AK358" i="2"/>
  <c r="S65" i="23"/>
  <c r="AE93" i="24"/>
  <c r="G237" i="23"/>
  <c r="S237" i="23" s="1"/>
  <c r="Z358" i="2"/>
  <c r="AB358" i="2" s="1"/>
  <c r="S371" i="32"/>
  <c r="AQ231" i="2"/>
  <c r="U231" i="23" s="1"/>
  <c r="Z237" i="2"/>
  <c r="AB237" i="2" s="1"/>
  <c r="P240" i="23"/>
  <c r="Q240" i="23" s="1"/>
  <c r="AW12" i="24"/>
  <c r="O37" i="23"/>
  <c r="O30" i="23"/>
  <c r="T30" i="23" s="1"/>
  <c r="O46" i="23"/>
  <c r="AA37" i="2"/>
  <c r="AA46" i="2"/>
  <c r="O207" i="23"/>
  <c r="T207" i="23" s="1"/>
  <c r="AA289" i="2"/>
  <c r="AB124" i="2"/>
  <c r="P129" i="23"/>
  <c r="Q129" i="23" s="1"/>
  <c r="N261" i="23"/>
  <c r="AA207" i="2"/>
  <c r="S37" i="23"/>
  <c r="O204" i="23"/>
  <c r="T204" i="23" s="1"/>
  <c r="O183" i="23"/>
  <c r="O254" i="23"/>
  <c r="AB86" i="2"/>
  <c r="AA159" i="2"/>
  <c r="AA204" i="2"/>
  <c r="P165" i="23"/>
  <c r="Q165" i="23" s="1"/>
  <c r="AW29" i="24"/>
  <c r="P239" i="23"/>
  <c r="Q239" i="23" s="1"/>
  <c r="AB143" i="2"/>
  <c r="AB263" i="2"/>
  <c r="O272" i="23"/>
  <c r="AA145" i="2"/>
  <c r="O145" i="23"/>
  <c r="T145" i="23" s="1"/>
  <c r="AB80" i="2"/>
  <c r="O163" i="23"/>
  <c r="T163" i="23" s="1"/>
  <c r="AA170" i="2"/>
  <c r="AA263" i="2"/>
  <c r="AQ328" i="2"/>
  <c r="T63" i="26" s="1"/>
  <c r="G281" i="23"/>
  <c r="N281" i="23" s="1"/>
  <c r="AQ315" i="2"/>
  <c r="T85" i="26" s="1"/>
  <c r="AW100" i="24"/>
  <c r="P38" i="23"/>
  <c r="Q38" i="23" s="1"/>
  <c r="S21" i="23"/>
  <c r="N38" i="23"/>
  <c r="AW51" i="24"/>
  <c r="AQ349" i="2"/>
  <c r="T87" i="26" s="1"/>
  <c r="N49" i="23"/>
  <c r="O172" i="23"/>
  <c r="AB61" i="2"/>
  <c r="O170" i="23"/>
  <c r="T170" i="23" s="1"/>
  <c r="AA186" i="2"/>
  <c r="N141" i="23"/>
  <c r="J166" i="23"/>
  <c r="G177" i="23"/>
  <c r="S177" i="23" s="1"/>
  <c r="AE65" i="24"/>
  <c r="N263" i="23"/>
  <c r="AQ179" i="2"/>
  <c r="U179" i="23" s="1"/>
  <c r="O273" i="23"/>
  <c r="T273" i="23" s="1"/>
  <c r="S45" i="23"/>
  <c r="G201" i="23"/>
  <c r="N201" i="23" s="1"/>
  <c r="S345" i="26"/>
  <c r="N146" i="23"/>
  <c r="AK179" i="2"/>
  <c r="R179" i="23" s="1"/>
  <c r="AQ177" i="2"/>
  <c r="U177" i="23" s="1"/>
  <c r="G198" i="23"/>
  <c r="S198" i="23" s="1"/>
  <c r="AQ241" i="2"/>
  <c r="U241" i="23" s="1"/>
  <c r="Z386" i="2"/>
  <c r="AB386" i="2" s="1"/>
  <c r="S351" i="30"/>
  <c r="G231" i="23"/>
  <c r="S231" i="23" s="1"/>
  <c r="AE62" i="24"/>
  <c r="AE80" i="24"/>
  <c r="Z276" i="2"/>
  <c r="AB276" i="2" s="1"/>
  <c r="S122" i="23"/>
  <c r="AK281" i="2"/>
  <c r="R281" i="23" s="1"/>
  <c r="AB9" i="2"/>
  <c r="AA129" i="2"/>
  <c r="S129" i="23"/>
  <c r="S215" i="23"/>
  <c r="S190" i="23"/>
  <c r="G284" i="23"/>
  <c r="S284" i="23" s="1"/>
  <c r="AK342" i="2"/>
  <c r="AK306" i="2"/>
  <c r="R305" i="23" s="1"/>
  <c r="P305" i="23" s="1"/>
  <c r="Q305" i="23" s="1"/>
  <c r="AK265" i="2"/>
  <c r="R265" i="23" s="1"/>
  <c r="AW30" i="24"/>
  <c r="G265" i="23"/>
  <c r="N265" i="23" s="1"/>
  <c r="AQ227" i="2"/>
  <c r="U227" i="23" s="1"/>
  <c r="N305" i="23"/>
  <c r="N121" i="23"/>
  <c r="AQ344" i="2"/>
  <c r="T102" i="26" s="1"/>
  <c r="AW7" i="24"/>
  <c r="AK286" i="2"/>
  <c r="R286" i="23" s="1"/>
  <c r="T286" i="23" s="1"/>
  <c r="P275" i="23"/>
  <c r="Q275" i="23" s="1"/>
  <c r="O129" i="23"/>
  <c r="T129" i="23" s="1"/>
  <c r="T275" i="23"/>
  <c r="AA72" i="2"/>
  <c r="O75" i="23"/>
  <c r="AB140" i="2"/>
  <c r="N272" i="23"/>
  <c r="S366" i="26"/>
  <c r="AQ223" i="2"/>
  <c r="U223" i="23" s="1"/>
  <c r="S338" i="30"/>
  <c r="Z350" i="2"/>
  <c r="AB350" i="2" s="1"/>
  <c r="Z305" i="2"/>
  <c r="AB305" i="2" s="1"/>
  <c r="AW28" i="24"/>
  <c r="AK350" i="2"/>
  <c r="AK223" i="2"/>
  <c r="P88" i="23"/>
  <c r="Q88" i="23" s="1"/>
  <c r="S88" i="23"/>
  <c r="S338" i="32"/>
  <c r="AB72" i="2"/>
  <c r="AE7" i="24"/>
  <c r="AW39" i="24"/>
  <c r="J20" i="25" s="1"/>
  <c r="K20" i="25" s="1"/>
  <c r="AQ306" i="2"/>
  <c r="U305" i="23" s="1"/>
  <c r="G230" i="23"/>
  <c r="N230" i="23" s="1"/>
  <c r="Z230" i="2"/>
  <c r="O230" i="23" s="1"/>
  <c r="AB44" i="2"/>
  <c r="O21" i="23"/>
  <c r="T21" i="23" s="1"/>
  <c r="AB21" i="2"/>
  <c r="AW8" i="24"/>
  <c r="AQ265" i="2"/>
  <c r="U265" i="23" s="1"/>
  <c r="S331" i="26"/>
  <c r="P138" i="23"/>
  <c r="Q138" i="23" s="1"/>
  <c r="S297" i="26"/>
  <c r="AE34" i="24"/>
  <c r="AK227" i="2"/>
  <c r="R227" i="23" s="1"/>
  <c r="Z200" i="2"/>
  <c r="AB200" i="2" s="1"/>
  <c r="N192" i="23"/>
  <c r="N132" i="23"/>
  <c r="AW20" i="24"/>
  <c r="AQ200" i="2"/>
  <c r="U200" i="23" s="1"/>
  <c r="G200" i="23"/>
  <c r="S200" i="23" s="1"/>
  <c r="Z306" i="2"/>
  <c r="AB306" i="2" s="1"/>
  <c r="S145" i="23"/>
  <c r="G227" i="23"/>
  <c r="S227" i="23" s="1"/>
  <c r="N113" i="23"/>
  <c r="G271" i="23"/>
  <c r="N271" i="23" s="1"/>
  <c r="S331" i="30"/>
  <c r="AW78" i="24"/>
  <c r="Z342" i="2"/>
  <c r="AB342" i="2" s="1"/>
  <c r="Z265" i="2"/>
  <c r="AB265" i="2" s="1"/>
  <c r="S297" i="30"/>
  <c r="AK271" i="2"/>
  <c r="R271" i="23" s="1"/>
  <c r="T271" i="23" s="1"/>
  <c r="AK230" i="2"/>
  <c r="AQ318" i="2"/>
  <c r="T10" i="26" s="1"/>
  <c r="AW45" i="24"/>
  <c r="G286" i="23"/>
  <c r="S286" i="23" s="1"/>
  <c r="AK344" i="2"/>
  <c r="P21" i="23"/>
  <c r="Q21" i="23" s="1"/>
  <c r="AK318" i="2"/>
  <c r="AQ286" i="2"/>
  <c r="U286" i="23" s="1"/>
  <c r="AK349" i="2"/>
  <c r="AA401" i="2"/>
  <c r="G179" i="23"/>
  <c r="S179" i="23" s="1"/>
  <c r="S194" i="23"/>
  <c r="AW9" i="24"/>
  <c r="G241" i="23"/>
  <c r="N241" i="23" s="1"/>
  <c r="AE21" i="24"/>
  <c r="Z222" i="2"/>
  <c r="O222" i="23" s="1"/>
  <c r="G222" i="23"/>
  <c r="S222" i="23" s="1"/>
  <c r="Z315" i="2"/>
  <c r="AB315" i="2" s="1"/>
  <c r="AW21" i="24"/>
  <c r="AQ386" i="2"/>
  <c r="P14" i="23"/>
  <c r="Q14" i="23" s="1"/>
  <c r="AK328" i="2"/>
  <c r="AK241" i="2"/>
  <c r="R241" i="23" s="1"/>
  <c r="AK368" i="2"/>
  <c r="AK386" i="2"/>
  <c r="Z197" i="2"/>
  <c r="AB197" i="2" s="1"/>
  <c r="S351" i="32"/>
  <c r="S86" i="23"/>
  <c r="AE48" i="24"/>
  <c r="Z281" i="2"/>
  <c r="AB281" i="2" s="1"/>
  <c r="AK197" i="2"/>
  <c r="AK315" i="2"/>
  <c r="P86" i="23"/>
  <c r="Q86" i="23" s="1"/>
  <c r="P45" i="23"/>
  <c r="Q45" i="23" s="1"/>
  <c r="AB257" i="2"/>
  <c r="S93" i="23"/>
  <c r="AE13" i="24"/>
  <c r="AQ197" i="2"/>
  <c r="U197" i="23" s="1"/>
  <c r="S345" i="30"/>
  <c r="AE57" i="24"/>
  <c r="S166" i="23"/>
  <c r="S257" i="23"/>
  <c r="AW33" i="24"/>
  <c r="AQ198" i="2"/>
  <c r="U198" i="23" s="1"/>
  <c r="S351" i="26"/>
  <c r="Z324" i="2"/>
  <c r="AB324" i="2" s="1"/>
  <c r="G276" i="23"/>
  <c r="S276" i="23" s="1"/>
  <c r="AQ201" i="2"/>
  <c r="U201" i="23" s="1"/>
  <c r="G197" i="23"/>
  <c r="N197" i="23" s="1"/>
  <c r="N42" i="23"/>
  <c r="AE54" i="24"/>
  <c r="AQ276" i="2"/>
  <c r="U276" i="23" s="1"/>
  <c r="AQ324" i="2"/>
  <c r="T95" i="26" s="1"/>
  <c r="Z368" i="2"/>
  <c r="AB368" i="2" s="1"/>
  <c r="AK324" i="2"/>
  <c r="AK201" i="2"/>
  <c r="R201" i="23" s="1"/>
  <c r="AK198" i="2"/>
  <c r="R198" i="23" s="1"/>
  <c r="AB173" i="2"/>
  <c r="O239" i="23"/>
  <c r="T239" i="23" s="1"/>
  <c r="O119" i="23"/>
  <c r="T119" i="23" s="1"/>
  <c r="O393" i="30"/>
  <c r="N393" i="30" s="1"/>
  <c r="R217" i="23"/>
  <c r="P217" i="23" s="1"/>
  <c r="Q217" i="23" s="1"/>
  <c r="O195" i="23"/>
  <c r="T195" i="23" s="1"/>
  <c r="AA101" i="2"/>
  <c r="AA239" i="2"/>
  <c r="R255" i="23"/>
  <c r="P255" i="23" s="1"/>
  <c r="Q255" i="23" s="1"/>
  <c r="O39" i="23"/>
  <c r="T39" i="23" s="1"/>
  <c r="O190" i="23"/>
  <c r="O220" i="23"/>
  <c r="T220" i="23" s="1"/>
  <c r="O38" i="23"/>
  <c r="T38" i="23" s="1"/>
  <c r="AB171" i="2"/>
  <c r="AA142" i="2"/>
  <c r="AA190" i="2"/>
  <c r="AA173" i="2"/>
  <c r="O393" i="26"/>
  <c r="N393" i="26" s="1"/>
  <c r="O107" i="23"/>
  <c r="T107" i="23" s="1"/>
  <c r="O142" i="23"/>
  <c r="T142" i="23" s="1"/>
  <c r="O28" i="23"/>
  <c r="T28" i="23" s="1"/>
  <c r="AB286" i="2"/>
  <c r="O295" i="30"/>
  <c r="N295" i="30" s="1"/>
  <c r="O40" i="23"/>
  <c r="T40" i="23" s="1"/>
  <c r="O141" i="23"/>
  <c r="T141" i="23" s="1"/>
  <c r="O295" i="26"/>
  <c r="N295" i="26" s="1"/>
  <c r="R166" i="23"/>
  <c r="P166" i="23" s="1"/>
  <c r="Q166" i="23" s="1"/>
  <c r="AA10" i="2"/>
  <c r="AA141" i="2"/>
  <c r="AA53" i="2"/>
  <c r="N275" i="23"/>
  <c r="G205" i="23"/>
  <c r="S205" i="23" s="1"/>
  <c r="AW14" i="24"/>
  <c r="S330" i="26"/>
  <c r="AW72" i="24"/>
  <c r="AK297" i="2"/>
  <c r="R296" i="23" s="1"/>
  <c r="T296" i="23" s="1"/>
  <c r="Z216" i="2"/>
  <c r="AB216" i="2" s="1"/>
  <c r="AW76" i="24"/>
  <c r="G296" i="23"/>
  <c r="N296" i="23" s="1"/>
  <c r="P34" i="23"/>
  <c r="Q34" i="23" s="1"/>
  <c r="N214" i="23"/>
  <c r="P225" i="23"/>
  <c r="Q225" i="23" s="1"/>
  <c r="J363" i="26"/>
  <c r="AE87" i="24"/>
  <c r="AE11" i="24"/>
  <c r="AQ274" i="2"/>
  <c r="U274" i="23" s="1"/>
  <c r="AQ221" i="2"/>
  <c r="U221" i="23" s="1"/>
  <c r="S330" i="30"/>
  <c r="AQ264" i="2"/>
  <c r="U264" i="23" s="1"/>
  <c r="S344" i="26"/>
  <c r="G307" i="23"/>
  <c r="S307" i="23" s="1"/>
  <c r="AQ297" i="2"/>
  <c r="U296" i="23" s="1"/>
  <c r="AK216" i="2"/>
  <c r="S48" i="23"/>
  <c r="AK264" i="2"/>
  <c r="S330" i="32"/>
  <c r="AQ216" i="2"/>
  <c r="U216" i="23" s="1"/>
  <c r="S344" i="30"/>
  <c r="AQ355" i="2"/>
  <c r="T108" i="26" s="1"/>
  <c r="AQ308" i="2"/>
  <c r="U307" i="23" s="1"/>
  <c r="Z308" i="2"/>
  <c r="AB308" i="2" s="1"/>
  <c r="AK221" i="2"/>
  <c r="R221" i="23" s="1"/>
  <c r="P48" i="23"/>
  <c r="Q48" i="23" s="1"/>
  <c r="G304" i="23"/>
  <c r="S304" i="23" s="1"/>
  <c r="N91" i="23"/>
  <c r="AK308" i="2"/>
  <c r="R307" i="23" s="1"/>
  <c r="T307" i="23" s="1"/>
  <c r="P91" i="23"/>
  <c r="Q91" i="23" s="1"/>
  <c r="P214" i="23"/>
  <c r="Q214" i="23" s="1"/>
  <c r="O53" i="23"/>
  <c r="AB214" i="2"/>
  <c r="O48" i="23"/>
  <c r="T48" i="23" s="1"/>
  <c r="O111" i="23"/>
  <c r="T111" i="23" s="1"/>
  <c r="O42" i="23"/>
  <c r="T42" i="23" s="1"/>
  <c r="AK278" i="2"/>
  <c r="R278" i="23" s="1"/>
  <c r="AK291" i="2"/>
  <c r="R290" i="23" s="1"/>
  <c r="O261" i="23"/>
  <c r="N234" i="23"/>
  <c r="N101" i="23"/>
  <c r="AA192" i="2"/>
  <c r="AQ288" i="2"/>
  <c r="T93" i="26" s="1"/>
  <c r="AA261" i="2"/>
  <c r="AK249" i="2"/>
  <c r="R249" i="23" s="1"/>
  <c r="AB27" i="2"/>
  <c r="O266" i="23"/>
  <c r="T266" i="23" s="1"/>
  <c r="AA40" i="2"/>
  <c r="AB16" i="2"/>
  <c r="AA48" i="2"/>
  <c r="AA266" i="2"/>
  <c r="AB95" i="2"/>
  <c r="O227" i="23"/>
  <c r="AB112" i="2"/>
  <c r="AB10" i="2"/>
  <c r="O164" i="23"/>
  <c r="O144" i="23"/>
  <c r="T144" i="23" s="1"/>
  <c r="O165" i="23"/>
  <c r="T165" i="23" s="1"/>
  <c r="O88" i="23"/>
  <c r="T88" i="23" s="1"/>
  <c r="O67" i="23"/>
  <c r="AA214" i="2"/>
  <c r="AA165" i="2"/>
  <c r="AA112" i="2"/>
  <c r="AA88" i="2"/>
  <c r="AA67" i="2"/>
  <c r="AB160" i="2"/>
  <c r="AB24" i="2"/>
  <c r="O179" i="23"/>
  <c r="AA24" i="2"/>
  <c r="AB297" i="2"/>
  <c r="AB49" i="2"/>
  <c r="AB248" i="2"/>
  <c r="AA248" i="2"/>
  <c r="T255" i="26"/>
  <c r="AA49" i="2"/>
  <c r="T255" i="30"/>
  <c r="AB188" i="2"/>
  <c r="O14" i="23"/>
  <c r="T14" i="23" s="1"/>
  <c r="AA188" i="2"/>
  <c r="Z291" i="2"/>
  <c r="AB291" i="2" s="1"/>
  <c r="G290" i="23"/>
  <c r="N290" i="23" s="1"/>
  <c r="Z249" i="2"/>
  <c r="AB249" i="2" s="1"/>
  <c r="G262" i="23"/>
  <c r="P262" i="23" s="1"/>
  <c r="Q262" i="23" s="1"/>
  <c r="AA156" i="2"/>
  <c r="G176" i="23"/>
  <c r="N176" i="23" s="1"/>
  <c r="Z283" i="2"/>
  <c r="AB283" i="2" s="1"/>
  <c r="AK243" i="2"/>
  <c r="R243" i="23" s="1"/>
  <c r="T20" i="26"/>
  <c r="AE92" i="24"/>
  <c r="Z262" i="2"/>
  <c r="O262" i="23" s="1"/>
  <c r="T262" i="23" s="1"/>
  <c r="G283" i="23"/>
  <c r="N283" i="23" s="1"/>
  <c r="AW13" i="24"/>
  <c r="AK234" i="2"/>
  <c r="R234" i="23" s="1"/>
  <c r="P234" i="23" s="1"/>
  <c r="Q234" i="23" s="1"/>
  <c r="AK288" i="2"/>
  <c r="T103" i="26"/>
  <c r="N7" i="23"/>
  <c r="G235" i="23"/>
  <c r="S235" i="23" s="1"/>
  <c r="AW17" i="24"/>
  <c r="AW46" i="24"/>
  <c r="S89" i="23"/>
  <c r="AE84" i="24"/>
  <c r="AW52" i="24"/>
  <c r="AQ262" i="2"/>
  <c r="U262" i="23" s="1"/>
  <c r="Z182" i="2"/>
  <c r="AB182" i="2" s="1"/>
  <c r="AA14" i="2"/>
  <c r="AK283" i="2"/>
  <c r="R283" i="23" s="1"/>
  <c r="N143" i="23"/>
  <c r="P114" i="23"/>
  <c r="Q114" i="23" s="1"/>
  <c r="AA268" i="2"/>
  <c r="O151" i="23"/>
  <c r="AB250" i="2"/>
  <c r="AB136" i="2"/>
  <c r="O280" i="30"/>
  <c r="N280" i="30" s="1"/>
  <c r="N34" i="23"/>
  <c r="G264" i="23"/>
  <c r="N264" i="23" s="1"/>
  <c r="AK346" i="2"/>
  <c r="AK274" i="2"/>
  <c r="R274" i="23" s="1"/>
  <c r="AK355" i="2"/>
  <c r="AK304" i="2"/>
  <c r="R303" i="23" s="1"/>
  <c r="T303" i="23" s="1"/>
  <c r="S366" i="32"/>
  <c r="Z303" i="2"/>
  <c r="AB303" i="2" s="1"/>
  <c r="AQ180" i="2"/>
  <c r="U180" i="23" s="1"/>
  <c r="Z264" i="2"/>
  <c r="O264" i="23" s="1"/>
  <c r="S334" i="26"/>
  <c r="Z181" i="2"/>
  <c r="O150" i="23" s="1"/>
  <c r="Z205" i="2"/>
  <c r="AB205" i="2" s="1"/>
  <c r="AQ346" i="2"/>
  <c r="T59" i="26" s="1"/>
  <c r="S334" i="30"/>
  <c r="AQ304" i="2"/>
  <c r="U303" i="23" s="1"/>
  <c r="G302" i="23"/>
  <c r="N302" i="23" s="1"/>
  <c r="J268" i="23"/>
  <c r="S268" i="23"/>
  <c r="G216" i="23"/>
  <c r="J216" i="23" s="1"/>
  <c r="Z340" i="2"/>
  <c r="AB340" i="2" s="1"/>
  <c r="AE74" i="24"/>
  <c r="Z355" i="2"/>
  <c r="AB355" i="2" s="1"/>
  <c r="G180" i="23"/>
  <c r="N180" i="23" s="1"/>
  <c r="Z180" i="2"/>
  <c r="O180" i="23" s="1"/>
  <c r="AK303" i="2"/>
  <c r="R302" i="23" s="1"/>
  <c r="AK180" i="2"/>
  <c r="R180" i="23" s="1"/>
  <c r="P124" i="23"/>
  <c r="Q124" i="23" s="1"/>
  <c r="S124" i="23"/>
  <c r="AA242" i="2"/>
  <c r="AB60" i="2"/>
  <c r="AB148" i="2"/>
  <c r="AB274" i="2"/>
  <c r="AA274" i="2"/>
  <c r="R185" i="23"/>
  <c r="P185" i="23" s="1"/>
  <c r="Q185" i="23" s="1"/>
  <c r="O185" i="23"/>
  <c r="O280" i="26"/>
  <c r="N280" i="26" s="1"/>
  <c r="AQ314" i="2"/>
  <c r="Z211" i="2"/>
  <c r="O211" i="23" s="1"/>
  <c r="AE91" i="24"/>
  <c r="AK284" i="2"/>
  <c r="R284" i="23" s="1"/>
  <c r="T284" i="23" s="1"/>
  <c r="S331" i="32"/>
  <c r="P30" i="23"/>
  <c r="Q30" i="23" s="1"/>
  <c r="P145" i="23"/>
  <c r="Q145" i="23" s="1"/>
  <c r="G294" i="23"/>
  <c r="N294" i="23" s="1"/>
  <c r="AQ271" i="2"/>
  <c r="U271" i="23" s="1"/>
  <c r="AQ295" i="2"/>
  <c r="U294" i="23" s="1"/>
  <c r="N138" i="23"/>
  <c r="N30" i="23"/>
  <c r="AK200" i="2"/>
  <c r="AK295" i="2"/>
  <c r="R294" i="23" s="1"/>
  <c r="T294" i="23" s="1"/>
  <c r="AK314" i="2"/>
  <c r="P113" i="23"/>
  <c r="Q113" i="23" s="1"/>
  <c r="P258" i="23"/>
  <c r="Q258" i="23" s="1"/>
  <c r="AQ284" i="2"/>
  <c r="U284" i="23" s="1"/>
  <c r="AQ362" i="2"/>
  <c r="T198" i="26" s="1"/>
  <c r="AB242" i="2"/>
  <c r="AB268" i="2"/>
  <c r="AQ234" i="2"/>
  <c r="U234" i="23" s="1"/>
  <c r="AE53" i="24"/>
  <c r="AE14" i="24"/>
  <c r="AQ278" i="2"/>
  <c r="U278" i="23" s="1"/>
  <c r="G295" i="23"/>
  <c r="S295" i="23" s="1"/>
  <c r="G279" i="23"/>
  <c r="N279" i="23" s="1"/>
  <c r="Z176" i="2"/>
  <c r="AB176" i="2" s="1"/>
  <c r="AQ285" i="2"/>
  <c r="U285" i="23" s="1"/>
  <c r="G285" i="23"/>
  <c r="S285" i="23" s="1"/>
  <c r="AK338" i="2"/>
  <c r="P26" i="23"/>
  <c r="Q26" i="23" s="1"/>
  <c r="AQ279" i="2"/>
  <c r="U279" i="23" s="1"/>
  <c r="AE61" i="24"/>
  <c r="AK235" i="2"/>
  <c r="R235" i="23" s="1"/>
  <c r="T235" i="23" s="1"/>
  <c r="P142" i="23"/>
  <c r="Q142" i="23" s="1"/>
  <c r="Z243" i="2"/>
  <c r="O243" i="23" s="1"/>
  <c r="P143" i="23"/>
  <c r="Q143" i="23" s="1"/>
  <c r="AQ243" i="2"/>
  <c r="U243" i="23" s="1"/>
  <c r="AE58" i="24"/>
  <c r="G243" i="23"/>
  <c r="N243" i="23" s="1"/>
  <c r="N26" i="23"/>
  <c r="Z234" i="2"/>
  <c r="AB234" i="2" s="1"/>
  <c r="AQ235" i="2"/>
  <c r="U235" i="23" s="1"/>
  <c r="Z279" i="2"/>
  <c r="O279" i="23" s="1"/>
  <c r="Z338" i="2"/>
  <c r="AB338" i="2" s="1"/>
  <c r="AQ338" i="2"/>
  <c r="T200" i="26" s="1"/>
  <c r="AW11" i="24"/>
  <c r="G249" i="23"/>
  <c r="J249" i="23" s="1"/>
  <c r="G278" i="23"/>
  <c r="N278" i="23" s="1"/>
  <c r="AK279" i="2"/>
  <c r="R279" i="23" s="1"/>
  <c r="AK182" i="2"/>
  <c r="R151" i="23" s="1"/>
  <c r="P151" i="23" s="1"/>
  <c r="Q151" i="23" s="1"/>
  <c r="AK285" i="2"/>
  <c r="R285" i="23" s="1"/>
  <c r="AK176" i="2"/>
  <c r="R176" i="23" s="1"/>
  <c r="P121" i="23"/>
  <c r="Q121" i="23" s="1"/>
  <c r="P89" i="23"/>
  <c r="Q89" i="23" s="1"/>
  <c r="N142" i="23"/>
  <c r="AB113" i="2"/>
  <c r="O225" i="23"/>
  <c r="T225" i="23" s="1"/>
  <c r="AA89" i="2"/>
  <c r="AA236" i="2"/>
  <c r="AA138" i="2"/>
  <c r="O241" i="23"/>
  <c r="O35" i="23"/>
  <c r="T35" i="23" s="1"/>
  <c r="AB138" i="2"/>
  <c r="O168" i="23"/>
  <c r="O236" i="23"/>
  <c r="T236" i="23" s="1"/>
  <c r="AB201" i="2"/>
  <c r="AB256" i="2"/>
  <c r="AB7" i="2"/>
  <c r="AB89" i="2"/>
  <c r="O128" i="23"/>
  <c r="T128" i="23" s="1"/>
  <c r="AB285" i="2"/>
  <c r="AA225" i="2"/>
  <c r="AB122" i="2"/>
  <c r="AA194" i="2"/>
  <c r="O396" i="32"/>
  <c r="N396" i="32" s="1"/>
  <c r="AB194" i="2"/>
  <c r="O23" i="23"/>
  <c r="T23" i="23" s="1"/>
  <c r="AA256" i="2"/>
  <c r="AA128" i="2"/>
  <c r="O396" i="30"/>
  <c r="N396" i="30" s="1"/>
  <c r="AB271" i="2"/>
  <c r="AA185" i="2"/>
  <c r="AA121" i="2"/>
  <c r="O90" i="23"/>
  <c r="O396" i="26"/>
  <c r="N396" i="26" s="1"/>
  <c r="AA65" i="2"/>
  <c r="AB45" i="2"/>
  <c r="O34" i="23"/>
  <c r="T34" i="23" s="1"/>
  <c r="AB130" i="2"/>
  <c r="O66" i="23"/>
  <c r="T66" i="23" s="1"/>
  <c r="AB284" i="2"/>
  <c r="AB93" i="2"/>
  <c r="O215" i="23"/>
  <c r="O32" i="23"/>
  <c r="T32" i="23" s="1"/>
  <c r="O121" i="23"/>
  <c r="T121" i="23" s="1"/>
  <c r="AA157" i="2"/>
  <c r="AA215" i="2"/>
  <c r="AA32" i="2"/>
  <c r="AA45" i="2"/>
  <c r="AB87" i="2"/>
  <c r="O63" i="23"/>
  <c r="T63" i="23" s="1"/>
  <c r="P146" i="23"/>
  <c r="Q146" i="23" s="1"/>
  <c r="T24" i="26"/>
  <c r="N236" i="23"/>
  <c r="P42" i="23"/>
  <c r="Q42" i="23" s="1"/>
  <c r="AK177" i="2"/>
  <c r="R177" i="23" s="1"/>
  <c r="P93" i="23"/>
  <c r="Q93" i="23" s="1"/>
  <c r="P87" i="23"/>
  <c r="Q87" i="23" s="1"/>
  <c r="S87" i="23"/>
  <c r="AK231" i="2"/>
  <c r="R231" i="23" s="1"/>
  <c r="T231" i="23" s="1"/>
  <c r="P141" i="23"/>
  <c r="Q141" i="23" s="1"/>
  <c r="P122" i="23"/>
  <c r="Q122" i="23" s="1"/>
  <c r="P236" i="23"/>
  <c r="Q236" i="23" s="1"/>
  <c r="AB146" i="2"/>
  <c r="AB103" i="2"/>
  <c r="O11" i="23"/>
  <c r="T11" i="23" s="1"/>
  <c r="AB64" i="2"/>
  <c r="O281" i="26"/>
  <c r="N281" i="26" s="1"/>
  <c r="R186" i="23"/>
  <c r="P186" i="23" s="1"/>
  <c r="Q186" i="23" s="1"/>
  <c r="O392" i="32"/>
  <c r="N392" i="32" s="1"/>
  <c r="O269" i="23"/>
  <c r="O31" i="23"/>
  <c r="T31" i="23" s="1"/>
  <c r="O258" i="23"/>
  <c r="T258" i="23" s="1"/>
  <c r="O392" i="30"/>
  <c r="N392" i="30" s="1"/>
  <c r="AA623" i="2"/>
  <c r="O278" i="23"/>
  <c r="O127" i="23"/>
  <c r="T127" i="23" s="1"/>
  <c r="O281" i="30"/>
  <c r="N281" i="30" s="1"/>
  <c r="O392" i="26"/>
  <c r="N392" i="26" s="1"/>
  <c r="AA643" i="2"/>
  <c r="AA209" i="2"/>
  <c r="AA269" i="2"/>
  <c r="J258" i="23"/>
  <c r="AA94" i="2"/>
  <c r="Z314" i="2"/>
  <c r="AB314" i="2" s="1"/>
  <c r="G211" i="23"/>
  <c r="S211" i="23" s="1"/>
  <c r="AK296" i="2"/>
  <c r="R295" i="23" s="1"/>
  <c r="O92" i="23"/>
  <c r="Z296" i="2"/>
  <c r="AB296" i="2" s="1"/>
  <c r="AQ296" i="2"/>
  <c r="U295" i="23" s="1"/>
  <c r="S130" i="23"/>
  <c r="AK211" i="2"/>
  <c r="R211" i="23" s="1"/>
  <c r="S258" i="23"/>
  <c r="P10" i="23"/>
  <c r="Q10" i="23" s="1"/>
  <c r="AB94" i="2"/>
  <c r="S10" i="23"/>
  <c r="S53" i="23"/>
  <c r="AW91" i="24"/>
  <c r="N94" i="23"/>
  <c r="AK362" i="2"/>
  <c r="P130" i="23"/>
  <c r="Q130" i="23" s="1"/>
  <c r="AA630" i="2"/>
  <c r="AA608" i="2"/>
  <c r="AA627" i="2"/>
  <c r="AA616" i="2"/>
  <c r="AA607" i="2"/>
  <c r="AA611" i="2"/>
  <c r="AA612" i="2"/>
  <c r="AA622" i="2"/>
  <c r="AA638" i="2"/>
  <c r="AA628" i="2"/>
  <c r="O356" i="26"/>
  <c r="N356" i="26" s="1"/>
  <c r="T9" i="23"/>
  <c r="O356" i="30"/>
  <c r="N356" i="30" s="1"/>
  <c r="T248" i="23"/>
  <c r="R272" i="23"/>
  <c r="P272" i="23" s="1"/>
  <c r="Q272" i="23" s="1"/>
  <c r="O309" i="26"/>
  <c r="N309" i="26" s="1"/>
  <c r="O309" i="30"/>
  <c r="N309" i="30" s="1"/>
  <c r="O309" i="32"/>
  <c r="N309" i="32" s="1"/>
  <c r="T188" i="23"/>
  <c r="O198" i="23"/>
  <c r="AA634" i="2"/>
  <c r="AA629" i="2"/>
  <c r="AA614" i="2"/>
  <c r="AA635" i="2"/>
  <c r="AA618" i="2"/>
  <c r="AA615" i="2"/>
  <c r="AA620" i="2"/>
  <c r="AA636" i="2"/>
  <c r="AA645" i="2"/>
  <c r="AA626" i="2"/>
  <c r="AA639" i="2"/>
  <c r="AA644" i="2"/>
  <c r="AA633" i="2"/>
  <c r="AA621" i="2"/>
  <c r="AB235" i="2"/>
  <c r="AA625" i="2"/>
  <c r="AA640" i="2"/>
  <c r="O390" i="26"/>
  <c r="N390" i="26" s="1"/>
  <c r="AA641" i="2"/>
  <c r="O390" i="32"/>
  <c r="N390" i="32" s="1"/>
  <c r="O390" i="30"/>
  <c r="N390" i="30" s="1"/>
  <c r="R261" i="23"/>
  <c r="P261" i="23" s="1"/>
  <c r="Q261" i="23" s="1"/>
  <c r="AA617" i="2"/>
  <c r="AA637" i="2"/>
  <c r="AA613" i="2"/>
  <c r="AA610" i="2"/>
  <c r="AA642" i="2"/>
  <c r="AA624" i="2"/>
  <c r="T250" i="23"/>
  <c r="T242" i="23"/>
  <c r="O154" i="23"/>
  <c r="O361" i="26"/>
  <c r="N361" i="26" s="1"/>
  <c r="N359" i="26" s="1"/>
  <c r="O381" i="32"/>
  <c r="O381" i="30"/>
  <c r="T7" i="23"/>
  <c r="O361" i="30"/>
  <c r="O283" i="30"/>
  <c r="N283" i="30" s="1"/>
  <c r="O305" i="30"/>
  <c r="N305" i="30" s="1"/>
  <c r="R215" i="23"/>
  <c r="P215" i="23" s="1"/>
  <c r="Q215" i="23" s="1"/>
  <c r="R190" i="23"/>
  <c r="P190" i="23" s="1"/>
  <c r="Q190" i="23" s="1"/>
  <c r="O283" i="26"/>
  <c r="AB295" i="2"/>
  <c r="O305" i="26"/>
  <c r="N305" i="26" s="1"/>
  <c r="T240" i="23"/>
  <c r="O287" i="26"/>
  <c r="O287" i="30"/>
  <c r="N287" i="30" s="1"/>
  <c r="N285" i="30" s="1"/>
  <c r="R192" i="23"/>
  <c r="P192" i="23" s="1"/>
  <c r="Q192" i="23" s="1"/>
  <c r="P194" i="23"/>
  <c r="Q194" i="23" s="1"/>
  <c r="AB231" i="2"/>
  <c r="T194" i="23"/>
  <c r="O282" i="32"/>
  <c r="N282" i="32" s="1"/>
  <c r="O282" i="30"/>
  <c r="N282" i="30" s="1"/>
  <c r="O282" i="26"/>
  <c r="N282" i="26" s="1"/>
  <c r="T256" i="23"/>
  <c r="AA605" i="2"/>
  <c r="N134" i="23"/>
  <c r="N157" i="23"/>
  <c r="J134" i="23"/>
  <c r="S132" i="23"/>
  <c r="K359" i="26"/>
  <c r="N52" i="23"/>
  <c r="K285" i="26"/>
  <c r="F300" i="32"/>
  <c r="J307" i="26"/>
  <c r="K379" i="30"/>
  <c r="J368" i="26"/>
  <c r="J354" i="30"/>
  <c r="J353" i="30" s="1"/>
  <c r="J291" i="30"/>
  <c r="J368" i="30"/>
  <c r="J373" i="26"/>
  <c r="J368" i="32"/>
  <c r="J354" i="26"/>
  <c r="J353" i="26" s="1"/>
  <c r="J313" i="32"/>
  <c r="P100" i="23"/>
  <c r="Q100" i="23" s="1"/>
  <c r="AB193" i="2"/>
  <c r="J388" i="32"/>
  <c r="J387" i="32" s="1"/>
  <c r="J386" i="32" s="1"/>
  <c r="J385" i="32" s="1"/>
  <c r="J384" i="32" s="1"/>
  <c r="J383" i="32" s="1"/>
  <c r="J354" i="32"/>
  <c r="J353" i="32" s="1"/>
  <c r="O221" i="23"/>
  <c r="AA193" i="2"/>
  <c r="AB267" i="2"/>
  <c r="AA267" i="2"/>
  <c r="J291" i="32"/>
  <c r="J300" i="32"/>
  <c r="AB223" i="2"/>
  <c r="AA247" i="2"/>
  <c r="AB247" i="2"/>
  <c r="O303" i="30"/>
  <c r="N303" i="30" s="1"/>
  <c r="O303" i="26"/>
  <c r="N303" i="26" s="1"/>
  <c r="R98" i="23"/>
  <c r="P98" i="23" s="1"/>
  <c r="Q98" i="23" s="1"/>
  <c r="AK210" i="2"/>
  <c r="S321" i="32"/>
  <c r="L343" i="32"/>
  <c r="L304" i="32"/>
  <c r="H210" i="23"/>
  <c r="F321" i="32"/>
  <c r="F317" i="32" s="1"/>
  <c r="W224" i="2"/>
  <c r="L336" i="26" s="1"/>
  <c r="F336" i="32"/>
  <c r="Y230" i="2"/>
  <c r="AC230" i="2" s="1"/>
  <c r="F297" i="32"/>
  <c r="L298" i="30"/>
  <c r="L298" i="32"/>
  <c r="F334" i="26"/>
  <c r="F334" i="32"/>
  <c r="L361" i="26"/>
  <c r="L359" i="26" s="1"/>
  <c r="L361" i="32"/>
  <c r="L359" i="32" s="1"/>
  <c r="I279" i="32"/>
  <c r="F277" i="32"/>
  <c r="F276" i="32" s="1"/>
  <c r="F275" i="32" s="1"/>
  <c r="F274" i="32" s="1"/>
  <c r="J373" i="32"/>
  <c r="J277" i="32"/>
  <c r="AK246" i="2"/>
  <c r="S375" i="32"/>
  <c r="Y213" i="2"/>
  <c r="AI106" i="24" s="1"/>
  <c r="F394" i="32"/>
  <c r="F388" i="32" s="1"/>
  <c r="F387" i="32" s="1"/>
  <c r="F386" i="32" s="1"/>
  <c r="F385" i="32" s="1"/>
  <c r="F384" i="32" s="1"/>
  <c r="F383" i="32" s="1"/>
  <c r="L392" i="30"/>
  <c r="L392" i="32"/>
  <c r="W222" i="2"/>
  <c r="L351" i="32" s="1"/>
  <c r="L348" i="32" s="1"/>
  <c r="L347" i="32" s="1"/>
  <c r="F351" i="32"/>
  <c r="F348" i="32" s="1"/>
  <c r="F347" i="32" s="1"/>
  <c r="L381" i="26"/>
  <c r="L379" i="26" s="1"/>
  <c r="L378" i="26" s="1"/>
  <c r="L381" i="32"/>
  <c r="L379" i="32" s="1"/>
  <c r="L378" i="32" s="1"/>
  <c r="L283" i="30"/>
  <c r="L283" i="32"/>
  <c r="L356" i="30"/>
  <c r="L356" i="32"/>
  <c r="Y205" i="2"/>
  <c r="AC205" i="2" s="1"/>
  <c r="F366" i="32"/>
  <c r="F363" i="32" s="1"/>
  <c r="Y197" i="2"/>
  <c r="AC197" i="2" s="1"/>
  <c r="F345" i="32"/>
  <c r="L320" i="30"/>
  <c r="L320" i="32"/>
  <c r="AF68" i="24"/>
  <c r="F344" i="32"/>
  <c r="S340" i="32"/>
  <c r="S310" i="32"/>
  <c r="H246" i="23"/>
  <c r="F375" i="32"/>
  <c r="F340" i="30"/>
  <c r="F310" i="32"/>
  <c r="F307" i="32" s="1"/>
  <c r="K307" i="32" s="1"/>
  <c r="F340" i="32"/>
  <c r="K379" i="32"/>
  <c r="J347" i="32"/>
  <c r="AK219" i="2"/>
  <c r="S335" i="32"/>
  <c r="AK224" i="2"/>
  <c r="S336" i="32"/>
  <c r="Y189" i="2"/>
  <c r="AI71" i="24" s="1"/>
  <c r="F333" i="32"/>
  <c r="AK218" i="2"/>
  <c r="S325" i="32"/>
  <c r="AK270" i="2"/>
  <c r="S376" i="32"/>
  <c r="L305" i="30"/>
  <c r="L305" i="32"/>
  <c r="Y259" i="2"/>
  <c r="M259" i="23" s="1"/>
  <c r="F357" i="32"/>
  <c r="F354" i="32" s="1"/>
  <c r="L370" i="26"/>
  <c r="L370" i="32"/>
  <c r="L303" i="26"/>
  <c r="L303" i="32"/>
  <c r="Y237" i="2"/>
  <c r="AI93" i="24" s="1"/>
  <c r="F371" i="32"/>
  <c r="F368" i="32" s="1"/>
  <c r="W63" i="24"/>
  <c r="L341" i="32"/>
  <c r="K378" i="32"/>
  <c r="J328" i="32"/>
  <c r="L287" i="30"/>
  <c r="L285" i="30" s="1"/>
  <c r="L287" i="32"/>
  <c r="L285" i="32" s="1"/>
  <c r="Y223" i="2"/>
  <c r="AA223" i="2" s="1"/>
  <c r="F338" i="32"/>
  <c r="Y221" i="2"/>
  <c r="AA221" i="2" s="1"/>
  <c r="F330" i="32"/>
  <c r="W202" i="2"/>
  <c r="L332" i="32" s="1"/>
  <c r="F332" i="32"/>
  <c r="AK175" i="2"/>
  <c r="S342" i="32"/>
  <c r="L390" i="30"/>
  <c r="L390" i="32"/>
  <c r="Y218" i="2"/>
  <c r="AI60" i="24" s="1"/>
  <c r="F325" i="32"/>
  <c r="F323" i="32" s="1"/>
  <c r="K323" i="32" s="1"/>
  <c r="L309" i="30"/>
  <c r="L307" i="30" s="1"/>
  <c r="L309" i="32"/>
  <c r="L307" i="32" s="1"/>
  <c r="M307" i="32" s="1"/>
  <c r="Y270" i="2"/>
  <c r="M270" i="23" s="1"/>
  <c r="F376" i="32"/>
  <c r="L282" i="30"/>
  <c r="L282" i="32"/>
  <c r="W245" i="2"/>
  <c r="W31" i="24" s="1"/>
  <c r="F293" i="32"/>
  <c r="W200" i="2"/>
  <c r="W76" i="24" s="1"/>
  <c r="F331" i="32"/>
  <c r="J363" i="32"/>
  <c r="R199" i="23"/>
  <c r="P199" i="23" s="1"/>
  <c r="Q199" i="23" s="1"/>
  <c r="O341" i="32"/>
  <c r="N341" i="32" s="1"/>
  <c r="R137" i="23"/>
  <c r="P137" i="23" s="1"/>
  <c r="Q137" i="23" s="1"/>
  <c r="O365" i="32"/>
  <c r="N365" i="32" s="1"/>
  <c r="R267" i="23"/>
  <c r="P267" i="23" s="1"/>
  <c r="Q267" i="23" s="1"/>
  <c r="O395" i="32"/>
  <c r="N395" i="32" s="1"/>
  <c r="R260" i="23"/>
  <c r="P260" i="23" s="1"/>
  <c r="Q260" i="23" s="1"/>
  <c r="O302" i="32"/>
  <c r="N302" i="32" s="1"/>
  <c r="R78" i="23"/>
  <c r="T78" i="23" s="1"/>
  <c r="O319" i="32"/>
  <c r="N319" i="32" s="1"/>
  <c r="T253" i="26"/>
  <c r="T253" i="32"/>
  <c r="R134" i="23"/>
  <c r="P134" i="23" s="1"/>
  <c r="Q134" i="23" s="1"/>
  <c r="O304" i="32"/>
  <c r="N304" i="32" s="1"/>
  <c r="O343" i="32"/>
  <c r="N343" i="32" s="1"/>
  <c r="R205" i="23"/>
  <c r="O366" i="32"/>
  <c r="N366" i="32" s="1"/>
  <c r="R247" i="23"/>
  <c r="P247" i="23" s="1"/>
  <c r="Q247" i="23" s="1"/>
  <c r="O391" i="32"/>
  <c r="N391" i="32" s="1"/>
  <c r="R117" i="23"/>
  <c r="P117" i="23" s="1"/>
  <c r="Q117" i="23" s="1"/>
  <c r="O337" i="32"/>
  <c r="N337" i="32" s="1"/>
  <c r="O339" i="26"/>
  <c r="N339" i="26" s="1"/>
  <c r="O339" i="32"/>
  <c r="N339" i="32" s="1"/>
  <c r="R193" i="23"/>
  <c r="T193" i="23" s="1"/>
  <c r="O279" i="32"/>
  <c r="N279" i="32" s="1"/>
  <c r="T252" i="26"/>
  <c r="T252" i="32"/>
  <c r="R135" i="23"/>
  <c r="P135" i="23" s="1"/>
  <c r="Q135" i="23" s="1"/>
  <c r="O296" i="32"/>
  <c r="N296" i="32" s="1"/>
  <c r="R208" i="23"/>
  <c r="T208" i="23" s="1"/>
  <c r="O294" i="32"/>
  <c r="N294" i="32" s="1"/>
  <c r="R132" i="23"/>
  <c r="P132" i="23" s="1"/>
  <c r="Q132" i="23" s="1"/>
  <c r="O298" i="32"/>
  <c r="N298" i="32" s="1"/>
  <c r="AA606" i="2"/>
  <c r="AA603" i="2"/>
  <c r="AA602" i="2"/>
  <c r="AA604" i="2"/>
  <c r="AA601" i="2"/>
  <c r="L211" i="21"/>
  <c r="S185" i="23"/>
  <c r="N173" i="23"/>
  <c r="S69" i="23"/>
  <c r="S169" i="23"/>
  <c r="S148" i="23"/>
  <c r="N217" i="23"/>
  <c r="J148" i="23"/>
  <c r="S90" i="23"/>
  <c r="S238" i="23"/>
  <c r="S178" i="23"/>
  <c r="Y436" i="2"/>
  <c r="AC436" i="2" s="1"/>
  <c r="W436" i="2"/>
  <c r="AY110" i="24" s="1"/>
  <c r="S108" i="23"/>
  <c r="J52" i="23"/>
  <c r="P207" i="23"/>
  <c r="Q207" i="23" s="1"/>
  <c r="W430" i="2"/>
  <c r="AY107" i="24" s="1"/>
  <c r="J71" i="23"/>
  <c r="AA79" i="2"/>
  <c r="Y430" i="2"/>
  <c r="AC430" i="2" s="1"/>
  <c r="S110" i="23"/>
  <c r="N102" i="23"/>
  <c r="S46" i="23"/>
  <c r="N71" i="23"/>
  <c r="Y434" i="2"/>
  <c r="AC434" i="2" s="1"/>
  <c r="N186" i="23"/>
  <c r="N158" i="23"/>
  <c r="N199" i="23"/>
  <c r="N116" i="23"/>
  <c r="S68" i="23"/>
  <c r="W434" i="2"/>
  <c r="AY58" i="24" s="1"/>
  <c r="P71" i="23"/>
  <c r="Q71" i="23" s="1"/>
  <c r="L122" i="21"/>
  <c r="P238" i="23"/>
  <c r="Q238" i="23" s="1"/>
  <c r="W474" i="2"/>
  <c r="AY105" i="24" s="1"/>
  <c r="Y474" i="2"/>
  <c r="AC474" i="2" s="1"/>
  <c r="O96" i="23"/>
  <c r="T96" i="23" s="1"/>
  <c r="P204" i="23"/>
  <c r="Q204" i="23" s="1"/>
  <c r="P187" i="23"/>
  <c r="Q187" i="23" s="1"/>
  <c r="T122" i="23"/>
  <c r="O104" i="23"/>
  <c r="T104" i="23" s="1"/>
  <c r="T99" i="23"/>
  <c r="T138" i="23"/>
  <c r="P203" i="23"/>
  <c r="Q203" i="23" s="1"/>
  <c r="J203" i="23"/>
  <c r="S203" i="23"/>
  <c r="P19" i="23"/>
  <c r="Q19" i="23" s="1"/>
  <c r="P110" i="23"/>
  <c r="Q110" i="23" s="1"/>
  <c r="T80" i="23"/>
  <c r="T130" i="23"/>
  <c r="T89" i="23"/>
  <c r="AB191" i="2"/>
  <c r="T87" i="23"/>
  <c r="T146" i="23"/>
  <c r="T95" i="23"/>
  <c r="T112" i="23"/>
  <c r="T136" i="23"/>
  <c r="T140" i="23"/>
  <c r="P79" i="23"/>
  <c r="Q79" i="23" s="1"/>
  <c r="J102" i="23"/>
  <c r="O85" i="23"/>
  <c r="O84" i="23"/>
  <c r="R306" i="23"/>
  <c r="T306" i="23" s="1"/>
  <c r="R282" i="23"/>
  <c r="R310" i="23"/>
  <c r="T310" i="23" s="1"/>
  <c r="R57" i="23"/>
  <c r="P57" i="23" s="1"/>
  <c r="Q57" i="23" s="1"/>
  <c r="R118" i="23"/>
  <c r="P118" i="23" s="1"/>
  <c r="Q118" i="23" s="1"/>
  <c r="R178" i="23"/>
  <c r="P178" i="23" s="1"/>
  <c r="Q178" i="23" s="1"/>
  <c r="O156" i="23"/>
  <c r="O280" i="23"/>
  <c r="O65" i="23"/>
  <c r="T61" i="23"/>
  <c r="O192" i="23"/>
  <c r="O191" i="23"/>
  <c r="O166" i="23"/>
  <c r="T143" i="23"/>
  <c r="O187" i="23"/>
  <c r="T187" i="23" s="1"/>
  <c r="O73" i="23"/>
  <c r="O62" i="23"/>
  <c r="T160" i="23"/>
  <c r="T113" i="23"/>
  <c r="T27" i="23"/>
  <c r="O69" i="23"/>
  <c r="O300" i="23"/>
  <c r="O157" i="23"/>
  <c r="T24" i="23"/>
  <c r="T72" i="23"/>
  <c r="O147" i="23"/>
  <c r="T60" i="23"/>
  <c r="T124" i="23"/>
  <c r="O177" i="23"/>
  <c r="O22" i="23"/>
  <c r="T86" i="23"/>
  <c r="O118" i="23"/>
  <c r="O155" i="23"/>
  <c r="T44" i="23"/>
  <c r="R298" i="23"/>
  <c r="AA96" i="2"/>
  <c r="O51" i="23"/>
  <c r="T91" i="23"/>
  <c r="T214" i="23"/>
  <c r="O70" i="23"/>
  <c r="T70" i="23" s="1"/>
  <c r="O102" i="23"/>
  <c r="AB104" i="2"/>
  <c r="T45" i="23"/>
  <c r="T93" i="23"/>
  <c r="R300" i="23"/>
  <c r="P300" i="23" s="1"/>
  <c r="Q300" i="23" s="1"/>
  <c r="O110" i="23"/>
  <c r="T110" i="23" s="1"/>
  <c r="O184" i="23"/>
  <c r="R158" i="23"/>
  <c r="P158" i="23" s="1"/>
  <c r="Q158" i="23" s="1"/>
  <c r="O169" i="23"/>
  <c r="O186" i="23"/>
  <c r="O162" i="23"/>
  <c r="O101" i="23"/>
  <c r="O149" i="23"/>
  <c r="O47" i="23"/>
  <c r="AY106" i="24"/>
  <c r="L51" i="21"/>
  <c r="O115" i="23"/>
  <c r="R73" i="23"/>
  <c r="M163" i="23"/>
  <c r="H149" i="23"/>
  <c r="L149" i="23" s="1"/>
  <c r="AN110" i="24"/>
  <c r="R280" i="23"/>
  <c r="R311" i="23"/>
  <c r="T311" i="23" s="1"/>
  <c r="Z436" i="2"/>
  <c r="AB436" i="2" s="1"/>
  <c r="AW110" i="24"/>
  <c r="M144" i="23"/>
  <c r="R309" i="23"/>
  <c r="T309" i="23" s="1"/>
  <c r="R50" i="23"/>
  <c r="P50" i="23" s="1"/>
  <c r="Q50" i="23" s="1"/>
  <c r="G309" i="23"/>
  <c r="N75" i="23"/>
  <c r="S75" i="23"/>
  <c r="Z430" i="2"/>
  <c r="AB430" i="2" s="1"/>
  <c r="AW107" i="24"/>
  <c r="J285" i="23"/>
  <c r="R289" i="23"/>
  <c r="T289" i="23" s="1"/>
  <c r="N92" i="23"/>
  <c r="S92" i="23"/>
  <c r="J284" i="23"/>
  <c r="AN107" i="24"/>
  <c r="J295" i="23"/>
  <c r="S19" i="23"/>
  <c r="N19" i="23"/>
  <c r="AK202" i="2"/>
  <c r="G159" i="23"/>
  <c r="M21" i="23"/>
  <c r="M187" i="23"/>
  <c r="H185" i="23"/>
  <c r="M55" i="23"/>
  <c r="M203" i="23"/>
  <c r="M69" i="23"/>
  <c r="M90" i="23"/>
  <c r="M105" i="23"/>
  <c r="M93" i="23"/>
  <c r="M102" i="23"/>
  <c r="R108" i="23"/>
  <c r="P108" i="23" s="1"/>
  <c r="Q108" i="23" s="1"/>
  <c r="R74" i="23"/>
  <c r="P74" i="23" s="1"/>
  <c r="Q74" i="23" s="1"/>
  <c r="R191" i="23"/>
  <c r="P191" i="23" s="1"/>
  <c r="Q191" i="23" s="1"/>
  <c r="R68" i="23"/>
  <c r="P68" i="23" s="1"/>
  <c r="Q68" i="23" s="1"/>
  <c r="R228" i="23"/>
  <c r="P228" i="23" s="1"/>
  <c r="Q228" i="23" s="1"/>
  <c r="R51" i="23"/>
  <c r="P51" i="23" s="1"/>
  <c r="Q51" i="23" s="1"/>
  <c r="R116" i="23"/>
  <c r="P116" i="23" s="1"/>
  <c r="Q116" i="23" s="1"/>
  <c r="R162" i="23"/>
  <c r="N103" i="23"/>
  <c r="S103" i="23"/>
  <c r="R47" i="23"/>
  <c r="P47" i="23" s="1"/>
  <c r="Q47" i="23" s="1"/>
  <c r="R171" i="23"/>
  <c r="P171" i="23" s="1"/>
  <c r="Q171" i="23" s="1"/>
  <c r="R69" i="23"/>
  <c r="P69" i="23" s="1"/>
  <c r="Q69" i="23" s="1"/>
  <c r="N204" i="23"/>
  <c r="S204" i="23"/>
  <c r="R92" i="23"/>
  <c r="P92" i="23" s="1"/>
  <c r="Q92" i="23" s="1"/>
  <c r="R150" i="23"/>
  <c r="P150" i="23" s="1"/>
  <c r="Q150" i="23" s="1"/>
  <c r="R157" i="23"/>
  <c r="P157" i="23" s="1"/>
  <c r="Q157" i="23" s="1"/>
  <c r="J103" i="23"/>
  <c r="H166" i="23"/>
  <c r="L166" i="23" s="1"/>
  <c r="S67" i="23"/>
  <c r="N67" i="23"/>
  <c r="N150" i="23"/>
  <c r="S150" i="23"/>
  <c r="N155" i="23"/>
  <c r="S155" i="23"/>
  <c r="R16" i="23"/>
  <c r="P16" i="23" s="1"/>
  <c r="Q16" i="23" s="1"/>
  <c r="R101" i="23"/>
  <c r="P101" i="23" s="1"/>
  <c r="Q101" i="23" s="1"/>
  <c r="H155" i="23"/>
  <c r="L155" i="23" s="1"/>
  <c r="AN105" i="24"/>
  <c r="J281" i="23"/>
  <c r="M84" i="23"/>
  <c r="M219" i="23"/>
  <c r="H159" i="23"/>
  <c r="L159" i="23" s="1"/>
  <c r="M147" i="23"/>
  <c r="M50" i="23"/>
  <c r="M152" i="23"/>
  <c r="N39" i="23"/>
  <c r="S39" i="23"/>
  <c r="S184" i="23"/>
  <c r="N184" i="23"/>
  <c r="R64" i="23"/>
  <c r="P64" i="23" s="1"/>
  <c r="Q64" i="23" s="1"/>
  <c r="R103" i="23"/>
  <c r="P103" i="23" s="1"/>
  <c r="Q103" i="23" s="1"/>
  <c r="S64" i="23"/>
  <c r="N64" i="23"/>
  <c r="J296" i="23"/>
  <c r="R147" i="23"/>
  <c r="P147" i="23" s="1"/>
  <c r="Q147" i="23" s="1"/>
  <c r="R46" i="23"/>
  <c r="P46" i="23" s="1"/>
  <c r="Q46" i="23" s="1"/>
  <c r="R173" i="23"/>
  <c r="P173" i="23" s="1"/>
  <c r="Q173" i="23" s="1"/>
  <c r="N164" i="23"/>
  <c r="S164" i="23"/>
  <c r="N187" i="23"/>
  <c r="S187" i="23"/>
  <c r="R84" i="23"/>
  <c r="P84" i="23" s="1"/>
  <c r="Q84" i="23" s="1"/>
  <c r="R53" i="23"/>
  <c r="P53" i="23" s="1"/>
  <c r="Q53" i="23" s="1"/>
  <c r="N207" i="23"/>
  <c r="S207" i="23"/>
  <c r="S84" i="23"/>
  <c r="N84" i="23"/>
  <c r="M17" i="23"/>
  <c r="N154" i="23"/>
  <c r="S154" i="23"/>
  <c r="Z434" i="2"/>
  <c r="AW58" i="24"/>
  <c r="G209" i="23"/>
  <c r="J222" i="23"/>
  <c r="H187" i="23"/>
  <c r="L187" i="23" s="1"/>
  <c r="AK229" i="2"/>
  <c r="G167" i="23"/>
  <c r="M199" i="23"/>
  <c r="M79" i="23"/>
  <c r="R222" i="23"/>
  <c r="R115" i="23"/>
  <c r="P115" i="23" s="1"/>
  <c r="Q115" i="23" s="1"/>
  <c r="R54" i="23"/>
  <c r="P54" i="23" s="1"/>
  <c r="Q54" i="23" s="1"/>
  <c r="N151" i="23"/>
  <c r="S151" i="23"/>
  <c r="N168" i="23"/>
  <c r="S168" i="23"/>
  <c r="R65" i="23"/>
  <c r="P65" i="23" s="1"/>
  <c r="Q65" i="23" s="1"/>
  <c r="R29" i="23"/>
  <c r="P29" i="23" s="1"/>
  <c r="Q29" i="23" s="1"/>
  <c r="J286" i="23"/>
  <c r="H167" i="23"/>
  <c r="L167" i="23" s="1"/>
  <c r="S147" i="23"/>
  <c r="N147" i="23"/>
  <c r="R164" i="23"/>
  <c r="P164" i="23" s="1"/>
  <c r="Q164" i="23" s="1"/>
  <c r="R37" i="23"/>
  <c r="P37" i="23" s="1"/>
  <c r="Q37" i="23" s="1"/>
  <c r="R90" i="23"/>
  <c r="P90" i="23" s="1"/>
  <c r="Q90" i="23" s="1"/>
  <c r="H169" i="23"/>
  <c r="H172" i="23"/>
  <c r="R148" i="23"/>
  <c r="P148" i="23" s="1"/>
  <c r="Q148" i="23" s="1"/>
  <c r="R67" i="23"/>
  <c r="P67" i="23" s="1"/>
  <c r="Q67" i="23" s="1"/>
  <c r="R102" i="23"/>
  <c r="P102" i="23" s="1"/>
  <c r="Q102" i="23" s="1"/>
  <c r="J297" i="23"/>
  <c r="J155" i="23"/>
  <c r="R156" i="23"/>
  <c r="P156" i="23" s="1"/>
  <c r="Q156" i="23" s="1"/>
  <c r="P39" i="23"/>
  <c r="Q39" i="23" s="1"/>
  <c r="R169" i="23"/>
  <c r="P169" i="23" s="1"/>
  <c r="Q169" i="23" s="1"/>
  <c r="S172" i="23"/>
  <c r="N172" i="23"/>
  <c r="J68" i="23"/>
  <c r="S156" i="23"/>
  <c r="N156" i="23"/>
  <c r="J200" i="23"/>
  <c r="H150" i="23"/>
  <c r="G182" i="23"/>
  <c r="N182" i="23" s="1"/>
  <c r="M28" i="23"/>
  <c r="H164" i="23"/>
  <c r="R297" i="23"/>
  <c r="P297" i="23" s="1"/>
  <c r="Q297" i="23" s="1"/>
  <c r="R22" i="23"/>
  <c r="P22" i="23" s="1"/>
  <c r="Q22" i="23" s="1"/>
  <c r="R52" i="23"/>
  <c r="P52" i="23" s="1"/>
  <c r="Q52" i="23" s="1"/>
  <c r="R196" i="23"/>
  <c r="P196" i="23" s="1"/>
  <c r="Q196" i="23" s="1"/>
  <c r="R62" i="23"/>
  <c r="P62" i="23" s="1"/>
  <c r="Q62" i="23" s="1"/>
  <c r="S120" i="23"/>
  <c r="N120" i="23"/>
  <c r="R120" i="23"/>
  <c r="P120" i="23" s="1"/>
  <c r="Q120" i="23" s="1"/>
  <c r="R155" i="23"/>
  <c r="P155" i="23" s="1"/>
  <c r="Q155" i="23" s="1"/>
  <c r="O18" i="23"/>
  <c r="T18" i="23" s="1"/>
  <c r="N100" i="23"/>
  <c r="S100" i="23"/>
  <c r="S47" i="23"/>
  <c r="N47" i="23"/>
  <c r="R94" i="23"/>
  <c r="P94" i="23" s="1"/>
  <c r="Q94" i="23" s="1"/>
  <c r="R85" i="23"/>
  <c r="P85" i="23" s="1"/>
  <c r="Q85" i="23" s="1"/>
  <c r="N16" i="23"/>
  <c r="S16" i="23"/>
  <c r="R168" i="23"/>
  <c r="P168" i="23" s="1"/>
  <c r="Q168" i="23" s="1"/>
  <c r="J100" i="23"/>
  <c r="J300" i="23"/>
  <c r="S171" i="23"/>
  <c r="N171" i="23"/>
  <c r="R172" i="23"/>
  <c r="P172" i="23" s="1"/>
  <c r="Q172" i="23" s="1"/>
  <c r="R75" i="23"/>
  <c r="P75" i="23" s="1"/>
  <c r="Q75" i="23" s="1"/>
  <c r="R154" i="23"/>
  <c r="J280" i="23"/>
  <c r="U291" i="23"/>
  <c r="T238" i="26"/>
  <c r="U226" i="23"/>
  <c r="T193" i="26"/>
  <c r="T19" i="26"/>
  <c r="T18" i="26"/>
  <c r="T122" i="26"/>
  <c r="T253" i="30"/>
  <c r="T252" i="30"/>
  <c r="U253" i="23"/>
  <c r="T68" i="26"/>
  <c r="T84" i="26"/>
  <c r="T39" i="26"/>
  <c r="T125" i="26"/>
  <c r="T66" i="26"/>
  <c r="T25" i="26"/>
  <c r="T105" i="26"/>
  <c r="T104" i="26"/>
  <c r="H276" i="23"/>
  <c r="L248" i="21"/>
  <c r="L260" i="21"/>
  <c r="M9" i="23"/>
  <c r="K359" i="30"/>
  <c r="P125" i="23"/>
  <c r="Q125" i="23" s="1"/>
  <c r="P81" i="23"/>
  <c r="Q81" i="23" s="1"/>
  <c r="T97" i="23"/>
  <c r="O319" i="26"/>
  <c r="N319" i="26" s="1"/>
  <c r="T139" i="23"/>
  <c r="O279" i="30"/>
  <c r="T287" i="23"/>
  <c r="L143" i="21"/>
  <c r="L112" i="21"/>
  <c r="T17" i="23"/>
  <c r="T292" i="23"/>
  <c r="O294" i="30"/>
  <c r="T13" i="23"/>
  <c r="O319" i="30"/>
  <c r="N319" i="30" s="1"/>
  <c r="O366" i="30"/>
  <c r="N366" i="30" s="1"/>
  <c r="P233" i="23"/>
  <c r="Q233" i="23" s="1"/>
  <c r="P226" i="23"/>
  <c r="Q226" i="23" s="1"/>
  <c r="P82" i="23"/>
  <c r="Q82" i="23" s="1"/>
  <c r="P104" i="23"/>
  <c r="Q104" i="23" s="1"/>
  <c r="P59" i="23"/>
  <c r="Q59" i="23" s="1"/>
  <c r="P58" i="23"/>
  <c r="Q58" i="23" s="1"/>
  <c r="P106" i="23"/>
  <c r="Q106" i="23" s="1"/>
  <c r="P139" i="23"/>
  <c r="Q139" i="23" s="1"/>
  <c r="T58" i="23"/>
  <c r="T133" i="23"/>
  <c r="O365" i="30"/>
  <c r="T238" i="23"/>
  <c r="O279" i="26"/>
  <c r="O366" i="26"/>
  <c r="N366" i="26" s="1"/>
  <c r="O304" i="30"/>
  <c r="N304" i="30" s="1"/>
  <c r="T106" i="23"/>
  <c r="T126" i="23"/>
  <c r="T277" i="23"/>
  <c r="T77" i="23"/>
  <c r="P109" i="23"/>
  <c r="Q109" i="23" s="1"/>
  <c r="T83" i="23"/>
  <c r="O298" i="26"/>
  <c r="N298" i="26" s="1"/>
  <c r="O294" i="26"/>
  <c r="T55" i="23"/>
  <c r="O302" i="30"/>
  <c r="N302" i="30" s="1"/>
  <c r="O296" i="26"/>
  <c r="N296" i="26" s="1"/>
  <c r="O341" i="30"/>
  <c r="O343" i="26"/>
  <c r="N343" i="26" s="1"/>
  <c r="O302" i="26"/>
  <c r="N302" i="26" s="1"/>
  <c r="O304" i="26"/>
  <c r="N304" i="26" s="1"/>
  <c r="T59" i="23"/>
  <c r="T123" i="23"/>
  <c r="O296" i="30"/>
  <c r="N296" i="30" s="1"/>
  <c r="O343" i="30"/>
  <c r="N343" i="30" s="1"/>
  <c r="O395" i="30"/>
  <c r="N395" i="30" s="1"/>
  <c r="O339" i="30"/>
  <c r="N339" i="30" s="1"/>
  <c r="O391" i="26"/>
  <c r="N391" i="26" s="1"/>
  <c r="O337" i="30"/>
  <c r="N337" i="30" s="1"/>
  <c r="R149" i="23"/>
  <c r="T33" i="23"/>
  <c r="T226" i="23"/>
  <c r="T233" i="23"/>
  <c r="T291" i="23"/>
  <c r="T131" i="23"/>
  <c r="O341" i="26"/>
  <c r="O391" i="30"/>
  <c r="N391" i="30" s="1"/>
  <c r="O395" i="26"/>
  <c r="N395" i="26" s="1"/>
  <c r="T82" i="23"/>
  <c r="T174" i="23"/>
  <c r="T56" i="23"/>
  <c r="O298" i="30"/>
  <c r="N298" i="30" s="1"/>
  <c r="O365" i="26"/>
  <c r="O337" i="26"/>
  <c r="N337" i="26" s="1"/>
  <c r="Z259" i="2"/>
  <c r="O259" i="23" s="1"/>
  <c r="AK259" i="2"/>
  <c r="G212" i="23"/>
  <c r="S212" i="23" s="1"/>
  <c r="AK212" i="2"/>
  <c r="P133" i="23"/>
  <c r="Q133" i="23" s="1"/>
  <c r="Z213" i="2"/>
  <c r="AB213" i="2" s="1"/>
  <c r="AK213" i="2"/>
  <c r="G245" i="23"/>
  <c r="S245" i="23" s="1"/>
  <c r="AK245" i="2"/>
  <c r="Z369" i="2"/>
  <c r="AB369" i="2" s="1"/>
  <c r="AK369" i="2"/>
  <c r="AQ206" i="2"/>
  <c r="AK206" i="2"/>
  <c r="R206" i="23" s="1"/>
  <c r="P292" i="23"/>
  <c r="Q292" i="23" s="1"/>
  <c r="T308" i="23"/>
  <c r="Z251" i="2"/>
  <c r="AB251" i="2" s="1"/>
  <c r="AK251" i="2"/>
  <c r="P77" i="23"/>
  <c r="Q77" i="23" s="1"/>
  <c r="P287" i="23"/>
  <c r="Q287" i="23" s="1"/>
  <c r="P97" i="23"/>
  <c r="Q97" i="23" s="1"/>
  <c r="AX18" i="24"/>
  <c r="N81" i="23"/>
  <c r="N57" i="23"/>
  <c r="Y276" i="2"/>
  <c r="AA179" i="2"/>
  <c r="Y278" i="2"/>
  <c r="AA278" i="2" s="1"/>
  <c r="S81" i="23"/>
  <c r="L361" i="30"/>
  <c r="L359" i="30" s="1"/>
  <c r="Y282" i="2"/>
  <c r="M282" i="23" s="1"/>
  <c r="O41" i="23"/>
  <c r="T41" i="23" s="1"/>
  <c r="H283" i="23"/>
  <c r="W278" i="2"/>
  <c r="AY11" i="24" s="1"/>
  <c r="W356" i="2"/>
  <c r="AY37" i="24" s="1"/>
  <c r="W279" i="2"/>
  <c r="AY18" i="24" s="1"/>
  <c r="AN18" i="24"/>
  <c r="AA41" i="2"/>
  <c r="AB57" i="2"/>
  <c r="AB132" i="2"/>
  <c r="AA132" i="2"/>
  <c r="N311" i="23"/>
  <c r="Y294" i="2"/>
  <c r="AC294" i="2" s="1"/>
  <c r="M67" i="23"/>
  <c r="AC272" i="2"/>
  <c r="AX17" i="24"/>
  <c r="AN17" i="24"/>
  <c r="L5" i="21"/>
  <c r="AC67" i="2"/>
  <c r="J277" i="30"/>
  <c r="J276" i="30" s="1"/>
  <c r="L223" i="21"/>
  <c r="AA7" i="2"/>
  <c r="AA110" i="2"/>
  <c r="N137" i="23"/>
  <c r="M12" i="23"/>
  <c r="O15" i="23"/>
  <c r="T15" i="23" s="1"/>
  <c r="AB55" i="2"/>
  <c r="AB123" i="2"/>
  <c r="AA107" i="2"/>
  <c r="S109" i="23"/>
  <c r="M35" i="23"/>
  <c r="J363" i="30"/>
  <c r="O109" i="23"/>
  <c r="T109" i="23" s="1"/>
  <c r="AA109" i="2"/>
  <c r="AA15" i="2"/>
  <c r="AA13" i="2"/>
  <c r="AB13" i="2"/>
  <c r="AC7" i="2"/>
  <c r="AC15" i="2"/>
  <c r="S97" i="23"/>
  <c r="N228" i="23"/>
  <c r="L39" i="21"/>
  <c r="H293" i="23"/>
  <c r="L293" i="23" s="1"/>
  <c r="AA272" i="2"/>
  <c r="Y283" i="2"/>
  <c r="AX104" i="24"/>
  <c r="AN9" i="24"/>
  <c r="H282" i="23"/>
  <c r="AX9" i="24"/>
  <c r="AE47" i="24"/>
  <c r="M113" i="23"/>
  <c r="AB51" i="2"/>
  <c r="AB83" i="2"/>
  <c r="W294" i="2"/>
  <c r="AY104" i="24" s="1"/>
  <c r="J109" i="23"/>
  <c r="AA83" i="2"/>
  <c r="AA147" i="2"/>
  <c r="AA12" i="2"/>
  <c r="AC232" i="2"/>
  <c r="Y180" i="2"/>
  <c r="J137" i="23"/>
  <c r="AN79" i="24"/>
  <c r="M91" i="23"/>
  <c r="AA34" i="2"/>
  <c r="AC225" i="2"/>
  <c r="W341" i="2"/>
  <c r="AY79" i="24" s="1"/>
  <c r="AN82" i="24"/>
  <c r="P33" i="23"/>
  <c r="Q33" i="23" s="1"/>
  <c r="M56" i="23"/>
  <c r="J97" i="23"/>
  <c r="AA91" i="2"/>
  <c r="S33" i="23"/>
  <c r="M15" i="23"/>
  <c r="AC147" i="2"/>
  <c r="S397" i="30"/>
  <c r="AC72" i="2"/>
  <c r="N33" i="23"/>
  <c r="O52" i="23"/>
  <c r="O135" i="23"/>
  <c r="AB115" i="2"/>
  <c r="AA115" i="2"/>
  <c r="W308" i="2"/>
  <c r="AY62" i="24" s="1"/>
  <c r="AA9" i="2"/>
  <c r="AA124" i="2"/>
  <c r="AF70" i="24"/>
  <c r="AN21" i="24"/>
  <c r="AC79" i="2"/>
  <c r="W197" i="2"/>
  <c r="L155" i="21"/>
  <c r="N109" i="23"/>
  <c r="L341" i="26"/>
  <c r="AN83" i="24"/>
  <c r="M118" i="23"/>
  <c r="M71" i="23"/>
  <c r="AN46" i="24"/>
  <c r="Y176" i="2"/>
  <c r="O81" i="23"/>
  <c r="T81" i="23" s="1"/>
  <c r="O25" i="23"/>
  <c r="T25" i="23" s="1"/>
  <c r="O108" i="23"/>
  <c r="AA25" i="2"/>
  <c r="AB97" i="2"/>
  <c r="AA108" i="2"/>
  <c r="O228" i="23"/>
  <c r="AA97" i="2"/>
  <c r="H278" i="23"/>
  <c r="H279" i="23"/>
  <c r="Y356" i="2"/>
  <c r="AC356" i="2" s="1"/>
  <c r="M123" i="23"/>
  <c r="AX10" i="24"/>
  <c r="N260" i="23"/>
  <c r="AA81" i="2"/>
  <c r="AA455" i="2"/>
  <c r="AA113" i="2"/>
  <c r="AA374" i="2"/>
  <c r="AX11" i="24"/>
  <c r="AX37" i="24"/>
  <c r="W282" i="2"/>
  <c r="AY10" i="24" s="1"/>
  <c r="AA520" i="2"/>
  <c r="H295" i="23"/>
  <c r="L295" i="23" s="1"/>
  <c r="L58" i="21"/>
  <c r="AA500" i="2"/>
  <c r="S310" i="30"/>
  <c r="L70" i="21"/>
  <c r="L82" i="21"/>
  <c r="AA90" i="2"/>
  <c r="S104" i="23"/>
  <c r="M153" i="23"/>
  <c r="Y281" i="2"/>
  <c r="AC281" i="2" s="1"/>
  <c r="AA187" i="2"/>
  <c r="S260" i="23"/>
  <c r="AC179" i="2"/>
  <c r="S162" i="23"/>
  <c r="AA123" i="2"/>
  <c r="AA111" i="2"/>
  <c r="AA155" i="2"/>
  <c r="M111" i="23"/>
  <c r="AA36" i="2"/>
  <c r="AI64" i="24"/>
  <c r="L76" i="21"/>
  <c r="AA504" i="2"/>
  <c r="L146" i="21"/>
  <c r="L214" i="21"/>
  <c r="L150" i="21"/>
  <c r="L216" i="21"/>
  <c r="AC90" i="2"/>
  <c r="N117" i="23"/>
  <c r="Y246" i="2"/>
  <c r="AI95" i="24" s="1"/>
  <c r="F375" i="26"/>
  <c r="Y344" i="2"/>
  <c r="AC344" i="2" s="1"/>
  <c r="AC204" i="2"/>
  <c r="H281" i="23"/>
  <c r="L281" i="23" s="1"/>
  <c r="AA114" i="2"/>
  <c r="M16" i="23"/>
  <c r="W212" i="2"/>
  <c r="W70" i="24" s="1"/>
  <c r="L74" i="21"/>
  <c r="L133" i="21"/>
  <c r="AA50" i="2"/>
  <c r="AC152" i="2"/>
  <c r="N77" i="23"/>
  <c r="L341" i="30"/>
  <c r="W176" i="2"/>
  <c r="W53" i="24" s="1"/>
  <c r="W365" i="2"/>
  <c r="AY83" i="24" s="1"/>
  <c r="AC203" i="2"/>
  <c r="W237" i="2"/>
  <c r="L232" i="21"/>
  <c r="M78" i="23"/>
  <c r="S310" i="26"/>
  <c r="AE70" i="24"/>
  <c r="AC50" i="2"/>
  <c r="AA203" i="2"/>
  <c r="AA27" i="2"/>
  <c r="AA382" i="2"/>
  <c r="S340" i="26"/>
  <c r="S340" i="30"/>
  <c r="J17" i="23"/>
  <c r="F371" i="30"/>
  <c r="F368" i="30" s="1"/>
  <c r="AA348" i="2"/>
  <c r="Y354" i="2"/>
  <c r="AC354" i="2" s="1"/>
  <c r="AF53" i="24"/>
  <c r="AA169" i="2"/>
  <c r="AA166" i="2"/>
  <c r="AA85" i="2"/>
  <c r="AA118" i="2"/>
  <c r="M43" i="23"/>
  <c r="AX46" i="24"/>
  <c r="W354" i="2"/>
  <c r="AY68" i="24" s="1"/>
  <c r="L156" i="21"/>
  <c r="P17" i="23"/>
  <c r="Q17" i="23" s="1"/>
  <c r="M58" i="23"/>
  <c r="L117" i="21"/>
  <c r="L303" i="30"/>
  <c r="AA55" i="2"/>
  <c r="AA164" i="2"/>
  <c r="F310" i="26"/>
  <c r="F307" i="26" s="1"/>
  <c r="F375" i="30"/>
  <c r="AC102" i="2"/>
  <c r="M57" i="23"/>
  <c r="AA153" i="2"/>
  <c r="AA51" i="2"/>
  <c r="S117" i="23"/>
  <c r="S397" i="26"/>
  <c r="AC269" i="2"/>
  <c r="M72" i="23"/>
  <c r="AA57" i="2"/>
  <c r="AX62" i="24"/>
  <c r="AC139" i="2"/>
  <c r="M18" i="23"/>
  <c r="M164" i="23"/>
  <c r="AC130" i="2"/>
  <c r="M124" i="23"/>
  <c r="L36" i="21"/>
  <c r="L6" i="21"/>
  <c r="AA59" i="2"/>
  <c r="H212" i="23"/>
  <c r="H307" i="23"/>
  <c r="W246" i="2"/>
  <c r="AC18" i="2"/>
  <c r="AA35" i="2"/>
  <c r="F340" i="26"/>
  <c r="F310" i="30"/>
  <c r="F307" i="30" s="1"/>
  <c r="M92" i="23"/>
  <c r="AF95" i="24"/>
  <c r="AQ251" i="2"/>
  <c r="U251" i="23" s="1"/>
  <c r="M269" i="23"/>
  <c r="M160" i="23"/>
  <c r="W281" i="2"/>
  <c r="AY21" i="24" s="1"/>
  <c r="L42" i="21"/>
  <c r="AA160" i="2"/>
  <c r="AA16" i="2"/>
  <c r="AA139" i="2"/>
  <c r="AA102" i="2"/>
  <c r="AA92" i="2"/>
  <c r="Y212" i="2"/>
  <c r="M212" i="23" s="1"/>
  <c r="AF42" i="24"/>
  <c r="Y308" i="2"/>
  <c r="AC308" i="2" s="1"/>
  <c r="Y328" i="2"/>
  <c r="AC328" i="2" s="1"/>
  <c r="G251" i="23"/>
  <c r="Y363" i="2"/>
  <c r="AC363" i="2" s="1"/>
  <c r="N135" i="23"/>
  <c r="J135" i="23"/>
  <c r="P18" i="23"/>
  <c r="Q18" i="23" s="1"/>
  <c r="L65" i="21"/>
  <c r="L160" i="21"/>
  <c r="L61" i="21"/>
  <c r="L231" i="21"/>
  <c r="Y316" i="2"/>
  <c r="AC316" i="2" s="1"/>
  <c r="H237" i="23"/>
  <c r="J378" i="30"/>
  <c r="K378" i="30" s="1"/>
  <c r="N78" i="23"/>
  <c r="Y288" i="2"/>
  <c r="AC288" i="2" s="1"/>
  <c r="S78" i="23"/>
  <c r="S17" i="23"/>
  <c r="AF93" i="24"/>
  <c r="L53" i="21"/>
  <c r="L320" i="26"/>
  <c r="N280" i="23"/>
  <c r="M27" i="23"/>
  <c r="AA144" i="2"/>
  <c r="AA69" i="2"/>
  <c r="AA148" i="2"/>
  <c r="N287" i="23"/>
  <c r="Y224" i="2"/>
  <c r="AI73" i="24" s="1"/>
  <c r="F371" i="26"/>
  <c r="F368" i="26" s="1"/>
  <c r="M148" i="23"/>
  <c r="AA158" i="2"/>
  <c r="AA66" i="2"/>
  <c r="AA130" i="2"/>
  <c r="AA52" i="2"/>
  <c r="AA58" i="2"/>
  <c r="O76" i="23"/>
  <c r="T76" i="23" s="1"/>
  <c r="AA23" i="2"/>
  <c r="AE32" i="24"/>
  <c r="S135" i="23"/>
  <c r="AA76" i="2"/>
  <c r="J18" i="23"/>
  <c r="M23" i="23"/>
  <c r="N18" i="23"/>
  <c r="L219" i="21"/>
  <c r="F277" i="26"/>
  <c r="F276" i="26" s="1"/>
  <c r="F275" i="26" s="1"/>
  <c r="F274" i="26" s="1"/>
  <c r="M85" i="23"/>
  <c r="AB134" i="2"/>
  <c r="AA152" i="2"/>
  <c r="AB137" i="2"/>
  <c r="AB290" i="2"/>
  <c r="O152" i="23"/>
  <c r="T152" i="23" s="1"/>
  <c r="AA134" i="2"/>
  <c r="AB158" i="2"/>
  <c r="O158" i="23"/>
  <c r="AA56" i="2"/>
  <c r="O68" i="23"/>
  <c r="AB56" i="2"/>
  <c r="AA137" i="2"/>
  <c r="L32" i="21"/>
  <c r="L249" i="21"/>
  <c r="L142" i="21"/>
  <c r="L253" i="21"/>
  <c r="L251" i="21"/>
  <c r="L239" i="21"/>
  <c r="L41" i="21"/>
  <c r="L176" i="21"/>
  <c r="AA71" i="2"/>
  <c r="O71" i="23"/>
  <c r="T71" i="23" s="1"/>
  <c r="AB117" i="2"/>
  <c r="AA117" i="2"/>
  <c r="AA119" i="2"/>
  <c r="AA257" i="2"/>
  <c r="AA93" i="2"/>
  <c r="AB77" i="2"/>
  <c r="M30" i="23"/>
  <c r="AA75" i="2"/>
  <c r="AA19" i="2"/>
  <c r="Y304" i="2"/>
  <c r="AC304" i="2" s="1"/>
  <c r="AC86" i="2"/>
  <c r="M119" i="23"/>
  <c r="M110" i="23"/>
  <c r="M87" i="23"/>
  <c r="AA77" i="2"/>
  <c r="AC93" i="2"/>
  <c r="AA183" i="2"/>
  <c r="AA103" i="2"/>
  <c r="M103" i="23"/>
  <c r="AA353" i="2"/>
  <c r="AA470" i="2"/>
  <c r="AA357" i="2"/>
  <c r="J317" i="26"/>
  <c r="J313" i="26" s="1"/>
  <c r="AA453" i="2"/>
  <c r="AA526" i="2"/>
  <c r="AB79" i="2"/>
  <c r="J317" i="30"/>
  <c r="J313" i="30" s="1"/>
  <c r="J277" i="26"/>
  <c r="J276" i="26" s="1"/>
  <c r="K276" i="26" s="1"/>
  <c r="AA424" i="2"/>
  <c r="L390" i="26"/>
  <c r="L287" i="26"/>
  <c r="L285" i="26" s="1"/>
  <c r="S73" i="23"/>
  <c r="AA30" i="2"/>
  <c r="AA84" i="2"/>
  <c r="AA86" i="2"/>
  <c r="AI63" i="24"/>
  <c r="F344" i="30"/>
  <c r="L83" i="21"/>
  <c r="S292" i="23"/>
  <c r="AC39" i="2"/>
  <c r="AA39" i="2"/>
  <c r="M183" i="23"/>
  <c r="AN70" i="24"/>
  <c r="O297" i="23"/>
  <c r="O79" i="23"/>
  <c r="T79" i="23" s="1"/>
  <c r="N73" i="23"/>
  <c r="M220" i="23"/>
  <c r="M63" i="23"/>
  <c r="Y200" i="2"/>
  <c r="M200" i="23" s="1"/>
  <c r="M108" i="23"/>
  <c r="AN97" i="24"/>
  <c r="L35" i="21"/>
  <c r="AA87" i="2"/>
  <c r="AA444" i="2"/>
  <c r="Y364" i="2"/>
  <c r="AC364" i="2" s="1"/>
  <c r="Y320" i="2"/>
  <c r="AC320" i="2" s="1"/>
  <c r="AC98" i="2"/>
  <c r="AX84" i="24"/>
  <c r="M19" i="23"/>
  <c r="W216" i="2"/>
  <c r="AC11" i="2"/>
  <c r="M22" i="23"/>
  <c r="L78" i="21"/>
  <c r="AA63" i="2"/>
  <c r="AA38" i="2"/>
  <c r="AA61" i="2"/>
  <c r="AW182" i="21"/>
  <c r="AO287" i="21" s="1"/>
  <c r="Y216" i="2"/>
  <c r="AI68" i="24" s="1"/>
  <c r="AB43" i="2"/>
  <c r="AA220" i="2"/>
  <c r="Y182" i="21"/>
  <c r="AI287" i="21" s="1"/>
  <c r="W364" i="2"/>
  <c r="AY19" i="24" s="1"/>
  <c r="S226" i="23"/>
  <c r="AA11" i="2"/>
  <c r="AA43" i="2"/>
  <c r="AA22" i="2"/>
  <c r="AA95" i="2"/>
  <c r="AA417" i="2"/>
  <c r="AA42" i="2"/>
  <c r="AE182" i="21"/>
  <c r="AL281" i="21" s="1"/>
  <c r="AX19" i="24"/>
  <c r="AC95" i="2"/>
  <c r="AX97" i="24"/>
  <c r="M265" i="23"/>
  <c r="F344" i="26"/>
  <c r="M253" i="23"/>
  <c r="M61" i="23"/>
  <c r="Y249" i="2"/>
  <c r="AC144" i="2"/>
  <c r="W342" i="2"/>
  <c r="AY30" i="24" s="1"/>
  <c r="W218" i="2"/>
  <c r="AC29" i="2"/>
  <c r="M82" i="23"/>
  <c r="J373" i="30"/>
  <c r="M114" i="23"/>
  <c r="S43" i="23"/>
  <c r="P43" i="23"/>
  <c r="Q43" i="23" s="1"/>
  <c r="N43" i="23"/>
  <c r="AA47" i="2"/>
  <c r="AA151" i="2"/>
  <c r="AC155" i="2"/>
  <c r="AC261" i="2"/>
  <c r="M179" i="23"/>
  <c r="M34" i="23"/>
  <c r="M135" i="23"/>
  <c r="M51" i="23"/>
  <c r="L121" i="21"/>
  <c r="L141" i="21"/>
  <c r="L7" i="21"/>
  <c r="L79" i="21"/>
  <c r="AC158" i="2"/>
  <c r="AA254" i="2"/>
  <c r="M140" i="23"/>
  <c r="N289" i="23"/>
  <c r="AC55" i="2"/>
  <c r="H216" i="23"/>
  <c r="L216" i="23" s="1"/>
  <c r="M29" i="23"/>
  <c r="AA135" i="2"/>
  <c r="AA82" i="2"/>
  <c r="AA431" i="2"/>
  <c r="AA120" i="2"/>
  <c r="AE83" i="24"/>
  <c r="AC219" i="2"/>
  <c r="M47" i="23"/>
  <c r="N193" i="23"/>
  <c r="S297" i="23"/>
  <c r="K285" i="30"/>
  <c r="M66" i="23"/>
  <c r="AC69" i="2"/>
  <c r="L224" i="21"/>
  <c r="N79" i="23"/>
  <c r="S79" i="23"/>
  <c r="F331" i="30"/>
  <c r="F331" i="26"/>
  <c r="AF76" i="24"/>
  <c r="H200" i="23"/>
  <c r="L200" i="23" s="1"/>
  <c r="H224" i="23"/>
  <c r="L224" i="23" s="1"/>
  <c r="AC169" i="2"/>
  <c r="L135" i="21"/>
  <c r="M59" i="23"/>
  <c r="AE42" i="24"/>
  <c r="AQ212" i="2"/>
  <c r="U212" i="23" s="1"/>
  <c r="Z212" i="2"/>
  <c r="W286" i="2"/>
  <c r="AY12" i="24" s="1"/>
  <c r="AA54" i="2"/>
  <c r="AA250" i="2"/>
  <c r="M244" i="23"/>
  <c r="Y369" i="2"/>
  <c r="AC369" i="2" s="1"/>
  <c r="S300" i="23"/>
  <c r="AX68" i="24"/>
  <c r="S289" i="23"/>
  <c r="M131" i="23"/>
  <c r="M36" i="23"/>
  <c r="M20" i="23"/>
  <c r="W259" i="2"/>
  <c r="L233" i="21"/>
  <c r="O116" i="23"/>
  <c r="AA534" i="2"/>
  <c r="AA559" i="2"/>
  <c r="AA336" i="2"/>
  <c r="AA163" i="2"/>
  <c r="AX56" i="24"/>
  <c r="Y306" i="2"/>
  <c r="AC306" i="2" s="1"/>
  <c r="Y365" i="2"/>
  <c r="AC365" i="2" s="1"/>
  <c r="Y326" i="2"/>
  <c r="AC326" i="2" s="1"/>
  <c r="AC108" i="2"/>
  <c r="J149" i="23"/>
  <c r="AX79" i="24"/>
  <c r="AX82" i="24"/>
  <c r="AA319" i="2"/>
  <c r="AA591" i="2"/>
  <c r="H309" i="23"/>
  <c r="AN84" i="24"/>
  <c r="AC168" i="2"/>
  <c r="S149" i="23"/>
  <c r="N252" i="23"/>
  <c r="AC163" i="2"/>
  <c r="M73" i="23"/>
  <c r="W264" i="2"/>
  <c r="M74" i="23"/>
  <c r="M42" i="23"/>
  <c r="M122" i="23"/>
  <c r="Y245" i="2"/>
  <c r="AI31" i="24" s="1"/>
  <c r="M38" i="23"/>
  <c r="AA167" i="2"/>
  <c r="AA73" i="2"/>
  <c r="AA74" i="2"/>
  <c r="Y350" i="2"/>
  <c r="AC350" i="2" s="1"/>
  <c r="M44" i="23"/>
  <c r="AC105" i="2"/>
  <c r="E289" i="30"/>
  <c r="E273" i="30" s="1"/>
  <c r="E272" i="30" s="1"/>
  <c r="AA168" i="2"/>
  <c r="AA341" i="2"/>
  <c r="AA172" i="2"/>
  <c r="AA105" i="2"/>
  <c r="AA122" i="2"/>
  <c r="M120" i="23"/>
  <c r="Y300" i="2"/>
  <c r="M299" i="23" s="1"/>
  <c r="AI28" i="24"/>
  <c r="AI84" i="24"/>
  <c r="W363" i="2"/>
  <c r="AY56" i="24" s="1"/>
  <c r="H311" i="23"/>
  <c r="S196" i="23"/>
  <c r="L309" i="26"/>
  <c r="L307" i="26" s="1"/>
  <c r="L370" i="30"/>
  <c r="M172" i="23"/>
  <c r="L52" i="21"/>
  <c r="L137" i="21"/>
  <c r="S96" i="23"/>
  <c r="N96" i="23"/>
  <c r="P96" i="23"/>
  <c r="Q96" i="23" s="1"/>
  <c r="H180" i="23"/>
  <c r="AF9" i="24"/>
  <c r="AC137" i="2"/>
  <c r="M137" i="23"/>
  <c r="AC45" i="2"/>
  <c r="M45" i="23"/>
  <c r="H197" i="23"/>
  <c r="F345" i="30"/>
  <c r="F345" i="26"/>
  <c r="AF65" i="24"/>
  <c r="N59" i="23"/>
  <c r="S59" i="23"/>
  <c r="F334" i="30"/>
  <c r="Y264" i="2"/>
  <c r="H264" i="23"/>
  <c r="AF74" i="24"/>
  <c r="AC26" i="2"/>
  <c r="M26" i="23"/>
  <c r="AA116" i="2"/>
  <c r="AC106" i="2"/>
  <c r="M106" i="23"/>
  <c r="AC14" i="2"/>
  <c r="M14" i="23"/>
  <c r="L221" i="21"/>
  <c r="J196" i="23"/>
  <c r="AB178" i="2"/>
  <c r="O199" i="23"/>
  <c r="AA199" i="2"/>
  <c r="AB203" i="2"/>
  <c r="O203" i="23"/>
  <c r="T203" i="23" s="1"/>
  <c r="AA98" i="2"/>
  <c r="AA446" i="2"/>
  <c r="AA421" i="2"/>
  <c r="AA445" i="2"/>
  <c r="O253" i="23"/>
  <c r="T253" i="23" s="1"/>
  <c r="AA253" i="2"/>
  <c r="AA450" i="2"/>
  <c r="M229" i="23"/>
  <c r="AI104" i="24"/>
  <c r="L207" i="21"/>
  <c r="W350" i="2"/>
  <c r="AY55" i="24" s="1"/>
  <c r="AL182" i="21"/>
  <c r="AL288" i="21" s="1"/>
  <c r="AT182" i="21"/>
  <c r="AO284" i="21" s="1"/>
  <c r="AU182" i="21"/>
  <c r="AO285" i="21" s="1"/>
  <c r="AI55" i="24"/>
  <c r="W304" i="2"/>
  <c r="AY72" i="24" s="1"/>
  <c r="W344" i="2"/>
  <c r="AY51" i="24" s="1"/>
  <c r="W277" i="2"/>
  <c r="AY22" i="24" s="1"/>
  <c r="W243" i="2"/>
  <c r="W16" i="24" s="1"/>
  <c r="W205" i="2"/>
  <c r="W229" i="2"/>
  <c r="L356" i="26"/>
  <c r="H249" i="23"/>
  <c r="L249" i="23" s="1"/>
  <c r="L213" i="21"/>
  <c r="M64" i="23"/>
  <c r="M225" i="23"/>
  <c r="AA481" i="2"/>
  <c r="L282" i="26"/>
  <c r="AF61" i="24"/>
  <c r="M60" i="23"/>
  <c r="Y277" i="2"/>
  <c r="AA277" i="2" s="1"/>
  <c r="M80" i="23"/>
  <c r="AX55" i="24"/>
  <c r="R182" i="21"/>
  <c r="AI280" i="21" s="1"/>
  <c r="AF182" i="21"/>
  <c r="AL282" i="21" s="1"/>
  <c r="W312" i="2"/>
  <c r="AY53" i="24" s="1"/>
  <c r="AX51" i="24"/>
  <c r="AX22" i="24"/>
  <c r="AQ213" i="2"/>
  <c r="U213" i="23" s="1"/>
  <c r="AA126" i="2"/>
  <c r="AA497" i="2"/>
  <c r="AA448" i="2"/>
  <c r="AA136" i="2"/>
  <c r="AA60" i="2"/>
  <c r="AN182" i="21"/>
  <c r="AO278" i="21" s="1"/>
  <c r="M182" i="21"/>
  <c r="AF90" i="24"/>
  <c r="S98" i="23"/>
  <c r="H238" i="23"/>
  <c r="AX53" i="24"/>
  <c r="H277" i="23"/>
  <c r="M291" i="23"/>
  <c r="S394" i="30"/>
  <c r="M126" i="23"/>
  <c r="L72" i="21"/>
  <c r="AA543" i="2"/>
  <c r="AA174" i="2"/>
  <c r="AA131" i="2"/>
  <c r="AA475" i="2"/>
  <c r="O98" i="23"/>
  <c r="AA566" i="2"/>
  <c r="AA598" i="2"/>
  <c r="AA458" i="2"/>
  <c r="H175" i="23"/>
  <c r="F342" i="26"/>
  <c r="W175" i="2"/>
  <c r="L342" i="32" s="1"/>
  <c r="F342" i="30"/>
  <c r="Y175" i="2"/>
  <c r="AF67" i="24"/>
  <c r="H234" i="23"/>
  <c r="AF92" i="24"/>
  <c r="W378" i="2"/>
  <c r="AY32" i="24" s="1"/>
  <c r="M241" i="23"/>
  <c r="Y378" i="2"/>
  <c r="AC378" i="2" s="1"/>
  <c r="Y362" i="2"/>
  <c r="AC362" i="2" s="1"/>
  <c r="Y352" i="2"/>
  <c r="AC352" i="2" s="1"/>
  <c r="Y234" i="2"/>
  <c r="M234" i="23" s="1"/>
  <c r="J388" i="26"/>
  <c r="J387" i="26" s="1"/>
  <c r="J386" i="26" s="1"/>
  <c r="J385" i="26" s="1"/>
  <c r="J384" i="26" s="1"/>
  <c r="J383" i="26" s="1"/>
  <c r="AN60" i="24"/>
  <c r="L227" i="21"/>
  <c r="H229" i="23"/>
  <c r="L229" i="23" s="1"/>
  <c r="AF104" i="24"/>
  <c r="AF111" i="24"/>
  <c r="H205" i="23"/>
  <c r="F366" i="26"/>
  <c r="F363" i="26" s="1"/>
  <c r="AF87" i="24"/>
  <c r="F366" i="30"/>
  <c r="F363" i="30" s="1"/>
  <c r="J182" i="21"/>
  <c r="X182" i="21"/>
  <c r="AI286" i="21" s="1"/>
  <c r="AD182" i="21"/>
  <c r="AL280" i="21" s="1"/>
  <c r="AK182" i="21"/>
  <c r="AL287" i="21" s="1"/>
  <c r="S182" i="21"/>
  <c r="AI281" i="21" s="1"/>
  <c r="AY182" i="21"/>
  <c r="AO289" i="21" s="1"/>
  <c r="AX32" i="24"/>
  <c r="AG182" i="21"/>
  <c r="AL283" i="21" s="1"/>
  <c r="AR182" i="21"/>
  <c r="AO282" i="21" s="1"/>
  <c r="AC182" i="21"/>
  <c r="AL279" i="21" s="1"/>
  <c r="AX182" i="21"/>
  <c r="AO288" i="21" s="1"/>
  <c r="AJ182" i="21"/>
  <c r="AL286" i="21" s="1"/>
  <c r="U182" i="21"/>
  <c r="AP182" i="21"/>
  <c r="AO280" i="21" s="1"/>
  <c r="W182" i="21"/>
  <c r="AI285" i="21" s="1"/>
  <c r="AM182" i="21"/>
  <c r="AL289" i="21" s="1"/>
  <c r="AA140" i="2"/>
  <c r="V182" i="21"/>
  <c r="AI284" i="21" s="1"/>
  <c r="AS182" i="21"/>
  <c r="AO283" i="21" s="1"/>
  <c r="P182" i="21"/>
  <c r="AI278" i="21" s="1"/>
  <c r="AI182" i="21"/>
  <c r="AL285" i="21" s="1"/>
  <c r="AA80" i="2"/>
  <c r="AA339" i="2"/>
  <c r="W316" i="2"/>
  <c r="AY60" i="24" s="1"/>
  <c r="M75" i="23"/>
  <c r="L298" i="26"/>
  <c r="AX91" i="24"/>
  <c r="W324" i="2"/>
  <c r="AY48" i="24" s="1"/>
  <c r="AA429" i="2"/>
  <c r="AA361" i="2"/>
  <c r="AB174" i="2"/>
  <c r="AA420" i="2"/>
  <c r="AA331" i="2"/>
  <c r="AA413" i="2"/>
  <c r="L305" i="26"/>
  <c r="AN48" i="24"/>
  <c r="AB182" i="21"/>
  <c r="AL278" i="21" s="1"/>
  <c r="Q182" i="21"/>
  <c r="AI279" i="21" s="1"/>
  <c r="K182" i="21"/>
  <c r="AH182" i="21"/>
  <c r="AL284" i="21" s="1"/>
  <c r="T182" i="21"/>
  <c r="AI282" i="21" s="1"/>
  <c r="AO182" i="21"/>
  <c r="AO279" i="21" s="1"/>
  <c r="Z182" i="21"/>
  <c r="AI288" i="21" s="1"/>
  <c r="AV182" i="21"/>
  <c r="AO286" i="21" s="1"/>
  <c r="AA182" i="21"/>
  <c r="AI289" i="21" s="1"/>
  <c r="AQ182" i="21"/>
  <c r="AO281" i="21" s="1"/>
  <c r="W280" i="2"/>
  <c r="AY15" i="24" s="1"/>
  <c r="H301" i="23"/>
  <c r="L301" i="23" s="1"/>
  <c r="M171" i="23"/>
  <c r="AC24" i="2"/>
  <c r="Y238" i="2"/>
  <c r="AA238" i="2" s="1"/>
  <c r="Y312" i="2"/>
  <c r="AC312" i="2" s="1"/>
  <c r="AC52" i="2"/>
  <c r="W346" i="2"/>
  <c r="AY29" i="24" s="1"/>
  <c r="F376" i="26"/>
  <c r="L283" i="26"/>
  <c r="W258" i="2"/>
  <c r="W234" i="2"/>
  <c r="W92" i="24" s="1"/>
  <c r="AF35" i="24"/>
  <c r="F293" i="30"/>
  <c r="F293" i="26"/>
  <c r="AF31" i="24"/>
  <c r="H245" i="23"/>
  <c r="L245" i="23" s="1"/>
  <c r="AB131" i="2"/>
  <c r="AA582" i="2"/>
  <c r="AA550" i="2"/>
  <c r="AA573" i="2"/>
  <c r="AA565" i="2"/>
  <c r="L144" i="21"/>
  <c r="AC266" i="2"/>
  <c r="M266" i="23"/>
  <c r="L145" i="21"/>
  <c r="AA567" i="2"/>
  <c r="M243" i="23"/>
  <c r="AI16" i="24"/>
  <c r="N104" i="23"/>
  <c r="M261" i="23"/>
  <c r="AX73" i="24"/>
  <c r="AX15" i="24"/>
  <c r="AX23" i="24"/>
  <c r="AX45" i="24"/>
  <c r="N133" i="23"/>
  <c r="M204" i="23"/>
  <c r="AX8" i="24"/>
  <c r="AQ369" i="2"/>
  <c r="T182" i="26" s="1"/>
  <c r="W270" i="2"/>
  <c r="J388" i="30"/>
  <c r="J387" i="30" s="1"/>
  <c r="J386" i="30" s="1"/>
  <c r="J385" i="30" s="1"/>
  <c r="J384" i="30" s="1"/>
  <c r="J383" i="30" s="1"/>
  <c r="AI21" i="24"/>
  <c r="AA241" i="2"/>
  <c r="M143" i="23"/>
  <c r="J328" i="30"/>
  <c r="J327" i="30" s="1"/>
  <c r="AF94" i="24"/>
  <c r="F376" i="30"/>
  <c r="AN23" i="24"/>
  <c r="W326" i="2"/>
  <c r="AA31" i="2"/>
  <c r="AA171" i="2"/>
  <c r="AA435" i="2"/>
  <c r="AA44" i="2"/>
  <c r="L381" i="30"/>
  <c r="L379" i="30" s="1"/>
  <c r="L378" i="30" s="1"/>
  <c r="Y351" i="2"/>
  <c r="AC351" i="2" s="1"/>
  <c r="Y310" i="2"/>
  <c r="AC310" i="2" s="1"/>
  <c r="Y338" i="2"/>
  <c r="AC338" i="2" s="1"/>
  <c r="M31" i="23"/>
  <c r="AW84" i="24"/>
  <c r="Y227" i="2"/>
  <c r="M227" i="23" s="1"/>
  <c r="AB78" i="2"/>
  <c r="AA406" i="2"/>
  <c r="AA425" i="2"/>
  <c r="AA404" i="2"/>
  <c r="AA392" i="2"/>
  <c r="AA380" i="2"/>
  <c r="AA376" i="2"/>
  <c r="AX96" i="24"/>
  <c r="M136" i="23"/>
  <c r="G213" i="23"/>
  <c r="J213" i="23" s="1"/>
  <c r="H284" i="23"/>
  <c r="L284" i="23" s="1"/>
  <c r="AX48" i="24"/>
  <c r="H270" i="23"/>
  <c r="L270" i="23" s="1"/>
  <c r="M54" i="23"/>
  <c r="AI283" i="21"/>
  <c r="L252" i="21"/>
  <c r="J78" i="23"/>
  <c r="AA330" i="2"/>
  <c r="AB277" i="2"/>
  <c r="AA477" i="2"/>
  <c r="AA372" i="2"/>
  <c r="S357" i="26"/>
  <c r="W290" i="2"/>
  <c r="AY54" i="24" s="1"/>
  <c r="Y298" i="2"/>
  <c r="AA298" i="2" s="1"/>
  <c r="M127" i="23"/>
  <c r="L149" i="21"/>
  <c r="F277" i="30"/>
  <c r="F276" i="30" s="1"/>
  <c r="F275" i="30" s="1"/>
  <c r="F274" i="30" s="1"/>
  <c r="M195" i="23"/>
  <c r="M68" i="23"/>
  <c r="J291" i="26"/>
  <c r="W300" i="2"/>
  <c r="AY49" i="24" s="1"/>
  <c r="AC28" i="2"/>
  <c r="AA28" i="2"/>
  <c r="AQ259" i="2"/>
  <c r="U259" i="23" s="1"/>
  <c r="H289" i="23"/>
  <c r="L289" i="23" s="1"/>
  <c r="H299" i="23"/>
  <c r="J300" i="30"/>
  <c r="AN28" i="24"/>
  <c r="AA64" i="2"/>
  <c r="AA195" i="2"/>
  <c r="AI111" i="24"/>
  <c r="Y340" i="2"/>
  <c r="AA387" i="2"/>
  <c r="AA191" i="2"/>
  <c r="S357" i="30"/>
  <c r="E289" i="26"/>
  <c r="E273" i="26" s="1"/>
  <c r="E272" i="26" s="1"/>
  <c r="Y366" i="2"/>
  <c r="AC366" i="2" s="1"/>
  <c r="W318" i="2"/>
  <c r="AY7" i="24" s="1"/>
  <c r="AC167" i="2"/>
  <c r="W340" i="2"/>
  <c r="AY28" i="24" s="1"/>
  <c r="H297" i="23"/>
  <c r="L297" i="23" s="1"/>
  <c r="L256" i="21"/>
  <c r="AA343" i="2"/>
  <c r="AA390" i="2"/>
  <c r="AA68" i="2"/>
  <c r="AA395" i="2"/>
  <c r="G259" i="23"/>
  <c r="AX54" i="24"/>
  <c r="W351" i="2"/>
  <c r="AY96" i="24" s="1"/>
  <c r="AX7" i="24"/>
  <c r="AN8" i="24"/>
  <c r="AC229" i="2"/>
  <c r="AF20" i="24"/>
  <c r="N208" i="23"/>
  <c r="S252" i="23"/>
  <c r="S394" i="26"/>
  <c r="Y284" i="2"/>
  <c r="AA284" i="2" s="1"/>
  <c r="AX106" i="24"/>
  <c r="M254" i="23"/>
  <c r="M250" i="23"/>
  <c r="L175" i="21"/>
  <c r="L132" i="21"/>
  <c r="L236" i="21"/>
  <c r="AA493" i="2"/>
  <c r="AA533" i="2"/>
  <c r="AA20" i="2"/>
  <c r="AB238" i="2"/>
  <c r="O20" i="23"/>
  <c r="T20" i="23" s="1"/>
  <c r="AA549" i="2"/>
  <c r="AA516" i="2"/>
  <c r="O196" i="23"/>
  <c r="AA78" i="2"/>
  <c r="AA292" i="2"/>
  <c r="AA575" i="2"/>
  <c r="AA581" i="2"/>
  <c r="AC349" i="2"/>
  <c r="AA349" i="2"/>
  <c r="AC215" i="2"/>
  <c r="M215" i="23"/>
  <c r="AA384" i="2"/>
  <c r="AA104" i="2"/>
  <c r="AA125" i="2"/>
  <c r="W366" i="2"/>
  <c r="AY85" i="24" s="1"/>
  <c r="Y226" i="2"/>
  <c r="AA226" i="2" s="1"/>
  <c r="AX77" i="24"/>
  <c r="W352" i="2"/>
  <c r="AY64" i="24" s="1"/>
  <c r="AC84" i="2"/>
  <c r="L392" i="26"/>
  <c r="AC187" i="2"/>
  <c r="AN64" i="24"/>
  <c r="W210" i="2"/>
  <c r="M107" i="23"/>
  <c r="M273" i="23"/>
  <c r="H230" i="23"/>
  <c r="W230" i="2"/>
  <c r="W34" i="24" s="1"/>
  <c r="F297" i="30"/>
  <c r="AF34" i="24"/>
  <c r="F297" i="26"/>
  <c r="AA428" i="2"/>
  <c r="AX12" i="24"/>
  <c r="W328" i="2"/>
  <c r="AY33" i="24" s="1"/>
  <c r="W338" i="2"/>
  <c r="AY93" i="24" s="1"/>
  <c r="AB292" i="2"/>
  <c r="AA467" i="2"/>
  <c r="AA273" i="2"/>
  <c r="O125" i="23"/>
  <c r="T125" i="23" s="1"/>
  <c r="L240" i="21"/>
  <c r="L162" i="21"/>
  <c r="J307" i="30"/>
  <c r="AN45" i="24"/>
  <c r="J300" i="26"/>
  <c r="K378" i="26"/>
  <c r="J98" i="23"/>
  <c r="AX70" i="24"/>
  <c r="AX42" i="24"/>
  <c r="AF89" i="24"/>
  <c r="M24" i="23"/>
  <c r="AA515" i="2"/>
  <c r="AA407" i="2"/>
  <c r="AA146" i="2"/>
  <c r="AA359" i="2"/>
  <c r="AA389" i="2"/>
  <c r="AA332" i="2"/>
  <c r="AA452" i="2"/>
  <c r="AA334" i="2"/>
  <c r="AA558" i="2"/>
  <c r="AB252" i="2"/>
  <c r="AA437" i="2"/>
  <c r="H286" i="23"/>
  <c r="L286" i="23" s="1"/>
  <c r="AX33" i="24"/>
  <c r="W347" i="2"/>
  <c r="AY73" i="24" s="1"/>
  <c r="AX85" i="24"/>
  <c r="W226" i="2"/>
  <c r="W90" i="24" s="1"/>
  <c r="Y302" i="2"/>
  <c r="AC302" i="2" s="1"/>
  <c r="AX93" i="24"/>
  <c r="W349" i="2"/>
  <c r="AY45" i="24" s="1"/>
  <c r="Y296" i="2"/>
  <c r="S267" i="23"/>
  <c r="AA377" i="2"/>
  <c r="AA393" i="2"/>
  <c r="AA322" i="2"/>
  <c r="AA143" i="2"/>
  <c r="AA461" i="2"/>
  <c r="AA385" i="2"/>
  <c r="AA590" i="2"/>
  <c r="AA405" i="2"/>
  <c r="Y368" i="2"/>
  <c r="AC368" i="2" s="1"/>
  <c r="S233" i="23"/>
  <c r="M257" i="23"/>
  <c r="AC76" i="2"/>
  <c r="AC262" i="2"/>
  <c r="Y347" i="2"/>
  <c r="AC347" i="2" s="1"/>
  <c r="W302" i="2"/>
  <c r="AY77" i="24" s="1"/>
  <c r="Y342" i="2"/>
  <c r="AC342" i="2" s="1"/>
  <c r="S193" i="23"/>
  <c r="W296" i="2"/>
  <c r="AY63" i="24" s="1"/>
  <c r="AX72" i="24"/>
  <c r="AC199" i="2"/>
  <c r="AC265" i="2"/>
  <c r="AE106" i="24"/>
  <c r="AC149" i="2"/>
  <c r="M149" i="23"/>
  <c r="AC112" i="2"/>
  <c r="M112" i="23"/>
  <c r="AE49" i="24"/>
  <c r="G206" i="23"/>
  <c r="Z206" i="2"/>
  <c r="AA409" i="2"/>
  <c r="J328" i="26"/>
  <c r="J327" i="26" s="1"/>
  <c r="AA440" i="2"/>
  <c r="AA560" i="2"/>
  <c r="AA574" i="2"/>
  <c r="AA542" i="2"/>
  <c r="AA398" i="2"/>
  <c r="AA473" i="2"/>
  <c r="K379" i="26"/>
  <c r="AA373" i="2"/>
  <c r="AA415" i="2"/>
  <c r="AA379" i="2"/>
  <c r="AA423" i="2"/>
  <c r="AA596" i="2"/>
  <c r="AA521" i="2"/>
  <c r="AA488" i="2"/>
  <c r="AA337" i="2"/>
  <c r="AA345" i="2"/>
  <c r="AA388" i="2"/>
  <c r="AA408" i="2"/>
  <c r="AA397" i="2"/>
  <c r="AA443" i="2"/>
  <c r="AA589" i="2"/>
  <c r="AA451" i="2"/>
  <c r="AA371" i="2"/>
  <c r="AA502" i="2"/>
  <c r="AA511" i="2"/>
  <c r="AI85" i="24"/>
  <c r="M258" i="23"/>
  <c r="AI86" i="24"/>
  <c r="AC258" i="2"/>
  <c r="AA258" i="2"/>
  <c r="AC346" i="2"/>
  <c r="AA346" i="2"/>
  <c r="AF39" i="24"/>
  <c r="F302" i="30"/>
  <c r="F300" i="30" s="1"/>
  <c r="F302" i="26"/>
  <c r="F300" i="26" s="1"/>
  <c r="H260" i="23"/>
  <c r="AF91" i="24"/>
  <c r="Y211" i="2"/>
  <c r="W182" i="2"/>
  <c r="W14" i="24" s="1"/>
  <c r="H182" i="23"/>
  <c r="Y182" i="2"/>
  <c r="M151" i="23" s="1"/>
  <c r="AF14" i="24"/>
  <c r="H233" i="23"/>
  <c r="AF59" i="24"/>
  <c r="Y233" i="2"/>
  <c r="M168" i="23" s="1"/>
  <c r="AA399" i="2"/>
  <c r="AA383" i="2"/>
  <c r="M76" i="23"/>
  <c r="Y314" i="2"/>
  <c r="AC314" i="2" s="1"/>
  <c r="AX29" i="24"/>
  <c r="Y260" i="2"/>
  <c r="AA260" i="2" s="1"/>
  <c r="H211" i="23"/>
  <c r="AC156" i="2"/>
  <c r="M156" i="23"/>
  <c r="AA584" i="2"/>
  <c r="AA546" i="2"/>
  <c r="AA422" i="2"/>
  <c r="AA317" i="2"/>
  <c r="AC279" i="2"/>
  <c r="AN49" i="24"/>
  <c r="M146" i="23"/>
  <c r="W233" i="2"/>
  <c r="W59" i="24" s="1"/>
  <c r="F325" i="26"/>
  <c r="F323" i="26" s="1"/>
  <c r="K323" i="26" s="1"/>
  <c r="AF60" i="24"/>
  <c r="F325" i="30"/>
  <c r="F323" i="30" s="1"/>
  <c r="K323" i="30" s="1"/>
  <c r="H218" i="23"/>
  <c r="AF66" i="24"/>
  <c r="H228" i="23"/>
  <c r="Y228" i="2"/>
  <c r="M166" i="23" s="1"/>
  <c r="AC186" i="2"/>
  <c r="M186" i="23"/>
  <c r="AA335" i="2"/>
  <c r="AA329" i="2"/>
  <c r="AX101" i="24"/>
  <c r="AA426" i="2"/>
  <c r="AA410" i="2"/>
  <c r="AA333" i="2"/>
  <c r="AA367" i="2"/>
  <c r="AA184" i="2"/>
  <c r="AA127" i="2"/>
  <c r="AA360" i="2"/>
  <c r="AA394" i="2"/>
  <c r="Y318" i="2"/>
  <c r="AX30" i="24"/>
  <c r="AN29" i="24"/>
  <c r="S125" i="23"/>
  <c r="AX63" i="24"/>
  <c r="N247" i="23"/>
  <c r="H305" i="23"/>
  <c r="W260" i="2"/>
  <c r="M191" i="23"/>
  <c r="AC159" i="2"/>
  <c r="AQ229" i="2"/>
  <c r="G229" i="23"/>
  <c r="AE111" i="24"/>
  <c r="AE104" i="24"/>
  <c r="Z229" i="2"/>
  <c r="O167" i="23" s="1"/>
  <c r="F336" i="30"/>
  <c r="AF73" i="24"/>
  <c r="F336" i="26"/>
  <c r="AA510" i="2"/>
  <c r="AA547" i="2"/>
  <c r="AA578" i="2"/>
  <c r="AA441" i="2"/>
  <c r="AA541" i="2"/>
  <c r="AA482" i="2"/>
  <c r="AA503" i="2"/>
  <c r="AA579" i="2"/>
  <c r="AA486" i="2"/>
  <c r="AA553" i="2"/>
  <c r="AA471" i="2"/>
  <c r="AA552" i="2"/>
  <c r="AA585" i="2"/>
  <c r="AA556" i="2"/>
  <c r="AA494" i="2"/>
  <c r="AA522" i="2"/>
  <c r="AA462" i="2"/>
  <c r="AA561" i="2"/>
  <c r="AA491" i="2"/>
  <c r="AA535" i="2"/>
  <c r="AA487" i="2"/>
  <c r="AA569" i="2"/>
  <c r="AA447" i="2"/>
  <c r="AA554" i="2"/>
  <c r="AA454" i="2"/>
  <c r="AA439" i="2"/>
  <c r="AA557" i="2"/>
  <c r="AA551" i="2"/>
  <c r="AA594" i="2"/>
  <c r="AA562" i="2"/>
  <c r="AA545" i="2"/>
  <c r="H258" i="23"/>
  <c r="L258" i="23" s="1"/>
  <c r="AF86" i="24"/>
  <c r="AF85" i="24"/>
  <c r="L27" i="21"/>
  <c r="F357" i="26"/>
  <c r="F354" i="26" s="1"/>
  <c r="F353" i="26" s="1"/>
  <c r="H259" i="23"/>
  <c r="AF83" i="24"/>
  <c r="F357" i="30"/>
  <c r="F354" i="30" s="1"/>
  <c r="F353" i="30" s="1"/>
  <c r="M104" i="23"/>
  <c r="Y210" i="2"/>
  <c r="F321" i="26"/>
  <c r="F317" i="26" s="1"/>
  <c r="F313" i="26" s="1"/>
  <c r="AF50" i="24"/>
  <c r="F321" i="30"/>
  <c r="F317" i="30" s="1"/>
  <c r="F313" i="30" s="1"/>
  <c r="AC207" i="2"/>
  <c r="M207" i="23"/>
  <c r="AQ245" i="2"/>
  <c r="U245" i="23" s="1"/>
  <c r="AE31" i="24"/>
  <c r="S293" i="26"/>
  <c r="S293" i="30"/>
  <c r="AE35" i="24"/>
  <c r="Z245" i="2"/>
  <c r="AA499" i="2"/>
  <c r="AA449" i="2"/>
  <c r="AA480" i="2"/>
  <c r="AB312" i="2"/>
  <c r="AA518" i="2"/>
  <c r="AA592" i="2"/>
  <c r="AA508" i="2"/>
  <c r="AA469" i="2"/>
  <c r="AA495" i="2"/>
  <c r="AA484" i="2"/>
  <c r="AA599" i="2"/>
  <c r="AA464" i="2"/>
  <c r="AA457" i="2"/>
  <c r="AA564" i="2"/>
  <c r="AA530" i="2"/>
  <c r="AA577" i="2"/>
  <c r="AA485" i="2"/>
  <c r="AA456" i="2"/>
  <c r="AA519" i="2"/>
  <c r="AA595" i="2"/>
  <c r="AA563" i="2"/>
  <c r="AA531" i="2"/>
  <c r="AA576" i="2"/>
  <c r="AA544" i="2"/>
  <c r="AA498" i="2"/>
  <c r="AB260" i="2"/>
  <c r="AA468" i="2"/>
  <c r="AA506" i="2"/>
  <c r="AA492" i="2"/>
  <c r="AA509" i="2"/>
  <c r="AC145" i="2"/>
  <c r="M145" i="23"/>
  <c r="AF57" i="24"/>
  <c r="H231" i="23"/>
  <c r="AA466" i="2"/>
  <c r="W314" i="2"/>
  <c r="AY101" i="24" s="1"/>
  <c r="N139" i="23"/>
  <c r="S139" i="23"/>
  <c r="AF16" i="24"/>
  <c r="H243" i="23"/>
  <c r="AA396" i="2"/>
  <c r="AA580" i="2"/>
  <c r="AA548" i="2"/>
  <c r="AN66" i="24"/>
  <c r="AC125" i="2"/>
  <c r="Y231" i="2"/>
  <c r="AA459" i="2"/>
  <c r="AA483" i="2"/>
  <c r="AA523" i="2"/>
  <c r="AA370" i="2"/>
  <c r="Y286" i="2"/>
  <c r="AA286" i="2" s="1"/>
  <c r="Y290" i="2"/>
  <c r="AA290" i="2" s="1"/>
  <c r="AC243" i="2"/>
  <c r="H280" i="23"/>
  <c r="L280" i="23" s="1"/>
  <c r="W386" i="2"/>
  <c r="AY66" i="24" s="1"/>
  <c r="AN106" i="24"/>
  <c r="H303" i="23"/>
  <c r="W362" i="2"/>
  <c r="AY91" i="24" s="1"/>
  <c r="S247" i="23"/>
  <c r="W231" i="2"/>
  <c r="W57" i="24" s="1"/>
  <c r="Y201" i="2"/>
  <c r="AF62" i="24"/>
  <c r="H201" i="23"/>
  <c r="AA501" i="2"/>
  <c r="AA463" i="2"/>
  <c r="AA478" i="2"/>
  <c r="AA514" i="2"/>
  <c r="AA507" i="2"/>
  <c r="AA496" i="2"/>
  <c r="AA460" i="2"/>
  <c r="AA412" i="2"/>
  <c r="AA513" i="2"/>
  <c r="AA476" i="2"/>
  <c r="AA427" i="2"/>
  <c r="AA402" i="2"/>
  <c r="AA537" i="2"/>
  <c r="AA411" i="2"/>
  <c r="AA472" i="2"/>
  <c r="AA539" i="2"/>
  <c r="AA586" i="2"/>
  <c r="AA433" i="2"/>
  <c r="AA438" i="2"/>
  <c r="AA416" i="2"/>
  <c r="AA600" i="2"/>
  <c r="AA568" i="2"/>
  <c r="AA536" i="2"/>
  <c r="AA583" i="2"/>
  <c r="AA525" i="2"/>
  <c r="AA490" i="2"/>
  <c r="AA517" i="2"/>
  <c r="AA465" i="2"/>
  <c r="AA414" i="2"/>
  <c r="AA403" i="2"/>
  <c r="AA432" i="2"/>
  <c r="AA442" i="2"/>
  <c r="AA418" i="2"/>
  <c r="AA571" i="2"/>
  <c r="AA489" i="2"/>
  <c r="AA593" i="2"/>
  <c r="AC263" i="2"/>
  <c r="M263" i="23"/>
  <c r="AC100" i="2"/>
  <c r="M100" i="23"/>
  <c r="AC275" i="2"/>
  <c r="M275" i="23"/>
  <c r="AA588" i="2"/>
  <c r="L203" i="21"/>
  <c r="Y196" i="2"/>
  <c r="M155" i="23" s="1"/>
  <c r="M255" i="23"/>
  <c r="AC255" i="2"/>
  <c r="Y181" i="2"/>
  <c r="M150" i="23" s="1"/>
  <c r="H181" i="23"/>
  <c r="L181" i="23" s="1"/>
  <c r="AF11" i="24"/>
  <c r="AA419" i="2"/>
  <c r="P70" i="23"/>
  <c r="Q70" i="23" s="1"/>
  <c r="AC251" i="2"/>
  <c r="AI32" i="24"/>
  <c r="M251" i="23"/>
  <c r="AF7" i="24"/>
  <c r="H227" i="23"/>
  <c r="AA528" i="2"/>
  <c r="AA479" i="2"/>
  <c r="AA400" i="2"/>
  <c r="Y280" i="2"/>
  <c r="AA280" i="2" s="1"/>
  <c r="Y386" i="2"/>
  <c r="AC161" i="2"/>
  <c r="M161" i="23"/>
  <c r="AC10" i="2"/>
  <c r="M10" i="23"/>
  <c r="AC150" i="2"/>
  <c r="AA529" i="2"/>
  <c r="AB208" i="2"/>
  <c r="AA271" i="2"/>
  <c r="M271" i="23"/>
  <c r="AC271" i="2"/>
  <c r="AC375" i="2"/>
  <c r="AA375" i="2"/>
  <c r="M142" i="23"/>
  <c r="AC142" i="2"/>
  <c r="AC154" i="2"/>
  <c r="AA154" i="2"/>
  <c r="M133" i="23"/>
  <c r="AC133" i="2"/>
  <c r="W198" i="2"/>
  <c r="W48" i="24" s="1"/>
  <c r="AF48" i="24"/>
  <c r="H198" i="23"/>
  <c r="L198" i="23" s="1"/>
  <c r="AC209" i="2"/>
  <c r="M209" i="23"/>
  <c r="AF80" i="24"/>
  <c r="Y222" i="2"/>
  <c r="F351" i="30"/>
  <c r="F348" i="30" s="1"/>
  <c r="F351" i="26"/>
  <c r="F348" i="26" s="1"/>
  <c r="H222" i="23"/>
  <c r="L222" i="23" s="1"/>
  <c r="AC165" i="2"/>
  <c r="M165" i="23"/>
  <c r="AC132" i="2"/>
  <c r="M132" i="23"/>
  <c r="AC242" i="2"/>
  <c r="M242" i="23"/>
  <c r="AQ270" i="2"/>
  <c r="S376" i="30"/>
  <c r="S376" i="26"/>
  <c r="Z270" i="2"/>
  <c r="AE94" i="24"/>
  <c r="G270" i="23"/>
  <c r="L237" i="21"/>
  <c r="AX39" i="24"/>
  <c r="AC193" i="2"/>
  <c r="M193" i="23"/>
  <c r="L281" i="30"/>
  <c r="L281" i="26"/>
  <c r="M217" i="23"/>
  <c r="AC217" i="2"/>
  <c r="L226" i="21"/>
  <c r="W206" i="2"/>
  <c r="Y206" i="2"/>
  <c r="AF49" i="24"/>
  <c r="AF47" i="24"/>
  <c r="H206" i="23"/>
  <c r="L206" i="23" s="1"/>
  <c r="AC138" i="2"/>
  <c r="M138" i="23"/>
  <c r="AF109" i="24"/>
  <c r="H196" i="23"/>
  <c r="L196" i="23" s="1"/>
  <c r="AQ175" i="2"/>
  <c r="U175" i="23" s="1"/>
  <c r="S342" i="30"/>
  <c r="AE67" i="24"/>
  <c r="G175" i="23"/>
  <c r="Z175" i="2"/>
  <c r="S342" i="26"/>
  <c r="AF13" i="24"/>
  <c r="Y177" i="2"/>
  <c r="H177" i="23"/>
  <c r="L245" i="21"/>
  <c r="M154" i="23"/>
  <c r="AC236" i="2"/>
  <c r="M236" i="23"/>
  <c r="AC239" i="2"/>
  <c r="M239" i="23"/>
  <c r="F332" i="30"/>
  <c r="Y202" i="2"/>
  <c r="M159" i="23" s="1"/>
  <c r="F332" i="26"/>
  <c r="AF75" i="24"/>
  <c r="H202" i="23"/>
  <c r="L202" i="23" s="1"/>
  <c r="Y198" i="2"/>
  <c r="AC94" i="2"/>
  <c r="M94" i="23"/>
  <c r="AA381" i="2"/>
  <c r="AA572" i="2"/>
  <c r="AA540" i="2"/>
  <c r="AA391" i="2"/>
  <c r="AN39" i="24"/>
  <c r="AC62" i="2"/>
  <c r="M62" i="23"/>
  <c r="L280" i="30"/>
  <c r="L280" i="26"/>
  <c r="N191" i="23"/>
  <c r="S191" i="23"/>
  <c r="AC46" i="2"/>
  <c r="M46" i="23"/>
  <c r="AC70" i="2"/>
  <c r="M70" i="23"/>
  <c r="L365" i="30"/>
  <c r="L365" i="26"/>
  <c r="AC33" i="2"/>
  <c r="M33" i="23"/>
  <c r="M89" i="23"/>
  <c r="AC89" i="2"/>
  <c r="L396" i="30"/>
  <c r="L396" i="26"/>
  <c r="S126" i="23"/>
  <c r="N126" i="23"/>
  <c r="P126" i="23"/>
  <c r="Q126" i="23" s="1"/>
  <c r="N106" i="23"/>
  <c r="S106" i="23"/>
  <c r="S22" i="23"/>
  <c r="N22" i="23"/>
  <c r="W307" i="2"/>
  <c r="AY25" i="24" s="1"/>
  <c r="AX25" i="24"/>
  <c r="Y307" i="2"/>
  <c r="AC307" i="2" s="1"/>
  <c r="H306" i="23"/>
  <c r="M274" i="23"/>
  <c r="AC274" i="2"/>
  <c r="AW104" i="24"/>
  <c r="AQ294" i="2"/>
  <c r="G293" i="23"/>
  <c r="P293" i="23" s="1"/>
  <c r="Q293" i="23" s="1"/>
  <c r="Z294" i="2"/>
  <c r="Y358" i="2"/>
  <c r="AN92" i="24"/>
  <c r="AX92" i="24"/>
  <c r="W358" i="2"/>
  <c r="AY92" i="24" s="1"/>
  <c r="M248" i="23"/>
  <c r="AC248" i="2"/>
  <c r="AC162" i="2"/>
  <c r="M162" i="23"/>
  <c r="AX100" i="24"/>
  <c r="W368" i="2"/>
  <c r="AY100" i="24" s="1"/>
  <c r="AX89" i="24"/>
  <c r="Y325" i="2"/>
  <c r="AC325" i="2" s="1"/>
  <c r="W325" i="2"/>
  <c r="AY89" i="24" s="1"/>
  <c r="AW10" i="24"/>
  <c r="G282" i="23"/>
  <c r="AQ282" i="2"/>
  <c r="Z282" i="2"/>
  <c r="AC77" i="2"/>
  <c r="M77" i="23"/>
  <c r="S54" i="23"/>
  <c r="N54" i="23"/>
  <c r="AN89" i="24"/>
  <c r="AC289" i="2"/>
  <c r="M288" i="23"/>
  <c r="AC192" i="2"/>
  <c r="M192" i="23"/>
  <c r="W271" i="2"/>
  <c r="AY20" i="24" s="1"/>
  <c r="AX20" i="24"/>
  <c r="H271" i="23"/>
  <c r="W309" i="2"/>
  <c r="AY74" i="24" s="1"/>
  <c r="AX74" i="24"/>
  <c r="Y309" i="2"/>
  <c r="AC309" i="2" s="1"/>
  <c r="H308" i="23"/>
  <c r="W252" i="2"/>
  <c r="W56" i="24" s="1"/>
  <c r="AF56" i="24"/>
  <c r="Y252" i="2"/>
  <c r="H252" i="23"/>
  <c r="L395" i="30"/>
  <c r="L395" i="26"/>
  <c r="AQ218" i="2"/>
  <c r="U218" i="23" s="1"/>
  <c r="G218" i="23"/>
  <c r="AE60" i="24"/>
  <c r="Z218" i="2"/>
  <c r="S325" i="30"/>
  <c r="S325" i="26"/>
  <c r="AC134" i="2"/>
  <c r="M134" i="23"/>
  <c r="AC40" i="2"/>
  <c r="M40" i="23"/>
  <c r="AC32" i="2"/>
  <c r="M32" i="23"/>
  <c r="AW32" i="24"/>
  <c r="AQ378" i="2"/>
  <c r="Z378" i="2"/>
  <c r="AN25" i="24"/>
  <c r="AW87" i="24"/>
  <c r="AQ321" i="2"/>
  <c r="T190" i="26" s="1"/>
  <c r="Z321" i="2"/>
  <c r="W221" i="2"/>
  <c r="L330" i="32" s="1"/>
  <c r="H221" i="23"/>
  <c r="F330" i="30"/>
  <c r="F330" i="26"/>
  <c r="AF72" i="24"/>
  <c r="AC194" i="2"/>
  <c r="M194" i="23"/>
  <c r="AC41" i="2"/>
  <c r="M41" i="23"/>
  <c r="M97" i="23"/>
  <c r="AC97" i="2"/>
  <c r="AC37" i="2"/>
  <c r="M37" i="23"/>
  <c r="AX87" i="24"/>
  <c r="W321" i="2"/>
  <c r="AY87" i="24" s="1"/>
  <c r="Y321" i="2"/>
  <c r="AC321" i="2" s="1"/>
  <c r="AQ219" i="2"/>
  <c r="S335" i="26"/>
  <c r="AE64" i="24"/>
  <c r="G219" i="23"/>
  <c r="Z219" i="2"/>
  <c r="S335" i="30"/>
  <c r="L397" i="26"/>
  <c r="L397" i="30"/>
  <c r="W32" i="24"/>
  <c r="L279" i="30"/>
  <c r="L279" i="26"/>
  <c r="AW60" i="24"/>
  <c r="AQ316" i="2"/>
  <c r="T111" i="26" s="1"/>
  <c r="Z316" i="2"/>
  <c r="W64" i="24"/>
  <c r="L335" i="30"/>
  <c r="L335" i="26"/>
  <c r="W311" i="2"/>
  <c r="AY95" i="24" s="1"/>
  <c r="AX95" i="24"/>
  <c r="Y311" i="2"/>
  <c r="AC311" i="2" s="1"/>
  <c r="H310" i="23"/>
  <c r="AW83" i="24"/>
  <c r="J37" i="25" s="1"/>
  <c r="K37" i="25" s="1"/>
  <c r="AQ365" i="2"/>
  <c r="T178" i="26" s="1"/>
  <c r="Z365" i="2"/>
  <c r="AC173" i="2"/>
  <c r="M173" i="23"/>
  <c r="M268" i="23"/>
  <c r="AC268" i="2"/>
  <c r="AW77" i="24"/>
  <c r="AQ302" i="2"/>
  <c r="Z302" i="2"/>
  <c r="G301" i="23"/>
  <c r="J301" i="23" s="1"/>
  <c r="AC190" i="2"/>
  <c r="M190" i="23"/>
  <c r="W301" i="2"/>
  <c r="AY36" i="24" s="1"/>
  <c r="AX36" i="24"/>
  <c r="Y301" i="2"/>
  <c r="H300" i="23"/>
  <c r="L300" i="23" s="1"/>
  <c r="AC109" i="2"/>
  <c r="M109" i="23"/>
  <c r="L343" i="26"/>
  <c r="L304" i="26"/>
  <c r="L304" i="30"/>
  <c r="L343" i="30"/>
  <c r="AQ224" i="2"/>
  <c r="U224" i="23" s="1"/>
  <c r="S336" i="26"/>
  <c r="AE73" i="24"/>
  <c r="G224" i="23"/>
  <c r="J224" i="23" s="1"/>
  <c r="S336" i="30"/>
  <c r="Z224" i="2"/>
  <c r="L393" i="26"/>
  <c r="L393" i="30"/>
  <c r="S375" i="30"/>
  <c r="AE95" i="24"/>
  <c r="S375" i="26"/>
  <c r="AQ246" i="2"/>
  <c r="U246" i="23" s="1"/>
  <c r="G246" i="23"/>
  <c r="Z246" i="2"/>
  <c r="AC81" i="2"/>
  <c r="M81" i="23"/>
  <c r="W235" i="2"/>
  <c r="W58" i="24" s="1"/>
  <c r="AF58" i="24"/>
  <c r="Y235" i="2"/>
  <c r="H235" i="23"/>
  <c r="AC256" i="2"/>
  <c r="M256" i="23"/>
  <c r="W293" i="2"/>
  <c r="AY65" i="24" s="1"/>
  <c r="H292" i="23"/>
  <c r="Y293" i="2"/>
  <c r="AX65" i="24"/>
  <c r="AQ311" i="2"/>
  <c r="AW95" i="24"/>
  <c r="J43" i="25" s="1"/>
  <c r="K43" i="25" s="1"/>
  <c r="G310" i="23"/>
  <c r="Z311" i="2"/>
  <c r="AC174" i="2"/>
  <c r="M174" i="23"/>
  <c r="AC116" i="2"/>
  <c r="M116" i="23"/>
  <c r="AC101" i="2"/>
  <c r="M101" i="23"/>
  <c r="AC96" i="2"/>
  <c r="M96" i="23"/>
  <c r="L209" i="21"/>
  <c r="L208" i="21"/>
  <c r="L210" i="21"/>
  <c r="M49" i="23"/>
  <c r="AC49" i="2"/>
  <c r="AC129" i="2"/>
  <c r="M129" i="23"/>
  <c r="M185" i="23"/>
  <c r="AC185" i="2"/>
  <c r="W287" i="2"/>
  <c r="AY16" i="24" s="1"/>
  <c r="Y287" i="2"/>
  <c r="AX16" i="24"/>
  <c r="H287" i="23"/>
  <c r="AN16" i="24"/>
  <c r="N74" i="23"/>
  <c r="S74" i="23"/>
  <c r="S62" i="23"/>
  <c r="N62" i="23"/>
  <c r="W295" i="2"/>
  <c r="AY78" i="24" s="1"/>
  <c r="Y295" i="2"/>
  <c r="H294" i="23"/>
  <c r="AX78" i="24"/>
  <c r="W274" i="2"/>
  <c r="AY14" i="24" s="1"/>
  <c r="H274" i="23"/>
  <c r="AX14" i="24"/>
  <c r="AN14" i="24"/>
  <c r="AC157" i="2"/>
  <c r="M157" i="23"/>
  <c r="W299" i="2"/>
  <c r="AY75" i="24" s="1"/>
  <c r="AX75" i="24"/>
  <c r="H298" i="23"/>
  <c r="L298" i="23" s="1"/>
  <c r="N118" i="23"/>
  <c r="S118" i="23"/>
  <c r="S50" i="23"/>
  <c r="N50" i="23"/>
  <c r="AN87" i="24"/>
  <c r="AN36" i="24"/>
  <c r="L339" i="26"/>
  <c r="L339" i="30"/>
  <c r="M117" i="23"/>
  <c r="AC117" i="2"/>
  <c r="S82" i="23"/>
  <c r="N82" i="23"/>
  <c r="W305" i="2"/>
  <c r="AY71" i="24" s="1"/>
  <c r="Y305" i="2"/>
  <c r="AX71" i="24"/>
  <c r="H304" i="23"/>
  <c r="AW49" i="24"/>
  <c r="G299" i="23"/>
  <c r="P299" i="23" s="1"/>
  <c r="Q299" i="23" s="1"/>
  <c r="Z300" i="2"/>
  <c r="AQ300" i="2"/>
  <c r="AC188" i="2"/>
  <c r="M188" i="23"/>
  <c r="Y299" i="2"/>
  <c r="AW88" i="24"/>
  <c r="AQ327" i="2"/>
  <c r="T191" i="26" s="1"/>
  <c r="Z327" i="2"/>
  <c r="W291" i="2"/>
  <c r="AY52" i="24" s="1"/>
  <c r="H290" i="23"/>
  <c r="AX52" i="24"/>
  <c r="Y291" i="2"/>
  <c r="AW44" i="24"/>
  <c r="AQ323" i="2"/>
  <c r="T86" i="26" s="1"/>
  <c r="Z323" i="2"/>
  <c r="AN71" i="24"/>
  <c r="AN20" i="24"/>
  <c r="J74" i="23"/>
  <c r="W178" i="2"/>
  <c r="W52" i="24" s="1"/>
  <c r="Y178" i="2"/>
  <c r="H178" i="23"/>
  <c r="AF52" i="24"/>
  <c r="AC121" i="2"/>
  <c r="M121" i="23"/>
  <c r="AC88" i="2"/>
  <c r="M88" i="23"/>
  <c r="S70" i="23"/>
  <c r="N70" i="23"/>
  <c r="N58" i="23"/>
  <c r="S58" i="23"/>
  <c r="J58" i="23"/>
  <c r="AX88" i="24"/>
  <c r="Y327" i="2"/>
  <c r="AC327" i="2" s="1"/>
  <c r="W327" i="2"/>
  <c r="AY88" i="24" s="1"/>
  <c r="AX67" i="24"/>
  <c r="W313" i="2"/>
  <c r="AY67" i="24" s="1"/>
  <c r="Y313" i="2"/>
  <c r="F294" i="30"/>
  <c r="W208" i="2"/>
  <c r="L294" i="32" s="1"/>
  <c r="AF26" i="24"/>
  <c r="Y208" i="2"/>
  <c r="F294" i="26"/>
  <c r="H208" i="23"/>
  <c r="L238" i="21"/>
  <c r="L215" i="21"/>
  <c r="M25" i="23"/>
  <c r="AC25" i="2"/>
  <c r="M65" i="23"/>
  <c r="AC65" i="2"/>
  <c r="AC170" i="2"/>
  <c r="M170" i="23"/>
  <c r="AQ309" i="2"/>
  <c r="G308" i="23"/>
  <c r="P308" i="23" s="1"/>
  <c r="Q308" i="23" s="1"/>
  <c r="AW74" i="24"/>
  <c r="Z309" i="2"/>
  <c r="AQ210" i="2"/>
  <c r="U210" i="23" s="1"/>
  <c r="AE50" i="24"/>
  <c r="S321" i="26"/>
  <c r="G210" i="23"/>
  <c r="S321" i="30"/>
  <c r="Z210" i="2"/>
  <c r="AQ202" i="2"/>
  <c r="U202" i="23" s="1"/>
  <c r="G202" i="23"/>
  <c r="S332" i="26"/>
  <c r="AE75" i="24"/>
  <c r="Z202" i="2"/>
  <c r="O159" i="23" s="1"/>
  <c r="S332" i="30"/>
  <c r="AC247" i="2"/>
  <c r="M247" i="23"/>
  <c r="W303" i="2"/>
  <c r="AY26" i="24" s="1"/>
  <c r="Y303" i="2"/>
  <c r="AX26" i="24"/>
  <c r="H302" i="23"/>
  <c r="AC240" i="2"/>
  <c r="M240" i="23"/>
  <c r="AC141" i="2"/>
  <c r="M141" i="23"/>
  <c r="AX43" i="24"/>
  <c r="Y315" i="2"/>
  <c r="W315" i="2"/>
  <c r="AY43" i="24" s="1"/>
  <c r="AQ307" i="2"/>
  <c r="G306" i="23"/>
  <c r="AW25" i="24"/>
  <c r="Z307" i="2"/>
  <c r="AN43" i="24"/>
  <c r="W297" i="2"/>
  <c r="AY76" i="24" s="1"/>
  <c r="AX76" i="24"/>
  <c r="H296" i="23"/>
  <c r="L296" i="23" s="1"/>
  <c r="Y297" i="2"/>
  <c r="AN65" i="24"/>
  <c r="M214" i="23"/>
  <c r="AC214" i="2"/>
  <c r="AX44" i="24"/>
  <c r="W323" i="2"/>
  <c r="AY44" i="24" s="1"/>
  <c r="Y323" i="2"/>
  <c r="AC323" i="2" s="1"/>
  <c r="W223" i="2"/>
  <c r="L338" i="32" s="1"/>
  <c r="F338" i="30"/>
  <c r="H223" i="23"/>
  <c r="F338" i="26"/>
  <c r="AF77" i="24"/>
  <c r="L391" i="26"/>
  <c r="L391" i="30"/>
  <c r="AN75" i="24"/>
  <c r="W189" i="2"/>
  <c r="L333" i="32" s="1"/>
  <c r="AF71" i="24"/>
  <c r="F333" i="26"/>
  <c r="H189" i="23"/>
  <c r="L189" i="23" s="1"/>
  <c r="F333" i="30"/>
  <c r="AQ299" i="2"/>
  <c r="Z299" i="2"/>
  <c r="AW75" i="24"/>
  <c r="G298" i="23"/>
  <c r="W285" i="2"/>
  <c r="AY13" i="24" s="1"/>
  <c r="AX13" i="24"/>
  <c r="Y285" i="2"/>
  <c r="H285" i="23"/>
  <c r="L285" i="23" s="1"/>
  <c r="AC267" i="2"/>
  <c r="M267" i="23"/>
  <c r="AW89" i="24"/>
  <c r="AQ325" i="2"/>
  <c r="T192" i="26" s="1"/>
  <c r="Z325" i="2"/>
  <c r="W213" i="2"/>
  <c r="L394" i="32" s="1"/>
  <c r="H213" i="23"/>
  <c r="L213" i="23" s="1"/>
  <c r="F394" i="26"/>
  <c r="F388" i="26" s="1"/>
  <c r="F387" i="26" s="1"/>
  <c r="F386" i="26" s="1"/>
  <c r="F385" i="26" s="1"/>
  <c r="F384" i="26" s="1"/>
  <c r="F383" i="26" s="1"/>
  <c r="AF106" i="24"/>
  <c r="F394" i="30"/>
  <c r="F388" i="30" s="1"/>
  <c r="F387" i="30" s="1"/>
  <c r="F386" i="30" s="1"/>
  <c r="F385" i="30" s="1"/>
  <c r="F384" i="30" s="1"/>
  <c r="F383" i="30" s="1"/>
  <c r="AC128" i="2"/>
  <c r="M128" i="23"/>
  <c r="AC53" i="2"/>
  <c r="M53" i="23"/>
  <c r="AC48" i="2"/>
  <c r="M48" i="23"/>
  <c r="J106" i="23"/>
  <c r="N188" i="26"/>
  <c r="N33" i="27" s="1"/>
  <c r="N234" i="30"/>
  <c r="N233" i="30" s="1"/>
  <c r="N82" i="30"/>
  <c r="L179" i="28"/>
  <c r="M179" i="28" s="1"/>
  <c r="L7" i="30"/>
  <c r="L6" i="30" s="1"/>
  <c r="L5" i="30" s="1"/>
  <c r="N140" i="30"/>
  <c r="N139" i="30" s="1"/>
  <c r="AA524" i="2"/>
  <c r="J231" i="30"/>
  <c r="K231" i="30" s="1"/>
  <c r="K230" i="30" s="1"/>
  <c r="K229" i="30" s="1"/>
  <c r="K228" i="30" s="1"/>
  <c r="K227" i="30" s="1"/>
  <c r="K226" i="30" s="1"/>
  <c r="L241" i="30"/>
  <c r="L231" i="30" s="1"/>
  <c r="L230" i="30" s="1"/>
  <c r="L229" i="30" s="1"/>
  <c r="L228" i="30" s="1"/>
  <c r="L227" i="30" s="1"/>
  <c r="L226" i="30" s="1"/>
  <c r="N31" i="27"/>
  <c r="L116" i="26"/>
  <c r="L19" i="27" s="1"/>
  <c r="L14" i="27"/>
  <c r="L13" i="27"/>
  <c r="AA527" i="2"/>
  <c r="N51" i="30"/>
  <c r="N91" i="26"/>
  <c r="N17" i="27" s="1"/>
  <c r="L33" i="28"/>
  <c r="M33" i="28" s="1"/>
  <c r="N51" i="26"/>
  <c r="N13" i="27" s="1"/>
  <c r="L20" i="27"/>
  <c r="N139" i="26"/>
  <c r="N21" i="27" s="1"/>
  <c r="N100" i="26"/>
  <c r="N18" i="27" s="1"/>
  <c r="L160" i="28"/>
  <c r="M160" i="28" s="1"/>
  <c r="M50" i="30"/>
  <c r="M49" i="30" s="1"/>
  <c r="M4" i="30" s="1"/>
  <c r="M3" i="30" s="1"/>
  <c r="N8" i="30"/>
  <c r="J90" i="26"/>
  <c r="J16" i="27" s="1"/>
  <c r="L50" i="30"/>
  <c r="J90" i="30"/>
  <c r="K90" i="30" s="1"/>
  <c r="L209" i="28"/>
  <c r="L200" i="28" s="1"/>
  <c r="L195" i="28" s="1"/>
  <c r="L194" i="28" s="1"/>
  <c r="L193" i="28" s="1"/>
  <c r="L192" i="28" s="1"/>
  <c r="L191" i="28" s="1"/>
  <c r="L190" i="28" s="1"/>
  <c r="N209" i="26"/>
  <c r="N37" i="27" s="1"/>
  <c r="N216" i="26"/>
  <c r="N38" i="27" s="1"/>
  <c r="N39" i="27"/>
  <c r="AA597" i="2"/>
  <c r="AA587" i="2"/>
  <c r="AA555" i="2"/>
  <c r="AA570" i="2"/>
  <c r="AA538" i="2"/>
  <c r="AA505" i="2"/>
  <c r="M82" i="26"/>
  <c r="M15" i="27" s="1"/>
  <c r="L118" i="28"/>
  <c r="M118" i="28" s="1"/>
  <c r="AA512" i="2"/>
  <c r="L90" i="30"/>
  <c r="N8" i="27"/>
  <c r="N7" i="26"/>
  <c r="K209" i="28"/>
  <c r="K41" i="28"/>
  <c r="J40" i="28"/>
  <c r="K179" i="28"/>
  <c r="L222" i="21"/>
  <c r="L174" i="21"/>
  <c r="L241" i="21"/>
  <c r="J12" i="27"/>
  <c r="M13" i="27"/>
  <c r="M150" i="28"/>
  <c r="M149" i="28" s="1"/>
  <c r="J149" i="28"/>
  <c r="K149" i="28" s="1"/>
  <c r="K150" i="28"/>
  <c r="J7" i="28"/>
  <c r="K8" i="28"/>
  <c r="K76" i="28"/>
  <c r="K160" i="28"/>
  <c r="L230" i="21"/>
  <c r="L41" i="28"/>
  <c r="N117" i="30"/>
  <c r="N116" i="30" s="1"/>
  <c r="AW68" i="24"/>
  <c r="AQ354" i="2"/>
  <c r="T124" i="26" s="1"/>
  <c r="Z354" i="2"/>
  <c r="J117" i="28"/>
  <c r="K117" i="28" s="1"/>
  <c r="K118" i="28"/>
  <c r="L61" i="28"/>
  <c r="M61" i="28" s="1"/>
  <c r="L98" i="28"/>
  <c r="L97" i="28" s="1"/>
  <c r="K166" i="28"/>
  <c r="K207" i="28"/>
  <c r="M207" i="28"/>
  <c r="L50" i="26"/>
  <c r="AW37" i="24"/>
  <c r="AQ356" i="2"/>
  <c r="T67" i="26" s="1"/>
  <c r="Z356" i="2"/>
  <c r="M123" i="28"/>
  <c r="K123" i="28"/>
  <c r="K154" i="28"/>
  <c r="L84" i="28"/>
  <c r="M84" i="28" s="1"/>
  <c r="J46" i="27"/>
  <c r="J231" i="26"/>
  <c r="K233" i="26"/>
  <c r="K46" i="27" s="1"/>
  <c r="J7" i="27"/>
  <c r="K7" i="26"/>
  <c r="K7" i="27" s="1"/>
  <c r="J6" i="26"/>
  <c r="N37" i="30"/>
  <c r="K61" i="28"/>
  <c r="AW64" i="24"/>
  <c r="AQ352" i="2"/>
  <c r="T121" i="26" s="1"/>
  <c r="Z352" i="2"/>
  <c r="N116" i="26"/>
  <c r="N19" i="27" s="1"/>
  <c r="N20" i="27"/>
  <c r="K204" i="28"/>
  <c r="M204" i="28"/>
  <c r="K7" i="30"/>
  <c r="J6" i="30"/>
  <c r="K68" i="28"/>
  <c r="M198" i="28"/>
  <c r="M197" i="28" s="1"/>
  <c r="J197" i="28"/>
  <c r="L154" i="28"/>
  <c r="M154" i="28" s="1"/>
  <c r="N82" i="26"/>
  <c r="N15" i="27" s="1"/>
  <c r="L64" i="27"/>
  <c r="N251" i="26"/>
  <c r="N64" i="27" s="1"/>
  <c r="K84" i="28"/>
  <c r="J54" i="27"/>
  <c r="K241" i="26"/>
  <c r="K54" i="27" s="1"/>
  <c r="L8" i="27"/>
  <c r="L7" i="26"/>
  <c r="N47" i="27"/>
  <c r="N233" i="26"/>
  <c r="N46" i="27" s="1"/>
  <c r="L233" i="26"/>
  <c r="L47" i="27"/>
  <c r="K33" i="28"/>
  <c r="AX94" i="24"/>
  <c r="W375" i="2"/>
  <c r="AY94" i="24" s="1"/>
  <c r="L57" i="27"/>
  <c r="L241" i="26"/>
  <c r="L54" i="27" s="1"/>
  <c r="AN94" i="24"/>
  <c r="L68" i="28"/>
  <c r="M68" i="28" s="1"/>
  <c r="L8" i="28"/>
  <c r="L76" i="28"/>
  <c r="M76" i="28" s="1"/>
  <c r="L183" i="21"/>
  <c r="L225" i="21"/>
  <c r="L243" i="21"/>
  <c r="AY69" i="24"/>
  <c r="AY41" i="24"/>
  <c r="K201" i="28"/>
  <c r="J200" i="28"/>
  <c r="M8" i="26"/>
  <c r="L198" i="21"/>
  <c r="AW85" i="24"/>
  <c r="AQ366" i="2"/>
  <c r="T183" i="26" s="1"/>
  <c r="Z366" i="2"/>
  <c r="K98" i="28"/>
  <c r="J97" i="28"/>
  <c r="K97" i="28" s="1"/>
  <c r="L166" i="28"/>
  <c r="M166" i="28" s="1"/>
  <c r="P221" i="23" l="1"/>
  <c r="Q221" i="23" s="1"/>
  <c r="P257" i="23"/>
  <c r="Q257" i="23" s="1"/>
  <c r="T269" i="23"/>
  <c r="T183" i="23"/>
  <c r="P263" i="23"/>
  <c r="Q263" i="23" s="1"/>
  <c r="T254" i="23"/>
  <c r="O333" i="32"/>
  <c r="N333" i="32" s="1"/>
  <c r="T245" i="32"/>
  <c r="O394" i="32"/>
  <c r="N394" i="32" s="1"/>
  <c r="O325" i="32"/>
  <c r="N325" i="32" s="1"/>
  <c r="N323" i="32" s="1"/>
  <c r="O334" i="26"/>
  <c r="N334" i="26" s="1"/>
  <c r="R237" i="23"/>
  <c r="P237" i="23" s="1"/>
  <c r="Q237" i="23" s="1"/>
  <c r="O375" i="26"/>
  <c r="N375" i="26" s="1"/>
  <c r="O397" i="32"/>
  <c r="N397" i="32" s="1"/>
  <c r="R216" i="23"/>
  <c r="P216" i="23" s="1"/>
  <c r="Q216" i="23" s="1"/>
  <c r="T246" i="32"/>
  <c r="R224" i="23"/>
  <c r="P224" i="23" s="1"/>
  <c r="Q224" i="23" s="1"/>
  <c r="R230" i="23"/>
  <c r="P230" i="23" s="1"/>
  <c r="Q230" i="23" s="1"/>
  <c r="O357" i="32"/>
  <c r="N357" i="32" s="1"/>
  <c r="N354" i="32" s="1"/>
  <c r="N353" i="32" s="1"/>
  <c r="O338" i="26"/>
  <c r="N338" i="26" s="1"/>
  <c r="O335" i="26"/>
  <c r="N335" i="26" s="1"/>
  <c r="R210" i="23"/>
  <c r="P210" i="23" s="1"/>
  <c r="Q210" i="23" s="1"/>
  <c r="O293" i="32"/>
  <c r="N293" i="32" s="1"/>
  <c r="O342" i="32"/>
  <c r="N342" i="32" s="1"/>
  <c r="O376" i="32"/>
  <c r="N376" i="32" s="1"/>
  <c r="O331" i="32"/>
  <c r="N331" i="32" s="1"/>
  <c r="T256" i="26"/>
  <c r="O345" i="32"/>
  <c r="N345" i="32" s="1"/>
  <c r="S201" i="23"/>
  <c r="S271" i="23"/>
  <c r="AC213" i="2"/>
  <c r="AC189" i="2"/>
  <c r="S243" i="23"/>
  <c r="N177" i="23"/>
  <c r="N222" i="23"/>
  <c r="S181" i="23"/>
  <c r="S274" i="23"/>
  <c r="M213" i="23"/>
  <c r="L351" i="30"/>
  <c r="L348" i="30" s="1"/>
  <c r="L347" i="30" s="1"/>
  <c r="S241" i="23"/>
  <c r="S302" i="23"/>
  <c r="S294" i="23"/>
  <c r="N237" i="23"/>
  <c r="P181" i="23"/>
  <c r="Q181" i="23" s="1"/>
  <c r="N205" i="23"/>
  <c r="N181" i="23"/>
  <c r="AI87" i="24"/>
  <c r="M223" i="23"/>
  <c r="N231" i="23"/>
  <c r="N189" i="23"/>
  <c r="M189" i="23"/>
  <c r="N179" i="23"/>
  <c r="N235" i="23"/>
  <c r="N221" i="23"/>
  <c r="N223" i="23"/>
  <c r="N227" i="23"/>
  <c r="S189" i="23"/>
  <c r="W80" i="24"/>
  <c r="S265" i="23"/>
  <c r="M221" i="23"/>
  <c r="N276" i="23"/>
  <c r="S232" i="23"/>
  <c r="P232" i="23"/>
  <c r="Q232" i="23" s="1"/>
  <c r="W35" i="24"/>
  <c r="AI72" i="24"/>
  <c r="L332" i="26"/>
  <c r="S197" i="23"/>
  <c r="L332" i="30"/>
  <c r="J198" i="23"/>
  <c r="N198" i="23"/>
  <c r="AA189" i="2"/>
  <c r="S290" i="23"/>
  <c r="O189" i="23"/>
  <c r="S281" i="23"/>
  <c r="N303" i="23"/>
  <c r="AC221" i="2"/>
  <c r="AC259" i="2"/>
  <c r="AI83" i="24"/>
  <c r="AC270" i="2"/>
  <c r="AI94" i="24"/>
  <c r="S230" i="23"/>
  <c r="AC218" i="2"/>
  <c r="N286" i="23"/>
  <c r="S176" i="23"/>
  <c r="AC223" i="2"/>
  <c r="L331" i="26"/>
  <c r="K363" i="26"/>
  <c r="J21" i="25"/>
  <c r="K21" i="25" s="1"/>
  <c r="L336" i="30"/>
  <c r="M205" i="23"/>
  <c r="P276" i="23"/>
  <c r="Q276" i="23" s="1"/>
  <c r="N295" i="23"/>
  <c r="P222" i="23"/>
  <c r="Q222" i="23" s="1"/>
  <c r="M197" i="23"/>
  <c r="AI65" i="24"/>
  <c r="N200" i="23"/>
  <c r="S216" i="23"/>
  <c r="N216" i="23"/>
  <c r="S296" i="23"/>
  <c r="M230" i="23"/>
  <c r="N307" i="23"/>
  <c r="P274" i="23"/>
  <c r="Q274" i="23" s="1"/>
  <c r="T55" i="26"/>
  <c r="M237" i="23"/>
  <c r="AA244" i="2"/>
  <c r="T127" i="26"/>
  <c r="AA232" i="2"/>
  <c r="AB232" i="2"/>
  <c r="O244" i="23"/>
  <c r="T244" i="23" s="1"/>
  <c r="T184" i="23"/>
  <c r="P281" i="23"/>
  <c r="Q281" i="23" s="1"/>
  <c r="AI77" i="24"/>
  <c r="W75" i="24"/>
  <c r="S262" i="23"/>
  <c r="N262" i="23"/>
  <c r="P283" i="23"/>
  <c r="Q283" i="23" s="1"/>
  <c r="AC237" i="2"/>
  <c r="S279" i="23"/>
  <c r="O371" i="26"/>
  <c r="N371" i="26" s="1"/>
  <c r="N368" i="26" s="1"/>
  <c r="J40" i="25"/>
  <c r="K40" i="25" s="1"/>
  <c r="R189" i="23"/>
  <c r="P189" i="23" s="1"/>
  <c r="Q189" i="23" s="1"/>
  <c r="O333" i="30"/>
  <c r="N333" i="30" s="1"/>
  <c r="O371" i="32"/>
  <c r="N371" i="32" s="1"/>
  <c r="N368" i="32" s="1"/>
  <c r="O371" i="30"/>
  <c r="N371" i="30" s="1"/>
  <c r="N368" i="30" s="1"/>
  <c r="O333" i="26"/>
  <c r="N333" i="26" s="1"/>
  <c r="T241" i="23"/>
  <c r="T278" i="23"/>
  <c r="AA237" i="2"/>
  <c r="O237" i="23"/>
  <c r="N211" i="23"/>
  <c r="S283" i="23"/>
  <c r="S180" i="23"/>
  <c r="S278" i="23"/>
  <c r="P304" i="23"/>
  <c r="Q304" i="23" s="1"/>
  <c r="M218" i="23"/>
  <c r="N304" i="23"/>
  <c r="P265" i="23"/>
  <c r="Q265" i="23" s="1"/>
  <c r="N285" i="23"/>
  <c r="P179" i="23"/>
  <c r="Q179" i="23" s="1"/>
  <c r="N284" i="23"/>
  <c r="P201" i="23"/>
  <c r="Q201" i="23" s="1"/>
  <c r="T179" i="23"/>
  <c r="J23" i="25"/>
  <c r="K23" i="25" s="1"/>
  <c r="AA276" i="2"/>
  <c r="O276" i="23"/>
  <c r="T276" i="23" s="1"/>
  <c r="AA265" i="2"/>
  <c r="T305" i="23"/>
  <c r="O338" i="32"/>
  <c r="N338" i="32" s="1"/>
  <c r="O338" i="30"/>
  <c r="N338" i="30" s="1"/>
  <c r="R223" i="23"/>
  <c r="T223" i="23" s="1"/>
  <c r="P271" i="23"/>
  <c r="Q271" i="23" s="1"/>
  <c r="R197" i="23"/>
  <c r="P197" i="23" s="1"/>
  <c r="Q197" i="23" s="1"/>
  <c r="O265" i="23"/>
  <c r="T265" i="23" s="1"/>
  <c r="AA197" i="2"/>
  <c r="AB230" i="2"/>
  <c r="T11" i="26"/>
  <c r="AA230" i="2"/>
  <c r="AB222" i="2"/>
  <c r="T15" i="26"/>
  <c r="O197" i="23"/>
  <c r="O200" i="23"/>
  <c r="P241" i="23"/>
  <c r="Q241" i="23" s="1"/>
  <c r="P227" i="23"/>
  <c r="Q227" i="23" s="1"/>
  <c r="O297" i="26"/>
  <c r="N297" i="26" s="1"/>
  <c r="O297" i="32"/>
  <c r="N297" i="32" s="1"/>
  <c r="O297" i="30"/>
  <c r="N297" i="30" s="1"/>
  <c r="O345" i="26"/>
  <c r="N345" i="26" s="1"/>
  <c r="T227" i="23"/>
  <c r="O345" i="30"/>
  <c r="AA324" i="2"/>
  <c r="T217" i="23"/>
  <c r="T12" i="26"/>
  <c r="P176" i="23"/>
  <c r="Q176" i="23" s="1"/>
  <c r="T255" i="23"/>
  <c r="R264" i="23"/>
  <c r="T264" i="23" s="1"/>
  <c r="T17" i="26"/>
  <c r="P295" i="23"/>
  <c r="Q295" i="23" s="1"/>
  <c r="P285" i="23"/>
  <c r="Q285" i="23" s="1"/>
  <c r="J14" i="25"/>
  <c r="K14" i="25" s="1"/>
  <c r="T166" i="23"/>
  <c r="P290" i="23"/>
  <c r="Q290" i="23" s="1"/>
  <c r="P278" i="23"/>
  <c r="Q278" i="23" s="1"/>
  <c r="O216" i="23"/>
  <c r="T221" i="23"/>
  <c r="P296" i="23"/>
  <c r="Q296" i="23" s="1"/>
  <c r="AA249" i="2"/>
  <c r="O334" i="30"/>
  <c r="N334" i="30" s="1"/>
  <c r="O334" i="32"/>
  <c r="N334" i="32" s="1"/>
  <c r="T119" i="26"/>
  <c r="T132" i="26"/>
  <c r="O344" i="26"/>
  <c r="N344" i="26" s="1"/>
  <c r="O344" i="32"/>
  <c r="N344" i="32" s="1"/>
  <c r="O344" i="30"/>
  <c r="N344" i="30" s="1"/>
  <c r="O249" i="23"/>
  <c r="T249" i="23" s="1"/>
  <c r="O283" i="23"/>
  <c r="T283" i="23" s="1"/>
  <c r="AA262" i="2"/>
  <c r="AI34" i="24"/>
  <c r="S264" i="23"/>
  <c r="P302" i="23"/>
  <c r="Q302" i="23" s="1"/>
  <c r="P243" i="23"/>
  <c r="Q243" i="23" s="1"/>
  <c r="O182" i="23"/>
  <c r="AA283" i="2"/>
  <c r="T274" i="23"/>
  <c r="T128" i="26"/>
  <c r="AB262" i="2"/>
  <c r="T21" i="26"/>
  <c r="T243" i="23"/>
  <c r="O290" i="23"/>
  <c r="T290" i="23" s="1"/>
  <c r="S249" i="23"/>
  <c r="N249" i="23"/>
  <c r="P249" i="23"/>
  <c r="Q249" i="23" s="1"/>
  <c r="K300" i="32"/>
  <c r="AB264" i="2"/>
  <c r="O331" i="30"/>
  <c r="N331" i="30" s="1"/>
  <c r="T256" i="30"/>
  <c r="AB181" i="2"/>
  <c r="AA355" i="2"/>
  <c r="O302" i="23"/>
  <c r="T302" i="23" s="1"/>
  <c r="O181" i="23"/>
  <c r="T181" i="23" s="1"/>
  <c r="AA243" i="2"/>
  <c r="AA205" i="2"/>
  <c r="T77" i="26"/>
  <c r="O205" i="23"/>
  <c r="T205" i="23" s="1"/>
  <c r="AB180" i="2"/>
  <c r="T180" i="23"/>
  <c r="P294" i="23"/>
  <c r="Q294" i="23" s="1"/>
  <c r="AB279" i="2"/>
  <c r="T16" i="26"/>
  <c r="T256" i="32"/>
  <c r="AA279" i="2"/>
  <c r="T211" i="23"/>
  <c r="AB211" i="2"/>
  <c r="T185" i="23"/>
  <c r="R182" i="23"/>
  <c r="P182" i="23" s="1"/>
  <c r="Q182" i="23" s="1"/>
  <c r="O331" i="26"/>
  <c r="N331" i="26" s="1"/>
  <c r="T134" i="26"/>
  <c r="T23" i="26"/>
  <c r="R200" i="23"/>
  <c r="P200" i="23" s="1"/>
  <c r="Q200" i="23" s="1"/>
  <c r="T279" i="23"/>
  <c r="P279" i="23"/>
  <c r="Q279" i="23" s="1"/>
  <c r="O234" i="23"/>
  <c r="T234" i="23" s="1"/>
  <c r="P235" i="23"/>
  <c r="Q235" i="23" s="1"/>
  <c r="AA176" i="2"/>
  <c r="O176" i="23"/>
  <c r="T176" i="23" s="1"/>
  <c r="T151" i="23"/>
  <c r="T14" i="26"/>
  <c r="AB243" i="2"/>
  <c r="P231" i="23"/>
  <c r="Q231" i="23" s="1"/>
  <c r="AA296" i="2"/>
  <c r="T186" i="23"/>
  <c r="T120" i="26"/>
  <c r="O295" i="23"/>
  <c r="T295" i="23" s="1"/>
  <c r="T272" i="23"/>
  <c r="T198" i="23"/>
  <c r="T261" i="23"/>
  <c r="T215" i="23"/>
  <c r="T190" i="23"/>
  <c r="N283" i="26"/>
  <c r="T192" i="23"/>
  <c r="N277" i="32"/>
  <c r="N276" i="32" s="1"/>
  <c r="N275" i="32" s="1"/>
  <c r="N274" i="32" s="1"/>
  <c r="L351" i="26"/>
  <c r="L348" i="26" s="1"/>
  <c r="L347" i="26" s="1"/>
  <c r="J290" i="32"/>
  <c r="M307" i="26"/>
  <c r="K307" i="26"/>
  <c r="K347" i="32"/>
  <c r="K317" i="32"/>
  <c r="F313" i="32"/>
  <c r="K313" i="32" s="1"/>
  <c r="K368" i="26"/>
  <c r="F291" i="32"/>
  <c r="F290" i="32" s="1"/>
  <c r="M307" i="30"/>
  <c r="L291" i="32"/>
  <c r="M291" i="32" s="1"/>
  <c r="M290" i="32" s="1"/>
  <c r="M289" i="32" s="1"/>
  <c r="K368" i="32"/>
  <c r="K368" i="30"/>
  <c r="L277" i="32"/>
  <c r="L276" i="32" s="1"/>
  <c r="L275" i="32" s="1"/>
  <c r="L274" i="32" s="1"/>
  <c r="R246" i="23"/>
  <c r="P246" i="23" s="1"/>
  <c r="Q246" i="23" s="1"/>
  <c r="K363" i="32"/>
  <c r="K348" i="32"/>
  <c r="O376" i="26"/>
  <c r="N376" i="26" s="1"/>
  <c r="T267" i="23"/>
  <c r="T199" i="23"/>
  <c r="O335" i="30"/>
  <c r="N335" i="30" s="1"/>
  <c r="R270" i="23"/>
  <c r="P270" i="23" s="1"/>
  <c r="Q270" i="23" s="1"/>
  <c r="P208" i="23"/>
  <c r="Q208" i="23" s="1"/>
  <c r="O375" i="30"/>
  <c r="N375" i="30" s="1"/>
  <c r="T247" i="23"/>
  <c r="T134" i="23"/>
  <c r="T98" i="23"/>
  <c r="O376" i="30"/>
  <c r="N376" i="30" s="1"/>
  <c r="T260" i="23"/>
  <c r="R219" i="23"/>
  <c r="P219" i="23" s="1"/>
  <c r="Q219" i="23" s="1"/>
  <c r="O335" i="32"/>
  <c r="N335" i="32" s="1"/>
  <c r="O342" i="26"/>
  <c r="N342" i="26" s="1"/>
  <c r="O336" i="26"/>
  <c r="N336" i="26" s="1"/>
  <c r="O321" i="32"/>
  <c r="N321" i="32" s="1"/>
  <c r="N317" i="32" s="1"/>
  <c r="N313" i="32" s="1"/>
  <c r="R218" i="23"/>
  <c r="P218" i="23" s="1"/>
  <c r="Q218" i="23" s="1"/>
  <c r="P193" i="23"/>
  <c r="Q193" i="23" s="1"/>
  <c r="O321" i="30"/>
  <c r="N321" i="30" s="1"/>
  <c r="N317" i="30" s="1"/>
  <c r="N313" i="30" s="1"/>
  <c r="O325" i="26"/>
  <c r="N325" i="26" s="1"/>
  <c r="N323" i="26" s="1"/>
  <c r="O321" i="26"/>
  <c r="N321" i="26" s="1"/>
  <c r="N317" i="26" s="1"/>
  <c r="N313" i="26" s="1"/>
  <c r="O325" i="30"/>
  <c r="N325" i="30" s="1"/>
  <c r="N323" i="30" s="1"/>
  <c r="P78" i="23"/>
  <c r="Q78" i="23" s="1"/>
  <c r="O336" i="32"/>
  <c r="N336" i="32" s="1"/>
  <c r="O336" i="30"/>
  <c r="N336" i="30" s="1"/>
  <c r="T137" i="23"/>
  <c r="O375" i="32"/>
  <c r="N375" i="32" s="1"/>
  <c r="O342" i="30"/>
  <c r="N342" i="30" s="1"/>
  <c r="R175" i="23"/>
  <c r="P175" i="23" s="1"/>
  <c r="Q175" i="23" s="1"/>
  <c r="F353" i="32"/>
  <c r="K353" i="32" s="1"/>
  <c r="K354" i="32"/>
  <c r="L357" i="30"/>
  <c r="L354" i="30" s="1"/>
  <c r="L353" i="30" s="1"/>
  <c r="L357" i="32"/>
  <c r="L354" i="32" s="1"/>
  <c r="L353" i="32" s="1"/>
  <c r="L388" i="32"/>
  <c r="L387" i="32" s="1"/>
  <c r="L386" i="32" s="1"/>
  <c r="L385" i="32" s="1"/>
  <c r="L384" i="32" s="1"/>
  <c r="L383" i="32" s="1"/>
  <c r="J327" i="32"/>
  <c r="J312" i="32" s="1"/>
  <c r="F373" i="32"/>
  <c r="K373" i="32" s="1"/>
  <c r="L344" i="26"/>
  <c r="L344" i="32"/>
  <c r="L345" i="26"/>
  <c r="L345" i="32"/>
  <c r="L331" i="30"/>
  <c r="L331" i="32"/>
  <c r="W95" i="24"/>
  <c r="L375" i="32"/>
  <c r="L371" i="26"/>
  <c r="L368" i="26" s="1"/>
  <c r="L371" i="32"/>
  <c r="L368" i="32" s="1"/>
  <c r="F328" i="32"/>
  <c r="F327" i="32" s="1"/>
  <c r="W73" i="24"/>
  <c r="L336" i="32"/>
  <c r="K388" i="32"/>
  <c r="K387" i="32" s="1"/>
  <c r="K386" i="32" s="1"/>
  <c r="K385" i="32" s="1"/>
  <c r="K384" i="32" s="1"/>
  <c r="K383" i="32" s="1"/>
  <c r="L302" i="30"/>
  <c r="L300" i="30" s="1"/>
  <c r="L302" i="32"/>
  <c r="L300" i="32" s="1"/>
  <c r="L321" i="26"/>
  <c r="L317" i="26" s="1"/>
  <c r="L313" i="26" s="1"/>
  <c r="L321" i="32"/>
  <c r="L317" i="32" s="1"/>
  <c r="L313" i="32" s="1"/>
  <c r="L376" i="30"/>
  <c r="L376" i="32"/>
  <c r="L366" i="26"/>
  <c r="L363" i="26" s="1"/>
  <c r="L366" i="32"/>
  <c r="L363" i="32" s="1"/>
  <c r="W74" i="24"/>
  <c r="L334" i="32"/>
  <c r="L325" i="26"/>
  <c r="L323" i="26" s="1"/>
  <c r="L325" i="32"/>
  <c r="L323" i="32" s="1"/>
  <c r="J276" i="32"/>
  <c r="K277" i="32"/>
  <c r="N363" i="32"/>
  <c r="T117" i="23"/>
  <c r="T132" i="23"/>
  <c r="P205" i="23"/>
  <c r="Q205" i="23" s="1"/>
  <c r="T135" i="23"/>
  <c r="N300" i="32"/>
  <c r="O310" i="32"/>
  <c r="N310" i="32" s="1"/>
  <c r="N307" i="32" s="1"/>
  <c r="O340" i="32"/>
  <c r="N340" i="32" s="1"/>
  <c r="O332" i="30"/>
  <c r="N332" i="30" s="1"/>
  <c r="O332" i="32"/>
  <c r="N332" i="32" s="1"/>
  <c r="J245" i="23"/>
  <c r="AA474" i="2"/>
  <c r="AA434" i="2"/>
  <c r="S182" i="23"/>
  <c r="J24" i="25"/>
  <c r="K24" i="25" s="1"/>
  <c r="J51" i="25"/>
  <c r="K51" i="25" s="1"/>
  <c r="T158" i="23"/>
  <c r="P306" i="23"/>
  <c r="Q306" i="23" s="1"/>
  <c r="T178" i="23"/>
  <c r="P303" i="23"/>
  <c r="Q303" i="23" s="1"/>
  <c r="P282" i="23"/>
  <c r="Q282" i="23" s="1"/>
  <c r="T47" i="23"/>
  <c r="T116" i="23"/>
  <c r="T297" i="23"/>
  <c r="T108" i="23"/>
  <c r="P307" i="23"/>
  <c r="Q307" i="23" s="1"/>
  <c r="T300" i="23"/>
  <c r="T285" i="23"/>
  <c r="T118" i="23"/>
  <c r="P284" i="23"/>
  <c r="Q284" i="23" s="1"/>
  <c r="P310" i="23"/>
  <c r="Q310" i="23" s="1"/>
  <c r="T57" i="23"/>
  <c r="T280" i="23"/>
  <c r="T73" i="23"/>
  <c r="T115" i="23"/>
  <c r="T162" i="23"/>
  <c r="O332" i="26"/>
  <c r="N332" i="26" s="1"/>
  <c r="P180" i="23"/>
  <c r="Q180" i="23" s="1"/>
  <c r="P298" i="23"/>
  <c r="Q298" i="23" s="1"/>
  <c r="AA430" i="2"/>
  <c r="T68" i="23"/>
  <c r="T51" i="23"/>
  <c r="P73" i="23"/>
  <c r="Q73" i="23" s="1"/>
  <c r="T54" i="23"/>
  <c r="T149" i="23"/>
  <c r="T201" i="23"/>
  <c r="T74" i="23"/>
  <c r="P311" i="23"/>
  <c r="Q311" i="23" s="1"/>
  <c r="P198" i="23"/>
  <c r="Q198" i="23" s="1"/>
  <c r="P162" i="23"/>
  <c r="Q162" i="23" s="1"/>
  <c r="T84" i="23"/>
  <c r="T22" i="23"/>
  <c r="T62" i="23"/>
  <c r="T103" i="23"/>
  <c r="T171" i="23"/>
  <c r="T177" i="23"/>
  <c r="P177" i="23"/>
  <c r="Q177" i="23" s="1"/>
  <c r="P211" i="23"/>
  <c r="Q211" i="23" s="1"/>
  <c r="T52" i="23"/>
  <c r="T222" i="23"/>
  <c r="T64" i="23"/>
  <c r="T16" i="23"/>
  <c r="T191" i="23"/>
  <c r="T148" i="23"/>
  <c r="AA436" i="2"/>
  <c r="P280" i="23"/>
  <c r="Q280" i="23" s="1"/>
  <c r="P289" i="23"/>
  <c r="Q289" i="23" s="1"/>
  <c r="AC278" i="2"/>
  <c r="T196" i="23"/>
  <c r="T228" i="23"/>
  <c r="P286" i="23"/>
  <c r="Q286" i="23" s="1"/>
  <c r="T150" i="23"/>
  <c r="T69" i="23"/>
  <c r="T50" i="23"/>
  <c r="O281" i="23"/>
  <c r="T281" i="23" s="1"/>
  <c r="T37" i="23"/>
  <c r="P309" i="23"/>
  <c r="Q309" i="23" s="1"/>
  <c r="T90" i="23"/>
  <c r="T46" i="23"/>
  <c r="T65" i="23"/>
  <c r="M184" i="23"/>
  <c r="M158" i="23"/>
  <c r="T101" i="23"/>
  <c r="S309" i="23"/>
  <c r="N309" i="23"/>
  <c r="M180" i="23"/>
  <c r="P154" i="23"/>
  <c r="Q154" i="23" s="1"/>
  <c r="T154" i="23"/>
  <c r="T94" i="23"/>
  <c r="N167" i="23"/>
  <c r="S167" i="23"/>
  <c r="J167" i="23"/>
  <c r="T155" i="23"/>
  <c r="T164" i="23"/>
  <c r="T169" i="23"/>
  <c r="S209" i="23"/>
  <c r="N209" i="23"/>
  <c r="T147" i="23"/>
  <c r="N159" i="23"/>
  <c r="S159" i="23"/>
  <c r="J159" i="23"/>
  <c r="T67" i="23"/>
  <c r="T157" i="23"/>
  <c r="T102" i="23"/>
  <c r="R229" i="23"/>
  <c r="P229" i="23" s="1"/>
  <c r="Q229" i="23" s="1"/>
  <c r="R167" i="23"/>
  <c r="P167" i="23" s="1"/>
  <c r="Q167" i="23" s="1"/>
  <c r="R202" i="23"/>
  <c r="P202" i="23" s="1"/>
  <c r="Q202" i="23" s="1"/>
  <c r="R159" i="23"/>
  <c r="P159" i="23" s="1"/>
  <c r="Q159" i="23" s="1"/>
  <c r="T156" i="23"/>
  <c r="T173" i="23"/>
  <c r="T75" i="23"/>
  <c r="AB434" i="2"/>
  <c r="O209" i="23"/>
  <c r="T209" i="23" s="1"/>
  <c r="T85" i="23"/>
  <c r="M169" i="23"/>
  <c r="T92" i="23"/>
  <c r="T172" i="23"/>
  <c r="T168" i="23"/>
  <c r="T120" i="23"/>
  <c r="T53" i="23"/>
  <c r="T29" i="23"/>
  <c r="P209" i="23"/>
  <c r="Q209" i="23" s="1"/>
  <c r="U219" i="23"/>
  <c r="T135" i="26"/>
  <c r="U229" i="23"/>
  <c r="T246" i="30"/>
  <c r="T246" i="26"/>
  <c r="U206" i="23"/>
  <c r="T94" i="26"/>
  <c r="U306" i="23"/>
  <c r="T54" i="26"/>
  <c r="U299" i="23"/>
  <c r="T96" i="26"/>
  <c r="U282" i="23"/>
  <c r="T13" i="26"/>
  <c r="U270" i="23"/>
  <c r="T213" i="26"/>
  <c r="U298" i="23"/>
  <c r="T131" i="26"/>
  <c r="U308" i="23"/>
  <c r="T130" i="26"/>
  <c r="U310" i="23"/>
  <c r="T212" i="26"/>
  <c r="U301" i="23"/>
  <c r="T133" i="26"/>
  <c r="U293" i="23"/>
  <c r="T245" i="30"/>
  <c r="T245" i="26"/>
  <c r="N245" i="23"/>
  <c r="AC282" i="2"/>
  <c r="N212" i="23"/>
  <c r="N300" i="26"/>
  <c r="N341" i="30"/>
  <c r="N300" i="30"/>
  <c r="N341" i="26"/>
  <c r="O251" i="23"/>
  <c r="AA251" i="2"/>
  <c r="P149" i="23"/>
  <c r="Q149" i="23" s="1"/>
  <c r="O213" i="23"/>
  <c r="AA213" i="2"/>
  <c r="AA259" i="2"/>
  <c r="AB259" i="2"/>
  <c r="R259" i="23"/>
  <c r="T259" i="23" s="1"/>
  <c r="O357" i="26"/>
  <c r="N357" i="26" s="1"/>
  <c r="N354" i="26" s="1"/>
  <c r="N353" i="26" s="1"/>
  <c r="O357" i="30"/>
  <c r="N357" i="30" s="1"/>
  <c r="N354" i="30" s="1"/>
  <c r="N353" i="30" s="1"/>
  <c r="R251" i="23"/>
  <c r="O397" i="30"/>
  <c r="N397" i="30" s="1"/>
  <c r="O397" i="26"/>
  <c r="N397" i="26" s="1"/>
  <c r="O394" i="30"/>
  <c r="N394" i="30" s="1"/>
  <c r="R213" i="23"/>
  <c r="P213" i="23" s="1"/>
  <c r="Q213" i="23" s="1"/>
  <c r="O394" i="26"/>
  <c r="N394" i="26" s="1"/>
  <c r="R212" i="23"/>
  <c r="P212" i="23" s="1"/>
  <c r="Q212" i="23" s="1"/>
  <c r="O340" i="26"/>
  <c r="N340" i="26" s="1"/>
  <c r="O310" i="26"/>
  <c r="N310" i="26" s="1"/>
  <c r="N307" i="26" s="1"/>
  <c r="O340" i="30"/>
  <c r="N340" i="30" s="1"/>
  <c r="O310" i="30"/>
  <c r="N310" i="30" s="1"/>
  <c r="N307" i="30" s="1"/>
  <c r="R245" i="23"/>
  <c r="P245" i="23" s="1"/>
  <c r="Q245" i="23" s="1"/>
  <c r="O293" i="26"/>
  <c r="N293" i="26" s="1"/>
  <c r="O293" i="30"/>
  <c r="N293" i="30" s="1"/>
  <c r="N50" i="30"/>
  <c r="AC276" i="2"/>
  <c r="M276" i="23"/>
  <c r="M278" i="23"/>
  <c r="N361" i="30"/>
  <c r="N359" i="30" s="1"/>
  <c r="M283" i="23"/>
  <c r="AI53" i="24"/>
  <c r="L375" i="26"/>
  <c r="W42" i="24"/>
  <c r="M216" i="23"/>
  <c r="M297" i="23"/>
  <c r="AC216" i="2"/>
  <c r="AA281" i="2"/>
  <c r="AC180" i="2"/>
  <c r="AC283" i="2"/>
  <c r="AC246" i="2"/>
  <c r="W87" i="24"/>
  <c r="L371" i="30"/>
  <c r="L368" i="30" s="1"/>
  <c r="M281" i="23"/>
  <c r="AI9" i="24"/>
  <c r="L345" i="30"/>
  <c r="L366" i="30"/>
  <c r="L363" i="30" s="1"/>
  <c r="M176" i="23"/>
  <c r="AC176" i="2"/>
  <c r="M246" i="23"/>
  <c r="M238" i="23"/>
  <c r="W93" i="24"/>
  <c r="W65" i="24"/>
  <c r="AA216" i="2"/>
  <c r="L375" i="30"/>
  <c r="AA180" i="2"/>
  <c r="M293" i="23"/>
  <c r="S213" i="23"/>
  <c r="AI20" i="24"/>
  <c r="AI42" i="24"/>
  <c r="AI90" i="24"/>
  <c r="S251" i="23"/>
  <c r="M277" i="23"/>
  <c r="N259" i="23"/>
  <c r="K353" i="26"/>
  <c r="AC296" i="2"/>
  <c r="W89" i="24"/>
  <c r="S259" i="23"/>
  <c r="L344" i="30"/>
  <c r="K363" i="30"/>
  <c r="AC277" i="2"/>
  <c r="W83" i="24"/>
  <c r="AA369" i="2"/>
  <c r="AY82" i="24"/>
  <c r="AC224" i="2"/>
  <c r="AC238" i="2"/>
  <c r="AC300" i="2"/>
  <c r="AA288" i="2"/>
  <c r="AA304" i="2"/>
  <c r="AI76" i="24"/>
  <c r="AI70" i="24"/>
  <c r="N251" i="23"/>
  <c r="M224" i="23"/>
  <c r="M284" i="23"/>
  <c r="J275" i="26"/>
  <c r="K275" i="26" s="1"/>
  <c r="AC212" i="2"/>
  <c r="L325" i="30"/>
  <c r="L323" i="30" s="1"/>
  <c r="M295" i="23"/>
  <c r="M280" i="23"/>
  <c r="AI92" i="24"/>
  <c r="F373" i="26"/>
  <c r="K373" i="26" s="1"/>
  <c r="AA308" i="2"/>
  <c r="AA328" i="2"/>
  <c r="K277" i="26"/>
  <c r="AA320" i="2"/>
  <c r="AA363" i="2"/>
  <c r="AA344" i="2"/>
  <c r="K277" i="30"/>
  <c r="AC298" i="2"/>
  <c r="W39" i="24"/>
  <c r="F373" i="30"/>
  <c r="K373" i="30" s="1"/>
  <c r="AC286" i="2"/>
  <c r="M260" i="23"/>
  <c r="AA234" i="2"/>
  <c r="AC234" i="2"/>
  <c r="L182" i="21"/>
  <c r="K313" i="30"/>
  <c r="AA368" i="2"/>
  <c r="K317" i="30"/>
  <c r="N287" i="26"/>
  <c r="N285" i="26" s="1"/>
  <c r="K307" i="30"/>
  <c r="AA306" i="2"/>
  <c r="AA350" i="2"/>
  <c r="AA364" i="2"/>
  <c r="AC290" i="2"/>
  <c r="W60" i="24"/>
  <c r="AC284" i="2"/>
  <c r="N213" i="23"/>
  <c r="F291" i="26"/>
  <c r="F290" i="26" s="1"/>
  <c r="AA227" i="2"/>
  <c r="J290" i="26"/>
  <c r="M301" i="23"/>
  <c r="M249" i="23"/>
  <c r="AC249" i="2"/>
  <c r="AI89" i="24"/>
  <c r="W50" i="24"/>
  <c r="AI35" i="24"/>
  <c r="AI61" i="24"/>
  <c r="L321" i="30"/>
  <c r="L317" i="30" s="1"/>
  <c r="L313" i="30" s="1"/>
  <c r="AA200" i="2"/>
  <c r="AC200" i="2"/>
  <c r="K354" i="30"/>
  <c r="M286" i="23"/>
  <c r="AC226" i="2"/>
  <c r="K317" i="26"/>
  <c r="W68" i="24"/>
  <c r="L357" i="26"/>
  <c r="L354" i="26" s="1"/>
  <c r="L353" i="26" s="1"/>
  <c r="M226" i="23"/>
  <c r="AC280" i="2"/>
  <c r="AI7" i="24"/>
  <c r="AA338" i="2"/>
  <c r="AB212" i="2"/>
  <c r="O212" i="23"/>
  <c r="AA212" i="2"/>
  <c r="AA326" i="2"/>
  <c r="J290" i="30"/>
  <c r="AA312" i="2"/>
  <c r="F291" i="30"/>
  <c r="K353" i="30"/>
  <c r="J38" i="25"/>
  <c r="K38" i="25" s="1"/>
  <c r="K300" i="30"/>
  <c r="K388" i="26"/>
  <c r="K387" i="26" s="1"/>
  <c r="K386" i="26" s="1"/>
  <c r="K385" i="26" s="1"/>
  <c r="K384" i="26" s="1"/>
  <c r="K383" i="26" s="1"/>
  <c r="AA362" i="2"/>
  <c r="AA314" i="2"/>
  <c r="AA351" i="2"/>
  <c r="L334" i="30"/>
  <c r="L334" i="26"/>
  <c r="AC245" i="2"/>
  <c r="M245" i="23"/>
  <c r="AC227" i="2"/>
  <c r="AC264" i="2"/>
  <c r="AI74" i="24"/>
  <c r="M264" i="23"/>
  <c r="AA264" i="2"/>
  <c r="W104" i="24"/>
  <c r="W111" i="24"/>
  <c r="W86" i="24"/>
  <c r="W85" i="24"/>
  <c r="W67" i="24"/>
  <c r="L342" i="26"/>
  <c r="L342" i="30"/>
  <c r="M175" i="23"/>
  <c r="AC175" i="2"/>
  <c r="AI67" i="24"/>
  <c r="B7" i="19"/>
  <c r="B8" i="19" s="1"/>
  <c r="K354" i="26"/>
  <c r="M289" i="23"/>
  <c r="L302" i="26"/>
  <c r="L300" i="26" s="1"/>
  <c r="AC260" i="2"/>
  <c r="K300" i="26"/>
  <c r="AY70" i="24"/>
  <c r="AY42" i="24"/>
  <c r="AI39" i="24"/>
  <c r="AA310" i="2"/>
  <c r="AA347" i="2"/>
  <c r="W94" i="24"/>
  <c r="L376" i="26"/>
  <c r="AC340" i="2"/>
  <c r="AA340" i="2"/>
  <c r="O206" i="23"/>
  <c r="T206" i="23" s="1"/>
  <c r="AB206" i="2"/>
  <c r="AA342" i="2"/>
  <c r="P206" i="23"/>
  <c r="Q206" i="23" s="1"/>
  <c r="N206" i="23"/>
  <c r="J206" i="23"/>
  <c r="S206" i="23"/>
  <c r="K313" i="26"/>
  <c r="O229" i="23"/>
  <c r="AB229" i="2"/>
  <c r="AA229" i="2"/>
  <c r="AC318" i="2"/>
  <c r="AA318" i="2"/>
  <c r="M211" i="23"/>
  <c r="AA211" i="2"/>
  <c r="AC211" i="2"/>
  <c r="AI91" i="24"/>
  <c r="AI59" i="24"/>
  <c r="AA233" i="2"/>
  <c r="AC233" i="2"/>
  <c r="M233" i="23"/>
  <c r="M182" i="23"/>
  <c r="AA182" i="2"/>
  <c r="AI14" i="24"/>
  <c r="AC182" i="2"/>
  <c r="M228" i="23"/>
  <c r="AI66" i="24"/>
  <c r="AA228" i="2"/>
  <c r="AC228" i="2"/>
  <c r="J229" i="23"/>
  <c r="N229" i="23"/>
  <c r="S229" i="23"/>
  <c r="F328" i="26"/>
  <c r="F327" i="26" s="1"/>
  <c r="AA245" i="2"/>
  <c r="AB245" i="2"/>
  <c r="O245" i="23"/>
  <c r="M210" i="23"/>
  <c r="AI50" i="24"/>
  <c r="AC210" i="2"/>
  <c r="J19" i="25"/>
  <c r="K19" i="25" s="1"/>
  <c r="M231" i="23"/>
  <c r="AA231" i="2"/>
  <c r="AC231" i="2"/>
  <c r="AI57" i="24"/>
  <c r="J26" i="25"/>
  <c r="K26" i="25" s="1"/>
  <c r="M201" i="23"/>
  <c r="AI62" i="24"/>
  <c r="AA201" i="2"/>
  <c r="AC201" i="2"/>
  <c r="K388" i="30"/>
  <c r="K387" i="30" s="1"/>
  <c r="K386" i="30" s="1"/>
  <c r="K385" i="30" s="1"/>
  <c r="K384" i="30" s="1"/>
  <c r="K383" i="30" s="1"/>
  <c r="AC386" i="2"/>
  <c r="AA386" i="2"/>
  <c r="M196" i="23"/>
  <c r="AA196" i="2"/>
  <c r="AI109" i="24"/>
  <c r="AC196" i="2"/>
  <c r="M181" i="23"/>
  <c r="AI11" i="24"/>
  <c r="AC181" i="2"/>
  <c r="AA181" i="2"/>
  <c r="M198" i="23"/>
  <c r="AI48" i="24"/>
  <c r="AA198" i="2"/>
  <c r="AC198" i="2"/>
  <c r="O270" i="23"/>
  <c r="AA270" i="2"/>
  <c r="AB270" i="2"/>
  <c r="F347" i="30"/>
  <c r="K347" i="30" s="1"/>
  <c r="K348" i="30"/>
  <c r="F328" i="30"/>
  <c r="F327" i="30" s="1"/>
  <c r="AI80" i="24"/>
  <c r="M222" i="23"/>
  <c r="AA222" i="2"/>
  <c r="J312" i="30"/>
  <c r="O175" i="23"/>
  <c r="AA175" i="2"/>
  <c r="AB175" i="2"/>
  <c r="AI49" i="24"/>
  <c r="AA206" i="2"/>
  <c r="AC206" i="2"/>
  <c r="AI47" i="24"/>
  <c r="M206" i="23"/>
  <c r="J270" i="23"/>
  <c r="N270" i="23"/>
  <c r="S270" i="23"/>
  <c r="M202" i="23"/>
  <c r="AI75" i="24"/>
  <c r="AC202" i="2"/>
  <c r="M177" i="23"/>
  <c r="AC177" i="2"/>
  <c r="AA177" i="2"/>
  <c r="AI13" i="24"/>
  <c r="S175" i="23"/>
  <c r="N175" i="23"/>
  <c r="W47" i="24"/>
  <c r="W49" i="24"/>
  <c r="F347" i="26"/>
  <c r="K347" i="26" s="1"/>
  <c r="K348" i="26"/>
  <c r="AB325" i="2"/>
  <c r="AA325" i="2"/>
  <c r="N306" i="23"/>
  <c r="S306" i="23"/>
  <c r="O210" i="23"/>
  <c r="AB210" i="2"/>
  <c r="AA210" i="2"/>
  <c r="N308" i="23"/>
  <c r="S308" i="23"/>
  <c r="AC208" i="2"/>
  <c r="AA208" i="2"/>
  <c r="AI26" i="24"/>
  <c r="M208" i="23"/>
  <c r="AC313" i="2"/>
  <c r="AA313" i="2"/>
  <c r="M298" i="23"/>
  <c r="AC299" i="2"/>
  <c r="M294" i="23"/>
  <c r="AC295" i="2"/>
  <c r="AA295" i="2"/>
  <c r="O219" i="23"/>
  <c r="AB219" i="2"/>
  <c r="AA219" i="2"/>
  <c r="J39" i="25"/>
  <c r="K39" i="25" s="1"/>
  <c r="M252" i="23"/>
  <c r="AA252" i="2"/>
  <c r="AI56" i="24"/>
  <c r="AC252" i="2"/>
  <c r="J298" i="23"/>
  <c r="N298" i="23"/>
  <c r="S298" i="23"/>
  <c r="L333" i="30"/>
  <c r="L333" i="26"/>
  <c r="W71" i="24"/>
  <c r="W77" i="24"/>
  <c r="L338" i="30"/>
  <c r="L338" i="26"/>
  <c r="M178" i="23"/>
  <c r="AI52" i="24"/>
  <c r="AA178" i="2"/>
  <c r="AC178" i="2"/>
  <c r="AC291" i="2"/>
  <c r="M290" i="23"/>
  <c r="AA291" i="2"/>
  <c r="AB327" i="2"/>
  <c r="AA327" i="2"/>
  <c r="O299" i="23"/>
  <c r="T299" i="23" s="1"/>
  <c r="AB300" i="2"/>
  <c r="AA300" i="2"/>
  <c r="AC287" i="2"/>
  <c r="M287" i="23"/>
  <c r="AA287" i="2"/>
  <c r="AI58" i="24"/>
  <c r="M235" i="23"/>
  <c r="AC235" i="2"/>
  <c r="AA235" i="2"/>
  <c r="O224" i="23"/>
  <c r="AA224" i="2"/>
  <c r="AB224" i="2"/>
  <c r="M300" i="23"/>
  <c r="AC301" i="2"/>
  <c r="AA301" i="2"/>
  <c r="S219" i="23"/>
  <c r="N219" i="23"/>
  <c r="J219" i="23"/>
  <c r="L330" i="30"/>
  <c r="L330" i="26"/>
  <c r="W72" i="24"/>
  <c r="O218" i="23"/>
  <c r="AB218" i="2"/>
  <c r="AA218" i="2"/>
  <c r="O282" i="23"/>
  <c r="T282" i="23" s="1"/>
  <c r="AA282" i="2"/>
  <c r="AB282" i="2"/>
  <c r="AC358" i="2"/>
  <c r="AA358" i="2"/>
  <c r="N365" i="26"/>
  <c r="N363" i="26" s="1"/>
  <c r="AC285" i="2"/>
  <c r="M285" i="23"/>
  <c r="AA285" i="2"/>
  <c r="AA297" i="2"/>
  <c r="M296" i="23"/>
  <c r="AC297" i="2"/>
  <c r="AB307" i="2"/>
  <c r="AA307" i="2"/>
  <c r="J202" i="23"/>
  <c r="N202" i="23"/>
  <c r="S202" i="23"/>
  <c r="S210" i="23"/>
  <c r="N210" i="23"/>
  <c r="AB309" i="2"/>
  <c r="AA309" i="2"/>
  <c r="W26" i="24"/>
  <c r="L294" i="30"/>
  <c r="L294" i="26"/>
  <c r="AA323" i="2"/>
  <c r="AB323" i="2"/>
  <c r="S299" i="23"/>
  <c r="N299" i="23"/>
  <c r="AC305" i="2"/>
  <c r="AA305" i="2"/>
  <c r="AA311" i="2"/>
  <c r="AB311" i="2"/>
  <c r="AA246" i="2"/>
  <c r="AB246" i="2"/>
  <c r="O246" i="23"/>
  <c r="P301" i="23"/>
  <c r="Q301" i="23" s="1"/>
  <c r="N301" i="23"/>
  <c r="S301" i="23"/>
  <c r="AA365" i="2"/>
  <c r="AB365" i="2"/>
  <c r="L277" i="26"/>
  <c r="N279" i="26"/>
  <c r="AA321" i="2"/>
  <c r="AB321" i="2"/>
  <c r="AA378" i="2"/>
  <c r="AB378" i="2"/>
  <c r="AB294" i="2"/>
  <c r="O293" i="23"/>
  <c r="T293" i="23" s="1"/>
  <c r="AA294" i="2"/>
  <c r="N365" i="30"/>
  <c r="N363" i="30" s="1"/>
  <c r="L394" i="26"/>
  <c r="L388" i="26" s="1"/>
  <c r="L387" i="26" s="1"/>
  <c r="L386" i="26" s="1"/>
  <c r="L385" i="26" s="1"/>
  <c r="L384" i="26" s="1"/>
  <c r="L383" i="26" s="1"/>
  <c r="W106" i="24"/>
  <c r="L394" i="30"/>
  <c r="L388" i="30" s="1"/>
  <c r="L387" i="30" s="1"/>
  <c r="L386" i="30" s="1"/>
  <c r="L385" i="30" s="1"/>
  <c r="L384" i="30" s="1"/>
  <c r="L383" i="30" s="1"/>
  <c r="O298" i="23"/>
  <c r="T298" i="23" s="1"/>
  <c r="AA299" i="2"/>
  <c r="AB299" i="2"/>
  <c r="AC315" i="2"/>
  <c r="AA315" i="2"/>
  <c r="AC303" i="2"/>
  <c r="M302" i="23"/>
  <c r="AA303" i="2"/>
  <c r="AB202" i="2"/>
  <c r="B9" i="18"/>
  <c r="O202" i="23"/>
  <c r="AA202" i="2"/>
  <c r="B8" i="18"/>
  <c r="S310" i="23"/>
  <c r="N310" i="23"/>
  <c r="M292" i="23"/>
  <c r="AA293" i="2"/>
  <c r="AC293" i="2"/>
  <c r="S246" i="23"/>
  <c r="N246" i="23"/>
  <c r="N224" i="23"/>
  <c r="S224" i="23"/>
  <c r="O301" i="23"/>
  <c r="T301" i="23" s="1"/>
  <c r="AA302" i="2"/>
  <c r="AB302" i="2"/>
  <c r="AB316" i="2"/>
  <c r="AA316" i="2"/>
  <c r="N279" i="30"/>
  <c r="N277" i="30" s="1"/>
  <c r="N276" i="30" s="1"/>
  <c r="N275" i="30" s="1"/>
  <c r="N274" i="30" s="1"/>
  <c r="L277" i="30"/>
  <c r="N218" i="23"/>
  <c r="S218" i="23"/>
  <c r="S282" i="23"/>
  <c r="N282" i="23"/>
  <c r="J293" i="23"/>
  <c r="S293" i="23"/>
  <c r="N293" i="23"/>
  <c r="N90" i="30"/>
  <c r="L49" i="30"/>
  <c r="L4" i="30" s="1"/>
  <c r="L3" i="30" s="1"/>
  <c r="J230" i="30"/>
  <c r="J229" i="30" s="1"/>
  <c r="J228" i="30" s="1"/>
  <c r="J227" i="30" s="1"/>
  <c r="J226" i="30" s="1"/>
  <c r="L90" i="26"/>
  <c r="L16" i="27" s="1"/>
  <c r="N231" i="30"/>
  <c r="N230" i="30" s="1"/>
  <c r="N229" i="30" s="1"/>
  <c r="N228" i="30" s="1"/>
  <c r="N227" i="30" s="1"/>
  <c r="N226" i="30" s="1"/>
  <c r="N241" i="30"/>
  <c r="J49" i="26"/>
  <c r="J11" i="27" s="1"/>
  <c r="L7" i="28"/>
  <c r="L6" i="28" s="1"/>
  <c r="L5" i="28" s="1"/>
  <c r="L117" i="28"/>
  <c r="L75" i="28" s="1"/>
  <c r="M209" i="28"/>
  <c r="J49" i="30"/>
  <c r="K49" i="30" s="1"/>
  <c r="N7" i="30"/>
  <c r="N6" i="30" s="1"/>
  <c r="N5" i="30" s="1"/>
  <c r="K90" i="26"/>
  <c r="K16" i="27" s="1"/>
  <c r="M98" i="28"/>
  <c r="M97" i="28" s="1"/>
  <c r="M50" i="26"/>
  <c r="M12" i="27" s="1"/>
  <c r="N241" i="26"/>
  <c r="N54" i="27" s="1"/>
  <c r="M200" i="28"/>
  <c r="K200" i="28"/>
  <c r="L46" i="27"/>
  <c r="L231" i="26"/>
  <c r="N231" i="26" s="1"/>
  <c r="K197" i="28"/>
  <c r="J195" i="28"/>
  <c r="K6" i="30"/>
  <c r="J5" i="30"/>
  <c r="J6" i="27"/>
  <c r="K6" i="26"/>
  <c r="K6" i="27" s="1"/>
  <c r="J5" i="26"/>
  <c r="J45" i="27"/>
  <c r="K231" i="26"/>
  <c r="J230" i="26"/>
  <c r="J229" i="26" s="1"/>
  <c r="J228" i="26" s="1"/>
  <c r="J227" i="26" s="1"/>
  <c r="M8" i="28"/>
  <c r="M7" i="28" s="1"/>
  <c r="M6" i="28" s="1"/>
  <c r="M5" i="28" s="1"/>
  <c r="M8" i="27"/>
  <c r="M7" i="26"/>
  <c r="K276" i="30"/>
  <c r="J275" i="30"/>
  <c r="AB352" i="2"/>
  <c r="AA352" i="2"/>
  <c r="AB354" i="2"/>
  <c r="AA354" i="2"/>
  <c r="J312" i="26"/>
  <c r="N50" i="26"/>
  <c r="L12" i="27"/>
  <c r="L40" i="28"/>
  <c r="K7" i="28"/>
  <c r="J6" i="28"/>
  <c r="M41" i="28"/>
  <c r="M40" i="28" s="1"/>
  <c r="AB366" i="2"/>
  <c r="AA366" i="2"/>
  <c r="L7" i="27"/>
  <c r="L6" i="26"/>
  <c r="AA356" i="2"/>
  <c r="AB356" i="2"/>
  <c r="N90" i="26"/>
  <c r="N16" i="27" s="1"/>
  <c r="M117" i="28"/>
  <c r="J75" i="28"/>
  <c r="K75" i="28" s="1"/>
  <c r="N6" i="26"/>
  <c r="N7" i="27"/>
  <c r="N291" i="32" l="1"/>
  <c r="N290" i="32" s="1"/>
  <c r="T237" i="23"/>
  <c r="T230" i="23"/>
  <c r="T216" i="23"/>
  <c r="N373" i="32"/>
  <c r="T224" i="23"/>
  <c r="N388" i="32"/>
  <c r="N387" i="32" s="1"/>
  <c r="N386" i="32" s="1"/>
  <c r="N385" i="32" s="1"/>
  <c r="N384" i="32" s="1"/>
  <c r="N383" i="32" s="1"/>
  <c r="N373" i="26"/>
  <c r="T210" i="23"/>
  <c r="T189" i="23"/>
  <c r="P223" i="23"/>
  <c r="Q223" i="23" s="1"/>
  <c r="T197" i="23"/>
  <c r="N345" i="30"/>
  <c r="N328" i="30" s="1"/>
  <c r="N327" i="30" s="1"/>
  <c r="P264" i="23"/>
  <c r="Q264" i="23" s="1"/>
  <c r="T182" i="23"/>
  <c r="T200" i="23"/>
  <c r="N277" i="26"/>
  <c r="N276" i="26" s="1"/>
  <c r="N275" i="26" s="1"/>
  <c r="N274" i="26" s="1"/>
  <c r="J289" i="32"/>
  <c r="L290" i="32"/>
  <c r="M277" i="32"/>
  <c r="M276" i="32" s="1"/>
  <c r="M275" i="32" s="1"/>
  <c r="M274" i="32" s="1"/>
  <c r="M273" i="32" s="1"/>
  <c r="M272" i="32" s="1"/>
  <c r="K291" i="32"/>
  <c r="L373" i="30"/>
  <c r="F312" i="32"/>
  <c r="F289" i="32" s="1"/>
  <c r="F273" i="32" s="1"/>
  <c r="F272" i="32" s="1"/>
  <c r="T246" i="23"/>
  <c r="T219" i="23"/>
  <c r="T270" i="23"/>
  <c r="N373" i="30"/>
  <c r="L328" i="32"/>
  <c r="L327" i="32" s="1"/>
  <c r="T218" i="23"/>
  <c r="T175" i="23"/>
  <c r="L373" i="32"/>
  <c r="J275" i="32"/>
  <c r="K276" i="32"/>
  <c r="K328" i="32"/>
  <c r="N328" i="32"/>
  <c r="N327" i="32" s="1"/>
  <c r="T159" i="23"/>
  <c r="T202" i="23"/>
  <c r="T229" i="23"/>
  <c r="T167" i="23"/>
  <c r="T251" i="23"/>
  <c r="P259" i="23"/>
  <c r="Q259" i="23" s="1"/>
  <c r="T212" i="23"/>
  <c r="N328" i="26"/>
  <c r="N327" i="26" s="1"/>
  <c r="T245" i="23"/>
  <c r="T213" i="23"/>
  <c r="P251" i="23"/>
  <c r="Q251" i="23" s="1"/>
  <c r="N388" i="26"/>
  <c r="N387" i="26" s="1"/>
  <c r="N386" i="26" s="1"/>
  <c r="N385" i="26" s="1"/>
  <c r="N384" i="26" s="1"/>
  <c r="N383" i="26" s="1"/>
  <c r="N388" i="30"/>
  <c r="N387" i="30" s="1"/>
  <c r="N386" i="30" s="1"/>
  <c r="N385" i="30" s="1"/>
  <c r="N384" i="30" s="1"/>
  <c r="N383" i="30" s="1"/>
  <c r="N49" i="30"/>
  <c r="N4" i="30" s="1"/>
  <c r="N3" i="30" s="1"/>
  <c r="L373" i="26"/>
  <c r="J274" i="26"/>
  <c r="K274" i="26" s="1"/>
  <c r="K291" i="26"/>
  <c r="K291" i="30"/>
  <c r="F290" i="30"/>
  <c r="F312" i="26"/>
  <c r="F289" i="26" s="1"/>
  <c r="F273" i="26" s="1"/>
  <c r="F272" i="26" s="1"/>
  <c r="K328" i="26"/>
  <c r="F312" i="30"/>
  <c r="K328" i="30"/>
  <c r="J289" i="30"/>
  <c r="L328" i="26"/>
  <c r="L327" i="26" s="1"/>
  <c r="L328" i="30"/>
  <c r="L327" i="30" s="1"/>
  <c r="M75" i="28"/>
  <c r="M39" i="28" s="1"/>
  <c r="M4" i="28" s="1"/>
  <c r="L276" i="30"/>
  <c r="L275" i="30" s="1"/>
  <c r="L274" i="30" s="1"/>
  <c r="M277" i="30"/>
  <c r="M276" i="30" s="1"/>
  <c r="M275" i="30" s="1"/>
  <c r="M274" i="30" s="1"/>
  <c r="M273" i="30" s="1"/>
  <c r="M272" i="30" s="1"/>
  <c r="L276" i="26"/>
  <c r="L275" i="26" s="1"/>
  <c r="L274" i="26" s="1"/>
  <c r="M277" i="26"/>
  <c r="M276" i="26" s="1"/>
  <c r="M275" i="26" s="1"/>
  <c r="M274" i="26" s="1"/>
  <c r="M273" i="26" s="1"/>
  <c r="M272" i="26" s="1"/>
  <c r="N294" i="26"/>
  <c r="N291" i="26" s="1"/>
  <c r="N290" i="26" s="1"/>
  <c r="L291" i="26"/>
  <c r="N294" i="30"/>
  <c r="N291" i="30" s="1"/>
  <c r="N290" i="30" s="1"/>
  <c r="L291" i="30"/>
  <c r="L49" i="26"/>
  <c r="L11" i="27" s="1"/>
  <c r="K49" i="26"/>
  <c r="K11" i="27" s="1"/>
  <c r="M49" i="26"/>
  <c r="M11" i="27" s="1"/>
  <c r="J5" i="28"/>
  <c r="K6" i="28"/>
  <c r="N6" i="27"/>
  <c r="N5" i="26"/>
  <c r="L39" i="28"/>
  <c r="L4" i="28" s="1"/>
  <c r="L3" i="28" s="1"/>
  <c r="K5" i="30"/>
  <c r="J4" i="30"/>
  <c r="L230" i="26"/>
  <c r="L229" i="26" s="1"/>
  <c r="L228" i="26" s="1"/>
  <c r="L227" i="26" s="1"/>
  <c r="L45" i="27"/>
  <c r="L5" i="26"/>
  <c r="L6" i="27"/>
  <c r="J274" i="30"/>
  <c r="K275" i="30"/>
  <c r="J39" i="28"/>
  <c r="K39" i="28" s="1"/>
  <c r="J41" i="27"/>
  <c r="J44" i="27" s="1"/>
  <c r="J43" i="27" s="1"/>
  <c r="J42" i="27" s="1"/>
  <c r="J226" i="26"/>
  <c r="J40" i="27" s="1"/>
  <c r="K5" i="26"/>
  <c r="K5" i="27" s="1"/>
  <c r="J5" i="27"/>
  <c r="J4" i="26"/>
  <c r="K45" i="27"/>
  <c r="K230" i="26"/>
  <c r="K229" i="26" s="1"/>
  <c r="K228" i="26" s="1"/>
  <c r="K227" i="26" s="1"/>
  <c r="M195" i="28"/>
  <c r="M194" i="28" s="1"/>
  <c r="M193" i="28" s="1"/>
  <c r="M192" i="28" s="1"/>
  <c r="M191" i="28" s="1"/>
  <c r="M190" i="28" s="1"/>
  <c r="J194" i="28"/>
  <c r="J193" i="28" s="1"/>
  <c r="J192" i="28" s="1"/>
  <c r="J191" i="28" s="1"/>
  <c r="J190" i="28" s="1"/>
  <c r="K195" i="28"/>
  <c r="K194" i="28" s="1"/>
  <c r="K193" i="28" s="1"/>
  <c r="K192" i="28" s="1"/>
  <c r="K191" i="28" s="1"/>
  <c r="K190" i="28" s="1"/>
  <c r="N12" i="27"/>
  <c r="N49" i="26"/>
  <c r="N11" i="27" s="1"/>
  <c r="J289" i="26"/>
  <c r="M6" i="26"/>
  <c r="M7" i="27"/>
  <c r="N45" i="27"/>
  <c r="N230" i="26"/>
  <c r="N229" i="26" s="1"/>
  <c r="N228" i="26" s="1"/>
  <c r="N227" i="26" s="1"/>
  <c r="N312" i="32" l="1"/>
  <c r="N289" i="32" s="1"/>
  <c r="N273" i="32" s="1"/>
  <c r="N272" i="32" s="1"/>
  <c r="N312" i="26"/>
  <c r="N289" i="26" s="1"/>
  <c r="N273" i="26" s="1"/>
  <c r="N272" i="26" s="1"/>
  <c r="L312" i="30"/>
  <c r="K289" i="32"/>
  <c r="K312" i="32"/>
  <c r="L312" i="32"/>
  <c r="L289" i="32" s="1"/>
  <c r="L273" i="32" s="1"/>
  <c r="L272" i="32" s="1"/>
  <c r="N312" i="30"/>
  <c r="N289" i="30" s="1"/>
  <c r="N273" i="30" s="1"/>
  <c r="N272" i="30" s="1"/>
  <c r="J274" i="32"/>
  <c r="K275" i="32"/>
  <c r="L312" i="26"/>
  <c r="F289" i="30"/>
  <c r="F273" i="30" s="1"/>
  <c r="F272" i="30" s="1"/>
  <c r="K289" i="26"/>
  <c r="K312" i="26"/>
  <c r="K312" i="30"/>
  <c r="L290" i="30"/>
  <c r="M291" i="30"/>
  <c r="M290" i="30" s="1"/>
  <c r="M289" i="30" s="1"/>
  <c r="L290" i="26"/>
  <c r="M291" i="26"/>
  <c r="M290" i="26" s="1"/>
  <c r="M289" i="26" s="1"/>
  <c r="M3" i="28"/>
  <c r="J4" i="27"/>
  <c r="K4" i="26"/>
  <c r="K4" i="27" s="1"/>
  <c r="J3" i="26"/>
  <c r="M6" i="27"/>
  <c r="M5" i="26"/>
  <c r="K4" i="30"/>
  <c r="J3" i="30"/>
  <c r="K3" i="30" s="1"/>
  <c r="N5" i="27"/>
  <c r="N4" i="26"/>
  <c r="N41" i="27"/>
  <c r="N44" i="27" s="1"/>
  <c r="N43" i="27" s="1"/>
  <c r="N42" i="27" s="1"/>
  <c r="N226" i="26"/>
  <c r="N40" i="27" s="1"/>
  <c r="J273" i="26"/>
  <c r="K41" i="27"/>
  <c r="K44" i="27" s="1"/>
  <c r="K43" i="27" s="1"/>
  <c r="K42" i="27" s="1"/>
  <c r="K226" i="26"/>
  <c r="K40" i="27" s="1"/>
  <c r="L5" i="27"/>
  <c r="L4" i="26"/>
  <c r="K274" i="30"/>
  <c r="J273" i="30"/>
  <c r="L226" i="26"/>
  <c r="L40" i="27" s="1"/>
  <c r="L41" i="27"/>
  <c r="L44" i="27" s="1"/>
  <c r="L43" i="27" s="1"/>
  <c r="L42" i="27" s="1"/>
  <c r="K5" i="28"/>
  <c r="J4" i="28"/>
  <c r="L289" i="30" l="1"/>
  <c r="L273" i="30" s="1"/>
  <c r="L272" i="30" s="1"/>
  <c r="J273" i="32"/>
  <c r="K274" i="32"/>
  <c r="L289" i="26"/>
  <c r="L273" i="26" s="1"/>
  <c r="L272" i="26" s="1"/>
  <c r="K289" i="30"/>
  <c r="L4" i="27"/>
  <c r="L3" i="26"/>
  <c r="L3" i="27" s="1"/>
  <c r="K273" i="26"/>
  <c r="J272" i="26"/>
  <c r="K272" i="26" s="1"/>
  <c r="K3" i="26"/>
  <c r="K3" i="27" s="1"/>
  <c r="J3" i="27"/>
  <c r="J3" i="28"/>
  <c r="K3" i="28" s="1"/>
  <c r="K4" i="28"/>
  <c r="J272" i="30"/>
  <c r="K272" i="30" s="1"/>
  <c r="K273" i="30"/>
  <c r="N4" i="27"/>
  <c r="N3" i="26"/>
  <c r="N3" i="27" s="1"/>
  <c r="M5" i="27"/>
  <c r="M4" i="26"/>
  <c r="J272" i="32" l="1"/>
  <c r="K272" i="32" s="1"/>
  <c r="K273" i="32"/>
  <c r="M4" i="27"/>
  <c r="M3" i="26"/>
  <c r="M3" i="27" s="1"/>
</calcChain>
</file>

<file path=xl/comments1.xml><?xml version="1.0" encoding="utf-8"?>
<comments xmlns="http://schemas.openxmlformats.org/spreadsheetml/2006/main">
  <authors>
    <author>LIZETH JAHIRA GONZALEZ VARGAS</author>
    <author>LIZETH</author>
  </authors>
  <commentList>
    <comment ref="AP23" authorId="0" shapeId="0">
      <text>
        <r>
          <rPr>
            <b/>
            <sz val="9"/>
            <color indexed="81"/>
            <rFont val="Tahoma"/>
            <family val="2"/>
          </rPr>
          <t>LIZETH JAHIRA GONZALEZ VARGAS:</t>
        </r>
        <r>
          <rPr>
            <sz val="9"/>
            <color indexed="81"/>
            <rFont val="Tahoma"/>
            <family val="2"/>
          </rPr>
          <t xml:space="preserve">
radicado el 21-05-2014</t>
        </r>
      </text>
    </comment>
    <comment ref="AP35" authorId="0" shapeId="0">
      <text>
        <r>
          <rPr>
            <b/>
            <sz val="9"/>
            <color indexed="81"/>
            <rFont val="Tahoma"/>
            <family val="2"/>
          </rPr>
          <t>LIZETH JAHIRA GONZALEZ VARGAS:</t>
        </r>
        <r>
          <rPr>
            <sz val="9"/>
            <color indexed="81"/>
            <rFont val="Tahoma"/>
            <family val="2"/>
          </rPr>
          <t xml:space="preserve">
Sin firma ordenador</t>
        </r>
      </text>
    </comment>
    <comment ref="S68" authorId="0" shapeId="0">
      <text>
        <r>
          <rPr>
            <b/>
            <sz val="9"/>
            <color indexed="81"/>
            <rFont val="Tahoma"/>
            <family val="2"/>
          </rPr>
          <t>LIZETH JAHIRA GONZALEZ VARGAS:</t>
        </r>
        <r>
          <rPr>
            <sz val="9"/>
            <color indexed="81"/>
            <rFont val="Tahoma"/>
            <family val="2"/>
          </rPr>
          <t xml:space="preserve">
Terminación</t>
        </r>
      </text>
    </comment>
    <comment ref="V68" authorId="1" shapeId="0">
      <text>
        <r>
          <rPr>
            <b/>
            <sz val="9"/>
            <color indexed="81"/>
            <rFont val="Tahoma"/>
            <family val="2"/>
          </rPr>
          <t>LIZETH:</t>
        </r>
        <r>
          <rPr>
            <sz val="9"/>
            <color indexed="81"/>
            <rFont val="Tahoma"/>
            <family val="2"/>
          </rPr>
          <t xml:space="preserve">
Estaba en $0</t>
        </r>
      </text>
    </comment>
    <comment ref="F170" authorId="1" shapeId="0">
      <text>
        <r>
          <rPr>
            <b/>
            <sz val="9"/>
            <color indexed="81"/>
            <rFont val="Tahoma"/>
            <family val="2"/>
          </rPr>
          <t>LIZETH:</t>
        </r>
        <r>
          <rPr>
            <sz val="9"/>
            <color indexed="81"/>
            <rFont val="Tahoma"/>
            <family val="2"/>
          </rPr>
          <t xml:space="preserve">
Antes: AMANDA ISLENY ALFONSO VELÁSQUEZ</t>
        </r>
      </text>
    </comment>
    <comment ref="F172" authorId="1" shapeId="0">
      <text>
        <r>
          <rPr>
            <b/>
            <sz val="9"/>
            <color indexed="81"/>
            <rFont val="Tahoma"/>
            <family val="2"/>
          </rPr>
          <t>LIZETH:</t>
        </r>
        <r>
          <rPr>
            <sz val="9"/>
            <color indexed="81"/>
            <rFont val="Tahoma"/>
            <family val="2"/>
          </rPr>
          <t xml:space="preserve">
Antes: GERARDO ANTONIO ALFONSO VELÁSQUEZ</t>
        </r>
      </text>
    </comment>
    <comment ref="S193" authorId="0" shapeId="0">
      <text>
        <r>
          <rPr>
            <b/>
            <sz val="9"/>
            <color indexed="81"/>
            <rFont val="Tahoma"/>
            <family val="2"/>
          </rPr>
          <t>LIZETH JAHIRA GONZALEZ VARGAS:</t>
        </r>
        <r>
          <rPr>
            <sz val="9"/>
            <color indexed="81"/>
            <rFont val="Tahoma"/>
            <family val="2"/>
          </rPr>
          <t xml:space="preserve">
Fecha terminación anticipada</t>
        </r>
      </text>
    </comment>
    <comment ref="S251" authorId="0" shapeId="0">
      <text>
        <r>
          <rPr>
            <b/>
            <sz val="9"/>
            <color indexed="81"/>
            <rFont val="Tahoma"/>
            <family val="2"/>
          </rPr>
          <t>LIZETH JAHIRA GONZALEZ VARGAS:</t>
        </r>
        <r>
          <rPr>
            <sz val="9"/>
            <color indexed="81"/>
            <rFont val="Tahoma"/>
            <family val="2"/>
          </rPr>
          <t xml:space="preserve">
Suspensión</t>
        </r>
      </text>
    </comment>
    <comment ref="R282" authorId="0" shapeId="0">
      <text>
        <r>
          <rPr>
            <b/>
            <sz val="9"/>
            <color indexed="81"/>
            <rFont val="Tahoma"/>
            <family val="2"/>
          </rPr>
          <t>LIZETH JAHIRA GONZALEZ VARGAS:</t>
        </r>
        <r>
          <rPr>
            <sz val="9"/>
            <color indexed="81"/>
            <rFont val="Tahoma"/>
            <family val="2"/>
          </rPr>
          <t xml:space="preserve">
Suspensión</t>
        </r>
      </text>
    </comment>
    <comment ref="I347" authorId="0" shapeId="0">
      <text>
        <r>
          <rPr>
            <b/>
            <sz val="9"/>
            <color indexed="81"/>
            <rFont val="Tahoma"/>
            <family val="2"/>
          </rPr>
          <t>LIZETH JAHIRA GONZALEZ VARGAS:</t>
        </r>
        <r>
          <rPr>
            <sz val="9"/>
            <color indexed="81"/>
            <rFont val="Tahoma"/>
            <family val="2"/>
          </rPr>
          <t xml:space="preserve">
Valor modificado. Otrosí.</t>
        </r>
      </text>
    </comment>
  </commentList>
</comments>
</file>

<file path=xl/comments2.xml><?xml version="1.0" encoding="utf-8"?>
<comments xmlns="http://schemas.openxmlformats.org/spreadsheetml/2006/main">
  <authors>
    <author>LIZETH</author>
    <author>LIZETH JAHIRA GONZALEZ VARGAS</author>
  </authors>
  <commentList>
    <comment ref="R68" authorId="0" shapeId="0">
      <text>
        <r>
          <rPr>
            <b/>
            <sz val="9"/>
            <color indexed="81"/>
            <rFont val="Tahoma"/>
            <family val="2"/>
          </rPr>
          <t>Suspensión</t>
        </r>
      </text>
    </comment>
    <comment ref="T68" authorId="0" shapeId="0">
      <text>
        <r>
          <rPr>
            <b/>
            <sz val="9"/>
            <color indexed="81"/>
            <rFont val="Tahoma"/>
            <family val="2"/>
          </rPr>
          <t>Suspensión</t>
        </r>
      </text>
    </comment>
    <comment ref="V68" authorId="0" shapeId="0">
      <text>
        <r>
          <rPr>
            <b/>
            <sz val="9"/>
            <color indexed="81"/>
            <rFont val="Tahoma"/>
            <family val="2"/>
          </rPr>
          <t>Suspensión</t>
        </r>
      </text>
    </comment>
    <comment ref="Y68" authorId="1" shapeId="0">
      <text>
        <r>
          <rPr>
            <b/>
            <sz val="9"/>
            <color indexed="81"/>
            <rFont val="Tahoma"/>
            <family val="2"/>
          </rPr>
          <t>LIZETH JAHIRA GONZALEZ VARGAS:</t>
        </r>
        <r>
          <rPr>
            <sz val="9"/>
            <color indexed="81"/>
            <rFont val="Tahoma"/>
            <family val="2"/>
          </rPr>
          <t xml:space="preserve">
Terminación</t>
        </r>
      </text>
    </comment>
    <comment ref="T74" authorId="0" shapeId="0">
      <text>
        <r>
          <rPr>
            <b/>
            <sz val="9"/>
            <color indexed="81"/>
            <rFont val="Tahoma"/>
            <family val="2"/>
          </rPr>
          <t>Suspensión</t>
        </r>
      </text>
    </comment>
    <comment ref="R139" authorId="1" shapeId="0">
      <text>
        <r>
          <rPr>
            <b/>
            <sz val="9"/>
            <color indexed="81"/>
            <rFont val="Tahoma"/>
            <family val="2"/>
          </rPr>
          <t>LIZETH JAHIRA GONZALEZ VARGAS:</t>
        </r>
        <r>
          <rPr>
            <sz val="9"/>
            <color indexed="81"/>
            <rFont val="Tahoma"/>
            <family val="2"/>
          </rPr>
          <t xml:space="preserve">
SUSPENSIÓN</t>
        </r>
      </text>
    </comment>
    <comment ref="C151" authorId="0" shapeId="0">
      <text>
        <r>
          <rPr>
            <b/>
            <sz val="9"/>
            <color indexed="81"/>
            <rFont val="Tahoma"/>
            <family val="2"/>
          </rPr>
          <t>LIZETH:</t>
        </r>
        <r>
          <rPr>
            <sz val="9"/>
            <color indexed="81"/>
            <rFont val="Tahoma"/>
            <family val="2"/>
          </rPr>
          <t xml:space="preserve">
Aparece el Concejo D.C.</t>
        </r>
      </text>
    </comment>
    <comment ref="C170" authorId="0" shapeId="0">
      <text>
        <r>
          <rPr>
            <b/>
            <sz val="9"/>
            <color indexed="81"/>
            <rFont val="Tahoma"/>
            <family val="2"/>
          </rPr>
          <t>LIZETH:</t>
        </r>
        <r>
          <rPr>
            <sz val="9"/>
            <color indexed="81"/>
            <rFont val="Tahoma"/>
            <family val="2"/>
          </rPr>
          <t xml:space="preserve">
Antes: AMANDA ISLENY ALFONSO VELÁSQUEZ</t>
        </r>
      </text>
    </comment>
    <comment ref="C172" authorId="0" shapeId="0">
      <text>
        <r>
          <rPr>
            <b/>
            <sz val="9"/>
            <color indexed="81"/>
            <rFont val="Tahoma"/>
            <family val="2"/>
          </rPr>
          <t>LIZETH:</t>
        </r>
        <r>
          <rPr>
            <sz val="9"/>
            <color indexed="81"/>
            <rFont val="Tahoma"/>
            <family val="2"/>
          </rPr>
          <t xml:space="preserve">
Antes: GERARDO ANTONIO ALFONSO VELASQUEZ</t>
        </r>
      </text>
    </comment>
    <comment ref="AJ185" authorId="1" shapeId="0">
      <text>
        <r>
          <rPr>
            <b/>
            <sz val="9"/>
            <color indexed="81"/>
            <rFont val="Tahoma"/>
            <family val="2"/>
          </rPr>
          <t>LIZETH JAHIRA GONZALEZ VARGAS:</t>
        </r>
        <r>
          <rPr>
            <sz val="9"/>
            <color indexed="81"/>
            <rFont val="Tahoma"/>
            <family val="2"/>
          </rPr>
          <t xml:space="preserve">
Lorenza</t>
        </r>
      </text>
    </comment>
    <comment ref="S191" authorId="0" shapeId="0">
      <text>
        <r>
          <rPr>
            <b/>
            <sz val="9"/>
            <color indexed="81"/>
            <rFont val="Tahoma"/>
            <family val="2"/>
          </rPr>
          <t>LIZETH:</t>
        </r>
        <r>
          <rPr>
            <sz val="9"/>
            <color indexed="81"/>
            <rFont val="Tahoma"/>
            <family val="2"/>
          </rPr>
          <t xml:space="preserve">
</t>
        </r>
      </text>
    </comment>
    <comment ref="U193" authorId="1" shapeId="0">
      <text>
        <r>
          <rPr>
            <b/>
            <sz val="9"/>
            <color indexed="81"/>
            <rFont val="Tahoma"/>
            <family val="2"/>
          </rPr>
          <t>Terminación anticipada</t>
        </r>
      </text>
    </comment>
    <comment ref="S251" authorId="1" shapeId="0">
      <text>
        <r>
          <rPr>
            <b/>
            <sz val="9"/>
            <color indexed="81"/>
            <rFont val="Tahoma"/>
            <family val="2"/>
          </rPr>
          <t>LIZETH JAHIRA GONZALEZ VARGAS:</t>
        </r>
        <r>
          <rPr>
            <sz val="9"/>
            <color indexed="81"/>
            <rFont val="Tahoma"/>
            <family val="2"/>
          </rPr>
          <t xml:space="preserve">
Suspensión</t>
        </r>
      </text>
    </comment>
  </commentList>
</comments>
</file>

<file path=xl/comments3.xml><?xml version="1.0" encoding="utf-8"?>
<comments xmlns="http://schemas.openxmlformats.org/spreadsheetml/2006/main">
  <authors>
    <author>LIZETH</author>
  </authors>
  <commentList>
    <comment ref="C116" authorId="0" shapeId="0">
      <text>
        <r>
          <rPr>
            <b/>
            <sz val="9"/>
            <color indexed="81"/>
            <rFont val="Tahoma"/>
            <family val="2"/>
          </rPr>
          <t>LIZETH:</t>
        </r>
        <r>
          <rPr>
            <sz val="9"/>
            <color indexed="81"/>
            <rFont val="Tahoma"/>
            <family val="2"/>
          </rPr>
          <t xml:space="preserve">
Antes: AMANDA ISLENY ALFONSO VELÁSQUEZ</t>
        </r>
      </text>
    </comment>
    <comment ref="C123" authorId="0" shapeId="0">
      <text>
        <r>
          <rPr>
            <b/>
            <sz val="9"/>
            <color indexed="81"/>
            <rFont val="Tahoma"/>
            <family val="2"/>
          </rPr>
          <t>LIZETH:</t>
        </r>
        <r>
          <rPr>
            <sz val="9"/>
            <color indexed="81"/>
            <rFont val="Tahoma"/>
            <family val="2"/>
          </rPr>
          <t xml:space="preserve">
Antes: GERARDO ANTONIO ALFONSO VELÁSQUEZ</t>
        </r>
      </text>
    </comment>
    <comment ref="E217" authorId="0" shapeId="0">
      <text>
        <r>
          <rPr>
            <b/>
            <sz val="9"/>
            <color indexed="81"/>
            <rFont val="Tahoma"/>
            <family val="2"/>
          </rPr>
          <t>LIZETH:</t>
        </r>
        <r>
          <rPr>
            <sz val="9"/>
            <color indexed="81"/>
            <rFont val="Tahoma"/>
            <family val="2"/>
          </rPr>
          <t xml:space="preserve">
El año estaba cambiado</t>
        </r>
      </text>
    </comment>
  </commentList>
</comments>
</file>

<file path=xl/comments4.xml><?xml version="1.0" encoding="utf-8"?>
<comments xmlns="http://schemas.openxmlformats.org/spreadsheetml/2006/main">
  <authors>
    <author>LIZETH JAHIRA GONZALEZ VARGAS</author>
  </authors>
  <commentList>
    <comment ref="B67" authorId="0" shapeId="0">
      <text>
        <r>
          <rPr>
            <b/>
            <sz val="9"/>
            <color indexed="81"/>
            <rFont val="Tahoma"/>
            <family val="2"/>
          </rPr>
          <t>LIZETH JAHIRA GONZALEZ VARGAS:</t>
        </r>
        <r>
          <rPr>
            <sz val="9"/>
            <color indexed="81"/>
            <rFont val="Tahoma"/>
            <family val="2"/>
          </rPr>
          <t xml:space="preserve">
En la última versión del PAA no está la línea 282</t>
        </r>
      </text>
    </comment>
  </commentList>
</comments>
</file>

<file path=xl/sharedStrings.xml><?xml version="1.0" encoding="utf-8"?>
<sst xmlns="http://schemas.openxmlformats.org/spreadsheetml/2006/main" count="23018" uniqueCount="5044">
  <si>
    <t>Número de contrato</t>
  </si>
  <si>
    <t>Nombre</t>
  </si>
  <si>
    <t>050000-371-0-2012</t>
  </si>
  <si>
    <t>ORGANIZACIÓN TERPEL S.A.</t>
  </si>
  <si>
    <t>120000-504-0-2012</t>
  </si>
  <si>
    <t>120000-361-0-2011</t>
  </si>
  <si>
    <t>120000-368-0-2012</t>
  </si>
  <si>
    <t>120000-328-0-2012</t>
  </si>
  <si>
    <t>PORTES DE COLOMBIA LTDA</t>
  </si>
  <si>
    <t>120000-390-0-2012</t>
  </si>
  <si>
    <t>050000-356-0-2012</t>
  </si>
  <si>
    <t>120000-494-0-2012</t>
  </si>
  <si>
    <t>DIRECTV COLOMBIA LTDA</t>
  </si>
  <si>
    <t>COMUNICAN S.A</t>
  </si>
  <si>
    <t>120000-125-0-2012</t>
  </si>
  <si>
    <t>REVISTA EL CONGRESO SIGLO XXI LTDA</t>
  </si>
  <si>
    <t>050000-290-0-2012</t>
  </si>
  <si>
    <t>050000-427-0-2012</t>
  </si>
  <si>
    <t xml:space="preserve">JORGE ENRIQUE AVILAN </t>
  </si>
  <si>
    <t>050000-131-0-2012</t>
  </si>
  <si>
    <t xml:space="preserve">MELCO DE COLOMBIA LIMITADA </t>
  </si>
  <si>
    <t>040000-221-0-2012</t>
  </si>
  <si>
    <t>FACTOR VISUAL EAT</t>
  </si>
  <si>
    <t>050000-155-0-2012</t>
  </si>
  <si>
    <t>050000-433-0-2012</t>
  </si>
  <si>
    <t>120000-523-0-2012</t>
  </si>
  <si>
    <t>DB SYSTEM LTDA</t>
  </si>
  <si>
    <t>EDITORIAL EL GLOBO S.A</t>
  </si>
  <si>
    <t>050000-346-0-2012</t>
  </si>
  <si>
    <t>EDITORIAL LA UNIDAD</t>
  </si>
  <si>
    <t>050000-501-0-2012</t>
  </si>
  <si>
    <t>CESAR ALEJANDRO GUERRERO BARRIGA</t>
  </si>
  <si>
    <t>050000-348-0-2012</t>
  </si>
  <si>
    <t>PUBLICACIONES SEMANA S.A.</t>
  </si>
  <si>
    <t>050000-353-0-2012</t>
  </si>
  <si>
    <t>120000-376-0-2012</t>
  </si>
  <si>
    <t>NELSON EDUARDO MUÑOZ MORENO</t>
  </si>
  <si>
    <t>120000-381-0-2012</t>
  </si>
  <si>
    <t>SOLUTION COPY LTDA</t>
  </si>
  <si>
    <t>120000-406-0-2012</t>
  </si>
  <si>
    <t>120000-151-0-2012</t>
  </si>
  <si>
    <t>SOCIEDAD ENTORNO COMPAÑÍA LTDA</t>
  </si>
  <si>
    <t>120000-464-0-2012</t>
  </si>
  <si>
    <t>CR TROFEOS LTDA</t>
  </si>
  <si>
    <t>120000-312-0-2012</t>
  </si>
  <si>
    <t>120000-521-0-2012</t>
  </si>
  <si>
    <t>INFOSOURCES LTDA</t>
  </si>
  <si>
    <t>120000-403-0-2012</t>
  </si>
  <si>
    <t>INCTEC INGENIEROS CIVILES ARQUITECTOS LTDA</t>
  </si>
  <si>
    <t>120000-416-0-2012</t>
  </si>
  <si>
    <t>120000-420-0-2012</t>
  </si>
  <si>
    <t>120000-442-0-2012</t>
  </si>
  <si>
    <t>120000-453-0-2012</t>
  </si>
  <si>
    <t>HERNANDO  BULLA ORJUELA</t>
  </si>
  <si>
    <t>120000-490-0-2012</t>
  </si>
  <si>
    <t>SISTEMAS INTEGRALES DE TRATAMIENTOS DE AGUAS LTDA - ACUANATURA</t>
  </si>
  <si>
    <t>050000-120-0-2012</t>
  </si>
  <si>
    <t>ACE SEGUROS S.A.</t>
  </si>
  <si>
    <t>050000-340-0-2012</t>
  </si>
  <si>
    <t>120000-289-0-2012</t>
  </si>
  <si>
    <t>SEGUROS DEL ESTADO S.A</t>
  </si>
  <si>
    <t>050000-333-0-2012</t>
  </si>
  <si>
    <t>050000-498-0-2012</t>
  </si>
  <si>
    <t>120000-396-0-2012</t>
  </si>
  <si>
    <t>CENTRO DE RECURSOS EDUCATIVOS PARA LA COMPETITIVIDAD EMPRESARIAL LTDA - CRECE</t>
  </si>
  <si>
    <t>120000-399-0-2012</t>
  </si>
  <si>
    <t>UNIVERSIDAD LA GRAN COLOMBIA</t>
  </si>
  <si>
    <t>120000-478-0-2012</t>
  </si>
  <si>
    <t>CAJA COLOMBIANA DE SUBSIDIO FAMILIAR - COLSUBSIDIO - BONOS</t>
  </si>
  <si>
    <t>120000-402-0-2012</t>
  </si>
  <si>
    <t>INSTITUTO DISTRITAL DE PATRIMONIO CULTURAL</t>
  </si>
  <si>
    <t>120000-507-0-2012</t>
  </si>
  <si>
    <t>120000-177-0-2012</t>
  </si>
  <si>
    <t>CANAL CAPITAL</t>
  </si>
  <si>
    <t>120000-483-0-2012</t>
  </si>
  <si>
    <t>SERVIMEDIOS LTDA</t>
  </si>
  <si>
    <t>120000-518-0-2012</t>
  </si>
  <si>
    <t>INSTITUTO DISTRITAL DEL PATRIMONIO CULTURAL - IDCP</t>
  </si>
  <si>
    <t>130019-0-2013</t>
  </si>
  <si>
    <t>NEWNET S.A</t>
  </si>
  <si>
    <t>130023-0-2013</t>
  </si>
  <si>
    <t xml:space="preserve">AMBICOL SERVICES S.A.S. </t>
  </si>
  <si>
    <t>130036-0-2013</t>
  </si>
  <si>
    <t>130044-0-2013</t>
  </si>
  <si>
    <t>MELCO DE COLOMBIA LIMITADA</t>
  </si>
  <si>
    <t>130048-0-2013</t>
  </si>
  <si>
    <t>CASA EDITORIAL EL TIEMPO SA</t>
  </si>
  <si>
    <t>130091-0-2013</t>
  </si>
  <si>
    <t>130106-0-2013</t>
  </si>
  <si>
    <t>130147-0-2013</t>
  </si>
  <si>
    <t>BUSINESS TECHNOLOGIES COMPANY</t>
  </si>
  <si>
    <t>130116-0-2013</t>
  </si>
  <si>
    <t>010000-768-0-2008</t>
  </si>
  <si>
    <t>130121-0-2013</t>
  </si>
  <si>
    <t>130126-0-2013</t>
  </si>
  <si>
    <t>130129-0-2013</t>
  </si>
  <si>
    <t>130130-0-2013</t>
  </si>
  <si>
    <t>130133-0-2013</t>
  </si>
  <si>
    <t>SEGURIDAD NUEVA ERA</t>
  </si>
  <si>
    <t>130136-0-2013</t>
  </si>
  <si>
    <t>MOTORES Y MAQUINAS MOTORYSA</t>
  </si>
  <si>
    <t>050000-275-0-2011</t>
  </si>
  <si>
    <t>SGS COLOMBIA</t>
  </si>
  <si>
    <t>040000-357-0-2012</t>
  </si>
  <si>
    <t>LILIA FANNY GUEVARA</t>
  </si>
  <si>
    <t>050000-395-0-2012</t>
  </si>
  <si>
    <t>050000-386-0-2012</t>
  </si>
  <si>
    <t>050000-324-0-2012</t>
  </si>
  <si>
    <t>JAKO IMPORTACIONES S.A.S</t>
  </si>
  <si>
    <t>050000-349-0-2012</t>
  </si>
  <si>
    <t>120000-398-0-2012</t>
  </si>
  <si>
    <t>ECO COLSULTORES</t>
  </si>
  <si>
    <t>120000-307-0-2011</t>
  </si>
  <si>
    <t>050000-222-0-2012</t>
  </si>
  <si>
    <t>050000-358-0-2012</t>
  </si>
  <si>
    <t>CALIDAD COMPORTAMIENTO EMPRESARIAL LTDA</t>
  </si>
  <si>
    <t>120000-525-0-2012</t>
  </si>
  <si>
    <t>GAMMA  INGENIEROS</t>
  </si>
  <si>
    <t>050000-468-0-2012</t>
  </si>
  <si>
    <t>120000-425-0-2012</t>
  </si>
  <si>
    <t>120000-297-0-2011</t>
  </si>
  <si>
    <t>130139-0-2013</t>
  </si>
  <si>
    <t>120000-535-0-2012</t>
  </si>
  <si>
    <t>130141-0-2013</t>
  </si>
  <si>
    <t>LILIANA ALFONSO JAIMES</t>
  </si>
  <si>
    <t>130142-0-2013</t>
  </si>
  <si>
    <t>AGR SOLUCIONES S.A.S.</t>
  </si>
  <si>
    <t>120000-281-0-2011</t>
  </si>
  <si>
    <t>CONSERAUTO</t>
  </si>
  <si>
    <t>130146-0-2013</t>
  </si>
  <si>
    <t>130150-0-2013</t>
  </si>
  <si>
    <t>CANAL 13</t>
  </si>
  <si>
    <t>130152-0-2013</t>
  </si>
  <si>
    <t>130154-0-2013</t>
  </si>
  <si>
    <t>MUDANZAS LEMUS</t>
  </si>
  <si>
    <t>130156-0-2013</t>
  </si>
  <si>
    <t>130161-0-2013</t>
  </si>
  <si>
    <t>AUGUSTO MEDIVELSO OJEDA</t>
  </si>
  <si>
    <t>130163-0-2013</t>
  </si>
  <si>
    <t>130164-0-2013</t>
  </si>
  <si>
    <t>EDELMIRA ATARA GIL</t>
  </si>
  <si>
    <t>130166-0-2013</t>
  </si>
  <si>
    <t>RICOH COLOMBIA S.A.</t>
  </si>
  <si>
    <t>130186-0-2013</t>
  </si>
  <si>
    <t>INVERSIONES MATAY SAS</t>
  </si>
  <si>
    <t>130190-0-2013</t>
  </si>
  <si>
    <t>130194-0-2013</t>
  </si>
  <si>
    <t>130196-0-2013</t>
  </si>
  <si>
    <t>CARLOS ALFONSO RESTREPO</t>
  </si>
  <si>
    <t>040000-1120-0-2008</t>
  </si>
  <si>
    <t>COMPUFACIL</t>
  </si>
  <si>
    <t>040000-1118-7-2008</t>
  </si>
  <si>
    <t>COLOMBIANA DE SOFTWARE Y HARDWARE COLSOF S.A.</t>
  </si>
  <si>
    <t>120000-223-0-2012</t>
  </si>
  <si>
    <t>SECURITY TECH  CONTROL LTDA</t>
  </si>
  <si>
    <t>130198-0-2013</t>
  </si>
  <si>
    <t>130200-0-2013</t>
  </si>
  <si>
    <t>130202-0-2013</t>
  </si>
  <si>
    <t>INGTEL LTDA</t>
  </si>
  <si>
    <t>130204-0-2013</t>
  </si>
  <si>
    <t>DESCONT S.A.</t>
  </si>
  <si>
    <t>120000-331-0-2011</t>
  </si>
  <si>
    <t>KEY MARKEY S.A.</t>
  </si>
  <si>
    <t>120000-440-0-2011</t>
  </si>
  <si>
    <t>130207-0-2013</t>
  </si>
  <si>
    <t>CONSORCIO CJ</t>
  </si>
  <si>
    <t>130211-0-2013</t>
  </si>
  <si>
    <t>130220-0-2013</t>
  </si>
  <si>
    <t>130229-0-2013</t>
  </si>
  <si>
    <t>KARENN ANDREA SUAREZ LINARES</t>
  </si>
  <si>
    <t>120000-255-0-2011</t>
  </si>
  <si>
    <t>140136-0-2014</t>
  </si>
  <si>
    <t>130237-0-2013</t>
  </si>
  <si>
    <t>130241-0-2013</t>
  </si>
  <si>
    <t>ACABADOS ALTAPISOS INVERSIONES  S.A.S.</t>
  </si>
  <si>
    <t>130214-0-2013</t>
  </si>
  <si>
    <t>SEGUROS GENERALES SURAMERICANA S.A</t>
  </si>
  <si>
    <t>130265-0-2013</t>
  </si>
  <si>
    <t>130227-0-2013</t>
  </si>
  <si>
    <t>040000-410-0-2012</t>
  </si>
  <si>
    <t>040000-821-0-2009</t>
  </si>
  <si>
    <t>DATAPOINT DE COLOMBIA S A S</t>
  </si>
  <si>
    <t>120000-727-0-2009</t>
  </si>
  <si>
    <t>130244-0-2013</t>
  </si>
  <si>
    <t>CONTRONET LTDA</t>
  </si>
  <si>
    <t>130249-0-2013</t>
  </si>
  <si>
    <t>INGEAL S.A.</t>
  </si>
  <si>
    <t>130242-0-2013</t>
  </si>
  <si>
    <t>INVERSIONES LIGOL - INVERLIGOL LTD A</t>
  </si>
  <si>
    <t>130228-0-2013</t>
  </si>
  <si>
    <t>130209-0-2013</t>
  </si>
  <si>
    <t>130260-0-2013</t>
  </si>
  <si>
    <t>PROCOLDEXT LIMITADA</t>
  </si>
  <si>
    <t>130270-0-2013</t>
  </si>
  <si>
    <t>ITELCO IT S.A.S</t>
  </si>
  <si>
    <t>130254-0-2013</t>
  </si>
  <si>
    <t>130276-0-2013</t>
  </si>
  <si>
    <t>130217-0-2013</t>
  </si>
  <si>
    <t>SODINLEC LTDA</t>
  </si>
  <si>
    <t>130261-0-2013</t>
  </si>
  <si>
    <t>130281-0-2013</t>
  </si>
  <si>
    <t>CJS CANECAS Y CIA LTDA</t>
  </si>
  <si>
    <t>130162-0-2013</t>
  </si>
  <si>
    <t>SGS COLOMBIA S.A.</t>
  </si>
  <si>
    <t>130286-0-2013</t>
  </si>
  <si>
    <t>COMERCIALIZADORA INTERNACIONAL MEDICA DENTAL S.A.S</t>
  </si>
  <si>
    <t>130297-0-2013</t>
  </si>
  <si>
    <t>130301-0-2013</t>
  </si>
  <si>
    <t>COMPENSAR BIENESTAR</t>
  </si>
  <si>
    <t>130299-0-2013</t>
  </si>
  <si>
    <t>3D CONSULTING GROUP LTDA</t>
  </si>
  <si>
    <t>130298-0-2013</t>
  </si>
  <si>
    <t>SOLUCIONES INTEGRALES DE OFICINAS      SAS</t>
  </si>
  <si>
    <t>130309-0-2013</t>
  </si>
  <si>
    <t>130336-0-2013</t>
  </si>
  <si>
    <t>130346-0-2013</t>
  </si>
  <si>
    <t>130349-0-2013</t>
  </si>
  <si>
    <t>PUBBLICA S.A.S.</t>
  </si>
  <si>
    <t>130352-0-2013</t>
  </si>
  <si>
    <t>INSTITUCIONAL STAR SERVICES LTDA</t>
  </si>
  <si>
    <t>130355-0-2013</t>
  </si>
  <si>
    <t>130365-0-2013</t>
  </si>
  <si>
    <t>JORGE ALBERTO GALVIS  ESTUPIÑAN</t>
  </si>
  <si>
    <t>130362-0-2013</t>
  </si>
  <si>
    <t>JORGE ORLANDO RUBIANO CARRANZA</t>
  </si>
  <si>
    <t>130364-0-2013</t>
  </si>
  <si>
    <t>FERNANDO SOTOMONTE AMAYA</t>
  </si>
  <si>
    <t>130361-0-2013</t>
  </si>
  <si>
    <t>ANDREA SUSANA BELLO CANTOR</t>
  </si>
  <si>
    <t>130372-0-2013</t>
  </si>
  <si>
    <t>130385-0-2013</t>
  </si>
  <si>
    <t>130363-0-2013</t>
  </si>
  <si>
    <t>130340-0-2013</t>
  </si>
  <si>
    <t>RIELCO   LTDA</t>
  </si>
  <si>
    <t>130334-0-2013</t>
  </si>
  <si>
    <t>NEX COMPUTER S.A.  - NEXCOM</t>
  </si>
  <si>
    <t>130378-0-2013</t>
  </si>
  <si>
    <t>130384-0-2013</t>
  </si>
  <si>
    <t>DIANA PATRICIA JAIME - SERVIMATEC DNO</t>
  </si>
  <si>
    <t>130373-0-2013</t>
  </si>
  <si>
    <t>130370-0-2013</t>
  </si>
  <si>
    <t>130380-0-2013</t>
  </si>
  <si>
    <t>130368-0-2013</t>
  </si>
  <si>
    <t>130386-0-2013</t>
  </si>
  <si>
    <t>CONTROLES EMPRESARIALES LTDA</t>
  </si>
  <si>
    <t>140157-0-2014</t>
  </si>
  <si>
    <t>140161-0-2014</t>
  </si>
  <si>
    <t>140159-0-2014</t>
  </si>
  <si>
    <t>140162-0-2014</t>
  </si>
  <si>
    <t>140160-0-2014</t>
  </si>
  <si>
    <t>140168-0-2014</t>
  </si>
  <si>
    <t>JORGE LUIS TRUJILLO VERA</t>
  </si>
  <si>
    <t>140138-0-2014</t>
  </si>
  <si>
    <t>140166-0-2014</t>
  </si>
  <si>
    <t>140152-0-2014</t>
  </si>
  <si>
    <t>140167-0-2014</t>
  </si>
  <si>
    <t>140169-0-2014</t>
  </si>
  <si>
    <t>140154-0-2014</t>
  </si>
  <si>
    <t>130325-0-2013</t>
  </si>
  <si>
    <t>SI CAPIT@L</t>
  </si>
  <si>
    <t>140173-0-2014</t>
  </si>
  <si>
    <t>K 10 DESIGN   S.A.S</t>
  </si>
  <si>
    <t>140172-0-2014</t>
  </si>
  <si>
    <t>SONA GREEN TECHNOLOGIES SAS</t>
  </si>
  <si>
    <t>140171-0-2014</t>
  </si>
  <si>
    <t>INGEAL  S. A.</t>
  </si>
  <si>
    <t>140179-0-2014</t>
  </si>
  <si>
    <t>140153-0-2014</t>
  </si>
  <si>
    <t>140164-0-2014</t>
  </si>
  <si>
    <t>MITSUBISHIS ELECTRIC DE COLOMBIA LTDA</t>
  </si>
  <si>
    <t>140140-0-2014</t>
  </si>
  <si>
    <t>140181-0-2014</t>
  </si>
  <si>
    <t>MODULARES OFIMA LTDA</t>
  </si>
  <si>
    <t>140176-0-2014</t>
  </si>
  <si>
    <t>140186-0-2014</t>
  </si>
  <si>
    <t>SECURITYCOM S.A.S</t>
  </si>
  <si>
    <t>140193-0-2014</t>
  </si>
  <si>
    <t>GRANADOS Y CONDECORACIONES</t>
  </si>
  <si>
    <t>140034-0-2014</t>
  </si>
  <si>
    <t>140188-0-2014</t>
  </si>
  <si>
    <t>140191-0-2014</t>
  </si>
  <si>
    <t>KONNEN SERVICES    S.A.S</t>
  </si>
  <si>
    <t>140190-0-2014</t>
  </si>
  <si>
    <t>140198-0-2014</t>
  </si>
  <si>
    <t>A&amp;V EXPRESS S.A.</t>
  </si>
  <si>
    <t>140220-0-2014</t>
  </si>
  <si>
    <t>TERPEL</t>
  </si>
  <si>
    <t>140215-0-2014</t>
  </si>
  <si>
    <t>140178-0-2014</t>
  </si>
  <si>
    <t>140201-0-2014</t>
  </si>
  <si>
    <t>UNIPLES S.A.</t>
  </si>
  <si>
    <t>140216-0-2014</t>
  </si>
  <si>
    <t>140233-0-2014</t>
  </si>
  <si>
    <t>ELKIN MAURICIO DIMAS MONTAYA</t>
  </si>
  <si>
    <t>140228-0-2014</t>
  </si>
  <si>
    <t>T Y G MINOLTA</t>
  </si>
  <si>
    <t>140212-0-2014</t>
  </si>
  <si>
    <t>140238-0-2014</t>
  </si>
  <si>
    <t>140234-0-2014</t>
  </si>
  <si>
    <t>140222-0-2014</t>
  </si>
  <si>
    <t>140207-0-2014</t>
  </si>
  <si>
    <t>MUDANZAS DEL NOGAL SAS</t>
  </si>
  <si>
    <t>140236-0-2014</t>
  </si>
  <si>
    <t>DIVIEXPORT EU</t>
  </si>
  <si>
    <t>140243-0-2014</t>
  </si>
  <si>
    <t>140219-0-2014</t>
  </si>
  <si>
    <t>MARKETGROUP SAS</t>
  </si>
  <si>
    <t>140249-0-2014</t>
  </si>
  <si>
    <t>140244-0-2014</t>
  </si>
  <si>
    <t>130326-0-2013</t>
  </si>
  <si>
    <t>IDENTICO SAS</t>
  </si>
  <si>
    <t>Objeto del contrato</t>
  </si>
  <si>
    <t xml:space="preserve">Suministrar papelería y útiles de escritorio por el sistema de precios unitarios fijos, en la modalidad de proveeduría integral (outsourcing) para el Concejo de Bogotá D.C., de conformidad con los requerimientos establecidos en el pliego de condiciones y </t>
  </si>
  <si>
    <t>Prestar el servicio integral de aseo y cafetería  para las instalaciones del Concejo de Bogotá y la Secretaria de Hacienda</t>
  </si>
  <si>
    <t>Contrata el transporte  de bienes muebles, equipos de oficina y cajas de archivo documental  para la Secretaría Distrital de Hacienda, dentro el perímetro urbano de Bogotá, D.C.</t>
  </si>
  <si>
    <t>Contratar la prestación de los servicio de mensajería expresa masiva del Concejo de  Bogotá  de conformidad con los pliegos de condiciones del proceso de Selección Abreviada de Menor Cuantía No. SDH-SAMC-003-2012 y la propuesta presentada.</t>
  </si>
  <si>
    <t>Suscripción al Sistema de Televisión Satelital para ser instalado en la sede del Concejo de Bogotá, D.C</t>
  </si>
  <si>
    <t>Suscripción a la  revista El Congreso Siglo XXI, con destino al Concejo de Bogotá, D.C., de acuerdo con lo establecido en los estudios previos</t>
  </si>
  <si>
    <t>Contratar el servicio de mantenimiento preventivo y correctivo para los tanques de almacenamiento y equipos de bombeo hidráulicos de agua potable, residual y aguas negras de las instalaciones del Centro Administrativo Distrital CAD .</t>
  </si>
  <si>
    <t>CONTRATAR LOS SERVICIOS PROFESIONALES PARA ELABORAR LA PLANEACIÓN, EJECUCIÓN Y SEGUIMIENTO A PROYECTOS DE INFRAESTRUCTURA FÍSICA, QUE REQUIERA EL  CONCEJO DE BOGOTÁ D.C.</t>
  </si>
  <si>
    <t>Prestar el servicio de mantenimiento preventivo y correctivo ocasional a los ascensores marca Mitsubishi ubicados en el Concejo de Bogotá.</t>
  </si>
  <si>
    <t>Mantenimiento, soporte y actualización al software Prontus (Página web e Intranet)</t>
  </si>
  <si>
    <t>CONTRATAR  EL MANTENIMIENTO (CON SUMINISTRO DE REPUESTOS) Y RECARGA DE LOS EXTINTORES Y LA REVISIÓN Y MANTENIMIENTO DE LOS GABINETES CONTRA INCENDIO DE LAS SEDES DEL CONCEJO DE BOGOTÁ.</t>
  </si>
  <si>
    <t>Prestar los servicios profesionales para diseñar el plan estratégico del talento humano-PETH para el Concejo de Bogotá.</t>
  </si>
  <si>
    <t>Realizar la suscripción a periódicos, revistas, medios de comunicación impresos, para el Concejo de Bogotá _EL NUEVO SIGLO</t>
  </si>
  <si>
    <t>Contratar el servicio para la elaboración del retrato sobre lienzo al óleo del Honorable Concejal de Bogotá D.C., doctor Darío Fernando Cepeda Peña, actual Presidente de la Mesa Directiva del Concejo de Bogotá D.C.k, de conformidad con los estudios previo</t>
  </si>
  <si>
    <t>Prestar el servicio de empaste y/o encuadernación de documentos de archivo en libros tamaños carta, oficio o extra-oficio para el Concejo de Bogotá D.C:, de conformidad con lo establecido en las especificaciones enunciadas en el Anexo Técnico - Especifica</t>
  </si>
  <si>
    <t>Contratar la prestación de servicio de fotocopiado y servicios afines para el Concejo de Bogotá y la Secretaría de Hacienda</t>
  </si>
  <si>
    <t>Suscripción  al diario Periódico de Bogotá, con destino al Concejo de Bogotá, DC., de conformidad con los estudios previos.</t>
  </si>
  <si>
    <t>Prestar el servicio de mantenimiento preventivo y correctivo al sistema eléctrico del  Centro Administrativo Distrital CAD y al Sistema de Generación y Transferencia Eléctrica de Emergencia  del Concejo de Bogotá, DC.</t>
  </si>
  <si>
    <t>Adquirir a título de compra el  libro memorias y luchas urbanas por el derecho a una vida digna, autor Doctor Álvaro Oviedo Hernández, de conformidad con lo establecido en la Invitación Pública SDH-SMINC-59-2012.</t>
  </si>
  <si>
    <t>Revisión general de los sistemas de transporte vertical del CAD y del Concejo de Bogotá y Expedir la certificación de conformidad con la normatividad vigente sobre el tema</t>
  </si>
  <si>
    <t>Prestación del servicio de mantenimiento correctivo con suministro de repuestos de los automotores marca CHEVROLET al servicio del Concejo de Bogotá.</t>
  </si>
  <si>
    <t>Realizar el servicio de mantenimiento correctivo, incluyendo los repuestos y/o elementos nuevos que requieran las sillas existentes en el Concejo de Bogotá.</t>
  </si>
  <si>
    <t>Realizar el mantenimiento preventivo y correctivo (con suministro de repuestos) a las plantas purificadoras y dispensadores de agua del Concejo de Bogotá, D.C., de conformidad con la Invitación Pública del proceso de Selección de Mínima Cuantía No. SDH-SMINC-054-2012.</t>
  </si>
  <si>
    <t>Contratar la Póliza de Responsabilidad Civil Servidores Públicos para el Concejo de Bogotá D.C.</t>
  </si>
  <si>
    <t>Contratar con una compañía de seguros legalmente autorizada para funcionar en el país, las pólizas de Seguro Obligatorio SOAT requerida para la adecuada protección de los vehículos de propiedad de la SECRETARIA DE HACIENDA y del CONCEJO DE BOGOTÁ</t>
  </si>
  <si>
    <t>Realizar la ejecución de actividades de capacitación para el Concejo de Bogotá, D.C., correspondientes a los Grupos 4: Eje temático: Administración Pública; 5: Eje temático: Componente Jurídico y 9: Eje temático: Sistema Integrado de Gestión,  de la Licitación Pública SDH-LP-002-2012, de conformidad con lo establecido en el pliego de condiciones.</t>
  </si>
  <si>
    <t>Prestar los servicios integrales para desarrollar las actividades contenidas en los planes de bienestar e incentivos del Concejo de Bogotá, de conformidad con lo establecido en el pliego de condiciones del Proceso de Selección de Menor Cuantía SDH-SAMC-005-2012 y la propuesta.</t>
  </si>
  <si>
    <t>Prestar los servicios integrales para desarrollar las actividades contenidas en los planes de bienestar e incentivos del Concejo de Bogotá, de conformidad con lo establecido en el pliego de condiciones del Proceso de Selección de Menor Cuantía SDH-SAMC-00</t>
  </si>
  <si>
    <t>Adquisición de licencias e implementación del Software para la gestión de la mesa de ayuda de la TIC'S para el Concejo de Bogotá D.C., de conformidad con lo establecido en pliego de condiciones del proceso de selección No. SDH -SIE-12-2012, y la propuesta presentada por el contratista.</t>
  </si>
  <si>
    <t>Entregar tres ejemplares de cada uno de los diarios, El Tiempo, y Portafolio por el término de un (1) año para el Concejo de Bogotá D.C.</t>
  </si>
  <si>
    <t>Adquirir a título de compraventa ejemplares del Directorio de Despachos Públicos de Colombia, 22ª publicación, edición 2012-2013, para el Concejo de Bogotá, de conformidad con lo señalado en los estudios previos</t>
  </si>
  <si>
    <t xml:space="preserve">Prestar servicios profesionales para acompañar la definición, contratación, intervención y seguimiento de los temas relacionados con la infraestructura del Concejo de Bogotá D.C. </t>
  </si>
  <si>
    <t>Contratar los servicios de impresión, para la Secretaria Distrital de hacienda y el Concejo de Bogotá de conformidad con los requerimientos establecidos en el pliego de condiciones</t>
  </si>
  <si>
    <t>Contratar la prestación del servicio de mantenimiento preventivo y correctivo con suministro de repuestos del sistema de alarmas de emergencia, ubicado en las sedes del Concejo de Bogotá D.C.</t>
  </si>
  <si>
    <t>REALIZAR LAS  AUDITORIAS DE SEGUIMIENTO AL SISTEMA DE GESTIÓN DE CALIDAD DEL CONCEJO DE BOGOTÁ</t>
  </si>
  <si>
    <t xml:space="preserve">Adquirir a título de compraventa de uniformes y elementos deportivos para el Concejo de Bogotá, D.C.
</t>
  </si>
  <si>
    <t>Prestar el servicio de mantenimiento periódico preventivo al parque automotor de la Secretaría Distrital de Hacienda y el Concejo de Bogotá D.C.</t>
  </si>
  <si>
    <t>Prestar el servicio de mantenimiento preventivo y correctivo con suministro de repuestos, del sistema de alarmas de emergencia, ubicado en las sedes del Concejo de Bogotá D.C.</t>
  </si>
  <si>
    <t>Adquisición de un sistema de control de contenidos para el Concejo de Bogotá</t>
  </si>
  <si>
    <t>Adquirir a título de compraventa por el sistema de precios unitarios de elementos, medicamentos e insumos  para dotar los botiquines, consultorio y brigadas de emergencia del Concejo de Bogotá, D.C.</t>
  </si>
  <si>
    <t>Contratar el servicio de mantenimiento preventivo y correctivo de los sistemas de archivos rodantes, de propiedad del Concejo de Bogotá y la Secretaría de Hacienda</t>
  </si>
  <si>
    <t xml:space="preserve">Suscripción a la revista EL CONGRESO Siglo XXI, con destino al Concejo de Bogotá D.C. </t>
  </si>
  <si>
    <t>Adquisición de licencias Exchange, licencias directorio activo Windows Server, para el Concejo de Bogotá  D.C.</t>
  </si>
  <si>
    <t>Prestar el servicio de mantenimiento correctivo con suministro de repuestos de los automotores marca MITSUBISHI al servicio del Concejo de Bogotá.</t>
  </si>
  <si>
    <t>Servicio de trasporte de bienes muebles y cajas de archivo documental para el Concejo de Bogotá, D.C.</t>
  </si>
  <si>
    <t>Prestar servicios profesionales para llevar a cabo el seguimiento de todas las solicitudes registradas en el aplicativo Mesa de Ayuda del proceso de sistemas del Concejo de Bogotá D.C.</t>
  </si>
  <si>
    <t>Contratar a titulo de arrendamiento un inmueble para uso de parqueadero, para el Concejo de Bogotá D.C.</t>
  </si>
  <si>
    <t>Prestar los servicios profesionales para apoyar a la Dirección Financiera del Concejo de Bogotá D.C., en la revisión y estudio de las historias laborales de los funcionarios para establecer la definición técnica y jurídica del cumplimiento de los requisitos en los diferentes regímenes de pensión.</t>
  </si>
  <si>
    <t>Adquirir medios de almacenamiento cintas Tape Backup y CD, para garantizar la protección a la información.</t>
  </si>
  <si>
    <t>Prestar los servicios profesionales para apoyar a la Dirección Financiera del Concejo de Bogotá D.C. en la revisión  y estudio de las historias laborales de los funcionarios para establecer la definición técnica y jurídica del cumplimiento de  los requisitos  en los diferentes regímenes de pensión.</t>
  </si>
  <si>
    <t xml:space="preserve">Contratar le prestación de servicios de empaste y/ o encuadernación de documentos del Concejo de Bogotá D.C.,  de conformidad con lo establecido en la invitación publica del proceso citado en el asunto y la propuesta por usted presentada. </t>
  </si>
  <si>
    <t>Realizar las pre-auditorias, auditorias y certificación al Sistema de Gestión Ambiental bajo los estándares de calidad de la norma ISO 14001: 2004 y el Sistema de Gestión de Seguridad y Salud Ocupacional cumpliendo con la norma OHSAS 18001: 2007 respectivamente para el Concejo de Bogotá D.C., de conformidad con lo establecido en el anexo definitivo de los estudios previos del Proceso No. SDH-SAMC-002-2011.</t>
  </si>
  <si>
    <t>Contratar la gestión integral de servicio de mesa  de ayuda, soporte informático, mantenimiento preventivo y correctivo d  la infraestructura tecnológica con suministros de repuestos  para el Concejo de Bogotá de conformidad con los estudios previos, los anexos técnicos y la prepuesta presentada del proceso de selección Subasta Inversa Electrónica SDH-SMINC-005-2013.</t>
  </si>
  <si>
    <t>Contratar el servicio de mantenimiento correctivo, traslado, incluyendo los repuestos y/o elementos nuevos que requieran los sistemas de archivos rodantes, existentes en las diferentes dependencias del Concejo de Bogotá, de conformidad con lo establecido en la invitación Publica.</t>
  </si>
  <si>
    <t>Suministrar papelería y útiles de escritorio por el sistema de precios unitarios fijos, en la modalidad de proveeduría integral (outsourcing) para el Concejo de Bogotá D.C., de conformidad con los requerimientos establecidos en el pliego de condiciones.</t>
  </si>
  <si>
    <t>Adquisición de equipos PC`s para el Concejo de Bogotá, de conformidad con lo establecido en el pliego de condiciones y en la propuesta presentada por NEX COMPUTER S.A., dentro del procesos de selección abreviada a través del procedimiento de subasta inversa electrónica Nº SDH-SIE-010-2013</t>
  </si>
  <si>
    <t>Prestar el servicio de mantenimiento preventivo y correctivo para las maquinas: Impresora Litográfica MULTILITH modelo 1250, Compaginadora DUPLO DC 10, Guillotina y Cizalla manual, ubicadas en la oficina de Anales y Publicaciones del Concejo de Bogotá D.C., de conformidad con lo establecido en la invitación publica del proceso SDH-SMINC-05-2014.</t>
  </si>
  <si>
    <t>Prestar el servicio de mantenimiento preventivo y correctivo ocasional a los ascensores marca Mitsubishi ubicados en el Concejo de Bogotá. D.C., de conformidad con lo previsto en los estudios previos y la propuesta presentada.</t>
  </si>
  <si>
    <t>Suministrar elementos de promoción institucional y actos protocolarios del Concejo de Bogotá D.C.,  de conformidad con lo establecido en la Invitación Pública No. SDH-SMINC-010-2014</t>
  </si>
  <si>
    <t>Realizar auditorias de seguimiento a los sistemas de gestión ambiental y seguridad y salud ocupacional bajo las normas ISO14001:2014 y OHSAS 18001:2007 al Concejo de Bogotá, de conformidad con los estudios previos.</t>
  </si>
  <si>
    <t>Contratar a título de arrendamiento un inmueble para uso de parqueadero, por parte del Concejo de Bogotá D.C., de acuerdo con lo establecido en el documento de estudios previos.</t>
  </si>
  <si>
    <t>Servicio de manejo Integral de los residuos peligrosos existentes en la sede del Concejo de Bogotá, D.C.</t>
  </si>
  <si>
    <t>Fecha de inicio</t>
  </si>
  <si>
    <t>Fecha de terminación</t>
  </si>
  <si>
    <t>% Ejecución recursos</t>
  </si>
  <si>
    <t>77 días</t>
  </si>
  <si>
    <t>2 meses</t>
  </si>
  <si>
    <t>3 meses</t>
  </si>
  <si>
    <t>4 meses</t>
  </si>
  <si>
    <t>1 mes</t>
  </si>
  <si>
    <t>6 meses</t>
  </si>
  <si>
    <t>Saldos ($)</t>
  </si>
  <si>
    <t>Giros ($)</t>
  </si>
  <si>
    <t>Valor Total ($)</t>
  </si>
  <si>
    <t>Valor Inicial ($)</t>
  </si>
  <si>
    <t>Dirección Financiera - Fondo Cuenta</t>
  </si>
  <si>
    <t>Fecha Actualización:</t>
  </si>
  <si>
    <t>Diferencia</t>
  </si>
  <si>
    <t>SI</t>
  </si>
  <si>
    <t>NO</t>
  </si>
  <si>
    <t>(Todas)</t>
  </si>
  <si>
    <t>Etiquetas de fila</t>
  </si>
  <si>
    <t>NIT o ID</t>
  </si>
  <si>
    <t>Contratar la preproducción, producción, emisión y postproducción de 140 programas de televisión, con un término de duración de treinta (30) minutos cada uno, que permita a los bogotanos conocer el diario transcurrir de la Corporación, así como las opiniones de los Honorables Concejales que representan los intereses de los diferentes sectores sociales de la Capital, de conformidad con lo establecido en los estudios previos.</t>
  </si>
  <si>
    <t>120000-196-0-2012</t>
  </si>
  <si>
    <t>LA SECRETARÍA DISTRITAL DE HACIENDA Y EL INSTITUTO DISTRITAL DE PATRIMONIO CULTURAL, se comprometen a aunar esfuerzos, recursos técnicos, humanos y financieros para la intervención y realización de las actividades asociadas a la restauración - conservación de los bienes muebles de carácter patrimonial del Honorable Concejo de Bogotá D.C.</t>
  </si>
  <si>
    <t>INDUARCHIVOS LTDA</t>
  </si>
  <si>
    <t>120000-463-0-2012</t>
  </si>
  <si>
    <t>140184-0-2014</t>
  </si>
  <si>
    <t>140210-0-2014</t>
  </si>
  <si>
    <t>Suministro de combustible para el Concejo de Bogotá D.C.</t>
  </si>
  <si>
    <t>Nuevo Registro</t>
  </si>
  <si>
    <t>SUSCRIPCIÓN AL DIARIO EL NUEVO SIGLO, PARA EL CONCEJO DE BOGOTÁ D.C.</t>
  </si>
  <si>
    <t>130375-0-2013</t>
  </si>
  <si>
    <t>CONCEJO DE BOGOTÁ D. C.</t>
  </si>
  <si>
    <t>Hoy:</t>
  </si>
  <si>
    <t>Fecha de actualización:</t>
  </si>
  <si>
    <t>Días de diferencia:</t>
  </si>
  <si>
    <t>PÁGINA DE INICIO</t>
  </si>
  <si>
    <t>DIRECCIÓN FINANCIERA</t>
  </si>
  <si>
    <t>FONDO CUENTA</t>
  </si>
  <si>
    <t>INSTRUCTIVO</t>
  </si>
  <si>
    <t>12 Días</t>
  </si>
  <si>
    <t>Prestar el servicio integral en comunicación, consistente en el diseño, producción y ejecución de las estrategias de divulgación en medios de comunicación de carácter masivo, alternativo y comunitario al servicio del Concejo de Bogotá D.C., de conformidad con lo establecido en los pliegos de condiciones del proceso No. SDH-SIE-06-2012 y Oferta económica.</t>
  </si>
  <si>
    <t>EJECUTAR ACTIVIDADES DE CAPACITACIÓN PARA EL CONCEJO DE BOGOTÁ, EN EL EJE TEMÁTICO DEL SISTEMA DE INFORMACIÓN Y GESTIÓN DOCUMENTAL DE ARCHIVO Y CORRESPONDENCIA, DE CONFORMIDAD CON LOS DOCUMENTOS QUE HACEN PARTE DE LA PRESENTE CONTRATACIÓN Y  LO ESTABLECIDO EN LA PRESENTE INVITACIÓN PÚBLICA</t>
  </si>
  <si>
    <t>LA SECRETARÍA DISTRITAL DE HACIENDA Y EL INSTITUTO DISTRITAL DE PATRIMONIO CULTURAL, se comprometen a aunar esfuerzos y recursos técnicos, humanos y financieros, para adelantar las actividades requeridas en la actualización física y tecnológica del inmueble denominado Edificio del Claustro del Concejo de Bogotá, D. C., ubicado en la calle 36 No. 28 A 41 de la ciudad de Bogotá., de conformidad con lo establecido en los estudios previos y los Anexos Nos. 1, 2 y 3.</t>
  </si>
  <si>
    <t>GAMMA INGENIEROS S A</t>
  </si>
  <si>
    <t>Alquiler de medios tecnológicos para ser utilizados como apoyo en el esquema de seguridad para la permanencia y adecuada protección de los bienes muebles e inmuebles de propiedad del Concejo de Bogotá D.C., de conformidad con lo establecido en la Invitación Pública No. SHD-SMINC-015-2012 y la propuesta presentada por el contratista.</t>
  </si>
  <si>
    <t>INTEGRA SECURITY SYSTEMS S A</t>
  </si>
  <si>
    <t>Realizar la interventoría técnica, administrativa, ambiental, contable, contractual, financiera, legal y presupuestal, para el contrato de “Mantenimiento integral locativo, con el suministro de personal, materiales y repuestos para las instalaciones físicas del Concejo D.C.", de conformidad con lo establecido en la invitación pública del proceso SDH-SMINC-029-2012 y la propuesta presentada.</t>
  </si>
  <si>
    <t>Vigencia</t>
  </si>
  <si>
    <t>050000-342-0-2012</t>
  </si>
  <si>
    <t>ALPUNTO SOLUCIONES SAS 12000-463-0-2012</t>
  </si>
  <si>
    <t>FONDO DE VIGILANCIA Y SEGURIDAD DE BOGOTÁ</t>
  </si>
  <si>
    <t>D&amp;D AIRE ACONDICIONADO LTDA.</t>
  </si>
  <si>
    <t>POLÍTICAS MEDIOS E INVESTIGACIONES</t>
  </si>
  <si>
    <t>J.A. ZABALA &amp; CONSULTORES ASOCIADOS LTDA.</t>
  </si>
  <si>
    <t>PC MICROS LTDA.</t>
  </si>
  <si>
    <t>ELECTRIMEK LTDA.</t>
  </si>
  <si>
    <t>PAPELERÍA  LOS  LAGOS  LTDA.</t>
  </si>
  <si>
    <t>CONTROL SISTEMAS DE COMUNICACIONES C.S.C. LTDA.</t>
  </si>
  <si>
    <t>EMPRESA DE TELECOMUNICACIONES DE BOGOTÁ S.A.-ETB-ESP</t>
  </si>
  <si>
    <t>PRODYGRAF LTDA.</t>
  </si>
  <si>
    <t>INGENIERÍA DE BOMBAS Y PLANTAS LIMITADA</t>
  </si>
  <si>
    <t>POSITIVA COMPAÑÍA DE SEGUROS S A</t>
  </si>
  <si>
    <t>UNIÓN TEMPORAL SEGUROS GENERALES SURAMERICANA S.A. PREVISORA S.A. COMPAÑÍA DE SEGUROS Y QBE SEGUROS S.A.</t>
  </si>
  <si>
    <t>La SDH y el Fondo de Vigilancia y Seguridad social de Bogotá D.C. se asocian con el fin de realizar de manera conjunta la contratación del arrendamiento operativo de vehículos para garantizar la movilidad de los Honorables Concejales y adelantar el proceso de selección  y las etapas precontractual y postcontractual, que redunden en una eficiente gestión administrativa y ahorro de esfuerzos económicos, logísticos y técnicos en los términos y condiciones que establece en el presente convenio interadministrativo de asociación.</t>
  </si>
  <si>
    <t>Contratar la gestión integral de servicios de mesas de ayuda, soporte informático, mantenimiento preventivo y correctivo de la infraestructura tecnológica con suministro de repuestos para la Secretaria Distrital de Hacienda .</t>
  </si>
  <si>
    <t>Adquisición de elementos de Tecnología Informática como estaciones de trabajo entre computadores de escritorio y computadores portátiles, con destino al Concejo de Bogotá, con el fin de efectuar la renovación de la infraestructura tecnológica de conformidad con lo establecido en el pliego de condiciones, los estudios previos y el acta de adjudicación del proceso SDH-SIE-018-2009.</t>
  </si>
  <si>
    <t>Contratar la adquisición de elementos de tecnología y Licencias de Software, con destino al Concejo de Bogotá para atender las necesidades de procesamiento y almacenamiento de conformidad con lo establecido en el pliego de condiciones y los estudios previos del proceso SDH-SIE-013-2009</t>
  </si>
  <si>
    <t>Contratar los servicios de mantenimiento preventivo y correctivo, soporte técnico especializado y suministro de repuestos por demanda, de los sistemas de aire acondicionado del Concejo de Bogotá.</t>
  </si>
  <si>
    <t>Suscripción al servicio de información jurídica a través de boletines informativos por correo electrónico, consultas en página WEB y biblioteca digital de legislación y jurisprudencia colombiana actualizada.</t>
  </si>
  <si>
    <t>Desarrollar las actividades contenidas en los planes de bienestar  e incentivos del Concejo de Bogotá de conformidad con los requerimientos establecidos en los pliegos de Condiciones del proceso de selección Abreviada de Menor Cuantía SDH-SAMC-001-2011</t>
  </si>
  <si>
    <t>Adquisición y /o actualización, mantenimiento y soporte de licencias de software antivirus para el Concejo de Bogotá, de conformidad con lo establecido en la presente invitación pública.</t>
  </si>
  <si>
    <t>Prestar el servicio de mantenimiento preventivo y correctivo (incluyendo repuestos), de los equipos de aseo (brilladoras y aspiradoras) del Concejo de Bogotá D.C., de conformidad con lo establecido en la invitación pública del proceso citado en asusto y la propuesta presentada por la firma que usted representa.</t>
  </si>
  <si>
    <t>Adquirir un sistema biométrico de control de acceso y control de horarios para  el Concejo de Bogotá, D.C. de conformidad con lo establecido en la invitación pública del proceso de selección citado en el asunto.</t>
  </si>
  <si>
    <t>Adquirir medios de almacenamiento (CD, DVD, DVD/R) para el Concejo de Bogotá, de conformidad con las especificaciones técnicas previstas en la Invitación Pública del proceso de selección SDH-SMINC-026-2012.</t>
  </si>
  <si>
    <t>Prestar los servicios de conectividad de canales de comunicación, dedicados e internet y servicios complementarios para la secretaria Distrital de Hacienda y Concejo de Bogotá, de conformidad con lo establecido en los estudios previos.</t>
  </si>
  <si>
    <t xml:space="preserve">SUSCRIPCIÓN AL DIARIO LA REPÚBLICA, POR EL TÉRMINO DE UN AÑO, PARA EL CONCEJO DE BOGOTÁ
</t>
  </si>
  <si>
    <t>SUSCRIPCIÓN AL DIARIO EL ESPECTADOR, POR EL TÉRMINO DE UN AÑO, PARA EL CONCEJO DE BOGOTÁ.</t>
  </si>
  <si>
    <t>SUSCRIPCIÓN A LA REVISTA SEMANA, POR EL TÉRMINO DE UN AÑO, PARA EL CONCEJO DE BOGOTÁ</t>
  </si>
  <si>
    <t>Prestar los servicios profesionales para asesorar Jurídicamente a los miembros  mesa directiva del Concejo de Bogotá D.C., en ala prevención del daño antijurídico</t>
  </si>
  <si>
    <t>PRESTAR LOS SERVICIOS PROFESIONALES PARA EFECTUAR EL APOYO AL SEGUIMIENTO Y LA VERIFICACIÓN DE CUMPLIMIENTO DE LOS ASPECTOS JURÍDICOS, TÉCNICOS, ADMINISTRATIVOS Y ECONÓMICOS DE LAS ACTIVIDADES DE SUPERVISIÓN, DELEGADAS A LA DIRECCIÓN ADMINISTRATIVA Y FINANCIERA DEL CONCEJO DE BOGOTÁ D.C., DE CONFORMIDAD CON LOS ESTUDIOS PREVIOS.</t>
  </si>
  <si>
    <t>Adquirir a título de compraventa elementos de protección personal para los servidores públicos  del Concejo de Bogotá,  de conformidad con los establecido en la invitación pública del proceso de selección mínima cuantía No. SDH-SMINC-25-2012 y la propuesta por ustedes presentada.</t>
  </si>
  <si>
    <t>Suministro de combustible para el Concejo de Bogotá D.C., de conformidad con los pliegos de condiciones del proceso de selección abreviada de menor cuantía No. SDH-SAMC-002-2012 y la propuesta.</t>
  </si>
  <si>
    <t>Prestar los servicios profesionales para apoyar a la oficina de sistemas del Concejo de Bogotá en el soporte técnico y mantenimiento de Hardware y software de los equipos de computo de la Corporación.</t>
  </si>
  <si>
    <t>Contratar el servicio de exámenes médicos ocupacionales y paraclínicos y suministro y aplicación de vacunas</t>
  </si>
  <si>
    <t>Realizar la ejecución de actividades de capacitación para el Concejo de Bogotá, D.C., correspondientes al Grupo 7: Eje temático: Sistemas y Herramientas Informáticas,  de la Licitación Pública SDH-LP-002-2012, de conformidad con lo establecido en el pliego</t>
  </si>
  <si>
    <t>Contratar el servicio de mantenimiento integral locativo con el suministro de personal, equipo y repuestos en las instalaciones físicas del Concejo de Bogotá y la Secretaría de Hacienda</t>
  </si>
  <si>
    <t>La SDH Y EL JARDÍN BOTÁNICO, se compromete a aunar esfuerzos y recursos técnicos, humanos financieros para realizar actividades de arborización y manejo integral de arboles en el Concejo de Bogotá</t>
  </si>
  <si>
    <t>Entregar a título de compraventa bonos del Plan de Bienestar para el Concejo de Bogotá D.C. de conformidad con los establecido en el proceso SDJH-SAMC-006-2012 y el anexo Técnico N° 1</t>
  </si>
  <si>
    <t>Realizar el mantenimiento correctivo y preventivo para las maquinas: Impresora Litográfica MULTILITH modelo 1250, compaginadora DUPLO DC 10 , Guillotina de Cizalla Manual; ubicadas en la oficina de Anales y Publicaciones del Concejo de Bogotá.</t>
  </si>
  <si>
    <t>Prestar servicios profesionales para apoyar a la Dirección Financiera del Concejo de Bogotá en la supervisión de los contratos que le sean asignados, implementando mecanismos que le permitan contribuir efectivamente al seguimiento técnico, administrativo, financiero  contable y jurídico sobre el cumplimiento del objeto de cada contrato asignado</t>
  </si>
  <si>
    <t>Contratar la prestación del servicio de mantenimiento correctivo con suministro de repuestos de los automotores marca MITSUBISHI al servicio del Concejo de Bogotá.</t>
  </si>
  <si>
    <t xml:space="preserve">Contratar los servicios de mantenimiento, preventivo y correctivo con suministro de repuestos de la puerta eléctrica y talanqueras de acceso vehicular en el Concejo de Bogotá. </t>
  </si>
  <si>
    <t>Contratar la suscripción al servicio de información jurídica a través de boletines informativos por correo electrónico, consultas en pagina WEB y biblioteca digital de la legislación y jurisprudencia colombiana actualizada</t>
  </si>
  <si>
    <t>Contratar la preproducción, emisión y posproducción de programas de televisión que permita a los bogotanos conocer el diario trascurrir de la Corporación, así como las opiniones de los Honorables Concejales que representan los intereses de los diferentes sectores sociales de la capital.</t>
  </si>
  <si>
    <t>Prestar servicios profesionales de asesoría jurídica en orden a la identificación de riesgos potenciales a los que se encuentra expuesto el Concejo de Bogotá.</t>
  </si>
  <si>
    <t>Realizar la auditoria de seguimiento al sistema de Gestión de calidad del Concejo de Bogotá D.C. bajo las normas ISO 9001-2008 y la NTC-GP 1000;2009</t>
  </si>
  <si>
    <t>Adquisición de impresoras para el Concejo de Bogotá, de conformidad con los requerimientos establecidos en el pliego de condiciones del proceso SDH-SIE-02-2013</t>
  </si>
  <si>
    <t>Realizar la interventoría técnica, administrativa, ambiental, contractual, financiera, legal y presupuestal para el contrato de mantenimiento integral locativo con el suministro de personal, equipo y repuestos en las instalaciones del Concejo de Bogotá.</t>
  </si>
  <si>
    <t>Contratar la adquisición de medios de almacenamiento (cintas para tape backup, CD, DVD y Felpas)</t>
  </si>
  <si>
    <t>Realizar la recolección, trasporte, tratamiento y disposición final de los residuos peligrosos existentes en el Concejo de Bogotá D.C. atendiendo los lineamientos y directrices normativas en ésta materia.</t>
  </si>
  <si>
    <t>Contratar la expedición de las pólizas de seguro obligatorio SOAT para los vehículos del CONCEJO DE BOGOTÁ, de conformidad con lo establecido en la invitación publica de mínima Cuantía  No SDH-SMINC-31-2013</t>
  </si>
  <si>
    <t>Prestar el servicio de mantenimiento preventivo y correctivo al sistema de generación y trasferencia eléctrica de emergencia del concejo de Bogotá D.C., de conformidad con lo establecido en la invitación pública SDH-SMINC-023-2013,</t>
  </si>
  <si>
    <t>SUSCRIPCIÓN A LA REVISTA SEMANA, PARA EL CONCEJO DE BOGOTÁ</t>
  </si>
  <si>
    <t>SUSCRIPCIÓN AL DIARIO EL ESPECTADOR, PARA EL CONCEJO DE BOGOTÁ.</t>
  </si>
  <si>
    <t>Prestar los servicios de mantenimiento periódico preventivo del parque automotor al servicio del Concejo de Bogotá D.C. de conformidad con lo establecido en la invitación Publica del proceso No SDH-SMINC-038-2013 y la propuesta presentada por el contratista.</t>
  </si>
  <si>
    <t>Contratar los servicios de mantenimiento correctivo por demanda, con repuestos, soporte técnico especializado y actualización para el sistema integrado de la red de cableado estructurado  (voz y datos), fibra óptica, energía eléctrica (normal y regulada) de la Secretaria Distrital de Hacienda y el Concejo de Bogotá, de conformidad con el pliego de Condiciones Proceso SDH-SIE-07-2013.</t>
  </si>
  <si>
    <t>Prestar los servicios de mantenimiento preventivo y correctivo con repuesto y bienes fungibles para el sistema de corriente regulada (UPS APC) Para el concejo de Bogotá D.C: en las condiciones descritas en el pliego de condiciones del proceso de selección SDH-SIE-08-2013, el anexo técnico No 1 Ítem 3 y la propuesta presentada para el Ítem 3</t>
  </si>
  <si>
    <t>Contratar el alquiler diferentes tipos de escenarios: salones, auditorios y espacios abiertos de diversas capacidades donde en forma adicional al espacio se suministre el apoyo logístico, alimentación, equipamiento y personal necesario para el desarrollo de eventos, actos de orden institucional y protocolario en cumplimiento de las funciones del Concejo de Bogotá, de conformidad con las condiciones establecidas en el pliego de condiciones del proceso SDH-SAMC-06-2013</t>
  </si>
  <si>
    <t>Realizar el mantenimiento, revisión, recarga general y suministro de repuesto de los extintores de las sedes del Concejo de Bogotá, y la revisión, mantenimiento y suministro de repuestos de los gabinetes contra incendio de la Corporación, de conformidad con lo establecido en la Invitación Pública SDH-SMINC-39-2013.</t>
  </si>
  <si>
    <t>Contratar los servicios integrales para la ejecución y desarrollo de plan institucional de capacitación del Concejo de Bogotá D.C. de conformidad con la normatividad vigente.</t>
  </si>
  <si>
    <t>Adquirir a titulo de compraventa mediante el sistema de precios unitarios, elementos, medicamentos e insumos para dotar el consultorio medico, brigada de emergencia y los botiquines del Concejo de Bogotá D.C. de conformidad con lo establecido en la invitación del proceso No SDH-SMINC-40-2013 Y  la propuesta presentada por el contratista.</t>
  </si>
  <si>
    <t>Contratar la adquisición, mantenimiento y soporte de licencias de software antivirus para la plataforma del Concejo de Bogotá D.C, de conformidad con lo establecido en el pliego de condiciones del proceso No SDH-SMINC-43-2013</t>
  </si>
  <si>
    <t>Prestar el servicio de mantenimiento, soporte y actualización al software "Prontus" (pagina web e intranet)</t>
  </si>
  <si>
    <t>Contratar el suministro de elementos necesarios para la recolección y manejo integral de residuos solidos del  Concejo de Bogotá D.C. de conformidad con lo estipulado en la invitación Publica del proceso SDH-SMINC-042-2013</t>
  </si>
  <si>
    <t>Adquirir a titulo de compraventa elementos de protección personal  para los servidores Públicos del concejo de Bogotá D.C. de conformidad con lo establecido en la invitación publica No SDH-SMINC-45-2013</t>
  </si>
  <si>
    <t>Suscripción al diario El Periódico, con destino al Concejo de Bogotá D.C. , de conformidad con los estudios previos.</t>
  </si>
  <si>
    <t>Adquirir a titulo de compraventa los elementos descritos en el Ítem 2 de la invitación publica SDH-SMINC-44-2013 que tiene por objeto "Adquirir a titulo de compraventa por el sistema de precios unitarios mobiliario y equipos de oficinas consistentes en sillas y elementos ergonómicos, para adecuar los puestos de trabajo de los servidores Públicos del Concejo de Bogotá D.C."</t>
  </si>
  <si>
    <t>Aunar esfuerzos para el desarrollo de las actividades contenidas en los planes de bienestar e incentivos del Concejo de Bogotá D.C.</t>
  </si>
  <si>
    <t>Prestar los servicios de vigilancia privada para la permanente y adecuada protección de las personas (funcionarios, contratista, visitantes, contribuyentes) los bienes muebles e inmuebles de propiedad de la entidad contratante, así como de aquellos por los  que les correspondiere salvaguardar en virtud de disposición legal, contractual o convencional. para el Concejo de Bogotá D.C. de conformidad con lo establecido en le pliego de condiciones del proceso de selección SDH-SIE-11-2013,  sus anexos y la propuesta presentada</t>
  </si>
  <si>
    <t xml:space="preserve">Suministrar por parte de la SECRETARIA DISTRITAL DE HACIENDA el sistema de información Hacendario SI CAPIT@L, entregando copia de los programas fuentes y documentación del software como manuales técnico y de usuario, al Concejo de Bogotá D.C., autorizando su uso en virtud de la cooperación interinstitucional. </t>
  </si>
  <si>
    <t>Contratar el servicio para la elaboración del retrato sobre lienzo al óleo de la Honorable Concejal de Bogotá D.C., Doctora  María Clara Name Ramírez, actual Presidenta de la Mesa Directiva del Concejo de Bogotá D.C., de conformidad con los estudios previos.</t>
  </si>
  <si>
    <t>Suministrar e instalar plantas purificadoras de agua semi-industriales en las dependencias del Concejo de Bogotá D.C., de acuerdo con las especificaciones y condiciones descritas en los estudios previos y anexo Técnico de conformidad con lo establecido en la invitación publica SDH-SMINC-53-2013</t>
  </si>
  <si>
    <t>Adquirir a titulo de compraventa bonos para el Concejo de Bogotá</t>
  </si>
  <si>
    <t>Prestar servicios profesionales al Concejo de Bogotá D.C. para realización de actividades de identificación, clasificación, depuración organización y actualización de la normativa de los acuerdos distritales.</t>
  </si>
  <si>
    <t>Realizar el avaluó de los bienes muebles considerados de carácter patrimonial para el concejo de Bogotá D. C. de conformidad con lo establecido en el pliego de condiciones del proceso de selección SDH-SAMC-11-2013,  el Anexo No 1 y la propuesta.</t>
  </si>
  <si>
    <t>La adquisición de dispositivos de entrada para pantallas Touch del Sistema de Voto Electrónico para el Concejo de Bogotá, de conformidad con lo establecido en la invitación publica SDH-SMINC-51-2013</t>
  </si>
  <si>
    <t>Contratar el suministro de tóner para los equipos de impresión del Concejo de Bogotá D.C</t>
  </si>
  <si>
    <t>Compra de dos (2) impresoras de tickets para el Concejo de Bogotá D.C. de acuerdo con las especificaciones y condiciones descritas en los estudios previos y anexo técnico, de conformidad con lo establecido en la invitación publica SDH-SMINC-60-2013</t>
  </si>
  <si>
    <t>Prestación de servicios de mantenimiento preventivo y correctivo de los aires acondicionado del Concejo de Bogotá D.C. de acuerdo con las especificaciones y condiciones descritas en los estudios previos y anexo técnico de conformidad con lo establecido en la invitación publica SDH-SMINC-55-2013</t>
  </si>
  <si>
    <t>Prestar el servicio de arrendamiento de sistemas UPS y Aire acondicionado para el Concejo de Bogotá, de conformidad con lo establecido en la invitación publica No SDH-SMINC-67-2013</t>
  </si>
  <si>
    <t>Contratar la adquisición de medios magnéticos para copias de respaldo (cintas para tape backup ) para el Concejo de Bogotá D.C. de conformidad con lo establecido en la invitación publica SDH-SMINC-68-2013.</t>
  </si>
  <si>
    <t>Adquisición de unidades de aire acondicionado para el cuarto de las UPS y la Subestación Eléctrica del Concejo de Bogotá de conformidad con el pliego de condiciones del proceso de selección abreviada mediante subasta inversa electrónica SDH-SIE-015-2013  y la propuesta presentada.</t>
  </si>
  <si>
    <t>Prestar servicios profesionales para apoyar al Concejo de Bogotá D.C. para realización de actividades de identificación, clasificación, depuración organización y actualización de la normativa de los acuerdos distritales.</t>
  </si>
  <si>
    <t>Adquisición de elementos de  tecnología informática, servicio de mantenimiento y actualización de licencias de software y traslado de Data center del Concejo de Bogotá D.C., de conformidad con lo establecido en le pliego de condiciones de la subasta inversa Electrónica No SDH-SIE-18-2013 y la propuestas presentada por el contratista.</t>
  </si>
  <si>
    <t>Suscripción a la revista el congreso siglo XXI con destino al Concejo de Bogotá D.C., de conformidad con lo previsto en le documento de estudios previos.</t>
  </si>
  <si>
    <t>Prestar servicios profesionales para ejecutar acciones que contribuyan a la identificación de riesgos potenciales en materia de seguridad informática y su regulación en los mapas de riesgos y manuales de contingencia.</t>
  </si>
  <si>
    <t>Suscripción a los diarios el TIEMPO Y PORTAFOLIO con destino al concejo de Bogotá D.C.</t>
  </si>
  <si>
    <t>Adquirir a titulo de compra ejemplares del Directorio de Despachos Públicos de Colombia 2014, para el Concejo de Bogotá D.C.</t>
  </si>
  <si>
    <t>Prestar los servicios profesionales para acompañar técnicamente los temas relacionados con la intervención y seguimiento a los proyectos de infraestructura y reforzamiento estructural del Concejo de Bogotá D.C., de conformidad con los estudios previos.</t>
  </si>
  <si>
    <t>Prestar servicios profesionales para la actualización, administración, publicación y salvaguardar de la información publica en la pagina WEB oficial del Concejo de Bogotá D. C.</t>
  </si>
  <si>
    <t>Prestar servicios profesionales para apoyar a la dirección financiera del Concejo de Bogotá D. C., en la revisión y estudio de las historias laborales de los funcionarios para establecer la definición técnica y jurídica del cumplimiento de los requisitos en los diferentes regímenes de pensión, en la articulación con cada uno de los funcionarios que lo requiera, de conformidad con los estudios previos.</t>
  </si>
  <si>
    <t>Prestar servicios profesionales al Concejo de Bogotá D.C. para realización de actividades de identificación, clasificación, depuración organización y actualización de la normativa de los acuerdos distritales en segunda y tercera fases, de conformidad con los estudios previos.</t>
  </si>
  <si>
    <t>Prestar servicios profesionales para apoyar a la dirección financiera del Concejo de Bogotá en la supervisión de los contratos que le sean asignados, implementado mecanismos que le permitan contribuir efectivamente al seguimiento técnico, administrativo, financiero, contable, y jurídico sobre el cumplimiento del objeto de cada contrato asignado.</t>
  </si>
  <si>
    <t>Prestar servicios de apoyo al Concejo de Bogotá D.C., en la elaboración y actualización de las bases de datos para el control, depuración y actualización de la normativa de los acuerdos distritales en segunda y tercera fases.</t>
  </si>
  <si>
    <t>Prestar servicios profesionales para apoyar a la dirección financiera del Concejo de Bogotá D. C., en la supervisión de los contratos que le sean asignados, implementado mecanismos que le permitan contribuir efectivamente al seguimiento técnico, administrativo, financiero, contable, y jurídico sobre el cumplimiento del objeto de cada contrato asignado.</t>
  </si>
  <si>
    <t>Adquisición de equipos para control Ambiental (aires acondicionados), conectividad (Switc de borde) y Energía Regulada (UPS) para el Concejo de Bogotá. I ítem No 1, de conformidad con el pliego de condiciones del proceso de selección abreviada mediante subasta inversa electrónica SDH-SIE-019-2013 y la propuesta presentada.</t>
  </si>
  <si>
    <t>Adquisición de equipos para control Ambiental (aires acondicionados), conectividad (Switc de borde) y Energía Regulada (UPS) para el Concejo de Bogotá. I ítem No 2, de conformidad con el pliego de condiciones del proceso de selección abreviada mediante subasta inversa electrónica SDH-SIE-019-2013 y la propuesta presentada.</t>
  </si>
  <si>
    <t>Adquisición, entrega y montaje de mobiliario de oficina para el Concejo de Bogotá D.C.</t>
  </si>
  <si>
    <t>Prestar el servicio de mantenimiento preventivo y correctivo con suministro de repuestos de la puerta eléctrica y talanqueras de acceso vehicular al Concejo de Bogotá D.C., de conformidad con lo establecido en la invitación Pública del proceso No SDH-SMINC-01-2014</t>
  </si>
  <si>
    <t>Contratar la suscripción al sistema de Televisión Satelital para ser instalado en la sede del Concejo de Bogotá D.C., de conformidad con lo establecido en la invitación Publica SDH-SMINC-03-2014.</t>
  </si>
  <si>
    <t>Prestar el servicio de mantenimiento correctivo, incluyendo el suministro de repuestos y/o elementos nuevos que requieran las sillas existentes en el  Concejo de Bogotá D.C., de conformidad con lo establecido en la invitación Publica del proceso No SDH-SMINC-08-2014</t>
  </si>
  <si>
    <t>Alquiler del dispositivo de Hw y Sw (tipo aplliance) en tecnología UTM para controlar y administrar la seguridad perimetral y las aplicaciones Web, para el Concejo de Bogotá de conformidad con lo establecido en la invitación Publica SDH-SMINC-16-2014</t>
  </si>
  <si>
    <t>Adquirir diademas de un solo auricular para el concejo de Bogotá D.C., de conformidad con lo establecido en la invitación pública del proceso No SDH-SMINC-13-2014 y la propuesta presentada por el contratista.</t>
  </si>
  <si>
    <t>Contratar la prestación de los servicios de mensajería expresa masiva para el Concejo de Bogotá de conformidad con lo establecido en el pliego de condiciones y documentos soportes del proceso de selección SDH-SIE-001-2014 y a la propuesta presentada</t>
  </si>
  <si>
    <t>La adquisición de medios magnéticos para copias de respaldo, para la Secretaria distrital de Hacienda y el Concejo de Bogotá, de conformidad con lo establecido en la invitación publica SDH-SMINC-020-2014.</t>
  </si>
  <si>
    <t>Servicio de transporte de bienes muebles, equipos de oficina y cajas de archivo documental para el Concejo de Bogotá D.C., de conformidad con lo establecido en la invitación publica del proceso SDH-SMINC-22-2014</t>
  </si>
  <si>
    <t>Adquirir a titulo de compraventa elementos, medicamentos e insumos para dotar el consultorio medico y los botiquines del Concejo de Bogotá D.C., de conformidad con lo establecido en la invitación publica SDH-SMINC-26-2014</t>
  </si>
  <si>
    <t>Presentar los servicios integrales de aseo y cafetería y servicio de fumigación para las instalaciones del Concejo de Bogotá, y los inmuebles por lo que sea legalmente responsables, según el pliego de condiciones de la subasta inversa electrónica SDH-SIE-03-201 y la propuesta presentada.</t>
  </si>
  <si>
    <t>Aunar esfuerzos humanos, técnicos, logísticos y administrativos para implementar el esquema de seguridad requerido por los Concejales del distrito Capital que se  encuentran en situación de riesgo extraordinario o extremo como consecuencia directa del ejercicio de sus funciones.</t>
  </si>
  <si>
    <t>Adquisidor de chalecos tipo alpinista para el Concejo de Bogotá D.C., de conformidad con lo establecido en la invitación pública SDH-SMINC-032-2014.</t>
  </si>
  <si>
    <t>Adquirir a titulo de compraventa lockers y bancas para vestier para el Concejo de Bogotá D.C.</t>
  </si>
  <si>
    <t>Prestar el servicio integral de fotocopiado y servicios afines para el Concejo de Bogotá  bajo la modalidad de outsourcing.</t>
  </si>
  <si>
    <t>Realizar la interventoría técnica, administrativa, ambiental,  financiera, legal y  contable  para el contrato de mantenimiento integral locativo con el suministro de personal, equipo y repuestos en las instalaciones del Concejo de Bogotá D.C., de conformidad con lo establecido en la invitación publica del Proceso SDH-SMINC-034-2014</t>
  </si>
  <si>
    <t>Suscripción al servicio de información de boletines informáticos por correo electrónico consultas en pagina Web y biblioteca de la legislación y jurisprudencia colombiana actualizada para el Concejo de Bogotá D.C., de conformidad con lo establecido en la invitación publica SDH-SMINC-037-2014</t>
  </si>
  <si>
    <t>Contratar la realización del servicio de mantenimiento correctivo y traslado, incluyendo los repuestos y/o elementos nuevos que requieran los sistemas de archivo rodante, existente en las diferentes dependencias del Concejo de Bogotá D.C.; de conformidad con lo establecido en la invitación pública  SDH-SMINC-035-2014.</t>
  </si>
  <si>
    <t xml:space="preserve">Prestar servicios de alquiler de escenarios como salones, auditorios y espacios  abiertos, apoyo logísticos y servicios de catering  para el desarrollo de eventos que requieran el Concejo de Bogotá D.C., de conformidad con lo establecido en le pliego de condiciones del proceso de selección abreviada de menor cuantía No SDH-SAMC-02-2014 y la propuesta presentada por el contratista. </t>
  </si>
  <si>
    <t xml:space="preserve">Prestar el servicio integral de aseo y cafetería  para las instalaciones del Concejo de Bogotá y la Secretaria de Hacienda </t>
  </si>
  <si>
    <t>92 dias calendario</t>
  </si>
  <si>
    <t>21 días calendario</t>
  </si>
  <si>
    <t>5 meses</t>
  </si>
  <si>
    <t>Adquisición de impresoras de tarjetas para el Concejo de Bogotá, D.C.</t>
  </si>
  <si>
    <t>140260-0-2014</t>
  </si>
  <si>
    <t>H &amp; D OFIMAGEN</t>
  </si>
  <si>
    <t>140276-0-2014</t>
  </si>
  <si>
    <t>COMUNICAN SA</t>
  </si>
  <si>
    <t>Suscripción al Diario El Espectador, para el Concejo de Bogotá, D.C.</t>
  </si>
  <si>
    <t>140279-0-2014</t>
  </si>
  <si>
    <t>EDITORIAL LA UNIDAD S.A</t>
  </si>
  <si>
    <t>140281-0-2014</t>
  </si>
  <si>
    <t>SUPERIOR DE DOTACIONES SAS</t>
  </si>
  <si>
    <t>140291-0-2014</t>
  </si>
  <si>
    <t>140292-0-2014</t>
  </si>
  <si>
    <t>Prestar Servicios Profesionales para elaborar las especificaciones y condiciones técnicas de los procesos para la adquisición de bienes y servicios y apoyar la función de supervisión de los contratos del Concejo de Bogotá, D.C.</t>
  </si>
  <si>
    <t>AREAS DE EJECUCIÓN</t>
  </si>
  <si>
    <t>Dirección Financiera</t>
  </si>
  <si>
    <t>Dirección Administrativa</t>
  </si>
  <si>
    <t>Dirección Jurídica</t>
  </si>
  <si>
    <t>Secretaría General</t>
  </si>
  <si>
    <t>Oficina Asesora de Planeación</t>
  </si>
  <si>
    <t>Oficina Asesora de Comunicaciones</t>
  </si>
  <si>
    <t>Oficina Asesora de Control Interno</t>
  </si>
  <si>
    <t>Funcionario enlace</t>
  </si>
  <si>
    <t>Estado contractual</t>
  </si>
  <si>
    <t>Responsable</t>
  </si>
  <si>
    <t>Modalidad de contratación</t>
  </si>
  <si>
    <t>Estado Contrato</t>
  </si>
  <si>
    <t>Celebrado</t>
  </si>
  <si>
    <t>Modalidad de Contratación</t>
  </si>
  <si>
    <t>Licitación pública</t>
  </si>
  <si>
    <t>Selección abreviada de menor cuantía (Ley 1150 del 2007)</t>
  </si>
  <si>
    <t>Subasta</t>
  </si>
  <si>
    <t>Contratación Mínima Cuantía</t>
  </si>
  <si>
    <t>Selección abreviada servicos de Salud</t>
  </si>
  <si>
    <t>Concurso de Méritos con Lista Corta</t>
  </si>
  <si>
    <t>Concurso de Méritos con Lista Multiusos</t>
  </si>
  <si>
    <t>Concurso de Méritos Abierto</t>
  </si>
  <si>
    <t>Lista Multiusos</t>
  </si>
  <si>
    <t>Contratación Directa (Ley 1150 del 2007)</t>
  </si>
  <si>
    <t>Régimen Especial</t>
  </si>
  <si>
    <t>Contratación Directa Menor Cuantía</t>
  </si>
  <si>
    <t>Otras Formas de Contratación Directa</t>
  </si>
  <si>
    <t>Invitación ofertas Cooperativas o asociaciones de entidades territoriales</t>
  </si>
  <si>
    <t>Selección abreviada del literal h del numeral 2 del artículo 2 de la Ley 1150 del 2007</t>
  </si>
  <si>
    <t>Asociación Público Privada</t>
  </si>
  <si>
    <t>120000-436-0-2011</t>
  </si>
  <si>
    <t>NA</t>
  </si>
  <si>
    <t>NUMEROCONTRATO</t>
  </si>
  <si>
    <t>NOMBREINTERVENTOR</t>
  </si>
  <si>
    <t>Elbert Wisner Espitia Olaya</t>
  </si>
  <si>
    <t>120000-260-0-2011</t>
  </si>
  <si>
    <t>Supervisor / Interventor</t>
  </si>
  <si>
    <t>Sopo Solano Rafael Mauricio</t>
  </si>
  <si>
    <t>120000-451-0-2012</t>
  </si>
  <si>
    <t>120000-456-0-2012</t>
  </si>
  <si>
    <t>120000-466-0-2012</t>
  </si>
  <si>
    <t>Luis Leonardo Ascencio Mozo</t>
  </si>
  <si>
    <t>0-0-2013</t>
  </si>
  <si>
    <t>130001-0-2013</t>
  </si>
  <si>
    <t>130002-0-2013</t>
  </si>
  <si>
    <t>130003-0-2013</t>
  </si>
  <si>
    <t>130004-0-2013</t>
  </si>
  <si>
    <t>130005-0-2013</t>
  </si>
  <si>
    <t>130006-0-2013</t>
  </si>
  <si>
    <t>130007-0-2013</t>
  </si>
  <si>
    <t>130008-0-2013</t>
  </si>
  <si>
    <t>130009-0-2013</t>
  </si>
  <si>
    <t>130010-0-2013</t>
  </si>
  <si>
    <t>130011-0-2013</t>
  </si>
  <si>
    <t>130012-0-2013</t>
  </si>
  <si>
    <t>130013-0-2013</t>
  </si>
  <si>
    <t>130014-0-2013</t>
  </si>
  <si>
    <t>130015-0-2013</t>
  </si>
  <si>
    <t>130016-0-2013</t>
  </si>
  <si>
    <t>130017-0-2013</t>
  </si>
  <si>
    <t>130018-0-2013</t>
  </si>
  <si>
    <t>130020-0-2013</t>
  </si>
  <si>
    <t>130021-0-2013</t>
  </si>
  <si>
    <t>130022-0-2013</t>
  </si>
  <si>
    <t>130024-0-2013</t>
  </si>
  <si>
    <t>130025-0-2013</t>
  </si>
  <si>
    <t>130026-0-2013</t>
  </si>
  <si>
    <t>130027-0-2013</t>
  </si>
  <si>
    <t>130028-0-2013</t>
  </si>
  <si>
    <t>130029-0-2013</t>
  </si>
  <si>
    <t>130030-0-2013</t>
  </si>
  <si>
    <t>130031-0-2013</t>
  </si>
  <si>
    <t>130032-0-2013</t>
  </si>
  <si>
    <t>130033-0-2013</t>
  </si>
  <si>
    <t>130034-0-2013</t>
  </si>
  <si>
    <t>130035-0-2013</t>
  </si>
  <si>
    <t>130037-0-2013</t>
  </si>
  <si>
    <t>130038-0-2013</t>
  </si>
  <si>
    <t>130039-0-2013</t>
  </si>
  <si>
    <t>130040-0-2013</t>
  </si>
  <si>
    <t>130041-0-2013</t>
  </si>
  <si>
    <t>130042-0-2013</t>
  </si>
  <si>
    <t>130043-0-2013</t>
  </si>
  <si>
    <t>130045-0-2013</t>
  </si>
  <si>
    <t>130046-0-2013</t>
  </si>
  <si>
    <t>130047-0-2013</t>
  </si>
  <si>
    <t>130049-0-2013</t>
  </si>
  <si>
    <t>130050-0-2013</t>
  </si>
  <si>
    <t>130051-0-2013</t>
  </si>
  <si>
    <t>130052-0-2013</t>
  </si>
  <si>
    <t>130053-0-2013</t>
  </si>
  <si>
    <t>130054-0-2013</t>
  </si>
  <si>
    <t>130055-0-2013</t>
  </si>
  <si>
    <t>130056-0-2013</t>
  </si>
  <si>
    <t>130057-0-2013</t>
  </si>
  <si>
    <t>130058-0-2013</t>
  </si>
  <si>
    <t>130059-0-2013</t>
  </si>
  <si>
    <t>130060-0-2013</t>
  </si>
  <si>
    <t>130061-0-2013</t>
  </si>
  <si>
    <t>130062-0-2013</t>
  </si>
  <si>
    <t>130063-0-2013</t>
  </si>
  <si>
    <t>130064-0-2013</t>
  </si>
  <si>
    <t>130065-0-2013</t>
  </si>
  <si>
    <t>130066-0-2013</t>
  </si>
  <si>
    <t>130067-0-2013</t>
  </si>
  <si>
    <t>130068-0-2013</t>
  </si>
  <si>
    <t>130069-0-2013</t>
  </si>
  <si>
    <t>130070-0-2013</t>
  </si>
  <si>
    <t>130071-0-2013</t>
  </si>
  <si>
    <t>130072-0-2013</t>
  </si>
  <si>
    <t>130073-0-2013</t>
  </si>
  <si>
    <t>130074-0-2013</t>
  </si>
  <si>
    <t>130075-0-2013</t>
  </si>
  <si>
    <t>130076-0-2013</t>
  </si>
  <si>
    <t>130077-0-2013</t>
  </si>
  <si>
    <t>130078-0-2013</t>
  </si>
  <si>
    <t>130079-0-2013</t>
  </si>
  <si>
    <t>130080-0-2013</t>
  </si>
  <si>
    <t>130081-0-2013</t>
  </si>
  <si>
    <t>130083-0-2013</t>
  </si>
  <si>
    <t>130084-0-2013</t>
  </si>
  <si>
    <t>130085-0-2013</t>
  </si>
  <si>
    <t>130086-0-2013</t>
  </si>
  <si>
    <t>130087-0-2013</t>
  </si>
  <si>
    <t>130089-0-2013</t>
  </si>
  <si>
    <t>130090-0-2013</t>
  </si>
  <si>
    <t>130092-0-2013</t>
  </si>
  <si>
    <t>130093-0-2013</t>
  </si>
  <si>
    <t>130094-0-2013</t>
  </si>
  <si>
    <t>130095-0-2013</t>
  </si>
  <si>
    <t>130096-0-2013</t>
  </si>
  <si>
    <t>130097-0-2013</t>
  </si>
  <si>
    <t>130098-0-2013</t>
  </si>
  <si>
    <t>130099-0-2013</t>
  </si>
  <si>
    <t>130100-0-2013</t>
  </si>
  <si>
    <t>130101-0-2013</t>
  </si>
  <si>
    <t>130102-0-2013</t>
  </si>
  <si>
    <t>130103-0-2013</t>
  </si>
  <si>
    <t>130104-0-2013</t>
  </si>
  <si>
    <t>130105-0-2013</t>
  </si>
  <si>
    <t>130107-0-2013</t>
  </si>
  <si>
    <t>130108-0-2013</t>
  </si>
  <si>
    <t>130109-0-2013</t>
  </si>
  <si>
    <t>130110-0-2013</t>
  </si>
  <si>
    <t>130111-0-2013</t>
  </si>
  <si>
    <t>130112-0-2013</t>
  </si>
  <si>
    <t>130113-0-2013</t>
  </si>
  <si>
    <t>130114-0-2013</t>
  </si>
  <si>
    <t>130115-0-2013</t>
  </si>
  <si>
    <t>130117-0-2013</t>
  </si>
  <si>
    <t>130118-0-2013</t>
  </si>
  <si>
    <t>130119-0-2013</t>
  </si>
  <si>
    <t>130120-0-2013</t>
  </si>
  <si>
    <t>130122-0-2013</t>
  </si>
  <si>
    <t>130123-0-2013</t>
  </si>
  <si>
    <t>130124-0-2013</t>
  </si>
  <si>
    <t>130125-0-2013</t>
  </si>
  <si>
    <t>130127-0-2013</t>
  </si>
  <si>
    <t>130128-0-2013</t>
  </si>
  <si>
    <t>130131-0-2013</t>
  </si>
  <si>
    <t>130132-0-2013</t>
  </si>
  <si>
    <t>130134-0-2013</t>
  </si>
  <si>
    <t>130135-0-2013</t>
  </si>
  <si>
    <t>130137-0-2013</t>
  </si>
  <si>
    <t>130138-0-2013</t>
  </si>
  <si>
    <t>130140-0-2013</t>
  </si>
  <si>
    <t>130143-0-2013</t>
  </si>
  <si>
    <t>130144-0-2013</t>
  </si>
  <si>
    <t>130145-0-2013</t>
  </si>
  <si>
    <t>130148-0-2013</t>
  </si>
  <si>
    <t>130149-0-2013</t>
  </si>
  <si>
    <t>130151-0-2013</t>
  </si>
  <si>
    <t>130153-0-2013</t>
  </si>
  <si>
    <t>130155-0-2013</t>
  </si>
  <si>
    <t>130157-0-2013</t>
  </si>
  <si>
    <t>130158-0-2013</t>
  </si>
  <si>
    <t>130159-0-2013</t>
  </si>
  <si>
    <t>130160-0-2013</t>
  </si>
  <si>
    <t>130165-0-2013</t>
  </si>
  <si>
    <t>130167-0-2013</t>
  </si>
  <si>
    <t>130168-0-2013</t>
  </si>
  <si>
    <t>130169-0-2013</t>
  </si>
  <si>
    <t>130170-0-2013</t>
  </si>
  <si>
    <t>130171-0-2013</t>
  </si>
  <si>
    <t>130172-0-2013</t>
  </si>
  <si>
    <t>130173-0-2013</t>
  </si>
  <si>
    <t>130174-0-2013</t>
  </si>
  <si>
    <t>130175-0-2013</t>
  </si>
  <si>
    <t>130176-0-2013</t>
  </si>
  <si>
    <t>130177-0-2013</t>
  </si>
  <si>
    <t>130178-0-2013</t>
  </si>
  <si>
    <t>130179-0-2013</t>
  </si>
  <si>
    <t>130180-0-2013</t>
  </si>
  <si>
    <t>130181-0-2013</t>
  </si>
  <si>
    <t>130182-0-2013</t>
  </si>
  <si>
    <t>130183-0-2013</t>
  </si>
  <si>
    <t>130184-0-2013</t>
  </si>
  <si>
    <t>130185-0-2013</t>
  </si>
  <si>
    <t>130187-0-2013</t>
  </si>
  <si>
    <t>130188-0-2013</t>
  </si>
  <si>
    <t>130189-0-2013</t>
  </si>
  <si>
    <t>130191-0-2013</t>
  </si>
  <si>
    <t>130192-0-2013</t>
  </si>
  <si>
    <t>130193-0-2013</t>
  </si>
  <si>
    <t>130195-0-2013</t>
  </si>
  <si>
    <t>130197-0-2013</t>
  </si>
  <si>
    <t>130199-0-2013</t>
  </si>
  <si>
    <t>130201-0-2013</t>
  </si>
  <si>
    <t>130203-0-2013</t>
  </si>
  <si>
    <t>130205-0-2013</t>
  </si>
  <si>
    <t>130206-0-2013</t>
  </si>
  <si>
    <t>130208-0-2013</t>
  </si>
  <si>
    <t>130210-0-2013</t>
  </si>
  <si>
    <t>130212-0-2013</t>
  </si>
  <si>
    <t>130213-0-2013</t>
  </si>
  <si>
    <t>130215-0-2013</t>
  </si>
  <si>
    <t>130216-0-2013</t>
  </si>
  <si>
    <t>130218-0-2013</t>
  </si>
  <si>
    <t>130219-0-2013</t>
  </si>
  <si>
    <t>130221-0-2013</t>
  </si>
  <si>
    <t>130222-0-2013</t>
  </si>
  <si>
    <t>130223-0-2013</t>
  </si>
  <si>
    <t>130224-0-2013</t>
  </si>
  <si>
    <t>130225-0-2013</t>
  </si>
  <si>
    <t>130226-0-2013</t>
  </si>
  <si>
    <t>130230-0-2013</t>
  </si>
  <si>
    <t>130231-0-2013</t>
  </si>
  <si>
    <t>130232-0-2013</t>
  </si>
  <si>
    <t>130233-0-2013</t>
  </si>
  <si>
    <t>130234-0-2013</t>
  </si>
  <si>
    <t>130235-0-2013</t>
  </si>
  <si>
    <t>130236-0-2013</t>
  </si>
  <si>
    <t>130238-0-2013</t>
  </si>
  <si>
    <t>130239-0-2013</t>
  </si>
  <si>
    <t>130240-0-2013</t>
  </si>
  <si>
    <t>130243-0-2013</t>
  </si>
  <si>
    <t>130245-0-2013</t>
  </si>
  <si>
    <t>130246-0-2013</t>
  </si>
  <si>
    <t>130247-0-2013</t>
  </si>
  <si>
    <t>130248-0-2013</t>
  </si>
  <si>
    <t>130250-0-2013</t>
  </si>
  <si>
    <t>130251-0-2013</t>
  </si>
  <si>
    <t>130252-0-2013</t>
  </si>
  <si>
    <t>130253-0-2013</t>
  </si>
  <si>
    <t>130255-0-2013</t>
  </si>
  <si>
    <t>130256-0-2013</t>
  </si>
  <si>
    <t>130257-0-2013</t>
  </si>
  <si>
    <t>130258-0-2013</t>
  </si>
  <si>
    <t>130259-0-2013</t>
  </si>
  <si>
    <t>130262-0-2013</t>
  </si>
  <si>
    <t>130263-0-2013</t>
  </si>
  <si>
    <t>130264-0-2013</t>
  </si>
  <si>
    <t>130266-0-2013</t>
  </si>
  <si>
    <t>130267-0-2013</t>
  </si>
  <si>
    <t>130268-0-2013</t>
  </si>
  <si>
    <t>130269-0-2013</t>
  </si>
  <si>
    <t>130271-0-2013</t>
  </si>
  <si>
    <t>130272-0-2013</t>
  </si>
  <si>
    <t>130273-0-2013</t>
  </si>
  <si>
    <t>130274-0-2013</t>
  </si>
  <si>
    <t>130275-0-2013</t>
  </si>
  <si>
    <t>130277-0-2013</t>
  </si>
  <si>
    <t>130278-0-2013</t>
  </si>
  <si>
    <t>130279-0-2013</t>
  </si>
  <si>
    <t>130280-0-2013</t>
  </si>
  <si>
    <t>130282-0-2013</t>
  </si>
  <si>
    <t>130283-0-2013</t>
  </si>
  <si>
    <t>130284-0-2013</t>
  </si>
  <si>
    <t>130285-0-2013</t>
  </si>
  <si>
    <t>130287-0-2013</t>
  </si>
  <si>
    <t>130288-0-2013</t>
  </si>
  <si>
    <t>130289-0-2013</t>
  </si>
  <si>
    <t>130290-0-2013</t>
  </si>
  <si>
    <t>130291-0-2013</t>
  </si>
  <si>
    <t>130292-0-2013</t>
  </si>
  <si>
    <t>130293-0-2013</t>
  </si>
  <si>
    <t>130294-0-2013</t>
  </si>
  <si>
    <t>130295-0-2013</t>
  </si>
  <si>
    <t>130296-0-2013</t>
  </si>
  <si>
    <t>130300-0-2013</t>
  </si>
  <si>
    <t>130302-0-2013</t>
  </si>
  <si>
    <t>130303-0-2013</t>
  </si>
  <si>
    <t>130304-0-2013</t>
  </si>
  <si>
    <t>130305-0-2013</t>
  </si>
  <si>
    <t>130306-0-2013</t>
  </si>
  <si>
    <t>130307-0-2013</t>
  </si>
  <si>
    <t>130308-0-2013</t>
  </si>
  <si>
    <t>130310-0-2013</t>
  </si>
  <si>
    <t>130311-0-2013</t>
  </si>
  <si>
    <t>130312-0-2013</t>
  </si>
  <si>
    <t>130313-0-2013</t>
  </si>
  <si>
    <t>130314-0-2013</t>
  </si>
  <si>
    <t>130315-0-2013</t>
  </si>
  <si>
    <t>130316-0-2013</t>
  </si>
  <si>
    <t>130317-0-2013</t>
  </si>
  <si>
    <t>130318-0-2013</t>
  </si>
  <si>
    <t>130319-0-2013</t>
  </si>
  <si>
    <t>130320-0-2013</t>
  </si>
  <si>
    <t>130321-0-2013</t>
  </si>
  <si>
    <t>130322-0-2013</t>
  </si>
  <si>
    <t>130323-0-2013</t>
  </si>
  <si>
    <t>130324-0-2013</t>
  </si>
  <si>
    <t>130327-0-2013</t>
  </si>
  <si>
    <t>130328-0-2013</t>
  </si>
  <si>
    <t>130330-0-2013</t>
  </si>
  <si>
    <t>130331-0-2013</t>
  </si>
  <si>
    <t>130332-0-2013</t>
  </si>
  <si>
    <t>130333-0-2013</t>
  </si>
  <si>
    <t>130335-0-2013</t>
  </si>
  <si>
    <t>130337-0-2013</t>
  </si>
  <si>
    <t>130338-0-2013</t>
  </si>
  <si>
    <t>130339-0-2013</t>
  </si>
  <si>
    <t>130341-0-2013</t>
  </si>
  <si>
    <t>130342-0-2013</t>
  </si>
  <si>
    <t>130343-0-2013</t>
  </si>
  <si>
    <t>130344-0-2013</t>
  </si>
  <si>
    <t>130345-0-2013</t>
  </si>
  <si>
    <t>130347-0-2013</t>
  </si>
  <si>
    <t>130348-0-2013</t>
  </si>
  <si>
    <t>130350-0-2013</t>
  </si>
  <si>
    <t>130351-0-2013</t>
  </si>
  <si>
    <t>130353-0-2013</t>
  </si>
  <si>
    <t>130354-0-2013</t>
  </si>
  <si>
    <t>130356-0-2013</t>
  </si>
  <si>
    <t>130357-0-2013</t>
  </si>
  <si>
    <t>130358-0-2013</t>
  </si>
  <si>
    <t>130359-0-2013</t>
  </si>
  <si>
    <t>130360-0-2013</t>
  </si>
  <si>
    <t>130366-0-2013</t>
  </si>
  <si>
    <t>130367-0-2013</t>
  </si>
  <si>
    <t>130369-0-2013</t>
  </si>
  <si>
    <t>130371-0-2013</t>
  </si>
  <si>
    <t>130374-0-2013</t>
  </si>
  <si>
    <t>130376-0-2013</t>
  </si>
  <si>
    <t>130377-0-2013</t>
  </si>
  <si>
    <t>130379-0-2013</t>
  </si>
  <si>
    <t>130381-0-2013</t>
  </si>
  <si>
    <t>130382-0-2013</t>
  </si>
  <si>
    <t>130383-0-2013</t>
  </si>
  <si>
    <t>JOHANNA PAOLA BOCANEGRA OLAYA</t>
  </si>
  <si>
    <t>JOHANA PAOLA BOCANEGRA OLAYA</t>
  </si>
  <si>
    <t>JOHANNA PAOLA BOCANEGRA</t>
  </si>
  <si>
    <t>Johanna Paola Bocanegra Olaya</t>
  </si>
  <si>
    <t>Carlos Alberto Muñoz Torres</t>
  </si>
  <si>
    <t>Carlos Alfonso Restrepo Páez</t>
  </si>
  <si>
    <t>José Antonio Valderrama Sánchez</t>
  </si>
  <si>
    <t>Novoa Cardoso Katty Alexandra</t>
  </si>
  <si>
    <t>Pulido Montañez Johana Milena</t>
  </si>
  <si>
    <t>PROCESOSELECCION</t>
  </si>
  <si>
    <t>CONTRATACION DIRECTA</t>
  </si>
  <si>
    <t>MINIMA CUANTIA</t>
  </si>
  <si>
    <t>SEL.ABREVIADA.SUB.INV.ELECTRO.</t>
  </si>
  <si>
    <t>DIRECTA_INTERADMINISTRATIVOS</t>
  </si>
  <si>
    <t>CONTRATO</t>
  </si>
  <si>
    <t>SEL. ABREVIADA MENOR CUANTIA</t>
  </si>
  <si>
    <t>SEL. ABREVIADA SUB.INV.PRES.</t>
  </si>
  <si>
    <t>CONCURSO MERITOS ABIERTO</t>
  </si>
  <si>
    <t>LICITACION_BASICA</t>
  </si>
  <si>
    <t>CONVENIO</t>
  </si>
  <si>
    <t>CONCURSO MERITOS PRECALIF</t>
  </si>
  <si>
    <t>140241-0-2014</t>
  </si>
  <si>
    <t>COMPRA POR CATALOGO</t>
  </si>
  <si>
    <t>Selección Abreviada Subasta inversa electrónica</t>
  </si>
  <si>
    <t>Adición 1</t>
  </si>
  <si>
    <t>Adición 2</t>
  </si>
  <si>
    <t>Adición 3</t>
  </si>
  <si>
    <t>Adición 4</t>
  </si>
  <si>
    <t>Tiempo</t>
  </si>
  <si>
    <t>Liquidado</t>
  </si>
  <si>
    <t>Giro 1</t>
  </si>
  <si>
    <t>Giro 2</t>
  </si>
  <si>
    <t>Giro 3</t>
  </si>
  <si>
    <t>Giro 4</t>
  </si>
  <si>
    <t>Giro 5</t>
  </si>
  <si>
    <t>Giro 6</t>
  </si>
  <si>
    <t>Giro 7</t>
  </si>
  <si>
    <t>Giro 8</t>
  </si>
  <si>
    <t>Giro 9</t>
  </si>
  <si>
    <t>Giro 10</t>
  </si>
  <si>
    <t>Giro 11</t>
  </si>
  <si>
    <t>Giro 12</t>
  </si>
  <si>
    <t>Giro 13</t>
  </si>
  <si>
    <t>Giro 14</t>
  </si>
  <si>
    <t>Total Adiciones</t>
  </si>
  <si>
    <t>Total Giros</t>
  </si>
  <si>
    <t>Prorroga 1</t>
  </si>
  <si>
    <t>Prorroga 2</t>
  </si>
  <si>
    <t>Prorroga 3</t>
  </si>
  <si>
    <t>Prorroga 4</t>
  </si>
  <si>
    <t>Total Prorrogas</t>
  </si>
  <si>
    <t>Nueva Fecha Final</t>
  </si>
  <si>
    <t>GIROS</t>
  </si>
  <si>
    <t>Johanna Paola bocanegra Olaya</t>
  </si>
  <si>
    <t>LUBER ANDRES CHAPARRO CABRA</t>
  </si>
  <si>
    <t>LUBAR ANDRÉS CHAPARRO CABRA</t>
  </si>
  <si>
    <t>Lúbar Andrés Chaparro Cabra</t>
  </si>
  <si>
    <t xml:space="preserve"> Valor Total ($)</t>
  </si>
  <si>
    <t xml:space="preserve"> Fecha de inicio</t>
  </si>
  <si>
    <t xml:space="preserve"> Giros ($)</t>
  </si>
  <si>
    <t xml:space="preserve"> Saldos ($)</t>
  </si>
  <si>
    <t xml:space="preserve"> % Ejecución recursos</t>
  </si>
  <si>
    <t>Estado Tiempo de ejecución</t>
  </si>
  <si>
    <t>Actualización de datos, e ingreso de modificaciones</t>
  </si>
  <si>
    <t>15 días</t>
  </si>
  <si>
    <t>21 días</t>
  </si>
  <si>
    <t>1 mes y 14 días</t>
  </si>
  <si>
    <t>Modificaciones</t>
  </si>
  <si>
    <t>2 meses y 15 días</t>
  </si>
  <si>
    <t>Giro 15</t>
  </si>
  <si>
    <t>Giro 16</t>
  </si>
  <si>
    <t>Giro 17</t>
  </si>
  <si>
    <t>Adiciones</t>
  </si>
  <si>
    <t>Valor total de adiciones ($)</t>
  </si>
  <si>
    <t>Número de adiciones realizadas</t>
  </si>
  <si>
    <t>Número de prorrogas realizadas</t>
  </si>
  <si>
    <t xml:space="preserve">6 meses  </t>
  </si>
  <si>
    <t>2 meses y 22 días</t>
  </si>
  <si>
    <t>2 meses y 23 días</t>
  </si>
  <si>
    <t xml:space="preserve">2 meses  </t>
  </si>
  <si>
    <t>1 mes y 15 días</t>
  </si>
  <si>
    <t>Fecha de terminación final</t>
  </si>
  <si>
    <t>Responsables Dirección Financiera</t>
  </si>
  <si>
    <t>Andrea Casas</t>
  </si>
  <si>
    <t>Nayive Carrasco</t>
  </si>
  <si>
    <t>Juan Sebastián Ramírez</t>
  </si>
  <si>
    <t>Competencia</t>
  </si>
  <si>
    <t>19 días</t>
  </si>
  <si>
    <t>31 días</t>
  </si>
  <si>
    <t>3 meses y 12 días</t>
  </si>
  <si>
    <t>1 mes y 1 día</t>
  </si>
  <si>
    <t>1 mes y 19 días</t>
  </si>
  <si>
    <t>60 días</t>
  </si>
  <si>
    <t>Procede Liquidación</t>
  </si>
  <si>
    <t>Ana Lucia Angulo Villamil - Subdirectora administrativa SDH</t>
  </si>
  <si>
    <t>Katty Alexandra Novoa Cardoso - Asesora Fondo Cuenta</t>
  </si>
  <si>
    <t>SDH- Subdirector administrativo / Concejo - Asesor Fondo Cuenta Dirección de Gestión Corporativa</t>
  </si>
  <si>
    <t>Subasta inversa electrónica</t>
  </si>
  <si>
    <t>Arias Pinzón Lorena Jeisel - SDH / Johanna Paola Bocanegra Olaya - Concejo / Carlos Alberto Gómez García - ETB</t>
  </si>
  <si>
    <t>2 meses y 21 días</t>
  </si>
  <si>
    <t>3 meses y 23 días</t>
  </si>
  <si>
    <t>COMPENSAR SALONES</t>
  </si>
  <si>
    <t>% Ejecución física</t>
  </si>
  <si>
    <t>Suscripción al Diario el Nuevo Siglo, para el Concejo de Bogotá,  D.C.</t>
  </si>
  <si>
    <t>Adquirir a título de compraventa elementos de protección para los servidores públicos del Concejo de Bogotá, D.C., de conformidad con lo establecido en la presente invitación pública.</t>
  </si>
  <si>
    <t>Prestar Servicios Profesionales para realizar acompañamiento y seguimiento a los procesos de adquisición de bienes y servicios y seguimiento a la ejecución de contratos para el Concejo de Bogotá, D.C.</t>
  </si>
  <si>
    <t>JUAN SEBASTIÁN RAMÍREZ</t>
  </si>
  <si>
    <t>Tiempo total Prórroga o suspensión</t>
  </si>
  <si>
    <t>COTECNA CERTIFICADORA SEVICES LIMITADA</t>
  </si>
  <si>
    <t>SDH- Profesional especializado grado 222-30 de la Dirección de Sistemas e Informática / Concejo - Director Administrativo y Financiero</t>
  </si>
  <si>
    <t>La Secretaria Distrital de Hacienda, están interesadas en contratar las pólizas de seguros requeridas para la adecuada protección de los bienes e intereses patrimoniales de propiedad de las mismas y del Concejo de Bogotá D.C., o de aquellos por los cuales sean o llegaren a ser legalmente responsables, así como los seguros de Grupo Vida de los CONCEJALES DE BOGOTÁ D.C.- AUTOMÓVILES</t>
  </si>
  <si>
    <t>YAMILE MARIVEL MOLANO GUZMÁN</t>
  </si>
  <si>
    <t>AMANDA LILIANA RICO DÍAZ</t>
  </si>
  <si>
    <t>JUAN MANUEL GÓMEZ DUARTE</t>
  </si>
  <si>
    <t>KARINA BELTRÁN MEJÍA</t>
  </si>
  <si>
    <t>CARLOS EDUARDO PINEDA AMÓRTEGUI</t>
  </si>
  <si>
    <t>DAMTON ARTÍCULOS PUBLICITARIOS LTDA</t>
  </si>
  <si>
    <t>CORPORACIÓN INSTITUTO COLOMBIANO DE CUALIFICACIÓN EMPRESARIAL -CICCE</t>
  </si>
  <si>
    <t>Díaz Téllez Martha Clemencia</t>
  </si>
  <si>
    <t>SOLUCIONES Y DIAGNÓSTICOS EN INGENIERÍA ELÉCTRICA LTDA</t>
  </si>
  <si>
    <t xml:space="preserve">UNIÓN TEMPORAL EMINSER-SOLOASEO </t>
  </si>
  <si>
    <t>UNIÓN TEMPORAL INTERPOSTAL URBANEX</t>
  </si>
  <si>
    <t>GRUPO EDITORIAL EL PERIÓDICO S.A.S</t>
  </si>
  <si>
    <t xml:space="preserve">COMPAÑÍA COLOMBIANA DE CONSTRUCCIÓN COD S.A. </t>
  </si>
  <si>
    <t xml:space="preserve">MEDIDORES TÉCNICA EQUIPOS S.A. </t>
  </si>
  <si>
    <t>UNIÓN TEMPORAL VISE - VIGILANCIA ACOSTA - COSERVICREA - RUMBO</t>
  </si>
  <si>
    <t>CAJA DE COMPENSACIÓN FAMILIAR COMPENSAR - BIENESTAR</t>
  </si>
  <si>
    <t>MIGUEL ANDRÉS GUTIÉRREZ ROMERO</t>
  </si>
  <si>
    <t>JARDÍN BOTÁNICO</t>
  </si>
  <si>
    <t>Márquez Figueroa Martha Renee</t>
  </si>
  <si>
    <t>PAPELERÍA  LOS  LAGOS  LTDA</t>
  </si>
  <si>
    <t>CAJA DE COMPENSACIÓN FAMILIAR COMPENSAR</t>
  </si>
  <si>
    <t>SYSTEM NET INGENIERÍA LTDA</t>
  </si>
  <si>
    <t>DPC LTDA PUBLICACIONES DESPACHOS PÚBLICOS DE COLOMBIA LTDA</t>
  </si>
  <si>
    <t>EDGARDO ANDRÉS MALDONADO CORTES</t>
  </si>
  <si>
    <t>ROSA ENRIQUELINA GÓMEZ CORREDOR</t>
  </si>
  <si>
    <t>KHAANKO NORBERTO RUIZ RODRÍGUEZ</t>
  </si>
  <si>
    <t>EDGAR EULICES GONZÁLEZ</t>
  </si>
  <si>
    <t>WIIESNER FABIÁN ROBAYO SALCEDO</t>
  </si>
  <si>
    <t>CAJA DE COMPENSACIÓN FAMILIAR COMPENSAR SALONES</t>
  </si>
  <si>
    <t>UNIVERSIDAD DISTRITAL FRANCISCO JOSÉ DE CALDAS</t>
  </si>
  <si>
    <t>TECNOLOGÍA BIOMÉDICA</t>
  </si>
  <si>
    <t>UNIÓN TEMPORAL VIGILANCIA ACOSTA LTDA  - RUMBO ASOCIADOS</t>
  </si>
  <si>
    <t>RIGOBERTO GÓMEZ JAIME</t>
  </si>
  <si>
    <t>UNIÓN TEMPORAL AVALÚOS PATRIMONIALES H-SD</t>
  </si>
  <si>
    <t>VICTOR MANUEL ARMELLA VELÁSQUEZ</t>
  </si>
  <si>
    <t>COMUNICACIONES E INFORMÁTICA  S.A..S</t>
  </si>
  <si>
    <t>NORMA CONSTANZA MEZA GÓMEZ</t>
  </si>
  <si>
    <t>D.P.C LTDA PUBLICACIONES DESPACHOS PÚBLICOS DE COLOMBIA LTDA</t>
  </si>
  <si>
    <t>UNIÓN TEMPORAL EMINSER SOLOASEO</t>
  </si>
  <si>
    <t>UNIDAD NACIONAL DE PROTECCIÓN</t>
  </si>
  <si>
    <t>JOSÉ SADY SUAVITA ROJAS</t>
  </si>
  <si>
    <t>INDUSTRIAS QUÍMICAS FIQ LTDA</t>
  </si>
  <si>
    <t>Prestar el servicio de mantenimiento integral locativo con el suministro de personal, equipo y  repuestos, en las instalaciones físicas del  Concejo Bogotá, D.C., de acuerdo con lo establecido en el pliego de condiciones del proceso de selección abreviada  de menor cuantía  No. SDH-SAMC-01-2014 y la propuesta económica presentada por el contratista.</t>
  </si>
  <si>
    <t>Prestar servicio de mantenimiento correctivo con suministro de repuestos de los automotores marca MITSUBISHI, al servicio del  Concejo de Bogotá D.C., de conformidad con lo establecido en el proceso SDH-SMINC-002-2014.</t>
  </si>
  <si>
    <t>Formular una propuesta de "Manual de Manejo de Conflictos" a partir del diagnóstico del clima laboral, de forma tal que se permita detectar, prevenir e intervenir de manera oportuna los riesgos potenciales en materia de relaciones interpersonales de los servidores públicos en el Concejo de Bogotá D.C. previo diagnóstico del clima organizacional actual.</t>
  </si>
  <si>
    <r>
      <rPr>
        <b/>
        <sz val="8"/>
        <color theme="1"/>
        <rFont val="Arial"/>
        <family val="2"/>
      </rPr>
      <t>Nota aclaratoria:</t>
    </r>
    <r>
      <rPr>
        <sz val="8"/>
        <color theme="1"/>
        <rFont val="Arial"/>
        <family val="2"/>
      </rPr>
      <t xml:space="preserve"> La información relacionada en esta base de datos, en cuanto a las modificaciones en adiciones, prórrogas y suspenciones realizadas a cada contrato son un resúmen, para ver el detalle de cada cambio, dirigirse a la sección de modificaciones y actualizaciones.</t>
    </r>
  </si>
  <si>
    <t>Ejecución</t>
  </si>
  <si>
    <t>Lizeth González</t>
  </si>
  <si>
    <t>Ejecución completa Recursos</t>
  </si>
  <si>
    <t>Hoy</t>
  </si>
  <si>
    <t>En esta sección incluya las modificaciones que tengan lugar en cada contrato (adiciones, prórrogas y suspenciones). También incluya la actualización de los giros que se realizan periódicamente.</t>
  </si>
  <si>
    <t xml:space="preserve"> Fecha de terminación final</t>
  </si>
  <si>
    <t>Número de contratos por terminar en tiempo</t>
  </si>
  <si>
    <t>Número de contratos con 100% de ejecución en tiempo</t>
  </si>
  <si>
    <t>Estado de Giros</t>
  </si>
  <si>
    <t>Número de contratos con 100% en ejecución de recursos</t>
  </si>
  <si>
    <t xml:space="preserve"> % Ejecución física</t>
  </si>
  <si>
    <t>Fecha terminación última prórroga</t>
  </si>
  <si>
    <t>NAYIVE CARRASCO PATIÑO</t>
  </si>
  <si>
    <t>Terminado anticipadamente</t>
  </si>
  <si>
    <t>140299-0-2014</t>
  </si>
  <si>
    <t>LIZETH  GONZÁLEZ VARGAS</t>
  </si>
  <si>
    <t>140312-0-2014</t>
  </si>
  <si>
    <t>CRISTIAN DAVID PARDO MARTINEZ</t>
  </si>
  <si>
    <t>Prestar el servicio integral a todo costo de desinsectación, desinfección y desratización, para el control o manejo integrado de plagas en las instalaciones de la Secretaria de Hacienda, zonas comunes del Centro Administrativo Distrital CAD y el Concejo de Bogotá.</t>
  </si>
  <si>
    <t>Prestar servicios profesionales para sistematizar y consolidar la información de los trámites contractuales a cargo de la Dirección Financiera de los procesos administrativos y financieros del Concejo de Bogotá, D.C.</t>
  </si>
  <si>
    <t>Prestar servicios profesionales para apoyar la gestión administrativa, documental y contractual en los asuntos de competencia de la Dirección Financiera del Concejo de Bogotá, D.C.</t>
  </si>
  <si>
    <t>Para la utilización de la presente base de datos, tenga en cuenta las siguientes recomendaciones, para cada una de las partes que componen el archivo:</t>
  </si>
  <si>
    <t>1.</t>
  </si>
  <si>
    <t>Hoja de inicio</t>
  </si>
  <si>
    <t>Contiene los botones de acceso a cada componente de la base de datos. Al actualizar los montos de los giros en cada contrato, se debe actualizar la fecha en esta hoja.</t>
  </si>
  <si>
    <t>En esta hoja registre la información de los nuevos contratos objeto de seguimiento y supervisión.</t>
  </si>
  <si>
    <t>2.</t>
  </si>
  <si>
    <t>Actualizaciones y modificaciones</t>
  </si>
  <si>
    <t>En esta hoja se registran todos los cambios relacionados con adiciones, prórrogas, suspenciones y giros.</t>
  </si>
  <si>
    <t>Seleccione el contrato e ingrese la actualización o modificación.</t>
  </si>
  <si>
    <t>3.</t>
  </si>
  <si>
    <t>Reportes</t>
  </si>
  <si>
    <t>Se utilizan para el seguimiento de la ejecución de cada contrato.</t>
  </si>
  <si>
    <t xml:space="preserve"> </t>
  </si>
  <si>
    <t>Contratos por terminar (en tiempo de ejecución): presenta el listado de los contratos que no han llegado a la fecha de terminación final.</t>
  </si>
  <si>
    <t>Estado de giros: Presenta el listado de contratos de la base de datos, con la posibilidad de filtrar sólo los contratos con determinado porcentaje de ejecución financiera.</t>
  </si>
  <si>
    <t>Giros Vs Tiempo: Presenta el listado de contratos con el porcentaje de ejecución presupuestal, y tiempo transcurrido entre su inicio y la fecha de terminación final.</t>
  </si>
  <si>
    <t>4.</t>
  </si>
  <si>
    <t>Base de datos</t>
  </si>
  <si>
    <t>Tiempo restante de ejecución (días)</t>
  </si>
  <si>
    <t>Mensual</t>
  </si>
  <si>
    <t>MATILDE NIETO CONTRERAS</t>
  </si>
  <si>
    <t>140200-0-2014</t>
  </si>
  <si>
    <t>UNIDAD NACIONAL DE PROTECCIÓN  UNP</t>
  </si>
  <si>
    <t>Aunar esfuerzos humanos, técnicos, logísticos y administrativos para garantizar la protección integral de los miembros del Concejo de Bogotá que se encuentren en situación de riesgo extraordinario o extremo como consecuencia directa del ejercicio de las funciones del cargo de elección popular en el cual se encuentran posesionados.</t>
  </si>
  <si>
    <t>En ejecución</t>
  </si>
  <si>
    <t>140221-0-2014</t>
  </si>
  <si>
    <t>INGENIERIA DE BOMBAS Y PLANTAS</t>
  </si>
  <si>
    <t>Prestar el servicio de mantenimiento preventivo y correctivo para los tanques de almacenamiento y equipos de bombeo hidráulicos de agua potable, residual y aguas negras de las instalaciones del  Concejo de Bogotá.</t>
  </si>
  <si>
    <t>SEGUROS GENERALES SURAMERICANA</t>
  </si>
  <si>
    <t>Expedir las pólizas de seguro obligatorio SOAT para los vehículos del Concejo de Bogotá, D.C., de conformidad con lo establecido en el Acuerdo Marco de Precios CCE-070-1AMP-2013.</t>
  </si>
  <si>
    <t>140174-0-2014</t>
  </si>
  <si>
    <t>Porcentaje de avance</t>
  </si>
  <si>
    <t>140158-0-2014</t>
  </si>
  <si>
    <t>11 meses</t>
  </si>
  <si>
    <t>140319-0-2014</t>
  </si>
  <si>
    <t>CANAL REGIONAL DE TELEVISION TEVEANDINA LTDA - TEVEANDINA LTDA</t>
  </si>
  <si>
    <t>Realizar la preproducción, producción, postproducción y emisión de programas de televisión para el Concejo de Bogotá</t>
  </si>
  <si>
    <t>140306-0-2014</t>
  </si>
  <si>
    <t>I3NET  S.A.S</t>
  </si>
  <si>
    <t>Adquisición de computadores de escritorio y portátiles, para el Concejo de Bogotá</t>
  </si>
  <si>
    <t>140322-0-2014</t>
  </si>
  <si>
    <t>SUMIMAS SAS</t>
  </si>
  <si>
    <t>Adquisión de equipos y licencias para la actualización de la plataforma tecnológica del Concejo de Bogotá, de conformidad con lo establecido en el pliego de condiciones SDH-SIE-12-2014 y la propuesta presentada por el contratista.</t>
  </si>
  <si>
    <t xml:space="preserve">140316-0-2014 </t>
  </si>
  <si>
    <t>SOLUCIONES EN INGENIERIA Y SOFTWARE SAS</t>
  </si>
  <si>
    <t>Necesidad</t>
  </si>
  <si>
    <t>Proceso</t>
  </si>
  <si>
    <t>Dependencia</t>
  </si>
  <si>
    <t>Restauración y conservación de bienes patrimoniales</t>
  </si>
  <si>
    <t>Periódico</t>
  </si>
  <si>
    <t>Mantenimiento automotor</t>
  </si>
  <si>
    <t>Vigilancia</t>
  </si>
  <si>
    <t>Prestar el servicio integral en comunicación, consistente en el diseño, producción y ejecución de las estrategias de divulgación en medios de carácter masivo, alternativo y comunitario al servicio del Concejo de Bogotá D.C.</t>
  </si>
  <si>
    <t>Comunicación</t>
  </si>
  <si>
    <t>Papelería</t>
  </si>
  <si>
    <t>Servicios profesionales</t>
  </si>
  <si>
    <t>Prestar servicios profesionales para el apoyo en la implementación del manual de convivencia adoptado por el Concejo de Bogotá D.C., para el mejoramiento del clima laboral, de conformidad con los estudios previos.</t>
  </si>
  <si>
    <t>Televisión</t>
  </si>
  <si>
    <t>Mobiliario</t>
  </si>
  <si>
    <t>Promoción institucional</t>
  </si>
  <si>
    <t>Transporte</t>
  </si>
  <si>
    <t>Mensajería</t>
  </si>
  <si>
    <t>Aseo y cafetería</t>
  </si>
  <si>
    <t>Combustible</t>
  </si>
  <si>
    <t>Fotocopias</t>
  </si>
  <si>
    <t>Interventoría</t>
  </si>
  <si>
    <t>Boletines informativos</t>
  </si>
  <si>
    <t>Prestar el servicio de mantenimiento preventivo y correctivo con suministro de al sistema de generación y transferencia eléctrica de emergencia del Concejo de Bogotá, D.C., de conformidad con lo establecido en la invitación pública del proceso No. SDH-SMINC-012-2014.</t>
  </si>
  <si>
    <t>Generación y transferencia electrica</t>
  </si>
  <si>
    <t>Gestión ambiental</t>
  </si>
  <si>
    <t>Parqueadero</t>
  </si>
  <si>
    <t>Número de contratos sin ejecución completa</t>
  </si>
  <si>
    <t>Rosa Enriquelina Gómez</t>
  </si>
  <si>
    <t>CAJA COLOMBIANA SUBSIDIO FAMILIAR - COLSUBSIDIO</t>
  </si>
  <si>
    <t>Marcela Garzón</t>
  </si>
  <si>
    <t>Cristian Pardo</t>
  </si>
  <si>
    <t>Etiquetas de columna</t>
  </si>
  <si>
    <t>Total general</t>
  </si>
  <si>
    <t>Cuenta de Número de contrato</t>
  </si>
  <si>
    <t>140274-0-2014</t>
  </si>
  <si>
    <t>Suscripción a LA REVISTA SEMANA, para el Concejo de Bogotá.</t>
  </si>
  <si>
    <t>140296-0-2014</t>
  </si>
  <si>
    <t>140317-0-2014</t>
  </si>
  <si>
    <t>Prestar el servicio de actualización, mantenimiento y soporte al sitio web e intranet del Concejo de Bogotá.</t>
  </si>
  <si>
    <t>140290-0-2014</t>
  </si>
  <si>
    <t>CENTRO DE DIAGNOSTICO Y TRATAMIENTO CENDIATRA LTDA</t>
  </si>
  <si>
    <t>140252-0-2014</t>
  </si>
  <si>
    <t>LINALCA INFORMATICA</t>
  </si>
  <si>
    <t>ELIS ALEXANDER MORENO SALAMANCA /</t>
  </si>
  <si>
    <t>Matilde Nieto</t>
  </si>
  <si>
    <t>Sistemas - cableado voz</t>
  </si>
  <si>
    <t>Manteniento Infraestructura</t>
  </si>
  <si>
    <t>Plantas purificadoras</t>
  </si>
  <si>
    <t>Mantenimiento- Aire acondicionado</t>
  </si>
  <si>
    <t>Mantenimiento - ascensores</t>
  </si>
  <si>
    <t>Mantenimiento - puerta eléctrica, talenquera</t>
  </si>
  <si>
    <t>Mantenimiento - tanques</t>
  </si>
  <si>
    <t>Mantenimiento Infraestructura</t>
  </si>
  <si>
    <t>Sistemas - software</t>
  </si>
  <si>
    <t>Exámenes médicos</t>
  </si>
  <si>
    <t>Sistemas - equipos</t>
  </si>
  <si>
    <t>Gestión financiera</t>
  </si>
  <si>
    <t>120000-466-2012</t>
  </si>
  <si>
    <t>El pago de los honorarios se efectuará así: a) El primer pago vencido se cancelará en proporción a los días ejecutados en el mes en que se inicie la ejecución del contrato. b) Diez (10) mensualidades vencidas de DOS MILLONES SETECIENTOS DIEZ MIL NOVECIENTOS NUEVE MIL PESOS M/CTE ($ 2.710.909), previa presentación del informe de actividades, del respectivo período, aprobado por el supervisor. c) En el último pago se cancelará el saldo del presente contrato previa presentación del informe final aprobado por el supervisor.</t>
  </si>
  <si>
    <t xml:space="preserve">El pago de los honorarios se efectuará así: a) El primer pago vencido se cancelará en proporción a los días ejecutados en el mes en que se inicie la ejecución del contrato. b) Nueve (9) mensualidades vencidas de TRES MILLONES OCHOCIENTOS OCHENTA Y TRES MIL PESOS M/CTE ($ 3.883.000), previa presentación del informe de actividades, del respectivo período, aprobado por el supervisor. c) En el último pago se cancelará el saldo del presente contrato previa presentación del informe final aprobado por el </t>
  </si>
  <si>
    <t xml:space="preserve">Se efectuará un pago por cada una de las visitas de mantenimiento preventivo efectuadas. Los repuestos y/o elementos se cancelarán de acuerdo a la demanda requerida en el respectivo periodo, manteniendo los precios unitarios  de referencia aplicando el porcentaje de descuento ofrecido en la propuesta. </t>
  </si>
  <si>
    <t>Los mantenimientos correctivos y el suministro de repuestos y/o elementos se cancelarán mensualmente de acuerdo con los servicios efectivamente prestados.</t>
  </si>
  <si>
    <t>Tres pagos iguales mes vencidode acuerdo con lo ofertado en su propuesta, por concepto de servicio de arrendamiento, previe presentación de la factura, para lo cual el proveedor deberá cumplir con todas las especificaciones señaladas en el anexo técnico.</t>
  </si>
  <si>
    <t xml:space="preserve">Se realizarán pagos mensuales correspondientes a la cantidad de elementos elaborados y entregados dentro de cada mes, de acuerdo con los requerimientos del supervisor del contrato.
  </t>
  </si>
  <si>
    <t>Un (1) único pagocontra entrega asatisfacción de los bienes, previa presentación de la factura acompañada del acta de recibo a satisfacción del supervisor donde se especifiquen las cantidades entregadas.</t>
  </si>
  <si>
    <t xml:space="preserve">Se efectuarán los siguientes pagos, tanto para la Secretaría Distrital de Hacienda como para el Concejo de Bogotá: 
Un pago único del ciento  (100%) a la entrega e implementación y correcto funcionamiento de la impresora de tarjetas PVC y de los insumos objeto de este contrato, previa certificación de cumplimiento expedida por el supervisor del contrato.
</t>
  </si>
  <si>
    <t>Pagos mensuales correspondientes a los servicios prestados de acuerdo con la certificación de cumplimiento expedida por el supervisor del contrato</t>
  </si>
  <si>
    <t xml:space="preserve">Un único pago que se efectuará a la entrega de los bienes objeto de contratación, previa  radicación de la factura en la Subdirección Financiera y certificación de recibo  a satisfacción expedida por el supervisor y constancia de ingreso al Almacén.  
</t>
  </si>
  <si>
    <t xml:space="preserve">Las Entidades efectuarán los pagos correspondiente a los servicios prestados por mensualidades vencidas de acuerdo con los servicios prestados y elementos suministrados dentro del período, previa presentación de las facturas respectivas y aprobación de las mismas por parte del supervisor del contrato, acompañadas de las correspondientes certificaciones de cumplimiento a satisfacción expedidas por el mismo en las cuales conste el valor a pagar por el contratista. El primer pago se deberá facturar por los días de servicio prestados del primer mes, los siguientes serán por mensualidades vencidas, de acuerdo a los bienes y servicios prestados
EJEMPLOS
Pago Anticipado del   ____% (NO aplica a Prestación de servicios)
Anticipo del          ____% (NO aplica a Prestación de servicios)
Pagos parciales del   ____% contra entregas parciales
                ____% contra entrega final a satisfacción y firma del acta de liquidación.
En todo caso,  un anticipo o el pago anticipado no podrá ser superior al 50% del valor del contrato.
Los pagos se efectuarán dentro de los diez (10) días hábiles  siguientes a la radicación en la Subdirección Financiera de la certificación de cumplimiento a satisfacción del objeto y obligaciones, expedida por el interventor del contrato, acompañada de los respectivos recibos de pago por concepto de aportes al Sistema de Seguridad Social Integral en Salud y Pensión, aportes parafiscales: Sena, ICBF y Cajas de Compensación Familiar, cuando corresponda.
</t>
  </si>
  <si>
    <t>De conformidad con la cláusula 10 del Acuerdo Marco de Precios: Los Proveedores deben facturar quincenalmente el consumo de Combustible a cada una de las Entidades Compradoras de forma independiente. Los Proveedores deben presentar las facturas en la dirección indicada para el efecto por la Entidad Compradora en la Orden de Compra el día 5 y el día 20 de cada mes. Si el día en el cual debe expedirse la factura no es un día hábil, el Proveedor debe expedir la factura el día hábil siguiente. Adicionalmente, los Proveedores deben publicar copia de la factura en la misma fecha en el aplicativo del SECOP. La factura debe contener la información necesaria para ser una factura de venta como lo disponen las normas comerciales y tributarias. La factura debe indicar la fecha de inicio y la fecha de corte del suministro de Combustible para que la Entidad Compradora pueda verificar la información de la factura con el Sistema de Control. El Proveedor debe presentar como anexo a la factura un certificado suscrito por su representante legal en el cual manifieste que el Proveedor está a paz y salvo con sus obligaciones laborales frente al sistema de seguridad social integral y demás aportes relacionados con sus obligaciones laborales. Las Entidades Compradoras deben aprobar o rechazar las facturas dentro de los diez (10) días hábiles siguientes a la fecha de su presentación. El aplicativo del SECOP notificará al Proveedor la aceptación o el rechazo de las facturas y en este último caso la justificación del rechazo. Las Entidades Compradoras deben pagar las facturas dentro de los cinco (5) días hábiles siguientes a la aprobación de la misma. En caso de mora en el pago mayor a treinta (30) días calendario el Proveedor puede abstenerse de suministrar Combustible a la Entidad Compradora en mora y debe avisar a Colombia Compra Eficiente un día hábil antes de la suspensión del servicio.</t>
  </si>
  <si>
    <t>Un único pago contra la presentación de la factura,  previa  certificación de recibo a satisfacción, de los bienes objeto de contratación, expedida por el supervisor del contrato.</t>
  </si>
  <si>
    <t>Por mensualidades vencidas, de acuerdo al consumo de cada periodo, previa radicación de los documentos y soportes requeridos en la Subdirección Financiera y certificación de cumplimiento a satisfacción expedida por el Supervisor del contrato.</t>
  </si>
  <si>
    <t>El 90% del contrato mediante 11 pagos mensuales iguales y unpago final equivalente al 10% del contratodentro de los quince días siguientes al al firma del axcta de liquidación</t>
  </si>
  <si>
    <t xml:space="preserve">Pagos mensuales correspondientes a los servicios prestados.  Los repuestos se cancelarán de acuerdo a la demanda requerida en el respectivo periodo, manteniendo los precios unitarios ofrecidos en la oferta económica; previa certificación de cumplimiento expedida por el supervisor del contrato.
</t>
  </si>
  <si>
    <t>El valor del personal y el suministro de repuestos y materiales del periodo se cancelarán por pagos mensuales vencidos, previa certificación del supervisor y/o interventor designado por la entidad, en la cual conste el cumplimiento a satisfacción del objeto y obligaciones. 
Para el primer pago el contratista deberá cobrar los días prestados del mes de inicio del contrato, los siguientes serán por pagos mensuales completos. 
Los mantenimientos de las persianas y puertas de vidrio se cancelarán mediante pagos parciales mensuales, de conformidad con los mantenimientos efectuados y certificados por el supervisor y/o interventor designado por la entidad. 
El contratista deberá adjuntar a las facturas de cobro, una relación de los servicios y actividades ejecutadas, ordenes de pedido de repuestos, materiales con la previa autorización del supervisor y/o interventor, comprobante de los servicios prestados con el recibido a satisfacción. 
Si las facturas no han sido correctamente elaboradas o no se acompañan de los documentos requeridos para el pago, el término para éste solamente empezará a contarse desde la fecha en que se presenten en debida forma o se haya aportado el último de los documentos. Las demoras que se presenten por estos conceptos serán responsabilidad del CONTRATISTA y no tendrá por ello derecho al pago de intereses o compensación de ninguna naturaleza.
Los pagos se efectuarán dentro de los ocho (8) días hábiles  siguientes a la radicación en la Subdirección Financiera de la certificación de cumplimiento a satisfacción del objeto y obligaciones, expedida por el supervisor y/o interventor del contrato, acompañada de los respectivos recibos de pago por concepto de aportes al Sistema de Seguridad Social Integral en Salud, Pensión y ARL, aportes parafiscales: Sena, ICBF y Cajas de Compensación Familiar, cuando corresponda.
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
EJEMPLOS
Pago Anticipado del   ____% (NO aplica a Prestación de servicios)
Anticipo del          ____% (NO aplica a Prestación de servicios)
Pagos parciales del   ____% contra entregas parciales
                ____% contra entrega final a satisfacción y firma del acta de liquidación.
En todo caso,  un anticipo o el pago anticipado no podrá ser superior al 50% del valor del contrato.
Los pagos se efectuarán dentro de los diez (10) días hábiles  siguientes a la radicación en la Subdirección Financiera de la certificación de cumplimiento a satisfacción del objeto y obligaciones, expedida por el interventor del contrato, acompañada de los respectivos recibos de pago por concepto de aportes al Sistema de Seguridad Social Integral en Salud y Pensión, aportes parafiscales: Sena, ICBF y Cajas de Compensación Familiar, cuando corresponda.
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t>
  </si>
  <si>
    <t>La Secretaría Distrital de Hacienda efectuará los pagos mensualmente en pesos colombianos de acuerdo con las actividades efectivamente ejecutadas en su totalidad en el mes anterior y que sean aprobadas y certificadas por los Supervisores para el contrato de la Secretaria Distrital de Hacienda y para el Concejo de Bogotá, previa presentación de las facturas respectivas.</t>
  </si>
  <si>
    <t>Un pago equivalente al 100% del valor del contrato, una vez se hayan entregado y aprobado por el supervisor la totalidad de los resultados objeto del contrato.</t>
  </si>
  <si>
    <t xml:space="preserve">El pago se efectuará por mensualidades anticipadas así: a) El primer pago se cancelará en proporción a los días ejecutados en el mes en que se inicie la ejecución del contrato. b) cinco (5) mensualidades anticipadas de TREINTA Y TRES MILLONES OCHOCIENTOS VEINTINUEVE MIL SETECIENTOS OCHENTA Y UN PESOS MONEDA CORRIENTE $33.829.781, incluido IVA, por concepto de canon de arrendamiento c) En el último pago se cancelará el saldo del presente contrato. </t>
  </si>
  <si>
    <t>Se efectuarán los siguientes pagos, tanto para la Secretaría Distrital de Hacienda como para el Concejo de Bogotá.
a) Un pago inicial correspondiente al 70% del valor del contrato, contra entrega del documento para la actualización de las licencias y funcionamiento del software antivirus de forma satisfactoria.
b) Un Segundo pago del 15% al tercer mes de ejecución del contrato, correspondiente al servicio de soporte y mantenimiento de las licencias software antivirus.
c) Ultimo pago del 15% al sexto mes de ejecución del contrato, correspondiente al servicio de soporte y mantenimiento de las licencias software antivirus.</t>
  </si>
  <si>
    <t xml:space="preserve">Un pago único contra la presentación de la factura, acompañada de la constancia de suscripción A LA REVISTA SEMANA y certificación de cumplimiento a satisfacción de la suscripción expedida por el supervisor. </t>
  </si>
  <si>
    <t xml:space="preserve">Un pago único contra la presentación de la factura, acompañada de la constancia de suscripción al diario EL ESPECTADOR y certificación de cumplimiento a satisfacción de la suscripción expedida por el supervisor.  
Los pagos se efectuarán dentro de los ocho (8) días hábiles siguientes a la radicación en la Subdirección Financiera de la certificación de cumplimiento a satisfacción del objeto y obligaciones, expedida por el supervisor del contrato, acompañada de los respectivos recibos de pago por concepto de aportes al Sistema de Seguridad Social Integral en Salud y Pensión, aportes parafiscales: Sena, ICBF y Cajas de Compensación Familiar, cuando corresponda.
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
Si las factura(s), cuando haya lugar, no han sido correctamente elaboradas o no se acompañen de los documentos requeridos para el pago, el término para éste solamente empezará a contarse desde la fecha en que se presenten en debida forma o se haya aportado el último de los documentos. Las demoras que se presenten por estos conceptos serán responsabilidad del CONTRATISTA y no tendrá por ello derecho al pago de intereses o compensación de ninguna naturaleza.
</t>
  </si>
  <si>
    <t xml:space="preserve">Un único pago contra la presentación de la factura, acompañada de la constancia de suscripción objeto de la contratación,  previa  certificación expedida por el supervisor del contrato.
Los pagos se efectuarán dentro de los ocho (8) días hábiles  siguientes a la radicación en la Subdirección Financiera de la certificación de cumplimiento a satisfacción del objeto y obligaciones, expedida por el interventor del contrato, acompañada de los respectivos recibos de pago por concepto de aportes al Sistema de Seguridad Social Integral en Salud y Pensión, aportes parafiscales: Sena, ICBF y Cajas de Compensación Familiar, cuando corresponda.
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
</t>
  </si>
  <si>
    <t xml:space="preserve">La Secretaría Distrital de Hacienda efectuará un único pago que se efectuará a la entrega de los bienes objeto de contratación, previa  radicación de la factura en la Subdirección Financiera y certificación de recibo  a satisfacción expedida por el supervisor y constancia de ingreso al Almacén.   
|Los pagos se efectuarán dentro de los ocho (8)  días hábiles  siguientes a la radicación en la Subdirección Financiera de la certificación de cumplimiento a satisfacción del objeto y obligaciones, expedida por el supervisor o interventor del contrato, acompañada de los respectivos recibos de pago por concepto de aportes al Sistema de Seguridad Social Integral en Salud y Pensión, aportes parafiscales: Sena, ICBF y Cajas de Compensación Familiar, cuando corresponda.
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
</t>
  </si>
  <si>
    <t>Se efectuarán los pagos por mensualidades vencidas de acuerdo con los servicios realizados dentro del mes, previa presentación de las facturas respectivas las cuales deben cumplir con los lineamientos establecidos en los artículos 1 y 3 de la ley 131 de 2208, y aprobación de las mismas por parte del supervisor del contrato, acompañadas de las correspondientes certificaciones de cumplimiento a satisfacción expedidas por el mismo.
EJEMPLOS
Pago Anticipado del   ____% (NO aplica a Prestación de servicios)
Anticipo del          ____% (NO aplica a Prestación de servicios)
Pagos parciales del   ____% contra entregas parciales
                ____% contra entrega final a satisfacción y firma del acta de liquidación.
En todo caso,  un anticipo o el pago anticipado no podrá ser superior al 50% del valor del contrato.
Los pagos se efectuarán dentro de los diez (10) días hábiles  siguientes a la radicación en la Subdirección Financiera de la certificación de cumplimiento a satisfacción del objeto y obligaciones, expedida por el interventor del contrato, acompañada de los respectivos recibos de pago por concepto de aportes al Sistema de Seguridad Social Integral en Salud y Pensión, aportes parafiscales: Sena, ICBF y Cajas de Compensación Familiar, cuando corresponda.
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t>
  </si>
  <si>
    <t>El pago de los honorarios se efectuará así: a) El primer pago vencido se cancelará en proporción a los días ejecutados en el mes en que se inicie la ejecución del contrato. b) cuatro (4) mensualidades vencidas de ($3.500.000) pesos M/CTE, previa presentación del informe de actividades, del respectivo período, aprobado por el supervisor o interventor. c) En el último pago se cancelará el saldo del presente contrato previa presentación del informe final aprobado por el supervisor o interventor del contrato, según corresponda</t>
  </si>
  <si>
    <t xml:space="preserve">Se realizará un pago único, cuyo valor corresponderá al valor unitario establecido en la propuesta final, por el número de equipos entregados por el contratista a la Secretaría Distrital de Hacienda y al Concejo de Bogotá, a la entrega e  ingreso al almacén de la Secretaria Distrital de Hacienda y  recibo a satisfacción por parte del supervisor del contrato. </t>
  </si>
  <si>
    <t>El pago de los honorarios se efectuará así: a) El primer pago vencido se cancelará en proporción a los días ejecutados en el mes en que se inicie la ejecución del contrato. b) tres (3) mensualidades vencidas de ($2.500.000) pesos M/CTE, previa presentación del informe de actividades, del respectivo período, aprobado por el supervisor o interventor. c) En el último pago se cancelará el saldo del presente contrato previa presentación del informe final aprobado por el supervisor o interventor del contrato, según corresponda.</t>
  </si>
  <si>
    <t>Forma de pago</t>
  </si>
  <si>
    <t xml:space="preserve">Un único pago contra la presentación de la factura, acompañada de la constancia de suscripción objeto de la contratación,  previa  certificación expedida por el supervisor del contrato.
</t>
  </si>
  <si>
    <t xml:space="preserve">Los mantenimientos correctivos y el suministro de repuestos se cancelarán mensualmente de acuerdo con los servicios efectivamente prestados.
</t>
  </si>
  <si>
    <t xml:space="preserve">Un único pago contra la presentación de la factura, acompañada de la constancia de suscripción objeto de la contratación,  previa  certificación expedida por el supervisor del contrato. 
</t>
  </si>
  <si>
    <t xml:space="preserve">Un pago único dentro de los ocho (8) días hábiles  siguientes a la radicación en la Subdirección Financiera de los siguientes  documentos: a) Certificación de cumplimiento a satisfacción del objeto y obligaciones, expedida por el supervisor del respectivo contrato, b) factura(s), c) Certificación de pago por concepto de aportes al Sistema de Seguridad Social Integral en Salud, Pensión, ARL, aportes parafiscales: Sena, ICBF y Cajas de Compensación Familiar, cuando corresponda, d) Certificación del banco donde conste que el contratista tiene  cuenta de ahorros o corriente y a la cual se le va a consignar.
</t>
  </si>
  <si>
    <t>El pago de los honorarios se efectuará así: a) El primer pago vencido se cancelará en proporción a los días ejecutados en el mes en que se inicie la ejecución del contrato. b) Nueve (09) mensualidades vencidas de  Cuatro millones Ciento Sesenta Mil Pesos ($4.160.000) M/CTE, previa presentación del informe de actividades, del respectivo período, aprobado por el supervisor. c) En el último pago se cancelará el saldo del presente contrato previa presentación del informe final aprobado por el supervisor del contrato.</t>
  </si>
  <si>
    <t xml:space="preserve">El pago de los honorarios se efectuará así: a) El primer pago vencido se cancelará en proporción a los días ejecutados en el mes en que se inicie la ejecución del contrato. b) Seis (06) mensualidades vencidas de  Tres Millones Cuatrocientos Veintisiete Mil Pesos ($3.427.000) M/CTE, previa presentación del informe de actividades, del respectivo período, aprobado por el supervisor. c) En el último pago se cancelará el saldo del presente contrato previa presentación del informe final aprobado por el supervisor del contrato. </t>
  </si>
  <si>
    <t xml:space="preserve">El pago de los honorarios se efectuará así: 
a) El primer pago vencido se cancelará en proporción a los días ejecutados en el mes en que se inicie la ejecución del contrato.
b) Diez (10) mensualidades vencidas de  CINCO MILLONES DE PESOS ($5.000.000), previa presentación del informe de actividades, del respectivo período, aprobado por el supervisor.
c) En el último pago se cancelará el saldo del presente contrato previa presentación del informe final aprobado por el interventor. 
</t>
  </si>
  <si>
    <t xml:space="preserve">El pago de los honorarios se efectuará así: a) El primer pago vencido se cancelará en proporción a los días ejecutados en el mes en que se inicie la ejecución del contrato. b) Diez (10) mensualidades vencidas de  TRES MILLONES QUINIENTOS MIL PESOS ($3.500.000) M/CTE, previa presentación del informe de actividades, del respectivo período, aprobado por el supervisor o interventor. c) En el último pago se cancelará el saldo del presente contrato previa presentación del informe final aprobado por el supervisor o interventor del contrato, según corresponda. 
</t>
  </si>
  <si>
    <t xml:space="preserve">El pago de los honorarios se efectuará así: 
a) El primer pago vencido se cancelará en proporción a los días ejecutados en el mes en que se inicie la ejecución del contrato.
b) Diez (10) mensualidades vencidas de  CINCO MILLONES DE PESOS ($5.000.000), previa presentación del informe de actividades, del respectivo período, aprobado por el supervisor.
c) En el último pago se cancelará el saldo del presente contrato previa presentación del informe final aprobado por el interventor. 
</t>
  </si>
  <si>
    <t xml:space="preserve">Los mantenimientos preventivos se cancelarán mensualmente de acuerdo con los servicios efectivamente prestados conforme con el cronograma aprobado por el supervisor. El mantenimiento correctivo y el suministro de repuestos se cancelarán con el pago mensual correspondiente al mes de la ejecución. 
</t>
  </si>
  <si>
    <t xml:space="preserve">El pago de los honorarios se efectuará así: a) El primer pago vencido se cancelará en proporción a los días ejecutados en el mes en que se inicie la ejecución del contrato. b) diez (10) mensualidades vencidas de Tres Millones Seiscientos Mil Pesos ($3.600.000) M/CTE, previa presentación del informe de actividades, del respectivo período, aprobado por el supervisor. c) En el último pago se cancelará el saldo del presente contrato previa presentación del informe final aprobado por el supervisor del contrato, según corresponda. </t>
  </si>
  <si>
    <t xml:space="preserve">El pago de los honorarios se efectuará así: 
a) El primer pago vencido se cancelará en proporción a los días ejecutados en el mes en que se inicie la ejecución del contrato.
b) Nueve (9) mensualidades vencidas de  CINCO MILLONES CIENTO CINCUENTA MIL DE PESOS ($5.150.000), previa presentación del informe de actividades, del respectivo período, aprobado por el supervisor.
c) En el último pago se cancelará el saldo del presente contrato previa presentación del informe final aprobado por el interventor. 
</t>
  </si>
  <si>
    <t xml:space="preserve">El pago de los honorarios se efectuará así: a) El primer pago vencido se cancelará en proporción a los días ejecutados en el mes en que se inicie la ejecución del contrato. b) diez (10) mensualidades vencidas de Un Millón Quinientos Mil Pesos ($1.500.000) M/CTE, previa presentación del informe de actividades, del respectivo período, aprobado por el supervisor. c) En el último pago se cancelará el saldo del presente contrato previa presentación del informe final aprobado por el supervisor del contrato, según corresponda. </t>
  </si>
  <si>
    <t xml:space="preserve">El pago de los honorarios se efectuará así: 
a) El primer pago vencido se cancelará en proporción a los días ejecutados en el mes en que se inicie la ejecución del contrato.
b) Nueve (9) mensualidades vencidas de  CINCO MILLONES CIENTO CINCUENTA MIL DE PESOS ($5.150.000), previa presentación del informe de actividades, del respectivo período, aprobado por el supervisor.
c) En el último pago se cancelará el saldo del presente contrato previa presentación del informe final aprobado por el interventor. 
</t>
  </si>
  <si>
    <t xml:space="preserve">Para todos los ítems se efectuará la siguiente forma de pago:
1. Un primer pago por el cincuenta por ciento (50%) de los bienes descritos en los items 1 y 2, previo: a) certificación expedida por el supervisor, en la cual conste el recibo a satisfacción y el ingreso al Almacén de la SDH; b) la factura respectiva; y c) la Certificación de pagos por concepto de aportes a los sistemas de seguridad social Integral en Salud, Pensiones, Riesgos Laborales, aportes parafiscales: Sena, ICBF y Cajas de Compensación Familiar, cuando corresponda.
2. Un segundo pago por el cincuenta por ciento (50%) de los bienes descritos en los items 1 y 2, previo: a) instalación, configuración, puesta en funcionamiento; actividades que deben estar debidamente recibidas a satisfacción por el supervisor; b) la factura respectiva; y c) la Certificación de pagos por concepto de aportes a los sistemas de seguridad social Integral en Salud, Pensiones, Riesgos Laborales, aportes parafiscales: Sena, ICBF y Cajas de Compensación Familiar, cuando corresponda.
</t>
  </si>
  <si>
    <t>Para todos los ítems se efectuará la siguiente forma de pago:
1. Un primer pago por el cincuenta por ciento (50%) de los bienes descritos en los items 1 y 2, previo: a) certificación expedida por el supervisor, en la cual conste el recibo a satisfacción y el ingreso al Almacén de la SDH; b) la factura respectiva; y c) la Certificación de pagos por concepto de aportes a los sistemas de seguridad social Integral en Salud, Pensiones, Riesgos Laborales, aportes parafiscales: Sena, ICBF y Cajas de Compensación Familiar, cuando corresponda.
2. Un segundo pago por el cincuenta por ciento (50%) de los bienes descritos en los items 1 y 2, previo: a) instalación, configuración, puesta en funcionamiento; actividades que deben estar debidamente recibidas a satisfacción por el supervisor; b) la factura respectiva; y c) la Certificación de pagos por concepto de aportes a los sistemas de seguridad social Integral en Salud, Pensiones, Riesgos Laborales, aportes parafiscales: Sena, ICBF y Cajas de Compensación Familiar, cuando corresponda.</t>
  </si>
  <si>
    <t xml:space="preserve">Se realizará un pago por cada visita de mantenimiento preventivo y/o correctivo efectuadas de acuerdo con la programación concertada con el  supervisor del contrato. 
</t>
  </si>
  <si>
    <t xml:space="preserve">Se efectuará un pago por cada una de las visitas de mantenimiento preventivo efectuadas. Los repuestos se cancelarán de acuerdo a la demanda requerida en el respectivo periodo, manteniendo los precios unitarios ofrecidos en la propuesta.
</t>
  </si>
  <si>
    <t xml:space="preserve">Los pagos se realizarán por mensualidades vencidas de acuerdo a los servicios y repuestos efectivamente prestados y suministrados en el respectivo mes manteniendo los precios y descuento ofrecidos en la propuesta.
</t>
  </si>
  <si>
    <t xml:space="preserve">Un primer desembolso, equivalente al 30% de los recursos estimados para el Convenio, una vez sean implementados los esquemas de seguridad de por lo menos el 80% de los Concejales.
Un segundo desembolso, correspondiente al 30% de los recursos estimados para el Convenio, una vez finalizado el segundo mes de ejecución.
</t>
  </si>
  <si>
    <t xml:space="preserve">Un pago al recibo de los chalecos por parte de la Entidad, previa certificación de recibo a satisfacción suscrita por el supervisor del contrato.
</t>
  </si>
  <si>
    <t xml:space="preserve">Los mantenimientos preventivos se cancelarán bimestralmente de acuerdo con los servicios efectivamente prestados conforme con el cronograma establecido y certificación de recibo  a satisfacción expedida por el supervisor. El mantenimiento correctivo y el suministro de repuestos se cancelarán de acuerdo a la demanda durante en el respectivo periodo, manteniendo los precios unitarios ofrecidos en la propuesta.
 </t>
  </si>
  <si>
    <t xml:space="preserve">Se efectuará un pago único contra la presentación de la factura, acompañada de la constancia de suscripción del servicio y certificación de recibido a satisfacción de la suscripción expedida por el supervisor del contrato.
</t>
  </si>
  <si>
    <t xml:space="preserve">Los pagos se realizarán cada dos (2) meses de acuerdo a los servicios efectivamente prestados por concepto de mantenimiento preventivo y correctivo. Los insumos y repuestos se cancelarán de acuerdo a la demanda requerida en el respectivo periodo, manteniendo los precios ofrecidos con la propuesta, previa presentación del informe de los servicios prestados por parte del contratista y certificación de cumplimiento y recibo a satisfacción del servicio, expedida por el supervisor del contrato en la cual se indique el valor a pagar al contratista.
</t>
  </si>
  <si>
    <t>El servicio será cancelado una vez realizada la auditoría de seguimiento y entrega del informe de resultado de la auditoría, previa presentación de la factura y aprobación de la misma, junto con la certificación de cumplimiento de recibo a satisfacción expedida por el supervisor del contrato.</t>
  </si>
  <si>
    <t>Mes</t>
  </si>
  <si>
    <t>Año-Mes</t>
  </si>
  <si>
    <t>Mes-Letra</t>
  </si>
  <si>
    <t>INICIO</t>
  </si>
  <si>
    <t>Año</t>
  </si>
  <si>
    <t>TERMINACIÓN</t>
  </si>
  <si>
    <t>Ejecutado_SN</t>
  </si>
  <si>
    <t>Ejecutado</t>
  </si>
  <si>
    <t>enero</t>
  </si>
  <si>
    <t>febrero</t>
  </si>
  <si>
    <t>marzo</t>
  </si>
  <si>
    <t>abril</t>
  </si>
  <si>
    <t>mayo</t>
  </si>
  <si>
    <t>junio</t>
  </si>
  <si>
    <t>julio</t>
  </si>
  <si>
    <t>agosto</t>
  </si>
  <si>
    <t>septiembre</t>
  </si>
  <si>
    <t>octubre</t>
  </si>
  <si>
    <t>noviembre</t>
  </si>
  <si>
    <t>diciembre</t>
  </si>
  <si>
    <t xml:space="preserve">a) Un primer pago por valor de $4.176.000 incluido Iva, correspondiente a la entrega de la actualización de las licencias, previo ingreso de las licencias al Almacén e instalación, así como la certificación de recibido a satisfacción por parte del supervisor, conforme a la propuesta económica remitida por el Contratista.
b) Se realizarán doce (12) mensualidades vencidas de Tres Millones Trescientos Sesenta y Cuatro Mil pesos ($3.364.000.oo) cada una incluido Iva, correspondientes al mantenimiento y soporte mensual.  
</t>
  </si>
  <si>
    <t>Número de contratos que terminan en cada mes</t>
  </si>
  <si>
    <t>Corporativa</t>
  </si>
  <si>
    <t>Sistemas</t>
  </si>
  <si>
    <t>Enero</t>
  </si>
  <si>
    <t>Febrero</t>
  </si>
  <si>
    <t>Marzo</t>
  </si>
  <si>
    <t>Abril</t>
  </si>
  <si>
    <t>Mayo</t>
  </si>
  <si>
    <t>Junio</t>
  </si>
  <si>
    <t>Julio</t>
  </si>
  <si>
    <t>Agosto</t>
  </si>
  <si>
    <t>Septiembre</t>
  </si>
  <si>
    <t>Octubre</t>
  </si>
  <si>
    <t>Noviembre</t>
  </si>
  <si>
    <t>Diciembre</t>
  </si>
  <si>
    <t>En ejecución 2014</t>
  </si>
  <si>
    <t># Contratos</t>
  </si>
  <si>
    <t>MES</t>
  </si>
  <si>
    <t>Suma de # Contratos</t>
  </si>
  <si>
    <t xml:space="preserve">a) El primer pago vencido se cancelará en proporción a los días ejecutados en el mes en que se inicie la ejecución del contrato.
b) Cuatro (4) mensualidades vencidas de CINCO MILLONES DE PESOS ($5.000.000), previa presentación del informe de actividades, del respectivo período, aprobado por el supervisor.
c) En el último pago se cancelará el saldo del presente contrato previa presentación del informe final aprobado por el Supervisor
Los pagos se efectuarán dentro de los ocho (8) días hábiles siguientes a la radicación en la subdirección Financiera de la certificación de cumplimiento a satisfacción del objeto y obligaciones, expedida por el supervisor del contrato, acompañada de los respectivos recibos de pago por concepto de aportes al sistema de seguridad social integrales en salud, pensión y ARL, aportes parafiscales: Sena, ICBF y Cajas de Compensación Familiar, cuando corresponda.
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
</t>
  </si>
  <si>
    <t xml:space="preserve">a) El primer pago vencido se cancelará en proporción a los días ejecutados en el mes en que se inicie la ejecución del contrato.
b) Tres (3) mensualidades vencidas de SEIS MILLONES DOSCIENTOS CINCUENTA MIL ($6.250.000) Pesos, previa presentación del informe de actividades, del respectivo periodo, aprobado por el supervisor.
c) En el último pago se cancelara el saldo del presente contrato previa presentación del informe final aprobado por el Supervisor. 
</t>
  </si>
  <si>
    <t>Contratar la gestión integral de servicios de impresión, para la secretaria de Distrital de Hacienda, de conformidad con los requerimientos establecidos en el pliego de condiciones del proceso de selección Abreviada SDH-SIP-015-2008 ÍTEM 2 y en el acta de audiencia de adjudicación</t>
  </si>
  <si>
    <t>Elementos de tecnología</t>
  </si>
  <si>
    <t>Impresión</t>
  </si>
  <si>
    <t>Aire acondicionado</t>
  </si>
  <si>
    <t>Bienestar</t>
  </si>
  <si>
    <t>Control horarios</t>
  </si>
  <si>
    <t>Mantenimiento</t>
  </si>
  <si>
    <t>Capacitaciones</t>
  </si>
  <si>
    <t>Salud ocupacional</t>
  </si>
  <si>
    <t>Sistema eléctrico</t>
  </si>
  <si>
    <t>Mantenimiento locativo</t>
  </si>
  <si>
    <t>Arborización</t>
  </si>
  <si>
    <t>Libro</t>
  </si>
  <si>
    <t>Licencias</t>
  </si>
  <si>
    <t>Control de plagas</t>
  </si>
  <si>
    <t>Publicaciones</t>
  </si>
  <si>
    <t>Programas de televisión</t>
  </si>
  <si>
    <t>Impresoras</t>
  </si>
  <si>
    <t>Manejo de conflictos</t>
  </si>
  <si>
    <t>Residuos peligrosos</t>
  </si>
  <si>
    <t>Medios de almacenamiento</t>
  </si>
  <si>
    <t>Mantenimiento eléctrico</t>
  </si>
  <si>
    <t>Mantenimiento sillas</t>
  </si>
  <si>
    <t>Empaste y encuadernación</t>
  </si>
  <si>
    <t>Extintores</t>
  </si>
  <si>
    <t>Alquiler escenarios</t>
  </si>
  <si>
    <t>Medicamentos</t>
  </si>
  <si>
    <t>Plan Institucional de Capacitaciones</t>
  </si>
  <si>
    <t>Elementos de protección personal</t>
  </si>
  <si>
    <t>Mobiliario y equipos de oficina</t>
  </si>
  <si>
    <t>Adquisición de equipos</t>
  </si>
  <si>
    <t>Retrato</t>
  </si>
  <si>
    <t>Bonos</t>
  </si>
  <si>
    <t>Avalúo bienes muebles</t>
  </si>
  <si>
    <t>Sistemas de UPS y aire acondicionado</t>
  </si>
  <si>
    <t>Medios magnéticos</t>
  </si>
  <si>
    <t>Control ambiental</t>
  </si>
  <si>
    <t>Diademas</t>
  </si>
  <si>
    <t>Chalecos</t>
  </si>
  <si>
    <t>Lockers y bancas</t>
  </si>
  <si>
    <t>Contratar la Adqusión de UPS para el Concejo de Bogotá D.C., de conformidad con lo establecido en el pliego de condiciones del proceso SDH-SIE-10-2014 y la propuesta presentada por el contratista.</t>
  </si>
  <si>
    <t>Adquisición UPS</t>
  </si>
  <si>
    <t>Movilidad Concejales</t>
  </si>
  <si>
    <t>Julio Cesar Sánchez</t>
  </si>
  <si>
    <t xml:space="preserve">3 meses  </t>
  </si>
  <si>
    <t>9 meses</t>
  </si>
  <si>
    <t>9 días</t>
  </si>
  <si>
    <t>1 mes y 20 días</t>
  </si>
  <si>
    <t>30 días</t>
  </si>
  <si>
    <t>20 días</t>
  </si>
  <si>
    <t>4 meses y 20 días</t>
  </si>
  <si>
    <t>13 días</t>
  </si>
  <si>
    <t>5 meses y 13 días</t>
  </si>
  <si>
    <t>140282-0-2014</t>
  </si>
  <si>
    <t>Suscripción al diario el Periódico, con destino al Concejo de Bogotá.</t>
  </si>
  <si>
    <t>140330-0-2014</t>
  </si>
  <si>
    <t>Adquisición e instalación de cortinas enrollables tipo Blackout, para el Concejo de Bogotá, D.C., de conformidad con lo establecido en la presente invitación pública SDH-SMINC-55-2014 y la propuesta por ustedes presentadas.</t>
  </si>
  <si>
    <t>140224-0-2014</t>
  </si>
  <si>
    <t>SISTEMA Y SEGURIDAD INDUSTRIAL COLOMBIANA E.U.</t>
  </si>
  <si>
    <t>Revisión, mantenimiento y recarga de extintores y gabinetes contra incendio, con suminstro de repuestos y otros elementos de seguridad industrial para el Concejo de Bogotá, D.C., de conformidad con lo establecido en la invitación pública y propuesta por ustedes presentada.</t>
  </si>
  <si>
    <t>140288-0-2014</t>
  </si>
  <si>
    <t>Realizar las auditorias de seguimiento a los sistemas de gestión de calidad bajo las normas ISO 9001:2008 y NTC-GP 100:2009 al Concejo de Bogotá.</t>
  </si>
  <si>
    <t>EMPRESA DE TELECOMUNICACIONES DE BOGOTA S.A.   ESP</t>
  </si>
  <si>
    <t>Prestar los Servicios de conectividad de canales de comunicación, dedicados e Internet y servicios complementarios para la Secretaría Distrital de Hacienda y Concejo de Bogotá.</t>
  </si>
  <si>
    <t xml:space="preserve">Pagos mensuales vencidos durante la vigencia del contrato,  correspondiente al servicio mensual prestado y recibido a satisfacción por el supervisor del contrato.
2. Un solo pago correspondiente a los servicios de actualización y soporte para el administrador de ancho de banda una vez se haga entrega del soporte de mantenimiento suscrito con el fabricante por valor de $39.900.000 incluido IVA.
3. El valor destinado como Bolsa de Servicios, se pagará por demanda, de acuerdo a los requerimientos de nuevos servicios solicitados durante el mes que se causen.
</t>
  </si>
  <si>
    <t>Canales de comunicación</t>
  </si>
  <si>
    <t>Paula Marcela Castro Rendón</t>
  </si>
  <si>
    <t>Jaime Alexander Camargo Sánchesz / representante legal de INTEC LTDA</t>
  </si>
  <si>
    <t>140342-0-2014</t>
  </si>
  <si>
    <t>EDITORES CONARTE SAS</t>
  </si>
  <si>
    <t>Prestar el servicio de empaste y/o encuadernación de documentos del Concejo de Bogotá D.C.</t>
  </si>
  <si>
    <t>140344-0-2014</t>
  </si>
  <si>
    <t>GUSTAVO ADOLFO BARRETO CASANOVA</t>
  </si>
  <si>
    <t>Prestar los servicios profesionales para apoyar en el desarrollo e implementación de la ERP del Sistema Hacendario SiCapital en el Concejo de Bogotá, bajo versión en Oracle IDS 10G.</t>
  </si>
  <si>
    <t>Sistema de gestión de calidad</t>
  </si>
  <si>
    <t>140315-0-2014</t>
  </si>
  <si>
    <t>PROSEGUR TECNOLOGÍA S.A.S.</t>
  </si>
  <si>
    <t>Por entrega</t>
  </si>
  <si>
    <t>140334-0-2014</t>
  </si>
  <si>
    <t>Suscripción al diário  La República, para el Concejo de Bogotá D.C.</t>
  </si>
  <si>
    <t>140310-0-2014</t>
  </si>
  <si>
    <t>TECOLSOF SAS</t>
  </si>
  <si>
    <t>Prestar el servicio para la gestión integral de servcios de mesa de ayuda, soporte informático, mantenimiento preventivo ycorrectivo de la infraestructura tecnológica con suministro de repuestos para el Concejo de Bogotá D.C., de conformidad con lo establecido en el presente pliego de condiciones del Proceso SDH-SAMC-03-2014.</t>
  </si>
  <si>
    <t>140313-0-2014</t>
  </si>
  <si>
    <t>M@ICROTEL LTDA</t>
  </si>
  <si>
    <t>Adquisición y mantenimiento del sistema WI - FI del Concejo de Bogotá.</t>
  </si>
  <si>
    <t>Wi-fi</t>
  </si>
  <si>
    <t>Cortinas</t>
  </si>
  <si>
    <t>140345-0-2014</t>
  </si>
  <si>
    <t>Prestar los servicios profesionales para apoyar en el desarrollo e implementación de los sistemas de información requeridos en la organización construidos bajo la Plataforma ORACLE, en el Concejo de Bogotá D.C.</t>
  </si>
  <si>
    <t>140332-0-2014</t>
  </si>
  <si>
    <t>CARLOS ALBERTO CASTELLANOS MEDINA</t>
  </si>
  <si>
    <t>Contratar la actualización, licenciamiento, configuración, soporte, mantenimiento y puesta en operación del software de gestión documental - Winisis, usado actualmente por el Concejo de Bogotá.</t>
  </si>
  <si>
    <t>Software de gestión documental - Winisis</t>
  </si>
  <si>
    <t>Fecha</t>
  </si>
  <si>
    <t>Realizar el mantenimiento correctivo y preventivo para las máquinas: Impresora Litográfica MULTILITIH modelo 1250, Compaginadora DUPLO DC 10, Guillotina y Cizalla manual; ubicadas en la oficina de Anales y Publicaciones del Concejo de Bogotá, Calle 36 No. 28 a-41 Bogotá D.C., de conformidad con lo establecido en la invitación pública.</t>
  </si>
  <si>
    <t>Expedición de pólizas de seguros EL CONCEJO DE BOGOTA que conforman el Grupo No 4 "SEGUROS DE VIDA CONCEJALES", del pliego de condiciones de la Licitación Pública No. SDH-LP-001-2012 y la propuesta por el contratista el POSITIVA COMPAÑÍA DE SEGUROS S.A.</t>
  </si>
  <si>
    <t>107 días calendario</t>
  </si>
  <si>
    <t>Realizar la ejecución de actividades de capacitación para el Concejo de Bogotá, D.C., correspondientes al Grupo 8: Ejes temáticos : Comunicación Organizacional y Calidad de Vida Laboral para los grupos de apoyo normativo, de la Licitación Pública SDH-LP-002-2012, de conformidad con lo establecido en el pliego de condiciones, el Anexo técnico y la propuesta</t>
  </si>
  <si>
    <t>Prestar el servicio integral de vigilancia y seguridad privada para la permanente y adecuada protección de las personas (funcionarios, visitantes, contribuyentes), los bienes muebles e inmuebles de propiedad de la entidad contratante, así como de aquellos por los que les correspondiere velar en virtud de disposición legal, contractual o convencional, para el Concejo de Bogotá D.C., de conformidad con lo establecido en el pliego de condiciones del proceso de selección SDH-LP-003-2012, sus anexos y la propuesta presentada.</t>
  </si>
  <si>
    <t>Suministrar elementos de promoción institucional y actos protocolarios del Concejo de Bogotá D.C., de acuerdo a las especificaciones técnicas y en las cantidades solicitadas, de conformidad con lo establecido en la Invitación Pública No. SDH-SMINC-046-2012</t>
  </si>
  <si>
    <t>Contratar los servicios de mantenimiento, soporte técnico especializado, administración, seguridad y comunicaciones de las plataformas Oracle y Microsoft del Concejo de Bogotá, de conformidad con lo establecido en el pliego de condiciones y los anexos del proceso de selección abreviada de menor cuantía N° SDH-SAMC-016-2012</t>
  </si>
  <si>
    <t>7 meses</t>
  </si>
  <si>
    <t>Rosa Barbosa</t>
  </si>
  <si>
    <t>José Antonio Daza</t>
  </si>
  <si>
    <t>Lina Xiomara González</t>
  </si>
  <si>
    <t>Lúbar Chaparro</t>
  </si>
  <si>
    <t>Alarmas</t>
  </si>
  <si>
    <t>Ana María Bernal</t>
  </si>
  <si>
    <t>Henry Rivera</t>
  </si>
  <si>
    <t>Martha Lucia Munevar</t>
  </si>
  <si>
    <t>Walter Malagón</t>
  </si>
  <si>
    <t>Martha Cecilia Valencia</t>
  </si>
  <si>
    <t xml:space="preserve">Martha Valencia </t>
  </si>
  <si>
    <t>Cristian David Pardo</t>
  </si>
  <si>
    <t>Suministro de tóner</t>
  </si>
  <si>
    <t>América Tarazona</t>
  </si>
  <si>
    <t>Dora Luz Giraldo</t>
  </si>
  <si>
    <t>MATILDE NIETO CONTRERAS (Cesionaria) / antes ELIS ALEXANDER MORENO SALAMANCA</t>
  </si>
  <si>
    <t>Fecha última certificación</t>
  </si>
  <si>
    <t>Se realizará un pago por cada visita de mantenimiento preventivo y/o correctivo efectuadas de acuerdo con la programación que establezca con el supervisor.</t>
  </si>
  <si>
    <t>Los mantenimientos preventivos se cancelarán bimestralmente de acuerdo con los servicios efectivamente prestados conforme con el cronograma establecido. El mantenimiento correctivo y el suministro de repuestos se cancelarán de acuerdo a la demanda durante en el respectivo periodo, manteniendo los precios unitarios ofrecidos en la propuesta.</t>
  </si>
  <si>
    <t>Se efectuará un pago por cada una de las visitas de mantenimiento preventivo efectuadas. Los repuestos se cancelarán de acuerdo a la demanda requerida en el respectivo periodo, manteniendo los precios unitarios ofrecidos en la propuesta.</t>
  </si>
  <si>
    <t>Los mantenimientos correctivos y el suministro de repuestos se cancelarán mensualmente de acuerdo con los servicios efectivamente prestados.</t>
  </si>
  <si>
    <t>El servicio será cancelado una vez realizada la auditoría de seguimiento, previa presentación de la factura correspondiente y aprobación de la misma por parte del supervisor del contrato, acompañada de la correspondiente Certificación de cumplimiento a satisfacción expedidas por el mismo, en las cuales conste el valor a pagar por el contratista  Los pagos se efectuarán dentro de los diez (10) días hábiles siguientes a la radicación en la Subdirección Financiera  de la certificación de cumplimiento a satisfacción del objeto y obligaciones expedida por el supervisor del contrato, acompañada de los recibos de pago por concepto de aportes al Sistema de Seguridad Social Integral salud y pensión y Riesgos Laborales.</t>
  </si>
  <si>
    <t>La Secretaría Distrital de Hacienda pagará el valor facturado correspondiente de la siguiente manera:  El 90% del valor del contrato se cancelará mediante ocho (8) pagos mensuales iguales, previa presentación de las facturas respectivas y aprobación de las mismas y la certificación de cumplimiento expedida por el supervisor  del contrato.</t>
  </si>
  <si>
    <t xml:space="preserve">Los pagos se efectuarán dentro de los sesenta (60) días calendario siguientes al recibo del original de la póliza adjudicada, previa revisión del intermediario de seguros y aprobación del Supervisor del contrato, la cual debe ser radicada en la Subdirección Financiera, acompañadas de las respectivas certificaciones de cumplimiento a satisfacción del objeto y obligaciones, expedida por el supervisor del contrato y de los respectivos recibos de pago por concepto de aportes al Sistema de Seguridad Social </t>
  </si>
  <si>
    <t>Se realizará un (1) pago para el servicio de mantenimiento preventivo correspondientes a la visita de mantenimiento con el contratista durante el plazo de ejecución del contrato, según el cronograma definido por la Secretaría Distrital de Hacienda, previa entrega del informe de las actividades realizadas en el mismo.</t>
  </si>
  <si>
    <t>La Secretaría de Hacienda realizará un pago a la entrega de los productos objeto del contrato, previa certificación de recibo a satisfacción por parte del Supervisor del contrato</t>
  </si>
  <si>
    <t xml:space="preserve">Se efectuará un pago por cada una de las visitas correspondientes al servicio objeto del contrato, de conformidad con los servicios efectivamente prestados y cajas porta-cebos suministradas.
</t>
  </si>
  <si>
    <t>Un pago a la entrega a satisfacción de los 60 Directorios.</t>
  </si>
  <si>
    <t>La Secretaría Distrital de Hacienda efectuará dos (2) pagos mensuales vencidos correspondientes a la gestión del servicio integral de impresión la cual incluirá el valor correspondiente Al cupo mensual de impresiones establecido por la Secretaría Distrital de Hacienda y el Concejo de Bogotá, más el valor de las impresiones adicionales (fuera del rango base establecido por la Secretaría y el Concejo de Bogotá) en el mismo periodo.</t>
  </si>
  <si>
    <t xml:space="preserve">Los pagos se realizarán cada dos (2) meses de acuerdo a los servicios efectivamente prestados por concepto de mantenimiento preventivo y correctivo. Los insumos se cancelarán de acuerdo a la demanda requerida en el respectivo periodo, manteniendo los precios ofrecidos en la propuesta, previa presentación del informe de los servicios prestados por parte del contratista y certificación de cumplimiento y recibo a satisfacción del servicio, expedida por el supervisor del contrato en la cual se indique el valor a pagar al contratista.
</t>
  </si>
  <si>
    <t xml:space="preserve">Cuatro (4) pagos así: 
a. Un primer pago equivalente al 40% del valor del contrato, a la entrega del plan de trabajo que incluya las etapas de planeación, preparación y presentación de contenidos, propuestas de las jornadas de capacitación y evaluación y de acuerdo con la concertación de los contenido temáticos, así como los diseños metodológicos de la capacitación, los cuales deberán estar acompañados del informe ejecutivo y avalado por el supervisor del contrato. 
b. Un segundo pago equivalente al 25% del valor del contrato, previa presentación de los contenidos, resultados preliminares de las evaluaciones de entrada realizadas a los funcionarios, y el desarrollo del 30% de ejecución de los programas de capacitación, así como la entrega del informe de avance donde se evidencia la ejecución de las actividades antes mencionadas, aprobado por el supervisor del contrato.
c. Un tercer pago equivalente al 25% del valor del contrato, al desarrollo del 70% de ejecución de los programas de capacitación, así como la entrega del informe de avance donde se evidencia la ejecución de las actividades antes mencionadas, aprobadas por el supervisor del contrato.
d. Un cuarto y último pago equivalente al 10 % del valor del contrato, informe final de actividades que resuma el cumplimiento del objeto, los productos y obligaciones pactadas en su totalidad, y recibido a satisfacción por parte del supervisor.
</t>
  </si>
  <si>
    <t xml:space="preserve">Se realizarán pagos parciales, cuyo valor corresponderá al valor unitario establecido en la propuesta final, por el número de equipos entregados por el contratista a la Secretaría Distrital de Hacienda y al Concejo de Bogotá. </t>
  </si>
  <si>
    <t xml:space="preserve">Un primer pago correspondiente al 100% del valor adjudicado según oferta presentada sobre las plantas purificadoras (ítem 1) instaladas y puestas en funcionamiento previa certificación de cumplimiento expedida por el supervisor del contrato.
El valor de los mantenimientos preventivos (ítem 2) se pagará teniendo en cuenta el valor adjudicado para el respectivo ítem, una vez se hayan prestado los servicios y cuenten con la respectiva certificación de cumplimiento expedida por el supervisor del contrato
Los elementos e insumos susceptibles a cambio y/o desgaste (ítem 3) se cancelarán de acuerdo a su consumo, teniendo en cuenta la frecuencia de cambio y valores unitarios presentados en la oferta económica, previa certificación de cumplimiento expedida por el supervisor del contrato.
</t>
  </si>
  <si>
    <t xml:space="preserve">1. Un pago por el 80% del valor del contrato al momento de la instalación y puesta en funcionamiento de la iluminación navideña objeto del contrato, previa presentación de certificación de recibo a satisfacción emitida por el Supervisor del contrato.
2. El 20% restante al momento del retiro y desmonte de la iluminación navideña objeto del contrato, previa presentación de certificación de cumplimiento emitida por el Supervisor del contrato.
</t>
  </si>
  <si>
    <t xml:space="preserve">Los pagos se realizarán en forma bimestral, de acuerdo a los suministros efectivamente realizados por el contratista y recibidas a satisfacción, las cuales deben ser certificadas
por el supervisor del contrato.
</t>
  </si>
  <si>
    <t xml:space="preserve">Para todos los servicios de mantenimiento preventivo y correctivo (por demanda):  Se realizarán pagos trimestrales por concepto de la  prestación de los servicios por demanda incluidos los repuestos y/o partes utilizados y/o actividades desarrolladas en el período a facturar.
</t>
  </si>
  <si>
    <t xml:space="preserve">Dos (2) pagos iguales mes vencido, por concepto de servicio de arrendamiento, previa presentación de: a) Factura, donde se especifiquen las cantidades arrendadas.
</t>
  </si>
  <si>
    <t xml:space="preserve">Concejo de Bogotá 1) Un primer pago por el treinta por ciento (30%), al recibo a satisfacción del equipo por parte del supervisor y el ingreso al almacén del Concejo de Bogotá. 2) Un segundo pago por el setenta por ciento (70%), una vez instalado, configurado y puesto en funcionamiento, previo recibo a satisfacción por parte del supervisor del Concejo de Bogotá. </t>
  </si>
  <si>
    <t xml:space="preserve">La Secretaría de Hacienda realizará un pago a la entrega de los productos objeto del contrato, previa certificación de recibo a satisfacción por parte del Supervisor del contrato. </t>
  </si>
  <si>
    <t>La Secretaría Distrital de Hacienda de Bogotá, D.C., efectuará los pagos en pesos colombianos de acuerdo con lo establecido en el numeral 5.4 forma de pago del pliego de condiciones.</t>
  </si>
  <si>
    <t>140356-0-2014</t>
  </si>
  <si>
    <t>S.O.S. SOLUCIONES DE OFICINA &amp; SUMINISTROS S.A.S.</t>
  </si>
  <si>
    <t>Suministrar cajas para el embalaje de los documentos de archivo del Concejo de Bogotá D.C., de conformidad con lo establecido en la invitación pública.</t>
  </si>
  <si>
    <t>Pagos mensuales corrrespondientes a las entregas realizadas en el respectivo periodo.</t>
  </si>
  <si>
    <t>Cajas de embalaje para archivo</t>
  </si>
  <si>
    <t>140351-0-2014</t>
  </si>
  <si>
    <t>Prestar los servicios integrales para desarrollar actividades contenidas en el Plan de Bienestar e Incentivos del Concejo de Bogotá. Según invitación pública N° SDH-LP-01-2014</t>
  </si>
  <si>
    <t>Plan de bienestar e incentivos</t>
  </si>
  <si>
    <t>Por producto</t>
  </si>
  <si>
    <t>PROCESOS</t>
  </si>
  <si>
    <t>Gestión direccionamiento estratégico</t>
  </si>
  <si>
    <t>Comunicaciones e información</t>
  </si>
  <si>
    <t>Gestión mejora continua del SIG</t>
  </si>
  <si>
    <t>Gestión normativa</t>
  </si>
  <si>
    <t>Elección servidores públicos distritales</t>
  </si>
  <si>
    <t>Control político</t>
  </si>
  <si>
    <t>Talento humano</t>
  </si>
  <si>
    <t>Atención al ciudadano</t>
  </si>
  <si>
    <t>Gestión jurídica</t>
  </si>
  <si>
    <t>Anales publicaciones y relatoría</t>
  </si>
  <si>
    <t>Sistemas y seguridad de la información</t>
  </si>
  <si>
    <t>Gestión documental</t>
  </si>
  <si>
    <t>Evaluación independiente</t>
  </si>
  <si>
    <t>Gestión recursos físicos</t>
  </si>
  <si>
    <t>Catalina Rosero</t>
  </si>
  <si>
    <t>Contratar el mantenimiento integral locativo con el suministro de personal, equipo y repuestos en las instalaciones físicas del Concejo de Bogotá, de conformidad con lo establecido en el pliego de condiciones del proceso SDH-SAMC-004-2013.</t>
  </si>
  <si>
    <t>Adquirir a titulo de compraventa los elementos descritos en el ítem 1 de la invitación publica SDH-SMINC-44-2013, que tiene por objeto "Adquirir a titulo de Compraventa por el sistema de precios unitarios mobiliario y equipos de oficina consistentes en sillas y elementos ergonómicos, para adecuar los puestos de trabajo de los servidores públicos del Concejo de Bogotá D.C."</t>
  </si>
  <si>
    <t>Prestar el servicio de alquiler, instalación y desmonte de la decoración navideña para la sede principal del Concejo de Bogotá D.C., de conformidad con los establecidos en la invitación publica SDH-SMINC-58-2013.</t>
  </si>
  <si>
    <t>Prórrogas</t>
  </si>
  <si>
    <t>Estado Actual</t>
  </si>
  <si>
    <t>Prestar servicio de mantenimiento preventivo y correctivo con suministro de repuestos del sistema de alarmas de emergencias y botones de pánico ubicados en la sedes del  Concejo de Bogotá D.C., de conformidad con lo establecido en la invitación pública del proceso SDH-SMINC-06-2014</t>
  </si>
  <si>
    <t>Acción</t>
  </si>
  <si>
    <t>SI / NO</t>
  </si>
  <si>
    <t>% Tiempo de prórroga</t>
  </si>
  <si>
    <t>% Valor adiciones</t>
  </si>
  <si>
    <t>Tablero de Control</t>
  </si>
  <si>
    <t>#N/A</t>
  </si>
  <si>
    <t>En ejecución 2013</t>
  </si>
  <si>
    <t>En ejecución 2012</t>
  </si>
  <si>
    <t>Número de contratos en ejecución por mes año 2014</t>
  </si>
  <si>
    <t>Número de contratos en ejecución por mes año 2012</t>
  </si>
  <si>
    <t>Número de contratos en ejecución por mes año 2013</t>
  </si>
  <si>
    <t>Suministrar elementos de promoción institucional y actos protocolarios del Concejo de Bogotá D.C., de acuerdo con las especificaciones técnicas y en las cantidades solicitadas de conformidad con lo establecido en la presente Invitación Pública.</t>
  </si>
  <si>
    <t>Recolección residuos sólidos</t>
  </si>
  <si>
    <t>Gestión integral sistemas / Mesa de ayuda</t>
  </si>
  <si>
    <t>Control de contenidos</t>
  </si>
  <si>
    <t>Mantenimiento equipos de aseo</t>
  </si>
  <si>
    <t>Uniformes y elementos deportivos</t>
  </si>
  <si>
    <t>Software antivirus</t>
  </si>
  <si>
    <t>Mantenimiento impresoras</t>
  </si>
  <si>
    <t>Revista</t>
  </si>
  <si>
    <t>Medios tecnológicos para seguridad</t>
  </si>
  <si>
    <t>Software de contabilidad</t>
  </si>
  <si>
    <t>Linda</t>
  </si>
  <si>
    <t>Saúl Martínez</t>
  </si>
  <si>
    <t>140367-0-2014</t>
  </si>
  <si>
    <t>Ejecutar actividades del plan institucional de capacitación del Concejo de Bogotá D.C. Grupo No. 3, de conformidad con lo establecido en el pliego de condiciones de la Licitación Pública No. SDH-LP-02-2014 y la propuesta presentada por el contratista.</t>
  </si>
  <si>
    <t>Mensual, de acuerdo a la ejecución realizada durante el respectivo periodo.</t>
  </si>
  <si>
    <t>140358-0-2014</t>
  </si>
  <si>
    <t>Quincenal</t>
  </si>
  <si>
    <t>3 meses y 20 días</t>
  </si>
  <si>
    <t>Área de orígen</t>
  </si>
  <si>
    <t>140372-0-2014</t>
  </si>
  <si>
    <t>CAJA COLOMBIANA DE SUBSIDIO FAMILIAR – COLSUBSIDIO</t>
  </si>
  <si>
    <t>Adquirir a título de Compraventa Bonos para el Concejo de Bogotá, D.C., de conformidad con lo establecido en el pliego de condiciones del proceso de Selección Abreviada de Menor Cuantía No. SDH-SAMC-10-2014 y la propuesta presentada por el contratista.</t>
  </si>
  <si>
    <t>Bonos navideños</t>
  </si>
  <si>
    <t>140370-0-2014</t>
  </si>
  <si>
    <t>Servicio de alquiler, instalación y desmonte de la decoración navideña para la sede principal del Concejo de Bogotá D.C. según invitación pública N° SDH-SMINC-65-2014</t>
  </si>
  <si>
    <t>Cumplimiento - dos pagos</t>
  </si>
  <si>
    <t>Iluminación navideña</t>
  </si>
  <si>
    <t>UPS</t>
  </si>
  <si>
    <t>Giro 18</t>
  </si>
  <si>
    <t>140382-0-2014</t>
  </si>
  <si>
    <t>VIGILANCIA ACOSTA LIMITADA</t>
  </si>
  <si>
    <t>Prestación del servicio de vigilancia y seguridad privada en las instalaciones del Concejo de Bogotá D.C., con el fin de asegurar la protección y custodia de las personas y bienes muebles e inmuebles de propiedad de la entidad y de los que legalmente sea o llegare a ser responsable por disposición legal, contractual o convencional.</t>
  </si>
  <si>
    <t>140385-0-2014</t>
  </si>
  <si>
    <t>Contar con el suministro de papelería y útiles de escritorio para el Concejo de Bogotá D.C., según lo registra el Plan Anual de Adquisiciones de esta vigencia. La justificación del suministro de los bienes se encuenta contenido en el documento de los estudios previos que se anexa a la presente solicitud.</t>
  </si>
  <si>
    <t>Previa entrega de productos</t>
  </si>
  <si>
    <t>140377-0-2014</t>
  </si>
  <si>
    <t>Adquisición de dispositivos de hardware y software (tipo appliance) en tecnología UTM para controlar y administrar la seguridad perimetral y las aplicaciones Web del Concejo de Bogotá, D.C., de conformidad con lo establecido en el pliego de condiciones del proceso de Subasta Inversa Electrónica No. SDH-SIE-21-2014 y la propuesta presentada por el contratista.</t>
  </si>
  <si>
    <t>Adquisición de dispositivos</t>
  </si>
  <si>
    <t>Adquisición de dispositivos - pantallas touch</t>
  </si>
  <si>
    <t>140387-0-2014</t>
  </si>
  <si>
    <t>SERVIMETERS SA</t>
  </si>
  <si>
    <t>Prestar el servicio de inspección general de los sistemas de transporte vertical (ascensores) existentes en el edificio de la sede principal del Concejo de Bogotá D.C.</t>
  </si>
  <si>
    <t>Inspección ascensores</t>
  </si>
  <si>
    <t>Entrega a satisfacción del servicio prestado</t>
  </si>
  <si>
    <t>Gerardo Bermúdez</t>
  </si>
  <si>
    <t>Saúl Martínez y Martha González</t>
  </si>
  <si>
    <t>Esquemas de seguridad</t>
  </si>
  <si>
    <t>Carlos Alberto Muñoz</t>
  </si>
  <si>
    <t>Edward Moreno</t>
  </si>
  <si>
    <t>Archivos - mantenimiento</t>
  </si>
  <si>
    <t>SOAT</t>
  </si>
  <si>
    <t>Pólizas de seguros</t>
  </si>
  <si>
    <t>LORENZA SANTOS BARBOSA (Cesionaria) - Antes VICTOR MANUEL ARMELLA VELASQUEZ</t>
  </si>
  <si>
    <t>WIESNER FABIÁN ROBAYO SALCEDO</t>
  </si>
  <si>
    <t>140396-0-2014</t>
  </si>
  <si>
    <t>KAWAK SAS</t>
  </si>
  <si>
    <t>Adquisición e implementación de Software para la Administración y Gestión del Sistema Integrado de Gestión SIG para el Concejo de Bogotá D.C., según invitación pública N° SDH-SAMC-013-2014.</t>
  </si>
  <si>
    <t>Sistema Integrado de Gestión</t>
  </si>
  <si>
    <t>140422-0-2014</t>
  </si>
  <si>
    <t>ICETEX</t>
  </si>
  <si>
    <t>El objeto del presente Convenio es la constitución de un FONDO en Administración denominado "FONDO CUENTA CONCEJO DE BOGOTÁ D.C., SECRETARÍA DISTRITAL DE HACIENDA - ICETEX", con los recursos entregados por EL CONSTITUYENTE a EL ICETEX, quien actuará como administrador y mandatario, con el fin de financiar programas de educación formal, para los empleados de Carrera Administrativa y Libre Nombramiento y Remoción del CONCEJO DE BOGOTÁ.</t>
  </si>
  <si>
    <t>El valor inicial del Fondo será consignado por el CONSTITUYENTE una vez perfeccionado el presente convenio, en las cuentas que el ICETEX tiene establecidas para el manejo de los Fondos  en Administración, en un término no mayor a treinta (30) días calendario.</t>
  </si>
  <si>
    <t>Educación formal funcionarios</t>
  </si>
  <si>
    <t>140392-0-2014</t>
  </si>
  <si>
    <t>Llevar a cabo la actualización del sistema de planta telefónica con la que cuenta actualmente el Concejo de Bogotá.</t>
  </si>
  <si>
    <t>De acuerdo a los servicios recibidos.</t>
  </si>
  <si>
    <t>Planta telefónica</t>
  </si>
  <si>
    <t>140418-0-2014</t>
  </si>
  <si>
    <t>CENTURY MEDIA SAS</t>
  </si>
  <si>
    <t>Prestar el servicio de diseño, producción y ejecución de estrategias de divulgación en medios de comunicación de carácter masivo, alternativo y comunitario para el Concejo de Bogotá.</t>
  </si>
  <si>
    <t>Plan de medios</t>
  </si>
  <si>
    <t>Año Suscripción</t>
  </si>
  <si>
    <t>4 meses y 10 días</t>
  </si>
  <si>
    <t>JOHN KENNEDY LEON CASTIBLANCO</t>
  </si>
  <si>
    <t>150028-0-2015</t>
  </si>
  <si>
    <t>140369-0-2014</t>
  </si>
  <si>
    <t>INSTITUTO COLOMBIANO DE NORMAS TÉCNICAS Y CERTIFICACIÓN ICONTEC</t>
  </si>
  <si>
    <t>Ejecutar actividades del plan institucional de capacitación del Concejo de Bogotá D.C. Grupo No. 4, de conformidad con lo establecido en el pliego de condiciones de la Licitación Pública No. SDH-LP-02-2014 y la propuesta presentada por el contratista.</t>
  </si>
  <si>
    <t>140390-02014</t>
  </si>
  <si>
    <t>UNIÓN TEMPORAL SICVEL HACIENDA 2014</t>
  </si>
  <si>
    <t>Contratar la adquisión de video beam para el Concejo de Bogotá D.C. de conformidad con lo establecido en el pliego de condiciones del proceso de Subasta Inversa Electrónica N° SDH-SIE-25-2014 y la propuesta presentada por el contratista.</t>
  </si>
  <si>
    <t>150035-0-2015</t>
  </si>
  <si>
    <t>Prestar servicios profesionales para acompañar al Concejo de Bogotá D.C., en la revisión y estudio de las historias laborales de los funcionarios para la definición técnica y jurídica del cumplimiento de requisitos en los diferentes regímenes de pensión.</t>
  </si>
  <si>
    <t>Vídeo beam</t>
  </si>
  <si>
    <t>140381-0-2014</t>
  </si>
  <si>
    <t>Entrega en comodato al Instituto de Patrimonio Cultural de 46 obras de la colección pictórica y 1 escultura, de propiedad del Concejo de Bogotá, D.C. a través de la Secretaría Distrital de Hacienda.</t>
  </si>
  <si>
    <t>Comodato Obras pictóricas</t>
  </si>
  <si>
    <t>Subdirector de Divulgación de los valores del Patrimonio Cultural y Director Financiero del Concejo de Bogotá</t>
  </si>
  <si>
    <t>150049-0-2015</t>
  </si>
  <si>
    <t>Prestar los servicios profesionales para acompañar la definición, contratación y seguimiento de los temas de infraestructura física que requiera el Concejo de Bogotá, D.C.</t>
  </si>
  <si>
    <t>150053-0-2015</t>
  </si>
  <si>
    <t>Prestar los servicios profesionales par acompañar la definición de especificaciones y condiciones técnicas para la definición de especificaciones y condiciones técnicas para la adquisición de bienes y servicios, relacionadas con tecnología e informática.</t>
  </si>
  <si>
    <t>150067-0-2015</t>
  </si>
  <si>
    <t>Prestar los servicios profesionales para elaborar las especificaciones técnicas y condiciones técnicas de los procesos para la adquisición de bienes y servicios y apoyar la función de supervisión de los contratos.</t>
  </si>
  <si>
    <t>Apoyar en la supervisión de los contratos que le sean asignados al Concejo de Bogotá, implementando mecanismos que le permitan contribuir efectivamente al seguimiento técnico administrativo, financiero, contable y jurídico sobre el cumplimiento de cada contrato.</t>
  </si>
  <si>
    <t>150080-0-2015</t>
  </si>
  <si>
    <t>150081-0-2015</t>
  </si>
  <si>
    <t>Prestar los servicios profesionales para sistematizar y consolidar la información de los trámites contractuales a cargo del proceso administrativo y financiero del Concejo de Bogotá, D.C.</t>
  </si>
  <si>
    <t>Prestar servicios profesionales para apoyar al Concejo de Bogotá en el enlace con la Unidad Ejecutora 04 de la Secretaría Distrital de Hacienda para la liquidación y cierre de los expedientes contractuales.</t>
  </si>
  <si>
    <t>5 meses y 15 días</t>
  </si>
  <si>
    <t>12 días</t>
  </si>
  <si>
    <t>5 meses y 27 días</t>
  </si>
  <si>
    <t>3 meses y 21 días</t>
  </si>
  <si>
    <t>Días sin liquidar</t>
  </si>
  <si>
    <t>JUDITH HERNÁNDEZ VILLALBA</t>
  </si>
  <si>
    <t>150076-0-2015</t>
  </si>
  <si>
    <t>MUDANZAS EL NOGAL SAS</t>
  </si>
  <si>
    <t>Javier Andrés Vidal</t>
  </si>
  <si>
    <t>Luisa Fernanda Gutiérrez</t>
  </si>
  <si>
    <t>Judith Hernández</t>
  </si>
  <si>
    <t>Llevar a cabo la actualización de hardware y software para el sistema de voto electrónico del Concejo de Bogotá.</t>
  </si>
  <si>
    <t>Voto electrónico</t>
  </si>
  <si>
    <t>Días restantes en ejecución</t>
  </si>
  <si>
    <t>Prestar servicios profesionales para la actualización, administración, publicación y salvaguarda de la información publicada en la pagina WEB oficial del Concejo de Bogotá D. C.</t>
  </si>
  <si>
    <t>150083-0-2015</t>
  </si>
  <si>
    <t>DIANA MARCELA REYES</t>
  </si>
  <si>
    <t>Prestar servicios profesionales para acompañar la Oficina de Comunicaciones del Concejo de Bogotá en la implementación de estrategias comunicativas.</t>
  </si>
  <si>
    <t>150097-0-2015</t>
  </si>
  <si>
    <t>150100-0-2015</t>
  </si>
  <si>
    <t>150101-0-2015</t>
  </si>
  <si>
    <t>GLORIA CATALINA ROSERO TOLEDO</t>
  </si>
  <si>
    <t>Prestar los servicios profesionales para la consolidación y actualización de la estrategia de la depuración normativa del Concejo de Bogotá D.C.</t>
  </si>
  <si>
    <t>150102-0-2015</t>
  </si>
  <si>
    <t>LINA MARÍA GONZÁLEZ RUIZ</t>
  </si>
  <si>
    <t>150113-0-2015</t>
  </si>
  <si>
    <t>JARGU S.A. CORREDORES DE SEGUROS</t>
  </si>
  <si>
    <t>Prestar los servicios profesionales de intemediación y asesoría en la formulación y manejo de programas de seguros requeridos por la Secretaría Distrital de Hacienda y el Concejo de Bogotá D.C. de conformidad con lo establecido en el presente pliego de condiciones y la propuesta presentada por el contratista.</t>
  </si>
  <si>
    <t>Programas de seguros</t>
  </si>
  <si>
    <t>Subdirector(a) administrativo(a) - SDH y Asesor(a) Fondo Cuenta- Concejo de Bogotá, D.C.</t>
  </si>
  <si>
    <t>41 días</t>
  </si>
  <si>
    <t>150124-0-2015</t>
  </si>
  <si>
    <t>Adquirir a título de compra ejemplares del Directorio de Despachos Públicos de Colombia 2015, para el Concejo de Bogotá D.C.</t>
  </si>
  <si>
    <t>150123-0-2015</t>
  </si>
  <si>
    <t xml:space="preserve">1 mes   </t>
  </si>
  <si>
    <t>RIGOBERTO GÓMEZ JAIMES</t>
  </si>
  <si>
    <t>Proporción tiempo sin liquidar</t>
  </si>
  <si>
    <t>150128-0-2015</t>
  </si>
  <si>
    <t>PASSWORD CONSULTING SERVICES S.A.S.</t>
  </si>
  <si>
    <t>Realizar el Diagnóstico, diseño e implementación del Subsistema de Gestión de Seguridad de la Información - SGSI- bajo el entándar NTC-ISO-IEC 27001: 2013 para el Concejo de Bogotá D.C., de conformidad con lo establecido en el pliego de condiciones y la propuesta presentada por el contratista.</t>
  </si>
  <si>
    <t>Pagos parciales, 100% de cada fase</t>
  </si>
  <si>
    <t>Subsistema de Gestión de Seguridad de la Información</t>
  </si>
  <si>
    <t>150104-0-2015</t>
  </si>
  <si>
    <t>Prestar los servicios de conectividad de canales de comunicación dedicados e Internet y servicios complementarios para el Concejo de Bogotá de confirmidad con lo establecido en los Estudios Previos y Anexo 1 Ficha Técnica.</t>
  </si>
  <si>
    <t xml:space="preserve">Pagos mensuales vencidos  </t>
  </si>
  <si>
    <t>Conectividad</t>
  </si>
  <si>
    <t>Lina María González</t>
  </si>
  <si>
    <t>150073-0-2015</t>
  </si>
  <si>
    <t>Prestar servicios profesionales para apoyar el proceso de sistemas y seguridad informática del Concejo de Bogotá con especial énfasis en la identificación y mitigación de riesgos.</t>
  </si>
  <si>
    <t>150129-0-2015</t>
  </si>
  <si>
    <t>DIEGO ALEJANDRO RUBIO RAMOS</t>
  </si>
  <si>
    <t>Prestar el servicio de mantenimiento preventivo y correctivo con suministro de repuestos de la puerta eléctrica y talanqueras de acceso vehicular al Concejo de Bogotá D.C.</t>
  </si>
  <si>
    <t>Un pago por cada visita, y los repuestos de acuerdo a la demanda requerida</t>
  </si>
  <si>
    <t>13 dias</t>
  </si>
  <si>
    <t>150192-0-2015</t>
  </si>
  <si>
    <t>Arrendamiento de un inmueble para uso de parqueadero, por parte del Concejo de Bogotá D.C., de acuerdo con lo establecido en el documento de estudios previos y la propuesta presentada por el contratista.</t>
  </si>
  <si>
    <t>Mensualidades anticipadas</t>
  </si>
  <si>
    <t>Director Financiero</t>
  </si>
  <si>
    <t>Prestar servicios profesionales al Concejo de Bogotá D.C. para la realización de actividades de identificación, clasificación, depuración organización y actualización de la normativa de los acuerdos distritales en segunda y tercera fases.</t>
  </si>
  <si>
    <t>150152-0-2015</t>
  </si>
  <si>
    <t>REPRESENTACIONES E INVERSIONES AGUAFILTERS J F LTDA</t>
  </si>
  <si>
    <t>830143510-1</t>
  </si>
  <si>
    <t>Realizar el mantenimiento preventivo y correctivo de las plantas purificadoras de agua del Concejo de Bogotá, D.C.</t>
  </si>
  <si>
    <t>Pagos trimestrales a los servicios prestados</t>
  </si>
  <si>
    <t>150168-0-2015</t>
  </si>
  <si>
    <t>MONRAK INGENIERIA LIMITADA</t>
  </si>
  <si>
    <t>800140671-4</t>
  </si>
  <si>
    <t>Prestar el servicio de mantenimiento preventivo y correctivo para las máquinas: Impresora Litográfica MULTILITH modelo 1250, Compaginadora DUPLO DC 10, Guillotina y Cizalla manual, ubicadas en la oficina de Anales y Publicaciones del Concejo de Bogotá D.C</t>
  </si>
  <si>
    <t>Pagos bimestrales sobre las visitas de mantenimiento preventivo y/o correctivo</t>
  </si>
  <si>
    <t>150141-0-2015</t>
  </si>
  <si>
    <t>Prestar el servicio de mantenimiento correctivo incluyendo suministro de repuestos y/o elementos nuevos que requieran las sillas existentes en el Concejo de Bogotá, D.C.</t>
  </si>
  <si>
    <t>Pagos mensuales con los servicios efectivamente pretados.</t>
  </si>
  <si>
    <t>LILIA FANNY GUEVARA PARRADO</t>
  </si>
  <si>
    <t>5 días</t>
  </si>
  <si>
    <t>3 meses y 5 días</t>
  </si>
  <si>
    <t>150198-0-2015</t>
  </si>
  <si>
    <t>UNIDAD NACIONAL DE PROTECCIÓN UNP</t>
  </si>
  <si>
    <t>Aunar esfuerzos humanos, técnicos, logísticos y administrativos para garantizar el esquema de seguridad requerido por los Concejales del Distrito Capital, que se encuentran en situación de riesgo extraordinario o extremo, como consecuencia directa del ejercicio de sus funciones.</t>
  </si>
  <si>
    <t>150191-0-2015</t>
  </si>
  <si>
    <t>Contratar el servicio de mantenimiento preventivo y correctivo con suministro de repuestos del parque automotor marca Chevrolet de propiedad del Concejo de Bogotá, de conformidad con lo establecido en la presente invitación pública.</t>
  </si>
  <si>
    <t>Mensuales vencidas de acuerdo a los servicios y repuestos efectivamente prestados y suministrados.</t>
  </si>
  <si>
    <t>FUNCIONAMIENTO</t>
  </si>
  <si>
    <t>3-1-1-02-03-01 Honorarios Entidad</t>
  </si>
  <si>
    <t>3-1-1-02-03-02 Honorarios Concejales</t>
  </si>
  <si>
    <t>3-1-1-02-04 Remuneración Servicios Técnicos</t>
  </si>
  <si>
    <t>GASTOS GENERALES</t>
  </si>
  <si>
    <t>3-1-2-01 Adquisición de Bienes</t>
  </si>
  <si>
    <t>3-1-2-01-02 Gastos de Computador</t>
  </si>
  <si>
    <t>3-1-2-01-03 Combustibles, Lubricantes y Llantas</t>
  </si>
  <si>
    <t>3-1-2-01-04 Materiales y Suministros</t>
  </si>
  <si>
    <t>3-1-2-02 Adquisición de Servicios</t>
  </si>
  <si>
    <t>3-1-2-02-03 Gastos de Transporte y Comunicación</t>
  </si>
  <si>
    <t>3-1-2-02-04 Impresos y  Publicaciones</t>
  </si>
  <si>
    <t>3-1-2-02-05 Mantenimiento y Reparaciones</t>
  </si>
  <si>
    <t>3-1-2-02-05-01 Mantenimiento Entidad</t>
  </si>
  <si>
    <t>3-1-2-02-06 Seguros</t>
  </si>
  <si>
    <t>3-1-2-02-06-01 Seguros Entidad</t>
  </si>
  <si>
    <t>3-1-2-02-06-02 Seguros de Vida Concejales</t>
  </si>
  <si>
    <t>3-1-2-02-06-03 Seguros de Salud Concejales</t>
  </si>
  <si>
    <t>3-1-2-02-08 Servicios Públicos</t>
  </si>
  <si>
    <t>3-1-2-02-08-01 Energía</t>
  </si>
  <si>
    <t>3-1-2-02-08-02 Acueducto y Alcantarillado</t>
  </si>
  <si>
    <t>3-1-2-02-08-03 Aseo</t>
  </si>
  <si>
    <t>3-1-2-02-08-04 Teléfono</t>
  </si>
  <si>
    <t>3-1-2-02-09 Capacitación</t>
  </si>
  <si>
    <t>3-1-2-02-09-01 Capacitación Interna</t>
  </si>
  <si>
    <t>3-1-2-02-10 Bienestar e Incentivos</t>
  </si>
  <si>
    <t>3-1-2-02-11 Promoción Institucional</t>
  </si>
  <si>
    <t>3-1-2-02-12 Salud Ocupacional</t>
  </si>
  <si>
    <t>3-1-2-02-13 Programas y Convenios Institucionales</t>
  </si>
  <si>
    <t>3-1-2-02-13-99 Otros Programas y Convenios
Institucionales</t>
  </si>
  <si>
    <t>3-1-2-02-17 Información</t>
  </si>
  <si>
    <t>3-1-2-03 Otros Gastos Generales</t>
  </si>
  <si>
    <t>3-1-2-03-02 Impuestos, Tasas, Contribuciones,
Derechos y Multas</t>
  </si>
  <si>
    <t>INVERSIÓN</t>
  </si>
  <si>
    <t>3-3-1-14 Bogotá Humana</t>
  </si>
  <si>
    <t>3-3-1-14-03 Una Bogotá que defiende y fortalece lo
público</t>
  </si>
  <si>
    <t>3-3-1-14-03-31  Fortalecimiento de la función
administrativa y desarrollo institucional</t>
  </si>
  <si>
    <t>3-3-1-14-03-31-0728-235235 - Fortalecimiento a la gestión institucional del Concejo de Bogotá</t>
  </si>
  <si>
    <t>3-3-1-14-03-31-0728-235 Sistemas de mejoramiento de la gestión</t>
  </si>
  <si>
    <t>3-1-1-02-03 Honorarios</t>
  </si>
  <si>
    <t>3-1-1-02 SERVICIOS PERSONALES INDIRECTOS</t>
  </si>
  <si>
    <t>3-1-1 SERVICIOS PERSONALES</t>
  </si>
  <si>
    <t>3-1 GASTOS DE FUNCIONAMIENTO</t>
  </si>
  <si>
    <t>GASTOS</t>
  </si>
  <si>
    <t>3 GASTOS</t>
  </si>
  <si>
    <t>3-3-1 DIRECTA</t>
  </si>
  <si>
    <t>3-3 INVERSIÓN</t>
  </si>
  <si>
    <t>N°</t>
  </si>
  <si>
    <t>I/F</t>
  </si>
  <si>
    <t>RUBRO PRESUPUESTAL</t>
  </si>
  <si>
    <t>MONTO RUBRO ASIGNADO 2015</t>
  </si>
  <si>
    <t>LÍNEA PAA 2015</t>
  </si>
  <si>
    <t>OBJETO</t>
  </si>
  <si>
    <t>CLASE DE CONTRATO</t>
  </si>
  <si>
    <t>Elaboración Solicitud de Contratación</t>
  </si>
  <si>
    <t>Solicitud Radicada en FC SHD</t>
  </si>
  <si>
    <t>Fecha de Radicación</t>
  </si>
  <si>
    <t>CORDIS de Radicación</t>
  </si>
  <si>
    <t>Fecha de ini_contra_solicitud</t>
  </si>
  <si>
    <t>Solicitud en estudios previos</t>
  </si>
  <si>
    <t>Solicitud en asuntos contractuales</t>
  </si>
  <si>
    <t>N° CONTRATO 2015</t>
  </si>
  <si>
    <t>NOMBRE Y/O RAZÓN SOCIAL</t>
  </si>
  <si>
    <t>VALOR INICIAL</t>
  </si>
  <si>
    <t>FORMA DE PAGO</t>
  </si>
  <si>
    <t>FECHA DE INICIO</t>
  </si>
  <si>
    <t>FECHA DE TERMINACIÓN</t>
  </si>
  <si>
    <t>SALDOS</t>
  </si>
  <si>
    <t>PRESTACION DE SERVICIOS</t>
  </si>
  <si>
    <t>PRESTACION DE SERVICIOS1</t>
  </si>
  <si>
    <t>COMPRAVENTA</t>
  </si>
  <si>
    <t>SUMINISTRO</t>
  </si>
  <si>
    <t>SUSCRIPCION</t>
  </si>
  <si>
    <t>TRANSPORTE</t>
  </si>
  <si>
    <t>CONSULTORIA</t>
  </si>
  <si>
    <t>OBRA</t>
  </si>
  <si>
    <t>CONVENIO INTERADMINISTRATIVO</t>
  </si>
  <si>
    <t>CONTRATO INTERADMINISTRATIVO</t>
  </si>
  <si>
    <t>ARRENDAMIENTO</t>
  </si>
  <si>
    <t>Línea PAA</t>
  </si>
  <si>
    <t>Publicación_SECOP_Proceso</t>
  </si>
  <si>
    <t>Fecha suscripción contrato 2015</t>
  </si>
  <si>
    <t>N° CONTRATO 2014</t>
  </si>
  <si>
    <t>PRÓRROGAS REALIZADAS</t>
  </si>
  <si>
    <t>PLAZO ADICIONAL</t>
  </si>
  <si>
    <t>ADICIONES REALIZADAS</t>
  </si>
  <si>
    <t>VALOR ADICIÓN</t>
  </si>
  <si>
    <t>FECHA FINAL DE TERMINACIÓN</t>
  </si>
  <si>
    <t>VALOR TOTAL</t>
  </si>
  <si>
    <t>% EJECUCIÓN RECURSOS</t>
  </si>
  <si>
    <t>% EJECUCIÓN FÍSICA</t>
  </si>
  <si>
    <t>PROCESO SELECCIÓN</t>
  </si>
  <si>
    <t>SEL. ABREVIADA SUB.INVERSA</t>
  </si>
  <si>
    <t>ACUERDO MARCO</t>
  </si>
  <si>
    <t>LICITACION PUBLICA</t>
  </si>
  <si>
    <t>CONCURSO DE MERITOS</t>
  </si>
  <si>
    <t>GIROS CERTIFICADOS</t>
  </si>
  <si>
    <t>SDH-SMINC-05-2015</t>
  </si>
  <si>
    <t>SDH-SMINC-09-2015</t>
  </si>
  <si>
    <t>SDH-SMINC-02-2015</t>
  </si>
  <si>
    <t>SDH-SMINC-07-2015</t>
  </si>
  <si>
    <t>150209-0-2015</t>
  </si>
  <si>
    <t>SDH-SIE-02-2015</t>
  </si>
  <si>
    <t>SDH-SMINC-28-2015</t>
  </si>
  <si>
    <t>SDH-SIE-07-2015</t>
  </si>
  <si>
    <t>SDH-SMINC-017-2015</t>
  </si>
  <si>
    <t>150200-0-2015</t>
  </si>
  <si>
    <t>INGELECTRO SAS</t>
  </si>
  <si>
    <t>SDH-SMINC-024-2015</t>
  </si>
  <si>
    <t>SDH-SAMC-01-2015</t>
  </si>
  <si>
    <t>SDH-SIE-06-2015</t>
  </si>
  <si>
    <t>SDH-SMINC-15-2015</t>
  </si>
  <si>
    <t>SDH-SMINC-010-2015</t>
  </si>
  <si>
    <t>150193-0-2015</t>
  </si>
  <si>
    <t>SOMOS LA OPTIMIZACION EMPRESARIAL A SU SERVICIO- SOPT SAS</t>
  </si>
  <si>
    <t>900592578-9</t>
  </si>
  <si>
    <t>Prestar el servicio de mantenimiento preventivo y correctivo al Sistema Eléctrico del Centro Administrativo Distrital CAD y al Sistema de Generación y Transferencia Eléctrica de Emergencia del Concejo de Bogotá, D.C., de conformidad con lo establecido en la presente invitación pública.</t>
  </si>
  <si>
    <t>SDH-SIE-05-2015</t>
  </si>
  <si>
    <t>SDH-SMINC-013-2015</t>
  </si>
  <si>
    <t>150189-0-2015</t>
  </si>
  <si>
    <t>811021363-0</t>
  </si>
  <si>
    <t>Adquisición de medios magnéticos para copias de respaldo para el Concejo de Bogotá D.C</t>
  </si>
  <si>
    <t>SDH-SMINC-19-2015</t>
  </si>
  <si>
    <t>SDH-SIE-01-2015</t>
  </si>
  <si>
    <t>SDH-SIE-03-2015</t>
  </si>
  <si>
    <t>1400035-0-2015</t>
  </si>
  <si>
    <t>Prestar el servicio de mantenimiento preventivo y correctivo con suministro de repuestos del parque automotor marca Chevrolet al servicio del Concejo de Bogotá D.C. de conformidad con lo establecido en la invitación pública del proceso No SDH-SMINc-015-2014 y la propuesta presentada por el contratista.</t>
  </si>
  <si>
    <t>Prestar el servicio de exámenes médicos ocupacionales y complementarios y aplicaciones de vacunas para los funcionarios del Concejo de Bogotá, D.C., de conformidad con el pliego de condiciones del proceso de selección abreviada de menor cuantía SDH-SAMC-004-2014</t>
  </si>
  <si>
    <t>Prestar el servicio técnico de actualización del Software de contabilidad SIIGO OFICIAL e instalación en nuevo equipo servidor para el Concejo de Bogotá</t>
  </si>
  <si>
    <t>Contratar la prestación del servicio de mensajería expresa masiva para el Concejo de Bogotá D.C., de conformidad con el alcance del objeto y lo señalado en el pliego de condiciones del proceso SDH-SIE-02-2015, en la Ficha Técnica y en la propuesta</t>
  </si>
  <si>
    <t>830507741-8</t>
  </si>
  <si>
    <t>Adquirir elementos de hardware para el sistema de voto electrónico del Concejo de Bogotá, de conformidad con lo establecido en la presente invitación pública</t>
  </si>
  <si>
    <t>Seguimiento Plan de Adquisiciones 2015</t>
  </si>
  <si>
    <t>ÁREA_ORIGEN</t>
  </si>
  <si>
    <t>CORPORATIVA</t>
  </si>
  <si>
    <t>SISTEMAS</t>
  </si>
  <si>
    <t>Adquisición de memorias para repotenciación de equipos de cómputo para el Concejo de Bogotá D.C.</t>
  </si>
  <si>
    <t>Adquirir elementos de hardware para el sistema de voto electrónico del Concejo de Bogotá.</t>
  </si>
  <si>
    <t>Contratar el Outsourcing Integral para los Servicios de Gestión de Mesa de Ayuda, Gestión de Impresión, para la SDH,  el Concejo de Bogotá y el servicio de monitoreo y operación del Data Center en modalidad BPO 7x24 para la SDH.</t>
  </si>
  <si>
    <t>Adición y pórroga a los contrato No. 140309-0-2014 y 140310-0-2014 cuyo objeto es contratar la gestión integral de servicios de mesa de ayuda, soporte informático, mantenimiento preventivo y correctivo de la infraestructura tecnológica con suministro de repuestos para la Secretaria Distrital de Hacienda y el concejo de Bogotá</t>
  </si>
  <si>
    <t>Adición del Contrato N° 140351-0-2014 suscrito con J.A. Zabala Consultores Asociados S.AS. para - desarrollar actividades contenidas en el Plan de Bienestar e Incentivos del Concejo de Bogotá-</t>
  </si>
  <si>
    <t>Rubros</t>
  </si>
  <si>
    <t>N° de líneas</t>
  </si>
  <si>
    <t>Monto asignado a líneas</t>
  </si>
  <si>
    <t>N° Solicitudes  Radicadas por Rubro</t>
  </si>
  <si>
    <t>Monto Rubro por solicitudes radicadas</t>
  </si>
  <si>
    <t>Presupuesto Disponible (29-04-15)</t>
  </si>
  <si>
    <t>Monto Rubro Procesos Celebrados</t>
  </si>
  <si>
    <t>Porcentaje pres_Comprometido_Rubro</t>
  </si>
  <si>
    <t>Monto Rubro Ejecutado_Cont</t>
  </si>
  <si>
    <t>Porcentaje Ejecutado por rubro</t>
  </si>
  <si>
    <t>3-1-2 GASTOS GENERALES</t>
  </si>
  <si>
    <t>Seguimiento Presupesto Concejo de Bogotá 2015</t>
  </si>
  <si>
    <t>Procesos contractuales 2015</t>
  </si>
  <si>
    <t>Fondo Cuenta - Concejo de Bogotá</t>
  </si>
  <si>
    <t>2015ER21155</t>
  </si>
  <si>
    <t>2014ER134828</t>
  </si>
  <si>
    <t>2015ER3030</t>
  </si>
  <si>
    <t>2015ER28272</t>
  </si>
  <si>
    <t>2014ER113821</t>
  </si>
  <si>
    <t>ER21151</t>
  </si>
  <si>
    <t>ER21153</t>
  </si>
  <si>
    <t>ER21370</t>
  </si>
  <si>
    <t>Devolvieron la ficha, porque se suscribió un nuevo contrato con el mismo tema.</t>
  </si>
  <si>
    <t>2015ER16899</t>
  </si>
  <si>
    <t>ER21368</t>
  </si>
  <si>
    <t>ER23578</t>
  </si>
  <si>
    <t>ER23716</t>
  </si>
  <si>
    <t>ER26162</t>
  </si>
  <si>
    <t>ER21809</t>
  </si>
  <si>
    <t>2014ER143005</t>
  </si>
  <si>
    <t>2015ER35044</t>
  </si>
  <si>
    <t>Línea eliminada</t>
  </si>
  <si>
    <t>2015ER12968</t>
  </si>
  <si>
    <t>2015ER28269</t>
  </si>
  <si>
    <t>ER30763</t>
  </si>
  <si>
    <t>Observaciones</t>
  </si>
  <si>
    <t>2015ER20853</t>
  </si>
  <si>
    <t>Un pago a contra entrega a satisfacción</t>
  </si>
  <si>
    <t>2015ER47000</t>
  </si>
  <si>
    <t>CONTRATISTA O NECESIDAD</t>
  </si>
  <si>
    <t>LÍNEA PAA</t>
  </si>
  <si>
    <t>Sistema biométrico</t>
  </si>
  <si>
    <t>Adición y prórroga contrato 140317-0-2014</t>
  </si>
  <si>
    <t>Adición y prórroga contrato 140252-0-2014</t>
  </si>
  <si>
    <t>Adición y prórroga contrato 140309-0-2014 y 140310-0-2014</t>
  </si>
  <si>
    <t>Suministro ACPM</t>
  </si>
  <si>
    <t>Transporte bienes muebles</t>
  </si>
  <si>
    <t>Diário El Periódico</t>
  </si>
  <si>
    <t>18 días</t>
  </si>
  <si>
    <t>2 meses y 18 días</t>
  </si>
  <si>
    <t>Adición y prorroga contrato 130342-0-2013</t>
  </si>
  <si>
    <t>Adición contrato 140351-0-2014</t>
  </si>
  <si>
    <t>Adición contrato 140238-0-2014</t>
  </si>
  <si>
    <t>3-3-1-14-03-31  Fortalecimiento de la función administrativa y desarrollo institucional</t>
  </si>
  <si>
    <t>3-3-1-14-03 Una Bogotá que defiende y fortalece lo público</t>
  </si>
  <si>
    <t>3-1-2-03-02 Impuestos, Tasas, Contribuciones, Derechos y Multas</t>
  </si>
  <si>
    <t>3-1-2-02-13-99 Otros Programas y Convenios Institucionales</t>
  </si>
  <si>
    <t>Presupuesto Disponible (04-05-15)</t>
  </si>
  <si>
    <t>Seguimiento Presupuesto y PAA 2015</t>
  </si>
  <si>
    <t>N° de líneas por rubro</t>
  </si>
  <si>
    <t>SDH-SMINC-26-2015</t>
  </si>
  <si>
    <t>Realizar el servicio de mantenimiento correctivo y traslado, incluyendo los repuestos y elementos nuevos que requieran los sistemas de archivos rodantes existentes en las diferentes dependencias del Concejo de Bogotá, D.C.</t>
  </si>
  <si>
    <t>Valor en Contrato</t>
  </si>
  <si>
    <t>Valor en PAA</t>
  </si>
  <si>
    <t>Fecha de Suscripción</t>
  </si>
  <si>
    <t>Plazo de ejecución</t>
  </si>
  <si>
    <t>Fecha de Inicio</t>
  </si>
  <si>
    <t>Responsable FC</t>
  </si>
  <si>
    <t>12 meses</t>
  </si>
  <si>
    <t>Adición contrato 140342-0-2014</t>
  </si>
  <si>
    <t>Solicitud Radicada en SHD</t>
  </si>
  <si>
    <t>10 meses</t>
  </si>
  <si>
    <t>8 meses</t>
  </si>
  <si>
    <t>150219-0-2015</t>
  </si>
  <si>
    <t>MITSUBISHI ELECTRIC DE COLOMBIA LTDA</t>
  </si>
  <si>
    <t>PRESTAR LOS SERVICIOS DE MANTENIMIENTO PREVENTIVO Y CORRECTIVO A LOS ASCENSORES MARCA MITSUBISHI UBICADOS EN EL CONCEJO DE BOGOTA.</t>
  </si>
  <si>
    <t>150221-0-2015</t>
  </si>
  <si>
    <t>Realizar las auditorías para la recertificación del Sistema de Gestión de Calidad del Concejo de Bogotá.</t>
  </si>
  <si>
    <t>150211-0-2015</t>
  </si>
  <si>
    <t>SEAN ELECTRONICA LIMITADA</t>
  </si>
  <si>
    <t>Prestar los servicios de mantenimientos, soporte y actualización con el suministro de repuestos para la infraestructura de telecomunicaciones, cableado estructurado (voz y datos), fibra óptica, energía normal y regulada del Concejo de Bogota D.C.</t>
  </si>
  <si>
    <t>Pagos mensuales de acuerdo a los servicios por demanda</t>
  </si>
  <si>
    <t>Mensuales vencidas de acuerdo a los servicios prestados.</t>
  </si>
  <si>
    <t>Un pago, una vez realizada la auditoría</t>
  </si>
  <si>
    <t>Miguel Ángel Alfonso Celis</t>
  </si>
  <si>
    <t>Cada dos meses con los servicios efectivamente prestados, y la demanda de los insumos y repuestos</t>
  </si>
  <si>
    <t>150223-0-2015</t>
  </si>
  <si>
    <t>SECURITYCOM SAS</t>
  </si>
  <si>
    <t>Prestar el servicio de mantenimiento preventivo y correctivo con suministro de repuestos del sistema de alarmas de emergencia y botones de pánico ubicados en la sede principal del Concejo de Bogotá D.C.</t>
  </si>
  <si>
    <t>1 mes y 9 días</t>
  </si>
  <si>
    <t>SDH-SAMC-02-2015</t>
  </si>
  <si>
    <t>3-3-1-14-03-31-0728 Fortalecimiento a la gestión institucional del Concejo de Bogotá</t>
  </si>
  <si>
    <t>150226-0-2015</t>
  </si>
  <si>
    <t>COOPERATIVA DE VIGILANTES STARCOOP CTA</t>
  </si>
  <si>
    <t>Prestar el servicio de vigilancia y seguridad privada en las instalaciones del Concejo de Bogotá, D.C., con el fin de asegurar la protección y custodia de las personas y bienes muebles e inmuebles de propiedad de la entidad y de los que legalmente sea o llegare a ser responsable por disposición legal, contractual o convencional.</t>
  </si>
  <si>
    <t>Mensualidades vencidas</t>
  </si>
  <si>
    <t>SDH-SMINC-30-2015</t>
  </si>
  <si>
    <t>150214-0-2015</t>
  </si>
  <si>
    <t>CARLOS FERNANDO IBARRA VALLEJO</t>
  </si>
  <si>
    <t>Prestar servicios de apoyo al Concejo de Bogotá D.C., en la elaboración y actualización de las bases de datos para el control y depuración de los acuerdos distritales.</t>
  </si>
  <si>
    <t>2015ER4156</t>
  </si>
  <si>
    <t>Radicado con ajustes el 05/05/2015, con CORDIS: 2015ER51495</t>
  </si>
  <si>
    <t>12-5--15</t>
  </si>
  <si>
    <t>2015ER55088</t>
  </si>
  <si>
    <t xml:space="preserve">Aunar esfuerzos técnicos, humanos y financieros para la intervención y realización de las actividades asociadas a la restauración - conservación de los bienes de carácter patrimonial del Honorable Concejo de Bogotá, D.C., fase II, que incluye los bienes en el segundo orden de prioridad para restauración. </t>
  </si>
  <si>
    <t>150225-0-2015</t>
  </si>
  <si>
    <t>Realizar la producción y trasmisión de programas de televisión para el Concejo de Bogotá.</t>
  </si>
  <si>
    <t>Mensualidades vencidas de acuerdo a la emisión de programas</t>
  </si>
  <si>
    <t>9 meses y 6 días</t>
  </si>
  <si>
    <t>150228-0-2015</t>
  </si>
  <si>
    <t xml:space="preserve">REVISTA EL CONGRESO SIGLO XXI </t>
  </si>
  <si>
    <t xml:space="preserve">Suscripción a la Revista El Congreso Siglo XXI con destino al Concejo de Bogotá D.C. </t>
  </si>
  <si>
    <t>Único pago</t>
  </si>
  <si>
    <t>SDH-SMINC-32-2015</t>
  </si>
  <si>
    <t>Presupuesto Inicial</t>
  </si>
  <si>
    <t>Presupuesto Modificado</t>
  </si>
  <si>
    <t>Valor en Compromisos</t>
  </si>
  <si>
    <t>% EJE</t>
  </si>
  <si>
    <t>POR COMPROMETER</t>
  </si>
  <si>
    <t>REQUERIMIENTOS</t>
  </si>
  <si>
    <t>Sin Celebrar</t>
  </si>
  <si>
    <t>SALDOS A LIBERAR</t>
  </si>
  <si>
    <t>150229-0-2015</t>
  </si>
  <si>
    <t xml:space="preserve">MOTORES Y MAQUINAS S.A. MOTORYSA </t>
  </si>
  <si>
    <t>PRESTAR EL SERVICIO DE MANTENIMIENTO CORRECTIVO CON SUMINISTRO DE REPUESTOS DE LOS AUTOMOTORES MARCA MITSUBISHI AL SERVICIO DEL CONCEJO DE BOGOTA</t>
  </si>
  <si>
    <t>860019063-8</t>
  </si>
  <si>
    <t>Mensualmente de acuerdo a los servicios efectivamente prestados.</t>
  </si>
  <si>
    <t>META 1. Implementar el 100% de los sistemas de gestión institucional.</t>
  </si>
  <si>
    <t>Actividad 1.1 Desarrollar actividades para fortalecer los Sistemas de Gestión Institucional del Concejo de Bogotá.</t>
  </si>
  <si>
    <t>150128-2015</t>
  </si>
  <si>
    <t xml:space="preserve">Diagnostico, diseño e implementación del subsistema de gestión de seguridad de la información. </t>
  </si>
  <si>
    <t>META 2. Actualizar el 100% de la infraestructura física, tecnológica y transporte</t>
  </si>
  <si>
    <t>Actividad 2.4 Adquisición, entrega y montaje de mobiliario y equipo de oficina para la sede del Concejo de Bogotá.</t>
  </si>
  <si>
    <t>Adquisición de mobiliario y equipo de oficina</t>
  </si>
  <si>
    <t>Actividad 2.5 Arrendamiento de instalaciones y bodegas para almacenamiento de materiales y objetos</t>
  </si>
  <si>
    <t>Arriendo de un inmueble para uso de parqueadero de vehÍculos y motocicletas del Concejo de Bogotá. INVERSIONES MATAY SAS</t>
  </si>
  <si>
    <t xml:space="preserve"> 140249-0-2014</t>
  </si>
  <si>
    <t>Adicion y Prorroga al contrato INVERSIONES MATAY SAS</t>
  </si>
  <si>
    <t>Arriendo de instalaciones para acondicionamiento de áreas  requeridas por el Concejo Distrital.</t>
  </si>
  <si>
    <t>Arriendo de un inmueble para la sede del Concejo de Bogotá.</t>
  </si>
  <si>
    <t>Actividad 2.6 Efectuar los estudios de viabilidad tecnica y presupuestal para compra o construccion de la sede Administrativa del Concejo de Bogotá</t>
  </si>
  <si>
    <t>Efectuar los estudios de viabilidad técnica y presupuestal para la compra o construcción de la sede Administrativa del Concejo de Bogotá</t>
  </si>
  <si>
    <t>Actividad 2.8 Actualizar la plataforma tecnológica del Concejo de Bogotá</t>
  </si>
  <si>
    <t>Adquisición de la licencia TOAD para el Concejo de Bogotá.</t>
  </si>
  <si>
    <t>Adquisición de licencias de servidores Windows Server 2012 para el Concejo de Bogotá.</t>
  </si>
  <si>
    <t>Adquisición de licencias Oracle  para el Concejo de Bogotá.</t>
  </si>
  <si>
    <t>Adquisición de los equipos de red Switches para el Concejo de Bogotá.</t>
  </si>
  <si>
    <t>Adquisición del sistema de aire acondicionado para el salón comuneros del Concejo de Bogotá.</t>
  </si>
  <si>
    <t>Adquisición de la librería HP LTO de respaldo para el Concejo de Bogotá</t>
  </si>
  <si>
    <t>Recursos sin Programar</t>
  </si>
  <si>
    <t>Actividad 2.10 Desarrollar la implementacion del esquema de seguridad de los Concejales del Distrito Capital que se encuentran en situacion de riesgo extraordinario o extremo.</t>
  </si>
  <si>
    <t>Aunar esfuerzos humanos, tecnicos, logisticos y administrativos para garantizar el esquema de seguridad requerido por los Concejales del Distrito Capital que se encuentren en situacion de riesgo extraordinario o extremo como consecuencia directa del ejercicio de sus funciones. UNIDAD NACIONAL DE PROTECCIÓN UNP</t>
  </si>
  <si>
    <t>Recursos sin programar</t>
  </si>
  <si>
    <t>Mantenimiento servidores</t>
  </si>
  <si>
    <t>Prestar los servicios de mantenimiento preventivo, correctivo y soporte técnico especializado para los servidores y sus dispositivos de la Secretaría Distrital de Hacienda y el Concejo de Bogotá.</t>
  </si>
  <si>
    <t>Recuros sin programar</t>
  </si>
  <si>
    <t>Compromisos pendientes</t>
  </si>
  <si>
    <t xml:space="preserve">Saldos  </t>
  </si>
  <si>
    <t>CONCEJO DE BOGOTA - FONDO CUENTA - SEGUIMIENTO AL PRESUPUESTO</t>
  </si>
  <si>
    <t>Desarrollar actividades para fortalecer los Sistemas de Gestión Institucional del Concejo de Bogotá- Subsistema Responsabilidad Social.</t>
  </si>
  <si>
    <t>SDH-SMINC-31-2015</t>
  </si>
  <si>
    <t>SDH-SMINC-033-2015</t>
  </si>
  <si>
    <t>Convocatoria declarda Desierta. Nuevo proceso publicado el 22 de mayo</t>
  </si>
  <si>
    <t>Subdirector de servicios y atención al usuario SHD y Director Financiero Concejo de Bogotá</t>
  </si>
  <si>
    <t>Proceso_SECOP</t>
  </si>
  <si>
    <t>Fecha de liquidación o aprobación informe final</t>
  </si>
  <si>
    <t>150236-0-2015</t>
  </si>
  <si>
    <t>SISTEG SAS</t>
  </si>
  <si>
    <t>802004648 - 1</t>
  </si>
  <si>
    <t>Memorias para repotenciación</t>
  </si>
  <si>
    <t>SDH-SMINC-035-2015</t>
  </si>
  <si>
    <t>150232-0-2015</t>
  </si>
  <si>
    <t>FORMARCHIVOS Y SUMINISTROS SAS</t>
  </si>
  <si>
    <t>900336588-6</t>
  </si>
  <si>
    <t>Suministrar cajas y carpetas para el embalaje de los documentos de archivo para el Concejo de Bogotá, D.C, de conformidad con lo establecido en la presente invitación pública.</t>
  </si>
  <si>
    <t>Pagos mensuales de acuerdo a las entregas realizadas según cronograma</t>
  </si>
  <si>
    <t>Embalaje documentos</t>
  </si>
  <si>
    <t>Adición y prórroga contrato 140198-0-2014</t>
  </si>
  <si>
    <t>150241-0-2015</t>
  </si>
  <si>
    <t>Prestar el servicio Integral de fotocopiado y servicios afines para el Concejo de Bogotá,D.C. .bajo la modalidad de outsourcing. Según invitación publica del proceso N° SDH-SIE-07-2015</t>
  </si>
  <si>
    <t>Mensualidades vencidas por los servicios efectivamente prestados</t>
  </si>
  <si>
    <t>150245-0-2015</t>
  </si>
  <si>
    <t>SANDRA MARCELA ROJAS MACIAS</t>
  </si>
  <si>
    <t>Prestar servicios profesionales para la identificación y análisis de información y elementos que permitan a la Oficina de Planeación del Concejo de Bogotá, la implementación del Subsistema de Responsabilidad Social - SRS</t>
  </si>
  <si>
    <t>Pagos mensuales</t>
  </si>
  <si>
    <t>Servicios profesionales / responsabilidad social</t>
  </si>
  <si>
    <t>Servicios profesionales / Depuración normativa</t>
  </si>
  <si>
    <t>150244-0-2015</t>
  </si>
  <si>
    <t>COTECNA CERTIFICADORA SERVICES LIMITADA</t>
  </si>
  <si>
    <t>Realizar las auditorías de seguimiento a los sistemas de Gestión Ambiental y Seguridad y Salud Ocupacional del Concejo de Bogotá, bajo las normas ISO 14001:2004 y OHSAS 18001:2007</t>
  </si>
  <si>
    <t>Una vez realizada la auditoría</t>
  </si>
  <si>
    <t>Auditoría gestión ambiental</t>
  </si>
  <si>
    <t>Reynaldo Roa</t>
  </si>
  <si>
    <t>150215-0-2015</t>
  </si>
  <si>
    <t xml:space="preserve"> SDH-CMA-07-2014</t>
  </si>
  <si>
    <t>28 días</t>
  </si>
  <si>
    <t>Adición y prórroga contrato 130350-0-2013</t>
  </si>
  <si>
    <t>40 días</t>
  </si>
  <si>
    <t>Adición contrato 140418-0-2014</t>
  </si>
  <si>
    <t>SDH-SAMC-05-2015</t>
  </si>
  <si>
    <t>SDH-LP-02-2015</t>
  </si>
  <si>
    <t>150250-0-2015</t>
  </si>
  <si>
    <t>CRISTIAN CAMILO RAMOS MARTINEZ</t>
  </si>
  <si>
    <t>Prestar los servicios de apoyo, para consolidar y sistematizar la información del proceso de planificación del Subsistema de Responsabilidad Social SRS.</t>
  </si>
  <si>
    <t>150254-0-2015</t>
  </si>
  <si>
    <t>OFICOMCO SAS</t>
  </si>
  <si>
    <t>900668336-1</t>
  </si>
  <si>
    <t>Adquisición de licencias de servidores Windows Server 2012 para el Concejo de Bogotá, de conformidad con lo establecido en la presente invitación pública</t>
  </si>
  <si>
    <t>Licencias servidores</t>
  </si>
  <si>
    <t>Adriana Payares</t>
  </si>
  <si>
    <t>150255-0-2015</t>
  </si>
  <si>
    <t>MEDALLAS COLOMBIANAS S.A.S</t>
  </si>
  <si>
    <t>Suministro de elementos de promoción institucional y actos protocolarios del Concejo de Bogotá, D.C., de conformidad con lo establecido en la presente invitación pública</t>
  </si>
  <si>
    <t>150256-0-2015</t>
  </si>
  <si>
    <t>DAYANNA STEPHANY FERNANDEZ CARRILLO</t>
  </si>
  <si>
    <t>Prestar los servicios de apoyo, para la elaboración de la documentación soporte para la implementación del Subsistema de Responsabilidad Social SRS.</t>
  </si>
  <si>
    <t>150252-0-2015</t>
  </si>
  <si>
    <t xml:space="preserve">INSTITUCIONAL STAR SERVICES LTDA </t>
  </si>
  <si>
    <t>16 días</t>
  </si>
  <si>
    <t>1 mes y 25 días</t>
  </si>
  <si>
    <t xml:space="preserve">150262-0-2015 </t>
  </si>
  <si>
    <t xml:space="preserve">DIRECTV COLOMBIA LTDA  </t>
  </si>
  <si>
    <t>Suministrar papelería y útiles de escritorio en la modalidad de proveeduría integral para el Concejo de Bogotá.</t>
  </si>
  <si>
    <t>Mensualidades de acuerdo a los suministros</t>
  </si>
  <si>
    <t>150260-0-2015</t>
  </si>
  <si>
    <t>CAJA DE COMPENSACION FAMILIAR COMPENSAR</t>
  </si>
  <si>
    <t>860066942 -7</t>
  </si>
  <si>
    <t>Prestar el servicio de alquiler de escenarios como salones, auditorios y espacios abiertos, apoyo logístico y servicio de catering para el desarrollo de eventos que requieran el Concejo de Bogotá D.C., de conformidad con lo establecido en el pliego de condiciones del proceso de selección abreviada de menor cuantía No. SDH-SAMC-01-2015 y la propuesta presentada por el contratista.</t>
  </si>
  <si>
    <t>Mensualidades de acuerdo a las actividades prestadas</t>
  </si>
  <si>
    <t>SDH-SMINC-36-2015</t>
  </si>
  <si>
    <t>Suscripción al sistema de Televisión Satelital para ser instalado en la sede del Concejo de Bogotá D.C.</t>
  </si>
  <si>
    <t>805006014-0</t>
  </si>
  <si>
    <t xml:space="preserve">ADRIANA MARGARITA PAYARES (Cesionaria) / Antes: JEAN PAUL RUBIO MARTIN </t>
  </si>
  <si>
    <t>150265-0-2015</t>
  </si>
  <si>
    <t>FLOREZ &amp; ALVAREZ S.A.</t>
  </si>
  <si>
    <t>Prestar los servicios integrales de aseo y cafetería y el servicio integral de fumigación para las instalaciones del Concejo de Bogotá, D.C. y en los inmuebles por los que la Entidad sea legalmente responsable, de conformidad con lo establecido en el pliego de condiciones del proceso de Subasta Inversa Electrónica No. SDH-SIE-05-2015 y la propuesta presentada por el contratista.</t>
  </si>
  <si>
    <t>150271-0-2015</t>
  </si>
  <si>
    <t>860506170-7</t>
  </si>
  <si>
    <t>Aunar esfuerzos, recursos técnicos, humanos y financieros para la intervención y realización de las actividades asociadas a la restauración - conservación de los bienes muebles de carácter patrimonial del Honorable Concejo de Bogotá D.C., correspondientes en el grupo Fase III.</t>
  </si>
  <si>
    <t>RICARDO ROJAS SANABRIA (Cesionario) / Antes: NAYIVE CARRASCO PATIÑO</t>
  </si>
  <si>
    <t>150249-0-2015</t>
  </si>
  <si>
    <t>BRANCH OF MICROSOFT COLOMBIA INC</t>
  </si>
  <si>
    <t>Prestar los servicios de administración y soporte técnico para la plataforma Microsoft del Concejo de Bogotá, de conformidad con lo establecido en los documentos y estudios previos y la propuesta presentada por el contratista.</t>
  </si>
  <si>
    <t>Rosa Gómez</t>
  </si>
  <si>
    <t>150274-0-2015</t>
  </si>
  <si>
    <t>MANUEL FERNANDO MALDONADO FONSECA</t>
  </si>
  <si>
    <t>Prestar servicios para apoyar actividades del proceso de relatorìa del Concejo de Bogotà D.C., para la transcripción y elaboración de Actas de sesiones de las diferentes Comisiones y de Sesiones de Plenaria.</t>
  </si>
  <si>
    <t>150276-0-2015</t>
  </si>
  <si>
    <t>JAVIER IGNACIO JATIVA GARCIA</t>
  </si>
  <si>
    <t>Prestar servicios profesionales para apoyar a la Dirección Jurídica del Concejo de Bogotá, con especial énfasis en análisis y respuestas a derechos de petición y PQRS</t>
  </si>
  <si>
    <t>150277-0-2015</t>
  </si>
  <si>
    <t>FAIBER GABINO CORREA AMEZQUITA</t>
  </si>
  <si>
    <t>150278-0-2015</t>
  </si>
  <si>
    <t>YURI VIVIANA REYES BENITEZ</t>
  </si>
  <si>
    <t>Prestar servicios de apoyo para sistematizar y consolidar la información relacionada con las incapacidades de los funcionarios en el marco del proceso de Seguridad Social del Concejo de Bogotá, D.C.</t>
  </si>
  <si>
    <t>150279-0-2015</t>
  </si>
  <si>
    <t>WILLIAM EDUARDO QUINTERO LETRADO</t>
  </si>
  <si>
    <t>150280-0-2015</t>
  </si>
  <si>
    <t>PATRICIA DEL ROCIO PEÑA GARCIA</t>
  </si>
  <si>
    <t>Prestar servicios para apoyar actividades del proceso de relatoría del Concejo de Bogotá D.C., para la transcripción y elaboración de Actas de sesiones de las diferentes Comisiones y de Sesiones de Plenaria.</t>
  </si>
  <si>
    <t>150286-0-2015</t>
  </si>
  <si>
    <t>CLAUDIA ELVIRA RODRIGUEZ POVEDA</t>
  </si>
  <si>
    <t>Prestar servicios profesionales para la identificación y análisis de información y elementos que permitan a la Dirección Administrativa del Concejo de Bogotá, la implementación del Plan Estratégico de Seguridad Vial.</t>
  </si>
  <si>
    <t>150275-0-2015</t>
  </si>
  <si>
    <t>ROSA YASMID CASTRO CASTELBLANCO</t>
  </si>
  <si>
    <t>150281-0-2015</t>
  </si>
  <si>
    <t>HUGO FERNANDO LONDOÑO ULLOA</t>
  </si>
  <si>
    <t>Prestar los servicios profesionales al Concejo de Bogotá D.C. para apoyar el área de nómina, especialmente en áreas relacionadas con la seguridad social, conforme a lo establecido en los estudios previos</t>
  </si>
  <si>
    <t>SDH-SIE-09-2015</t>
  </si>
  <si>
    <t>SDH-SMINC-044-2015</t>
  </si>
  <si>
    <t>SDH-SMINC-42-2015</t>
  </si>
  <si>
    <t>150300-0-2015</t>
  </si>
  <si>
    <t>GERIZIM CENTRO MEDICO ESPECIALIZADO EN SALUD OCUPACIONAL EU</t>
  </si>
  <si>
    <t>Prestar el servicio de exámenes médicos ocupacionales y complementarios y aplicación de vacunas para los funcionarios del Concejo de Bogotá, D.C., de conformidad con el pliego de condiciones del proceso de selección abreviada de menor cuantía SDH-SAMC-02-2015, los documentos soportes y la propuesta presentada.</t>
  </si>
  <si>
    <t>Servicios profesionales / Incapacidades</t>
  </si>
  <si>
    <t>Servicios técnicos / Relatorías</t>
  </si>
  <si>
    <t>Servicios profesionales / Plan Estratégico de Seguridad Vial</t>
  </si>
  <si>
    <t>Servicios profesionales / PQRS</t>
  </si>
  <si>
    <t>Servicios técnicos / Incapacidades</t>
  </si>
  <si>
    <t>SDH-SMINC-041-2015</t>
  </si>
  <si>
    <t>SDH-SMINC-043-2015</t>
  </si>
  <si>
    <t>Terminado anormalmente luego de convocado. Nueva convocatoria</t>
  </si>
  <si>
    <t>MARY LUZ MORA PICO</t>
  </si>
  <si>
    <t>150309-0-2015</t>
  </si>
  <si>
    <t>150312-0-2015</t>
  </si>
  <si>
    <t xml:space="preserve">SIIGO S.A </t>
  </si>
  <si>
    <t xml:space="preserve">Prestar los servicios de mantenimiento y actualización de módulo de contabilidad programa SIIGO </t>
  </si>
  <si>
    <t xml:space="preserve">AXA COLPATRIA SEGUROS S. A. </t>
  </si>
  <si>
    <t xml:space="preserve">Amparar a los CONCEJALES DE BOGOTÁ D.C., mediante el seguro de Grupo Vida, de conformidad con lo establecido en la propuesta presentada por el contratista y lo estipulado en el pliego de condiciones de la Selección Abreviada de Menor Cuantía No. SDH-SAMC-04-2015 </t>
  </si>
  <si>
    <t>SDH-SAMC-04-2015</t>
  </si>
  <si>
    <t>Dentro de los 60 días posteriores al recibo del original de las pólizas</t>
  </si>
  <si>
    <t>Seguros de vida</t>
  </si>
  <si>
    <t>José Fernando Flórez - Asesor Fondo Cuenta</t>
  </si>
  <si>
    <t>Ricardo Rojas</t>
  </si>
  <si>
    <t>150314-0-2015</t>
  </si>
  <si>
    <t>Contratar los servicios de mantenimiento preventivo y correctivo con repuestos y bienes fungibles para los elementos del centro de cómputo y centros de cableado del Concejo de Bogotá D.C., de conformidad con lo establecido en el Pliego de Condiciones del Proceso de Selección Abreviada -Subasta Inversa Electrónica No. SDH-SIE-08-2015 y la propuesta presentada por el contratista.</t>
  </si>
  <si>
    <t>SDH-SIE-08-2015</t>
  </si>
  <si>
    <t>Mantenimiento centro de cómputo</t>
  </si>
  <si>
    <t>150316-0-2015</t>
  </si>
  <si>
    <t>PROCOLDEXT LTDA</t>
  </si>
  <si>
    <t>Realizar el mantenimiento con suministro de repuestos y recarga de los extintores ubicados en las sedes del Concejo de Bogotá y mantenimiento de gabinetes contra incendio con suministro de repuestos para el Concejo de Bogotá D.C.</t>
  </si>
  <si>
    <t>Pagos mensuales de acuerdo al número de servicios y elementos entregados</t>
  </si>
  <si>
    <t>SDH-SMINC-047-2015</t>
  </si>
  <si>
    <t xml:space="preserve">SDH-LP-02-2014 </t>
  </si>
  <si>
    <t xml:space="preserve">SDH-LP-03-2014 </t>
  </si>
  <si>
    <t>1 mes y 18 días</t>
  </si>
  <si>
    <t>1 mes y 22 días</t>
  </si>
  <si>
    <t>150320-0-2015</t>
  </si>
  <si>
    <t>GRUPO EDITORIAL NUEVA LEGISLACION S.A.S.</t>
  </si>
  <si>
    <t>Suscripción al servicio de información jurídica de boletines informáticos por correo electrónico, consultas en página WEB y biblioteca de la legislación y jurisprudencia colombiana actualizada para el Concejo de Bogotá D.C.</t>
  </si>
  <si>
    <t>11 meses y 15 días</t>
  </si>
  <si>
    <t xml:space="preserve">150308-0-2015 </t>
  </si>
  <si>
    <t xml:space="preserve">ARANDA SOFTWARE ANDINA SAS  </t>
  </si>
  <si>
    <t>Realizar la adquisición, actualización y soporte de licenciamiento del software Aranda para el Concejo de Bogotá.</t>
  </si>
  <si>
    <t>150308-0-2015</t>
  </si>
  <si>
    <t xml:space="preserve">Licenciamiento del software Aranda </t>
  </si>
  <si>
    <t>150322-0-2015</t>
  </si>
  <si>
    <t>Prestar los servicios de mantenimiento preventivo, correctivo y soporte técnico especializado para sistema biométrico del Concejo de Bogotá</t>
  </si>
  <si>
    <t>GREEN TIC S.A.S.</t>
  </si>
  <si>
    <t>900392699-3</t>
  </si>
  <si>
    <t>150323-0-2015</t>
  </si>
  <si>
    <t>Realizar el mantenimiento integral locativo con el suministro de personal, equipo y repuestos, en las instalaciones físicas del Concejo de Bogotá, D.C., de conformidad con lo establecido en el pliego de condiciones del proceso de Selección Abreviada de Menor Cuantía No. SDH-SAMC-05-2015 y la propuesta presentada por el contratista</t>
  </si>
  <si>
    <t>SDH-SMINC-49-2015</t>
  </si>
  <si>
    <t>Adición Contrato 140233-2014, interventoría contrato de obra</t>
  </si>
  <si>
    <t>Adquirir el soporte y actualización de licenciamiento del software Infodoc para el Concejo de Bogotá.</t>
  </si>
  <si>
    <t>150329-0-2015</t>
  </si>
  <si>
    <t>Infodoc</t>
  </si>
  <si>
    <t xml:space="preserve">150331-0-2015 </t>
  </si>
  <si>
    <t xml:space="preserve">VIDEO BEAMS Y LAMPARAS SAS </t>
  </si>
  <si>
    <t xml:space="preserve">900643783-2 </t>
  </si>
  <si>
    <t xml:space="preserve">Adquisición de audífonos biauriculares para el Concejo de Bogotá D.C </t>
  </si>
  <si>
    <t>Un único pago</t>
  </si>
  <si>
    <t>150330-0-2015</t>
  </si>
  <si>
    <t xml:space="preserve">COMUNICAN SA </t>
  </si>
  <si>
    <t xml:space="preserve">Suscripción al DIARIO EL ESPECTADOR, para el Concejo de Bogotá D.C. </t>
  </si>
  <si>
    <t>SDH-SMINC-50-2015</t>
  </si>
  <si>
    <t>Contratar los servicios de mantenimiento preventivo y correctivo con repuestos y bienes fungibles para los elementos del  centro de cómputo y centros de cableado del Concejo de Bogotá D.C.,</t>
  </si>
  <si>
    <t xml:space="preserve">150321-0-2015 </t>
  </si>
  <si>
    <t>BUSINESSMIND COLOMBIA SA</t>
  </si>
  <si>
    <t>900105979-1</t>
  </si>
  <si>
    <t>Adquisión de la licencia TOAD para el Concejo de Bogotá.</t>
  </si>
  <si>
    <t>Licencia Toad</t>
  </si>
  <si>
    <t xml:space="preserve">INFORMATICA DOCUMENTAL SAS </t>
  </si>
  <si>
    <t>RESERVAS PRESUPUESTALES</t>
  </si>
  <si>
    <t>3-1-2-03-99 Otros Gastos Generales</t>
  </si>
  <si>
    <t xml:space="preserve">LÍNEA PAA </t>
  </si>
  <si>
    <t>Valor contrato</t>
  </si>
  <si>
    <t>Valor total con adiciones</t>
  </si>
  <si>
    <t>Valor con Autorización de Giro</t>
  </si>
  <si>
    <t>Contratar la actuallización, mantenimiento y soporte de licencias de software antivirus para la plataforma del Concejo de Bogotá D.C.</t>
  </si>
  <si>
    <t>Terminó</t>
  </si>
  <si>
    <t>Estado</t>
  </si>
  <si>
    <t xml:space="preserve">SALDOS  </t>
  </si>
  <si>
    <t>Radicado en SHD</t>
  </si>
  <si>
    <t xml:space="preserve">Saldos a Liberar </t>
  </si>
  <si>
    <t>UNIÓN TEMPORAL SEGUROS COLPATRIA S.A. ALLIANZ SEGUROS S.A. MAPFRE SEGUROS GENERALES DE COLOMBIA S.A.</t>
  </si>
  <si>
    <t>3-1-2-02-01 Arrendamientos</t>
  </si>
  <si>
    <t>150333-0-2015</t>
  </si>
  <si>
    <t xml:space="preserve"> 900160387-5</t>
  </si>
  <si>
    <t>Realizar la Interventoría técnica administrativa, ambiental, financiera, legal y contable, para el contrato de Mantenimiento Integral Locativo con el suministro de personal, equipos y repuestos, en las instalaciones físicas del Concejo de Bogotá D.C.</t>
  </si>
  <si>
    <t>Consultoría Estructural y de Construcción SAS - CEYCO Ingeniería SAS</t>
  </si>
  <si>
    <t>90% del valor del contrato en pagos mensuales, 10% posterior a la firma del acta de liquidación del contrato objeto de interventoría</t>
  </si>
  <si>
    <t>150338-0-2015</t>
  </si>
  <si>
    <t>EDITORIAL LA UNIDAD S.A EN EJECUCIÓN DEL ACUERDO DE REESTRUCTURACIÓN</t>
  </si>
  <si>
    <t>Suscripción al diario El Nuevo Siglo, para el Concejo de Bogotá D.C.</t>
  </si>
  <si>
    <t>Servicio de impresión</t>
  </si>
  <si>
    <t>Mesa de servicios</t>
  </si>
  <si>
    <t>Se unifican 53 y 56</t>
  </si>
  <si>
    <t xml:space="preserve">SDH-SMINC-06-2014 </t>
  </si>
  <si>
    <t>150341-0-2015</t>
  </si>
  <si>
    <t>INGENIERIA DE BOMBAS Y PLANTAS LIMITADA</t>
  </si>
  <si>
    <t>900152368 - 1</t>
  </si>
  <si>
    <t>Prestar el servicio de mantenimiento preventivo y correctivo para los tanques de almacenamiento y equipos de bombeo hidráulicos de agua potable, residual y aguas negras del Concejo de Bogotá, D.C.</t>
  </si>
  <si>
    <t>Mantenimiento preventivo pagos bimestrales, mantenimiento correctivo de acuerdo a demanda.</t>
  </si>
  <si>
    <t>SDH-SIE-10-2015</t>
  </si>
  <si>
    <t>SDH-SMINC-052-2015</t>
  </si>
  <si>
    <t>Presupuesto Disponible (20-08-15)</t>
  </si>
  <si>
    <t>150342-0-2015</t>
  </si>
  <si>
    <t>Suscripción  a LA REVISTA SEMANA, para el Concejo de Bogotá D.C.</t>
  </si>
  <si>
    <t>Reinaldo Rojas</t>
  </si>
  <si>
    <t>Oscar Cárdenas</t>
  </si>
  <si>
    <t>Alicia González</t>
  </si>
  <si>
    <t>Dagoberto García</t>
  </si>
  <si>
    <t>Juan Bautista Giraldo</t>
  </si>
  <si>
    <t>Miguelina Pacheco</t>
  </si>
  <si>
    <t>José Martínez</t>
  </si>
  <si>
    <t>Servicios profesionales / Apoyo Fondo Cuenta</t>
  </si>
  <si>
    <t>Servicios profesionales / Historias laborales</t>
  </si>
  <si>
    <t>Servicios profesionales / Acompañamiento contratación infraestrcutura</t>
  </si>
  <si>
    <t>Servicios profesionales / Apoyo supervisión Cts Sistemas</t>
  </si>
  <si>
    <t>Servicios profesionales / salvaguarda información página Web</t>
  </si>
  <si>
    <t>Servicios profesionales / Apoyo Fondo Cuenta - liquidaciones</t>
  </si>
  <si>
    <t>Servicios profesionales / Apoyo supervisión contratos</t>
  </si>
  <si>
    <t>Servicios profesionales / Apoyo sistemación trámites contractuales</t>
  </si>
  <si>
    <t>Servicios profesionales / Apoyo oficina comunicaciones</t>
  </si>
  <si>
    <t>Servicios profesionales / Apoyo oficina de sistemas</t>
  </si>
  <si>
    <t>Servicios profesionales / Apoyo gestión administrativa, documental, Dirección Financiera</t>
  </si>
  <si>
    <t>150344-0-2015</t>
  </si>
  <si>
    <t>UNION TEMPORAL NEWNET - SUMIMAS</t>
  </si>
  <si>
    <t>Contratar el outsourcing integral para los servicios de gestión de mesa de ayuda y gestión de impresión para el Concejo de Bogotá, de conformidad con el alcance del objeto y lo señalado en el pliego de condiciones del proceso de selección SDH-LP-02-2015, sus anexos técnicos y la propuesta</t>
  </si>
  <si>
    <t>Pagos mes vencido por servicios, pago respuestos de acuerdo a la demanda</t>
  </si>
  <si>
    <t>Mesa de ayuda y servicio de impresión</t>
  </si>
  <si>
    <t>Valor en Compromisos (28-08-2015)</t>
  </si>
  <si>
    <t>Tipo de contrato</t>
  </si>
  <si>
    <t>150346-0-2015</t>
  </si>
  <si>
    <t>Prestar los servicios profesionales para apoyar en el desarrollo e implementación de los sistemas de información requeridos, construidos bajo la plataforma Oracle, en el Concejo de Bogotá.</t>
  </si>
  <si>
    <t>Linda Rosa Campo</t>
  </si>
  <si>
    <t>Servicios profesionales / plataforma Oracle</t>
  </si>
  <si>
    <t>SDH-LP-04-2015</t>
  </si>
  <si>
    <t>150348-0-2015</t>
  </si>
  <si>
    <t>ORION CONIC S.A.S</t>
  </si>
  <si>
    <t>900201461 - 1</t>
  </si>
  <si>
    <t>Adquirir a título de compraventa elementos de protección personal para los servidores públicos del Concejo de Bogotá, D.C</t>
  </si>
  <si>
    <t>Un pago único con la entrega de los bienes</t>
  </si>
  <si>
    <t>150340-0-2015</t>
  </si>
  <si>
    <t>Adquirir el software Equitrac, para el Concejo de Bogotá.</t>
  </si>
  <si>
    <t>Software Equitrac</t>
  </si>
  <si>
    <t>SDH-SIE-13-2015</t>
  </si>
  <si>
    <t>SDH-SAMC-06-2015</t>
  </si>
  <si>
    <t>Prestar servicios profesionales para apoyar al Concejo de Bogotá D.C. en la realización de actividades de identificación, clasificación, depuración organización y actualización de la normativa de los acuerdos distritales en  segunda y tercera fases, de conformidad con los estudios previos.</t>
  </si>
  <si>
    <t>150351-0-2015</t>
  </si>
  <si>
    <t>UNION TEMPORAL TECNOPROCESOS SAS NEGSA</t>
  </si>
  <si>
    <t>Prestar los servicios de mantenimiento preventivo, correctivo y soporte técnico especializado para los servidores y sus dispositivos del Concejo de Bogotá, D.C., de conformidad con lo establecido en el pliego de condiciones del proceso de Selección Abreviada por Subasta Inversa Electrónica No. SDH-SIE-10-2015 y la propuesta presentada por el contratista.</t>
  </si>
  <si>
    <t>Seis pagos iguales bimestre vencido</t>
  </si>
  <si>
    <t>4 meses y 18 días</t>
  </si>
  <si>
    <t>SDH-SMINC-56-2015</t>
  </si>
  <si>
    <t>150358-0-2015</t>
  </si>
  <si>
    <t>MITSU MOTORS SERVICE S.A.S.</t>
  </si>
  <si>
    <t>900069688-9</t>
  </si>
  <si>
    <t>Prestar el servicio de mantenimiento periódico preventivo del parque automotor al servicio del Concejo de Bogotá D.C., de conformidad con lo establecido en la presente invitación pública.</t>
  </si>
  <si>
    <t>SDH-SMINC-053-2015</t>
  </si>
  <si>
    <t>Pagos mensuales de acuerdo a los servicios e insumos efectivamente prestados</t>
  </si>
  <si>
    <t>150353-0-2015</t>
  </si>
  <si>
    <t>PRODUCTORA Y COMERCIALIZADORA ODONTOLÓGICA NEW STETIC S.A.</t>
  </si>
  <si>
    <t>890900267-0</t>
  </si>
  <si>
    <t>Adquisición de elementos e insumos necesarios para atender los primeros auxilios y dotar los botiquines del Concejo de Bogotá D.C.</t>
  </si>
  <si>
    <t>Un único pago con la entrega de los bines objeto del contrato.</t>
  </si>
  <si>
    <t>150363-0-2015</t>
  </si>
  <si>
    <t>EDITORIAL EL GLOBO S.A.</t>
  </si>
  <si>
    <t>Suscripción al diario La República para el Concejo de Bogotá D.C.</t>
  </si>
  <si>
    <t>9 meses y 10 días calendario</t>
  </si>
  <si>
    <t>150369-0-2015</t>
  </si>
  <si>
    <t>DANIEL JOSE MORALES VARGAS</t>
  </si>
  <si>
    <t>PRESTAR LOS SERVICIOS PARA LA ELABORACIÓN DEL RETRATO SOBRE LIENZO AL ÓLEO DEL PRESIDENTE DE LA MESA DIRECTIVA DEL CONCEJO DE BOGOTÁ.</t>
  </si>
  <si>
    <t xml:space="preserve"> SDH-SMINC-035-2014</t>
  </si>
  <si>
    <t>150373-0-2015</t>
  </si>
  <si>
    <t>CENTRO DE RECURSOS EDUCATIVOS PARA LA COMPETITIVIDAD EMPRESARIAL LTDA. CRECE LTDA.</t>
  </si>
  <si>
    <t>Ejecutar actividades del Plan Institucional de Capacitación del Concejo de Bogotá, D.C., - Grupo 3, según el pliego de condiciones del proceso SDH-LP-04-2015</t>
  </si>
  <si>
    <t>Mensuales de acuerdo a la ejecución de cada periodo</t>
  </si>
  <si>
    <t>150377-0-2015</t>
  </si>
  <si>
    <t>Prestar los servicios para desarrollar actividades contenidas en los Planes de Bienestar e Incentivos y Mejoramiento del Clima Laboral para el Concejo de Bogotá, D.C., de conformidad con lo establecido en el pliego de condiciones de la Licitación Pública No. SDH-LP-03-2015 y la propuesta presentada por el contratista.</t>
  </si>
  <si>
    <t>SDH-LP-03-2015</t>
  </si>
  <si>
    <t>Mensuales de acuerdo a las actividades efectivamente prestadas</t>
  </si>
  <si>
    <t>150380-0-2015</t>
  </si>
  <si>
    <t>830120684-3</t>
  </si>
  <si>
    <t>Prestar el servicio de empaste y encuadernación de documentos del Concejo de Bogotá D.C.</t>
  </si>
  <si>
    <t>SDH-SMINC-60-2015</t>
  </si>
  <si>
    <t>Mensuales de acuerdo al valor facturado correspondiente al servicio facturado</t>
  </si>
  <si>
    <t>14 días</t>
  </si>
  <si>
    <t>3 meses y 14 días</t>
  </si>
  <si>
    <t>150382-0-2015</t>
  </si>
  <si>
    <t>OPENLINK SISTEMAS DE REDES DE DATOS S A S</t>
  </si>
  <si>
    <t>Contratar la adquisición de equipos de red switches para el Concejo de Bogotá, de conformidad con el alcance del objeto y lo señalado en el pliego de condiciones del proceso SDH-SIE-14-2015, en la Ficha Técnica y en la propuesta.</t>
  </si>
  <si>
    <t>SDH-SIE-14-2015</t>
  </si>
  <si>
    <t>Un anticipo del 30%, un segundo pago por el 40% y un tercer pago del 30%.</t>
  </si>
  <si>
    <t>Equipos de red switches</t>
  </si>
  <si>
    <t>150386-0-2015</t>
  </si>
  <si>
    <t>ALMACENES EXITO S.A</t>
  </si>
  <si>
    <t>Adquisición de bonos navideños para los hijos de los funcionarios del Concejo de Bogotá, de conformidad con lo establecido en el pliego de condiciones del proceso de selección abreviada de menor cuantía SDH-SAMC-06-2015 y la propuesta presentada por el contratista.</t>
  </si>
  <si>
    <t>Si el bono es en documento físico, se cancelarán previa entrega de los mismos por parte del contratista; si el bono es sistematizado, se cancelarán mensualmente los bonos redimidos durante la ejecución del contrato.</t>
  </si>
  <si>
    <t>120000-371-0-2012</t>
  </si>
  <si>
    <t xml:space="preserve">SDH-SIE-29-2014 </t>
  </si>
  <si>
    <t xml:space="preserve">SDH-SMINC-54-2012 </t>
  </si>
  <si>
    <t xml:space="preserve">SDH-SMINC-03-2013 </t>
  </si>
  <si>
    <t>150391-0-2015</t>
  </si>
  <si>
    <t>UNIÓN TEMPORAL BMIND - KOGHI</t>
  </si>
  <si>
    <t>Prestar los servicios de administración y soporte técnico para la plataforma Oracle del Concejo de Bogotá, de conformidad con lo establecido en el Pliego de condiciones.</t>
  </si>
  <si>
    <t>SDH-SAMC-08-2015</t>
  </si>
  <si>
    <t>Mensualidades vencidas por el servicio efectivamente prestado</t>
  </si>
  <si>
    <t>Plataforma Oracle</t>
  </si>
  <si>
    <t>Vallas y conos de seguridad</t>
  </si>
  <si>
    <t>PAGOS  Autorización de giro acumulado a 24/11/2015</t>
  </si>
  <si>
    <t>Presupuesto Disponible (24-11-15) / PAA  (19-11-15)</t>
  </si>
  <si>
    <t>Impuestos (24/11/15)</t>
  </si>
  <si>
    <t>SOLUCIONES H&amp;S SAS</t>
  </si>
  <si>
    <t>150394-0-2015</t>
  </si>
  <si>
    <t>900699012 - 3</t>
  </si>
  <si>
    <t>Prestar el servicio de alquiler, instalación y desmonte de iluminación y decoración navideña en la sede principal del Concejo de Bogotá D.C.</t>
  </si>
  <si>
    <t>SDH-SMINC-063-2015</t>
  </si>
  <si>
    <t>Un pago del 80% por la puesta en funcionamiento de la iluminación navideña, un segundo pago por el 20% del saldo al demonte de la iluminación.</t>
  </si>
  <si>
    <t xml:space="preserve"> SDH-SMINC-22-2014</t>
  </si>
  <si>
    <t xml:space="preserve">SDH-SIE-026-2014 </t>
  </si>
  <si>
    <t>SC</t>
  </si>
  <si>
    <t>Shirley Johana Cruz Reyes /SHD</t>
  </si>
  <si>
    <t>Seguimiento Presupuesto y PAA 2016</t>
  </si>
  <si>
    <t>Servicios profesionales - estudio historias laborales</t>
  </si>
  <si>
    <t>Acompañamiento y seguimiento a la contratación de temas de infraestructura</t>
  </si>
  <si>
    <t>Apoyo a la supervisión</t>
  </si>
  <si>
    <t xml:space="preserve">Gestión administrativa, documental y contractual </t>
  </si>
  <si>
    <t>Servicios profesionales - estrategias comunicativas</t>
  </si>
  <si>
    <t>Apoyo supervisión - liquidaciones</t>
  </si>
  <si>
    <t>Sistematización trámites contractuales</t>
  </si>
  <si>
    <t>Apoyo a la supervisión - enlace sistemas</t>
  </si>
  <si>
    <t>Apoyo jurídico - PQRS</t>
  </si>
  <si>
    <t>Servicios profesionales - área de nómina</t>
  </si>
  <si>
    <t>Auditorías internas - control interno</t>
  </si>
  <si>
    <t xml:space="preserve">Auditorías de seguimiento al Sistema de Gestión de Calidad </t>
  </si>
  <si>
    <t>Auditorías para la renovación de la certificación  a los sistemas de Gestión Ambiental y Seguridad y Salud Ocupaciona</t>
  </si>
  <si>
    <t>Sistematización incapacidades</t>
  </si>
  <si>
    <t xml:space="preserve">Actualización, administración, publicación y salvaguarda de la información - página WEB oficial </t>
  </si>
  <si>
    <t>Mesa de ayuda</t>
  </si>
  <si>
    <t>Administración y soporte técnico para la plataforma Microsoft</t>
  </si>
  <si>
    <t>SIIGO</t>
  </si>
  <si>
    <t>Mantenimiento sistema biométrico</t>
  </si>
  <si>
    <t xml:space="preserve">Administración y soporte técnico para la plataforma Oracle </t>
  </si>
  <si>
    <t>Mantenimiento vehículos</t>
  </si>
  <si>
    <t xml:space="preserve">Suministro de combustible </t>
  </si>
  <si>
    <t xml:space="preserve">Suministro de papelería, útiles de escritorio </t>
  </si>
  <si>
    <t xml:space="preserve">Elementos para protección y embalaje de documentos </t>
  </si>
  <si>
    <t xml:space="preserve">Mensajería expresa masiva </t>
  </si>
  <si>
    <t xml:space="preserve">Televisión satelital </t>
  </si>
  <si>
    <t xml:space="preserve">Transporte  de bienes muebles, equipos de oficina y cajas de archivo documental </t>
  </si>
  <si>
    <t>Directorio de Despachos Públicos de Colombia 2015</t>
  </si>
  <si>
    <t xml:space="preserve">Suscripción al diario La República </t>
  </si>
  <si>
    <t xml:space="preserve">Suscripción a la Revista Semana </t>
  </si>
  <si>
    <t xml:space="preserve">Prestar el servicio Integral de fotocopiado </t>
  </si>
  <si>
    <t xml:space="preserve">Suscripción al servicio de información jurídica </t>
  </si>
  <si>
    <t>Suscripción a la Revista del Congreso</t>
  </si>
  <si>
    <t xml:space="preserve">Suscripción al diario el Espectador </t>
  </si>
  <si>
    <t xml:space="preserve">Suscripción al diario El Nuevo Siglo </t>
  </si>
  <si>
    <t xml:space="preserve">Mantenimiento preventivo y correctivo al sistema de generación y transferencia eléctrica de emergencia  </t>
  </si>
  <si>
    <t xml:space="preserve">Mantenimiento preventivo y correctivo a los ascensores marca Mitsubishi </t>
  </si>
  <si>
    <t xml:space="preserve">Mantenimiento  Integral locativo </t>
  </si>
  <si>
    <t xml:space="preserve">Interventoria </t>
  </si>
  <si>
    <t xml:space="preserve">Mantenimiento correctivo - sillas </t>
  </si>
  <si>
    <t>Mantenimiento  Correctivo de los sistemas de archivos rodantes</t>
  </si>
  <si>
    <t xml:space="preserve">Mantenimiento preventivo y correctivo de las alarmas de emergencia </t>
  </si>
  <si>
    <t>Mantenimiento correctivo y preventivo para las máquinas: Impresoras litográfica Multilith, compaginadora, guillotina y cizalla manual</t>
  </si>
  <si>
    <t xml:space="preserve">Mantenimiento correctivo y preventivo de la puerta eléctrica y talanqueras </t>
  </si>
  <si>
    <t xml:space="preserve">Mantenimiento correctivo para los vehículos marca Mitsubishi </t>
  </si>
  <si>
    <t xml:space="preserve">Mantenimiento  para los tanques de almacenamiento y equipos de bombeo hidráulicos </t>
  </si>
  <si>
    <t xml:space="preserve">Mantenimiento para plantas purificadoras </t>
  </si>
  <si>
    <t xml:space="preserve">Mantenimiento preventivo y correctivo de los automotores marca Chevrolet </t>
  </si>
  <si>
    <t xml:space="preserve">Polizas de seguro obligatorio SOAT </t>
  </si>
  <si>
    <t>Seguros de vida de los concejales</t>
  </si>
  <si>
    <t>Seguros para los intereses patrimoniales actuales y futuros,  los bienes de propiedad y la expedición de una póliza colectiva de seguro de vida para los Concejales</t>
  </si>
  <si>
    <t>Actividades de capacitación</t>
  </si>
  <si>
    <t xml:space="preserve">Bonos navideños para los hijos de los funcionarios </t>
  </si>
  <si>
    <t>Alquiler de escenarios / salones</t>
  </si>
  <si>
    <t xml:space="preserve">Elementos de promoción institucional </t>
  </si>
  <si>
    <t xml:space="preserve">Revisión, mantenimiento y recarga de extintores y  gabinetes contra incendio. </t>
  </si>
  <si>
    <t xml:space="preserve">Eelementos e insumos para primeros auxilios y dotar los botiquines </t>
  </si>
  <si>
    <t>Exámenes médicos ocupacionales y complementarios y aplicación de vacunas</t>
  </si>
  <si>
    <t xml:space="preserve">Estrategias de divulgación en medios de comunicación de carácter masivo y alternativo. </t>
  </si>
  <si>
    <t xml:space="preserve">Producción y transmisión de  programas de televisión </t>
  </si>
  <si>
    <t>Arrendamiento parqueadero</t>
  </si>
  <si>
    <t xml:space="preserve">Librería de cintas LTO - copias de respaldo (Backup) </t>
  </si>
  <si>
    <t>Software para Teletrabajo</t>
  </si>
  <si>
    <t>Soporte Oracle - servicios profesionales</t>
  </si>
  <si>
    <t>Aire acondicionado para el salón comuneros</t>
  </si>
  <si>
    <t>LÍNEA PAA 2016</t>
  </si>
  <si>
    <t>#Solicitudes / Fecha a radicar</t>
  </si>
  <si>
    <t>Fecha a radicar</t>
  </si>
  <si>
    <t>150398-0-2015</t>
  </si>
  <si>
    <t>Prestar los servicios profesionales al Concejo de Bogotá en la revisión al sistema Perno y desarrollo de software para las liquidaciones de los funcionarios realizada por el área de nómina, de conformidad con lo señalado en los estudios previos</t>
  </si>
  <si>
    <t>MARLON ENRIQUE MIRANDA TRUJILLO</t>
  </si>
  <si>
    <t>Radicada</t>
  </si>
  <si>
    <t>Control</t>
  </si>
  <si>
    <t>Javier Vidal</t>
  </si>
  <si>
    <t>Luisa Gutiérrez</t>
  </si>
  <si>
    <t>Lina González</t>
  </si>
  <si>
    <t>Verificación</t>
  </si>
  <si>
    <t>150404-0-2015</t>
  </si>
  <si>
    <t>Adquisición de vallas y conos de seguridad para el Concejo de Bogotá D.C.</t>
  </si>
  <si>
    <t>PUBLIDRUGS LTDA</t>
  </si>
  <si>
    <t>830080146-1</t>
  </si>
  <si>
    <t>SDH-SMINC-064-2015</t>
  </si>
  <si>
    <t>Único pago previa entrega de los bienes objeto del contrato.</t>
  </si>
  <si>
    <t>150397-0-2015</t>
  </si>
  <si>
    <t>ORACLE COLOMBIA LTDA</t>
  </si>
  <si>
    <t>CCE-211-AG-2015</t>
  </si>
  <si>
    <t>Mecanismo agregación</t>
  </si>
  <si>
    <t>Oracle</t>
  </si>
  <si>
    <t>150400-0-2015</t>
  </si>
  <si>
    <t>CENTURY MEDIA S A S</t>
  </si>
  <si>
    <t>830075011 - 4</t>
  </si>
  <si>
    <t>Prestar el servicio de diseño, producción y ejecución de estrategias de divulgación en medios de comunicación de carácter masivo, alternativo y comunitario para el Concejo de Bogotá, de conformidad con lo establecido en el pliego de condiciones del proceso SDH-SIE-17-2015</t>
  </si>
  <si>
    <t>SDH-SIE-17-2015</t>
  </si>
  <si>
    <t>Mensualidades vencidas de acuerdo a los servicios prestados</t>
  </si>
  <si>
    <t>3 meses y 9 días</t>
  </si>
  <si>
    <t>150402-0-2015</t>
  </si>
  <si>
    <t>Adquisición de licencias Oracle, infraestructura, y servicios de instalación, configuración, migración de datos y movimiento de aplicaciones para el Concejo de Bogotá, D.C.</t>
  </si>
  <si>
    <t>150401-0-2015</t>
  </si>
  <si>
    <t>FACTOR VISUAL (Adición)</t>
  </si>
  <si>
    <t>150405-0-2015</t>
  </si>
  <si>
    <t>PROSEGUR TECNOLOGIA S.A.S</t>
  </si>
  <si>
    <t>Prestar los servicios de valoración y mantenimiento preventivo de la plataforma del sistema de voto electrónico del Concejo de Bogotá D.C.</t>
  </si>
  <si>
    <t>SDH-SMINC-067-2015</t>
  </si>
  <si>
    <t>Un pago del 100% por la etapa de valoración y mantenimiento preventivo; pagos por demanda de los repuestos, partes, accesorios, elementos, equipos y/o software.</t>
  </si>
  <si>
    <t>150408-0-2015</t>
  </si>
  <si>
    <t>SOLUCIONES ICG S.A.S</t>
  </si>
  <si>
    <t>900891247-9</t>
  </si>
  <si>
    <t>Adquisición de un software Antivirus para garantizar la seguridad en estaciones de trabajo, servidores físicos y virtuales y correo electrónico del Concejo de Bogotá, de conformidad con lo establecido en la presente invitación pública.</t>
  </si>
  <si>
    <t>SDH-SMINC-69-2015</t>
  </si>
  <si>
    <t>Pago del 70% contraentrega documento de las licencias y funcionamiento del software, un pago del 10% recibido a satisfacción del mantenimiento preventivo, 10% segundo mantenimiento preventivo, un 10% por el servicio de capacitación y documentación técnica.</t>
  </si>
  <si>
    <t>ELVIN ALEXANDER AVEBDAÑO FONSECA (Cesionario) / JAVIER ANDRÉS VIDAL MELO (Antes)</t>
  </si>
  <si>
    <t>Servicios profesionales / Sistema Perno y desarrollos de software en nómina</t>
  </si>
  <si>
    <t>Alexander Avendaño</t>
  </si>
  <si>
    <t>Salvaguarda información</t>
  </si>
  <si>
    <t>Mitigación del riesgo - sistemas</t>
  </si>
  <si>
    <t>Retrato presidente</t>
  </si>
  <si>
    <t>Transcripción y elaboración de actas (6 contratos)</t>
  </si>
  <si>
    <t>Kawak</t>
  </si>
  <si>
    <t>Gestión mesa de servicios Aranda</t>
  </si>
  <si>
    <t>Mantenimiento Winisis</t>
  </si>
  <si>
    <t>Centro de cómputo</t>
  </si>
  <si>
    <t>Infraestructura de telecomunicaciones</t>
  </si>
  <si>
    <t>Adición y prórroga contrato 150351-0-2015</t>
  </si>
  <si>
    <t>Llantas</t>
  </si>
  <si>
    <t>Conectividad de canales de comunicación</t>
  </si>
  <si>
    <t>Vigilancia y seguridad</t>
  </si>
  <si>
    <t>Adición y prórroga al convenio 120000-518-2012</t>
  </si>
  <si>
    <t>Adquisición mobiliario</t>
  </si>
  <si>
    <t>Adquisición servidores</t>
  </si>
  <si>
    <t>Equipos de computo</t>
  </si>
  <si>
    <t>Software Microsoft</t>
  </si>
  <si>
    <t xml:space="preserve">Control de Incendios y movimiento </t>
  </si>
  <si>
    <t xml:space="preserve">SDH-SMINC-015-2014 </t>
  </si>
  <si>
    <t>Presupuesto Disponible () / PAA  (Enero 2016)</t>
  </si>
  <si>
    <t>5 meses y 16 dias</t>
  </si>
  <si>
    <t xml:space="preserve">1 mes </t>
  </si>
  <si>
    <t>160022-0-2016</t>
  </si>
  <si>
    <t>Suscripción a los diarios el TIEMPO Y PORTAFOLIO  para el concejo de Bogotá D.C.</t>
  </si>
  <si>
    <t>160002-0-2016</t>
  </si>
  <si>
    <t>UT AUTOGAS GRUPO EDS</t>
  </si>
  <si>
    <t>160049-0-2016</t>
  </si>
  <si>
    <t>UNIVERSIDAD NACIONAL DE COLOMBIA</t>
  </si>
  <si>
    <t>Prestar los servicios de mantenimiento correctivo y preventivo para las maquinas: impresoras litográfica Multilith, compaginadora, guillotina y cizalla manual ubicadas en la oficina de anales y publicaciones del Concejo de Bogotá D.C.</t>
  </si>
  <si>
    <t>160041-0-2016</t>
  </si>
  <si>
    <t>Adquirir a título de compra ejemplares del Directorio de Despachos Públicos de Colombia 2016, para el Concejo de Bogotá D.C.</t>
  </si>
  <si>
    <t>D P C LTDA DESPACHOS PUBLICOS DE COLOMBIA LTDA</t>
  </si>
  <si>
    <t>160045-0-2016</t>
  </si>
  <si>
    <t>VELEÑO ORREGO MARTINEZ DIAS ESTUDIO DE ABOGADOS</t>
  </si>
  <si>
    <t>160047-0-2016</t>
  </si>
  <si>
    <t>160066-0-2016</t>
  </si>
  <si>
    <t>SDH-SMINC-02-2016</t>
  </si>
  <si>
    <t>160072-0-2016</t>
  </si>
  <si>
    <t>RAFAELA ARIZA VARGAS</t>
  </si>
  <si>
    <t>160076-0-2016</t>
  </si>
  <si>
    <t>160053-0-2016</t>
  </si>
  <si>
    <t>899.999.115-8</t>
  </si>
  <si>
    <t>160069-0-2016</t>
  </si>
  <si>
    <t>UNIDAD NACIONAL DE PROTECCION - UNP</t>
  </si>
  <si>
    <t>ALCALA &amp; ESPINOSA DISEÑO Y CONSTRUCCIÓN Ltda.</t>
  </si>
  <si>
    <t>LEIDY YONETH RIVERA GONZALEZ (Cesionario) / LUISA FERNANDA GUTIÉRREZ RAMÍREZ (Antes)</t>
  </si>
  <si>
    <t>160092-0-2016</t>
  </si>
  <si>
    <t xml:space="preserve">Prestar servicios profesionales como abogado para apoyar la Dirección Jurídica del Concejo de Bogotá, en la asesoría y respuesta a derechos de petición, solicitudes, denuncias, quejas, consultas y reclamos que reciba la corporación. </t>
  </si>
  <si>
    <t>14 DIAS</t>
  </si>
  <si>
    <t>15 DIAS</t>
  </si>
  <si>
    <t>160082-0-2016</t>
  </si>
  <si>
    <t>Servicios profesionales Juridico</t>
  </si>
  <si>
    <t>2 MESES</t>
  </si>
  <si>
    <t>l</t>
  </si>
  <si>
    <t>28 días calendario</t>
  </si>
  <si>
    <t>160048-0-2016</t>
  </si>
  <si>
    <t>150092-0-2015</t>
  </si>
  <si>
    <t>160096-0-2016</t>
  </si>
  <si>
    <t>Prestar los servicios de mantenimiento preventivo y correctivo de los ascensores marca Mitsubishi del Concejo de Bogotá.</t>
  </si>
  <si>
    <t>160101-0-2016</t>
  </si>
  <si>
    <t>CLARA INES VARGAS MALAGON</t>
  </si>
  <si>
    <t>Prestar los servicios profesionales al Concejo de Bogotá, para apoyar el área de nómina especialmente en las áreas relacionadas con la seguridad social</t>
  </si>
  <si>
    <t xml:space="preserve"> SDH-LP-01-2014</t>
  </si>
  <si>
    <t xml:space="preserve">2 meses y 14 días </t>
  </si>
  <si>
    <t>4 meses y 29 dias</t>
  </si>
  <si>
    <t>160105-0-2016</t>
  </si>
  <si>
    <t>1 MES</t>
  </si>
  <si>
    <t>160112-0-2016</t>
  </si>
  <si>
    <t>2 meses y 14 días calendario</t>
  </si>
  <si>
    <t>160119-0-2016</t>
  </si>
  <si>
    <t>ANGELICA MARIA RUBIO POLANCO</t>
  </si>
  <si>
    <t>Servicios profesionales / Jurídica</t>
  </si>
  <si>
    <t>160116-0-2016</t>
  </si>
  <si>
    <t>160113-0-2016</t>
  </si>
  <si>
    <t>Prestar los servicios profesionales para apoyar el proceso de sistemas  y seguridad de la información del Concejo de Bogotá, en materia de seguridad informática</t>
  </si>
  <si>
    <t>160089-0-2016</t>
  </si>
  <si>
    <t xml:space="preserve"> 160113-0-2016</t>
  </si>
  <si>
    <t>Prestar los servicios profesionales para Apoyar al Director Jurídico del Concejo de Bogotá, en el marco de los asuntos jurídicos y de la defensa judicial con el fin de desarrollar las actividades de acuerdo a la normatividad vigente.</t>
  </si>
  <si>
    <t>160127-0-2016</t>
  </si>
  <si>
    <t>SDH-SMINC-04-2016</t>
  </si>
  <si>
    <t>SDH-SMINC-07-2016</t>
  </si>
  <si>
    <t>SDH-SMINC-06-2016</t>
  </si>
  <si>
    <t>160118-0-2016</t>
  </si>
  <si>
    <t>SDH-SAMC-01-2016</t>
  </si>
  <si>
    <t>860066942-7</t>
  </si>
  <si>
    <t>160129-0-2016</t>
  </si>
  <si>
    <t>160134-0-2016</t>
  </si>
  <si>
    <t>LEIDY YINETH RIVERA GOZNALEZ</t>
  </si>
  <si>
    <t>160087-0-2016</t>
  </si>
  <si>
    <t xml:space="preserve">1. Un primer pago por valor de $2.784.000 incluido Iva, correspondiente a la entrega de la actualización de las licencias, previo ingreso de las licencias al Almacén e instalación, así como la certificación de recibido a satisfacción por parte del supervisor, conforme a la propuesta económica remitida por el Contratista.
2. Se realizarán doce (12) mensualidades vencidas de Tres Millones Trescientos Sesenta y Cuatro Mil pesos ($3.364.000.oo) cada una incluido Iva, correspondientes al mantenimiento y soporte mensual.           3.Un (1) pago por valor de $1.856.000, incluido iva a la entrega de los ajustes a las planillas definidas, previo recibo a satisfacción por parte del supervisor del contrato.  
</t>
  </si>
  <si>
    <t>160137-0-2016</t>
  </si>
  <si>
    <t>LAURA VILLARRAGA ALBINO</t>
  </si>
  <si>
    <t>Prestar servicios profesionales para apoyar la gestión administrativa, documental y contractual en los asuntos de competencia del Concejo de Bogotá, D.C.</t>
  </si>
  <si>
    <t>160138-0-2016</t>
  </si>
  <si>
    <t>WILSON GUERRERO VERA</t>
  </si>
  <si>
    <t>Servicios profesionales / Apoyo  a las diferentes comisones</t>
  </si>
  <si>
    <t>160139-0-2016</t>
  </si>
  <si>
    <t>Prestar los servicios Profesionales para apoyar al Concejo de Bogotá en la adopción y manejo de las estrategias y acciones de cooperación para posicionar a la Corporación en el ámbito Nacional e Internacional</t>
  </si>
  <si>
    <t xml:space="preserve">Servicios profesionales </t>
  </si>
  <si>
    <t>160138-02016</t>
  </si>
  <si>
    <t>160141-0-2016</t>
  </si>
  <si>
    <t>Servicios Profesionales/ control interno</t>
  </si>
  <si>
    <t>160143-0-2016</t>
  </si>
  <si>
    <t>IVON ADRIANA JIMENEZ ZAPATA</t>
  </si>
  <si>
    <t>Servicios Proefesionales / Comunicaciones</t>
  </si>
  <si>
    <t>160136-0-2016</t>
  </si>
  <si>
    <t>160142-0-2016</t>
  </si>
  <si>
    <t>CAMILO ANDRÉS SARMIENTO DELGADO</t>
  </si>
  <si>
    <t>Control Interno</t>
  </si>
  <si>
    <t>160131-0-2016</t>
  </si>
  <si>
    <t>160148-0-2016</t>
  </si>
  <si>
    <t>Prestar los servicios profesionales para apoyar a  la oficina asesora de planeación y dirección administrativa en la ejecución, mantenimiento, sostenibilidad y mejora continua del subsistema de responsabilidad social del Concejo de Bogotá. D.C.</t>
  </si>
  <si>
    <t xml:space="preserve">150329-0-2015 </t>
  </si>
  <si>
    <t>160124-0-2016</t>
  </si>
  <si>
    <t>160150-0-2016</t>
  </si>
  <si>
    <t>COLOMBIANA DE COMERCIO S.A. Y/O ALKOSTO S.A.</t>
  </si>
  <si>
    <t>890900943-1</t>
  </si>
  <si>
    <t>Dentro de los 30 días calendario siguientes a la presentación</t>
  </si>
  <si>
    <t>Compraventa de llantas para el Concejo de Bogotá</t>
  </si>
  <si>
    <t>SDH-SMINC-10-2016</t>
  </si>
  <si>
    <t>PRESTACION DE SERVCIOS</t>
  </si>
  <si>
    <t>160144-0-2016</t>
  </si>
  <si>
    <t>ELENCO INGENIEROS SAS</t>
  </si>
  <si>
    <t>SDH-SMINC-16-2016</t>
  </si>
  <si>
    <t>Se realizara un pago mes vencido del valor total del servicio prestado.</t>
  </si>
  <si>
    <t>160132-0-2016</t>
  </si>
  <si>
    <t>Mantenimiento Automotor</t>
  </si>
  <si>
    <t>4 mese</t>
  </si>
  <si>
    <t>160147-0-2016</t>
  </si>
  <si>
    <t>Se efectuarán los pagos por mensualidades vencidas de acuerdo con los servicios realizados dentro del mes.</t>
  </si>
  <si>
    <t>160122-0-2016</t>
  </si>
  <si>
    <t>HERNANDO BULLA ORJUELA</t>
  </si>
  <si>
    <t>160152-0-2016</t>
  </si>
  <si>
    <t xml:space="preserve">Prestar los servicios profesionales para apoyar al Director Administrativo del Concejo de Bogotá, en los asuntos propios de la dependencia en el marco del Sistema Integrado de Gestión. </t>
  </si>
  <si>
    <t>Servicios Profesionales/ Director Administrativo</t>
  </si>
  <si>
    <t>Pagos Mensuales</t>
  </si>
  <si>
    <t>SDH-SMINC-09-2016</t>
  </si>
  <si>
    <t>160145-0-2016</t>
  </si>
  <si>
    <t>INTELLIGENT BUSINESSES S.A.S-</t>
  </si>
  <si>
    <t>830144050-8</t>
  </si>
  <si>
    <t>Adquisición de un aire acondicionado para el salón comuneros del Concejo de Bogotá, D.C.</t>
  </si>
  <si>
    <t>SDH-SMINC-013-2016</t>
  </si>
  <si>
    <t>160153-0-2016</t>
  </si>
  <si>
    <t>JOHANA ANDREA POVEDA VELASCO</t>
  </si>
  <si>
    <t>Prestar los servicios profesionales para apoyar el seguimiento a los procesos de adquisición de bienes y servicios y la ejecución de los contratos para el Concejo de Bogotá.</t>
  </si>
  <si>
    <t>Un primer pago equivalente al 30% del valor total del contrato, al recibo a satisfacción del equipo por parte del supervisor  y el respectivo ingreso a almacen de la SDH, Un segundo pago equivalente al 70% del valor total del contrato una vez instalado, configurado, puesto en funcionamiento el equipo y realizada la capacitación</t>
  </si>
  <si>
    <t>Aire Acondicionado</t>
  </si>
  <si>
    <t>160161-0-2016</t>
  </si>
  <si>
    <t>UNION TEMPORAL ZONA - WAS</t>
  </si>
  <si>
    <t>SDH-LP-02-2016</t>
  </si>
  <si>
    <t>160162-0-2016</t>
  </si>
  <si>
    <t>JULIO ANDRÉS SANCHEZ SANCHEZ</t>
  </si>
  <si>
    <t>Prestar los servicios profesionales para apoyar la definición de especificaciones y condiciones técnicas para la adquisición de bienes y servicios principalmente los relacionados con tecnología e informática y el seguimiento a la ejecución de los mismos.</t>
  </si>
  <si>
    <t>a</t>
  </si>
  <si>
    <t>SDH-SAMC-02-2016</t>
  </si>
  <si>
    <t>1 mes y 3 días</t>
  </si>
  <si>
    <t>160154-0-2016</t>
  </si>
  <si>
    <t>Prestar los servicios de administración y soporte técnico para la plataforma Microsoft del Concejo de Bogotá.</t>
  </si>
  <si>
    <t>160171-0-2016</t>
  </si>
  <si>
    <t>DIRECTV COLOMBIA Ltda.</t>
  </si>
  <si>
    <t>SDH-SMINC-25-2016</t>
  </si>
  <si>
    <t>160163-0-2016</t>
  </si>
  <si>
    <t>LUIS EDUARDO CARVAJALINO SANCHEZ</t>
  </si>
  <si>
    <t>19214464-2</t>
  </si>
  <si>
    <t>Mantenimiento Locativo</t>
  </si>
  <si>
    <t>SDH-SMINC-14-2016</t>
  </si>
  <si>
    <t>El 90% del contrato se cancelará mediante 10 pagos mensuales iguales, previa presentación del informe de interventoría del respectivo mes, el 10% del valor total del contrato, dentro de los 15 días hábiles siguientes a la firma del acta de liquidación del contrato objeto de interventoría.</t>
  </si>
  <si>
    <t>160165-0-2016</t>
  </si>
  <si>
    <t>USA POSTAL S.A.</t>
  </si>
  <si>
    <t>830112988-3</t>
  </si>
  <si>
    <t>Prestar el servicio de transporte de bienes muebles, equipos de oficina y cajas de archivo documental para el Concejo de Bogotá, D.C.</t>
  </si>
  <si>
    <t>SDH-SMINC-20-2016</t>
  </si>
  <si>
    <t>160180-0-2016</t>
  </si>
  <si>
    <t>Arrendamiento de inmueble para uso de parqueadero de vehículos y motocicletas del Concejo de Bogotá, D.C.</t>
  </si>
  <si>
    <t>160166-0-2016</t>
  </si>
  <si>
    <t>Realizar las auditorias para la renovación de la certificación a los Sistemas  de Gestión de Ambiental y Seguridad y Salud Ocupacional bajo las normas ISO 14001:2004  y OHSAS 18001:2007 al Concejo de Bogotá D.C.</t>
  </si>
  <si>
    <t>SDH-SMINC-22-2016</t>
  </si>
  <si>
    <t>El servicio será cancelado una vez realizada la auditoría de  renovación  y entrega del informe de resultado de la auditoría, previa presentación de la factura y aprobación de la misma,.</t>
  </si>
  <si>
    <t>PRESTACION DE SERVICOS</t>
  </si>
  <si>
    <t>160178-0-2016</t>
  </si>
  <si>
    <t>Prestar el servicio de mantenimiento con suministro de repuesto para plantas purificadoras semi-industriales de agua del Concejo de Bogotá.</t>
  </si>
  <si>
    <t>SDH-SMINC-26-2016</t>
  </si>
  <si>
    <t>Se realizara un pago por cada una de las visitas de mantenimiento preventivo efectuada y el suminstro de repuestos para el Concejo de Bogotá, D.C.</t>
  </si>
  <si>
    <t>160156-0-2016</t>
  </si>
  <si>
    <t>Suministro de elementos de promoción institucional y actos protocolarios del Concejo de Bogotá, D.C., de conformidad con lo establecido en la presente invitación pública SDH-SMINC-17-2016 y la propuesta presentada por ustedes.</t>
  </si>
  <si>
    <t>SDH-SMINC-17-2016</t>
  </si>
  <si>
    <t>160170-0-2016</t>
  </si>
  <si>
    <t xml:space="preserve">UNION TEMPORAL RGV </t>
  </si>
  <si>
    <t>Pagos mensuales vencidos</t>
  </si>
  <si>
    <t>SDH-SAMC-03-2016</t>
  </si>
  <si>
    <t>160188-0-2016</t>
  </si>
  <si>
    <t>Prestar el servicio integral de fotocopiado y servicios afines para el Concejo de Bogotá, de conformidad con lo establecido en el pliego de condiciones del proceso de subasta inversa electrónica No. SDH- SIE-10-2016  y la propuesta presentada por el contratista.</t>
  </si>
  <si>
    <t>SDH-SMINC-23-2016</t>
  </si>
  <si>
    <t>160185-0-2016</t>
  </si>
  <si>
    <t>EDER GIOVANNY CASTIBLANCO ORJUELA</t>
  </si>
  <si>
    <t>80807003-8</t>
  </si>
  <si>
    <t>Un pago a la entrega del servicio de acuerdo con el número de mantenimientos, repuestos y recargas realizadas a los extintores.</t>
  </si>
  <si>
    <t>4 meses y 15 días</t>
  </si>
  <si>
    <t>SDH-SIE-10-2016</t>
  </si>
  <si>
    <t>SDH-SMINC-28-2016</t>
  </si>
  <si>
    <t>Servicios Profesionales/ Dirección Financiera</t>
  </si>
  <si>
    <t>160195-0-2016</t>
  </si>
  <si>
    <t>SOLUCIONES INTEGRALES MJ SAS</t>
  </si>
  <si>
    <t>900664115-2</t>
  </si>
  <si>
    <t>SDH-SMINC-24-2016</t>
  </si>
  <si>
    <t>160198-0-2016</t>
  </si>
  <si>
    <t>INGENIERIA Y SOLUCIONES EN CONTROL AUTOMATIZACION Y DISEÑO SAS</t>
  </si>
  <si>
    <t>900462717-9</t>
  </si>
  <si>
    <t>SDH-SMINC-29-2016</t>
  </si>
  <si>
    <t>Javier Quintero</t>
  </si>
  <si>
    <t>Johana Poveda</t>
  </si>
  <si>
    <t>Laura Villarraga</t>
  </si>
  <si>
    <t>Camilo Sarmiento</t>
  </si>
  <si>
    <t>Julio Andres Sanchez</t>
  </si>
  <si>
    <t>160199-0-2016</t>
  </si>
  <si>
    <t>830109807-8</t>
  </si>
  <si>
    <t>SDH-SMINC-30-2016</t>
  </si>
  <si>
    <t>160183-0-2016</t>
  </si>
  <si>
    <t>BUSINESS INTELLIGENCE SOFTWARE ASSESSOR CORPORATION  Ltda.</t>
  </si>
  <si>
    <t>830126645-3</t>
  </si>
  <si>
    <t>Prestar soporte y actualización del software de gestión documental-Winisis para el Concejo de Bogotá.</t>
  </si>
  <si>
    <t>SDH-SMINC-27-2016</t>
  </si>
  <si>
    <t>1 mes y 23 días</t>
  </si>
  <si>
    <t xml:space="preserve"> 140344-0-2014</t>
  </si>
  <si>
    <t xml:space="preserve"> 140159-0-2014</t>
  </si>
  <si>
    <t xml:space="preserve"> 140160-0-2014</t>
  </si>
  <si>
    <t xml:space="preserve"> SDH-SIE-10-2014</t>
  </si>
  <si>
    <t xml:space="preserve"> SDH-SMINC-03-2014</t>
  </si>
  <si>
    <t xml:space="preserve"> SDH-SIE-001-2014</t>
  </si>
  <si>
    <t xml:space="preserve"> SDH-SMINC-020-2014</t>
  </si>
  <si>
    <t xml:space="preserve"> SDH-SMINC-046-2014</t>
  </si>
  <si>
    <t xml:space="preserve"> SDH-SIE-04-2014</t>
  </si>
  <si>
    <t xml:space="preserve"> 140282-0-2014</t>
  </si>
  <si>
    <t xml:space="preserve"> SDH-SIE-25-2014</t>
  </si>
  <si>
    <t xml:space="preserve"> SDH-SMINC-58-2014</t>
  </si>
  <si>
    <t>160208-0-2016</t>
  </si>
  <si>
    <t>SOLUCIONES H &amp; S SAS</t>
  </si>
  <si>
    <t>Prestar el servicio de mantenimiento preventivo y correctivo con suministro de repuestos de la puerta eléctrica y talanqueras de acceso vehicular al Concejo de Bogotá, D.C.</t>
  </si>
  <si>
    <t>SDH-SMINC-31-2016</t>
  </si>
  <si>
    <t>160213-0-2016</t>
  </si>
  <si>
    <t>Suscripción a la Revista Semana, para el Concejo de Bogotá, D.C., de conformidad a lo establecido en los estudios previos.</t>
  </si>
  <si>
    <t>160215-0-2016</t>
  </si>
  <si>
    <t>DIDIER WALTE ESTEVEZ VASQUEZ</t>
  </si>
  <si>
    <t>Prestar los servicios de apoyo administrativo y operativo para la liquidación y el cierre de los expedientes contractuales en el marco de las labores de supervisión asignadas a la Dirección del Concejo de Bogotá.</t>
  </si>
  <si>
    <t>Servicios profesionales / Apoyo para la liquidación</t>
  </si>
  <si>
    <t>160216-0-2016</t>
  </si>
  <si>
    <t>DANIELA ANTOLINEZ AUGELLO</t>
  </si>
  <si>
    <t>Prestar los servicios de apoyo al procedimiento de bonos pensionales para coadyuvar con las actividades de actualización y administración de la información de os funcionarios y exfuncionarios en cuanto a los trámites pensionales.</t>
  </si>
  <si>
    <t>Servicios profesionales / Apoyo para bonos pensionales</t>
  </si>
  <si>
    <t>160214-0-2016</t>
  </si>
  <si>
    <t>Prestar el soporte y actualización del software para la gestión de la mesa de servicios - Aranda para el Concejo de Bogotá.</t>
  </si>
  <si>
    <t>3 pagos de acuerdo a los servicios recibidos.</t>
  </si>
  <si>
    <t xml:space="preserve"> 160214-0-2016</t>
  </si>
  <si>
    <t>DIANA PILAR DELGADO BARRERO</t>
  </si>
  <si>
    <t>160234-0-2016</t>
  </si>
  <si>
    <t>COMUNICAN S.A.</t>
  </si>
  <si>
    <t>Suscripción al diario EL ESPECTADOR para el Concejo de Bogotá.</t>
  </si>
  <si>
    <t>160225-0-2016</t>
  </si>
  <si>
    <t>INSTITUCIONAL STAR SERVICES Ltda.</t>
  </si>
  <si>
    <t>Suministro de papelería, útiles de escritorio para el Concejo de Bogotá de conformidad con lo establecido en el pliego de condiciones SDH-SIE-11-2016 y la propuesta presentada.</t>
  </si>
  <si>
    <t>SDH-SIE-11-2016</t>
  </si>
  <si>
    <t>SDH-SIE-02-2016</t>
  </si>
  <si>
    <t>160237-0-2016</t>
  </si>
  <si>
    <t>YAMEL ORLANDO MARTINEZ BALAGUERA</t>
  </si>
  <si>
    <t>160233-0-2016</t>
  </si>
  <si>
    <t>Prestar el soporte y actualización del software para el manejo documental - Infodoc para el Concejo de Bogotá.</t>
  </si>
  <si>
    <t>Un pago de $4.200,000, con la entrega del certificado de actualización y soporte de licenciamiento y ocho (8) pagos mensuales de $475,000, corespondientes al soporte y mantenimiento del software.</t>
  </si>
  <si>
    <t>160228-0-2016</t>
  </si>
  <si>
    <t>901009929-6</t>
  </si>
  <si>
    <t xml:space="preserve">Desarrollar las actividades en los Planes de Bienestar  e Incentivos y Mejoramiento del clima laboral para el Concejo de Bogotá D.C. </t>
  </si>
  <si>
    <t>SDH-LP-04-2016</t>
  </si>
  <si>
    <t>Mensuales de acuerdo a las actividades efectivamente ejecutadas.</t>
  </si>
  <si>
    <t>160238-0-2016</t>
  </si>
  <si>
    <t>Suscripción al diario el Nuevo Siglo para el Concejo de Bogotá.</t>
  </si>
  <si>
    <t>UT HACIENDA BOGOTA 2016</t>
  </si>
  <si>
    <t xml:space="preserve"> SDH-SMINC-002-2014</t>
  </si>
  <si>
    <t xml:space="preserve"> SDH-SMINC-01-2014</t>
  </si>
  <si>
    <t xml:space="preserve"> SDH-SMINC-05-2014</t>
  </si>
  <si>
    <t xml:space="preserve"> SDH-SMINC-08-2014</t>
  </si>
  <si>
    <t xml:space="preserve"> SDH-SMINC-16-2014</t>
  </si>
  <si>
    <t xml:space="preserve"> SDH-SMINC-13-2014</t>
  </si>
  <si>
    <t>160236-0-2016</t>
  </si>
  <si>
    <t>Prestar servicios para apoyar los procedimientos de organización documental y demás actividades relacionadas con los expedientes de liquidación y pago de cesantías de los trabajadores del Concejo de Bogotá.</t>
  </si>
  <si>
    <t>Servicios profesionales / Apoyo para Cesantías</t>
  </si>
  <si>
    <t>LUZ YANETH RODRIGUEZ TRIANA</t>
  </si>
  <si>
    <t>160242-0-2016</t>
  </si>
  <si>
    <t>JONATHAN ESTIBEN ZAMUDIO VARGAS</t>
  </si>
  <si>
    <t>Prestar los servicios para apoyar los procedimientos de organización documental del Concejo de Bogotá.</t>
  </si>
  <si>
    <t>Servicios profesionales / Apoyo organización documental</t>
  </si>
  <si>
    <t>4 meses             17 días</t>
  </si>
  <si>
    <t>160231-0-2016</t>
  </si>
  <si>
    <t>BOBINADOS Y SUMINISTROS S.A.S</t>
  </si>
  <si>
    <t>900595845-4</t>
  </si>
  <si>
    <t>SDH-SMINC-34-2016</t>
  </si>
  <si>
    <t>160245-0-2016</t>
  </si>
  <si>
    <t>3 meses 24 días</t>
  </si>
  <si>
    <t>6 meses 24 días</t>
  </si>
  <si>
    <t>160244-0-2016</t>
  </si>
  <si>
    <t>Prestar servicios profesionales para apoyar el Concejo de Bogotá en el enlace con la Unidad Ejecutora 04 de la Secretaria de Hacienda para la liquidación y cierre de los expedientes contractuales.</t>
  </si>
  <si>
    <t>160241-0-2016</t>
  </si>
  <si>
    <t>CLAUDIA VIVIANA VANEGAS BELTRAN</t>
  </si>
  <si>
    <t>GIOVANNI SUAREZ USECHE</t>
  </si>
  <si>
    <t>160240-0-2016</t>
  </si>
  <si>
    <t>DORA PINILLA HERNANDEZ</t>
  </si>
  <si>
    <t>160250-0-2016</t>
  </si>
  <si>
    <t>SDH-SMINC-36-2016</t>
  </si>
  <si>
    <t>160243-0-2016</t>
  </si>
  <si>
    <t>BUSINESSMIND COLOMBIA S.A.</t>
  </si>
  <si>
    <t>Prestar servicios de administración y soporte técnico para la plataforma oracle del Concejo de Bogotá, D.C.</t>
  </si>
  <si>
    <t>SDH-SMINC-37-2016</t>
  </si>
  <si>
    <t>Prestar el servicio de almacenamiento para los tanques de almacenamiento y equipos de bombeo hidráulicos de agua potable, residual y aguas negras del Concejo de Bogotá D.C.</t>
  </si>
  <si>
    <t>1 mes y 7 días</t>
  </si>
  <si>
    <t>3 meses y 7 días</t>
  </si>
  <si>
    <t>160248-0-2016</t>
  </si>
  <si>
    <t>SDH-SIE-12-2016</t>
  </si>
  <si>
    <t>160255-0-2016</t>
  </si>
  <si>
    <t>INTERAMERICANA DE SISTEMAS Y SEGURIDAD S.A. INTERSEG SA</t>
  </si>
  <si>
    <t>800090427-8</t>
  </si>
  <si>
    <t xml:space="preserve">Prestar los servicios de mantenimiento y soporte a la plataforma del sistema de voto electrónico del Concejo de Bogotá, D.C., de conformidad con lo establecido en el pliego de condiciones del proceso SDH-SIE-15-2016 </t>
  </si>
  <si>
    <t>Cuatro pagos equivalentes c/u al 25% asignados a servicio de mantenimiento preventivo, soporte y mantenimiento correctivo.</t>
  </si>
  <si>
    <t>SDH-SIE-15-2016</t>
  </si>
  <si>
    <t xml:space="preserve">Suministrar los servicios de mantenimiento preventivo y correctivo con repuestos y bienes fungibles para los elementos del centro de cableado del Concejo de Bogotá D.C. </t>
  </si>
  <si>
    <t>1 mes - 15 días</t>
  </si>
  <si>
    <t>160260-0-2016</t>
  </si>
  <si>
    <t>MAP INGENIEROS Y/O MARIA FERNANDA CORTES EU</t>
  </si>
  <si>
    <t>830135234-8</t>
  </si>
  <si>
    <t>Adquisición de elementos ergonómicos para adecuar los puestos de trabajo de los funcionarios del Concejo de Bogotá, D.C.</t>
  </si>
  <si>
    <t>SDH-SMINC-40-2016</t>
  </si>
  <si>
    <t>Elementos Ergonómicos</t>
  </si>
  <si>
    <t>MARTHA PATRICIA TAPIA HENRIQUEZ</t>
  </si>
  <si>
    <t>160269-0-2016</t>
  </si>
  <si>
    <t>899999115-8</t>
  </si>
  <si>
    <t>Contratar el Outsourcing Integral para los servicios de Gestión de Mesa de Ayuda, Gestión de Impresión para el Concejo de Bogotá, de conformidad con los documentos previos y la oferta económica, que hacen parte integral del presente contrato.</t>
  </si>
  <si>
    <t>160277-0-2016</t>
  </si>
  <si>
    <t>Acuerdo Marco de Precios</t>
  </si>
  <si>
    <t>Orden de compra No.. 12051</t>
  </si>
  <si>
    <t>SDH-SMINC-46-2016</t>
  </si>
  <si>
    <t>SOLUCIONES H &amp; S  S.A.S</t>
  </si>
  <si>
    <t>Prestar el servicio de alquiler, instalación y desmonte de la decoración navideña para el Concejo de Bogotá D.C.</t>
  </si>
  <si>
    <t>160282-0-2016</t>
  </si>
  <si>
    <t>160273-0-2016</t>
  </si>
  <si>
    <t>Adquirir una solución de telefonía móvil para el Concejo de Bogotá.</t>
  </si>
  <si>
    <t>2 meses   12 días calendario</t>
  </si>
  <si>
    <t>2 meses     12 días calendario</t>
  </si>
  <si>
    <t>ALMACENES ÉXITO S.A.</t>
  </si>
  <si>
    <t>160287-0-2016</t>
  </si>
  <si>
    <t>Adquisición de bonos navideños para los hijos de los funcionarios del Concejo de Bogotá, D.C.</t>
  </si>
  <si>
    <t>Se pagará mensualmente el valor de los bonos navideños redimidos por los beneficiarios durante el periodo.</t>
  </si>
  <si>
    <t>SDH-SAMC-06-2016</t>
  </si>
  <si>
    <t>23 días</t>
  </si>
  <si>
    <t>7 meses          23 días</t>
  </si>
  <si>
    <t>160294-0-2016</t>
  </si>
  <si>
    <t>MARTIN LOPEZ LESMES</t>
  </si>
  <si>
    <t>160296-0-2016</t>
  </si>
  <si>
    <t>Número de Orden: 12668</t>
  </si>
  <si>
    <t>Televisores</t>
  </si>
  <si>
    <t>160293-0-2016</t>
  </si>
  <si>
    <t>ANGELA LIZETH PEÑA PARRA</t>
  </si>
  <si>
    <t>Prestar servicios de apoyo Administrativo y operativo a la Dirección Financiera en las actividades requeridas que se adelantan para gestionar el convenio ICETEX</t>
  </si>
  <si>
    <t>Servicios Profesionales/ Apoyo convenio ICETEX</t>
  </si>
  <si>
    <t>160284-0-2016</t>
  </si>
  <si>
    <t>Prestar el servicio de empaste y encuadernación de los documentos del Concejo de Bogotá, D.C.</t>
  </si>
  <si>
    <t>Oscar Cardenas</t>
  </si>
  <si>
    <t>SDH-SMINC-44-2016</t>
  </si>
  <si>
    <t>160307-0-2016</t>
  </si>
  <si>
    <t>ALGOAP SAS</t>
  </si>
  <si>
    <t>900336372-2</t>
  </si>
  <si>
    <t xml:space="preserve">Prestar los servicios integrales de aseo y cafetería y el servicio integral de fumigación para las instalaciones del Concejo de Bogotá, D.C. </t>
  </si>
  <si>
    <t>mensuales según los servicios prestados</t>
  </si>
  <si>
    <t>SDH-SMINC-48-2016</t>
  </si>
  <si>
    <t>160305-0-2016</t>
  </si>
  <si>
    <t>DIVISER SAS</t>
  </si>
  <si>
    <t>SDH-SIE-13-2016</t>
  </si>
  <si>
    <t>Un primer pago por el 30% del valor de la oferta, previa entrega items 24,25 y 26 y un segundo pago por el 70% de la oferta a la entrega y montaje, a satisfacción de la totalidad de los muebles.</t>
  </si>
  <si>
    <t>160306-0-2016</t>
  </si>
  <si>
    <t>ARTEINOX S.A.S</t>
  </si>
  <si>
    <t>900209975-1</t>
  </si>
  <si>
    <t xml:space="preserve">Adquisición de hornos microondas industriales para el Concejo de Bogotá. </t>
  </si>
  <si>
    <t>SDH-SMINC-49-2016</t>
  </si>
  <si>
    <t>Hornos Microondas</t>
  </si>
  <si>
    <t>160314-0-2016</t>
  </si>
  <si>
    <t>SIIGO S.A.</t>
  </si>
  <si>
    <t>830048145-8</t>
  </si>
  <si>
    <t>Prestar servicios de mantenimiento y actualización de módulo de contabilidad programa SIIGO</t>
  </si>
  <si>
    <t>160310-0-2016</t>
  </si>
  <si>
    <t>PRACO DIDACOL S.A.S</t>
  </si>
  <si>
    <t>860047657-1</t>
  </si>
  <si>
    <t>Adquirir a título de compraventa un vehículo para la Secretaria Distrital de Hacienda D.C., destinado al parque automotor del Concejo de Bogotá, D.C.</t>
  </si>
  <si>
    <t>Pago contra entrega</t>
  </si>
  <si>
    <t>Vehículo</t>
  </si>
  <si>
    <t>SDH-SIE-23-2016</t>
  </si>
  <si>
    <t>160301-0-2016</t>
  </si>
  <si>
    <t>INPROSERVICES INGENIERIA SAS</t>
  </si>
  <si>
    <t>900226883-2</t>
  </si>
  <si>
    <t>Prestar servicios de mantenimiento preventivo, correctivo y soporte técnico especializado para el sistema biométrico del Concejo de Bogotá.</t>
  </si>
  <si>
    <t xml:space="preserve">Se realizará de la siguiente forma:
- Mantenimiento preventivo: en dos pagos, cada uno en el mes en equ se lleve.
- Mantenimiento correctivo y soporte técnico: Se realizarán 5 pagos mensuales iguales.
- Repuestos y/o elementos: seran cancelados mensualmente de acuerdo a a demanda </t>
  </si>
  <si>
    <t>Sistema Biómetrico</t>
  </si>
  <si>
    <t>SDH-SMINC -50-2016</t>
  </si>
  <si>
    <t>160315-0-2016</t>
  </si>
  <si>
    <t>FABRICAMOS SUDADERA LIMITADA</t>
  </si>
  <si>
    <t>800221644-3</t>
  </si>
  <si>
    <t>Adquirir uniformes y elementos deportivos para los funcionarios del Concejo de Bogotá, D.C.</t>
  </si>
  <si>
    <t>160319-0-2016</t>
  </si>
  <si>
    <t>NEX COMPUTER SA</t>
  </si>
  <si>
    <t>REDCOMPUTO  LTDA</t>
  </si>
  <si>
    <t>830016004-0</t>
  </si>
  <si>
    <t xml:space="preserve">Primer pago: Pago anticipado del 30% del valor total del contrato
Segundo Pago: pago por el 40%  a la entrega del bien
Tercer Pago: el 30% del valor despues de la instalación </t>
  </si>
  <si>
    <t>160304-0-2016</t>
  </si>
  <si>
    <t>800015583-1</t>
  </si>
  <si>
    <t xml:space="preserve">Se realizara:
- Un primer pago: el 40% del valor definido en el ítem 1 de la oferta 
- Segundo Pago: por el saldo del valor definido en el ítem 1 de la oferta
- Tercer Pago: por el valor total del ítem 4 de la oferta
-Cuarto pago: pago total del valor definido en el ítem 5 de la oferta </t>
  </si>
  <si>
    <t>160317-0-2016</t>
  </si>
  <si>
    <t>INVERSIONES INARDEX E.U.</t>
  </si>
  <si>
    <t>832010241-1</t>
  </si>
  <si>
    <t xml:space="preserve">Suministro e instalación de elementos necesarios para el control de acceso vehicular, seguridad e iluminación al sótano de parqueaderos del Concejo de Bogotá D.C., del inmueble ubicado en la Plazoleta La Democracia.  </t>
  </si>
  <si>
    <t>Se realizará:
- Un primer pago: correspondiente al valor del ítem No. 3 previa entrega
- Un segundo pago:correspondiente al valor de los ítems 1,2,4,5 previa entrega</t>
  </si>
  <si>
    <t>SDH-SIE-22-2016</t>
  </si>
  <si>
    <t>Servidores</t>
  </si>
  <si>
    <t>Computadores</t>
  </si>
  <si>
    <t>SDH-SIE-19-2016</t>
  </si>
  <si>
    <t>SDH-SMINC-52-2016</t>
  </si>
  <si>
    <t>SDH-SIE-20-2016</t>
  </si>
  <si>
    <t>Adquisición de la librería de cintas LTO para la generación de copias de respaldo (Backup) y reinstalación del software de generación de back ups Data Protector para el Concejo de Bogotá, de conformidad con lo establecido en el presente pliego de condiciones SDH-SIE-20-2016</t>
  </si>
  <si>
    <t>Librería de cintas LTO</t>
  </si>
  <si>
    <t>SDH-SAMC-07-2016</t>
  </si>
  <si>
    <t>Adquisición de Equipos</t>
  </si>
  <si>
    <t>160276-0-2016</t>
  </si>
  <si>
    <t xml:space="preserve">ECA INTERVENTORIAS Y CONSULTORIAS DE COLOMBIA S.A.S </t>
  </si>
  <si>
    <t>800048991-3</t>
  </si>
  <si>
    <t xml:space="preserve">Realizar la inspección a los ascensores de las instalaciones del Concejo de Bogotá, de conformidad con lo establecido en el acuerdo distrital 470 de 2011 y la invitación pública SDH-SMINC-43-2016 </t>
  </si>
  <si>
    <t>170004-0-2017</t>
  </si>
  <si>
    <t>SDH-SMINC-43-2016</t>
  </si>
  <si>
    <t>160316-0-2016</t>
  </si>
  <si>
    <t>Cuatro pagos de la siguiente manera:
- el primero: el 30% una vez implementados los esquemas de seguridad
-El  segundo: el 20% finalizado el tercer mes de ejecución.
-el tercero: el 20% finalizado el sexto mes de ejecución.
-el Cuarto: correspondiente al saldo una vez finalizado el convenio.</t>
  </si>
  <si>
    <t>170002-0-2017</t>
  </si>
  <si>
    <t>170001-0-2017</t>
  </si>
  <si>
    <t>PERIODICOS Y PUBLICACIONES SA</t>
  </si>
  <si>
    <t>804010934-3</t>
  </si>
  <si>
    <t xml:space="preserve">Prestar los servicios de diseño, producción y ejecución de estrategias de divulgación en medios de comunicación de carácter masivo y alternativo para el Concejo de Bogotá; D.C., de conformidad con lo establecido en el pliego de condiciones de la subasta inversa electrónica SDH-SIE-24-2016 y la propuesta presentada por el contratista </t>
  </si>
  <si>
    <t>170014-0-2017</t>
  </si>
  <si>
    <t xml:space="preserve">Prestar servicios profesionales para apoyar a la Dirección Jurídica del Concejo de Bogotá, en la asesoría y respuesta a derechos de petición, solicitudes, denuncias, quejas, consultas y reclamos que reciba la corporación. </t>
  </si>
  <si>
    <t>SDH-SIE-24-2016</t>
  </si>
  <si>
    <t>170021-0-2017</t>
  </si>
  <si>
    <t>Edwin Oswaldo Peña Roa</t>
  </si>
  <si>
    <t>170041-0-2017</t>
  </si>
  <si>
    <t>SOLUCIONES ICG SAS</t>
  </si>
  <si>
    <t>Prestar soporte y actualización del software antivirus para el Concejo de Bogotá.</t>
  </si>
  <si>
    <t>se realizará:
- Primero en actualización del licenciamiento
-Servicios conexos</t>
  </si>
  <si>
    <t>SDH-SMINC-01-2017</t>
  </si>
  <si>
    <t>170045-0-2017</t>
  </si>
  <si>
    <t>mensualidades vencidas</t>
  </si>
  <si>
    <t xml:space="preserve"> 120000-518-0-2012</t>
  </si>
  <si>
    <t>1 año y 6 meses</t>
  </si>
  <si>
    <t>170049-0-2017</t>
  </si>
  <si>
    <t>Prestar servicios de mantenimiento correctivo con suministro de repuestos para los vehículos marca Mitsubshi al servicio del Concejo de Bogotá.</t>
  </si>
  <si>
    <t>16 días calendario</t>
  </si>
  <si>
    <t>1 mes y 16 días calendario</t>
  </si>
  <si>
    <t>170064-0-2017</t>
  </si>
  <si>
    <t>Suscripción a los diarios el TIEMPO Y PORTAFOLIO para el Concejo de Bogotá D.C.</t>
  </si>
  <si>
    <t>SOLUCIONES H &amp; S S.A.S</t>
  </si>
  <si>
    <t>900699012-3</t>
  </si>
  <si>
    <t>Prestar servicios de mantenimiento preventivo y correctivo de las alarmas de emergencia ubicadas en la sede principal del Concejo de Bogotá.</t>
  </si>
  <si>
    <t xml:space="preserve"> SDH-SMINC-05-2017</t>
  </si>
  <si>
    <t>170069-0-2017</t>
  </si>
  <si>
    <t>170059-0-2017</t>
  </si>
  <si>
    <t>170056-0-2017</t>
  </si>
  <si>
    <t>SDH-SMINC-07-2017</t>
  </si>
  <si>
    <t>170085-0-2017</t>
  </si>
  <si>
    <t>SERVIASEO S.A.</t>
  </si>
  <si>
    <t>170079-0-2017</t>
  </si>
  <si>
    <t>900333228-6</t>
  </si>
  <si>
    <t>Prestar el servicio de mantenimiento con suministro de repuestos para plantas purificadoras semi-industriales de agua del Concejo de Bogotá.</t>
  </si>
  <si>
    <t xml:space="preserve"> SDH-LP-01-2017</t>
  </si>
  <si>
    <t>AGR SOLUCIONES SAS</t>
  </si>
  <si>
    <t>SDH-SMINC-09-2017</t>
  </si>
  <si>
    <t>170083-0-2017</t>
  </si>
  <si>
    <t>900268429-1</t>
  </si>
  <si>
    <t xml:space="preserve">Prestar servicios de mantenimiento preventivo y correctivo al sistema eléctrico del centro Administrativo Distrital CAD y al sistema de generación y transferencia eléctrica de emergencia del Concejo de Bogotá. </t>
  </si>
  <si>
    <t>SDH-SMINC-10-2017</t>
  </si>
  <si>
    <t>170095-0-2017</t>
  </si>
  <si>
    <t>Proveer ejemplares del Directorio de Despachos Públicos de Colombia 2017, para el Concejo de Bogotá D.C.</t>
  </si>
  <si>
    <t xml:space="preserve">5 meses y 15 días </t>
  </si>
  <si>
    <t>11 días calendario</t>
  </si>
  <si>
    <t>1 mes y 2 días calendario</t>
  </si>
  <si>
    <t>170101-0-2017</t>
  </si>
  <si>
    <t>ANDRES MAURICIO BARRERA HERNANDEZ</t>
  </si>
  <si>
    <t>Prestar los servicios profesionales para apoyar la definición, contratación y seguimiento a los temas de infraestructura física que requiera el Concejo de Bogotá, D.C.</t>
  </si>
  <si>
    <t>170105-0-2017</t>
  </si>
  <si>
    <t xml:space="preserve">Prestar servicios profesionales para apoyar al Director Administrativo del Concejo de Bogotá, en los asuntos propios de la dependencia en el marco del Sistema Integrado de Gestión. </t>
  </si>
  <si>
    <t>170040-0-2017</t>
  </si>
  <si>
    <t>170099-0-2017</t>
  </si>
  <si>
    <t>BLANCA EDILSA VARGAS CAVIELES</t>
  </si>
  <si>
    <t>Prestar servicios profesionales para apoyar al Director Jurídico del Concejo de Bogotá, en el marco de los asuntos jurídicos y de la defensa judicial con el fin de desarrollar las actividades de acuerdo a la normatividad vigente.</t>
  </si>
  <si>
    <t>170081-0-2017</t>
  </si>
  <si>
    <t>ESTACION DE SERVIICIO CARRERA 50 S.A.S</t>
  </si>
  <si>
    <t>170102-0-2017</t>
  </si>
  <si>
    <t>170109-0-2017</t>
  </si>
  <si>
    <t>Prestar servicios profesionales para apoyar a la oficina de comunicaciones del Concejo de Bogotá para el cumplimiento al plan de comunicaciones internas y externas de la entidad.</t>
  </si>
  <si>
    <t>170093-0-2017</t>
  </si>
  <si>
    <t>Proveer servidor para el Concejo de Bogotá</t>
  </si>
  <si>
    <t>SDH-SMINC-11-2017</t>
  </si>
  <si>
    <t>170113-0-2017</t>
  </si>
  <si>
    <t>170111-0-2017</t>
  </si>
  <si>
    <t>170115-0-2017</t>
  </si>
  <si>
    <t>Prestar servicios profesionales para apoyar la actualización, administración, publicación y salvaguarda de la información publicada en la página WEB e intranet del Concejo de Bogotá, D.C.</t>
  </si>
  <si>
    <t>170110-0-2017</t>
  </si>
  <si>
    <t>MANUEL EDUARDO ROJAS GUZMAN</t>
  </si>
  <si>
    <t>PRESTACIÓN DE SERVICIOS1</t>
  </si>
  <si>
    <t>170112-0-2017</t>
  </si>
  <si>
    <t>Prestar servicios profesionales para apoyar el seguimiento a los procesos de adquisición de bienes y servicios y la ejecución de los contratos para el Concejo de Bogotá.</t>
  </si>
  <si>
    <t>SDH-SMINC-08-2017</t>
  </si>
  <si>
    <t>170108-0-2017</t>
  </si>
  <si>
    <t>EMPRESA DE TELECOMUNICACIONES DE BOGOTA ETB SA ESP</t>
  </si>
  <si>
    <t>Proveer el outsoursing integral para los servicios de gestión de mesa de ayuda y gestión de impresión para el Concejo de Bogotá.</t>
  </si>
  <si>
    <t>Los pagos se realizarán:
a. un primer pago en proporción a los días ejecutados, por concepto de servicio de mesa de ayuda y soporte técnico.
B. pagos fijos mes vencido
c. Pagos variables mes vencido para el item impresión
d. pagos variables mes vencido correspondientes a los repuestos.</t>
  </si>
  <si>
    <t>Selección Minima Cuantía</t>
  </si>
  <si>
    <t>Giovanny Suarez</t>
  </si>
  <si>
    <t>Prestar servicios profesionales como enlace con la Unidad Ejecutora 04 de la Secretaria Distrital de Hacienda para la liquidación y cierre de los expedientes contractuales.</t>
  </si>
  <si>
    <t>Prestar los servicios de soporte técnico y actualización de productos de Oracle para el Concejo de Bogotá.</t>
  </si>
  <si>
    <t>Orden de compra 14670</t>
  </si>
  <si>
    <t>Orden de Compra</t>
  </si>
  <si>
    <t>170114-0-2017</t>
  </si>
  <si>
    <t>Prestar servicios profesionales para apoyar el proceso de sistemas y seguridad de la información del Concejo de Bogotá en materia de seguridad informática.</t>
  </si>
  <si>
    <t>170122-0-2017</t>
  </si>
  <si>
    <t>MARTHA PATRICIA ORTIZ CASTAÑO</t>
  </si>
  <si>
    <t>Prestar los servicios profesionales para apoyar a la Secretaria General del Concejo de Bogotá, en la respuesta a derechos de petición, solicitudes, quejas, consultas y reclamos que reciba la corporación.</t>
  </si>
  <si>
    <t>170119-0-2017</t>
  </si>
  <si>
    <t>ANABIA JULLIETH ANGARITA GALINDO</t>
  </si>
  <si>
    <t>2 meses y 14 días</t>
  </si>
  <si>
    <t>170117-0-2017</t>
  </si>
  <si>
    <t>FABIO ALEJANDRO GOMEZ CASTAÑO</t>
  </si>
  <si>
    <t xml:space="preserve">4 meses </t>
  </si>
  <si>
    <t>170127-0-2017</t>
  </si>
  <si>
    <t>DIEGO ARMANDO PRECIADO PUENTES</t>
  </si>
  <si>
    <t>1 mes y 15 dias calendario</t>
  </si>
  <si>
    <t>170103-0-2017</t>
  </si>
  <si>
    <t>830055827-1</t>
  </si>
  <si>
    <t>Suministro de elementos de promoción institucional y actos protocolarios del Concejo de Bogotá, D.C.</t>
  </si>
  <si>
    <t>SDH-SMINC-12-2017</t>
  </si>
  <si>
    <t>SDH-SAMC-02-2017</t>
  </si>
  <si>
    <t>170130-0-2017</t>
  </si>
  <si>
    <t>DOUGLAS TRADE SAS</t>
  </si>
  <si>
    <t>80025780-0</t>
  </si>
  <si>
    <t>Orden de compra 13628</t>
  </si>
  <si>
    <t>170138-0-2017</t>
  </si>
  <si>
    <t>SHIRLEY LIZETH BETANCOURT RINCON</t>
  </si>
  <si>
    <t>Prestar servicios profesionales para apoyar al Director Financiero en los asuntos propios de la dependencia, en el marco del presupuesto anual de gastos de funcionamiento e inversión para el manejo eficiente y eficaz de los recursos financieros conforme al plan estratégico de la entidad de acuerdo con la normatividad vigente.</t>
  </si>
  <si>
    <t>170135-0-2017</t>
  </si>
  <si>
    <t>LEONARDO ARTURO ZAMORA ZEA</t>
  </si>
  <si>
    <t>Prestar servicios de apoyo para sistematizar y verificar la información relacionada con la generación de la nómina y los registros contables del Concejo de Bogotá.</t>
  </si>
  <si>
    <t>Servicios de Apoyo/ Dirección Financiera</t>
  </si>
  <si>
    <t>170137-0-2017</t>
  </si>
  <si>
    <t>JOANNA PATRICIA GONZALEZ PAIPA</t>
  </si>
  <si>
    <t>170139-0-2017</t>
  </si>
  <si>
    <t>BRAYAN JEFERSON VARON AGUIRRE</t>
  </si>
  <si>
    <t>Prestar servicios de apoyo al procedimiento de bonos pensionales para coadyuvar con las actividades de actualización y administración de la información de los funcionarios y exfuncionarios en cuanto a los trámites de pensión.</t>
  </si>
  <si>
    <t>170140-0-2017</t>
  </si>
  <si>
    <t>JOSE GABRIEL PARRA PIRAZAN</t>
  </si>
  <si>
    <t>170136-0-2017</t>
  </si>
  <si>
    <t>Prestar los servicios de mantenimiento, actualización y soporte al sitio WEB e Intranet del Concejo de Bogotá, de conformidad con lo establecido en los estudios previos</t>
  </si>
  <si>
    <t xml:space="preserve">de la siguiente manera:
A) un primer pago por el valor correspondiente a la entrega de la actualización de las licencias.
B) mensualidades vencidas correspondeintes al mantenimieto y soporte mensual.
C) Un (1) pago a la entrega de los ajustes a las plantillas definidas.
</t>
  </si>
  <si>
    <t>170141-0-2017</t>
  </si>
  <si>
    <t>Prestar servicios de mantenimiento correctivo y preventivo para las  máquinas: Guillotina y cizalla manual, ubicada en la oficina de anales y publicaciones del Concejo de Bogotá.</t>
  </si>
  <si>
    <t>SDH-SMINC-13-2017</t>
  </si>
  <si>
    <t>20 dias calendario</t>
  </si>
  <si>
    <t>20 días calendario</t>
  </si>
  <si>
    <t>170148-0-2017</t>
  </si>
  <si>
    <t>Se realizarán así:
a. Un pago para la actualización del software.
B. Dos pagos de soporte técnico.</t>
  </si>
  <si>
    <t>170152-0-2017</t>
  </si>
  <si>
    <t>MEDICAL PROTECTION LTDA. SALUD OCUPACIONAL</t>
  </si>
  <si>
    <t>Realizar exámenes médicos ocupacionales y complementarios y aplicación de vacunas para los funcionarios del Concejo de Bogotá.</t>
  </si>
  <si>
    <t>SDH-SAMC-03-2017</t>
  </si>
  <si>
    <t>170147-0-2017</t>
  </si>
  <si>
    <t>SERVICIOS POSTALES NACIONALES S.A.</t>
  </si>
  <si>
    <t>Julieth Angarita</t>
  </si>
  <si>
    <t>45 días</t>
  </si>
  <si>
    <t>27 días</t>
  </si>
  <si>
    <t>2 meses y 12 días</t>
  </si>
  <si>
    <t>170145-0-2017</t>
  </si>
  <si>
    <t>- Un pago corresponde al valor definido en el ítem 1 y 2 de la oferta 
- Pagos bimestrales vencidos de acuerdo a las horas de soporte técnico presentadas (ítem 3 de la oferta).</t>
  </si>
  <si>
    <t>Soporte y mantenimiento</t>
  </si>
  <si>
    <t>SDH-SMINC-15-2017</t>
  </si>
  <si>
    <t>170154-0-2017</t>
  </si>
  <si>
    <t>Prestar los servicios de administración y operación de la plataforma Oracle del Concejo de Bogotá, D.C.</t>
  </si>
  <si>
    <t>Selección Abreviada de Menor Cuantía</t>
  </si>
  <si>
    <t>SDH-SAMC-04-2017</t>
  </si>
  <si>
    <t>Manuel Rojas</t>
  </si>
  <si>
    <t>Shirley Betancourt</t>
  </si>
  <si>
    <t>3 meses y 3 días</t>
  </si>
  <si>
    <t>1mes</t>
  </si>
  <si>
    <t>3 meses y 15 dias calendario</t>
  </si>
  <si>
    <t>170167-0-2017</t>
  </si>
  <si>
    <t>COMPAÑÍA COMERCIAL CURACAO DE COLOMBIA SA</t>
  </si>
  <si>
    <t>860004871-7</t>
  </si>
  <si>
    <t>Proveer medios magnéticos para copias de respaldo para el Concejo de Bogotá.</t>
  </si>
  <si>
    <t>SDH-SMINC-16-2017</t>
  </si>
  <si>
    <t>170161-0-2017</t>
  </si>
  <si>
    <t>900152368-1</t>
  </si>
  <si>
    <t>Pagos mes vencido de acuerdo a los servicios efectivamente prestados por concepto de mantenimiento preventivo y correctivo , los insumos y respuestos se cancelarán de acuerdo a la demanda requerida en el respectivo periodo.</t>
  </si>
  <si>
    <t>170157-0-2017</t>
  </si>
  <si>
    <t>ALL IN SERVICE SAS</t>
  </si>
  <si>
    <t>900820473-3</t>
  </si>
  <si>
    <t>SDH-SAMC-01-2017</t>
  </si>
  <si>
    <t>Pagos mensuales con los servicios efectivamente prestados.</t>
  </si>
  <si>
    <t>SDH-SMINC-17-2017</t>
  </si>
  <si>
    <t>Proveer el servicio de soporte y mantenimiento para la plataforma VMware del Concejo de Bogotá.</t>
  </si>
  <si>
    <t>170182-0-2017</t>
  </si>
  <si>
    <t>UNION TEMPORAL GRANADINA SERACIS</t>
  </si>
  <si>
    <t>901095723-2</t>
  </si>
  <si>
    <t xml:space="preserve">Prestar servicio de vigilancia y seguridad privada, para la permanente y adecuada protección de los funcionarios, contratistas, visitantes, contribuyentes y usuarios del Concejo de Bogotá, D.C., y los bienes muebles e inmuebles objeto de esta contratación, de conformidad con lo dispuesto en el pliego de condiciones del proceso SDH-LP-02-2017 </t>
  </si>
  <si>
    <t>170175-0-2017</t>
  </si>
  <si>
    <t>900175316-8</t>
  </si>
  <si>
    <t>Prestar los servicios para el mantenimiento, la mejora continua y el acompañamiento previo a la Certificación ISO270001:2013- Subsistema de seguridad de la información.</t>
  </si>
  <si>
    <t>Se efectuarán 5 pagos periódicos, cada uno al cierre de cada fase.</t>
  </si>
  <si>
    <t>SDH-LP-02-2017</t>
  </si>
  <si>
    <t>SDH-SMINC-19-2017</t>
  </si>
  <si>
    <t>Prestar los servicios para adelantar los procesos de selección, basados en el mérito, mediante procedimiento  y medios técnicos, objetivos e imparciales, que permitan la participación en igualdad de condiciones de los y las concursantes, que se presenten como aspirantes para proveer los cargos del contralor y personero Distritales de Bogotá D. C., conforme a la reglamentación establecida por el Concejo de Bogotá.</t>
  </si>
  <si>
    <t>Prestar servicios profesionales para apoyar jurídicamente a la Mesa Directiva del Concejo de Bogotá en la conceptualización de los asuntos que por su complejidad se requieran para el desarrollo de las funciones legales y reglamentarias de la Corporación.</t>
  </si>
  <si>
    <t>Prestar los servicios profesionales para apoyar la definición, contratación y seguimiento de los temas de infraestructura física que  requiera el Concejo de Bogotá D.C.</t>
  </si>
  <si>
    <t>Prestar servicios profesionales para apoyar en el desarrollo e implementación de los sistemas de información requeridos construidos bajo la plataforma Oracle en el Concejo de Bogotá D.C.</t>
  </si>
  <si>
    <t>Prestar los servicios profesionales para acompañar al Concejo de Bogotá, en la revisión y estudios de las historias laborales de los funcionarios para la definición técnica y jurídica del cumplimiento de requisitos en los diferentes regímenes de pensión.</t>
  </si>
  <si>
    <t>Prestar los servicios de conectividad de canales de comunicación dedicados e Internet y servicios complementarios para el Concejo de Bogotá de conformidad con lo establecido en los Estudios Previos y en el anexo técnico</t>
  </si>
  <si>
    <t xml:space="preserve">Prestar los servicios de mensajería expresa masiva para el Concejo de Bogotá, D.C. </t>
  </si>
  <si>
    <t>Prestar servicios profesionales para la actualización, administración, publicación y salvaguardia de la información publicada en la página WEB e Intranet del Concejo de Bogotá.</t>
  </si>
  <si>
    <t>Adquisición de medios magnéticos para copias de respaldo para la Secretaria Distrital de Hacienda y el Concejo de Bogotá.</t>
  </si>
  <si>
    <t>Prestar los servicios de mantenimiento preventivo y correctivo de las alarmas de emergencia ubicadas en la sede principal del Concejo de Bogotá.</t>
  </si>
  <si>
    <t xml:space="preserve">Prestar los servicios de mantenimiento correctivo  correspondiente a la reparación y corrección de las sillas existentes en el Concejo de Bogotá, D.C., con el suministro de repuestos y/o elementos nuevos necesarios  </t>
  </si>
  <si>
    <t>Prestar el servicio de alquiler de escenarios como salones, auditorios y espacios abiertos, apoyo logístico y servicio de catering para el desarrollo de eventos que requieran el Concejo de Bogotá D.C., de conformidad con lo establecido en el pliego de condiciones del proceso de selección abreviada de menos cuantía No. SDH-SAMC-01-2016 y la propuesta presentada por el contratista.</t>
  </si>
  <si>
    <t>Prestar los servicios de apoyo para sistematizar y consolidar la información relacionadas con las incapacidades de os funcionarios en el marco del proceso de la Seguridad Social del Concejo de Bogotá, D.C.</t>
  </si>
  <si>
    <t>Prestar servicios profesionales para apoyar al Concejo de Bogotá, en el enlace con la unidad ejecutora 04 de la Secretaría Distrital de Hacienda para la liquidación y cierre de los expedientes contractuales.</t>
  </si>
  <si>
    <t>Prestar servicios profesionales para apoyar en las diferentes comisiones permanentes del Concejo de Bogotá en la respuesta a Derechos de Petición, solicitudes quejas, consultas y reclamos que reciba la corporación.</t>
  </si>
  <si>
    <t>Prestar servicios Profesionales de auditorías internas en el área de Control Interno del Concejo de Bogotá.</t>
  </si>
  <si>
    <t>Prestar servicios Profesionales de apoyo a la oficina de comunicaciones del Concejo de Bogotá para cumplimiento del plan de comunicaciones internas y externas de la entidad.</t>
  </si>
  <si>
    <t>Realizar Auditorías al sistema de gestión de calidad del Concejo de Bogotá.</t>
  </si>
  <si>
    <t>Prestar el servicio de mantenimiento preventivo y correctivo al sistema de generación y transferencia eléctrica de emergencia del Concejo de Bogotá, D.C., de conformidad con lo establecido en la invitación pública SDH-SMINC-10-2016.</t>
  </si>
  <si>
    <t>Realizar el mantenimiento integral y adecuaciones locativas y las obras de mejora que se requieran, con el suministro de personal, equipo, materiales y repuestos, en las instalaciones físicas del Concejo de Bogotá. D.C.</t>
  </si>
  <si>
    <t xml:space="preserve">Prestar los servicios de mantenimiento correctivo con suministro de repuestos para los vehículos marca mitsubihi al servicio del Concejo de Bogotá. </t>
  </si>
  <si>
    <t>Realizar exámenes médicos ocupacionales y complementarios y aplicación de vacunas para los funcionarios del Concejo de Bogotá, D.C.</t>
  </si>
  <si>
    <t>Prestar los servicios de mantenimiento preventivo y correctivo con suministro de repuestos de los automotores marca chevrolet al servicio del Concejo de Bogotá, D.C.</t>
  </si>
  <si>
    <t>Prestar el servicio de vigilancia y seguridad privada en las instalaciones del Concejo de Bogotá, D.C., con el fin de asegurar la protección y custodia de las personas y bienes muebles e inmuebles de propiedad de la entidad y de los que legalmente sea o llegare a ser responsable por disposición legal, contractual o convencional, de conformidad con lo dispuesto en el pliego de condiciones del proceso SDH-LP-02-2016</t>
  </si>
  <si>
    <t>Suscripción al Sistema de Televisión Satelital para ser instalado en la sede en el  Concejo de Bogotá, D.C.</t>
  </si>
  <si>
    <t xml:space="preserve">Realizar la interventoría técnica administrativa, ambiental, financiera, legal y contable para el contrato de mantenimiento integral locativo con suministro de personal, equipo y repuestos, de conformidad con lo establecido en la presente invitación pública, al contrato de obra resultado del proceso de selección abreviada de menor cuantía SDH-SAMC-03-2016 </t>
  </si>
  <si>
    <t>Realizar el mantenimiento integral, las adecuaciones locativas y las obras de mejora que se requieran, con el consumo del personal, equipo, materiales y repuestos, en las instalaciones físicas del Concejo de Bogotá, D.C., de conformidad con lo establecido en el pliego de condiciones del proceso de selección abreviada de menor cuantía No. SDH-SAMC-03-2016 y la propuesta presentada por el contratista.</t>
  </si>
  <si>
    <t>Contratar la prestación de servicios de revisión, mantenimiento y recarga de extintores y gabinetes contra incendio con suministro de repuestos y otros elementos de seguridad para el Concejo de Bogotá, de conformidad con lo establecido en la invitación pública SDH-SMINC-28-2016</t>
  </si>
  <si>
    <t>Adquisición de elementos de protección personal para los servidores del Concejo de Bogotá.</t>
  </si>
  <si>
    <t>Servicio de mantenimiento correctivo y traslado, incluyendo los repuestos y/o elementos nuevos que requieran los sistemas de archivos rodantes del Concejo de Bogotá.</t>
  </si>
  <si>
    <t>Suscripción al servicio de información jurídica a través de un boletín informativo por correo electrónico, consulta web y biblioteca digital de legislación colombiana actualizada.</t>
  </si>
  <si>
    <t>Prestar servicios profesionales para apoyar operativa y técnicamente la infraestructura tecnológica e informática del Concejo de Bogotá.</t>
  </si>
  <si>
    <t>Prestar los servicios de mantenimiento, soporte y actualización con el suministro de repuestos para la infraestructura de telecomunicaciones, cableado estructurado (voz y datos), fibra óptica, energía normal y regulada para el Concejo de Bogotá.</t>
  </si>
  <si>
    <t>Adquisición de licencias de Software Microsoft para el Concejo de Bogotá, D.C.</t>
  </si>
  <si>
    <t>Adquisición de Televisores para el Concejo de Bogotá.</t>
  </si>
  <si>
    <t>Adquisición de equipos de cómputo para el Concejo de Bogotá</t>
  </si>
  <si>
    <t>Adquisición de servidores para el Concejo de Bogotá.</t>
  </si>
  <si>
    <t>Prestar servicios profesionales para apoyar al Director Jurídico del Concejo de Bogotá en el marco de los asuntos jurídicos y de la defensa judicial con el fin de desarrollar las actividades de acuerdo a la normatividad vigente.</t>
  </si>
  <si>
    <t>Proveer servicios de canales dedicados e internet y servicios complementarios para la Secretaria Distrital de Hacienda y Concejo de Bogotá.</t>
  </si>
  <si>
    <t>Prestar servicios integrales de aseo y cafetería y servicio de fumigación para las instalaciones del Concejo de Bogotá, D.C</t>
  </si>
  <si>
    <t>Prestar servicios de mantenimiento periódico preventivo para los vehículos del Concejo de Bogotá, D.C.</t>
  </si>
  <si>
    <t>Prestar servicios profesionales al Concejo de Bogotá, D.C., para apoyar el área de nómina, especialmente en las áreas relacionadas con la seguridad social</t>
  </si>
  <si>
    <t>Prestar el servicio de alquiler de escenarios como salones, auditorios y espacios abiertos, apoyo logístico y servicio de catering para el desarrollo de eventos que requieran el Concejo de Bogotá D.C., de conformidad con lo establecido en el pliego de condiciones del proceso de selección abreviada de menos cuantía No. SDH-SAMC-02-2017 y la propuesta presentada por el contratista.</t>
  </si>
  <si>
    <t>Prestar servicios profesionales en el proceso de auditorías internas en el área de Control Interno del Concejo de Bogotá.</t>
  </si>
  <si>
    <t>Prestar servicios para la gestión de correspondencia y mensajería expresa masiva para el Concejo de Bogotá</t>
  </si>
  <si>
    <t xml:space="preserve">Prestar los servicios de mantenimiento correctivo  correspondiente a la reparación y corrección de las sillas existentes en el Concejo de Bogotá, D.C., con el suministro de repuestos y/o elementos nuevos necesarios para su correcto funcionamiento. </t>
  </si>
  <si>
    <t>170164-0-2017</t>
  </si>
  <si>
    <t>Prestar servicios de mantenimiento preventivo y correctivo a los ascensores marca Mitsubishi del Concejo de Bogotá.</t>
  </si>
  <si>
    <t>Orlando Romero</t>
  </si>
  <si>
    <t>170178-0-2017</t>
  </si>
  <si>
    <t>Prestar los servicios de mantenimiento preventivo, correctivo y soporte técnico especializado para los servidores y sus dispositivos del Concejo de Bogotá, D.C., de conformidad con lo establecido en el pliego de condiciones No. SDH-SIE-04-2017</t>
  </si>
  <si>
    <t>Se cancelará pagos iguales bimestre vencidos</t>
  </si>
  <si>
    <t xml:space="preserve">PRESTACION DE SERVICIOS </t>
  </si>
  <si>
    <t>SDH-SIE-04-2017</t>
  </si>
  <si>
    <t>170185-0-2017</t>
  </si>
  <si>
    <t>170196-0-2017</t>
  </si>
  <si>
    <t>Adquisición de grabadoras digitales para el Concejo de Bogotá.</t>
  </si>
  <si>
    <t>Grabadoras Digitales</t>
  </si>
  <si>
    <t>170195-0-2017</t>
  </si>
  <si>
    <t>JOHN ALEXANDER SUAREZ SALGUERO</t>
  </si>
  <si>
    <t xml:space="preserve">Prestar servicios de apoyo administrativo a la Dirección Jurídica del Concejo de Bogotá </t>
  </si>
  <si>
    <t>Servicios profesionales / apoyo a la Dirección Jurídica</t>
  </si>
  <si>
    <t>170186-0-2017</t>
  </si>
  <si>
    <t xml:space="preserve">Nueve (9) pagos mensuales iguales equivalentes a ($924.444), correspondiente al servicio de soporte y mantenimiento del software,   </t>
  </si>
  <si>
    <t>170194-0-2017</t>
  </si>
  <si>
    <t>830112518-5</t>
  </si>
  <si>
    <t>Adquisición e Instalación de la Licencia Janus, componente de la Suite CMS Prontus, para streaming de audio y video de la página web del Concejo de Bogotá.</t>
  </si>
  <si>
    <t>Se realiza los pagos de la siguiente manera:
- Un primer pago por el 100% del valor ofertado para el íetm por concepto de licenciamiento por un valor de $52.360.000 incluido IVA.
- Dos (2) pagos por concepto de sopote ténico, cada uno por valor de $3.570.000 iva incluido, uno al sexto mes y el otro al 12 mes de ejecución.</t>
  </si>
  <si>
    <t>Licencia Janus</t>
  </si>
  <si>
    <t>170204-0-2017</t>
  </si>
  <si>
    <t>JESUS RAFAEL AGUAS CUELLO</t>
  </si>
  <si>
    <t>Prestar los servicios profesionales para apoyar la definición de especificaciones y condiciones técnicas para la adquisición de bienes y servicios relacionados con tecnología e informática, el seguimiento a la ejecución de los mismos y el acompañamiento en la formulación  de estrategias para la optimización del desarrollo tecnológico de la Corporación.</t>
  </si>
  <si>
    <t>170206-0-2017</t>
  </si>
  <si>
    <t xml:space="preserve">Suscripción a la revista del Congreso para el Concejo de Bogotá D.C. </t>
  </si>
  <si>
    <t>No. De Contrato</t>
  </si>
  <si>
    <t>Contratista</t>
  </si>
  <si>
    <t>Fecha y Cordis Radicado en SDH</t>
  </si>
  <si>
    <t>Funcionario que Radica</t>
  </si>
  <si>
    <t>OBSERVACIONES</t>
  </si>
  <si>
    <t>Victor Manuelle Armella / Lorenza Santos Barbosa</t>
  </si>
  <si>
    <t>Jorge Orlando Rubiano Carranza</t>
  </si>
  <si>
    <t>Gustavo Adolfo Barreto</t>
  </si>
  <si>
    <t>John Kennedy Leon Castiblanco</t>
  </si>
  <si>
    <t>Norma Constanza Meza</t>
  </si>
  <si>
    <t>Directv Colombia</t>
  </si>
  <si>
    <t>Ingeal SA</t>
  </si>
  <si>
    <t>A&amp;V Express SA</t>
  </si>
  <si>
    <t>Unipless S.A.</t>
  </si>
  <si>
    <t>T&amp;G Minolta</t>
  </si>
  <si>
    <t>Revista el Congreso Siglo XXI</t>
  </si>
  <si>
    <t>DPC Ltda.</t>
  </si>
  <si>
    <t>Fernando Sotomonte Amaya</t>
  </si>
  <si>
    <t>AGR Soluciones SAS</t>
  </si>
  <si>
    <t>Institucional Start Service ltda</t>
  </si>
  <si>
    <t>S.O.S. Soluciones de Oficina y Suministro</t>
  </si>
  <si>
    <t>se volvio a enviar con los ajustes el 11/10/2016</t>
  </si>
  <si>
    <t>Grupo editorial el Periodico</t>
  </si>
  <si>
    <t>140390-0-2014</t>
  </si>
  <si>
    <t>Union Temporal SICVEL Hacienda 2014</t>
  </si>
  <si>
    <t>se volvio a enviar con los ajustes el 28/09/2016</t>
  </si>
  <si>
    <t>Contronet ltda</t>
  </si>
  <si>
    <t>Soluciones y Diagnosticos en Ingenieria Electrica Ltda. -Sodinlec</t>
  </si>
  <si>
    <t>Editores Conarte SAS</t>
  </si>
  <si>
    <t>Comunican S.A.</t>
  </si>
  <si>
    <t>J.A ZABALA &amp; CONSULTORES ASOCIADOS</t>
  </si>
  <si>
    <t>RIELCO Ltda.</t>
  </si>
  <si>
    <t>150331-0-2015</t>
  </si>
  <si>
    <t>Video Beams y Lamparas SAS</t>
  </si>
  <si>
    <t>Compensar</t>
  </si>
  <si>
    <t>Vigilancia Acosta Ltda.</t>
  </si>
  <si>
    <t>esta solo el acta de liquidación</t>
  </si>
  <si>
    <t>Dayanna Stephany Fernandez Carrillo</t>
  </si>
  <si>
    <t>se volvio a enviar el 07/12/2016</t>
  </si>
  <si>
    <t>Patricia del Rocio Peña</t>
  </si>
  <si>
    <t>Rosa Yasmid Castro Castelblanco</t>
  </si>
  <si>
    <t>Sisteg SAS</t>
  </si>
  <si>
    <t>Oficomco SAS</t>
  </si>
  <si>
    <t>SGS Colombia SA</t>
  </si>
  <si>
    <t xml:space="preserve">se volvio a radicar el informe con los ajustes el 24/06/2016 </t>
  </si>
  <si>
    <t>120000-483-02012</t>
  </si>
  <si>
    <t>Servimedios Ltda.</t>
  </si>
  <si>
    <t>H&amp;D Ofimagen</t>
  </si>
  <si>
    <t>S.OS. Soluciones de Oficina &amp; Suministros SAS</t>
  </si>
  <si>
    <t>Orion Conic SAS</t>
  </si>
  <si>
    <t>Granados y Condecoraciones Ltda.</t>
  </si>
  <si>
    <t>Adriana Margarita Payares Navarro</t>
  </si>
  <si>
    <t>Khanko Norberto Ruiz Rodriguez</t>
  </si>
  <si>
    <t>Rosa Enriquelina Gomez Corredor</t>
  </si>
  <si>
    <t>Wiesner Fabian Robayo Salcedo</t>
  </si>
  <si>
    <t>Motores y maquina S.A. MOTORYSA</t>
  </si>
  <si>
    <t>Cristian Camilo Ramos</t>
  </si>
  <si>
    <t>Sandra Marcela Rojas Macias</t>
  </si>
  <si>
    <t>Formarchivos y Suministros SAS</t>
  </si>
  <si>
    <t>se volvio a enviar con los ajustes el 27/09/2016</t>
  </si>
  <si>
    <t>Javier Ignacio Jativa Garcia</t>
  </si>
  <si>
    <t>Lizeth Jahira Gonzalez Vargas</t>
  </si>
  <si>
    <t>Lina Maria Gonzalez Ruiz</t>
  </si>
  <si>
    <t>Casa Editorial El  Tiempo SA</t>
  </si>
  <si>
    <t>Edgar Eulices Gonzalez Alvarez</t>
  </si>
  <si>
    <t>Marlon Enrique Miranda Trujillo</t>
  </si>
  <si>
    <t>Daniel Jose Morales Vargas</t>
  </si>
  <si>
    <t>Monrak Ingenieria Ltda.</t>
  </si>
  <si>
    <t>Melco de Colombia Ltda.</t>
  </si>
  <si>
    <t>Luisa Fernanda Gutierrez</t>
  </si>
  <si>
    <t xml:space="preserve">se volvio a radicar el informe con los ajustes el 29/08/2016 </t>
  </si>
  <si>
    <t xml:space="preserve">Carlos Alberto Castellanos </t>
  </si>
  <si>
    <t>130136-0-2016</t>
  </si>
  <si>
    <t>Ingenieria de Bombas y Plantas Ltda.</t>
  </si>
  <si>
    <t>Soluciones H&amp;S SAS</t>
  </si>
  <si>
    <t>Prosegur Tecnología SAS</t>
  </si>
  <si>
    <t>Transporte y Logistica Mudanza El Nogal</t>
  </si>
  <si>
    <t>UNP</t>
  </si>
  <si>
    <t xml:space="preserve">se volvio a radicar el informe con los ajustes el 14/12/2016 </t>
  </si>
  <si>
    <t>Inversiones Ligol</t>
  </si>
  <si>
    <t>Teveandina Ltda.</t>
  </si>
  <si>
    <t>M@icrotel ltda</t>
  </si>
  <si>
    <t>Ingelectro S.A.S.</t>
  </si>
  <si>
    <t>Centro de Diagnostico y Tratamiento Cendiatra Ltda.</t>
  </si>
  <si>
    <t>Claudia Elvira Rodriguez Poveda</t>
  </si>
  <si>
    <t>Sumimas SAS</t>
  </si>
  <si>
    <t>Mitsubishi Electric de Colombia Ltda.</t>
  </si>
  <si>
    <t>Sistemas y Seguridad Industrial Colombiana E.U.</t>
  </si>
  <si>
    <t>Servimeters  S.A.</t>
  </si>
  <si>
    <t>Century Media SAS</t>
  </si>
  <si>
    <t>Kawak SAS</t>
  </si>
  <si>
    <t>Publicaciones Semana</t>
  </si>
  <si>
    <t>Seguros Generales Suramericana SA</t>
  </si>
  <si>
    <t>Superior de Dotaciones SAS</t>
  </si>
  <si>
    <t>Gamma Ingenieros SAS</t>
  </si>
  <si>
    <t>Elkin Mauricio Dimas Montoya</t>
  </si>
  <si>
    <t>150321-0-2015</t>
  </si>
  <si>
    <t>Businessmind Colombia SA</t>
  </si>
  <si>
    <t xml:space="preserve">Linalca Informatica </t>
  </si>
  <si>
    <t>Devolvieron la carpeta de la SDH</t>
  </si>
  <si>
    <t>Carlos Fernando Ibarra Vallejo</t>
  </si>
  <si>
    <t>Ricoh Colombia SA</t>
  </si>
  <si>
    <t>Telcosof SAS</t>
  </si>
  <si>
    <t>William Eduardo Quintero</t>
  </si>
  <si>
    <t>Oracle Colombia Ltda.</t>
  </si>
  <si>
    <t>Universidad Nacional</t>
  </si>
  <si>
    <t>IDPC</t>
  </si>
  <si>
    <t xml:space="preserve">Password Consulting Services </t>
  </si>
  <si>
    <t>Aguafilters JF</t>
  </si>
  <si>
    <t>Inversiones Matay</t>
  </si>
  <si>
    <t>120000-153-0-2011</t>
  </si>
  <si>
    <t>Canal Capital</t>
  </si>
  <si>
    <t>Elvin Alexander Avendaño Fonseca / Javier Andres Vidal Melo</t>
  </si>
  <si>
    <t>12000-25-0-2011</t>
  </si>
  <si>
    <t>Editorial el Globo SA</t>
  </si>
  <si>
    <t>120000-108-0-2011</t>
  </si>
  <si>
    <t>Khaanko Norberto Ruiz Rodriguez</t>
  </si>
  <si>
    <t>120000-287-0-2011</t>
  </si>
  <si>
    <t>Unión Temporal Urbano Express- Interpostal</t>
  </si>
  <si>
    <t>050000-280-0-2011</t>
  </si>
  <si>
    <t>Inversiones Cadena Ballesteros SAS</t>
  </si>
  <si>
    <t>120000-118-0-2011</t>
  </si>
  <si>
    <t>050000-274-0-2011</t>
  </si>
  <si>
    <t>050000-114-0-2011</t>
  </si>
  <si>
    <t>se vuelve a radicar para el cierre del expediente el 24/11/2016  ER106275</t>
  </si>
  <si>
    <t>120000-226-0-2011</t>
  </si>
  <si>
    <t>Alvaro Humberto Rodriguez Lugo</t>
  </si>
  <si>
    <t>se vuelve a radicar para el cierre del expediente el 24/11/2016  ER106276</t>
  </si>
  <si>
    <t>120000-214-0-2011</t>
  </si>
  <si>
    <t>CR Trofeos Ltda.</t>
  </si>
  <si>
    <t>SIIGO SA</t>
  </si>
  <si>
    <t>050000-303-0-2011</t>
  </si>
  <si>
    <t>Directv Colombia Ltda.</t>
  </si>
  <si>
    <t>050000-165-0-2011</t>
  </si>
  <si>
    <t>Alimentos Spress Ltda.</t>
  </si>
  <si>
    <t xml:space="preserve">Andrea Susana Bello </t>
  </si>
  <si>
    <t>120000-383-0-2011</t>
  </si>
  <si>
    <t>Organización Terpel S.A.</t>
  </si>
  <si>
    <t>050000-522-0-2010</t>
  </si>
  <si>
    <t>Americana de Trofeos Ltda.</t>
  </si>
  <si>
    <t>120000-437-0-2010</t>
  </si>
  <si>
    <t>Red Comercializadora Mendez S.A.S</t>
  </si>
  <si>
    <t>120000-270-0-2011</t>
  </si>
  <si>
    <t>Jhon Alejandro Franco Otero</t>
  </si>
  <si>
    <t>se vuelve a radicar para el cierre del expediente el 02/11/2016  ER100380</t>
  </si>
  <si>
    <t>120000+285-0-2011</t>
  </si>
  <si>
    <t>Caja de Compensación Familiar Compensar</t>
  </si>
  <si>
    <t>Soluciones Integrales de Oficina SAS</t>
  </si>
  <si>
    <t>120000-381-0-2010</t>
  </si>
  <si>
    <t>010000432-0-2011</t>
  </si>
  <si>
    <t>Mindshare de Colombia Ltda..</t>
  </si>
  <si>
    <t>Hernando Bulla Orjuela</t>
  </si>
  <si>
    <t>120000-193-0-2011</t>
  </si>
  <si>
    <t>120000-491-0-2010</t>
  </si>
  <si>
    <t>Compañía Interamericana de seguridad y servicios Ltda. - CIS Ltda</t>
  </si>
  <si>
    <t>050000-372-0-2010</t>
  </si>
  <si>
    <t>General Security Ltda.</t>
  </si>
  <si>
    <t>120000-357-0-2011</t>
  </si>
  <si>
    <t>Sagavi Ltda.</t>
  </si>
  <si>
    <t>120000-258-0-2011</t>
  </si>
  <si>
    <t>C &amp; P Licitaciones y Consultorias SAS</t>
  </si>
  <si>
    <t>120000-150-0-2011</t>
  </si>
  <si>
    <t>Sistemas Integrales de Trtamientos de aguas - AQUANATURA</t>
  </si>
  <si>
    <t>ETB</t>
  </si>
  <si>
    <t>Colsof SA</t>
  </si>
  <si>
    <t>ICONTEC Ltda</t>
  </si>
  <si>
    <t>050000-389-0-2010</t>
  </si>
  <si>
    <t>120000-422-0-2010</t>
  </si>
  <si>
    <t>Office Graffics Ltda</t>
  </si>
  <si>
    <t>Diana Marcela Reyes</t>
  </si>
  <si>
    <t>Productora y Comercializadora NEW STETIC SA</t>
  </si>
  <si>
    <t>Identico SAS</t>
  </si>
  <si>
    <t>120000-433-0-2010</t>
  </si>
  <si>
    <t>E Global Services Ltda</t>
  </si>
  <si>
    <t>Security com SAS</t>
  </si>
  <si>
    <t>050000-632-0-2010</t>
  </si>
  <si>
    <t>Rafael Rincon Calixto</t>
  </si>
  <si>
    <t>054000-607-0-2010</t>
  </si>
  <si>
    <t>Union Temporal Colderivery Centauros 3</t>
  </si>
  <si>
    <t>050000-580-0-2010</t>
  </si>
  <si>
    <t>Dotaciones en salud DOTASALUD JN Ltda</t>
  </si>
  <si>
    <t>A &amp; V EXPRESS S.A</t>
  </si>
  <si>
    <t>Publidrugs Ltda</t>
  </si>
  <si>
    <t>Gerizim</t>
  </si>
  <si>
    <t>050000-378-0-2011</t>
  </si>
  <si>
    <t>Map Ingenieros y/o Maria Fernanda Cortes E.U.</t>
  </si>
  <si>
    <t>120000-609-0-2010</t>
  </si>
  <si>
    <t>C &amp; C Star Technology Ltda</t>
  </si>
  <si>
    <t>DPC Despachos Públicos de Colombia Ltda</t>
  </si>
  <si>
    <t>Informatica Documental SAS</t>
  </si>
  <si>
    <t>Diego Alejandro Rubio</t>
  </si>
  <si>
    <t>120000-469-0-2010</t>
  </si>
  <si>
    <t>La  Previsora</t>
  </si>
  <si>
    <t>120000-569-0-2010</t>
  </si>
  <si>
    <t>Comunicaciones e Informatica</t>
  </si>
  <si>
    <t>050000-461-0-2010</t>
  </si>
  <si>
    <t>Newnet SA</t>
  </si>
  <si>
    <t>120000-23-0-2010</t>
  </si>
  <si>
    <t xml:space="preserve">DPC </t>
  </si>
  <si>
    <t>Ceyco Ltda</t>
  </si>
  <si>
    <t>Union Temporal BMIND-KOGHI</t>
  </si>
  <si>
    <t>Editorial La unidad SA</t>
  </si>
  <si>
    <t>120000-460-02010</t>
  </si>
  <si>
    <t>System Net Ingenieria Ltda</t>
  </si>
  <si>
    <t xml:space="preserve">U.T. Vigilancia </t>
  </si>
  <si>
    <t>120000-470-0-2010</t>
  </si>
  <si>
    <t>100000-443-0-2010</t>
  </si>
  <si>
    <t>Mediadge</t>
  </si>
  <si>
    <t>050000-395-0-2010</t>
  </si>
  <si>
    <t>Cana Capital</t>
  </si>
  <si>
    <t>120000-267-0-2011</t>
  </si>
  <si>
    <t>ASEQUI S.A.S</t>
  </si>
  <si>
    <t>120000-425-0-2010</t>
  </si>
  <si>
    <t>Colsubsidio</t>
  </si>
  <si>
    <t>120000-220-0-2011</t>
  </si>
  <si>
    <t>120000-159-0-2011</t>
  </si>
  <si>
    <t>Yonatan Grisales Aponte</t>
  </si>
  <si>
    <t>040000-1126-0-2008</t>
  </si>
  <si>
    <t>120000-286-0-2011</t>
  </si>
  <si>
    <t>ASA FRANCO Y CIA LTDA</t>
  </si>
  <si>
    <t>Solution Copy Ltda</t>
  </si>
  <si>
    <t>120000-476-0-2010</t>
  </si>
  <si>
    <t>Hernan  Beltran Amortegui</t>
  </si>
  <si>
    <t>Jorge Luis Trujillo Vera</t>
  </si>
  <si>
    <t>120000-428-0-2011</t>
  </si>
  <si>
    <t>Controles y Automatización SAS</t>
  </si>
  <si>
    <t>050000-453-0-2010</t>
  </si>
  <si>
    <t>Inmadica Andina S.A. C,I</t>
  </si>
  <si>
    <t>Karenn Andrea Suarez Linares</t>
  </si>
  <si>
    <t>Matilde Nieto Contreras</t>
  </si>
  <si>
    <t xml:space="preserve">UNION TEMPORAL EMINSER SOLOASEO </t>
  </si>
  <si>
    <t>13/01/2017    2017ER2606</t>
  </si>
  <si>
    <t>LEIDY RIVERA</t>
  </si>
  <si>
    <t>MEDALLAS COLOMBIANAS SAS</t>
  </si>
  <si>
    <t>18/01/2017    2017ER3975</t>
  </si>
  <si>
    <t>150101-02015</t>
  </si>
  <si>
    <t>18/01/2017      2017ER3977</t>
  </si>
  <si>
    <t>PRODOLDEXT LTDA</t>
  </si>
  <si>
    <t>18/01/2017   2017ER3978</t>
  </si>
  <si>
    <t>GIOVANNI SUAREZ</t>
  </si>
  <si>
    <t>18/01/2017   2017ER3981</t>
  </si>
  <si>
    <t>FUE DEVUELTA POR LA SDH PARA AJUSTAR</t>
  </si>
  <si>
    <t>050000-272-0-2010</t>
  </si>
  <si>
    <t>18/01/2017    2017ER3980</t>
  </si>
  <si>
    <t>040000-462-0-2012</t>
  </si>
  <si>
    <t>UPS INGENIERIA LTDA</t>
  </si>
  <si>
    <t>19/01/2017    2017ER4579</t>
  </si>
  <si>
    <t>CLAUDIA VANEGAS</t>
  </si>
  <si>
    <t>150262-0-2015</t>
  </si>
  <si>
    <t>19/01/2017   2017ER4574</t>
  </si>
  <si>
    <t>120000-58-0-2011</t>
  </si>
  <si>
    <t>INFORMÁTICA DOCUMENTAL LTDA</t>
  </si>
  <si>
    <t>20/01/2017   2017ER4876</t>
  </si>
  <si>
    <t>COLOMBIANA DE COMERCIO S.A. / ALKOSTO</t>
  </si>
  <si>
    <t>20/01/2017    2017ER4873</t>
  </si>
  <si>
    <t>SECURITY COM SAS</t>
  </si>
  <si>
    <t>20/01/2017   2017ER4871</t>
  </si>
  <si>
    <t>GRUPO EDITORIAL NUEVA LEGISLACION SAS</t>
  </si>
  <si>
    <t>20/01/2017    2017ER4942</t>
  </si>
  <si>
    <t>050000-271-0-2011</t>
  </si>
  <si>
    <t>JOTAVE Y COMPAÑÍA LIMITADA</t>
  </si>
  <si>
    <t>23/01/2017     2017ER5580</t>
  </si>
  <si>
    <t>MOTORES Y MAQUINAS S.A. MOTORYSA SA</t>
  </si>
  <si>
    <t>23/01/2017    2017ER5589</t>
  </si>
  <si>
    <t>23/01/2017    2017ER5585</t>
  </si>
  <si>
    <t>ALPUNTO SOLUCIONES S.A.S</t>
  </si>
  <si>
    <t>23/01/2017    2017ER5584</t>
  </si>
  <si>
    <t>CRECE LTDA</t>
  </si>
  <si>
    <t>23/01/2017    2017ER5579</t>
  </si>
  <si>
    <t>050000-293-0-2011</t>
  </si>
  <si>
    <t>SYSTEM NET INGENIERIA LTDA</t>
  </si>
  <si>
    <t>24/01/2017    2017ER6045</t>
  </si>
  <si>
    <t>PC MICROS LTDA</t>
  </si>
  <si>
    <t>26/01/2017    2017ER6748</t>
  </si>
  <si>
    <t>120000-147-0-2011</t>
  </si>
  <si>
    <t>GYE GRUPO Y ESTRATEGIAS SAS</t>
  </si>
  <si>
    <t>31/01/2017     2017ER8017</t>
  </si>
  <si>
    <t>MODULARES OFIMA SAS</t>
  </si>
  <si>
    <t>31/01/2017    2017ER8012</t>
  </si>
  <si>
    <t>31/01/2017    2017ER8008</t>
  </si>
  <si>
    <t>INTELLIGENT BUSINESSES S.A.S</t>
  </si>
  <si>
    <t>31/01/2017     2017ER8023</t>
  </si>
  <si>
    <t>DORA PINILLA</t>
  </si>
  <si>
    <t>MITSU MOTORES SERVICE SAS</t>
  </si>
  <si>
    <t>31/01/2017    2017ER8019</t>
  </si>
  <si>
    <t>31/01/2017    2017ER8024</t>
  </si>
  <si>
    <t>31/01/2017    2017ER8026</t>
  </si>
  <si>
    <t>120000-261-0-2011</t>
  </si>
  <si>
    <t>TESH MARK LTDA</t>
  </si>
  <si>
    <t>31/01/2017    2017ER8028</t>
  </si>
  <si>
    <t xml:space="preserve">OPENLINK SISTEMAS DE REDES DE DATOS SAS </t>
  </si>
  <si>
    <t>31/01/2017   2017ER8022</t>
  </si>
  <si>
    <t>31/01/2017    2017ER8020</t>
  </si>
  <si>
    <t>ORGANIZACIÓN TERPEL SA</t>
  </si>
  <si>
    <t>02/02/2017    2017ER8734</t>
  </si>
  <si>
    <t>120000-488-0-2010</t>
  </si>
  <si>
    <t>ELKIN MAURICIO DIMAS MONTOYA</t>
  </si>
  <si>
    <t>02/02/2017   2017ER8835</t>
  </si>
  <si>
    <t>050000-604-0-2010</t>
  </si>
  <si>
    <t>CALIDAD COMPORTAMIENTO EMPRESARIAL LTDA - QCE LTDA</t>
  </si>
  <si>
    <t>02/02/2017    2017ER8836</t>
  </si>
  <si>
    <t>ARANDA SOFTWARE ANDINA S.AS.</t>
  </si>
  <si>
    <t>31/01/2017    2017ER7864</t>
  </si>
  <si>
    <t xml:space="preserve">COMPENSAR </t>
  </si>
  <si>
    <t>02/02/2017    2017ER8825</t>
  </si>
  <si>
    <t>GREEN TIC SAS</t>
  </si>
  <si>
    <t>03/02/2017   2017ER9052</t>
  </si>
  <si>
    <t>02/02/2017   2017ER8832</t>
  </si>
  <si>
    <t>EMPRESA DE TELECOMUNICACIONES S.A. ESP</t>
  </si>
  <si>
    <t>0602/2017     2017ER9733</t>
  </si>
  <si>
    <t>06/02/2017    2017ER9730</t>
  </si>
  <si>
    <t>ALKOSTO SA</t>
  </si>
  <si>
    <t>06/02/2017    2017ER9734</t>
  </si>
  <si>
    <t>050000-302-0-2011</t>
  </si>
  <si>
    <t>06/02/2017    2017ER9736</t>
  </si>
  <si>
    <t>SGS COLOMBIA SA</t>
  </si>
  <si>
    <t>06/02/2017   2017ER9740</t>
  </si>
  <si>
    <t>160176-0-2016</t>
  </si>
  <si>
    <t>06/02/2017    2017ER9737</t>
  </si>
  <si>
    <t>08/02/2017    2017ER10324</t>
  </si>
  <si>
    <t>JAVIER QUINTERO</t>
  </si>
  <si>
    <t>SGS COLOMBIA S.A.S</t>
  </si>
  <si>
    <t>08/02/2017    2017ER10439</t>
  </si>
  <si>
    <t>SEGUROS GENERALES SURAMERICANA S.A.</t>
  </si>
  <si>
    <t>08/02/2017    2017ER10437</t>
  </si>
  <si>
    <t>01/02/2017   2017ER8122</t>
  </si>
  <si>
    <t>CONTROL SISTEMAS COMUNICACIONES CSC LTDA</t>
  </si>
  <si>
    <t>25/01/2017    2017ER6414</t>
  </si>
  <si>
    <t>TEVEANDINA LTDA</t>
  </si>
  <si>
    <t>08/02/2017    2017ER10476</t>
  </si>
  <si>
    <t>050000-431-0-2010</t>
  </si>
  <si>
    <t>A1 BIOSEGURIDAD LTDA</t>
  </si>
  <si>
    <t>08/02/2017   2017ER10478</t>
  </si>
  <si>
    <t>SOPT S.A.S</t>
  </si>
  <si>
    <t>10/02/2017   2017ER11292</t>
  </si>
  <si>
    <t>10/02/2017          2017ER11288</t>
  </si>
  <si>
    <t>051000-388-0-2010</t>
  </si>
  <si>
    <t>UNIÓN TEMPORAL VISE LTDA- VIGILANCIA ACOSTA LTDA - COSERVICREA LTDA</t>
  </si>
  <si>
    <t>10/02/2017    2017ER11290</t>
  </si>
  <si>
    <t xml:space="preserve">AQUANATURA </t>
  </si>
  <si>
    <t>13/02/2017    2017ER11971</t>
  </si>
  <si>
    <t>13/02/2017   2017ER11970</t>
  </si>
  <si>
    <t>COOPERATIVA DE VIGILANTES STARCOOP C.T.A.</t>
  </si>
  <si>
    <t>13/02/2017   2017ER11974</t>
  </si>
  <si>
    <t>050000-510-0-2010</t>
  </si>
  <si>
    <t>COMPAÑÍA COLOMBIANA DE CONSTRUCCION S.A. COD- S.A</t>
  </si>
  <si>
    <t>13/02/2017   2017ER11972</t>
  </si>
  <si>
    <t>120000-463-0-2010</t>
  </si>
  <si>
    <t xml:space="preserve">AUTOMARKET LTDA </t>
  </si>
  <si>
    <t>13/02/2017     2017ER12045</t>
  </si>
  <si>
    <t>13/02/2017    2017ER12046</t>
  </si>
  <si>
    <t>EDGAR EULICES GONZALEZ ALVAREZ</t>
  </si>
  <si>
    <t>06/02/2017  2017ER9614</t>
  </si>
  <si>
    <t xml:space="preserve">UNION TEMPORAL NEWNET SUMIMAS </t>
  </si>
  <si>
    <t>14/02/2017   2017ER12362</t>
  </si>
  <si>
    <t>14/02/2017   2017ER12222</t>
  </si>
  <si>
    <t xml:space="preserve">ANGELICA MARIA RUBIO </t>
  </si>
  <si>
    <t>14/02/2017     2017ER12219</t>
  </si>
  <si>
    <t>15/02/2017      2017ER12756</t>
  </si>
  <si>
    <t xml:space="preserve">JAVIER IGNACIO JATIVA GARCIA </t>
  </si>
  <si>
    <t>15/02/2017    2017ER12839</t>
  </si>
  <si>
    <t>COTECNA</t>
  </si>
  <si>
    <t>INGENIERIA DE BOMBAS Y PLANTAS LTDA</t>
  </si>
  <si>
    <t>06/02/2017     2017ER9616</t>
  </si>
  <si>
    <t>JULIO ANDRES SANCHEZ SANCHEZ</t>
  </si>
  <si>
    <t>08/03/2017     2017ER19870</t>
  </si>
  <si>
    <t>14/03/2017    2017ER2219</t>
  </si>
  <si>
    <t>14/03/2017   2017ER22120</t>
  </si>
  <si>
    <t>16/03/2017    2017ER23235</t>
  </si>
  <si>
    <t xml:space="preserve">JONATHAN ESTIBEN ZAMUDIO </t>
  </si>
  <si>
    <t>16/03/2017   2017ER23288</t>
  </si>
  <si>
    <t>EDWARD MORENO</t>
  </si>
  <si>
    <t xml:space="preserve">GIOVANNI SUAREZ </t>
  </si>
  <si>
    <t>16/03/2017   2017ER23710</t>
  </si>
  <si>
    <t>ANDREA CASAS</t>
  </si>
  <si>
    <t>16/03/2017   2017ER23708</t>
  </si>
  <si>
    <t>16/03/2017   2017ER23707</t>
  </si>
  <si>
    <t>22/03/2017   2017ER25424</t>
  </si>
  <si>
    <t xml:space="preserve">CRISTIAN CAMILO RAMOS </t>
  </si>
  <si>
    <t>23/03/2017   2017ER26576</t>
  </si>
  <si>
    <t>30/03/2017    2017ER31078</t>
  </si>
  <si>
    <t>30/03/2017   2017ER31073</t>
  </si>
  <si>
    <t>SANDRA MARCELA ROJAS</t>
  </si>
  <si>
    <t>07/04/2017    2017ER36474</t>
  </si>
  <si>
    <t>07/04/2017   2017ER36479</t>
  </si>
  <si>
    <t>MARTHA PATRICIA TAPIA</t>
  </si>
  <si>
    <t>07/04/2017    2017ER36482</t>
  </si>
  <si>
    <t>WILSON GUERRERO VELA</t>
  </si>
  <si>
    <t>19/04/2017   2017ER39356</t>
  </si>
  <si>
    <t>CAMILO ANDRES SARMIENTO DELGADO</t>
  </si>
  <si>
    <t>19/04/2017   2017ER39353</t>
  </si>
  <si>
    <t>LEIDY YINETH RIVERA GONZALEZ</t>
  </si>
  <si>
    <t>19/04/2017   2017ER39352</t>
  </si>
  <si>
    <t>19/04/2017   2017ER39355</t>
  </si>
  <si>
    <t>WIESNER FABIAN ROBAYO SALCEDO</t>
  </si>
  <si>
    <t>15/05/217    2017ER48811</t>
  </si>
  <si>
    <t>15/05/2017      2017ER48808</t>
  </si>
  <si>
    <t>ROSA ENRIQUELINA GOMEZ CORREDOR</t>
  </si>
  <si>
    <t>15/05/2017      2017ER48812</t>
  </si>
  <si>
    <t>15/05/2017    2017ER49012</t>
  </si>
  <si>
    <t>JOHANNA ANDREA POVEDA VELASCO</t>
  </si>
  <si>
    <t>23/05/2017    2017ER52306</t>
  </si>
  <si>
    <t xml:space="preserve">VELEÑO ORREGO MARTINEZ DIAZ &amp; ABOGADOS ASOCIADOS SAS </t>
  </si>
  <si>
    <t>07/06/2017     2017ER57832</t>
  </si>
  <si>
    <t>MANUEL EDUARDO ROJAS</t>
  </si>
  <si>
    <t>07/06/2017   2017ER57833</t>
  </si>
  <si>
    <t xml:space="preserve">MAP INGENIEROS </t>
  </si>
  <si>
    <t>07/06/2017    2017ER57834</t>
  </si>
  <si>
    <t>ARTEINOX SAS</t>
  </si>
  <si>
    <t>07/06/2017    2017ER578387</t>
  </si>
  <si>
    <t>PRACO DIDACOL SAS</t>
  </si>
  <si>
    <t>07/06/2017    2017ER27839</t>
  </si>
  <si>
    <t>NEXT COMPUTER S.A.</t>
  </si>
  <si>
    <t>30/06/2017    2017ER65523</t>
  </si>
  <si>
    <t>21/07/2017    2017ER73487</t>
  </si>
  <si>
    <t>21/07/2017    2017ER73892</t>
  </si>
  <si>
    <t>SOLUCIONES INTEGRALES MJ</t>
  </si>
  <si>
    <t>19/07/2017    2017ER73058</t>
  </si>
  <si>
    <t>17/07/2017     21017ER71920</t>
  </si>
  <si>
    <t>19/07/2017    2017ER73056</t>
  </si>
  <si>
    <t>NAYIBE CARRASCO</t>
  </si>
  <si>
    <t>MARKET GROUP</t>
  </si>
  <si>
    <t>LIQUIDADO</t>
  </si>
  <si>
    <t>EN TRÁMITE</t>
  </si>
  <si>
    <t>Terminado sin liquidar</t>
  </si>
  <si>
    <t>Vigente</t>
  </si>
  <si>
    <t>En trámite de Liquidación</t>
  </si>
  <si>
    <t>170208-0-2017</t>
  </si>
  <si>
    <t>KAREN LILIANA ANGULO CEPEDA</t>
  </si>
  <si>
    <t>Prestar apoyo a la Dirección Jurídica del Concejo de Bogotá en los procesos y proyectos  en respuesta para la atención de los requerimientos de la ciudadania.</t>
  </si>
  <si>
    <t>DEVUELTO</t>
  </si>
  <si>
    <t>Devuelto</t>
  </si>
  <si>
    <t>RESPONSABLE DE LIQUIDACIÓN</t>
  </si>
  <si>
    <t>Orlando Romero _ Arq. Andrés Barrera</t>
  </si>
  <si>
    <t/>
  </si>
  <si>
    <t xml:space="preserve">Orlando Romero </t>
  </si>
  <si>
    <t>Marlen Rodríguez</t>
  </si>
  <si>
    <t>Jesus Aguas</t>
  </si>
  <si>
    <t>170205-0-2017</t>
  </si>
  <si>
    <t xml:space="preserve">Suscripción al sistema de televisión satelital para ser instalados en la sede del Concejo de Bogotá. </t>
  </si>
  <si>
    <t>SHD-SMINC-29-2017</t>
  </si>
  <si>
    <t>INGEAL SA</t>
  </si>
  <si>
    <t>24/07/2017     2017ER74375</t>
  </si>
  <si>
    <t>Anabia Julieth</t>
  </si>
  <si>
    <t xml:space="preserve">SONA GREEN </t>
  </si>
  <si>
    <t>I3NET SAS</t>
  </si>
  <si>
    <t>SEAN ELECTRONICA</t>
  </si>
  <si>
    <t>BRANCH OF MICROSOFT</t>
  </si>
  <si>
    <t>RESPONSABLE</t>
  </si>
  <si>
    <t>OBSERVACION 2</t>
  </si>
  <si>
    <t>JULIETH ANGARITA</t>
  </si>
  <si>
    <t>MANUEL ROJAS</t>
  </si>
  <si>
    <t>radicado 2017ER74375 con fecha del 24 de julio de 2017</t>
  </si>
  <si>
    <t>liquidado y radicado en la Secretaria Distrital de Hacienda.</t>
  </si>
  <si>
    <t>2017ER83766 con fecha del 22 de agosto de 2017</t>
  </si>
  <si>
    <t xml:space="preserve">RADICADO No.2017ER36479 DEL 07/04/2017   </t>
  </si>
  <si>
    <t xml:space="preserve">liquidado y radicado en la Secretaria Distrital de Hacienda 2017ER 65523 se debe confirmar con SDH. </t>
  </si>
  <si>
    <t>Liquidado Radicado No. 2047ER 73487 21-07-2017</t>
  </si>
  <si>
    <t xml:space="preserve">Se liquido y radicó el 31 de julio-2017-en la Secretaria de Hacienda </t>
  </si>
  <si>
    <t xml:space="preserve">Se liquidó y radicó 31-07-17 en Secretaría de Hacienda </t>
  </si>
  <si>
    <t>160060-0-2016</t>
  </si>
  <si>
    <t>SOLUCIONES Y DIAGNOSTICOS EN INGENIERIA ELECTRICA LTDA</t>
  </si>
  <si>
    <t>DIVISER</t>
  </si>
  <si>
    <t>Se realizó informe presupuestal de alcala sacando el valor que debe girarle la SHD al contratista conforme al informe de interventoria remitido por CEYCO. Se elabora oficio remitiendo expediente completo a la SAC.</t>
  </si>
  <si>
    <t xml:space="preserve">SE ESTA ELABORANDO INFORME FINAL CON EL CONTRATISTA PENDIENTE DE RADICACIÓN </t>
  </si>
  <si>
    <t xml:space="preserve">Se radico factura No ASAL 3981 de fecha 26 de julio del presente , la factura fu devuelta por la corporación por valor diferente a la propuesta económica presentada por el contratista, pendiente radicar nueva factura para tramitar el pago y proceder a liquidación. </t>
  </si>
  <si>
    <t>El contratista radico facturas de cobro sin informe de ejecución se realiza devolución de factura Radicado 2017EE8924 RECIBIDO 12 DE JUNIO DE 2017 SALDO POR EJECUTAR $2,850,000</t>
  </si>
  <si>
    <t xml:space="preserve">EN ELABORACION DE ACTA DE LIQUIDACIÓN </t>
  </si>
  <si>
    <t xml:space="preserve">PENDIENTE POR INGRESAR ULTIMO PAGO PARA SOLICITAR ESTADO DE CUENTA Y LIQUIDAR </t>
  </si>
  <si>
    <t xml:space="preserve">El contratista no ha presentado la documentación requerida para el respectivo tramite de la factura, solo radica la factura sin anexos, dichas cuentas han sido devueltas por la supervisión del contrato informado los documentos que debe aportar para el tramite , Por parte de la corporación se requiero al contratista y lleva acabo reunión de seguimiento el día 22 agosto del  presente , en la cual se acordaron compromiso por parte del contratista donde se compromete a presentar los informes requeridos por la Entidad para realizar los respectivos pagos pendiente y proceder al liquidación del contrato. </t>
  </si>
  <si>
    <t xml:space="preserve">PENDIENTE POR ELABORAR LIQUIDACIÓN </t>
  </si>
  <si>
    <t>29/08/2017   2017ER86472</t>
  </si>
  <si>
    <t>APROBADO EL INFORME FINAL DE SUPERVISON</t>
  </si>
  <si>
    <t>170216-0-2017</t>
  </si>
  <si>
    <t>TECNOLOGIA BIOMEDICA Y SUMINISTROS LTDA</t>
  </si>
  <si>
    <t>Proveer los elementos e insumos necesarios para atender los primeros auxilios y dotar los botiquines del Concejo de Bogotá, D.C.</t>
  </si>
  <si>
    <t>Prestar el servicio de manteniemiento para los tanques de almacenamiento y equipos de bombeo hidráulicos de agua potable, residual y aguas negras del Concejo de Bogotá D.C.</t>
  </si>
  <si>
    <t>170210-0-2017</t>
  </si>
  <si>
    <t>860049921-0</t>
  </si>
  <si>
    <t xml:space="preserve">Realizar las auditorías para el seguimiento de la certificación para los sistemas de Gestión Ambiental y Seguridad y Salud Ocupacional bajo las normas ISO 14001:2004 y OHSAS 18001:2007 al Concejo de Bogotá. </t>
  </si>
  <si>
    <t>El servicio sera cancelado una vez realizada la auditoría de seguimiento y entrega del informe del resultado de la auditoría, previa presentación de la factura y aprobación de la misma.</t>
  </si>
  <si>
    <t>170214-0-2017</t>
  </si>
  <si>
    <t>Será cancelado una vez realizada la auditoría de seguimiento y entrega del informe de resultado de la auditoría.</t>
  </si>
  <si>
    <t>170221-0-2017</t>
  </si>
  <si>
    <t>900785161-0</t>
  </si>
  <si>
    <t xml:space="preserve">Realizar el mantenimiento integral, las adecuaciones locativas y las obras de mejora que se requieran, con el suministro del personal, equipo, materiales y repuestos, en las instalaciones físicas del Concejo de Bogotá, D.C., de conformidad con lo establecido en el pliego de condiciones del proceso de selección abreviada abreviada de menor cuantia No. SDH-SAMC-07-2017 y la propuesta presentada por el contratista. </t>
  </si>
  <si>
    <t>SDH-SAMC-07-2017</t>
  </si>
  <si>
    <t>AMBICOL</t>
  </si>
  <si>
    <t>SGS COLOMBIA S.A</t>
  </si>
  <si>
    <t>Andres Mauricio Barrera</t>
  </si>
  <si>
    <t>HERNANDO BULLA</t>
  </si>
  <si>
    <t>170228-0-2017</t>
  </si>
  <si>
    <t>EDITORIAL LA REPUBLICA SAS</t>
  </si>
  <si>
    <t xml:space="preserve">Suscripción al diario  La República para el Concejo de Bogotá. </t>
  </si>
  <si>
    <t>170231-0-2017</t>
  </si>
  <si>
    <t>ROYAL PARK LTDA</t>
  </si>
  <si>
    <t>800184306-1</t>
  </si>
  <si>
    <t xml:space="preserve">Desarrollar las actividades contenidas en los Planes de Bienestar  e Incentivos y Mejoramiento del clima laboral para el Concejo de Bogotá D.C., de conformidad con lo establecido en el pliego de condiciones de la licitación Pública No. SDH-LP-03-2017 </t>
  </si>
  <si>
    <t>SDH-LP-03-2017</t>
  </si>
  <si>
    <t>170232-0-2017</t>
  </si>
  <si>
    <t>MARTHA LILIANA SALAZAR GOMEZ</t>
  </si>
  <si>
    <t>COMPENSAR</t>
  </si>
  <si>
    <t>URBANEX</t>
  </si>
  <si>
    <t>EMINSER</t>
  </si>
  <si>
    <t>21/09/2017     2017ER94587</t>
  </si>
  <si>
    <t>21/09/2017   2017ER94591</t>
  </si>
  <si>
    <t>170242-0-2017</t>
  </si>
  <si>
    <t>GREEN FON GROUP SAS</t>
  </si>
  <si>
    <t xml:space="preserve">Proveer software para diseño gráfico, de conformidad con lo establecido en la invitación pública del proceso citado en el asunto y la propuesta por ustedes presentada. </t>
  </si>
  <si>
    <t>El pago se descriminará de la siguiente forma:
- Un primer pago por el 80%  del valor del contrato, una vezentregadas las licencias adquiridas, previo ingreso al almacen y certificación expedida por el supervisor.
- Un segundo pago por el 20% del valor del contrato, a la insalación y puesta en funcionamiento de los bienes objeto del contrato.</t>
  </si>
  <si>
    <t>SDH-SMINC-32-2017</t>
  </si>
  <si>
    <t>170247-0-2017</t>
  </si>
  <si>
    <t>COMERCIALIZADORA VIMEL LTDA</t>
  </si>
  <si>
    <t>Suministro de elementos para protección y embalaje de documentos para el Concejo de Bogotá, D.C.</t>
  </si>
  <si>
    <t>170249-0-2017</t>
  </si>
  <si>
    <t>SDH-SMINC-31-2017</t>
  </si>
  <si>
    <t>21/09/2017   2017ER94978</t>
  </si>
  <si>
    <t>170251-0-2017</t>
  </si>
  <si>
    <t>DELIGREIZ SUAREZ GOMEZ</t>
  </si>
  <si>
    <t>Prestar los servicios de apoyo al proceso de recursos físicos de la Dirección Administrativa del Concejo de Bogotá, para coadyuvar con las actividades de actualización y administración de la información del área de mantenimiento.</t>
  </si>
  <si>
    <t>Servicios profesionales / mantenimiento</t>
  </si>
  <si>
    <t>Gestión de recursos físicos</t>
  </si>
  <si>
    <t>Maurico Matallana</t>
  </si>
  <si>
    <t>170244-0-2017</t>
  </si>
  <si>
    <t>Prestar los servicios de mantenimiento, soporte y actualización con el suministro de repuestos para la infraestructura de telecomunicaciones, cableado estructurado (voz y datos), fibra óptica, energía normal y regulada para el Concejo de Bogotá de conformidad con la invitación pública SDH-SMINC-30-2017.</t>
  </si>
  <si>
    <t>SDH-SMINC-30-2017</t>
  </si>
  <si>
    <t>170256-0-2017</t>
  </si>
  <si>
    <t>POLITICAS &amp; MEDIOS INVESTIGACIONES LTDA</t>
  </si>
  <si>
    <t>170245-0-2017</t>
  </si>
  <si>
    <t xml:space="preserve">Ejecutar obras complementarias para la adecuación del espacio destinado para los parqueaderos del Concejo de Bogotá, de conformidad con lo establecido en el pliego de condiciones del proceso de selcción abreviada de menor cuantía N. SDH-SAMC-08-2017 y la propuesta presentada por el contratista. </t>
  </si>
  <si>
    <t>SDH-SAMC-08-2017</t>
  </si>
  <si>
    <t>Se efecturan 4 pagos discriminados de la siguiente manera:
- Tres pagos mensuales parciales así:
* Un primer pago corespondiente al 20%
* un segundo pago correspondiente al 30%
*Un tercer pago correspondiente al 20%, los pagos se realizaran de acuerdo con las cantidades y actividades ejecutadas conforme al cronograma aprobado.
- Un cuarto pago final equivalente al 30%, una vez se suscriba el acta final de obra.</t>
  </si>
  <si>
    <t>Mantenimiento Locativo/ Parqueadero</t>
  </si>
  <si>
    <t>GRUPO TITANIUM SAS</t>
  </si>
  <si>
    <t>SYSTEM NET</t>
  </si>
  <si>
    <t>SE RADICO EL 03/10/2017, CORREGIDOS LOS AJUSTES</t>
  </si>
  <si>
    <t>170266-0-2017</t>
  </si>
  <si>
    <t>MONICA PATRICIA SERRANO VARGAS</t>
  </si>
  <si>
    <t xml:space="preserve">Prestar servicios profesionales de apoyo a la Oficina de Comunicaciones del Concejo de Bogotá D.C., en la generación de estrategias que permitan la socialización, divulgación y comunicación de la Ley de Transparencia y demás políticas institucionales, así como prestar apoyo en el cubrimiento mediático de las diferentes sesiones de la corporación.  </t>
  </si>
  <si>
    <t xml:space="preserve">se volivo a radicar con los ajustes el 10/10/2017 con Cordis ER101779 </t>
  </si>
  <si>
    <t>170264-0-2017</t>
  </si>
  <si>
    <t>AXEDE S.A.</t>
  </si>
  <si>
    <t>830077975-8</t>
  </si>
  <si>
    <t>Proveer el servicio de mantenimiento  preventivo y correctvo al sistema de telefonía del Concejo de Bogotá.</t>
  </si>
  <si>
    <t xml:space="preserve">El pago se descrimina de la siguiente manera:
-Para el servicio de actualización: un único pago por el valor asignado a este servicio, 
-Para el servicio de mantenimiento: 
* Un primer pago el 25% del valor asignado a este servicio, una vez realizada la primera visita.
*Un segundo pago por el 25% del valor asignado a este servicio, una vez realizada la segunda visita.
* Un tercer pago por el 25%, del valor asignado a este servicio, una vez realizada la tercera visita.
*Un cuarto pago por el 25% del valor asignado a este servicio, una vez realizada la cuarta visita.
-Para servicio de soporte especializado: pagos trimestrales de acuerdo alas horas de sopporte técnico. </t>
  </si>
  <si>
    <t>170233-0-2017</t>
  </si>
  <si>
    <t>DEVUELTA POR LA SDH, Cordis ER26133 del 11/oct/17, entregada a Manuel Rojas</t>
  </si>
  <si>
    <t>DEVUELTA POR LA SDH, cordis ER26132 del 11/oct/17, entregada a Manuel Rojas</t>
  </si>
  <si>
    <t>9 meses y 3 días</t>
  </si>
  <si>
    <t xml:space="preserve">9 meses </t>
  </si>
  <si>
    <t>CARPETA DEVUELTA POR LA SDH, EL 12/OCT/17 ER26224</t>
  </si>
  <si>
    <t>FABRICAMOS SU SUDADERA LTDA</t>
  </si>
  <si>
    <t>29/07/2017    2017ER98220</t>
  </si>
  <si>
    <t>21/09/2017   2017ER94794</t>
  </si>
  <si>
    <t>02/10/2017   2017ER98775</t>
  </si>
  <si>
    <t>03/10/2017   2017ER98947</t>
  </si>
  <si>
    <t>03/10/2017   2017ER99295</t>
  </si>
  <si>
    <t>04/09/2017   2017ER88186</t>
  </si>
  <si>
    <t>04/09/2017   2017ER88185</t>
  </si>
  <si>
    <t>01/09/2017   2017ER87759</t>
  </si>
  <si>
    <t>31/08/2017   2017ER87629</t>
  </si>
  <si>
    <t>DIRECTV COLOMBIA</t>
  </si>
  <si>
    <t>01/09/2017    2017ER87758</t>
  </si>
  <si>
    <t>25/07/2017   2017ER74857</t>
  </si>
  <si>
    <t>31/07/2017   2017ER76869</t>
  </si>
  <si>
    <t>Realizar la auditorías de seguimiento al Sistema de Gestión de calidad del Concejo de Bogotá.</t>
  </si>
  <si>
    <t>170274-0-2017</t>
  </si>
  <si>
    <t>MAGIQ ALL SAS</t>
  </si>
  <si>
    <t>Suministro de elementos de protección personal para los servidores del Concejo de Bogotá.</t>
  </si>
  <si>
    <t>ALIADOS DE COLOMBIA SAS</t>
  </si>
  <si>
    <t>170275-0-2017</t>
  </si>
  <si>
    <t>900354406-0</t>
  </si>
  <si>
    <t>Prestar el servicio de mantenimiento correctivo que requieran los sistemas de archivos rodantes del Concejo de Bogotá, incluyendo traslado, repuestos o elementos nuevos.</t>
  </si>
  <si>
    <t>SDH-SMINC-26-2017</t>
  </si>
  <si>
    <t>SMINC-041-2017</t>
  </si>
  <si>
    <t>170298-0-2017</t>
  </si>
  <si>
    <t>170291-0-2017</t>
  </si>
  <si>
    <t>Prestar servicios de revisión, mantenimiento y recarga de extintores con suministro de repuestos y otros elementos de seguridad para el Concejo de Bogotá.</t>
  </si>
  <si>
    <t>SDH-SMINC-37-2017</t>
  </si>
  <si>
    <t>JORGE HERNÁN SANCHEZ PINEDA</t>
  </si>
  <si>
    <t>Realizar la interventoria al contrato cuyo objeto consiste en ejecutar obras complementarias para la adecuación del espacio destinado para los parqueaderos del Concejo de Bogotá.</t>
  </si>
  <si>
    <t>SDH-SMINC-038-2017</t>
  </si>
  <si>
    <t>Se efctuaran los pagos así:
- Cuatro (4) mensualidades  iguales correspondientes al valor mes ofertado en la propuesta económica, previa presentación del informe de interventoría respectivo.
-Un pago final correspondeinte al valor unitario ofertado en la propuesta económica para el proceso de liquidación del contrato obra del objeto de la interventoría.</t>
  </si>
  <si>
    <t>170272-0-2017</t>
  </si>
  <si>
    <t>Proveer elementos ergonómicos para adecuar los puestos de trabajo de los funcionarios del Concejo de Bogotá, D.C.</t>
  </si>
  <si>
    <t>SDH-SMINC-39-2017</t>
  </si>
  <si>
    <t>devuelto por la SDH ER27423 del 25/OCT/17</t>
  </si>
  <si>
    <t>devuelto por la SDH ER27424 del 25/OCT/17</t>
  </si>
  <si>
    <t>170289-0-2017</t>
  </si>
  <si>
    <t>Suscripción a la Revista Semana, para el Concejo de Bogotá.</t>
  </si>
  <si>
    <t>SE VOLVIO A RADICAR EL 25/10/2017 ER107884</t>
  </si>
  <si>
    <t>INSTITUTO DISTRITAL DEL PATRIMONIO CULTURAL - IDPC</t>
  </si>
  <si>
    <t>170270-0-2017</t>
  </si>
  <si>
    <t>MANGUARE EU</t>
  </si>
  <si>
    <t xml:space="preserve">Contratar la consultoría para los estudios,  memorias de cálculo, planos y presupuesto para la reubicación de la red de acometida de agua potable y red contra incendios, de la red eléctrica de alta tensión y botones de pánico del edificio de 6 pisos del Concejo de Bogotá.  </t>
  </si>
  <si>
    <t xml:space="preserve">Se realizará de la siguiente manera:
- Un primer pago, correspondiente al 20%  del valor del contrato, previa aprobación de las hojas de vida y el cronograma
-Un segundo pago correspondiente al 25% del valor del contrato, a la entrega de los diseños eléctricos y avaldos por el supervisor.
-Un tercer pago correspondiente al 25% del valor del contrato a la entrega de los diseños hidráulicos y avalados por el supervisor.
-Un cuarto pago correspoondiente al 30%, a la entrega del estudio económico y avalado por el supervisor del contrato. </t>
  </si>
  <si>
    <t>SDH-SMINC-36-2017</t>
  </si>
  <si>
    <t>Servicio de asesoría de gestión</t>
  </si>
  <si>
    <t>CONSULTORÍA</t>
  </si>
  <si>
    <t>UNION TEMPÓRAL RGV</t>
  </si>
  <si>
    <t>01/11/2017   2017ER110594</t>
  </si>
  <si>
    <t>170304-0-2017</t>
  </si>
  <si>
    <t xml:space="preserve">Contratar el servicio integral de fotocopiado y servicios afines para el Concejo de Bogotá D.C., de conformidad con lo establecido en el pliego de peticiones de la selección abreviada subasta inversa electrónica No. SDH-SIE-10-2017 y la propuesta presentada por el contratista. </t>
  </si>
  <si>
    <t>SDH-SIE-10-2017</t>
  </si>
  <si>
    <t>170305-0-2017</t>
  </si>
  <si>
    <t>JAVIER ANTONIO AVENDAÑO RINCON</t>
  </si>
  <si>
    <t>Prestar los servicios para la elaboración del retrato sobre el lienzo al óleo del presidente de la mesa directiva del Concejo de Bogotá.</t>
  </si>
  <si>
    <t>El pago se realizará así:
- Un primer pago del 40% del valor del contrato una vez realizado el estudio fotográfico y presentación del boceto.
-Un segundo pago del 60% al momento de la entrega de la obra  previa autorización del recibo a satisfacción.</t>
  </si>
  <si>
    <t>170309-0-2017</t>
  </si>
  <si>
    <t>170311-0-2017</t>
  </si>
  <si>
    <t>Suministro de papelería, útiles de escritorio para el Concejo de Bogotá de conformidad con lo establecido en el pliego de condiciones de la subasta inversa electrónica  SDH-SIE-09-2017 y la propuesta presentada por el contratista.</t>
  </si>
  <si>
    <t>03/112017</t>
  </si>
  <si>
    <t>170320-0-2017</t>
  </si>
  <si>
    <t>Aunar esfuerzos humanos, técnicos, logísticos y administrativos para garantizar el esquema de seguridad, en su componente vehículos, requerido por los Concejales del Distrito Capital, como consecuencia directa del ejercicio de sus funciones.</t>
  </si>
  <si>
    <t>Se efectuaran 4 desembolsos así:
-El primero euqivalente al 40% de los recursos estimados para el convenio, una vez implementados los esquemas de seguridad.
-El segundo correspondiente al 20% de los recursos estimados para el convenio, una vez finalizado el tercer mes de ejecución.
-El tercero correspondiente al 20% de los recursos estimados para el convenio, una vez finalizado el sexto mes de ejecución.
-El último correspondiente al saldo del valor efectivamente efectuado, una vez finalizado el convenio.</t>
  </si>
  <si>
    <t>170316-0-2017</t>
  </si>
  <si>
    <t>Aunar esfuerzos y recursos técnicos, humanos financieros para adelantar las actividades requeridas para la intervención del acceso principal del edificio de Concejo de Bogotá, D.C.</t>
  </si>
  <si>
    <t>SDH-SIE-09-2017</t>
  </si>
  <si>
    <t>se volvio a radicar el 15/11/2017 con cordis ER114426, por Giovanni Suarez</t>
  </si>
  <si>
    <t>170314-0-2017</t>
  </si>
  <si>
    <t>Proveer servicios de canales dedicados e internet y servicios complementarios para el Concejo de Bogotá.</t>
  </si>
  <si>
    <t xml:space="preserve">Mensualidades vencidas durante la vigencia </t>
  </si>
  <si>
    <t>170308-0-2017</t>
  </si>
  <si>
    <t>VALORACIONES EMPRESARIALES SAS</t>
  </si>
  <si>
    <t>830097305-9</t>
  </si>
  <si>
    <t>Prestar los servicios para realizar el avaluó técnico  de los bienes muebles  de propiedad del Concejo de Bogotá.</t>
  </si>
  <si>
    <t>SDH-SMINC-43-2017</t>
  </si>
  <si>
    <t>Devuelta por la sdh el 21/11/017 cordi ER29890, Se entrega a Manuel Rojas</t>
  </si>
  <si>
    <t>SDH- SMINC-24-2017</t>
  </si>
  <si>
    <t>170326-0-2017</t>
  </si>
  <si>
    <t>Prestar servicio de transporte de bienes muebles, equipos de oficina y cajas de archivo documental para el Concejo de Bogotá</t>
  </si>
  <si>
    <t>SDH-SMINC-45-2017</t>
  </si>
  <si>
    <t>SE VOLVIO A RADICAR CON LOS AJUSTES EL 27/11/2017 CORDIS ER118233</t>
  </si>
  <si>
    <t>170331-0-2017</t>
  </si>
  <si>
    <t>POLITECNICO GRANCOLOMBIANO</t>
  </si>
  <si>
    <t>860078643-1</t>
  </si>
  <si>
    <t>SDH-SAMC-11-2017</t>
  </si>
  <si>
    <t>5 años y 6 meses y 10 dias calendario</t>
  </si>
  <si>
    <t xml:space="preserve"> 17 días</t>
  </si>
  <si>
    <t xml:space="preserve">DELL COLOMBIA INC </t>
  </si>
  <si>
    <t>170337-0-2017</t>
  </si>
  <si>
    <t>830035246-7</t>
  </si>
  <si>
    <t>Proveer el licenciamiento de correo electrónico del Concejo de Bogotá D.C.</t>
  </si>
  <si>
    <t>NUEVA SUPERVISION</t>
  </si>
  <si>
    <t>Licenciamiento de correo electrónico</t>
  </si>
  <si>
    <t>ORDEN DE COMPRA 22825</t>
  </si>
  <si>
    <t>170334-0-2017</t>
  </si>
  <si>
    <t>SGS COLOMBIA SAS</t>
  </si>
  <si>
    <t>Servicio integral de capacitación previsto en el Plan Institucional de Capacitación para los funcionarios del Concejo de Bogotá.</t>
  </si>
  <si>
    <t>Servicio integral de capacitación previsto en el Plan Institucional de Capacitación para los funcionarios del Concejo de Bogotá</t>
  </si>
  <si>
    <t>05/12/2017      2017ER120785</t>
  </si>
  <si>
    <t>Devuelta por la SDH, el 7/12/2017 con cordis ER32082</t>
  </si>
  <si>
    <t>170333-0-2017</t>
  </si>
  <si>
    <t>UNION TEMPORAL INGECOM</t>
  </si>
  <si>
    <t>Prestar los servicios de mantenimiento preventivo y correctivo de elementos que soportan la infraestructura tecnológica del centro de cómputo y centros de cableado del Concjeo de Bogotá.</t>
  </si>
  <si>
    <t>SDH-SIE-12-2017</t>
  </si>
  <si>
    <t>tres pagos</t>
  </si>
  <si>
    <t xml:space="preserve">se volvio a radicar el 11/12/2017  ER122162 con los ajustes </t>
  </si>
  <si>
    <t>04/12/2017   2017ER120637</t>
  </si>
  <si>
    <t>Devuelta por la SDH, el 13/12/2017 con cordis ER32368</t>
  </si>
  <si>
    <t>170345-0-2017</t>
  </si>
  <si>
    <t>GRUPO EMPRESARIAL SOLUCIONES CUATRO EN UNO SAS</t>
  </si>
  <si>
    <t>Prestar los servicios de mantenimiento preventivo, correctivo y soporte técnico especilaizado para el sistema biométrico del Concejo de Bogotá.</t>
  </si>
  <si>
    <t xml:space="preserve">Se realizará de la siguiente forma:
- Mantenimiento preventivo: en dos pagos, cada uno en el mes en que se lleve.
- Mantenimiento correctivo y soporte técnico: Se realizarán 9 pagos mensuales iguales.
- Repuestos y/o elementos: seran cancelados mensualmente de acuerdo a a demanda </t>
  </si>
  <si>
    <t>170344-0-2017</t>
  </si>
  <si>
    <t>Realizar la inspección a los ascensores de las instalaciones del Concejo de Bogotá, de conformidad con lo establecido en el acuerdo distrital 470 de 2011.</t>
  </si>
  <si>
    <t>PROFESSIONAL ENGINEERING INSPECTIONS SAS</t>
  </si>
  <si>
    <t>SDH-SMINC-48-2017</t>
  </si>
  <si>
    <t>SDH-SMINC-046-2017</t>
  </si>
  <si>
    <t>170329-0-2017</t>
  </si>
  <si>
    <t>Prestar el soporte y actualización del software de gestión - Winisis para el Concejo de Bogotá, de conformidad con lo establecido en la invitación pública del proceso citado en el asunto y la propuesta por usted presentada.</t>
  </si>
  <si>
    <t>19/12/2017   2017ER124507</t>
  </si>
  <si>
    <t>57 días calendario</t>
  </si>
  <si>
    <t>170346-0-2017</t>
  </si>
  <si>
    <t>ALMACNES ÉXITO SA</t>
  </si>
  <si>
    <t>Proveer bonos navideños para los hujis de los funcionarios del Concejo de Bogotá.</t>
  </si>
  <si>
    <t>170347-0-2017</t>
  </si>
  <si>
    <t>13 días calendario</t>
  </si>
  <si>
    <t>SDH-SMINC-47-2017</t>
  </si>
  <si>
    <t>SDH-SMINC-50</t>
  </si>
  <si>
    <t>SDH-SAMC-10-2017</t>
  </si>
  <si>
    <t>170357-0-2017</t>
  </si>
  <si>
    <t>UNION TEMPORAL LA PREVISORA SA</t>
  </si>
  <si>
    <t>901140271-8</t>
  </si>
  <si>
    <t>Contar con el seguro de vida para los Concejales de Bogotá, D.C., de conformidad con lo establecido en el pliego de condiciones de la selección Abreviada No. SDH-SAMC-12-2017 y la propuesta presentada por el contratista.</t>
  </si>
  <si>
    <t>170353-0-2017</t>
  </si>
  <si>
    <t>AUTOMOTORES COMAGRO SA</t>
  </si>
  <si>
    <t>170358-0-2017</t>
  </si>
  <si>
    <t xml:space="preserve">Seguros </t>
  </si>
  <si>
    <t>SDH-SAMC-12-2017</t>
  </si>
  <si>
    <t>Adquirir a título de compraventa, dos (2) vehículos tipo camioneta, destinadas al parque automotor del Concejo de Bogotá D.C.</t>
  </si>
  <si>
    <t>ORDEN DE COMPRA 23844</t>
  </si>
  <si>
    <t>170359-0-2017</t>
  </si>
  <si>
    <t>Proveer o actualizar licencias para servidores</t>
  </si>
  <si>
    <t>ORDEN DE COMPRA 24099</t>
  </si>
  <si>
    <t>170364-0-2017</t>
  </si>
  <si>
    <t>OPENLINK SISTEMAS DE REDES SAS</t>
  </si>
  <si>
    <t>Se realizaran los pagos de la siguiente manera:
-Un pago anticipado por el 40% del valor definido para los ítems 1.1 y 1.3.
-Un segundo pago por el saldo del 60% del valor definido en la oferta económica para los ítems 1.1 y 1.3.
-Un tercer pago por el 70% del valor definido del en la oferta económica para los ítems 1.4. 
-Un último pago por el 30% del saldo total del valor definido en la oferta económica para los ítems 1.4.</t>
  </si>
  <si>
    <t>170368-0-2017</t>
  </si>
  <si>
    <t xml:space="preserve"> 140422-0-2014</t>
  </si>
  <si>
    <t>Mauricio Matallana</t>
  </si>
  <si>
    <t>APOYO  SUPERVISIÓN FINANCIERA</t>
  </si>
  <si>
    <t>APOYO  SUPERVISIÓN PROCESO</t>
  </si>
  <si>
    <t>Dora Mesa</t>
  </si>
  <si>
    <t>Carlos Muñoz</t>
  </si>
  <si>
    <t>Martha Munevar</t>
  </si>
  <si>
    <t>Julio César Sánchez</t>
  </si>
  <si>
    <t>Henry Rivera Grisales</t>
  </si>
  <si>
    <t>Juliana Herrera</t>
  </si>
  <si>
    <t>Martha Valencia</t>
  </si>
  <si>
    <t>Margarita Torres</t>
  </si>
  <si>
    <t>900405611-4</t>
  </si>
  <si>
    <t>Realizar la adecuación a los baños del edificio del Concejo de Bogotá, de conformidad con lo establecido en el pliego de condiciones del proceso de selección abreviada de menor cuantía No. SDH-SAMC-13-2017 y la propuesta presentada por el contratista.</t>
  </si>
  <si>
    <t xml:space="preserve">Se efctuaran pagos de la siguiente manera:
Tres pagos mensuales así: 
-Un primer pago correspondiente al 20% 
-Un segundo pago correspondiente al 30%
-Un tercer pago correspondiente al 20%
El cuarto pago final correspondiente al 30%, el cual se realizará una vez suscrita el acta final de obra. </t>
  </si>
  <si>
    <t>Adecuación Baños</t>
  </si>
  <si>
    <t>Proveer una solución  avanzada de seguridad perimetral, correo electrónico y monitoreo de la infresteructura tecnológica para el Concejo de Bogotá.</t>
  </si>
  <si>
    <t>ZILL BUSINESS SOLUTIONS SAS</t>
  </si>
  <si>
    <t xml:space="preserve">Contratar los seguros que amparen los intereses patrimoniales actuales y futuros, así como los bienes de propiedad del Concjeo de Bogotá D.C., que esten bajo su responsabilidad y custodia y aquellos que sean adquiridos para desarrollar las funciones inherentes a su actividad, y cualquier otra póliza de seguros que requiera la entidad en el desarrollo de su actividad, de conformidad con lo establecido en el pliego de condiciones de la selección abreviada de menor cuantía N. SDH-SAMC-12-2017 y la propuesta presentada por el contratista. </t>
  </si>
  <si>
    <t>170369-0-2017</t>
  </si>
  <si>
    <t>NUEVA ERA SOLUCIONES S.A.S</t>
  </si>
  <si>
    <t>830037278-1</t>
  </si>
  <si>
    <t>Gloria Veronica Zambrano Ocampo</t>
  </si>
  <si>
    <t>Luis Alberto Donoso Rincon</t>
  </si>
  <si>
    <t>Jairo de Jesus Ramirez Ramirez</t>
  </si>
  <si>
    <t>Rosa Juliana Herrera Pinto</t>
  </si>
  <si>
    <t>SDH-SAMC-13-2017</t>
  </si>
  <si>
    <t>Proveer 45 equipos portátiles para el Concejo de Bogotá, de conformidad con lo establecido en el pliego de condiciones de la Selección Abreviada Subasta Inversa Electrónica No. SDH-SIE-19-2017 y a propuesta presentada por el contratista.</t>
  </si>
  <si>
    <t>SDH-SIE-19-2017</t>
  </si>
  <si>
    <t>SDH-SIE-21-2017</t>
  </si>
  <si>
    <t xml:space="preserve"> DORA LILIA MESA GONZALEZ (cesionaria) / GIOVANNI SUAREZ USECHE (Antes)</t>
  </si>
  <si>
    <t>LÍNEA PAA 2018</t>
  </si>
  <si>
    <t>27/12/2017     2017ER126829</t>
  </si>
  <si>
    <t>27/12/2017   2017ER126831</t>
  </si>
  <si>
    <t>INGENIERIA Y SOLUCIONES EN CONTROL AUTOMATIZACION Y DISEÑO</t>
  </si>
  <si>
    <t>28/12/2017    2017ER27436</t>
  </si>
  <si>
    <t>USA POSTAL</t>
  </si>
  <si>
    <t>29/12/2017   2017ER127437</t>
  </si>
  <si>
    <t>29/12/2017    2017ER127439</t>
  </si>
  <si>
    <t>180007-0-2018</t>
  </si>
  <si>
    <t>GRUPO EDS AUTOGAS S.A.S.</t>
  </si>
  <si>
    <t>900459737-5</t>
  </si>
  <si>
    <t>Walter Malagon</t>
  </si>
  <si>
    <t>Julieth Angarita
Edward Moreno</t>
  </si>
  <si>
    <t>Emilse Piratova</t>
  </si>
  <si>
    <t>ORDEN DE COMPRA 24613</t>
  </si>
  <si>
    <t>19/01/2017    2017ER5760</t>
  </si>
  <si>
    <t>se volvio a radicar el informe final el 22/01/2018  ER6643</t>
  </si>
  <si>
    <t>devuelta por la SDH, el 24/01/2018 er01369, entregada a Manuel Rojas</t>
  </si>
  <si>
    <t>devuelta por la SDH el 24/01/2018 ER1369, entregada a Manuel Rojas</t>
  </si>
  <si>
    <t>la tiene el arquitecto</t>
  </si>
  <si>
    <t>180083-0-2018</t>
  </si>
  <si>
    <t>Prestar servicios para la elaboración del retrato sobre lienzo al óleo del Presidente de la mesa directiva del Concejo de Bogotá.</t>
  </si>
  <si>
    <t>180086-0-2018</t>
  </si>
  <si>
    <t>800249557-2</t>
  </si>
  <si>
    <t>Proveer ejemplares del Directorio de Despachos Públicos de Colombia 2018, para el Concejo de Bogotá D.C.</t>
  </si>
  <si>
    <t>180053-0-2018</t>
  </si>
  <si>
    <t>180099-0-2018</t>
  </si>
  <si>
    <t>JUAN DIEGO ESPÍTIA ROA</t>
  </si>
  <si>
    <t>devuelta por la SDH el     ER  , entregada a Julieth</t>
  </si>
  <si>
    <t>CASA EDITORIAL EL TIEMPO</t>
  </si>
  <si>
    <t>180118-0-2018</t>
  </si>
  <si>
    <t>180130-0-2018</t>
  </si>
  <si>
    <t>SILVERIO MONTAÑA MONTAÑA</t>
  </si>
  <si>
    <t>Prestar servicios profesionales para apoyar jurídicamente a la Mesa Directiva del Concejo de Bogotá, en los asuntos que por su complejidad se requieran para el desarrollo de las funciones legales y reglamentarias de la Corporación.</t>
  </si>
  <si>
    <t>Servicios profesionales / Apoyo mesa directiva</t>
  </si>
  <si>
    <t>180118-02018</t>
  </si>
  <si>
    <t>4 meses y 15 días calendario</t>
  </si>
  <si>
    <t>30días</t>
  </si>
  <si>
    <t>4 meses y 5 días</t>
  </si>
  <si>
    <t>3 meses y 28 días calendario</t>
  </si>
  <si>
    <t>4 meses y 6 días calendario</t>
  </si>
  <si>
    <t>SE VOLVIO A RADICA EL 02/02/2018 ER11578</t>
  </si>
  <si>
    <t>se volvio a radicar el informe final el 05/02/2018  ER12134</t>
  </si>
  <si>
    <t>180085-0-2018</t>
  </si>
  <si>
    <t>180103-0-2018</t>
  </si>
  <si>
    <t>WILLIAM TEJADA CELIS</t>
  </si>
  <si>
    <t>3 meses y 27 días calendario</t>
  </si>
  <si>
    <t>4 meses y 57 días calendario</t>
  </si>
  <si>
    <t>4 meses y 15 dias calendario</t>
  </si>
  <si>
    <t>180129-0-2018</t>
  </si>
  <si>
    <t>Prestar los servicios profesionales para apoyar al Concejo de Bogotá D.C., en el desarrollo de las actividades protocolarias de los diferentes eventos que lleva acabo la corporación en ejercicio de sus funciones.</t>
  </si>
  <si>
    <t>Servicios profesionales / Apoyo oficina de comunicaciones</t>
  </si>
  <si>
    <t>Luis Fernando Pinzon Galindo</t>
  </si>
  <si>
    <t>3 meses y 8 días</t>
  </si>
  <si>
    <t>4 meses y 14 días calendario</t>
  </si>
  <si>
    <t>3 meses y 8 días calendario</t>
  </si>
  <si>
    <t>3 meses y 25 días</t>
  </si>
  <si>
    <t>Tres (3) meses y 27 días calendario</t>
  </si>
  <si>
    <t>Cuatro (4) meses y 8 días calendario</t>
  </si>
  <si>
    <t>Cuatro (4) meses y 12 días calendario</t>
  </si>
  <si>
    <t>Cuatro (4) meses y 10 días calendario</t>
  </si>
  <si>
    <t>180123-0-2018</t>
  </si>
  <si>
    <t>Cuatro (4) meses y 14 días calendario</t>
  </si>
  <si>
    <t>Cuatro(4) meses y Once (11) días calendario</t>
  </si>
  <si>
    <t>16/02/2018
2018ER17827</t>
  </si>
  <si>
    <t>devuelta por la SDH el     ER  , entregada a Manuel Rojas</t>
  </si>
  <si>
    <t>180087-0-2018</t>
  </si>
  <si>
    <t>Prestar servicios de soporte y mantenimiento de todos los productos Oracle adquiridos por el Concejo de Bogotá.</t>
  </si>
  <si>
    <t>Soporte  y mantenimiento / Oracle</t>
  </si>
  <si>
    <t>Jorge Luis Peñuela Ramos</t>
  </si>
  <si>
    <t>ORDEN DE COMPRA 24917</t>
  </si>
  <si>
    <t>Tres (3) meses y 2 días calendario</t>
  </si>
  <si>
    <t>09/02/2018
ER14669</t>
  </si>
  <si>
    <t>21/02/2018
ER19805</t>
  </si>
  <si>
    <t>09/02/2018
ER14668</t>
  </si>
  <si>
    <t>20/02/2018
ER19143</t>
  </si>
  <si>
    <t>180140-0-2018</t>
  </si>
  <si>
    <t>Yudis Nayibe Sierra Dunnan</t>
  </si>
  <si>
    <t>180149-0-2018</t>
  </si>
  <si>
    <t>EL RINCON DEPORTIVO DE LA 24 / CLAUDIA ROCIO MARIN ROJAS</t>
  </si>
  <si>
    <t>Suministro de uniformes y elementos deportivos para los funcionarios del Concejo de Bogotá.</t>
  </si>
  <si>
    <t>SDH-SMINC-05-2018</t>
  </si>
  <si>
    <t>180151-0-2018</t>
  </si>
  <si>
    <t>SDH-SMINC-01-2018</t>
  </si>
  <si>
    <t xml:space="preserve">Dirección Administrativa </t>
  </si>
  <si>
    <t>45 días calendario</t>
  </si>
  <si>
    <t xml:space="preserve">3 meses y 13 días </t>
  </si>
  <si>
    <t>2 meses y 2 días calendario</t>
  </si>
  <si>
    <t>180156-0-2018</t>
  </si>
  <si>
    <t xml:space="preserve">CENCOSUD COLOMBIA </t>
  </si>
  <si>
    <t>900155107-1</t>
  </si>
  <si>
    <t>Proveer televisores para el Concejo de Bogotá</t>
  </si>
  <si>
    <t>LUZ ANGELA CARDENAS MORENO (Cesionaria) / IVON ADRIANA JIMENEZ ZAPATA (Antes)</t>
  </si>
  <si>
    <t>ORDEN DE COMPRA 26881</t>
  </si>
  <si>
    <t>EDITORIAL EL GLOBO SA</t>
  </si>
  <si>
    <t>03/04/2018
SELLO</t>
  </si>
  <si>
    <t>JUAN DIEGO ESPITIA</t>
  </si>
  <si>
    <t>22/03/2018
ER32797</t>
  </si>
  <si>
    <t>3 meses y 5 días calendario</t>
  </si>
  <si>
    <t>MARIA ALEJANDRA GAITÁN NAVARRETE (Cesionaria) / ÁNGELA MARÍA CANIZALEZ HERRERA (Antes)</t>
  </si>
  <si>
    <t>3 meses de suspensión</t>
  </si>
  <si>
    <t>160164-0-2016</t>
  </si>
  <si>
    <t>JAVIER ANTONIO AVENDAÑO</t>
  </si>
  <si>
    <t>ULTIMO TRAMITE POR JUAN DIEGO ESPITIA</t>
  </si>
  <si>
    <t>UT HACIENDA BOGOTA</t>
  </si>
  <si>
    <t>SE VOLVIOA RADICAR EN LA SDH EL 06/04/2018, POR JUAN DIEGO ESPITIA</t>
  </si>
  <si>
    <t>SE VOLVIO A RADICAR EL 12/03/2018 EN LA SDH, POR JUAN DIEGO ESPITIA</t>
  </si>
  <si>
    <t>VALORACIONES EMPRESARIALES</t>
  </si>
  <si>
    <t>02/04/2018
ER36264</t>
  </si>
  <si>
    <t>JHON ALEXANDRA SUAREZ SALGUERO</t>
  </si>
  <si>
    <t>02/04/2018
ER36266</t>
  </si>
  <si>
    <t>11/04/2018
ER40732</t>
  </si>
  <si>
    <t>ECA INTERVENTORIAS Y CONSULTORIAS DE COLOMBIA SAS</t>
  </si>
  <si>
    <t>09/04/2018
ER39110</t>
  </si>
  <si>
    <t>180163-0-2018</t>
  </si>
  <si>
    <t>ACOMEDIOS PUBLICIDAD Y MERCADEO</t>
  </si>
  <si>
    <t>Prestar servicios de diseño, producción y ejecución de estrategias de divulgación en medios de comunicación de carácter masivo y alternativo para el Concejo de Bogotá; D.C.</t>
  </si>
  <si>
    <t xml:space="preserve">Oficina Asesora de Comunicaciones </t>
  </si>
  <si>
    <t>SDH-SIE-03-2018</t>
  </si>
  <si>
    <t>Anderson Gutierrez</t>
  </si>
  <si>
    <t>22/03/2018
2018ER33206</t>
  </si>
  <si>
    <t>HIUSTY NAYET LOPEZ VELEZ (Cesionaria) / YOANA INES TRUJILLO AGUDELO (Antes)</t>
  </si>
  <si>
    <t xml:space="preserve">RED COMPUTO </t>
  </si>
  <si>
    <t>180162-0-2018</t>
  </si>
  <si>
    <t>900981247-9</t>
  </si>
  <si>
    <t>Prestar servicios de soporte y actualización del software antivirus para el Concejo de Bogotá</t>
  </si>
  <si>
    <t>El pago se realizará así:
- Un pago correspondiente al valor de las licencias actualizadas.
-Dos pagos iguales correspondientes a los servicios conexos.</t>
  </si>
  <si>
    <t>SDH-SMINC-15-2018</t>
  </si>
  <si>
    <t>KEY MARKET SAS EN REORGANIZACION</t>
  </si>
  <si>
    <t>180169-0-2018</t>
  </si>
  <si>
    <t>SDH-SMINC-16-2018</t>
  </si>
  <si>
    <t>180158-0-2018</t>
  </si>
  <si>
    <t>CAR SCANNERS SAS</t>
  </si>
  <si>
    <t>Prestar los servicios de mantenimiento periódico preventivo para los vehículos del Concejo de Bogotá D.C.</t>
  </si>
  <si>
    <t>si</t>
  </si>
  <si>
    <t>SDH-SMINC-11-2018</t>
  </si>
  <si>
    <t xml:space="preserve">Dirección Financiera </t>
  </si>
  <si>
    <t>3 MESES</t>
  </si>
  <si>
    <t>2 meses y 10 días calendario</t>
  </si>
  <si>
    <t>2 meses y 5 días</t>
  </si>
  <si>
    <t>180172-0-2018</t>
  </si>
  <si>
    <t>J Y F INVERSIONES SAS</t>
  </si>
  <si>
    <t>SDH-SMINC-26-2018</t>
  </si>
  <si>
    <t>Prestar servicios de alquiler de escenarios como salones, auditorios y espacios  abiertos, apoyo logísticos y servicios de catering  para el desarrollo de eventos que requieran el Concejo de Bogotá D.C., de conformidad con lo establecido en la invitación pública del proceso citado en el asunto y la propuesta por ustedes presentada.</t>
  </si>
  <si>
    <t>SE VOLVIO A ENVIAR EL 08/05/2018 ER51907, POR JULIETH ANGARITA</t>
  </si>
  <si>
    <t>GRUPO TITANIUM SAS (cesionario) / GENESIS CONSTRUCCIONES SAS(Cedente)</t>
  </si>
  <si>
    <t>31 días calendario</t>
  </si>
  <si>
    <t>2 meses y 15 días calendario</t>
  </si>
  <si>
    <t>180171-0-2018</t>
  </si>
  <si>
    <t>M.A. ELECTRONIKA SAS</t>
  </si>
  <si>
    <t>Adquisición de monitores industriales para el Concejo de Bogotá</t>
  </si>
  <si>
    <t>Adquisición de monitores Industriales</t>
  </si>
  <si>
    <t>SE ENVIO EL 15/05/2018 CORDIS ER54220</t>
  </si>
  <si>
    <t>180177-0-2018</t>
  </si>
  <si>
    <t>901179382-6</t>
  </si>
  <si>
    <t xml:space="preserve">Prestar servicio de vigilancia y seguridad privada, para la permanente y adecuada protección de los funcionarios, contratistas, visitantes, contribuyentes y usuarios del Concejo de Bogotá, D.C., y los bienes muebles e inmuebles objeto de esta contratación, de conformidad con lo dispuesto en el pliego de condiciones del proceso SDH-LP-01-2018 y la proupesta presentada por el contratista. </t>
  </si>
  <si>
    <t>SDH-LP-01-2018</t>
  </si>
  <si>
    <t>SDH-SMINC-25-2018</t>
  </si>
  <si>
    <t>180175-0-2018</t>
  </si>
  <si>
    <t>8908900943-1</t>
  </si>
  <si>
    <t>Adquirir tablets para el Concejo de Bogotá</t>
  </si>
  <si>
    <t>Adquisición de tablets</t>
  </si>
  <si>
    <t>ORDEN DE COMPRA 28271</t>
  </si>
  <si>
    <t>180174-0-2018</t>
  </si>
  <si>
    <t>MACHINETRONICS SAS</t>
  </si>
  <si>
    <t>900042114-6</t>
  </si>
  <si>
    <t>Proveer solución de pantallas Video Wall para el Concejo de Bogotá</t>
  </si>
  <si>
    <t xml:space="preserve">Se realizará de la siguiente manera:
- Un primer pago correspondiente a la entrega del video wall de 2x2, incluyendo licencia.
- Un segundo pago correspondiente al servicio de instalación, configuración y puesta en funcionamiento del equipo adquirido y capacitación. </t>
  </si>
  <si>
    <t>Adquisición de video wall</t>
  </si>
  <si>
    <t>180176-0-2018</t>
  </si>
  <si>
    <t xml:space="preserve">COMERCIALIZADORA, SERVICIOS Y MANTENIMIENTO "DICXON ALEXANDER PATIÑO MORENO" SAS- COSERMAN SAS CC </t>
  </si>
  <si>
    <t>901148476-1</t>
  </si>
  <si>
    <t xml:space="preserve">Prestar los servicios de mantenimiento correctivo  correspondiente a la reparación y corrección de las sillas existentes en el Concejo de Bogotá, D.C., con el suministro de repuestos necesarios para su correcto funcionamiento. </t>
  </si>
  <si>
    <t>SDH-SMINC-18-2018</t>
  </si>
  <si>
    <t>SDH- SMINC-22-2018</t>
  </si>
  <si>
    <t>3 meses y 2 días calendario</t>
  </si>
  <si>
    <t>1 mes y 29 días</t>
  </si>
  <si>
    <t>180179-0-2018</t>
  </si>
  <si>
    <t>GRUPO JARVAN Y DYS SAS</t>
  </si>
  <si>
    <t>900921716-1</t>
  </si>
  <si>
    <t>Suministro de elementos de promoción institucional y actos protocolarios del Concejo de Bogotá</t>
  </si>
  <si>
    <t>pagos mensuales</t>
  </si>
  <si>
    <t>DAGOBERTO GARCIA BAQUERO</t>
  </si>
  <si>
    <t xml:space="preserve">Secretaria General </t>
  </si>
  <si>
    <t>SDH-SMINC-20-2018</t>
  </si>
  <si>
    <t>BUSINESS INTELLIGENCE</t>
  </si>
  <si>
    <t>ORGANIZACIÓN TERPEL</t>
  </si>
  <si>
    <t xml:space="preserve"> SDH-SMINC-45-2013</t>
  </si>
  <si>
    <t xml:space="preserve"> SDH-SMINC-06-2013</t>
  </si>
  <si>
    <t xml:space="preserve"> 040000-221-0-2012</t>
  </si>
  <si>
    <t>EL TIEMPO</t>
  </si>
  <si>
    <t>Branch of microsoft</t>
  </si>
  <si>
    <t>Orden de compra 19093</t>
  </si>
  <si>
    <t>SOLUCIONES ICG</t>
  </si>
  <si>
    <t>TECNOLOGIA BIOMEDICA Y SUMINISTROS</t>
  </si>
  <si>
    <t>180181-0-2018</t>
  </si>
  <si>
    <t>ASEAR S.A. ESP</t>
  </si>
  <si>
    <t>Prestar servicios integrales de aseo y cafetería y servicio de fumigación para las instalaciones del Concejo de Bogotá, D.C., de conformidad con lo establecido en el pliego de condiciones de la Licitación Pública No. SDH-LP-02-2018 y la propuesta presentada por el contratista.</t>
  </si>
  <si>
    <t>SDH-LP-02-2018</t>
  </si>
  <si>
    <t>2 meses y 10 días</t>
  </si>
  <si>
    <t>180184-0-2018</t>
  </si>
  <si>
    <t>INGENIERIA DE BOMBAS Y PLANTAS SAS</t>
  </si>
  <si>
    <t>Prestar servicios de mantenimiento para los tanques de almacenamiento y equipos de bombeo hidráulicos de agua potable, residual y aguas negras del Concejo de Bogotá.</t>
  </si>
  <si>
    <t>SDH-SMINC-27-2018</t>
  </si>
  <si>
    <t>MAP INGENIEROS</t>
  </si>
  <si>
    <t xml:space="preserve">07/05/2018
ER51276
</t>
  </si>
  <si>
    <t>DOUGLAS TRADE</t>
  </si>
  <si>
    <t>24/05/2018
ER58534</t>
  </si>
  <si>
    <t>10/05/2018
ER53120</t>
  </si>
  <si>
    <t>INGEBIERIA Y SOLUCIONES EN CONTROL</t>
  </si>
  <si>
    <t>29/05/2018
ER60041</t>
  </si>
  <si>
    <t>COMERCIALIZADORA VIMEL</t>
  </si>
  <si>
    <t>29/05/2018
ER60039</t>
  </si>
  <si>
    <t>UT ZONA SECANCOL 2018</t>
  </si>
  <si>
    <t>120000-0-177-2012</t>
  </si>
  <si>
    <t>FERNANDO SOTOMONTE</t>
  </si>
  <si>
    <t xml:space="preserve"> SDH-SMINC-033-2014</t>
  </si>
  <si>
    <t xml:space="preserve"> SDH-SIE-015-2013</t>
  </si>
  <si>
    <t>CESAR ALEJANDRO GUERRRERO</t>
  </si>
  <si>
    <t xml:space="preserve"> SHD-SMINC-26-2012</t>
  </si>
  <si>
    <t>180182-0-2018</t>
  </si>
  <si>
    <t>Realizar las auditorias para la recertificación del Sistema de Gestión de Calidad del Concejo de Bogotá</t>
  </si>
  <si>
    <t>Un solo pago, una vez se haya realizado la auditoria de recertificación y entrega del informe del resultado de la misma.</t>
  </si>
  <si>
    <t>CESAR AUGUSTO MELENDEZ DÍAZ</t>
  </si>
  <si>
    <t xml:space="preserve">Jefe Oficina de Planeación           </t>
  </si>
  <si>
    <t>SDH-SMINC-24-2018</t>
  </si>
  <si>
    <t xml:space="preserve">EL 25 DE MAYO SE RADICO EN S.H.D. INFORME FINAL DE SUPERVISIÓN PORQUE SE PERDIO COMPETENCIA. </t>
  </si>
  <si>
    <t xml:space="preserve">NO SE PUEDE LIQUIDAR SE PERDIO COMPETENCIA- 31/01/2017- SE ELABORA INFORME DE SUPERVISIÓN </t>
  </si>
  <si>
    <t xml:space="preserve"> SDH-SIE-12-2012</t>
  </si>
  <si>
    <t xml:space="preserve"> 130116-0-2013</t>
  </si>
  <si>
    <t xml:space="preserve">INGEAL </t>
  </si>
  <si>
    <t>01/06/2018
ER62265</t>
  </si>
  <si>
    <t>DORA MESA</t>
  </si>
  <si>
    <t>COLSOFT</t>
  </si>
  <si>
    <t>ORACLE</t>
  </si>
  <si>
    <t>22/03/2018
ER33084</t>
  </si>
  <si>
    <t>16/05/2018
ER54391</t>
  </si>
  <si>
    <t>DELL COLOMBIA</t>
  </si>
  <si>
    <t>01/06/2018
ER62267</t>
  </si>
  <si>
    <t>DEVUELTA NUEVAMENTE Y ESTA PARA LA FIRMA DEL CONTRATISTA</t>
  </si>
  <si>
    <t>15/05/2018
ER30355</t>
  </si>
  <si>
    <t>16/05/2018
ER54392</t>
  </si>
  <si>
    <t>02/05/2018
ER49524</t>
  </si>
  <si>
    <t>15/03/2018
ER30356</t>
  </si>
  <si>
    <t>25/05/2018
ER58852</t>
  </si>
  <si>
    <t>MARTHA LILIANA SALAZAR</t>
  </si>
  <si>
    <t>SDH-SMINC-21-2018</t>
  </si>
  <si>
    <t>180173-0-2018</t>
  </si>
  <si>
    <t>Proveer Licenciamiento Data protector, de conformidad con lo establecido en la invitación pública del proceso citado en el asunto y la propuesta por usted presentada.</t>
  </si>
  <si>
    <t>Un pago por el 100% del valor total del licenciamiento, posterior a la entrega del software adquirido.</t>
  </si>
  <si>
    <t>Licenciamiento Data Protector</t>
  </si>
  <si>
    <t xml:space="preserve"> SDH-SMINC-007-2013</t>
  </si>
  <si>
    <t xml:space="preserve"> 130161-0-2013</t>
  </si>
  <si>
    <t>AUGUSTO MENDILVIESO</t>
  </si>
  <si>
    <t xml:space="preserve"> 130227-0-2013</t>
  </si>
  <si>
    <t xml:space="preserve"> SDH-SMINC-34-2012</t>
  </si>
  <si>
    <t xml:space="preserve"> SDH-SAMC-01-2013</t>
  </si>
  <si>
    <t xml:space="preserve"> 130301-0-2013</t>
  </si>
  <si>
    <t xml:space="preserve"> 012000-466-0-2012</t>
  </si>
  <si>
    <t>JARDIN BOTANICO</t>
  </si>
  <si>
    <t xml:space="preserve"> SDH-LP-001-2012</t>
  </si>
  <si>
    <t xml:space="preserve"> SDH-SIE-013-2013</t>
  </si>
  <si>
    <t>PUBBLICA</t>
  </si>
  <si>
    <t xml:space="preserve"> SDH-SMINC-64-2012</t>
  </si>
  <si>
    <t xml:space="preserve"> SDH-SMINC-042-2011</t>
  </si>
  <si>
    <t xml:space="preserve"> SDH-SMINC-027-2011</t>
  </si>
  <si>
    <t>180205-0-2018</t>
  </si>
  <si>
    <t>Prestar servicios de actualización y soporte para el software para la gestión de la mesa de servicios - Aranda para el Concejo de Bogotá</t>
  </si>
  <si>
    <t>Los pagos se efectuarán así:
A. Un primer pago con la entrega de la actualización e instalación de las licencias.
B. Un segundo pago correspondiente al valor del soporte objeto de este contrato a los 5 (cinco) meses posterior a la fecha.
C. Un segundo pago correspondiente al valor del soporte objeto de este contrato a los 9 (nueve) meses posterior a la fecha.</t>
  </si>
  <si>
    <t>180195-0-2018</t>
  </si>
  <si>
    <t>HECTOR MANUEL LEON URQUIJO</t>
  </si>
  <si>
    <t>Adquisición e instalación de mobiliario y adeacuación de las áreas para los servicios ubicados en el sotano de parqueaderos y para la oficina de presidencia del Concejo de Bogotá.</t>
  </si>
  <si>
    <t>180192-0-2018</t>
  </si>
  <si>
    <t>TEAM MANAGEMENT INFRASTRUCTURE SAS</t>
  </si>
  <si>
    <t>Prestar servicios de soporte y mantenimiento para la plataforma VMware del Concejo de Bogotá.</t>
  </si>
  <si>
    <t xml:space="preserve">Los pagos se realizarán así:
- Un primer pago correspondiente al valor de las licencias actualizadas (ítems 1y2), contraentrega del certificado de renovación de la actualización.
- Pagos bimestrales vencidos de acuerdo con las horas de soporte técnico. (ítem 3)
</t>
  </si>
  <si>
    <t>180186-0-2018</t>
  </si>
  <si>
    <t>PURIFICADORES Y FILTROS INTERNACIONAL LTDA</t>
  </si>
  <si>
    <t>830021842-6</t>
  </si>
  <si>
    <t>Prestar servicios de mantenimiento preventivo con suministro de repuestos para plantas purificadoras semi-industriales de agua de la Secretaría Distrital de Hacienda y el Concejo de Bogotá.</t>
  </si>
  <si>
    <t>SDH-SMINC-33-2018</t>
  </si>
  <si>
    <t>SDH-SMINC-35-2018</t>
  </si>
  <si>
    <t>SDH-SMINC-30-2018</t>
  </si>
  <si>
    <t>SOLUCIONES H&amp; S</t>
  </si>
  <si>
    <t>17/04/2018
ER43409</t>
  </si>
  <si>
    <t>MONICA PATRICIA SERRANO</t>
  </si>
  <si>
    <t>07/05/2018
ER51277</t>
  </si>
  <si>
    <t>09/07/2018
ER75588</t>
  </si>
  <si>
    <t>PUBLICACIONES SEMANA</t>
  </si>
  <si>
    <t>03/04/2018
sello</t>
  </si>
  <si>
    <t>AGR SOLUCIONES</t>
  </si>
  <si>
    <t>14/03/2018
ER29545</t>
  </si>
  <si>
    <t>ALL IN SERVICES</t>
  </si>
  <si>
    <t>10/07/2018
ER76363</t>
  </si>
  <si>
    <t>CENCOSUD COLOMBIA SA</t>
  </si>
  <si>
    <t>10/07/2018
ER76361</t>
  </si>
  <si>
    <t>AUTOGAS</t>
  </si>
  <si>
    <t>10/07/2018
ER76362</t>
  </si>
  <si>
    <t>09/07/2018
ER75589</t>
  </si>
  <si>
    <t>JAVIER AVENDAÑO</t>
  </si>
  <si>
    <t>04/07/2018
ER73842</t>
  </si>
  <si>
    <t>180207-0-2018</t>
  </si>
  <si>
    <t>TRANSPORTES COCOCARGA LTDA</t>
  </si>
  <si>
    <t>SDH-SMINC-36-2018</t>
  </si>
  <si>
    <t>180208-0-2018</t>
  </si>
  <si>
    <t>Contratar la adqusición, entrega y montaje de mobiliario para el salón Lara Bonilla del Concejo de Bogotá</t>
  </si>
  <si>
    <t>HANS OLIVER BELTRAN PALMA</t>
  </si>
  <si>
    <t>SDH-SMINC-34 -2018</t>
  </si>
  <si>
    <t>180210-0-2018</t>
  </si>
  <si>
    <t>PC MICROS SAS</t>
  </si>
  <si>
    <t>Proveer el servicio de migración de Microsoft Exchange 2010 a 2016 para el Concejo de Bogotá</t>
  </si>
  <si>
    <t>SDH-SMINC-38-2018</t>
  </si>
  <si>
    <t>Los pagos se efectuarán así:
- Un primer pago por el 100% del valor de la oferta del ítem 1.
-Un segundo pago por el 100% del valor de la oferta del ítem 2</t>
  </si>
  <si>
    <t>Migración de Microsft Exchange</t>
  </si>
  <si>
    <t>Servicio</t>
  </si>
  <si>
    <t>180197-0-2018</t>
  </si>
  <si>
    <t xml:space="preserve">LUZ ANGELA CARDENAS MORENO </t>
  </si>
  <si>
    <t>6 MESES</t>
  </si>
  <si>
    <t>180200-0-2018</t>
  </si>
  <si>
    <t>1 mes y 4 días</t>
  </si>
  <si>
    <t>180206-0-2018</t>
  </si>
  <si>
    <t>OPENLINK SISTEMA DE REDES DE DATOS SA</t>
  </si>
  <si>
    <t>Adquirir switches de acceso para el Concejo de Bogotá</t>
  </si>
  <si>
    <t>Los pagos se efectuarán así:
- Un proimer pago el valor de la oferta económica , correspondiente a la entrega de los bienes adquiridos.
- Un segundo pago el valor de la oferta correspondiente a la instalación, configuración, puesta en marcha y transferencia de conocimiento</t>
  </si>
  <si>
    <t>Adquisición switches</t>
  </si>
  <si>
    <t>SDH-SIE-09-2018</t>
  </si>
  <si>
    <t>30/05/2018
ER60768</t>
  </si>
  <si>
    <t>14/06/2018
ER66171</t>
  </si>
  <si>
    <t>21/06/2018
ER68769</t>
  </si>
  <si>
    <t>18/06/2018
ER67285</t>
  </si>
  <si>
    <t>DORA LILIA MESA</t>
  </si>
  <si>
    <t>LA SDH DEVOVIO LA CARPETA PARA AJUSTES EL 24/07/2018 ER18017</t>
  </si>
  <si>
    <t>LA SDH DEVOVIO LA CARPETA PARA AJUSTES EL 24/07/2018 ER18018</t>
  </si>
  <si>
    <t>LA SDH DEVOVIO LA CARPETA PARA AJUSTES EL 23/07/2018 ER17941</t>
  </si>
  <si>
    <t>180212-0-2018</t>
  </si>
  <si>
    <t>JARGU SA</t>
  </si>
  <si>
    <t>180218-0-2018</t>
  </si>
  <si>
    <t xml:space="preserve">DIEGO EDUARDO PABON BULLA </t>
  </si>
  <si>
    <t>180221-0-2018</t>
  </si>
  <si>
    <t>Se efectuaran 4 desembolsos así:
-El primero euqivalente al 40% de los recursos estimados para el convenio, una vez implementados los esquemas de seguridad.
-El segundo correspondiente al 30% de los recursos estimados para el convenio, una vez finalizado el segundo mes de ejecución.
-El tercero correspondiente al 20% de los recursos estimados para el convenio, una vez finalizado el tercer mes de ejecución.
-El último correspondiente al saldo del valor efectivamente efectuado, una vez finalizado el convenio.</t>
  </si>
  <si>
    <t>180216-0-2018</t>
  </si>
  <si>
    <t>AURA ELISA GUERRERO MORENO</t>
  </si>
  <si>
    <t>Prestar los servicios profesionales para la definición de especificaciones y condiciones técnicas para la adquisición de bienes y servicios relacionados con tecnología e informática, el seguimiento a la ejecución de los mismos y el acompañamiento en la formulación  de estrategias para la optimización del desarrollo tecnológico de la Corporación.</t>
  </si>
  <si>
    <t>180209-0-2018</t>
  </si>
  <si>
    <t>Realizar las auditorías para el seguimiento de la certificación para los sistemas de Gestión Ambiental y Seguridad y Salud Ocupacional bajo las normas ISO 14001:2004 y OHSAS 18001:2007 al Concejo de Bogotá D.C.</t>
  </si>
  <si>
    <t xml:space="preserve">Jefe Oficina de Planeación            </t>
  </si>
  <si>
    <t>180217-0-2018</t>
  </si>
  <si>
    <t>ANDRES FELIPE CORZO VILLAMIZAR</t>
  </si>
  <si>
    <t>Prestar los servicios profesionales para apoyar la Dirección Financiera en la gestión de las actividades relacionadas con el seguimiento a la ejecución contractual del Concejo de Bogotá D.C.</t>
  </si>
  <si>
    <t>180232-0-2018</t>
  </si>
  <si>
    <t>NIDIA GOMÉS CORTÉS</t>
  </si>
  <si>
    <t>Prestar servicios profesionales para apoyar en las diferentes comisiones permanentes del Concejo de Bogotá en la respuesta a los derechos de petición, solicitudes, quejas, consultas y reclamos que reciba la corporación.</t>
  </si>
  <si>
    <t>180231-0-2018</t>
  </si>
  <si>
    <t>DANIEL ALBERTO PIEDRAHITA NUÑEZ</t>
  </si>
  <si>
    <t>Prestar los servicios profesionales para apoyar el proceso de auditorías internas en el área de control interno del Concejo de Bogotá.</t>
  </si>
  <si>
    <t>180229-0-2018</t>
  </si>
  <si>
    <t>JEFFERSON FARUK CAMPOS RAMIREZ</t>
  </si>
  <si>
    <t>Prestar los servicios profesionales para apoyar el proceso de sistemas y seguridad de la información del Concejo de Bogotá en materia de seguridad informática.</t>
  </si>
  <si>
    <t>180228-0-2018</t>
  </si>
  <si>
    <t>DANY ALEXANDER FONSECA SANABRIA</t>
  </si>
  <si>
    <t>180223-0-2018</t>
  </si>
  <si>
    <t>180227-0-2018</t>
  </si>
  <si>
    <t>ANABIA JULIETH ANGARITA GALINDO</t>
  </si>
  <si>
    <t>180222-0-2018</t>
  </si>
  <si>
    <t>Prestar servicios profesionales para apoyar al Director Financiero en los asuntos propios de la dependencia en el marco del presupuesto anual de gastos de funcionamiento e inversión para el manejo eficiente y eficaz de los recursos financieros con forme al plan estratégico de la entidad de acuerdo a la normatividad vigente.</t>
  </si>
  <si>
    <t>SDH-CD-005-2018</t>
  </si>
  <si>
    <t>SDH-CD-0010-2018</t>
  </si>
  <si>
    <t>SDH-CD-007-2018</t>
  </si>
  <si>
    <t>SDH-CD-023-2018</t>
  </si>
  <si>
    <t>SDH-CD-015-2018</t>
  </si>
  <si>
    <t>SDH-CD-002-2018</t>
  </si>
  <si>
    <t>SDH-CD-020-2018</t>
  </si>
  <si>
    <t>SHD-CD-009-2018</t>
  </si>
  <si>
    <t>180234-0-2018</t>
  </si>
  <si>
    <t>CONSTANZA BRIGITTE MAHECHA JIMENEZ</t>
  </si>
  <si>
    <t>180263-0-2018</t>
  </si>
  <si>
    <t>VIVIANA MARCELA RODRIGUEZ OTAVO</t>
  </si>
  <si>
    <t xml:space="preserve">Dirección Jurídica </t>
  </si>
  <si>
    <t>180280-0-2018</t>
  </si>
  <si>
    <t>ANDRES FERNANDO ZUÑIGA FORERO</t>
  </si>
  <si>
    <t>Prestar los servicios como apoyo administrativo a la Comisión del Plan de desarrollo y ordenamiento Territorial del Concejo de Bogotá.</t>
  </si>
  <si>
    <t>Servicios profesionales / Apoyo Comision del plan</t>
  </si>
  <si>
    <t>180211-0-2018</t>
  </si>
  <si>
    <t>Prestar los servicios de mantenimiento preventivo y correctivo con suministro de repuestos para los vehículos marca chevrolet al servicio del Concejo de Bogotá, D.C.</t>
  </si>
  <si>
    <t>Jaime Alberto García Romero</t>
  </si>
  <si>
    <t>180213-0-2018</t>
  </si>
  <si>
    <t>830012587-4</t>
  </si>
  <si>
    <t>SDH-SMINC-37-2018</t>
  </si>
  <si>
    <t>29 días</t>
  </si>
  <si>
    <t>2 meses y 29 días</t>
  </si>
  <si>
    <t>Los pagos se realizarán cada dos (2) meses de acuerdo a los servicios efectivamente prestados por concepto de mantenimiento preventivo y correctivo. Los insumos y repuestos se cancelarán de acuerdo a la demanda requerida en el respectivo periodo, manteniendo los precios ofrecidos con la propuesta, previa presentación del informe de los servicios prestados por parte del contratista y certificación de cumplimiento y recibo a satisfacción del servicio, expedida por el supervisor del contrato en la cual se indique el valor a pagar al contratista.</t>
  </si>
  <si>
    <t>180226-0-2018</t>
  </si>
  <si>
    <t>Prestar servicios de alquiler de escenarios como salones, auditorios y espacios  abiertos, apoyo logísticos y servicios de catering  para el desarrollo de eventos que requieran el Concejo de Bogotá D.C., de conformidad con lo establecido en el pliego de condiciones del proceso de selección abreviada de menor cuantía No. SDH-SAMC-01-2018 y la propuesta por el contratista.</t>
  </si>
  <si>
    <t>Carolina Niño</t>
  </si>
  <si>
    <t>180284-0-2018</t>
  </si>
  <si>
    <t>VICTOR MANUEL BARAHONA ARIZA</t>
  </si>
  <si>
    <t>Prestar servicios de apoyo para sistematizar y verificar la información relacionada con la generación de la nómina y los registros contables.</t>
  </si>
  <si>
    <t>180281-0-2018</t>
  </si>
  <si>
    <t>ANDREA PAOLA MELENDEZ PINEDA</t>
  </si>
  <si>
    <t>180279-0-2018</t>
  </si>
  <si>
    <t>LUIS FERNANDO MEZA DAZA</t>
  </si>
  <si>
    <t>Prestar servicios profesionales para apoyar  a la Dirección Administrativa en la gestión de las actividades relacionadas con el seguimiento  a los temas de infraestructura física que requiera el Concejo de Bogotá.</t>
  </si>
  <si>
    <t>Servicios de Apoyo/ Dirección Administrativa</t>
  </si>
  <si>
    <t xml:space="preserve">Prestar servicios profesionales para apoyar jurídicamente a la Dirección Administrativa del Concejo de Bogotá en el seguimiento a los procesos contractuales y ejecución de los contratos a cargo del área. </t>
  </si>
  <si>
    <t>180214-0-2018</t>
  </si>
  <si>
    <t>SISDATA SAS</t>
  </si>
  <si>
    <t>Proveer computadores al Concejo de Bogotá, de acuerdo con lo establecido en el pliego de condiciones de la Subasta inversa electrónica SDH-SIE-07-2018 y la propuesta presentada por el contratista.</t>
  </si>
  <si>
    <t>Adquisición computadores</t>
  </si>
  <si>
    <t>Aura Elisa Guerrero</t>
  </si>
  <si>
    <t>180283-0-2018</t>
  </si>
  <si>
    <t>180290-0-2018</t>
  </si>
  <si>
    <t>Prestar servicios de actualización y soporte para el software para el manejo documental Infodoc para el Concejo de Bogotá</t>
  </si>
  <si>
    <t>Se efectura así:
- Un pago correspondiente al valor de las licencias.
- Soporte Técnico, 6 pagos mensuales iguales mes vencido.</t>
  </si>
  <si>
    <t>Entregar a título de compraventa vehículos con destino al parque automotor del Concejo de Bogotá D.C.</t>
  </si>
  <si>
    <t>ORDEN DE COMPRA 30559</t>
  </si>
  <si>
    <t>180291-0-2018</t>
  </si>
  <si>
    <t>SONIA MARINA SAAVEDRA CACERES</t>
  </si>
  <si>
    <t>180287-0-2018</t>
  </si>
  <si>
    <t>180293-0-2018</t>
  </si>
  <si>
    <t>180295-0-2018</t>
  </si>
  <si>
    <t>ANA MARIA MONROY MORA</t>
  </si>
  <si>
    <t>Prestar servicios profesionales para apoyar la ejecución de las actividades contenidas en el Plan de Bienestar Social del Concejo de Bogotá.</t>
  </si>
  <si>
    <t>Servicios Profesionales/ Bienestar Social</t>
  </si>
  <si>
    <t>Luis Fernado Meza</t>
  </si>
  <si>
    <t>Halia Zambrano</t>
  </si>
  <si>
    <t>Sonia Saavedra</t>
  </si>
  <si>
    <t>Gloria Hidalid Gonzalez</t>
  </si>
  <si>
    <t>180224-0-2018</t>
  </si>
  <si>
    <t>180296-0-2018</t>
  </si>
  <si>
    <t>FELIPE RUEDA POSADA</t>
  </si>
  <si>
    <t>Prestar servicios profesionales para apoyar la formulación al plan estratégico de tecnología (PETIC) del Concejo de Bogotá.</t>
  </si>
  <si>
    <t>Servicios profesionales / Apoyo formulación PETIC</t>
  </si>
  <si>
    <t>180302-0-2018</t>
  </si>
  <si>
    <t>PANAMERICANA LIBRERÍA Y PAPELERIA SA</t>
  </si>
  <si>
    <t>830037946-3</t>
  </si>
  <si>
    <t>Proveer de equipos y elementos para dotar la sala de lactancia  del Concejo de Bogotá.</t>
  </si>
  <si>
    <t>Orden de compra 30874</t>
  </si>
  <si>
    <t>Datación para la sala de lactancia</t>
  </si>
  <si>
    <t>Marhha Valencia</t>
  </si>
  <si>
    <t>180306-0-2018</t>
  </si>
  <si>
    <t xml:space="preserve">Prestar servicios integrales de fotocopiado y servicios afines para el Concejo de Bogotá D.C., de conformidad con lo establecido en el pliego de condiciones de la selección abreviada subasta inversa electrónica No. SDH-SIE-11-2018 y la oferta presentada por el contratista. </t>
  </si>
  <si>
    <t>Efvanni Paola Palmariny Peñaranda</t>
  </si>
  <si>
    <t>SDH-SIE-11-2018</t>
  </si>
  <si>
    <t>Luis Fernando Meza</t>
  </si>
  <si>
    <t>Andres Felipe Corzo</t>
  </si>
  <si>
    <t>180309-0-2018</t>
  </si>
  <si>
    <t>YENNY SOLEDAD CAMARGO PEREZ</t>
  </si>
  <si>
    <t>180204-0-2018</t>
  </si>
  <si>
    <t>180308-0-2018</t>
  </si>
  <si>
    <t>EDGAR OSIRIS QUIJANO GOMEZ</t>
  </si>
  <si>
    <t>Prestar servicios profesionales para apoyar técnicamente al Concejo de Bogotá en la estructuración de las solicitudes de contratción, definición y seguimiento de los procesos relacionados con la infraestructura física que requiera el Concejo de Bogotá.</t>
  </si>
  <si>
    <t>180301-0-2018</t>
  </si>
  <si>
    <t>800230639-4</t>
  </si>
  <si>
    <t>Prestar servicios de actualización, mantenimiento y soporte con el suministro de repuestos para la infraestructura de telecomunicaciones , cableado estructurado (voz y datos), fibra óptica, energía normal y regulada del Concejo de Bogotá, D.C.</t>
  </si>
  <si>
    <t>SDH-SMINC-40-2018</t>
  </si>
  <si>
    <t>180203-0-2018</t>
  </si>
  <si>
    <t>180316-0-2018</t>
  </si>
  <si>
    <t>NANCY MORENO LOPEZ</t>
  </si>
  <si>
    <t>Prestar servicios profesionales para apoyar la actualización y publicación de la información en la página WEB e intranet y otros medios que disponga el Concejo de Bogotá, D.C.</t>
  </si>
  <si>
    <t>Servicios profesionales / actualización y publicación de la  información página Web</t>
  </si>
  <si>
    <t>180315-0-2018</t>
  </si>
  <si>
    <t>BUSINESSMIND COLOMBIA SA - BMIND COLOMBIA SA</t>
  </si>
  <si>
    <t>Prestar servicios de administración y operación de la plataforma oracle del Concejo de Bogotá</t>
  </si>
  <si>
    <t>180320-0-2018</t>
  </si>
  <si>
    <t>ERIKA ALEXANDRA MORALES VASQUEZ</t>
  </si>
  <si>
    <t>Servicios Profesionales/ Estudio Cargas Laborales</t>
  </si>
  <si>
    <t>180319-0-2018</t>
  </si>
  <si>
    <t>LINA ADELAIDA JIMENEZ AVELLANEDA</t>
  </si>
  <si>
    <t>Prestar los servicios profesionales en la realización de las actividades requeridas para el análisis y estudio de cargas laborales para el Concejo de Bogotá.</t>
  </si>
  <si>
    <t>46 días calendario</t>
  </si>
  <si>
    <t xml:space="preserve"> SMINC-35-2012</t>
  </si>
  <si>
    <t xml:space="preserve"> SDH-SMINC-042-2013</t>
  </si>
  <si>
    <t xml:space="preserve">vuelta a radicar el 06/09/2018 ER100394, Por Juan Diego </t>
  </si>
  <si>
    <t>ingenieria de bombas</t>
  </si>
  <si>
    <t>26/09/2018 
ER108510</t>
  </si>
  <si>
    <t>JESUS RAFAEL AGUAS</t>
  </si>
  <si>
    <t>25/09/2018
ER107860</t>
  </si>
  <si>
    <t>REVISTA EL CONGRESO SIGLO XXI</t>
  </si>
  <si>
    <t>27/09/2018
ER108947</t>
  </si>
  <si>
    <t xml:space="preserve">ZILL BUSINESS SOLUTIONS </t>
  </si>
  <si>
    <t>17/09/2018
ER104091</t>
  </si>
  <si>
    <t>150302-0-2015</t>
  </si>
  <si>
    <t>AXA COLPATRIA</t>
  </si>
  <si>
    <t>LA UNIDAD</t>
  </si>
  <si>
    <t xml:space="preserve"> SDH-SAMC-004-2012</t>
  </si>
  <si>
    <t xml:space="preserve"> 120000-125-0-2012</t>
  </si>
  <si>
    <t>REVISTA EL CONGRESO</t>
  </si>
  <si>
    <t xml:space="preserve"> 130372-0-2013</t>
  </si>
  <si>
    <t>VICTOR ARMELLA</t>
  </si>
  <si>
    <t xml:space="preserve"> 050000-348-0-2012</t>
  </si>
  <si>
    <t>10 días calendario</t>
  </si>
  <si>
    <t>10 días hábiles</t>
  </si>
  <si>
    <t>MEDIDORES TÉCNICA EQUIPOS S.A</t>
  </si>
  <si>
    <t xml:space="preserve"> 120000-177-0-2012</t>
  </si>
  <si>
    <t xml:space="preserve"> 050000-427-0-2012</t>
  </si>
  <si>
    <t xml:space="preserve"> SDH-SMINC-45-2012</t>
  </si>
  <si>
    <t>180340-0-2018</t>
  </si>
  <si>
    <t>Suministro de combustible para el parque automotor asignado al Concejo de Bogotá D.C.</t>
  </si>
  <si>
    <t>Karol Caballero</t>
  </si>
  <si>
    <t>ORDEN DE COMPRA 31794</t>
  </si>
  <si>
    <t xml:space="preserve"> SDH-SAMC-002-2012</t>
  </si>
  <si>
    <t xml:space="preserve"> SDH-SMINC-65-2014</t>
  </si>
  <si>
    <t xml:space="preserve"> SDH-SIE-08-2014</t>
  </si>
  <si>
    <t xml:space="preserve"> 120000-196-0-2012</t>
  </si>
  <si>
    <t xml:space="preserve"> 140243-0-2014</t>
  </si>
  <si>
    <t xml:space="preserve"> SDH-SMINC-52-2012</t>
  </si>
  <si>
    <t>180335-0-2018</t>
  </si>
  <si>
    <t>6/09/17
ER100393</t>
  </si>
  <si>
    <t xml:space="preserve"> SE VOLVIO A ENVIAR EL 6/SEP/17 ER100391</t>
  </si>
  <si>
    <t>180333-0-2018</t>
  </si>
  <si>
    <t>ABC INTERCARGO SAS</t>
  </si>
  <si>
    <t>900654487-4</t>
  </si>
  <si>
    <t>180337-0-2018</t>
  </si>
  <si>
    <t>BLANCA LISBETH CAMARGO BARRERA</t>
  </si>
  <si>
    <t>Prestar servicios profesionales para apoyar al Proceso de Fondo Cuenta del Concejo de Bogotá  y a la Dirección Financiera en los asuntos propios de la dependencia para el manejo eficiente y eficaz de los recursos financieros conforme al plan estratégico de la entidad de acuerdo a la normatividad vigente.</t>
  </si>
  <si>
    <t>Servicios Profesionales/ Fondo Cuenta</t>
  </si>
  <si>
    <t>Gesión Financiera</t>
  </si>
  <si>
    <t>180339-0-2018</t>
  </si>
  <si>
    <t>JAMES RINCON CASTAÑO</t>
  </si>
  <si>
    <t>Servicios Profesionales/ Jurídica</t>
  </si>
  <si>
    <t>Gesión Jurídica</t>
  </si>
  <si>
    <t>SDH-CD-70-2018</t>
  </si>
  <si>
    <t>180336-0-2018</t>
  </si>
  <si>
    <t>SEGURIDAD PERCOL LTDA</t>
  </si>
  <si>
    <t>900230597-6</t>
  </si>
  <si>
    <t>180347-0-2018</t>
  </si>
  <si>
    <t>JOSE FERNANDO PARRA ORDUS</t>
  </si>
  <si>
    <t>Prestar servicios profesionales para apooyar la proposición de mejores prácticas que mejoren la experiencia de usuario  y usabilidad de la página Web del Concejo y realizar la administración y salvaguarda de la información publicada en la página web e Intranet del Concjeo de Bogotá D.C.</t>
  </si>
  <si>
    <t>180342-0-2018</t>
  </si>
  <si>
    <t>MANUEL FELIPE VEGA NOVOA</t>
  </si>
  <si>
    <t>Prestar servicios para apoyar el procedimiento de bonos pensionales para coadyuvar con las actualización y administración de la información de los funcionarios y exfuncionarios en cuanto a los trámites pensionales.</t>
  </si>
  <si>
    <t>SDH-SMINC-45-2018</t>
  </si>
  <si>
    <t>Shirley Piminento</t>
  </si>
  <si>
    <t>180341-0-2018</t>
  </si>
  <si>
    <t>PATRICIA VILLEGAS RODRIGUEZ</t>
  </si>
  <si>
    <t>180343-0-2018</t>
  </si>
  <si>
    <t>180344-0-2018</t>
  </si>
  <si>
    <t>JEAN CLAUDE WILLINGTON CORTES MANCERA (Cesionario) /  HALIA CLIMENE ZAMBRANO ACOSTA (Antes)</t>
  </si>
  <si>
    <t>30 días calendario</t>
  </si>
  <si>
    <t>180323-0-2018</t>
  </si>
  <si>
    <t>Realizar la auditoria de certficación de la norma ISO27001:2013 sobre el sistema de gestión de seguridad de la Información del Concejo de Bogotá.</t>
  </si>
  <si>
    <t>Un pago del 100% del valor total de la entrega a satisfacción de la certificación, previo visto bueno del supervisor del contrato.</t>
  </si>
  <si>
    <t xml:space="preserve">40 días </t>
  </si>
  <si>
    <t>SDH-SMINC-46-2018</t>
  </si>
  <si>
    <t>180353-0-2018</t>
  </si>
  <si>
    <t>UT- SDH- TSSYRTECT-2018</t>
  </si>
  <si>
    <t>901222588-1</t>
  </si>
  <si>
    <t xml:space="preserve">Prestar el outsoursing integral para los servicios de mesa de ayuda y gestión de impresión para el Concejo de Bogotá, de conformidad con lo establecido en el complemento del pliego de condiciones, de la selección abreviada de menor cuantía No. SDH-SAMC-06-2018 y la propuesta presentada por el contratista. </t>
  </si>
  <si>
    <t>180351-0-2018</t>
  </si>
  <si>
    <t>900254691-4</t>
  </si>
  <si>
    <t>Actualizar la solución Fortianalyzer para el Concejo de Bogotá.</t>
  </si>
  <si>
    <t>Un solo pago equivalente al 100% del valor del contrato.</t>
  </si>
  <si>
    <t xml:space="preserve">Actualizar la solución Fortianalyzer </t>
  </si>
  <si>
    <t>180348-0-2018</t>
  </si>
  <si>
    <t>SDH-SMINC-53-2018</t>
  </si>
  <si>
    <t>180352-0-2018</t>
  </si>
  <si>
    <t>MONRAK INGENIERIA LTDA</t>
  </si>
  <si>
    <t>Prestar servicios de mantenimiento correctivo y preventivo para las  máquinas: Guillotina y cizalla manual, ubicada en la oficina de anales y publicaciones del Concejo de Bogotá D.C.</t>
  </si>
  <si>
    <t>SDH-SMINC-44-2018</t>
  </si>
  <si>
    <t>180350-0-2018</t>
  </si>
  <si>
    <t>INVERSION Y HOGAR SAS</t>
  </si>
  <si>
    <t>Proveer los elementos e insumos necesarios para atender los primeros auxilios y dotar los botiquines de la Secretaria de Hacienda y  del Concejo de Bogotá, D.C.</t>
  </si>
  <si>
    <t>SDH-SMINC-52-2018</t>
  </si>
  <si>
    <t>180361-0-2018</t>
  </si>
  <si>
    <t>FALABELLA DE COLOMBIA SA</t>
  </si>
  <si>
    <t>900017447-8</t>
  </si>
  <si>
    <t>Proveer computadores especializados para el Concejo de Bogotá y software correspondiente.</t>
  </si>
  <si>
    <t>180360-0-2018</t>
  </si>
  <si>
    <t>Adquirir televisores para áreas sociales del Concejo de Bogotá y televisor de gran formato para el salón presidentes del Concejo de Bogotá</t>
  </si>
  <si>
    <t>A &amp; G INGENIERIA Y SOLUCIONES</t>
  </si>
  <si>
    <t>901020853-1</t>
  </si>
  <si>
    <t>Un primer pago: Previo recibo a satisfacción de los bienes, acompañados de la certificación de cumplimiento.
Un segundo pago: A la entrega del servicio de acuerdo con el número de mantenimiento, repuestos y recargas realizados a los extintores.</t>
  </si>
  <si>
    <t>SDH-SMINC-48-2018</t>
  </si>
  <si>
    <t>ORDEN DE COMPRA 32348</t>
  </si>
  <si>
    <t>ORDEN DE COMPRA 32379</t>
  </si>
  <si>
    <t>180346-0-2018</t>
  </si>
  <si>
    <t>180369-0-2018</t>
  </si>
  <si>
    <t>UNIÓN TEMPORAL LA PREVISORA SA. COMPAÑÍA DE SEGUROS  - AXA COLPATRIA SEGUROS SA</t>
  </si>
  <si>
    <t>860002184-6</t>
  </si>
  <si>
    <t xml:space="preserve">Contratar los seguros que amparen los intereses patrimoniales actuales y futuros, así como los bienes de propiedad del Concjeo de Bogotá D.C., que esten bajo su responsabilidad y custodia y aquellos que sean adquiridos para desarrollar las funciones inherentes a su actividad, así como el segurod de vida para los Concejales de Bogotá, D.C. y cualquier otra póliza de seguros que requieran las entidades en el desarrollo de su actividad, de conformidad con lo establecido en el pliego de condiciones electrónico y el complemento de del Proceso de Selección Abreviada Menor Cuantía No. SDH - SAMC- 07-2018 y la propuesta presentada por el contratista.  </t>
  </si>
  <si>
    <t>Seguros intereses patrimoniales / Seguros de Vida de los Concejales</t>
  </si>
  <si>
    <t xml:space="preserve">El valor de las primas de las pólizas dentro de los 30 días calendario siguientes nal recibo del original de las pólizas.
</t>
  </si>
  <si>
    <t>Prestar servicios de revisión, mantenimiento y recarga de extintores y gabinetes contra incendio con suministro de repuestos y otros elementos de seguridad para el Concejo de Bogotá.</t>
  </si>
  <si>
    <t>180357-0-2018</t>
  </si>
  <si>
    <t>Prestación de servicios de apoyo a la gestión para el desarrollo y apoyo logístico de las actividades contenidas dentro de los programas de bienestar, incentivos y mejoramiento del clima laboral para los servidores (as) del Concejo de Bogotá y sus familias.</t>
  </si>
  <si>
    <t>ORDEN DE COMPRA 6210</t>
  </si>
  <si>
    <t>180370-0-2018</t>
  </si>
  <si>
    <t>180371-0-2018</t>
  </si>
  <si>
    <t>ORDEN DE COMPRA 32595</t>
  </si>
  <si>
    <t>ORDEN DE COMPRA 32596</t>
  </si>
  <si>
    <t>4 meses y 11 días</t>
  </si>
  <si>
    <t>180368-0-2018</t>
  </si>
  <si>
    <t>Proveer aires acondicionados para el centro de datos y de cableado para el Concejo de Bogotá.</t>
  </si>
  <si>
    <t>Único pago contra entrega</t>
  </si>
  <si>
    <t xml:space="preserve">Adquisición de aires acondicionados </t>
  </si>
  <si>
    <t>180359-0-2018</t>
  </si>
  <si>
    <t>ENLACES INALAMBRICOS DIGITALES SAS</t>
  </si>
  <si>
    <t>900408815-3</t>
  </si>
  <si>
    <t>Adquisición de Equipos portátiles de comunicación</t>
  </si>
  <si>
    <t>SDH-SMINC-54-2018</t>
  </si>
  <si>
    <t xml:space="preserve"> SDH-SMINC-31-2013</t>
  </si>
  <si>
    <t xml:space="preserve"> SDH-SIE-01-2013</t>
  </si>
  <si>
    <t xml:space="preserve"> SDH-SAMC-02-2013</t>
  </si>
  <si>
    <t xml:space="preserve">  140317-0-2014</t>
  </si>
  <si>
    <t>180374-0-2018</t>
  </si>
  <si>
    <t>Adquirir cámara fotográfica y elementos para la oficina de prensa del Concejo de Bogotá</t>
  </si>
  <si>
    <t>ORDEN DE COMPRA 32741</t>
  </si>
  <si>
    <t>Adquisición cámara fotográfica y elementos</t>
  </si>
  <si>
    <t xml:space="preserve"> 130385-0-2013</t>
  </si>
  <si>
    <t xml:space="preserve"> 130139-0-2013</t>
  </si>
  <si>
    <t xml:space="preserve"> SHD-SIE-020-2013</t>
  </si>
  <si>
    <t xml:space="preserve"> SDH-SMINC-001-2013</t>
  </si>
  <si>
    <t xml:space="preserve"> SDH-SMINC-19-2012</t>
  </si>
  <si>
    <t xml:space="preserve"> SDH-SMINC-029-2012</t>
  </si>
  <si>
    <t xml:space="preserve"> 130364-0-2013</t>
  </si>
  <si>
    <t>Proveer equipos portátiles de comunicación para la brigada de emergencias del Concejo de Bogotá</t>
  </si>
  <si>
    <t>8/11/2018
ER123158</t>
  </si>
  <si>
    <t>SONIA CACERES</t>
  </si>
  <si>
    <t>PERIODICOS Y PUBLICACIONES</t>
  </si>
  <si>
    <t>01/11/2018
ER121281</t>
  </si>
  <si>
    <t>180321-0-2018</t>
  </si>
  <si>
    <t xml:space="preserve">Suscripción al sistema de televisión satelital para el Concejo de Bogotá. </t>
  </si>
  <si>
    <t>SDH-SMINC-51-2018</t>
  </si>
  <si>
    <t>180380-0-2018</t>
  </si>
  <si>
    <t>LINDA ROSA CAMPO RODRIGUEZ</t>
  </si>
  <si>
    <t>SDH-CD-100-2018</t>
  </si>
  <si>
    <t>Servicios profesionales / Nómina</t>
  </si>
  <si>
    <t>Prestar servicios profesionales para apoyar al proceso de nómina de Concejo de Bogotá, y a la Dirección Financiera en los asuntos propios de la dependencia.</t>
  </si>
  <si>
    <t xml:space="preserve"> SDH-SMINC-043-2011</t>
  </si>
  <si>
    <t>8 días</t>
  </si>
  <si>
    <t>180378-0-2018</t>
  </si>
  <si>
    <t>UNIVERSAL DE PRODUCTOS Y SERVICIOS LTDA. UNIPRODUCTOS</t>
  </si>
  <si>
    <t>Proveer un sistema de detención de incendios para el centro de cableado del edificio del Concejo de Bogotá</t>
  </si>
  <si>
    <t>SDH-SMINC-56-2018</t>
  </si>
  <si>
    <t>Los pagos se realizaran:
- Un primer pago correspondiente al 100% del valor del item 1.
- Un segundo pago correspondiente al 100% del valor del ítem 2</t>
  </si>
  <si>
    <t>Adquisición sistema de detanción de incendios</t>
  </si>
  <si>
    <t>180379-0-2018</t>
  </si>
  <si>
    <t>UNION TEMPORAL SICVEL VIDEO HACIENDA 2018</t>
  </si>
  <si>
    <t>Proveer un sistema de audio y video para el Concejo de Bogotá, de conformidad con lo establecido en el pliego de condiciones de la subasta inversa electrónica No. SDH-SIE-16-2018</t>
  </si>
  <si>
    <t>SDH-SIE-16-2018</t>
  </si>
  <si>
    <t>Adquisición sistema de audio y video</t>
  </si>
  <si>
    <t xml:space="preserve">Se efectuarán los apgos así:
- El 100% del valor total de los bienes que conforman el sistema de audio y video, a la entrega a satisfacción e ingreso al almacen.
- El 100% por valor total de los servicios de instalación, configuración y puesta en marcha del sistema. </t>
  </si>
  <si>
    <t>180382-0-2018</t>
  </si>
  <si>
    <t>Adquisición de sillas para el salon presidentes del Concejo de Bogotá D.C.</t>
  </si>
  <si>
    <t>ORDEN DE COMPRA 33008</t>
  </si>
  <si>
    <t>Adquisición de silla salon presidente</t>
  </si>
  <si>
    <t>180375-0-2018</t>
  </si>
  <si>
    <t>Prestar servicios de soporte técnico especializado y mantenimiento preventivo, correctivo para los servidores y sus dispositivos del Concejo de Bogotá.</t>
  </si>
  <si>
    <t>SDH-SIE-17-2018</t>
  </si>
  <si>
    <t>Se realizarán pagos iguales trimestre vencido</t>
  </si>
  <si>
    <t>180377-0-2018</t>
  </si>
  <si>
    <t>Proveer elementos ergonómicos para los puestos de trabajo de los servidores públicos del Concejo de Bogotá, D.C.</t>
  </si>
  <si>
    <t>SDH-SMINC-55-2018</t>
  </si>
  <si>
    <t>180383-0-2018</t>
  </si>
  <si>
    <t>Prestar los servicios de manteniemiento, suministro de partes, repuestos y soporte para la planta telefónica y terminlaes telefónicos del Concejo de Bogotá.</t>
  </si>
  <si>
    <t>El pago se realizará:
- Un primer pago por el 25% del valor asignado a servicios de mantenimiento preventivo y correctivo(ítem 1).
- Un segundo pago por el 25% del valor asignado a servicios de mantenimiento preventivo y correctivo (tem 1).
- Un tercer pago por el 25% del valor asignado a servicios de mantenimiento preventivo y correctivo (tem 1).
- Un cuarto pago por el 25% del valor asignado a servicios de mantenimiento preventivo y correctivo (tem 1).</t>
  </si>
  <si>
    <t>Soporte y mantenimiento panta telefónica</t>
  </si>
  <si>
    <t>180388-0-2018</t>
  </si>
  <si>
    <t>RONALD STIVE SANCHEZ POSADA</t>
  </si>
  <si>
    <t>Prestar servicios profesionales para apoyar a la Secretaría General del Concejo de Bogotá, para realizar el seguimiento al cumplimiento del Plan de Acción anual, los programas, proyectos y estrategias de la Secretaria General, de acuerdo con las políticas y a la Misión de la Corporación.</t>
  </si>
  <si>
    <t>SDH-CD-93-2018</t>
  </si>
  <si>
    <t>Servicios profesionales / Secretaría General</t>
  </si>
  <si>
    <t>180393-0-2018</t>
  </si>
  <si>
    <t>SDH-SMINC-64-2018</t>
  </si>
  <si>
    <t>SDH-CD-92-2018</t>
  </si>
  <si>
    <t>180429-0-2018</t>
  </si>
  <si>
    <t>CAJA COLOMBIANA DE SUBSIDIO FAMILIAR COLSUBSIDIO</t>
  </si>
  <si>
    <t>860007336-1</t>
  </si>
  <si>
    <t xml:space="preserve">SDH-SAMC-11-2018 </t>
  </si>
  <si>
    <t xml:space="preserve">Se pagará el valor de los bonos navideños recibidos a satisfacción por parte de la Entidad. </t>
  </si>
  <si>
    <t>180435-0-2018</t>
  </si>
  <si>
    <t>Adquirir televisor de gran formato para el salon comuneros</t>
  </si>
  <si>
    <t>180437-0-2018</t>
  </si>
  <si>
    <t>Adquirir equipo de computo especializado para la Secretaría General del Concejo de Bogotá y software correspondiente.</t>
  </si>
  <si>
    <t>180438-0-2018</t>
  </si>
  <si>
    <t>830001338-1</t>
  </si>
  <si>
    <t>Adquirir impresoras y complementarios para el Concejo de Bogotá</t>
  </si>
  <si>
    <t>Adquisición Impresoras</t>
  </si>
  <si>
    <t>180396-0-2018</t>
  </si>
  <si>
    <t>LEGARCHIVO SAS</t>
  </si>
  <si>
    <t xml:space="preserve">Suministro de elementos de protección y embalaje de documentos para el Concejo de Bogotá </t>
  </si>
  <si>
    <t>SDH-SMINC-63-2018</t>
  </si>
  <si>
    <t>180439-0-2018</t>
  </si>
  <si>
    <t>Adquirir solución de video conferencia para el Concejo de Bogotá</t>
  </si>
  <si>
    <t>Adquisición solución video conferencia</t>
  </si>
  <si>
    <t>180431-0-2018</t>
  </si>
  <si>
    <t>GOLD SYS LTDA</t>
  </si>
  <si>
    <t>830038304-1</t>
  </si>
  <si>
    <t>Proveer servicios de soporte y actualización de licencias Corel Draw y suscripción de licencias adobe photoshop del Concejo de Bogotá.</t>
  </si>
  <si>
    <t>Selección de Menor cuantía</t>
  </si>
  <si>
    <t>SDH-SMINC-67-2018</t>
  </si>
  <si>
    <t>19 días calendario</t>
  </si>
  <si>
    <t>3 meses y 19 días calendario</t>
  </si>
  <si>
    <t>Orden de compra 34344</t>
  </si>
  <si>
    <t>Orden de compra 34346</t>
  </si>
  <si>
    <t>Orden de compra 34351</t>
  </si>
  <si>
    <t>Orden de compra 34468</t>
  </si>
  <si>
    <t>180436-0-2018</t>
  </si>
  <si>
    <t>TECHNOLOGY SERVICES LTDA</t>
  </si>
  <si>
    <t xml:space="preserve">Prestar servicios de recuperación de información de cintas históricas del Concejo de Bogotá </t>
  </si>
  <si>
    <t>Se realizarán tres pagos bimestrales del 33,3% del valor de la oferta económica, previa entrega de la información extraida.</t>
  </si>
  <si>
    <t>Recuperación de información</t>
  </si>
  <si>
    <t>SDH-SMINC-68-2018</t>
  </si>
  <si>
    <t>180451-0-2018</t>
  </si>
  <si>
    <t>JARDIN BOTÁNICO JOSE CELESTINO MUTIS</t>
  </si>
  <si>
    <t>860030197-0</t>
  </si>
  <si>
    <t>Aunar esfuerzos institucionales, técnicos y financieros para realizar actividades de jardinería integral en las instalaciones del Concejo de Bogotá y manejo integral del arbolado antiguo, de conformidad con lo establecido en los estudios previos y las especificaciones técnicas establecidas en la propuesta técnico - financiera del convenio interadministrativo presentada por el Jardín Botánico.</t>
  </si>
  <si>
    <t>SDH.CD-107-2018</t>
  </si>
  <si>
    <t>Contratación directa</t>
  </si>
  <si>
    <t>180454-0-2018</t>
  </si>
  <si>
    <t xml:space="preserve">UT SDH COMUNEROS MATIZZO KEY MARKET </t>
  </si>
  <si>
    <t>Adquisición de una solución integral de conferencia y debate para el Concejo de Boogtá, D.C., de conformidad con lo establecido en el pliego electrónico y su complemento de la licitación pública No. SDH-LP-04-2018_3 y la propuesta presentada por el contratista.</t>
  </si>
  <si>
    <t>Los pagos se realizarán:
1. El 100% del valor ofertado correspondiente a los items 2 y 3,1
2, El 100% del valor ofertado a los items 1, 5 y 3,2  y el 100% del valor ofertado para el diseño e implementación del condicionamiento acústico.
3,El 100% del valor ofertado en el item 4</t>
  </si>
  <si>
    <t>Solución integral de conferencia y debate</t>
  </si>
  <si>
    <t>180443-0-2018</t>
  </si>
  <si>
    <t>SPEED WIRELESS NETWORKS SAS</t>
  </si>
  <si>
    <t>Proveer un sistema de wifi para el Concejo de Bogotá D.C., de conformidad con lo establecido en el pliego de condiciones del proceso de selección abreviada - Subasta inversa electrónica N. SDH-SIE-13-2018 y la oferta presentada por el contratista.</t>
  </si>
  <si>
    <t xml:space="preserve">Los pagos se realizarán:
1, Un primer pago correspondiente al valor de los equipos y demás elementos.
2, Un segundo pago correspondiente al valor de la instalación, configuración y puesta en funcionamiento  </t>
  </si>
  <si>
    <t>Sistema de wifi</t>
  </si>
  <si>
    <t>180450-0-2018</t>
  </si>
  <si>
    <t>AGENCIA NACIONAL INMOBILIARIA VIRGILIO BARCO</t>
  </si>
  <si>
    <t>900483991-0</t>
  </si>
  <si>
    <t>Aunar esfuerzos para formular, estructurar y ejecutar proyectos de infraestructura física y usos complementarios que requiera la Secretaría Distrital de Hacienda para el Concejo de Bogotá</t>
  </si>
  <si>
    <t>Los pagos se realizarán de acuerdo a acada una de las etapas a desarrollar</t>
  </si>
  <si>
    <t>180387-0-2018</t>
  </si>
  <si>
    <t>JOHN ALEJANDRO FRANCO OTERO</t>
  </si>
  <si>
    <t>Proveer muebles archivadores para el almacenamiento de cintas Tape Backup para las cintotecas del Concejo de Bogotá de conformidad con lo establecido en la invitación pública electrónica y su complemento</t>
  </si>
  <si>
    <t>Almacenamiento cintoteca</t>
  </si>
  <si>
    <t>SDH-SMINC-57-2018</t>
  </si>
  <si>
    <t>SDH-SIE-13-2018</t>
  </si>
  <si>
    <t>SDH-LP-4-2018_3</t>
  </si>
  <si>
    <t xml:space="preserve"> SDH-CD-106-2018 </t>
  </si>
  <si>
    <t>ESTACION DE SERVICIOS CARRERA 50</t>
  </si>
  <si>
    <t>ARANDA SOFTWARE</t>
  </si>
  <si>
    <t>MEDICAL PROTECTION</t>
  </si>
  <si>
    <t>GREEN FON GROUP</t>
  </si>
  <si>
    <t>SDH-SMINC-34-2017</t>
  </si>
  <si>
    <t>GRUPO TITANIUM</t>
  </si>
  <si>
    <t>AXEDE DE COLOMBIA</t>
  </si>
  <si>
    <t>SILVERIO MONTAÑA</t>
  </si>
  <si>
    <t>NUEVA ERA SOLUCIONES</t>
  </si>
  <si>
    <t>AUTOMOTORES COMAGRO</t>
  </si>
  <si>
    <t>180441-0-2018</t>
  </si>
  <si>
    <t>Realizar la adecuación de los baños 1, 2 y del salón comuneros del Claustro del Concejo de Bogotá</t>
  </si>
  <si>
    <t>Se efectuarán 4 pagos así:
- Tres pagos mensuales parciales; un primer pago correspondiente al 20% del valor del contrato, un segundo pago correspondiente al 30% del valor del contrato y un tercer pago correspondiente al 20% del valor del contrato.
- Un cuarto pago final correspondiente al 30% del valor del contrato, el cual se realizará una vez se suscriba el acata final de obra.</t>
  </si>
  <si>
    <t>180448-0-2018</t>
  </si>
  <si>
    <t>DOGER HERNAN DAZA MORENO</t>
  </si>
  <si>
    <t>Prestar servicios profesionales para apoyar a la Dirección Financiera del Concejo de Bogotá D.C., en los asuntos propios de la dependencia y en el seguimiento al plan de acción y transparencia de acuerdo con la normatividad vigente.</t>
  </si>
  <si>
    <t>Servicios profesionales / Dirección Financiera</t>
  </si>
  <si>
    <t xml:space="preserve">SDH-SAMC-10-2018 </t>
  </si>
  <si>
    <t>SDH-CD-80-2018</t>
  </si>
  <si>
    <t>SDH-CD-109-2018</t>
  </si>
  <si>
    <t>SERVIASEO</t>
  </si>
  <si>
    <t>JOANNA PATRICIA GONZALEZ P</t>
  </si>
  <si>
    <t>27/08/2018
ER108948</t>
  </si>
  <si>
    <t>1/11/2018
ER121280</t>
  </si>
  <si>
    <t xml:space="preserve">EL RINCON DEPORTIVO </t>
  </si>
  <si>
    <t>26/10/2018
ER119215</t>
  </si>
  <si>
    <t>ANABIA JULIETH ANGARITA</t>
  </si>
  <si>
    <t>02/10/2018
ER110880</t>
  </si>
  <si>
    <t>02/10/2018
ER110879</t>
  </si>
  <si>
    <t>17/08/2018
ER93419</t>
  </si>
  <si>
    <t>13/07/2018
ER78531</t>
  </si>
  <si>
    <t xml:space="preserve"> SDH-SMINC-59-2012</t>
  </si>
  <si>
    <t>21/06/2018
ER68768</t>
  </si>
  <si>
    <t>27/06/2018
ER68767</t>
  </si>
  <si>
    <t>09/08/2018
ER90058</t>
  </si>
  <si>
    <t>SDH-SAMC-6-2018</t>
  </si>
  <si>
    <t>190018-0-2019</t>
  </si>
  <si>
    <t>190020-0-2019</t>
  </si>
  <si>
    <t>Se efectuaran 4 desembolsos así:
-El primero euqivalente al 40% de los recursos estimados para el convenio, una vez implementados los esquemas de seguridad.
-El segundo correspondiente al 30% de los recursos estimados para el convenio, una vez finalizado el tercer mes de ejecución.
-El tercero correspondiente al 20% de los recursos estimados para el convenio, una vez finalizado el sexto mes de ejecución.
-El último correspondiente al saldo del valor efectivamente efectuado, una vez finalizado el convenio.</t>
  </si>
  <si>
    <t>SDH-SAMC-12-2018</t>
  </si>
  <si>
    <t>SDH-CD-9-2019</t>
  </si>
  <si>
    <t>190023-0-2019</t>
  </si>
  <si>
    <t>ORDEN DE COMPRA 35327</t>
  </si>
  <si>
    <t>Pablo García</t>
  </si>
  <si>
    <t xml:space="preserve">Realizar el mantenimiento integral, las adecuaciones locativas y las obras de mejora que se requieran, con el suministro del personal, equipo, materiales y repuestos, en las instalaciones físicas del Concejo de Bogotá, D.C., de conformidad con lo establecido en el pliego de condiciones del proceso de selección abreviada abreviada de menor cuantía No. SDH-SAMC-12-2018 y la propuesta presentada por el contratista. </t>
  </si>
  <si>
    <t xml:space="preserve"> SDH-SMINC-68-2013</t>
  </si>
  <si>
    <t xml:space="preserve"> 130365-0-2013</t>
  </si>
  <si>
    <t xml:space="preserve"> 130361-2013</t>
  </si>
  <si>
    <t xml:space="preserve"> SDH-SAMC-010-2013</t>
  </si>
  <si>
    <t xml:space="preserve"> SDH-SIE-010-2013</t>
  </si>
  <si>
    <t xml:space="preserve"> SDH-SMINC-53-2013</t>
  </si>
  <si>
    <t xml:space="preserve"> SDH-SMINC-51-2013</t>
  </si>
  <si>
    <t xml:space="preserve"> 130228-0-2013</t>
  </si>
  <si>
    <t xml:space="preserve"> 130220-0-2013</t>
  </si>
  <si>
    <t>WEISNER FABIAN ROBAYO</t>
  </si>
  <si>
    <t xml:space="preserve"> 130121-0-2013</t>
  </si>
  <si>
    <t>SDH-CD-14-2018</t>
  </si>
  <si>
    <t>SDH-CD-76-2018</t>
  </si>
  <si>
    <t>1 mes y 27 días</t>
  </si>
  <si>
    <t>2 meses y 28 días</t>
  </si>
  <si>
    <t>190078-0-2019</t>
  </si>
  <si>
    <t>SDH-CD-28-2019</t>
  </si>
  <si>
    <t>190082-0-2019</t>
  </si>
  <si>
    <t>SDH-CD-36-2019</t>
  </si>
  <si>
    <t>1 mes y 28 días</t>
  </si>
  <si>
    <t>Katerin Guerrero</t>
  </si>
  <si>
    <t>190083-0-2019</t>
  </si>
  <si>
    <t>Prestar servicios profesionales para apoyar la definición contratación y seguimiento a los temas de infraestructura física que requiera el Concejo de Bogotá</t>
  </si>
  <si>
    <t>karol Caballero</t>
  </si>
  <si>
    <t>SDH-CD-37-2019</t>
  </si>
  <si>
    <t>190084-0-2019</t>
  </si>
  <si>
    <t>SDH-CD-38-2019</t>
  </si>
  <si>
    <t>2 meses y 28 días calendario</t>
  </si>
  <si>
    <t>SOLICITUD DE CONTRATACION</t>
  </si>
  <si>
    <t>SOLICITUD DE MODIFICACION</t>
  </si>
  <si>
    <t>Radicado 08/02/2019 ER14059 - 
prorroga hasta el 25/02/2019</t>
  </si>
  <si>
    <t>SDH-CD-32-2018</t>
  </si>
  <si>
    <t>190086-0-2019</t>
  </si>
  <si>
    <t xml:space="preserve">ANDREA PAOLA MELENDEZ PINEDA </t>
  </si>
  <si>
    <t>Prestar servicios profesionales en apoyo y acompañamiento en los asuntos inherentes al sistema de control interno del Concejo de Bogotá, D.C.</t>
  </si>
  <si>
    <t>Servicios profesionales / control Interno</t>
  </si>
  <si>
    <t>Oficina de Control Interno</t>
  </si>
  <si>
    <t>190079-0-2019</t>
  </si>
  <si>
    <t>ANIBAL ROBERTO ENDARA RAMIREZ</t>
  </si>
  <si>
    <t>190087-0-2019</t>
  </si>
  <si>
    <t>190119-0-2019</t>
  </si>
  <si>
    <t>JUAN DIEGO ESPITIA ROA</t>
  </si>
  <si>
    <t>190120-0-2019</t>
  </si>
  <si>
    <t>DIEGO EDUARDO PABON BULLA</t>
  </si>
  <si>
    <t>EDGAR HUMBERTO CARDENAS SARMIENTO</t>
  </si>
  <si>
    <t>190118-0-2019</t>
  </si>
  <si>
    <t>LUZ ANGELA CARDENAS MORENO</t>
  </si>
  <si>
    <t>190121-0-2019</t>
  </si>
  <si>
    <t>Saidy Garnica</t>
  </si>
  <si>
    <t>190122-0-2019</t>
  </si>
  <si>
    <t xml:space="preserve">Prestar servicios profesionales para apoyar la Dirección Administrativa en la gestión de las actividades relacionadas con el seguimiento a la ejecución contractual relacionada con técnología e informática del Concejo de Bogotá </t>
  </si>
  <si>
    <t>Servicios Profesionales/ Sistemas</t>
  </si>
  <si>
    <t>190123-0-2019</t>
  </si>
  <si>
    <t>Prestar servicios profesionales para apoyar la formulación, implementación y seguimiento al plan estratégico de tecnología, información y comunicaciones - PETIC del Concejo de Bogotá.</t>
  </si>
  <si>
    <t>190145-0-2019</t>
  </si>
  <si>
    <t>SDH-CD-44-2019</t>
  </si>
  <si>
    <t>SDH-CD-32-2019</t>
  </si>
  <si>
    <t>SDH-CD-45-2019</t>
  </si>
  <si>
    <t>SDH-CD-62-2019</t>
  </si>
  <si>
    <t>SDH-CD-47-2019</t>
  </si>
  <si>
    <t>SDH-CD-48-2019</t>
  </si>
  <si>
    <t>SDH-CD-46-2019</t>
  </si>
  <si>
    <t>SDH-CD-55-2019</t>
  </si>
  <si>
    <t>SDH-CD-54-2019</t>
  </si>
  <si>
    <t>SDH-CD-64-2019</t>
  </si>
  <si>
    <t>1 mes y 17 días</t>
  </si>
  <si>
    <t>180452-0-2018</t>
  </si>
  <si>
    <t>Prestar el servicio de mantenimiento correctivo con suministro de repuestos para los vehículos marca SUBARU al servicio del Concejo de Bogotá</t>
  </si>
  <si>
    <t xml:space="preserve">Mensualidades vencidas de acuerdo a los servicios </t>
  </si>
  <si>
    <t>190163-0-2019</t>
  </si>
  <si>
    <t>800103052-8</t>
  </si>
  <si>
    <t>190170-0-2019</t>
  </si>
  <si>
    <t>PABLO RAUL RODRIGUEZ MOJICA</t>
  </si>
  <si>
    <t>Prestar servicios para apoyar el proceso de grabación y sonido en el recinto los comuneros del Concejo de Bogotá en los asuntos propios de la dependencia</t>
  </si>
  <si>
    <t>Servicios profesionales / Apoyo al proceso de grabación y sonido</t>
  </si>
  <si>
    <t>SDH-CD-110-2018</t>
  </si>
  <si>
    <t>ORDEN DE COMPRA 35606</t>
  </si>
  <si>
    <t>SDH-CD-53-2019</t>
  </si>
  <si>
    <t>Relación de Contratos 2012 - 2019</t>
  </si>
  <si>
    <t>2 meses y 17 días</t>
  </si>
  <si>
    <t>15 días calendario</t>
  </si>
  <si>
    <t>Los pagos se realizarán así:
- Mensualidades vencidas por conecpto de los servicios de outsoursing integral para los servicios de mesa de ayuda y de gestión de impresión.
- El valor correspondiente del valor que hace parte del cupo de repuestos.
- Para el servicio intergral de impresión , en lo que corresponde a las impresiones realizadas durante el mes.
- Los  servicios de mantenimiento preventivo y correctivo  para la infraestructura tecnológica se pagarán una vez sean prestados a satisfacción</t>
  </si>
  <si>
    <t>* la primera se radico el  28/11/2018 ER130672
*se volvio a radicar el 25/02/2019 ER19637</t>
  </si>
  <si>
    <t>se radico el 06/04/2018 ER38289</t>
  </si>
  <si>
    <t>se radico el 6/09/2018 ER100291</t>
  </si>
  <si>
    <t>se radico el 19/09/2018 ER105404</t>
  </si>
  <si>
    <t>*La primera se radico el 19/11/2018 ER126518
*se volvio a radicar el 21/11/2018 ER128075</t>
  </si>
  <si>
    <t>se radico el 28/11/2018 ER128465</t>
  </si>
  <si>
    <t>se radico el 23/11/2018 ER128966</t>
  </si>
  <si>
    <t>se radico el 26/11/2018 ER129231</t>
  </si>
  <si>
    <t>*La primera se radico el 26/11/2018 ER129407
* Se volvio a radicar el 27/02/2019 ER21048</t>
  </si>
  <si>
    <t>se radico el 30/11/2018 ER131679</t>
  </si>
  <si>
    <t>se radico el 12/12/2018 ER135307</t>
  </si>
  <si>
    <t>se radico el 12/12/2018 ER135309</t>
  </si>
  <si>
    <t>se radico el 12/12/2018 ER135304</t>
  </si>
  <si>
    <t>se radico el 14/12/2018 ER135897</t>
  </si>
  <si>
    <t>se radico el 17/12/2018 ER136637</t>
  </si>
  <si>
    <t>Prestar servicios profesionales de apoyo a la oficina de comunicaciones del Concejo de Bogotá, en la generación de estrategias que permitan la socialización divulagación y comunicación de la ley de transparencia y demás políticas institucionales, así como prestar apoyo en el cubrimiento mediático de las diferentes sesiones de la corporación.</t>
  </si>
  <si>
    <t>se radico el 26/06/2018 ER70508</t>
  </si>
  <si>
    <t>se radico el 28/02/2019 ER21696, 
(Constanza B. Mahecha)</t>
  </si>
  <si>
    <t>se radico el 27/02/2019 ER21050 
(Doger Hernan Daza)</t>
  </si>
  <si>
    <t xml:space="preserve"> SDH-SMINC-39-2014</t>
  </si>
  <si>
    <t xml:space="preserve"> SDH-SAMC-013-2014</t>
  </si>
  <si>
    <t xml:space="preserve"> 140168-0-2014</t>
  </si>
  <si>
    <t xml:space="preserve"> 130297-0-2013</t>
  </si>
  <si>
    <t xml:space="preserve"> SDH-SMINC-60-2013</t>
  </si>
  <si>
    <t xml:space="preserve"> 140319-0-2014</t>
  </si>
  <si>
    <t>se radico el 1/03/2019 ER22366
 (Aura Elisa Guerrero)</t>
  </si>
  <si>
    <t>se radico el 01/03/2019 ER22368 
(Jean Claude Cortes)</t>
  </si>
  <si>
    <t>190193-0-2019</t>
  </si>
  <si>
    <t>900062917-9</t>
  </si>
  <si>
    <t>SDH-CD-57-2019</t>
  </si>
  <si>
    <t>2 meses y 3 días</t>
  </si>
  <si>
    <t>Se radica el 13/02/2019 ER15523, para adición y prorroga hasta el 16/04/2019 - salio el 15/02/2019</t>
  </si>
  <si>
    <t>190201-0-2019</t>
  </si>
  <si>
    <t>Prestar los servicios de mantenimiento preventivo y correctivo de elementos que soportan la infraestructura tecnológica del centro de cómputo y centros de cableado del Concjeo de Bogotá, de conformidad con lo establecido en el pliego de condiciones de la subasta inversa electrónica SDH-SIE-19-2018 y la propuesta presentada por el contratista.</t>
  </si>
  <si>
    <t>SDH-SIE-19-2018</t>
  </si>
  <si>
    <t xml:space="preserve">cuatro pagos efectuados trimestralmente </t>
  </si>
  <si>
    <t>se radico el 11/03/2019 ER25822</t>
  </si>
  <si>
    <t>190214-0-2019</t>
  </si>
  <si>
    <t>UNIVERSIDAD DE ANTIOQUIA</t>
  </si>
  <si>
    <t>890980040-8</t>
  </si>
  <si>
    <t xml:space="preserve">Prestar de servicios para adelantar el proceso de convocatoria pública para la elección del Secretario General del Concejo y Subsecretarios de las comisiones del Concejo de Bogotá D.C., conforme al alcance y obligaciones determinados en los estudios previos.  </t>
  </si>
  <si>
    <t>Se realizara en tres pagos así:
*En el primer pago el 40% a la entrega del cronograma, plan y protocolo de trabajo.
*El segundo pago 40% A la entrega del olistado de admitidos y no admitidos.
*El tercer pago 20%, a la entrega del informe final con todos los soportes.</t>
  </si>
  <si>
    <t>Convenio interadministrativo</t>
  </si>
  <si>
    <t>SDH-CD-108-2019</t>
  </si>
  <si>
    <t>Se pagará:
- Un primer pago  correspondientes al 80% del valor del contrato, una vez sea puesta en funcionamiento la instalación de la iluminación.
-Un último pago correspondiente al 20% del saldo del valor del contrato, una vez realizado el desmonte de la instalación de la iluminación.</t>
  </si>
  <si>
    <t>190215-0-2019</t>
  </si>
  <si>
    <t>SDH-CD-101-2019</t>
  </si>
  <si>
    <t>Se radica el 14/02/2019 ER15834 para adición y prorroga hasta el 10 de junio/19 (legalizado el 8/3/19)</t>
  </si>
  <si>
    <t xml:space="preserve"> LP-AMP-011-2013</t>
  </si>
  <si>
    <t>*Se radico el 08/11/2018 ER 123231
*Se volvio a radicar el 13/03/2019 ER27596</t>
  </si>
  <si>
    <t>se radico el 14/03/2019 ER27677</t>
  </si>
  <si>
    <t>se radico el 20/12/2018 ER137918, se volvio a radicar el 14/03/2019 ER27870</t>
  </si>
  <si>
    <t>190217-0-2019</t>
  </si>
  <si>
    <t>se realizarán once pagos mensaules iguales</t>
  </si>
  <si>
    <t>Sandra Patricia Otero Agudelo</t>
  </si>
  <si>
    <t>SDH-CD-109-2019</t>
  </si>
  <si>
    <t>se radica el 28/02/2019 ER21630</t>
  </si>
  <si>
    <t>* se radico el 21/12/2018 ER138223
* se volvio a radicar el 15/03/2019 ER28545</t>
  </si>
  <si>
    <t>*se radico el 23/11/2018 ER128963
*se volvio a radicar el 18/03/2019 ER29426</t>
  </si>
  <si>
    <t xml:space="preserve"> SDH-SIE-019-2013</t>
  </si>
  <si>
    <t>LUIS CARVAJALINO</t>
  </si>
  <si>
    <t>INVERSIONES INARDEX</t>
  </si>
  <si>
    <t>MOTORYSA</t>
  </si>
  <si>
    <t>JHON KENNEDY</t>
  </si>
  <si>
    <t>27/12/2018
ER139410</t>
  </si>
  <si>
    <t>24/01/2019
ER7662</t>
  </si>
  <si>
    <t>12/12/2018
ER135516</t>
  </si>
  <si>
    <t>01/03/2018
ER22383</t>
  </si>
  <si>
    <t xml:space="preserve">BRAYAN BARON </t>
  </si>
  <si>
    <t>JOSE GABRIEL PARRA</t>
  </si>
  <si>
    <t>KAREN LILIANA ANGULO</t>
  </si>
  <si>
    <t>MANGUARE</t>
  </si>
  <si>
    <t xml:space="preserve">JORGE HERNAN SANCHEZ </t>
  </si>
  <si>
    <t>GRUPO EMPRESARIAL SOLUCIONES CUATRO EN UNO</t>
  </si>
  <si>
    <t>OPENLLINK SISTEMS</t>
  </si>
  <si>
    <t>ANDREA PAOLA MELENDEZ</t>
  </si>
  <si>
    <t xml:space="preserve">LIBRERÍA PANAMERICANA </t>
  </si>
  <si>
    <t>21/02/2019
ER18777</t>
  </si>
  <si>
    <t>SONIA SAAVEDRA</t>
  </si>
  <si>
    <t>15/02/2019
ER16783</t>
  </si>
  <si>
    <t>24/01/2019
ER7661</t>
  </si>
  <si>
    <t>22/02/2018
ER20401</t>
  </si>
  <si>
    <t>22/02/2018
ER20397</t>
  </si>
  <si>
    <t>22/08/2018
ER94383</t>
  </si>
  <si>
    <t>25/02/2019
ER19759</t>
  </si>
  <si>
    <t>01/03/2019
ER22386</t>
  </si>
  <si>
    <t>17/10/2018
ER115967</t>
  </si>
  <si>
    <t>24/01/2019
ER7658</t>
  </si>
  <si>
    <t>12/03/2018
ER28087</t>
  </si>
  <si>
    <t>24/04/2018
ER46853</t>
  </si>
  <si>
    <t>24/04/2018
ER46856</t>
  </si>
  <si>
    <t>14/03/2019
ER28055</t>
  </si>
  <si>
    <t>17/08/2018
ER93420</t>
  </si>
  <si>
    <t>03/08/2018
ER88486</t>
  </si>
  <si>
    <t>12/04/2018
ER41439</t>
  </si>
  <si>
    <t>27/09/2018
ER108946</t>
  </si>
  <si>
    <t>23/10/2018
ER117890</t>
  </si>
  <si>
    <t>23/10/2018
ER117889</t>
  </si>
  <si>
    <t>12/03/2018
ER28089</t>
  </si>
  <si>
    <t>12/12/2018
ER135515</t>
  </si>
  <si>
    <t>13/11/2018
ER124597</t>
  </si>
  <si>
    <t>01/02/2019
ER11246</t>
  </si>
  <si>
    <t>01/02/2019
ER11245</t>
  </si>
  <si>
    <t>21/02/2019
ER18704</t>
  </si>
  <si>
    <t>21/02/2019
ER18707</t>
  </si>
  <si>
    <t>15/03/2019
ER28640</t>
  </si>
  <si>
    <t>04/03/2019
ER22836</t>
  </si>
  <si>
    <t>04/03/2019
ER22835</t>
  </si>
  <si>
    <t>24/01/2019
ER7666</t>
  </si>
  <si>
    <t>05/06/2018
ER62419</t>
  </si>
  <si>
    <t>18/01/2019
ER5536</t>
  </si>
  <si>
    <t>12/12/2018
ER135521</t>
  </si>
  <si>
    <t>07/02/2019
ER13383</t>
  </si>
  <si>
    <t xml:space="preserve"> SDH-SIE-18-2013</t>
  </si>
  <si>
    <t xml:space="preserve"> SDH-SMINC-67-2013</t>
  </si>
  <si>
    <t xml:space="preserve"> SDH-SAMC-11-2013</t>
  </si>
  <si>
    <t xml:space="preserve"> SDH-SIE-11-2013</t>
  </si>
  <si>
    <t xml:space="preserve"> SDH-SMINC-44-2013</t>
  </si>
  <si>
    <t xml:space="preserve"> SDH-SMINC-43-2013</t>
  </si>
  <si>
    <t xml:space="preserve"> SDH-SMINC-40-2013</t>
  </si>
  <si>
    <t xml:space="preserve"> SDH-SMINC-39-2013</t>
  </si>
  <si>
    <t xml:space="preserve"> SDH-SAMC-06-2013</t>
  </si>
  <si>
    <t>*se radico el 5/09/2018 ER99991
*se volvio a radicar el 13/02/2019ER15471</t>
  </si>
  <si>
    <t>se radico el 19/03/20198 ER30158 (Contrato para el mismo contratista diferente objeto contractual)</t>
  </si>
  <si>
    <t>se radico el 21/03/2019 ER31400</t>
  </si>
  <si>
    <t>Se radico el 21/03/2019ER31403</t>
  </si>
  <si>
    <t>*Se radico el 14/03/2019 ER27679
*Se volvio a radicar el 21/03/2019ER31397</t>
  </si>
  <si>
    <t>se radica el 21/03/2019ER31656, prorroga por un mes hasta el 10 de junio/19</t>
  </si>
  <si>
    <t>190221-0-2019</t>
  </si>
  <si>
    <t>se radico el 26/03/2019 ER3396 
(Viviana Marcela Rodirguez)</t>
  </si>
  <si>
    <t>se radico el 26/03/2019 ER3397 
(Patricia Villegas)</t>
  </si>
  <si>
    <t>*se radico el 12/12/2018 ER135303
*se volvio a radicar el 27/03/2019 ER33661</t>
  </si>
  <si>
    <t>se radico el 21/03/2019ER31652
(ANDRES FERNANDO ZUÑIGA)</t>
  </si>
  <si>
    <t>*se radico el 17/12/2018 ER 136491
*se volvio a radicar el 07/03/2019ER24629
*se vovlio a radicar el 29/03/2019ER35577</t>
  </si>
  <si>
    <t>190225-0-2019</t>
  </si>
  <si>
    <t>190226-0-2019</t>
  </si>
  <si>
    <t>comunicaciones</t>
  </si>
  <si>
    <t xml:space="preserve">DIANA CAROLINA RIVEROS BEJARANO  (Cesionaria) / ANA MARIA MONROY MORA (Antes)
</t>
  </si>
  <si>
    <t>SDH-SMINC-2-2019</t>
  </si>
  <si>
    <t>*se radico el  21/11/2018 ER128073.
*se volvio a radicar el 8/03/2019 ER25240
*se vovlio a radicar el 29/03/2019ER35757</t>
  </si>
  <si>
    <t>190228-0-2019</t>
  </si>
  <si>
    <t>190231-0-2019</t>
  </si>
  <si>
    <t>190233-0-2019</t>
  </si>
  <si>
    <t>se radico el 02/04/2019 ER37105
(HERNANDO REYES ARANGO)</t>
  </si>
  <si>
    <t>se radico el 03/04/2019ER37981</t>
  </si>
  <si>
    <t>190237-0-2019</t>
  </si>
  <si>
    <t>JEAN CLAUDE WILLINGTON CORTES MANCERA</t>
  </si>
  <si>
    <t>MILTON JAVIER LATORRE MARIÑO</t>
  </si>
  <si>
    <t>Blanca Lisbeth Camargo</t>
  </si>
  <si>
    <t xml:space="preserve">Jean Claude Willington Cortes </t>
  </si>
  <si>
    <t>Yolanda Canchila</t>
  </si>
  <si>
    <t>SDH-SIE-8-2018</t>
  </si>
  <si>
    <t>SDH-SAMC-7-2018</t>
  </si>
  <si>
    <t>SDH-CD-51-2018</t>
  </si>
  <si>
    <t>SDH-CD-55-2018</t>
  </si>
  <si>
    <t>SDH-CD-74-2018</t>
  </si>
  <si>
    <t>SDH-CD-78-2018</t>
  </si>
  <si>
    <t>SDH-CD-79-2018</t>
  </si>
  <si>
    <t>SDH-CD-75-2018</t>
  </si>
  <si>
    <t>SDH-SMINC-47-2018</t>
  </si>
  <si>
    <t>SDH-CD-54-2018</t>
  </si>
  <si>
    <t>SDH-CD-37-2018</t>
  </si>
  <si>
    <t>SDH-SMINC-43-2018</t>
  </si>
  <si>
    <t>SDH-CD-61-2018</t>
  </si>
  <si>
    <t>SDH - CD -26-2018</t>
  </si>
  <si>
    <t>SDH-CD-56-2018</t>
  </si>
  <si>
    <t>SDH-CD-45-2018</t>
  </si>
  <si>
    <t>SDH-CD-6-2018</t>
  </si>
  <si>
    <t>SDH-CD-34-2018</t>
  </si>
  <si>
    <t>SDH-SAMC-4-2018</t>
  </si>
  <si>
    <t>SDH-CD-39-2018</t>
  </si>
  <si>
    <t>SDH-CD-40-2018</t>
  </si>
  <si>
    <t>SDH-CD-17-2018</t>
  </si>
  <si>
    <t>SDH-SIE-7-2018</t>
  </si>
  <si>
    <t>SDH-CD-30-2018</t>
  </si>
  <si>
    <t>CD-SHD-36-2018</t>
  </si>
  <si>
    <t>SDH-SAMC- 1-2018 </t>
  </si>
  <si>
    <t>SDH-CD-4-2018</t>
  </si>
  <si>
    <t>SDH-CD-33-2018</t>
  </si>
  <si>
    <t>SDH-CD-13-2018</t>
  </si>
  <si>
    <t>SHD-CD-16-2018</t>
  </si>
  <si>
    <t>SDH-CD-12-2018</t>
  </si>
  <si>
    <t>SDH-CD-11-2018</t>
  </si>
  <si>
    <t>SDH-CD-18-2018</t>
  </si>
  <si>
    <t>SDH-CD-26-2018</t>
  </si>
  <si>
    <t>ANGELA IBETH DÍAZ REY (Cesionaria) /MARICELA CASTRO DELGADO  (Antes)</t>
  </si>
  <si>
    <t>190243-0-2019</t>
  </si>
  <si>
    <t>MARIA PAULA RODRIGUEZ HERNANDEZ</t>
  </si>
  <si>
    <t xml:space="preserve">Prestar los servicios profesionales para apoyar al Concejo de Bogotá D.C., en el desarrollo de las actividades protocolarias de los diferentes eventos que lleva a cabo la Corporación en  ejercicio de sus funciones. </t>
  </si>
  <si>
    <t>Servicios Profesionales/ Oficina de Comunicaciones</t>
  </si>
  <si>
    <t>1 mes y 8 días</t>
  </si>
  <si>
    <t>190227-0-2019</t>
  </si>
  <si>
    <t>GENEVA INGENIERIA SAS</t>
  </si>
  <si>
    <t>adquirir monitores industriales para el salón Lara Bonilla para el Concejo de Bogotá.</t>
  </si>
  <si>
    <t>Adquisición Monitores Industriales</t>
  </si>
  <si>
    <t>Francisco Javier Bernal García</t>
  </si>
  <si>
    <t>NANCY ADRIANA SANDOVAL ÁVILA</t>
  </si>
  <si>
    <t>Francisco Bernal</t>
  </si>
  <si>
    <t>190247-0-2019</t>
  </si>
  <si>
    <t>MARIA ALEJANDRA GAITAN NAVARRETE</t>
  </si>
  <si>
    <t>Prestar servicios profesionales para apoyar a la oficina de comunicaciones del Concejo de Bogotá D.C. en la generación de estrategias que permitan la socialización divulgación y comunicación de la Ley de Transparecia y demás políticas institucionales, así como prestar apoyo en el cubrimiento mediático de las diferentes sesiones de la coproración, de conformidad con lo establecido en los estuduios previos.</t>
  </si>
  <si>
    <t xml:space="preserve">Comunicaciones </t>
  </si>
  <si>
    <t>se radico el 09/04/2019ER41345 una prorroga hasta el 20/05/2019</t>
  </si>
  <si>
    <t>Se radico el 09/04/2019ER41464 una solicitud de adición y de prorroga hasta el 30/05/2019</t>
  </si>
  <si>
    <t>*se radica el 8/03/2019 ER25516 una prorroga hasta el 14/04/2019
*se radica el 11/04/2019ER42822 una prorroga hasta el 14/05/2019</t>
  </si>
  <si>
    <t>*se radica el 10/04/2019ER42289 una prorroga hasta el 10/06/2019</t>
  </si>
  <si>
    <t>Leidy Adriana Gomez Pajarito</t>
  </si>
  <si>
    <t>Se radico el 12/04/2019ER43344</t>
  </si>
  <si>
    <t>190247-0-0-2019</t>
  </si>
  <si>
    <t>SDH-SMINC-6-2019</t>
  </si>
  <si>
    <t>190249-0-2019</t>
  </si>
  <si>
    <t>Servicios Profesionales/ Comisión del Plan</t>
  </si>
  <si>
    <t>se radico el 10/04/2019ER42286 
(Martha P. Ortiz)</t>
  </si>
  <si>
    <t>190246-0-2019</t>
  </si>
  <si>
    <t>GRAN IMAGEN SAS</t>
  </si>
  <si>
    <t>Prestar servicios integrales de fofocopiado y servicios afines para el Concejo de Bogotá, D.C., de conformidad con lo establecido en la invitación pública del proceso de mínima cuantía No. SDH-SMINC-09-2019</t>
  </si>
  <si>
    <t>190250-0-2019</t>
  </si>
  <si>
    <t>Prestar servicios profesionales para apoyar la gestión Administrativa documental y contractual en los asuntos de competencia del Concejo de Bogotá D.C.</t>
  </si>
  <si>
    <t>Servicios Profesionales/ Dirección Administrativa</t>
  </si>
  <si>
    <t>Gestión Administrativa</t>
  </si>
  <si>
    <t>SDH-SMINC-9-2019</t>
  </si>
  <si>
    <t>se radico el 25/04/2019 ER47920</t>
  </si>
  <si>
    <t>*se radico el 29/04/2019ER49368</t>
  </si>
  <si>
    <t>190252-0-2019</t>
  </si>
  <si>
    <t>Servicios Profesionales/ Dirección Jurídica</t>
  </si>
  <si>
    <t>Gestión Jurídica</t>
  </si>
  <si>
    <t>Prestar los servicios de producción y trasmisión de programas de televisión para el Concejo de Bogotá.</t>
  </si>
  <si>
    <t xml:space="preserve">Prestar servicios de producción y trasmisión de programas de televisión para el Concejo de Bogotá. </t>
  </si>
  <si>
    <t>190253-0-2019</t>
  </si>
  <si>
    <t>Servicios Profesionales/ Plataforma Oracle</t>
  </si>
  <si>
    <t>190259-0-2019</t>
  </si>
  <si>
    <t>INSTITUTO DISTRITAL DE LAS ARTES - IDARTES</t>
  </si>
  <si>
    <t xml:space="preserve">Entregar en comodato el teatro Jorge Eliécer Gaítan al Concejo de Bogotá para realizar el evento "Premios de Periodismo Álvaro Gómez Hurtado", que se llevará acabo el día 8 de mayo de 2019 </t>
  </si>
  <si>
    <t>Se efectuarán dos pagos:
- correspondiente al 10% del valor total de los gastos operativos.
- correspondiente al 90% del valor total del contrato.</t>
  </si>
  <si>
    <t>COMODATO</t>
  </si>
  <si>
    <t>CONTRATO DE COMODATO</t>
  </si>
  <si>
    <t>190255-0-2019</t>
  </si>
  <si>
    <t>Servicios Profesionales/ Pensiones</t>
  </si>
  <si>
    <t>900413030-9</t>
  </si>
  <si>
    <r>
      <t xml:space="preserve">se radico adición y prorroga hasta el </t>
    </r>
    <r>
      <rPr>
        <b/>
        <sz val="8"/>
        <color theme="1"/>
        <rFont val="Arial"/>
        <family val="2"/>
      </rPr>
      <t>15/06/2019</t>
    </r>
    <r>
      <rPr>
        <sz val="8"/>
        <color theme="1"/>
        <rFont val="Arial"/>
        <family val="2"/>
      </rPr>
      <t>, el 02/05/2019 ER50651</t>
    </r>
  </si>
  <si>
    <t>Aura Elisa Guerrero - 
LUIS FERNANDO MEZA DAZA</t>
  </si>
  <si>
    <t>190262-0-2019</t>
  </si>
  <si>
    <t>MIACOM SAS</t>
  </si>
  <si>
    <t>900677188-6</t>
  </si>
  <si>
    <t>Prestar servicios de diseño producción y ejecución de estrategias de divulgación en medios de comunicación de carácter masivo y alternativo para el Concejo de Bogotá.</t>
  </si>
  <si>
    <t>mensualidades vencidad de acuerdo con los servicios efectivamente prestados.</t>
  </si>
  <si>
    <t xml:space="preserve">Selección Abreviada Subasta inversa </t>
  </si>
  <si>
    <t>se radica una prorroga hasta el 22/05/2019 el 7/05/2019 ER52413</t>
  </si>
  <si>
    <t>SDH-SIE-5-2019</t>
  </si>
  <si>
    <t>*Se radico el 09/05/2019ER54023</t>
  </si>
  <si>
    <t>19/02/2019 ER17488, Se solicita Adición
* Se volvio a radicar el 10/05/2019ER54761</t>
  </si>
  <si>
    <t>se radico el 10/05/2019ER54307 una adición</t>
  </si>
  <si>
    <t xml:space="preserve">se radico el 10/05/2019ER54947 una adicón y prorroga hasta el 19/07/2019, </t>
  </si>
  <si>
    <t xml:space="preserve">*se radico el 11/03/2019 ER25823
</t>
  </si>
  <si>
    <t>190260-0-2019</t>
  </si>
  <si>
    <t>Los pagos se efectuarán así:
A. Un primer pago con la entrega de la actualización e instalación de las licencias.
B. Un segundo pago correspondiente al valor del soporte objeto de este contrato a los 5 (cinco) meses posterior a la fecha.
C. Un tercer pago correspondiente al valor del soporte objeto de este contrato a los 11 (once) meses posterior a la fecha.</t>
  </si>
  <si>
    <t>*se radico el 28/02/2019 ER21630
*se volvio a radicar el 27/03/2019 ER33664</t>
  </si>
  <si>
    <t>AURA ELISA GUERREO</t>
  </si>
  <si>
    <t>190263-0-2019</t>
  </si>
  <si>
    <t>Prestar servicios profesionales para apoyar a la Secretaría General del Concejo de Bogotá en la respuesta a derechos de petición solicitudes quejas consultas  y reclamos que reciba la Corporación.</t>
  </si>
  <si>
    <t>Servicios profesionales / Secretaria General</t>
  </si>
  <si>
    <t>ROSA ELENA MORALES MENESES</t>
  </si>
  <si>
    <t>190267-0-2019</t>
  </si>
  <si>
    <t>Presatar servicios profesionales para apoyar el proceso de sistemas y seguirdad de la información del Concejo de Bogotá en materia de seguridad informática.</t>
  </si>
  <si>
    <t>*La primera se radico el 23/11/2018 ER129078
*Se volvio a radicar el 20/12/2018 ER137780
*se volvio a radicar el 15/05/2019ER56489</t>
  </si>
  <si>
    <t>*Se radico el 21/08/2018 ER93834</t>
  </si>
  <si>
    <t>ARLEZ DONELLY MOGOLLÓN ZUÑIGA</t>
  </si>
  <si>
    <t>se radico el 17/05/2019ER57725</t>
  </si>
  <si>
    <t>se radico una prorroga hasta el 29/02/2020</t>
  </si>
  <si>
    <t>4 mes</t>
  </si>
  <si>
    <t>190269-0-2019</t>
  </si>
  <si>
    <t>Los pagos serán:
-primer pago el valor correspondiente a la entrega de la actualización de las licencias.
-Mensualidades vencidas correspondientes al mantenimiento y soporte mensual. 
-Un pago a la entrega de los ajustes a las plantillas definidas.</t>
  </si>
  <si>
    <t>PRESTACIÓN DE SERVICIOS</t>
  </si>
  <si>
    <t>Mantenimiento / licencias sitio web</t>
  </si>
  <si>
    <t>AURA ELISA GUERRERO</t>
  </si>
  <si>
    <t>SDH-CD-190269-0-2019</t>
  </si>
  <si>
    <t>12 días calendario</t>
  </si>
  <si>
    <t>INFORMATICA DOCUMENTAL</t>
  </si>
  <si>
    <t>MITSUBISHI ELECTRIC</t>
  </si>
  <si>
    <t>190270-0-2019</t>
  </si>
  <si>
    <t>SDH-SMINC-16-2019</t>
  </si>
  <si>
    <t>Se realizará en Tres pagos así:
- Un pago correspondiente al valor de las licencias.
-Dos pago iguales a los servicios conexos</t>
  </si>
  <si>
    <t xml:space="preserve">Mantenimiento / SOFTWARE ANTIVIRUS </t>
  </si>
  <si>
    <t xml:space="preserve"> SDH-SAMC-003-2012</t>
  </si>
  <si>
    <t xml:space="preserve"> SDH-LP-003-2012</t>
  </si>
  <si>
    <t xml:space="preserve"> 130336-0-2013</t>
  </si>
  <si>
    <t xml:space="preserve"> SDH-SMINC-023-2013</t>
  </si>
  <si>
    <t xml:space="preserve"> SDH-SAMC-001-2012</t>
  </si>
  <si>
    <t xml:space="preserve"> 130106-0-2013</t>
  </si>
  <si>
    <t xml:space="preserve"> SDH-SMINC-27-2013</t>
  </si>
  <si>
    <t>9 meses y 7 días</t>
  </si>
  <si>
    <t>el 30/05/2019 ER62124, SE RADICA CESIÓN DEL CONTRATO (Jose Neftalí Perea Holguin)</t>
  </si>
  <si>
    <t>190279-0-2019</t>
  </si>
  <si>
    <t>SEGURIDAD ATLAS LTDA</t>
  </si>
  <si>
    <t xml:space="preserve">Prestar servicio de vigilancia y seguridad privada, para la permanente y adecuada protección de los funcionarios, contratistas y visitantes del Concejo de Bogotá, D.C., y de los bienes muebles e inmuebles objeto de esta contratación. </t>
  </si>
  <si>
    <t>SDH-LP-1-2019</t>
  </si>
  <si>
    <t>190283-0-2019</t>
  </si>
  <si>
    <t>Prestar servicios profesionales a la Dirección Jurídica del Concejo de Bogotá D.C., en el marco de los asuntos de su competencia y de acuerdo a la normatividad vigente con el fin de realizar las actividades necesarias para la depuración y actualización normativa del periodo 2015-2018.</t>
  </si>
  <si>
    <t>LILIANA BASTIDAS LINARES</t>
  </si>
  <si>
    <t>Servicios profesionales /Depuración Normativa</t>
  </si>
  <si>
    <t>190284-0-2019</t>
  </si>
  <si>
    <t>*se radico el 17/12/2018 ER136490
*se volvio a radicar el 16/05/2019ER57280
* se volvio a radicar el 31/05/2019ER62579</t>
  </si>
  <si>
    <t xml:space="preserve">Prestar servicios de actualización, mantenimiento y soporte para las licencias del sitio WEB e intraet y de streaming del Concejo de Bogotá. </t>
  </si>
  <si>
    <t>190287-0-2019</t>
  </si>
  <si>
    <t>JOSE VICENTE PEÑA PINZON</t>
  </si>
  <si>
    <t>Prestar servicios profesionales para elaborar estudios de justificación técnica del rediseño organizacional del Concejo de Bogotá D.C., con sus respectivos anexos, de acuerdo con las especificaciones normativas vigentes  y los lineamientos técnicos  del Departamento Administrativo del Servicio Civil Distrital.</t>
  </si>
  <si>
    <t>Servicios profesionales /rediseño organizacional</t>
  </si>
  <si>
    <t>190293-0-2019</t>
  </si>
  <si>
    <t>IVONNE ALEXANDRA RODRIGUEZ RUEDA</t>
  </si>
  <si>
    <t>*se radico el 20/12/2018 ER137781
* se volvio a radicar el 04/06/2019ER63433</t>
  </si>
  <si>
    <t>190287-02019</t>
  </si>
  <si>
    <t>190286-0-2019</t>
  </si>
  <si>
    <t>FELIX ENRIQUE GONZALEZ CALDERON</t>
  </si>
  <si>
    <t>Prestar servicios profesionales para apoyar a la Oficina de comunicaciones del Concejo de Bogotá D.C., en la conceptualización, elaboración, diseño y desarrollo de piezas graficas comunicativas, impresas y digitales que se requieran para la difusión de convocatorias, eventos, sesiones y demás actividades.</t>
  </si>
  <si>
    <t>Servicios profesionales / diseño y desarrollo de piezas graficas</t>
  </si>
  <si>
    <t>190294-0-2019</t>
  </si>
  <si>
    <t>NIDIA GOMEZ CORTES</t>
  </si>
  <si>
    <t xml:space="preserve">Servicios profesionales / comisiones </t>
  </si>
  <si>
    <t>Comisiones</t>
  </si>
  <si>
    <t>DANILSON GUEVARA VILLABON</t>
  </si>
  <si>
    <t>190285-0-2019</t>
  </si>
  <si>
    <t>COMERCIALIZADORA BENDITO SAS</t>
  </si>
  <si>
    <t>Suministro y elementos deportivos para los funcionarios del Concejo de Bogotá.</t>
  </si>
  <si>
    <t>suministro de elementos deportivos</t>
  </si>
  <si>
    <t>* se radico el 12/12/2018 ER135301
*se vovlio a radicar el 11/06/2019 ER65880</t>
  </si>
  <si>
    <t>SDH-SMINC-15-2019</t>
  </si>
  <si>
    <t>* La primera solicitud se radico el 14/12/2018
ER136160.
* Se volvio a radicar el 25/02/2019 ER19638.
* *Se volvio a radicar el 13/03/2019 ER27576
*Se volvio a radicar el 02/05/2019 ER50643
*SE VOLVIO A RADICAR EL 07/06/2019
ER64780
* SE RADICO UN ALCANCE  EL 13/06/2019ER66858</t>
  </si>
  <si>
    <t>190296-0-2019</t>
  </si>
  <si>
    <t>ARIOS COLOMBIA SAS</t>
  </si>
  <si>
    <t>Selección abreviada de menor cuantía</t>
  </si>
  <si>
    <t>SDH-SAMC-4-2019</t>
  </si>
  <si>
    <t>*se radico el 17/06/2019 ER68203, con otro objeto contractual</t>
  </si>
  <si>
    <t>*se radico el 17/06/2019ER68147</t>
  </si>
  <si>
    <t>*se radico el 17/12/2018 ER136487
*se volvio a radicar el 9/04/2019 ER41359
*se volvio a radicar el 17/06/2019ER68149</t>
  </si>
  <si>
    <t>pagos mensuales vencidos</t>
  </si>
  <si>
    <t>*Se radico el 02/05/2019ER50644
*Se volvio a radicar el 6/05/2019 ER52244 - SOLICITUD DEVUELTA POR LA SDH ER14555-18/06/2019
*Se volvio a radicar el 10/05/2019ER54932
*se radico un alcance el 12/06/2019ER66413</t>
  </si>
  <si>
    <t>Prestar servicios integrales de aseo y cafeteria y servicio de fumigación para las instalaciones del Concejo de Bogotá D.C., de conformidad con lo establecido en el pliego de condiciones del proceso de selección abreviada de menor cuantía No. SDH-SAMC-4-2019 y la propuesta presentada por el contratista.</t>
  </si>
  <si>
    <r>
      <t>se radico 20/06/2019ER69368</t>
    </r>
    <r>
      <rPr>
        <b/>
        <sz val="8"/>
        <color theme="1"/>
        <rFont val="Arial"/>
        <family val="2"/>
      </rPr>
      <t xml:space="preserve"> PRORROGA HASTA EL 20 DE JULIO/2019</t>
    </r>
    <r>
      <rPr>
        <sz val="8"/>
        <color theme="1"/>
        <rFont val="Arial"/>
        <family val="2"/>
      </rPr>
      <t xml:space="preserve"> </t>
    </r>
  </si>
  <si>
    <t>se efectuaran los pagos así:
- un primer pago el 30% del valor del contrato.
- un segundo pago por el 70% del valor del contrato</t>
  </si>
  <si>
    <t>Ünico pago</t>
  </si>
  <si>
    <t>190298-0-2019</t>
  </si>
  <si>
    <t>Prestar servicios de alquiler de escenarios como salones, auditorios y espacios abiertos, apoyo logístico y servicio de catering para el desarrollo de eventos que requiera el Concejo de Bogotá.</t>
  </si>
  <si>
    <t>SDH-SAMC-3-2019</t>
  </si>
  <si>
    <t>alquiler de  salones</t>
  </si>
  <si>
    <t>190308-0-2019</t>
  </si>
  <si>
    <t>DORA QUIROGA MENDOZA</t>
  </si>
  <si>
    <t>Prestar servicios para apoyar la atención, recepción, orientación y direccionamiento de los ciudadanos y visitantes, para el fortalecimiento de la Oficina de atención al ciudadano del Concejo de Bogotá D.C.</t>
  </si>
  <si>
    <t xml:space="preserve">Servicios de apoyo / atención al ciudadano </t>
  </si>
  <si>
    <t>190309-0-2019</t>
  </si>
  <si>
    <t>CAROLINA ZARATE ARCOS</t>
  </si>
  <si>
    <t>Prestar servicios profesionales para apoyar la oficina asesora de planeación del Concejo de Bogotá en el seguimiento del plan anticorrupción y atención al ciudadano en todos sus componentes, y la construcción e implementación de las herramientas al modelo integrado de planeación y gestión.</t>
  </si>
  <si>
    <t>Servicios profesionales / Planeación</t>
  </si>
  <si>
    <t>planeación</t>
  </si>
  <si>
    <t>SANTIAGO GUTIERREZ MENDOZA</t>
  </si>
  <si>
    <t>Jefe Oficina de Planeación</t>
  </si>
  <si>
    <t>190306-0-2019</t>
  </si>
  <si>
    <t>CLAUDIA MARCELA HOLGUIN HERRERA</t>
  </si>
  <si>
    <t>Prestar servicios de apoyo a la Dirección Administrativa en la gestión de las actividades contenidas en el plan de bienestar e incentivos y plan de capacitación del Concejo de Bogotá D.C.</t>
  </si>
  <si>
    <t>Servicios de apoyo/ bienestar</t>
  </si>
  <si>
    <t>190305-0-2019</t>
  </si>
  <si>
    <t>HERNANDO REYES ARANGO</t>
  </si>
  <si>
    <t>Prestar servicios profesionales para apoyar la supervisión técnica de los temas de infraestructura física asociados al desarrollo del Convenio Interadministrativo suscrito entre la Agencia Inmobiliaria y la Secretaria Distrital de Hacienda para el edificio nuevo del Concejo de Bogotá.</t>
  </si>
  <si>
    <t>Servicios profesionales / infraestructura</t>
  </si>
  <si>
    <t xml:space="preserve">Gestion financiera </t>
  </si>
  <si>
    <t>190300-0-2019</t>
  </si>
  <si>
    <t>SDH-SMINC-20-2019</t>
  </si>
  <si>
    <t>medios de respaldo</t>
  </si>
  <si>
    <t>190312-0-2019</t>
  </si>
  <si>
    <t>JHON ELKIN GARIBELLO CORREA</t>
  </si>
  <si>
    <t>190303-0-2019</t>
  </si>
  <si>
    <t>EVALUA SALUD IPS SAS</t>
  </si>
  <si>
    <t>Realizar exámenes médicos ocupacionales y complementarios igualmente la aplicación de vacunas para los funcionarios del Concejo de Bogotá.</t>
  </si>
  <si>
    <t>exámenes médicos</t>
  </si>
  <si>
    <t>SDH-SAMC-6-2019</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</si>
</sst>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43" formatCode="_-* #,##0.00_-;\-* #,##0.00_-;_-* &quot;-&quot;??_-;_-@_-"/>
    <numFmt numFmtId="164" formatCode="_(&quot;$&quot;\ * #,##0.00_);_(&quot;$&quot;\ * \(#,##0.00\);_(&quot;$&quot;\ * &quot;-&quot;??_);_(@_)"/>
    <numFmt numFmtId="165" formatCode="_(* #,##0.00_);_(* \(#,##0.00\);_(* &quot;-&quot;??_);_(@_)"/>
    <numFmt numFmtId="166" formatCode="_-&quot;$&quot;* #,##0.00_-;\-&quot;$&quot;* #,##0.00_-;_-&quot;$&quot;* &quot;-&quot;??_-;_-@_-"/>
    <numFmt numFmtId="167" formatCode="_ * #,##0.00_ ;_ * \-#,##0.00_ ;_ * &quot;-&quot;??_ ;_ @_ "/>
    <numFmt numFmtId="168" formatCode="_(* #,##0_);_(* \(#,##0\);_(* &quot;-&quot;??_);_(@_)"/>
    <numFmt numFmtId="169" formatCode="[$-C0A]d\-mmm\-yy;@"/>
    <numFmt numFmtId="170" formatCode="_([$€-2]* #,##0.00_);_([$€-2]* \(#,##0.00\);_([$€-2]* &quot;-&quot;??_)"/>
    <numFmt numFmtId="171" formatCode="_-&quot;$&quot;* #,##0_-;\-&quot;$&quot;* #,##0_-;_-&quot;$&quot;* &quot;-&quot;??_-;_-@_-"/>
    <numFmt numFmtId="172" formatCode="0.0%"/>
    <numFmt numFmtId="173" formatCode="_-* #,##0_-;\-* #,##0_-;_-* &quot;-&quot;??_-;_-@_-"/>
    <numFmt numFmtId="174" formatCode="&quot;$&quot;#,##0"/>
    <numFmt numFmtId="175" formatCode="[$-C0A]mmm\-yy;@"/>
    <numFmt numFmtId="176" formatCode="[$-C0A]mmmmm\-yy;@"/>
    <numFmt numFmtId="177" formatCode="&quot;$&quot;\ #,##0"/>
    <numFmt numFmtId="178" formatCode="#,##0_ ;\-#,##0\ "/>
    <numFmt numFmtId="179" formatCode="[$-C0A]dd\-mmm\-yy;@"/>
    <numFmt numFmtId="180" formatCode="0.0"/>
    <numFmt numFmtId="181" formatCode="_-&quot;$&quot;* #,##0.0_-;\-&quot;$&quot;* #,##0.0_-;_-&quot;$&quot;* &quot;-&quot;??_-;_-@_-"/>
    <numFmt numFmtId="182" formatCode="0;[Red]0"/>
  </numFmts>
  <fonts count="84" x14ac:knownFonts="1">
    <font>
      <sz val="11"/>
      <color theme="1"/>
      <name val="Calibri"/>
      <family val="2"/>
      <scheme val="minor"/>
    </font>
    <font>
      <sz val="11"/>
      <color theme="1"/>
      <name val="Calibri"/>
      <family val="2"/>
      <scheme val="minor"/>
    </font>
    <font>
      <sz val="11"/>
      <color rgb="FF9C6500"/>
      <name val="Calibri"/>
      <family val="2"/>
      <scheme val="minor"/>
    </font>
    <font>
      <b/>
      <sz val="11"/>
      <color theme="1"/>
      <name val="Calibri"/>
      <family val="2"/>
      <scheme val="minor"/>
    </font>
    <font>
      <sz val="11"/>
      <color indexed="8"/>
      <name val="Calibri"/>
      <family val="2"/>
    </font>
    <font>
      <sz val="8"/>
      <name val="Arial"/>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8"/>
      <name val="Calibri"/>
      <family val="2"/>
    </font>
    <font>
      <sz val="10"/>
      <name val="Arial"/>
      <family val="2"/>
    </font>
    <font>
      <sz val="8"/>
      <color indexed="10"/>
      <name val="Arial"/>
      <family val="2"/>
    </font>
    <font>
      <sz val="9"/>
      <color indexed="81"/>
      <name val="Tahoma"/>
      <family val="2"/>
    </font>
    <font>
      <b/>
      <sz val="16"/>
      <color theme="1"/>
      <name val="Calibri"/>
      <family val="2"/>
      <scheme val="minor"/>
    </font>
    <font>
      <sz val="8"/>
      <color theme="1"/>
      <name val="Arial"/>
      <family val="2"/>
    </font>
    <font>
      <b/>
      <sz val="9"/>
      <color indexed="81"/>
      <name val="Tahoma"/>
      <family val="2"/>
    </font>
    <font>
      <b/>
      <sz val="14"/>
      <color theme="1"/>
      <name val="Calibri"/>
      <family val="2"/>
      <scheme val="minor"/>
    </font>
    <font>
      <b/>
      <sz val="18"/>
      <color theme="4" tint="-0.499984740745262"/>
      <name val="Calibri"/>
      <family val="2"/>
      <scheme val="minor"/>
    </font>
    <font>
      <b/>
      <sz val="12"/>
      <color theme="1"/>
      <name val="Calibri"/>
      <family val="2"/>
      <scheme val="minor"/>
    </font>
    <font>
      <b/>
      <sz val="22"/>
      <color theme="1"/>
      <name val="Calibri"/>
      <family val="2"/>
      <scheme val="minor"/>
    </font>
    <font>
      <sz val="14"/>
      <color theme="4" tint="-0.499984740745262"/>
      <name val="Calibri"/>
      <family val="2"/>
      <scheme val="minor"/>
    </font>
    <font>
      <sz val="8"/>
      <color indexed="8"/>
      <name val="Arial"/>
      <family val="2"/>
    </font>
    <font>
      <u/>
      <sz val="11"/>
      <color theme="10"/>
      <name val="Calibri"/>
      <family val="2"/>
      <scheme val="minor"/>
    </font>
    <font>
      <b/>
      <sz val="18"/>
      <color theme="3"/>
      <name val="Cambria"/>
      <family val="2"/>
      <scheme val="maj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1"/>
      <name val="Calibri"/>
      <family val="2"/>
      <scheme val="minor"/>
    </font>
    <font>
      <sz val="8"/>
      <color rgb="FFFF0000"/>
      <name val="Arial"/>
      <family val="2"/>
    </font>
    <font>
      <b/>
      <sz val="8"/>
      <color theme="1"/>
      <name val="Arial"/>
      <family val="2"/>
    </font>
    <font>
      <b/>
      <sz val="18"/>
      <color rgb="FF002060"/>
      <name val="Calibri"/>
      <family val="2"/>
      <scheme val="minor"/>
    </font>
    <font>
      <sz val="12"/>
      <color theme="4" tint="-0.499984740745262"/>
      <name val="Calibri"/>
      <family val="2"/>
      <scheme val="minor"/>
    </font>
    <font>
      <sz val="11"/>
      <color theme="4" tint="-0.499984740745262"/>
      <name val="Calibri"/>
      <family val="2"/>
      <scheme val="minor"/>
    </font>
    <font>
      <b/>
      <sz val="11"/>
      <color theme="4" tint="-0.499984740745262"/>
      <name val="Calibri"/>
      <family val="2"/>
      <scheme val="minor"/>
    </font>
    <font>
      <b/>
      <sz val="11"/>
      <color rgb="FF002060"/>
      <name val="Calibri"/>
      <family val="2"/>
      <scheme val="minor"/>
    </font>
    <font>
      <u/>
      <sz val="8"/>
      <color theme="10"/>
      <name val="Arial"/>
      <family val="2"/>
    </font>
    <font>
      <b/>
      <sz val="14"/>
      <color theme="4" tint="-0.499984740745262"/>
      <name val="Arial"/>
      <family val="2"/>
    </font>
    <font>
      <sz val="8"/>
      <color theme="0"/>
      <name val="Arial"/>
      <family val="2"/>
    </font>
    <font>
      <sz val="8"/>
      <color theme="1"/>
      <name val="Arial"/>
      <family val="2"/>
    </font>
    <font>
      <b/>
      <sz val="10"/>
      <color theme="1"/>
      <name val="Arial"/>
      <family val="2"/>
    </font>
    <font>
      <b/>
      <sz val="11"/>
      <color theme="1"/>
      <name val="Arial"/>
      <family val="2"/>
    </font>
    <font>
      <b/>
      <sz val="16"/>
      <color theme="1"/>
      <name val="Arial"/>
      <family val="2"/>
    </font>
    <font>
      <sz val="10"/>
      <color theme="1"/>
      <name val="Arial"/>
      <family val="2"/>
    </font>
    <font>
      <u/>
      <sz val="10"/>
      <color theme="10"/>
      <name val="Arial"/>
      <family val="2"/>
    </font>
    <font>
      <b/>
      <sz val="14"/>
      <color theme="1"/>
      <name val="Arial"/>
      <family val="2"/>
    </font>
    <font>
      <sz val="9"/>
      <color theme="1"/>
      <name val="Arial"/>
      <family val="2"/>
    </font>
    <font>
      <b/>
      <sz val="9"/>
      <color theme="1"/>
      <name val="Arial"/>
      <family val="2"/>
    </font>
    <font>
      <sz val="9"/>
      <name val="Arial"/>
      <family val="2"/>
    </font>
    <font>
      <sz val="9"/>
      <color rgb="FFFF0000"/>
      <name val="Arial"/>
      <family val="2"/>
    </font>
    <font>
      <b/>
      <sz val="9"/>
      <color rgb="FFFF0000"/>
      <name val="Arial"/>
      <family val="2"/>
    </font>
    <font>
      <b/>
      <sz val="9"/>
      <name val="Arial"/>
      <family val="2"/>
    </font>
    <font>
      <sz val="9"/>
      <color rgb="FF000000"/>
      <name val="Arial"/>
      <family val="2"/>
    </font>
    <font>
      <u/>
      <sz val="9"/>
      <color theme="10"/>
      <name val="Arial"/>
      <family val="2"/>
    </font>
    <font>
      <u/>
      <sz val="10"/>
      <color indexed="12"/>
      <name val="Arial"/>
      <family val="2"/>
    </font>
    <font>
      <b/>
      <sz val="15"/>
      <color indexed="54"/>
      <name val="Calibri"/>
      <family val="2"/>
    </font>
    <font>
      <u/>
      <sz val="10"/>
      <color theme="10"/>
      <name val="Calibri"/>
      <family val="2"/>
      <scheme val="minor"/>
    </font>
    <font>
      <sz val="8"/>
      <color theme="1"/>
      <name val="Arial"/>
      <family val="2"/>
    </font>
    <font>
      <sz val="8"/>
      <color theme="10"/>
      <name val="Arial"/>
      <family val="2"/>
    </font>
    <font>
      <b/>
      <sz val="8"/>
      <name val="Arial"/>
      <family val="2"/>
    </font>
    <font>
      <b/>
      <sz val="8"/>
      <color rgb="FF000000"/>
      <name val="Arial"/>
      <family val="2"/>
    </font>
    <font>
      <u/>
      <sz val="8"/>
      <color theme="1"/>
      <name val="Arial"/>
      <family val="2"/>
    </font>
    <font>
      <sz val="8"/>
      <color rgb="FF000000"/>
      <name val="Arial"/>
      <family val="2"/>
    </font>
    <font>
      <sz val="8"/>
      <color theme="1"/>
      <name val="Arial"/>
    </font>
  </fonts>
  <fills count="92">
    <fill>
      <patternFill patternType="none"/>
    </fill>
    <fill>
      <patternFill patternType="gray125"/>
    </fill>
    <fill>
      <patternFill patternType="solid">
        <fgColor rgb="FFFFEB9C"/>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theme="0"/>
        <bgColor indexed="64"/>
      </patternFill>
    </fill>
    <fill>
      <patternFill patternType="solid">
        <fgColor rgb="FFFFFF00"/>
        <bgColor indexed="64"/>
      </patternFill>
    </fill>
    <fill>
      <patternFill patternType="solid">
        <fgColor theme="4" tint="-0.249977111117893"/>
        <bgColor indexed="64"/>
      </patternFill>
    </fill>
    <fill>
      <patternFill patternType="solid">
        <fgColor theme="4" tint="0.39997558519241921"/>
        <bgColor indexed="64"/>
      </patternFill>
    </fill>
    <fill>
      <patternFill patternType="solid">
        <fgColor theme="0" tint="-4.9989318521683403E-2"/>
        <bgColor indexed="64"/>
      </patternFill>
    </fill>
    <fill>
      <patternFill patternType="solid">
        <fgColor rgb="FF92D05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tint="0.59999389629810485"/>
        <bgColor indexed="64"/>
      </patternFill>
    </fill>
    <fill>
      <patternFill patternType="solid">
        <fgColor rgb="FF00B0F0"/>
        <bgColor indexed="64"/>
      </patternFill>
    </fill>
    <fill>
      <patternFill patternType="solid">
        <fgColor theme="3" tint="0.39997558519241921"/>
        <bgColor indexed="64"/>
      </patternFill>
    </fill>
    <fill>
      <patternFill patternType="solid">
        <fgColor theme="3" tint="0.59999389629810485"/>
        <bgColor indexed="64"/>
      </patternFill>
    </fill>
    <fill>
      <patternFill patternType="solid">
        <fgColor indexed="9"/>
        <bgColor indexed="64"/>
      </patternFill>
    </fill>
    <fill>
      <patternFill patternType="solid">
        <fgColor indexed="15"/>
        <bgColor indexed="64"/>
      </patternFill>
    </fill>
    <fill>
      <patternFill patternType="solid">
        <fgColor theme="8" tint="0.59999389629810485"/>
        <bgColor indexed="64"/>
      </patternFill>
    </fill>
    <fill>
      <patternFill patternType="solid">
        <fgColor theme="6" tint="0.79998168889431442"/>
        <bgColor indexed="64"/>
      </patternFill>
    </fill>
    <fill>
      <patternFill patternType="solid">
        <fgColor rgb="FF00B050"/>
        <bgColor indexed="64"/>
      </patternFill>
    </fill>
    <fill>
      <patternFill patternType="solid">
        <fgColor rgb="FFFFFF66"/>
        <bgColor indexed="64"/>
      </patternFill>
    </fill>
    <fill>
      <patternFill patternType="solid">
        <fgColor rgb="FFFFC000"/>
        <bgColor indexed="64"/>
      </patternFill>
    </fill>
    <fill>
      <patternFill patternType="solid">
        <fgColor rgb="FFFF6600"/>
        <bgColor indexed="64"/>
      </patternFill>
    </fill>
    <fill>
      <patternFill patternType="solid">
        <fgColor rgb="FF7030A0"/>
        <bgColor indexed="64"/>
      </patternFill>
    </fill>
    <fill>
      <patternFill patternType="solid">
        <fgColor theme="7" tint="0.79998168889431442"/>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6" tint="0.39997558519241921"/>
        <bgColor indexed="64"/>
      </patternFill>
    </fill>
    <fill>
      <patternFill patternType="solid">
        <fgColor theme="6" tint="-0.249977111117893"/>
        <bgColor indexed="64"/>
      </patternFill>
    </fill>
    <fill>
      <patternFill patternType="solid">
        <fgColor theme="0" tint="-0.14999847407452621"/>
        <bgColor indexed="64"/>
      </patternFill>
    </fill>
    <fill>
      <patternFill patternType="solid">
        <fgColor theme="9" tint="0.59999389629810485"/>
        <bgColor indexed="64"/>
      </patternFill>
    </fill>
    <fill>
      <patternFill patternType="solid">
        <fgColor theme="3" tint="0.79998168889431442"/>
        <bgColor indexed="64"/>
      </patternFill>
    </fill>
    <fill>
      <patternFill patternType="solid">
        <fgColor theme="4" tint="0.79998168889431442"/>
        <bgColor indexed="64"/>
      </patternFill>
    </fill>
    <fill>
      <patternFill patternType="solid">
        <fgColor rgb="FFC00000"/>
        <bgColor indexed="64"/>
      </patternFill>
    </fill>
    <fill>
      <patternFill patternType="solid">
        <fgColor theme="7" tint="0.59999389629810485"/>
        <bgColor indexed="64"/>
      </patternFill>
    </fill>
    <fill>
      <patternFill patternType="solid">
        <fgColor theme="9" tint="-0.249977111117893"/>
        <bgColor indexed="64"/>
      </patternFill>
    </fill>
    <fill>
      <patternFill patternType="solid">
        <fgColor theme="9" tint="0.79998168889431442"/>
        <bgColor indexed="64"/>
      </patternFill>
    </fill>
    <fill>
      <patternFill patternType="solid">
        <fgColor theme="5" tint="0.59996337778862885"/>
        <bgColor indexed="64"/>
      </patternFill>
    </fill>
    <fill>
      <patternFill patternType="solid">
        <fgColor rgb="FFFFFFFF"/>
        <bgColor indexed="64"/>
      </patternFill>
    </fill>
    <fill>
      <patternFill patternType="solid">
        <fgColor rgb="FFD14BB4"/>
        <bgColor indexed="64"/>
      </patternFill>
    </fill>
    <fill>
      <patternFill patternType="solid">
        <fgColor theme="9" tint="0.39997558519241921"/>
        <bgColor indexed="64"/>
      </patternFill>
    </fill>
  </fills>
  <borders count="106">
    <border>
      <left/>
      <right/>
      <top/>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top/>
      <bottom style="thick">
        <color theme="3"/>
      </bottom>
      <diagonal/>
    </border>
    <border>
      <left/>
      <right style="thick">
        <color theme="3"/>
      </right>
      <top/>
      <bottom/>
      <diagonal/>
    </border>
    <border>
      <left style="thick">
        <color theme="3"/>
      </left>
      <right style="thick">
        <color theme="3"/>
      </right>
      <top style="thick">
        <color theme="3"/>
      </top>
      <bottom style="thick">
        <color theme="3"/>
      </bottom>
      <diagonal/>
    </border>
    <border>
      <left style="thick">
        <color theme="3"/>
      </left>
      <right style="thick">
        <color theme="3"/>
      </right>
      <top style="thick">
        <color theme="3"/>
      </top>
      <bottom/>
      <diagonal/>
    </border>
    <border>
      <left style="thick">
        <color theme="3"/>
      </left>
      <right style="thick">
        <color theme="3"/>
      </right>
      <top/>
      <bottom style="thick">
        <color theme="3"/>
      </bottom>
      <diagonal/>
    </border>
    <border>
      <left style="thick">
        <color theme="3"/>
      </left>
      <right/>
      <top style="thick">
        <color theme="3"/>
      </top>
      <bottom/>
      <diagonal/>
    </border>
    <border>
      <left/>
      <right/>
      <top style="thick">
        <color theme="3"/>
      </top>
      <bottom/>
      <diagonal/>
    </border>
    <border>
      <left/>
      <right style="thick">
        <color theme="3"/>
      </right>
      <top style="thick">
        <color theme="3"/>
      </top>
      <bottom/>
      <diagonal/>
    </border>
    <border>
      <left style="thick">
        <color theme="3"/>
      </left>
      <right/>
      <top/>
      <bottom/>
      <diagonal/>
    </border>
    <border>
      <left style="thick">
        <color theme="3"/>
      </left>
      <right/>
      <top/>
      <bottom style="thick">
        <color theme="3"/>
      </bottom>
      <diagonal/>
    </border>
    <border>
      <left/>
      <right style="thick">
        <color theme="3"/>
      </right>
      <top/>
      <bottom style="thick">
        <color theme="3"/>
      </bottom>
      <diagonal/>
    </border>
    <border>
      <left style="thin">
        <color indexed="64"/>
      </left>
      <right style="thin">
        <color indexed="64"/>
      </right>
      <top style="thin">
        <color indexed="64"/>
      </top>
      <bottom/>
      <diagonal/>
    </border>
    <border>
      <left/>
      <right/>
      <top/>
      <bottom style="thick">
        <color theme="4" tint="-0.249977111117893"/>
      </bottom>
      <diagonal/>
    </border>
    <border>
      <left/>
      <right style="thick">
        <color theme="4" tint="-0.249977111117893"/>
      </right>
      <top/>
      <bottom/>
      <diagonal/>
    </border>
    <border>
      <left/>
      <right/>
      <top style="thick">
        <color theme="4" tint="-0.249977111117893"/>
      </top>
      <bottom/>
      <diagonal/>
    </border>
    <border>
      <left/>
      <right style="thick">
        <color theme="4" tint="-0.249977111117893"/>
      </right>
      <top/>
      <bottom style="thick">
        <color theme="4" tint="-0.249977111117893"/>
      </bottom>
      <diagonal/>
    </border>
    <border>
      <left/>
      <right style="thick">
        <color theme="4" tint="-0.249977111117893"/>
      </right>
      <top style="thick">
        <color theme="3"/>
      </top>
      <bottom/>
      <diagonal/>
    </border>
    <border>
      <left/>
      <right style="thick">
        <color theme="4" tint="-0.249977111117893"/>
      </right>
      <top/>
      <bottom style="thick">
        <color theme="3"/>
      </bottom>
      <diagonal/>
    </border>
    <border>
      <left style="thin">
        <color indexed="64"/>
      </left>
      <right/>
      <top style="thin">
        <color indexed="64"/>
      </top>
      <bottom style="thin">
        <color indexed="6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ck">
        <color theme="4" tint="-0.249977111117893"/>
      </left>
      <right/>
      <top/>
      <bottom style="thick">
        <color theme="4" tint="-0.249977111117893"/>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style="thin">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top style="thin">
        <color indexed="64"/>
      </top>
      <bottom style="thin">
        <color indexed="64"/>
      </bottom>
      <diagonal/>
    </border>
    <border>
      <left/>
      <right style="thin">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right/>
      <top style="thick">
        <color theme="4" tint="-0.249977111117893"/>
      </top>
      <bottom style="thin">
        <color indexed="64"/>
      </bottom>
      <diagonal/>
    </border>
    <border>
      <left/>
      <right style="thin">
        <color indexed="64"/>
      </right>
      <top style="thick">
        <color theme="4" tint="-0.249977111117893"/>
      </top>
      <bottom style="thin">
        <color indexed="64"/>
      </bottom>
      <diagonal/>
    </border>
    <border>
      <left/>
      <right style="thick">
        <color theme="3"/>
      </right>
      <top style="thick">
        <color theme="4" tint="-0.249977111117893"/>
      </top>
      <bottom/>
      <diagonal/>
    </border>
    <border>
      <left/>
      <right style="thick">
        <color theme="3"/>
      </right>
      <top/>
      <bottom style="thick">
        <color theme="4" tint="-0.249977111117893"/>
      </bottom>
      <diagonal/>
    </border>
    <border>
      <left/>
      <right style="medium">
        <color indexed="64"/>
      </right>
      <top style="medium">
        <color indexed="64"/>
      </top>
      <bottom style="thin">
        <color indexed="64"/>
      </bottom>
      <diagonal/>
    </border>
    <border>
      <left style="medium">
        <color theme="4" tint="-0.249977111117893"/>
      </left>
      <right/>
      <top style="medium">
        <color theme="4" tint="-0.249977111117893"/>
      </top>
      <bottom style="medium">
        <color theme="4" tint="-0.249977111117893"/>
      </bottom>
      <diagonal/>
    </border>
    <border>
      <left/>
      <right style="medium">
        <color theme="4" tint="-0.249977111117893"/>
      </right>
      <top style="medium">
        <color theme="4" tint="-0.249977111117893"/>
      </top>
      <bottom style="medium">
        <color theme="4" tint="-0.249977111117893"/>
      </bottom>
      <diagonal/>
    </border>
    <border>
      <left style="medium">
        <color theme="3"/>
      </left>
      <right/>
      <top style="medium">
        <color theme="3"/>
      </top>
      <bottom/>
      <diagonal/>
    </border>
    <border>
      <left/>
      <right/>
      <top style="medium">
        <color theme="3"/>
      </top>
      <bottom/>
      <diagonal/>
    </border>
    <border>
      <left/>
      <right style="medium">
        <color theme="3"/>
      </right>
      <top style="medium">
        <color theme="3"/>
      </top>
      <bottom/>
      <diagonal/>
    </border>
    <border>
      <left style="medium">
        <color theme="3"/>
      </left>
      <right/>
      <top/>
      <bottom style="medium">
        <color theme="3"/>
      </bottom>
      <diagonal/>
    </border>
    <border>
      <left/>
      <right/>
      <top/>
      <bottom style="medium">
        <color theme="3"/>
      </bottom>
      <diagonal/>
    </border>
    <border>
      <left/>
      <right style="medium">
        <color theme="3"/>
      </right>
      <top/>
      <bottom style="medium">
        <color theme="3"/>
      </bottom>
      <diagonal/>
    </border>
    <border>
      <left/>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double">
        <color theme="4" tint="-0.24994659260841701"/>
      </left>
      <right style="double">
        <color theme="4" tint="-0.24994659260841701"/>
      </right>
      <top style="double">
        <color theme="4" tint="-0.24994659260841701"/>
      </top>
      <bottom style="double">
        <color theme="4" tint="-0.24994659260841701"/>
      </bottom>
      <diagonal/>
    </border>
    <border>
      <left style="thick">
        <color theme="3"/>
      </left>
      <right/>
      <top style="thin">
        <color indexed="64"/>
      </top>
      <bottom style="thin">
        <color indexed="64"/>
      </bottom>
      <diagonal/>
    </border>
    <border>
      <left style="thin">
        <color rgb="FF7030A0"/>
      </left>
      <right style="thin">
        <color rgb="FF7030A0"/>
      </right>
      <top style="thin">
        <color rgb="FF7030A0"/>
      </top>
      <bottom style="thin">
        <color rgb="FF7030A0"/>
      </bottom>
      <diagonal/>
    </border>
    <border>
      <left style="thin">
        <color theme="8" tint="-0.24994659260841701"/>
      </left>
      <right style="thin">
        <color theme="8" tint="-0.24994659260841701"/>
      </right>
      <top style="thin">
        <color theme="8" tint="-0.24994659260841701"/>
      </top>
      <bottom style="thin">
        <color theme="8" tint="-0.24994659260841701"/>
      </bottom>
      <diagonal/>
    </border>
    <border>
      <left style="thin">
        <color rgb="FF7030A0"/>
      </left>
      <right/>
      <top style="thin">
        <color rgb="FF7030A0"/>
      </top>
      <bottom style="thin">
        <color rgb="FF7030A0"/>
      </bottom>
      <diagonal/>
    </border>
    <border>
      <left style="thin">
        <color theme="6" tint="-0.24994659260841701"/>
      </left>
      <right style="thin">
        <color theme="6" tint="-0.24994659260841701"/>
      </right>
      <top style="thin">
        <color theme="6" tint="-0.24994659260841701"/>
      </top>
      <bottom style="thin">
        <color theme="6" tint="-0.24994659260841701"/>
      </bottom>
      <diagonal/>
    </border>
    <border>
      <left style="thin">
        <color theme="8" tint="-0.24994659260841701"/>
      </left>
      <right/>
      <top style="thin">
        <color theme="8" tint="-0.24994659260841701"/>
      </top>
      <bottom style="thin">
        <color theme="8" tint="-0.24994659260841701"/>
      </bottom>
      <diagonal/>
    </border>
    <border>
      <left style="thin">
        <color theme="8" tint="-0.24994659260841701"/>
      </left>
      <right style="thin">
        <color theme="8" tint="-0.24994659260841701"/>
      </right>
      <top/>
      <bottom style="thin">
        <color theme="8" tint="-0.24994659260841701"/>
      </bottom>
      <diagonal/>
    </border>
    <border>
      <left style="thick">
        <color rgb="FF00B050"/>
      </left>
      <right/>
      <top style="thick">
        <color rgb="FF00B050"/>
      </top>
      <bottom/>
      <diagonal/>
    </border>
    <border>
      <left/>
      <right/>
      <top style="thick">
        <color rgb="FF00B050"/>
      </top>
      <bottom/>
      <diagonal/>
    </border>
    <border>
      <left/>
      <right style="thick">
        <color rgb="FF00B050"/>
      </right>
      <top style="thick">
        <color rgb="FF00B050"/>
      </top>
      <bottom/>
      <diagonal/>
    </border>
    <border>
      <left style="thick">
        <color rgb="FF00B050"/>
      </left>
      <right/>
      <top/>
      <bottom/>
      <diagonal/>
    </border>
    <border>
      <left/>
      <right style="thick">
        <color rgb="FF00B050"/>
      </right>
      <top/>
      <bottom/>
      <diagonal/>
    </border>
    <border>
      <left style="thick">
        <color rgb="FF00B050"/>
      </left>
      <right/>
      <top/>
      <bottom style="thick">
        <color rgb="FF00B050"/>
      </bottom>
      <diagonal/>
    </border>
    <border>
      <left/>
      <right/>
      <top/>
      <bottom style="thick">
        <color rgb="FF00B050"/>
      </bottom>
      <diagonal/>
    </border>
    <border>
      <left/>
      <right style="thick">
        <color rgb="FF00B050"/>
      </right>
      <top/>
      <bottom style="thick">
        <color rgb="FF00B050"/>
      </bottom>
      <diagonal/>
    </border>
    <border>
      <left style="thin">
        <color indexed="64"/>
      </left>
      <right style="thin">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bottom style="thick">
        <color indexed="49"/>
      </bottom>
      <diagonal/>
    </border>
  </borders>
  <cellStyleXfs count="214">
    <xf numFmtId="0" fontId="0" fillId="0" borderId="0"/>
    <xf numFmtId="9" fontId="1" fillId="0" borderId="0" applyFont="0" applyFill="0" applyBorder="0" applyAlignment="0" applyProtection="0"/>
    <xf numFmtId="0" fontId="2" fillId="2" borderId="0" applyNumberFormat="0" applyBorder="0" applyAlignment="0" applyProtection="0"/>
    <xf numFmtId="0" fontId="3" fillId="0" borderId="1" applyNumberFormat="0" applyFill="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6" borderId="0" applyNumberFormat="0" applyBorder="0" applyAlignment="0" applyProtection="0"/>
    <xf numFmtId="0" fontId="4" fillId="9" borderId="0" applyNumberFormat="0" applyBorder="0" applyAlignment="0" applyProtection="0"/>
    <xf numFmtId="0" fontId="4" fillId="12" borderId="0" applyNumberFormat="0" applyBorder="0" applyAlignment="0" applyProtection="0"/>
    <xf numFmtId="0" fontId="6" fillId="13"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7" fillId="5" borderId="0" applyNumberFormat="0" applyBorder="0" applyAlignment="0" applyProtection="0"/>
    <xf numFmtId="0" fontId="8" fillId="17" borderId="2" applyNumberFormat="0" applyAlignment="0" applyProtection="0"/>
    <xf numFmtId="0" fontId="9" fillId="18" borderId="3" applyNumberFormat="0" applyAlignment="0" applyProtection="0"/>
    <xf numFmtId="0" fontId="10" fillId="0" borderId="4" applyNumberFormat="0" applyFill="0" applyAlignment="0" applyProtection="0"/>
    <xf numFmtId="0" fontId="11" fillId="0" borderId="0" applyNumberFormat="0" applyFill="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22" borderId="0" applyNumberFormat="0" applyBorder="0" applyAlignment="0" applyProtection="0"/>
    <xf numFmtId="0" fontId="12" fillId="8" borderId="2" applyNumberFormat="0" applyAlignment="0" applyProtection="0"/>
    <xf numFmtId="170" fontId="22" fillId="0" borderId="0" applyFont="0" applyFill="0" applyBorder="0" applyAlignment="0" applyProtection="0"/>
    <xf numFmtId="0" fontId="13" fillId="4" borderId="0" applyNumberFormat="0" applyBorder="0" applyAlignment="0" applyProtection="0"/>
    <xf numFmtId="165" fontId="4" fillId="0" borderId="0" applyFont="0" applyFill="0" applyBorder="0" applyAlignment="0" applyProtection="0"/>
    <xf numFmtId="167" fontId="22" fillId="0" borderId="0" applyFont="0" applyFill="0" applyBorder="0" applyAlignment="0" applyProtection="0"/>
    <xf numFmtId="165" fontId="4" fillId="0" borderId="0" applyFont="0" applyFill="0" applyBorder="0" applyAlignment="0" applyProtection="0"/>
    <xf numFmtId="0" fontId="14" fillId="2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22"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22" fillId="0" borderId="0"/>
    <xf numFmtId="0" fontId="1" fillId="0" borderId="0"/>
    <xf numFmtId="0" fontId="4" fillId="0" borderId="0"/>
    <xf numFmtId="0" fontId="22" fillId="24" borderId="5" applyNumberFormat="0" applyFont="0" applyAlignment="0" applyProtection="0"/>
    <xf numFmtId="9" fontId="4" fillId="0" borderId="0" applyFont="0" applyFill="0" applyBorder="0" applyAlignment="0" applyProtection="0"/>
    <xf numFmtId="9" fontId="22" fillId="0" borderId="0" applyFont="0" applyFill="0" applyBorder="0" applyAlignment="0" applyProtection="0"/>
    <xf numFmtId="0" fontId="15" fillId="17" borderId="6"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9" fillId="0" borderId="7" applyNumberFormat="0" applyFill="0" applyAlignment="0" applyProtection="0"/>
    <xf numFmtId="0" fontId="20" fillId="0" borderId="8" applyNumberFormat="0" applyFill="0" applyAlignment="0" applyProtection="0"/>
    <xf numFmtId="0" fontId="11" fillId="0" borderId="9" applyNumberFormat="0" applyFill="0" applyAlignment="0" applyProtection="0"/>
    <xf numFmtId="0" fontId="18" fillId="0" borderId="0" applyNumberFormat="0" applyFill="0" applyBorder="0" applyAlignment="0" applyProtection="0"/>
    <xf numFmtId="0" fontId="21" fillId="0" borderId="10" applyNumberFormat="0" applyFill="0" applyAlignment="0" applyProtection="0"/>
    <xf numFmtId="166" fontId="1" fillId="0" borderId="0" applyFon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6" fillId="0" borderId="34" applyNumberFormat="0" applyFill="0" applyAlignment="0" applyProtection="0"/>
    <xf numFmtId="0" fontId="37" fillId="0" borderId="35" applyNumberFormat="0" applyFill="0" applyAlignment="0" applyProtection="0"/>
    <xf numFmtId="0" fontId="37" fillId="0" borderId="0" applyNumberFormat="0" applyFill="0" applyBorder="0" applyAlignment="0" applyProtection="0"/>
    <xf numFmtId="0" fontId="38" fillId="32" borderId="0" applyNumberFormat="0" applyBorder="0" applyAlignment="0" applyProtection="0"/>
    <xf numFmtId="0" fontId="39" fillId="33" borderId="0" applyNumberFormat="0" applyBorder="0" applyAlignment="0" applyProtection="0"/>
    <xf numFmtId="0" fontId="40" fillId="34" borderId="36" applyNumberFormat="0" applyAlignment="0" applyProtection="0"/>
    <xf numFmtId="0" fontId="41" fillId="35" borderId="37" applyNumberFormat="0" applyAlignment="0" applyProtection="0"/>
    <xf numFmtId="0" fontId="42" fillId="35" borderId="36" applyNumberFormat="0" applyAlignment="0" applyProtection="0"/>
    <xf numFmtId="0" fontId="43" fillId="0" borderId="38" applyNumberFormat="0" applyFill="0" applyAlignment="0" applyProtection="0"/>
    <xf numFmtId="0" fontId="44" fillId="36" borderId="39" applyNumberFormat="0" applyAlignment="0" applyProtection="0"/>
    <xf numFmtId="0" fontId="45" fillId="0" borderId="0" applyNumberFormat="0" applyFill="0" applyBorder="0" applyAlignment="0" applyProtection="0"/>
    <xf numFmtId="0" fontId="1" fillId="37" borderId="40" applyNumberFormat="0" applyFont="0" applyAlignment="0" applyProtection="0"/>
    <xf numFmtId="0" fontId="46" fillId="0" borderId="0" applyNumberFormat="0" applyFill="0" applyBorder="0" applyAlignment="0" applyProtection="0"/>
    <xf numFmtId="0" fontId="47" fillId="38"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47" fillId="41" borderId="0" applyNumberFormat="0" applyBorder="0" applyAlignment="0" applyProtection="0"/>
    <xf numFmtId="0" fontId="47" fillId="42"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47" fillId="45" borderId="0" applyNumberFormat="0" applyBorder="0" applyAlignment="0" applyProtection="0"/>
    <xf numFmtId="0" fontId="47" fillId="46" borderId="0" applyNumberFormat="0" applyBorder="0" applyAlignment="0" applyProtection="0"/>
    <xf numFmtId="0" fontId="1" fillId="47" borderId="0" applyNumberFormat="0" applyBorder="0" applyAlignment="0" applyProtection="0"/>
    <xf numFmtId="0" fontId="1" fillId="48" borderId="0" applyNumberFormat="0" applyBorder="0" applyAlignment="0" applyProtection="0"/>
    <xf numFmtId="0" fontId="47" fillId="49" borderId="0" applyNumberFormat="0" applyBorder="0" applyAlignment="0" applyProtection="0"/>
    <xf numFmtId="0" fontId="47" fillId="50" borderId="0" applyNumberFormat="0" applyBorder="0" applyAlignment="0" applyProtection="0"/>
    <xf numFmtId="0" fontId="1" fillId="51" borderId="0" applyNumberFormat="0" applyBorder="0" applyAlignment="0" applyProtection="0"/>
    <xf numFmtId="0" fontId="1" fillId="52" borderId="0" applyNumberFormat="0" applyBorder="0" applyAlignment="0" applyProtection="0"/>
    <xf numFmtId="0" fontId="47" fillId="53" borderId="0" applyNumberFormat="0" applyBorder="0" applyAlignment="0" applyProtection="0"/>
    <xf numFmtId="0" fontId="47" fillId="54" borderId="0" applyNumberFormat="0" applyBorder="0" applyAlignment="0" applyProtection="0"/>
    <xf numFmtId="0" fontId="1" fillId="55" borderId="0" applyNumberFormat="0" applyBorder="0" applyAlignment="0" applyProtection="0"/>
    <xf numFmtId="0" fontId="1" fillId="56" borderId="0" applyNumberFormat="0" applyBorder="0" applyAlignment="0" applyProtection="0"/>
    <xf numFmtId="0" fontId="47" fillId="57" borderId="0" applyNumberFormat="0" applyBorder="0" applyAlignment="0" applyProtection="0"/>
    <xf numFmtId="0" fontId="47" fillId="58" borderId="0" applyNumberFormat="0" applyBorder="0" applyAlignment="0" applyProtection="0"/>
    <xf numFmtId="0" fontId="1" fillId="59" borderId="0" applyNumberFormat="0" applyBorder="0" applyAlignment="0" applyProtection="0"/>
    <xf numFmtId="0" fontId="1" fillId="60" borderId="0" applyNumberFormat="0" applyBorder="0" applyAlignment="0" applyProtection="0"/>
    <xf numFmtId="0" fontId="47" fillId="61" borderId="0" applyNumberFormat="0" applyBorder="0" applyAlignment="0" applyProtection="0"/>
    <xf numFmtId="43"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0" fontId="6" fillId="15" borderId="0" applyNumberFormat="0" applyBorder="0" applyAlignment="0" applyProtection="0"/>
    <xf numFmtId="0" fontId="13" fillId="4" borderId="0" applyNumberFormat="0" applyBorder="0" applyAlignment="0" applyProtection="0"/>
    <xf numFmtId="0" fontId="11" fillId="0" borderId="0" applyNumberFormat="0" applyFill="0" applyBorder="0" applyAlignment="0" applyProtection="0"/>
    <xf numFmtId="0" fontId="6" fillId="15" borderId="0" applyNumberFormat="0" applyBorder="0" applyAlignment="0" applyProtection="0"/>
    <xf numFmtId="43" fontId="4" fillId="0" borderId="0" applyFont="0" applyFill="0" applyBorder="0" applyAlignment="0" applyProtection="0"/>
    <xf numFmtId="0" fontId="4" fillId="9" borderId="0" applyNumberFormat="0" applyBorder="0" applyAlignment="0" applyProtection="0"/>
    <xf numFmtId="166" fontId="4" fillId="0" borderId="0" applyFont="0" applyFill="0" applyBorder="0" applyAlignment="0" applyProtection="0"/>
    <xf numFmtId="0" fontId="12" fillId="8" borderId="2" applyNumberFormat="0" applyAlignment="0" applyProtection="0"/>
    <xf numFmtId="0" fontId="4" fillId="3" borderId="0" applyNumberFormat="0" applyBorder="0" applyAlignment="0" applyProtection="0"/>
    <xf numFmtId="0" fontId="4" fillId="6" borderId="0" applyNumberFormat="0" applyBorder="0" applyAlignment="0" applyProtection="0"/>
    <xf numFmtId="0" fontId="10" fillId="0" borderId="4" applyNumberFormat="0" applyFill="0" applyAlignment="0" applyProtection="0"/>
    <xf numFmtId="0" fontId="19" fillId="0" borderId="7" applyNumberFormat="0" applyFill="0" applyAlignment="0" applyProtection="0"/>
    <xf numFmtId="0" fontId="6" fillId="13"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20" borderId="0" applyNumberFormat="0" applyBorder="0" applyAlignment="0" applyProtection="0"/>
    <xf numFmtId="0" fontId="8" fillId="17" borderId="2" applyNumberFormat="0" applyAlignment="0" applyProtection="0"/>
    <xf numFmtId="0" fontId="75" fillId="0" borderId="105" applyNumberFormat="0" applyFill="0" applyAlignment="0" applyProtection="0"/>
    <xf numFmtId="0" fontId="74" fillId="0" borderId="0" applyNumberFormat="0" applyFill="0" applyBorder="0" applyAlignment="0" applyProtection="0">
      <alignment vertical="top"/>
      <protection locked="0"/>
    </xf>
    <xf numFmtId="167" fontId="22" fillId="0" borderId="0" applyFont="0" applyFill="0" applyBorder="0" applyAlignment="0" applyProtection="0"/>
    <xf numFmtId="0" fontId="6" fillId="14" borderId="0" applyNumberFormat="0" applyBorder="0" applyAlignment="0" applyProtection="0"/>
    <xf numFmtId="0" fontId="4" fillId="9" borderId="0" applyNumberFormat="0" applyBorder="0" applyAlignment="0" applyProtection="0"/>
    <xf numFmtId="0" fontId="4" fillId="12" borderId="0" applyNumberFormat="0" applyBorder="0" applyAlignment="0" applyProtection="0"/>
    <xf numFmtId="0" fontId="17" fillId="0" borderId="0" applyNumberFormat="0" applyFill="0" applyBorder="0" applyAlignment="0" applyProtection="0"/>
    <xf numFmtId="0" fontId="11" fillId="0" borderId="9" applyNumberFormat="0" applyFill="0" applyAlignment="0" applyProtection="0"/>
    <xf numFmtId="0" fontId="9" fillId="18" borderId="3" applyNumberFormat="0" applyAlignment="0" applyProtection="0"/>
    <xf numFmtId="0" fontId="4" fillId="8" borderId="0" applyNumberFormat="0" applyBorder="0" applyAlignment="0" applyProtection="0"/>
    <xf numFmtId="0" fontId="6" fillId="21" borderId="0" applyNumberFormat="0" applyBorder="0" applyAlignment="0" applyProtection="0"/>
    <xf numFmtId="0" fontId="20" fillId="0" borderId="8" applyNumberFormat="0" applyFill="0" applyAlignment="0" applyProtection="0"/>
    <xf numFmtId="0" fontId="4" fillId="7" borderId="0" applyNumberFormat="0" applyBorder="0" applyAlignment="0" applyProtection="0"/>
    <xf numFmtId="0" fontId="6" fillId="22" borderId="0" applyNumberFormat="0" applyBorder="0" applyAlignment="0" applyProtection="0"/>
    <xf numFmtId="0" fontId="6" fillId="19" borderId="0" applyNumberFormat="0" applyBorder="0" applyAlignment="0" applyProtection="0"/>
    <xf numFmtId="0" fontId="7" fillId="5" borderId="0" applyNumberFormat="0" applyBorder="0" applyAlignment="0" applyProtection="0"/>
    <xf numFmtId="0" fontId="4" fillId="6" borderId="0" applyNumberFormat="0" applyBorder="0" applyAlignment="0" applyProtection="0"/>
    <xf numFmtId="0" fontId="34" fillId="0" borderId="0" applyNumberFormat="0" applyFill="0" applyBorder="0" applyAlignment="0" applyProtection="0"/>
    <xf numFmtId="0" fontId="4" fillId="10" borderId="0" applyNumberFormat="0" applyBorder="0" applyAlignment="0" applyProtection="0"/>
    <xf numFmtId="0" fontId="6" fillId="16"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6" fillId="14" borderId="0" applyNumberFormat="0" applyBorder="0" applyAlignment="0" applyProtection="0"/>
    <xf numFmtId="0" fontId="4" fillId="11" borderId="0" applyNumberFormat="0" applyBorder="0" applyAlignment="0" applyProtection="0"/>
    <xf numFmtId="0" fontId="4" fillId="0" borderId="0"/>
    <xf numFmtId="0" fontId="1" fillId="0" borderId="0"/>
    <xf numFmtId="0" fontId="4" fillId="0" borderId="0"/>
    <xf numFmtId="0" fontId="1" fillId="0" borderId="0"/>
    <xf numFmtId="0" fontId="4" fillId="0" borderId="0"/>
    <xf numFmtId="0" fontId="1" fillId="0" borderId="0"/>
    <xf numFmtId="0" fontId="4" fillId="0" borderId="0"/>
    <xf numFmtId="0" fontId="1" fillId="0" borderId="0"/>
    <xf numFmtId="0" fontId="4" fillId="0" borderId="0"/>
    <xf numFmtId="0" fontId="1" fillId="0" borderId="0"/>
    <xf numFmtId="0" fontId="4" fillId="0" borderId="0"/>
    <xf numFmtId="0" fontId="1" fillId="0" borderId="0"/>
    <xf numFmtId="0" fontId="4" fillId="0" borderId="0"/>
    <xf numFmtId="0" fontId="1" fillId="0" borderId="0"/>
    <xf numFmtId="0" fontId="4" fillId="0" borderId="0"/>
    <xf numFmtId="0" fontId="1" fillId="0" borderId="0"/>
    <xf numFmtId="0" fontId="4" fillId="0" borderId="0"/>
    <xf numFmtId="0" fontId="1" fillId="0" borderId="0"/>
    <xf numFmtId="0" fontId="4" fillId="0" borderId="0"/>
    <xf numFmtId="0" fontId="1" fillId="0" borderId="0"/>
    <xf numFmtId="0" fontId="22" fillId="0" borderId="0"/>
    <xf numFmtId="0" fontId="1" fillId="0" borderId="0"/>
    <xf numFmtId="0" fontId="22" fillId="0" borderId="0"/>
    <xf numFmtId="0" fontId="4" fillId="0" borderId="0"/>
    <xf numFmtId="0" fontId="1" fillId="0" borderId="0"/>
    <xf numFmtId="0" fontId="4" fillId="0" borderId="0"/>
    <xf numFmtId="0" fontId="1" fillId="0" borderId="0"/>
    <xf numFmtId="0" fontId="1" fillId="0" borderId="0"/>
    <xf numFmtId="0" fontId="22" fillId="0" borderId="0"/>
    <xf numFmtId="0" fontId="1" fillId="0" borderId="0"/>
    <xf numFmtId="0" fontId="4" fillId="0" borderId="0"/>
    <xf numFmtId="0" fontId="1" fillId="0" borderId="0"/>
    <xf numFmtId="0" fontId="4" fillId="0" borderId="0"/>
    <xf numFmtId="0" fontId="1" fillId="0" borderId="0"/>
    <xf numFmtId="0" fontId="4" fillId="0" borderId="0"/>
    <xf numFmtId="0" fontId="1" fillId="0" borderId="0"/>
    <xf numFmtId="0" fontId="4" fillId="0" borderId="0"/>
    <xf numFmtId="0" fontId="4" fillId="0" borderId="0"/>
    <xf numFmtId="0" fontId="1" fillId="0" borderId="0"/>
    <xf numFmtId="0" fontId="1" fillId="0" borderId="0"/>
    <xf numFmtId="0" fontId="4" fillId="0" borderId="0"/>
    <xf numFmtId="0" fontId="1" fillId="0" borderId="0"/>
    <xf numFmtId="0" fontId="1" fillId="37" borderId="40" applyNumberFormat="0" applyFont="0" applyAlignment="0" applyProtection="0"/>
    <xf numFmtId="0" fontId="4" fillId="24" borderId="5" applyNumberFormat="0" applyFont="0" applyAlignment="0" applyProtection="0"/>
    <xf numFmtId="0" fontId="15" fillId="17" borderId="6" applyNumberFormat="0" applyAlignment="0" applyProtection="0"/>
    <xf numFmtId="9" fontId="22" fillId="0" borderId="0" applyFont="0" applyFill="0" applyBorder="0" applyAlignment="0" applyProtection="0"/>
    <xf numFmtId="9" fontId="22"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0" fontId="18" fillId="0" borderId="0" applyNumberFormat="0" applyFill="0" applyBorder="0" applyAlignment="0" applyProtection="0"/>
    <xf numFmtId="0" fontId="35" fillId="0" borderId="0" applyNumberFormat="0" applyFill="0" applyBorder="0" applyAlignment="0" applyProtection="0"/>
    <xf numFmtId="0" fontId="16" fillId="0" borderId="0" applyNumberFormat="0" applyFill="0" applyBorder="0" applyAlignment="0" applyProtection="0"/>
    <xf numFmtId="166" fontId="1" fillId="0" borderId="0" applyFont="0" applyFill="0" applyBorder="0" applyAlignment="0" applyProtection="0"/>
    <xf numFmtId="43" fontId="1" fillId="0" borderId="0" applyFont="0" applyFill="0" applyBorder="0" applyAlignment="0" applyProtection="0"/>
  </cellStyleXfs>
  <cellXfs count="1218">
    <xf numFmtId="0" fontId="0" fillId="0" borderId="0" xfId="0"/>
    <xf numFmtId="0" fontId="0" fillId="0" borderId="0" xfId="0" applyAlignment="1">
      <alignment vertical="center"/>
    </xf>
    <xf numFmtId="0" fontId="5" fillId="0" borderId="11" xfId="0" applyFont="1" applyFill="1" applyBorder="1" applyAlignment="1">
      <alignment horizontal="justify" vertical="center" wrapText="1"/>
    </xf>
    <xf numFmtId="168" fontId="5" fillId="0" borderId="11" xfId="38" applyNumberFormat="1" applyFont="1" applyFill="1" applyBorder="1" applyAlignment="1">
      <alignment horizontal="center" vertical="center" wrapText="1"/>
    </xf>
    <xf numFmtId="15" fontId="5" fillId="0" borderId="11" xfId="0" applyNumberFormat="1" applyFont="1" applyFill="1" applyBorder="1" applyAlignment="1">
      <alignment horizontal="center" vertical="center"/>
    </xf>
    <xf numFmtId="0" fontId="5" fillId="0" borderId="11" xfId="64" applyFont="1" applyFill="1" applyBorder="1" applyAlignment="1">
      <alignment horizontal="justify" vertical="center"/>
    </xf>
    <xf numFmtId="15" fontId="5" fillId="0" borderId="11" xfId="64" applyNumberFormat="1" applyFont="1" applyFill="1" applyBorder="1" applyAlignment="1">
      <alignment horizontal="center" vertical="center"/>
    </xf>
    <xf numFmtId="169" fontId="5" fillId="0" borderId="11" xfId="0" applyNumberFormat="1" applyFont="1" applyFill="1" applyBorder="1" applyAlignment="1">
      <alignment horizontal="center" vertical="center"/>
    </xf>
    <xf numFmtId="168" fontId="5" fillId="0" borderId="11" xfId="0" applyNumberFormat="1" applyFont="1" applyFill="1" applyBorder="1" applyAlignment="1">
      <alignment vertical="center"/>
    </xf>
    <xf numFmtId="168" fontId="5" fillId="0" borderId="11" xfId="0" applyNumberFormat="1" applyFont="1" applyFill="1" applyBorder="1" applyAlignment="1">
      <alignment horizontal="center" vertical="center"/>
    </xf>
    <xf numFmtId="0" fontId="5" fillId="25" borderId="11" xfId="0" applyFont="1" applyFill="1" applyBorder="1" applyAlignment="1">
      <alignment horizontal="justify" vertical="center" wrapText="1"/>
    </xf>
    <xf numFmtId="15" fontId="5" fillId="25" borderId="11" xfId="64" applyNumberFormat="1" applyFont="1" applyFill="1" applyBorder="1" applyAlignment="1">
      <alignment horizontal="center" vertical="center"/>
    </xf>
    <xf numFmtId="168" fontId="5" fillId="25" borderId="11" xfId="38" applyNumberFormat="1" applyFont="1" applyFill="1" applyBorder="1" applyAlignment="1">
      <alignment horizontal="center" vertical="center" wrapText="1"/>
    </xf>
    <xf numFmtId="15" fontId="5" fillId="25" borderId="11" xfId="0" applyNumberFormat="1" applyFont="1" applyFill="1" applyBorder="1" applyAlignment="1">
      <alignment horizontal="center" vertical="center"/>
    </xf>
    <xf numFmtId="0" fontId="0" fillId="25" borderId="0" xfId="0" applyFill="1" applyAlignment="1">
      <alignment vertical="center"/>
    </xf>
    <xf numFmtId="0" fontId="5" fillId="25" borderId="0" xfId="0" applyFont="1" applyFill="1" applyAlignment="1">
      <alignment vertical="center"/>
    </xf>
    <xf numFmtId="0" fontId="0" fillId="0" borderId="0" xfId="0" applyFill="1"/>
    <xf numFmtId="0" fontId="0" fillId="0" borderId="0" xfId="0" pivotButton="1"/>
    <xf numFmtId="0" fontId="0" fillId="0" borderId="0" xfId="0" applyAlignment="1">
      <alignment horizontal="left"/>
    </xf>
    <xf numFmtId="0" fontId="0" fillId="0" borderId="0" xfId="0" applyAlignment="1">
      <alignment horizontal="left" indent="1"/>
    </xf>
    <xf numFmtId="0" fontId="26" fillId="25" borderId="11" xfId="0" applyFont="1" applyFill="1" applyBorder="1" applyAlignment="1">
      <alignment horizontal="left" vertical="center"/>
    </xf>
    <xf numFmtId="0" fontId="0" fillId="25" borderId="0" xfId="0" applyFill="1"/>
    <xf numFmtId="0" fontId="0" fillId="0" borderId="0" xfId="0" pivotButton="1" applyAlignment="1">
      <alignment horizontal="center" vertical="center" wrapText="1"/>
    </xf>
    <xf numFmtId="0" fontId="0" fillId="0" borderId="0" xfId="0" applyAlignment="1">
      <alignment horizontal="center" vertical="center" wrapText="1"/>
    </xf>
    <xf numFmtId="10" fontId="0" fillId="0" borderId="0" xfId="0" applyNumberFormat="1"/>
    <xf numFmtId="0" fontId="0" fillId="25" borderId="0" xfId="0" applyFill="1" applyBorder="1" applyAlignment="1">
      <alignment vertical="center"/>
    </xf>
    <xf numFmtId="15" fontId="26" fillId="25" borderId="11" xfId="0" applyNumberFormat="1" applyFont="1" applyFill="1" applyBorder="1" applyAlignment="1">
      <alignment vertical="center"/>
    </xf>
    <xf numFmtId="0" fontId="0" fillId="27" borderId="0" xfId="0" applyFill="1"/>
    <xf numFmtId="0" fontId="0" fillId="25" borderId="16" xfId="0" applyFill="1" applyBorder="1"/>
    <xf numFmtId="168" fontId="5" fillId="0" borderId="26" xfId="0" applyNumberFormat="1" applyFont="1" applyFill="1" applyBorder="1" applyAlignment="1">
      <alignment vertical="center"/>
    </xf>
    <xf numFmtId="15" fontId="5" fillId="0" borderId="26" xfId="64" applyNumberFormat="1" applyFont="1" applyFill="1" applyBorder="1" applyAlignment="1">
      <alignment horizontal="center" vertical="center"/>
    </xf>
    <xf numFmtId="0" fontId="0" fillId="25" borderId="27" xfId="0" applyFill="1" applyBorder="1" applyAlignment="1">
      <alignment vertical="center"/>
    </xf>
    <xf numFmtId="0" fontId="0" fillId="25" borderId="29" xfId="0" applyFill="1" applyBorder="1" applyAlignment="1">
      <alignment vertical="center"/>
    </xf>
    <xf numFmtId="0" fontId="5" fillId="28" borderId="11" xfId="0" applyFont="1" applyFill="1" applyBorder="1" applyAlignment="1">
      <alignment horizontal="center" vertical="center" wrapText="1"/>
    </xf>
    <xf numFmtId="3" fontId="5" fillId="28" borderId="11" xfId="0" applyNumberFormat="1" applyFont="1" applyFill="1" applyBorder="1" applyAlignment="1">
      <alignment horizontal="center" vertical="center" wrapText="1"/>
    </xf>
    <xf numFmtId="15" fontId="5" fillId="28" borderId="11" xfId="0" applyNumberFormat="1" applyFont="1" applyFill="1" applyBorder="1" applyAlignment="1">
      <alignment horizontal="center" vertical="center" wrapText="1"/>
    </xf>
    <xf numFmtId="0" fontId="32" fillId="25" borderId="0" xfId="0" applyFont="1" applyFill="1"/>
    <xf numFmtId="49" fontId="32" fillId="25" borderId="0" xfId="0" applyNumberFormat="1" applyFont="1" applyFill="1"/>
    <xf numFmtId="0" fontId="0" fillId="0" borderId="0" xfId="0" applyBorder="1"/>
    <xf numFmtId="0" fontId="0" fillId="28" borderId="0" xfId="0" applyFill="1" applyAlignment="1">
      <alignment vertical="center"/>
    </xf>
    <xf numFmtId="168" fontId="5" fillId="26" borderId="11" xfId="0" applyNumberFormat="1" applyFont="1" applyFill="1" applyBorder="1" applyAlignment="1">
      <alignment vertical="center"/>
    </xf>
    <xf numFmtId="0" fontId="5" fillId="0" borderId="0" xfId="0" applyFont="1" applyFill="1" applyAlignment="1">
      <alignment vertical="center"/>
    </xf>
    <xf numFmtId="172" fontId="26" fillId="0" borderId="11" xfId="1" applyNumberFormat="1" applyFont="1" applyBorder="1" applyAlignment="1">
      <alignment horizontal="center" vertical="center"/>
    </xf>
    <xf numFmtId="9" fontId="26" fillId="0" borderId="11" xfId="0" applyNumberFormat="1" applyFont="1" applyBorder="1" applyAlignment="1">
      <alignment horizontal="center" vertical="center"/>
    </xf>
    <xf numFmtId="0" fontId="26" fillId="0" borderId="11" xfId="0" applyNumberFormat="1" applyFont="1" applyBorder="1" applyAlignment="1">
      <alignment horizontal="center" vertical="center"/>
    </xf>
    <xf numFmtId="9" fontId="26" fillId="0" borderId="26" xfId="0" applyNumberFormat="1" applyFont="1" applyBorder="1" applyAlignment="1">
      <alignment horizontal="center" vertical="center"/>
    </xf>
    <xf numFmtId="15" fontId="5" fillId="27" borderId="11" xfId="0" applyNumberFormat="1" applyFont="1" applyFill="1" applyBorder="1" applyAlignment="1">
      <alignment horizontal="center" vertical="center" wrapText="1"/>
    </xf>
    <xf numFmtId="0" fontId="5" fillId="25" borderId="0" xfId="0" applyFont="1" applyFill="1" applyBorder="1" applyAlignment="1">
      <alignment horizontal="justify" vertical="center" wrapText="1"/>
    </xf>
    <xf numFmtId="0" fontId="5" fillId="0" borderId="0" xfId="0" applyFont="1" applyFill="1" applyBorder="1" applyAlignment="1">
      <alignment horizontal="justify" vertical="center" wrapText="1"/>
    </xf>
    <xf numFmtId="0" fontId="5" fillId="25" borderId="0" xfId="64" applyFont="1" applyFill="1" applyBorder="1" applyAlignment="1">
      <alignment horizontal="justify" vertical="center"/>
    </xf>
    <xf numFmtId="0" fontId="5" fillId="0" borderId="0" xfId="64" applyFont="1" applyFill="1" applyBorder="1" applyAlignment="1">
      <alignment horizontal="justify" vertical="center"/>
    </xf>
    <xf numFmtId="0" fontId="5" fillId="0" borderId="0" xfId="0" applyFont="1" applyFill="1" applyBorder="1" applyAlignment="1">
      <alignment vertical="center"/>
    </xf>
    <xf numFmtId="0" fontId="0" fillId="0" borderId="11" xfId="0" applyBorder="1"/>
    <xf numFmtId="0" fontId="0" fillId="62" borderId="11" xfId="0" applyFill="1" applyBorder="1"/>
    <xf numFmtId="15" fontId="0" fillId="0" borderId="0" xfId="0" applyNumberFormat="1" applyFill="1"/>
    <xf numFmtId="0" fontId="0" fillId="0" borderId="0" xfId="0" applyFill="1" applyAlignment="1">
      <alignment horizontal="center"/>
    </xf>
    <xf numFmtId="0" fontId="5" fillId="63" borderId="11" xfId="0" applyFont="1" applyFill="1" applyBorder="1" applyAlignment="1">
      <alignment horizontal="justify" vertical="center" wrapText="1"/>
    </xf>
    <xf numFmtId="0" fontId="0" fillId="0" borderId="0" xfId="0"/>
    <xf numFmtId="0" fontId="0" fillId="26" borderId="0" xfId="0" applyFill="1"/>
    <xf numFmtId="0" fontId="0" fillId="25" borderId="0" xfId="0" applyFill="1"/>
    <xf numFmtId="15" fontId="5" fillId="27" borderId="41" xfId="0" applyNumberFormat="1" applyFont="1" applyFill="1" applyBorder="1" applyAlignment="1">
      <alignment horizontal="center" vertical="center" wrapText="1"/>
    </xf>
    <xf numFmtId="171" fontId="5" fillId="0" borderId="11" xfId="76" applyNumberFormat="1" applyFont="1" applyFill="1" applyBorder="1" applyAlignment="1">
      <alignment horizontal="center" vertical="center"/>
    </xf>
    <xf numFmtId="171" fontId="5" fillId="25" borderId="11" xfId="76" applyNumberFormat="1" applyFont="1" applyFill="1" applyBorder="1" applyAlignment="1">
      <alignment horizontal="center" vertical="center"/>
    </xf>
    <xf numFmtId="169" fontId="0" fillId="0" borderId="0" xfId="0" applyNumberFormat="1"/>
    <xf numFmtId="15" fontId="5" fillId="0" borderId="33" xfId="64" applyNumberFormat="1" applyFont="1" applyFill="1" applyBorder="1" applyAlignment="1">
      <alignment horizontal="center" vertical="center"/>
    </xf>
    <xf numFmtId="15" fontId="5" fillId="25" borderId="33" xfId="0" applyNumberFormat="1" applyFont="1" applyFill="1" applyBorder="1" applyAlignment="1">
      <alignment horizontal="center" vertical="center"/>
    </xf>
    <xf numFmtId="15" fontId="5" fillId="0" borderId="33" xfId="0" applyNumberFormat="1" applyFont="1" applyFill="1" applyBorder="1" applyAlignment="1">
      <alignment horizontal="center" vertical="center"/>
    </xf>
    <xf numFmtId="15" fontId="5" fillId="25" borderId="33" xfId="64" applyNumberFormat="1" applyFont="1" applyFill="1" applyBorder="1" applyAlignment="1">
      <alignment horizontal="center" vertical="center"/>
    </xf>
    <xf numFmtId="15" fontId="5" fillId="0" borderId="44" xfId="64" applyNumberFormat="1" applyFont="1" applyFill="1" applyBorder="1" applyAlignment="1">
      <alignment horizontal="center" vertical="center"/>
    </xf>
    <xf numFmtId="0" fontId="0" fillId="25" borderId="14" xfId="0" applyFill="1" applyBorder="1" applyAlignment="1">
      <alignment vertical="center"/>
    </xf>
    <xf numFmtId="14" fontId="0" fillId="25" borderId="45" xfId="0" applyNumberFormat="1" applyFill="1" applyBorder="1" applyAlignment="1">
      <alignment vertical="center"/>
    </xf>
    <xf numFmtId="169" fontId="0" fillId="25" borderId="0" xfId="0" applyNumberFormat="1" applyFill="1"/>
    <xf numFmtId="15" fontId="5" fillId="27" borderId="49" xfId="0" applyNumberFormat="1" applyFont="1" applyFill="1" applyBorder="1" applyAlignment="1">
      <alignment horizontal="center" vertical="center" wrapText="1"/>
    </xf>
    <xf numFmtId="15" fontId="5" fillId="27" borderId="42" xfId="0" applyNumberFormat="1" applyFont="1" applyFill="1" applyBorder="1" applyAlignment="1">
      <alignment horizontal="center" vertical="center" wrapText="1"/>
    </xf>
    <xf numFmtId="15" fontId="5" fillId="27" borderId="33" xfId="0" applyNumberFormat="1" applyFont="1" applyFill="1" applyBorder="1" applyAlignment="1">
      <alignment horizontal="center" vertical="center" wrapText="1"/>
    </xf>
    <xf numFmtId="0" fontId="50" fillId="25" borderId="0" xfId="0" applyFont="1" applyFill="1" applyBorder="1" applyAlignment="1">
      <alignment horizontal="center" vertical="center"/>
    </xf>
    <xf numFmtId="0" fontId="0" fillId="65" borderId="11" xfId="0" applyFill="1" applyBorder="1"/>
    <xf numFmtId="15" fontId="5" fillId="67" borderId="33" xfId="0" applyNumberFormat="1" applyFont="1" applyFill="1" applyBorder="1" applyAlignment="1">
      <alignment horizontal="center" vertical="center"/>
    </xf>
    <xf numFmtId="173" fontId="5" fillId="27" borderId="11" xfId="116" applyNumberFormat="1" applyFont="1" applyFill="1" applyBorder="1" applyAlignment="1">
      <alignment horizontal="center" vertical="center" wrapText="1"/>
    </xf>
    <xf numFmtId="0" fontId="0" fillId="25" borderId="0" xfId="0" applyFill="1" applyBorder="1" applyAlignment="1">
      <alignment horizontal="center" vertical="center"/>
    </xf>
    <xf numFmtId="9" fontId="25" fillId="25" borderId="0" xfId="1" applyFont="1" applyFill="1" applyAlignment="1">
      <alignment horizontal="center" vertical="center"/>
    </xf>
    <xf numFmtId="0" fontId="0" fillId="25" borderId="27" xfId="0" applyFill="1" applyBorder="1" applyAlignment="1">
      <alignment horizontal="center" vertical="center"/>
    </xf>
    <xf numFmtId="0" fontId="0" fillId="25" borderId="65" xfId="0" applyFill="1" applyBorder="1" applyAlignment="1">
      <alignment vertical="center"/>
    </xf>
    <xf numFmtId="0" fontId="0" fillId="25" borderId="16" xfId="0" applyFill="1" applyBorder="1" applyAlignment="1">
      <alignment vertical="center"/>
    </xf>
    <xf numFmtId="0" fontId="0" fillId="25" borderId="66" xfId="0" applyFill="1" applyBorder="1" applyAlignment="1">
      <alignment vertical="center"/>
    </xf>
    <xf numFmtId="0" fontId="0" fillId="25" borderId="0" xfId="0" applyFill="1" applyAlignment="1">
      <alignment horizontal="center" vertical="center"/>
    </xf>
    <xf numFmtId="166" fontId="26" fillId="29" borderId="48" xfId="76" applyFont="1" applyFill="1" applyBorder="1" applyAlignment="1">
      <alignment vertical="center"/>
    </xf>
    <xf numFmtId="169" fontId="26" fillId="29" borderId="60" xfId="0" applyNumberFormat="1" applyFont="1" applyFill="1" applyBorder="1" applyAlignment="1">
      <alignment horizontal="center" vertical="center"/>
    </xf>
    <xf numFmtId="169" fontId="26" fillId="29" borderId="46" xfId="0" applyNumberFormat="1" applyFont="1" applyFill="1" applyBorder="1" applyAlignment="1">
      <alignment horizontal="center" vertical="center"/>
    </xf>
    <xf numFmtId="169" fontId="26" fillId="29" borderId="47" xfId="0" applyNumberFormat="1" applyFont="1" applyFill="1" applyBorder="1" applyAlignment="1">
      <alignment horizontal="center" vertical="center"/>
    </xf>
    <xf numFmtId="174" fontId="26" fillId="29" borderId="51" xfId="0" applyNumberFormat="1" applyFont="1" applyFill="1" applyBorder="1" applyAlignment="1">
      <alignment horizontal="right" vertical="center"/>
    </xf>
    <xf numFmtId="174" fontId="5" fillId="29" borderId="51" xfId="0" applyNumberFormat="1" applyFont="1" applyFill="1" applyBorder="1" applyAlignment="1">
      <alignment horizontal="right" vertical="center"/>
    </xf>
    <xf numFmtId="15" fontId="5" fillId="64" borderId="17" xfId="0" applyNumberFormat="1" applyFont="1" applyFill="1" applyBorder="1" applyAlignment="1">
      <alignment horizontal="center" vertical="center" wrapText="1"/>
    </xf>
    <xf numFmtId="171" fontId="26" fillId="0" borderId="11" xfId="76" applyNumberFormat="1" applyFont="1" applyBorder="1" applyAlignment="1">
      <alignment vertical="center"/>
    </xf>
    <xf numFmtId="172" fontId="26" fillId="0" borderId="11" xfId="1" applyNumberFormat="1" applyFont="1" applyFill="1" applyBorder="1" applyAlignment="1">
      <alignment horizontal="center" vertical="center"/>
    </xf>
    <xf numFmtId="9" fontId="26" fillId="0" borderId="11" xfId="0" applyNumberFormat="1" applyFont="1" applyFill="1" applyBorder="1" applyAlignment="1">
      <alignment horizontal="center" vertical="center"/>
    </xf>
    <xf numFmtId="0" fontId="26" fillId="0" borderId="11" xfId="0" applyNumberFormat="1" applyFont="1" applyFill="1" applyBorder="1" applyAlignment="1">
      <alignment horizontal="center" vertical="center"/>
    </xf>
    <xf numFmtId="0" fontId="0" fillId="0" borderId="11" xfId="0" applyFill="1" applyBorder="1"/>
    <xf numFmtId="171" fontId="26" fillId="0" borderId="11" xfId="76" applyNumberFormat="1" applyFont="1" applyFill="1" applyBorder="1" applyAlignment="1">
      <alignment vertical="center"/>
    </xf>
    <xf numFmtId="0" fontId="3" fillId="25" borderId="45" xfId="0" applyFont="1" applyFill="1" applyBorder="1" applyAlignment="1">
      <alignment vertical="center"/>
    </xf>
    <xf numFmtId="0" fontId="0" fillId="25" borderId="68" xfId="0" applyFill="1" applyBorder="1" applyAlignment="1">
      <alignment vertical="center"/>
    </xf>
    <xf numFmtId="172" fontId="26" fillId="0" borderId="33" xfId="1" applyNumberFormat="1" applyFont="1" applyBorder="1" applyAlignment="1">
      <alignment horizontal="center" vertical="center"/>
    </xf>
    <xf numFmtId="9" fontId="26" fillId="0" borderId="43" xfId="0" applyNumberFormat="1" applyFont="1" applyBorder="1" applyAlignment="1">
      <alignment horizontal="center" vertical="center"/>
    </xf>
    <xf numFmtId="9" fontId="26" fillId="0" borderId="58" xfId="0" applyNumberFormat="1" applyFont="1" applyBorder="1" applyAlignment="1">
      <alignment horizontal="center" vertical="center"/>
    </xf>
    <xf numFmtId="0" fontId="0" fillId="25" borderId="70" xfId="0" applyFill="1" applyBorder="1"/>
    <xf numFmtId="0" fontId="48" fillId="25" borderId="71" xfId="77" applyFont="1" applyFill="1" applyBorder="1"/>
    <xf numFmtId="0" fontId="0" fillId="25" borderId="73" xfId="0" applyFill="1" applyBorder="1"/>
    <xf numFmtId="0" fontId="48" fillId="25" borderId="74" xfId="77" applyFont="1" applyFill="1" applyBorder="1"/>
    <xf numFmtId="0" fontId="26" fillId="0" borderId="0" xfId="0" applyFont="1" applyAlignment="1">
      <alignment horizontal="center" vertical="center" wrapText="1"/>
    </xf>
    <xf numFmtId="9" fontId="25" fillId="25" borderId="0" xfId="1" applyFont="1" applyFill="1" applyAlignment="1">
      <alignment vertical="center"/>
    </xf>
    <xf numFmtId="2" fontId="25" fillId="25" borderId="0" xfId="1" applyNumberFormat="1" applyFont="1" applyFill="1" applyAlignment="1">
      <alignment horizontal="center" vertical="center"/>
    </xf>
    <xf numFmtId="0" fontId="26" fillId="0" borderId="0" xfId="0" applyFont="1"/>
    <xf numFmtId="9" fontId="50" fillId="25" borderId="0" xfId="1" applyFont="1" applyFill="1" applyAlignment="1">
      <alignment vertical="center"/>
    </xf>
    <xf numFmtId="9" fontId="26" fillId="25" borderId="17" xfId="1" applyFont="1" applyFill="1" applyBorder="1" applyAlignment="1">
      <alignment horizontal="right" vertical="center"/>
    </xf>
    <xf numFmtId="1" fontId="26" fillId="25" borderId="17" xfId="1" applyNumberFormat="1" applyFont="1" applyFill="1" applyBorder="1" applyAlignment="1">
      <alignment vertical="center"/>
    </xf>
    <xf numFmtId="0" fontId="0" fillId="25" borderId="0" xfId="0" applyFill="1" applyAlignment="1">
      <alignment wrapText="1"/>
    </xf>
    <xf numFmtId="174" fontId="0" fillId="25" borderId="0" xfId="0" applyNumberFormat="1" applyFill="1"/>
    <xf numFmtId="0" fontId="26" fillId="25" borderId="17" xfId="0" applyFont="1" applyFill="1" applyBorder="1" applyAlignment="1">
      <alignment horizontal="right"/>
    </xf>
    <xf numFmtId="1" fontId="26" fillId="25" borderId="17" xfId="0" applyNumberFormat="1" applyFont="1" applyFill="1" applyBorder="1"/>
    <xf numFmtId="1" fontId="26" fillId="25" borderId="17" xfId="0" applyNumberFormat="1" applyFont="1" applyFill="1" applyBorder="1" applyAlignment="1">
      <alignment horizontal="center"/>
    </xf>
    <xf numFmtId="1" fontId="26" fillId="25" borderId="17" xfId="1" applyNumberFormat="1" applyFont="1" applyFill="1" applyBorder="1" applyAlignment="1">
      <alignment horizontal="center" vertical="center"/>
    </xf>
    <xf numFmtId="0" fontId="26" fillId="25" borderId="0" xfId="0" applyFont="1" applyFill="1"/>
    <xf numFmtId="171" fontId="26" fillId="25" borderId="0" xfId="76" applyNumberFormat="1" applyFont="1" applyFill="1" applyAlignment="1">
      <alignment horizontal="center"/>
    </xf>
    <xf numFmtId="171" fontId="26" fillId="25" borderId="0" xfId="76" applyNumberFormat="1" applyFont="1" applyFill="1"/>
    <xf numFmtId="172" fontId="26" fillId="25" borderId="0" xfId="1" applyNumberFormat="1" applyFont="1" applyFill="1"/>
    <xf numFmtId="0" fontId="26" fillId="25" borderId="0" xfId="0" applyFont="1" applyFill="1" applyAlignment="1">
      <alignment horizontal="center" vertical="center" wrapText="1"/>
    </xf>
    <xf numFmtId="169" fontId="5" fillId="0" borderId="11" xfId="0" applyNumberFormat="1" applyFont="1" applyFill="1" applyBorder="1" applyAlignment="1">
      <alignment horizontal="center" vertical="center"/>
    </xf>
    <xf numFmtId="1" fontId="5" fillId="0" borderId="11" xfId="0" applyNumberFormat="1" applyFont="1" applyFill="1" applyBorder="1" applyAlignment="1" applyProtection="1">
      <alignment horizontal="center" vertical="center"/>
    </xf>
    <xf numFmtId="171" fontId="5" fillId="0" borderId="11" xfId="76" applyNumberFormat="1" applyFont="1" applyFill="1" applyBorder="1" applyAlignment="1" applyProtection="1">
      <alignment horizontal="center" vertical="center"/>
    </xf>
    <xf numFmtId="1" fontId="5" fillId="0" borderId="11" xfId="116" applyNumberFormat="1" applyFont="1" applyFill="1" applyBorder="1" applyAlignment="1" applyProtection="1">
      <alignment horizontal="center" vertical="center"/>
    </xf>
    <xf numFmtId="0" fontId="5" fillId="0" borderId="11" xfId="0" applyFont="1" applyFill="1" applyBorder="1" applyAlignment="1" applyProtection="1">
      <alignment horizontal="justify" vertical="center"/>
    </xf>
    <xf numFmtId="169" fontId="5" fillId="0" borderId="11" xfId="0" applyNumberFormat="1" applyFont="1" applyFill="1" applyBorder="1" applyAlignment="1" applyProtection="1">
      <alignment horizontal="center" vertical="center"/>
    </xf>
    <xf numFmtId="0" fontId="5" fillId="0" borderId="11" xfId="0" applyFont="1" applyFill="1" applyBorder="1" applyAlignment="1" applyProtection="1">
      <alignment horizontal="justify" vertical="center" wrapText="1"/>
      <protection locked="0"/>
    </xf>
    <xf numFmtId="0" fontId="5" fillId="25" borderId="11" xfId="0" applyFont="1" applyFill="1" applyBorder="1" applyAlignment="1" applyProtection="1">
      <alignment horizontal="left" vertical="center" wrapText="1"/>
      <protection locked="0"/>
    </xf>
    <xf numFmtId="171" fontId="5" fillId="0" borderId="11" xfId="76" applyNumberFormat="1" applyFont="1" applyFill="1" applyBorder="1" applyAlignment="1" applyProtection="1">
      <alignment horizontal="center" vertical="center" wrapText="1"/>
      <protection locked="0"/>
    </xf>
    <xf numFmtId="168" fontId="5" fillId="0" borderId="11" xfId="38" applyNumberFormat="1" applyFont="1" applyFill="1" applyBorder="1" applyAlignment="1" applyProtection="1">
      <alignment horizontal="center" vertical="center" wrapText="1"/>
      <protection locked="0"/>
    </xf>
    <xf numFmtId="15" fontId="5" fillId="0" borderId="11" xfId="0" applyNumberFormat="1" applyFont="1" applyFill="1" applyBorder="1" applyAlignment="1" applyProtection="1">
      <alignment horizontal="center" vertical="center"/>
      <protection locked="0"/>
    </xf>
    <xf numFmtId="0" fontId="5" fillId="0" borderId="11" xfId="0" applyFont="1" applyFill="1" applyBorder="1" applyAlignment="1" applyProtection="1">
      <alignment horizontal="left" vertical="center" wrapText="1"/>
      <protection locked="0"/>
    </xf>
    <xf numFmtId="15" fontId="5" fillId="0" borderId="11" xfId="64" applyNumberFormat="1" applyFont="1" applyFill="1" applyBorder="1" applyAlignment="1" applyProtection="1">
      <alignment horizontal="center" vertical="center"/>
      <protection locked="0"/>
    </xf>
    <xf numFmtId="0" fontId="5" fillId="0" borderId="11" xfId="0" applyFont="1" applyFill="1" applyBorder="1" applyAlignment="1" applyProtection="1">
      <alignment vertical="center"/>
      <protection locked="0"/>
    </xf>
    <xf numFmtId="171" fontId="5" fillId="0" borderId="11" xfId="76" applyNumberFormat="1" applyFont="1" applyFill="1" applyBorder="1" applyAlignment="1" applyProtection="1">
      <alignment vertical="center"/>
      <protection locked="0"/>
    </xf>
    <xf numFmtId="168" fontId="5" fillId="0" borderId="11" xfId="0" applyNumberFormat="1" applyFont="1" applyFill="1" applyBorder="1" applyAlignment="1" applyProtection="1">
      <alignment vertical="center"/>
      <protection locked="0"/>
    </xf>
    <xf numFmtId="0" fontId="5" fillId="0" borderId="11" xfId="64" applyFont="1" applyFill="1" applyBorder="1" applyAlignment="1" applyProtection="1">
      <alignment horizontal="justify" vertical="center"/>
      <protection locked="0"/>
    </xf>
    <xf numFmtId="0" fontId="26" fillId="0" borderId="11" xfId="0" applyFont="1" applyBorder="1" applyAlignment="1" applyProtection="1">
      <alignment horizontal="left" vertical="center"/>
      <protection locked="0"/>
    </xf>
    <xf numFmtId="0" fontId="5" fillId="25" borderId="11" xfId="64" applyFont="1" applyFill="1" applyBorder="1" applyAlignment="1" applyProtection="1">
      <alignment horizontal="justify" vertical="center"/>
      <protection locked="0"/>
    </xf>
    <xf numFmtId="0" fontId="5" fillId="25" borderId="11" xfId="0" applyFont="1" applyFill="1" applyBorder="1" applyAlignment="1" applyProtection="1">
      <alignment horizontal="justify" vertical="center" wrapText="1"/>
      <protection locked="0"/>
    </xf>
    <xf numFmtId="171" fontId="5" fillId="25" borderId="11" xfId="76" applyNumberFormat="1" applyFont="1" applyFill="1" applyBorder="1" applyAlignment="1" applyProtection="1">
      <alignment horizontal="center" vertical="center" wrapText="1"/>
      <protection locked="0"/>
    </xf>
    <xf numFmtId="15" fontId="5" fillId="25" borderId="11" xfId="0" applyNumberFormat="1" applyFont="1" applyFill="1" applyBorder="1" applyAlignment="1" applyProtection="1">
      <alignment horizontal="center" vertical="center"/>
      <protection locked="0"/>
    </xf>
    <xf numFmtId="15" fontId="5" fillId="66" borderId="11" xfId="0" applyNumberFormat="1" applyFont="1" applyFill="1" applyBorder="1" applyAlignment="1" applyProtection="1">
      <alignment horizontal="center" vertical="center"/>
      <protection locked="0"/>
    </xf>
    <xf numFmtId="15" fontId="5" fillId="25" borderId="11" xfId="64" applyNumberFormat="1" applyFont="1" applyFill="1" applyBorder="1" applyAlignment="1" applyProtection="1">
      <alignment horizontal="center" vertical="center"/>
      <protection locked="0"/>
    </xf>
    <xf numFmtId="15" fontId="5" fillId="66" borderId="11" xfId="64" applyNumberFormat="1" applyFont="1" applyFill="1" applyBorder="1" applyAlignment="1" applyProtection="1">
      <alignment horizontal="center" vertical="center"/>
      <protection locked="0"/>
    </xf>
    <xf numFmtId="0" fontId="26" fillId="25" borderId="11" xfId="0" applyFont="1" applyFill="1" applyBorder="1" applyAlignment="1" applyProtection="1">
      <alignment horizontal="left" vertical="center"/>
      <protection locked="0"/>
    </xf>
    <xf numFmtId="168" fontId="5" fillId="25" borderId="11" xfId="38" applyNumberFormat="1" applyFont="1" applyFill="1" applyBorder="1" applyAlignment="1" applyProtection="1">
      <alignment horizontal="center" vertical="center" wrapText="1"/>
      <protection locked="0"/>
    </xf>
    <xf numFmtId="0" fontId="26" fillId="0" borderId="11" xfId="0" applyFont="1" applyFill="1" applyBorder="1" applyAlignment="1" applyProtection="1">
      <alignment horizontal="left" vertical="center"/>
      <protection locked="0"/>
    </xf>
    <xf numFmtId="169" fontId="5" fillId="0" borderId="11" xfId="0" applyNumberFormat="1" applyFont="1" applyFill="1" applyBorder="1" applyAlignment="1" applyProtection="1">
      <alignment horizontal="center" vertical="center"/>
      <protection locked="0"/>
    </xf>
    <xf numFmtId="0" fontId="5" fillId="0" borderId="11" xfId="0" applyFont="1" applyFill="1" applyBorder="1" applyAlignment="1" applyProtection="1">
      <alignment vertical="center" wrapText="1"/>
      <protection locked="0"/>
    </xf>
    <xf numFmtId="168" fontId="5" fillId="0" borderId="11" xfId="38" applyNumberFormat="1" applyFont="1" applyFill="1" applyBorder="1" applyAlignment="1" applyProtection="1">
      <alignment vertical="center" wrapText="1"/>
      <protection locked="0"/>
    </xf>
    <xf numFmtId="168" fontId="5" fillId="0" borderId="11" xfId="0" applyNumberFormat="1" applyFont="1" applyFill="1" applyBorder="1" applyAlignment="1" applyProtection="1">
      <alignment horizontal="center" vertical="center"/>
      <protection locked="0"/>
    </xf>
    <xf numFmtId="0" fontId="23" fillId="0" borderId="11" xfId="0" applyFont="1" applyFill="1" applyBorder="1" applyAlignment="1" applyProtection="1">
      <alignment horizontal="justify" vertical="center" wrapText="1"/>
      <protection locked="0"/>
    </xf>
    <xf numFmtId="15" fontId="23" fillId="0" borderId="11" xfId="64" applyNumberFormat="1" applyFont="1" applyFill="1" applyBorder="1" applyAlignment="1" applyProtection="1">
      <alignment horizontal="center" vertical="center"/>
      <protection locked="0"/>
    </xf>
    <xf numFmtId="171" fontId="5" fillId="0" borderId="11" xfId="76" applyNumberFormat="1" applyFont="1" applyFill="1" applyBorder="1" applyAlignment="1" applyProtection="1">
      <alignment horizontal="center" vertical="center"/>
      <protection locked="0"/>
    </xf>
    <xf numFmtId="0" fontId="5" fillId="0" borderId="11" xfId="0" applyFont="1" applyFill="1" applyBorder="1" applyAlignment="1" applyProtection="1">
      <alignment horizontal="left" vertical="center"/>
      <protection locked="0"/>
    </xf>
    <xf numFmtId="0" fontId="5" fillId="25" borderId="11" xfId="0" applyFont="1" applyFill="1" applyBorder="1" applyAlignment="1" applyProtection="1">
      <alignment vertical="center"/>
      <protection locked="0"/>
    </xf>
    <xf numFmtId="171" fontId="5" fillId="25" borderId="11" xfId="76" applyNumberFormat="1" applyFont="1" applyFill="1" applyBorder="1" applyAlignment="1" applyProtection="1">
      <alignment vertical="center"/>
      <protection locked="0"/>
    </xf>
    <xf numFmtId="0" fontId="5" fillId="0" borderId="26" xfId="0" applyFont="1" applyFill="1" applyBorder="1" applyAlignment="1" applyProtection="1">
      <alignment horizontal="justify" vertical="center" wrapText="1"/>
      <protection locked="0"/>
    </xf>
    <xf numFmtId="0" fontId="5" fillId="25" borderId="26" xfId="0" applyFont="1" applyFill="1" applyBorder="1" applyAlignment="1" applyProtection="1">
      <alignment horizontal="left" vertical="center" wrapText="1"/>
      <protection locked="0"/>
    </xf>
    <xf numFmtId="171" fontId="5" fillId="0" borderId="26" xfId="76" applyNumberFormat="1" applyFont="1" applyFill="1" applyBorder="1" applyAlignment="1" applyProtection="1">
      <alignment vertical="center"/>
      <protection locked="0"/>
    </xf>
    <xf numFmtId="168" fontId="5" fillId="0" borderId="26" xfId="0" applyNumberFormat="1" applyFont="1" applyFill="1" applyBorder="1" applyAlignment="1" applyProtection="1">
      <alignment horizontal="center" vertical="center"/>
      <protection locked="0"/>
    </xf>
    <xf numFmtId="15" fontId="5" fillId="0" borderId="26" xfId="64" applyNumberFormat="1" applyFont="1" applyFill="1" applyBorder="1" applyAlignment="1" applyProtection="1">
      <alignment horizontal="center" vertical="center"/>
      <protection locked="0"/>
    </xf>
    <xf numFmtId="0" fontId="5" fillId="0" borderId="11" xfId="0" applyFont="1" applyFill="1" applyBorder="1" applyAlignment="1" applyProtection="1">
      <alignment horizontal="justify" vertical="center"/>
      <protection locked="0"/>
    </xf>
    <xf numFmtId="0" fontId="26" fillId="25" borderId="11" xfId="0" applyFont="1" applyFill="1" applyBorder="1" applyAlignment="1" applyProtection="1">
      <alignment vertical="center"/>
      <protection locked="0"/>
    </xf>
    <xf numFmtId="15" fontId="26" fillId="25" borderId="11" xfId="0" applyNumberFormat="1" applyFont="1" applyFill="1" applyBorder="1" applyAlignment="1" applyProtection="1">
      <alignment vertical="center"/>
      <protection locked="0"/>
    </xf>
    <xf numFmtId="171" fontId="5" fillId="25" borderId="11" xfId="76" applyNumberFormat="1" applyFont="1" applyFill="1" applyBorder="1" applyAlignment="1" applyProtection="1">
      <alignment horizontal="center" vertical="center"/>
    </xf>
    <xf numFmtId="0" fontId="26" fillId="0" borderId="11" xfId="0" applyFont="1" applyBorder="1" applyAlignment="1" applyProtection="1">
      <alignment vertical="center" wrapText="1"/>
      <protection locked="0"/>
    </xf>
    <xf numFmtId="0" fontId="26" fillId="0" borderId="11" xfId="0" applyFont="1" applyBorder="1" applyAlignment="1" applyProtection="1">
      <alignment vertical="center"/>
      <protection locked="0"/>
    </xf>
    <xf numFmtId="0" fontId="33" fillId="0" borderId="11" xfId="0" applyFont="1" applyBorder="1" applyAlignment="1" applyProtection="1">
      <alignment vertical="center"/>
      <protection locked="0"/>
    </xf>
    <xf numFmtId="0" fontId="33" fillId="0" borderId="11" xfId="0" applyFont="1" applyBorder="1" applyAlignment="1" applyProtection="1">
      <alignment horizontal="center" vertical="center"/>
      <protection locked="0"/>
    </xf>
    <xf numFmtId="0" fontId="26" fillId="0" borderId="11" xfId="0" applyFont="1" applyBorder="1" applyAlignment="1" applyProtection="1">
      <alignment horizontal="center" vertical="center"/>
      <protection locked="0"/>
    </xf>
    <xf numFmtId="0" fontId="26" fillId="0" borderId="11" xfId="0" applyFont="1" applyFill="1" applyBorder="1" applyAlignment="1" applyProtection="1">
      <alignment vertical="center" wrapText="1"/>
      <protection locked="0"/>
    </xf>
    <xf numFmtId="0" fontId="26" fillId="0" borderId="11" xfId="0" applyFont="1" applyFill="1" applyBorder="1" applyAlignment="1" applyProtection="1">
      <alignment vertical="center"/>
      <protection locked="0"/>
    </xf>
    <xf numFmtId="0" fontId="33" fillId="0" borderId="11" xfId="0" applyFont="1" applyFill="1" applyBorder="1" applyAlignment="1" applyProtection="1">
      <alignment horizontal="center" vertical="center"/>
      <protection locked="0"/>
    </xf>
    <xf numFmtId="0" fontId="33" fillId="0" borderId="11" xfId="0" applyFont="1" applyBorder="1" applyAlignment="1" applyProtection="1">
      <alignment vertical="center" wrapText="1"/>
      <protection locked="0"/>
    </xf>
    <xf numFmtId="0" fontId="33" fillId="0" borderId="11" xfId="0" applyFont="1" applyBorder="1" applyAlignment="1" applyProtection="1">
      <alignment horizontal="center" vertical="center" wrapText="1"/>
      <protection locked="0"/>
    </xf>
    <xf numFmtId="171" fontId="5" fillId="0" borderId="11" xfId="76" applyNumberFormat="1" applyFont="1" applyFill="1" applyBorder="1" applyAlignment="1" applyProtection="1">
      <alignment horizontal="right" vertical="center" wrapText="1"/>
      <protection locked="0"/>
    </xf>
    <xf numFmtId="0" fontId="5" fillId="29" borderId="11" xfId="0" applyFont="1" applyFill="1" applyBorder="1" applyAlignment="1" applyProtection="1">
      <alignment horizontal="center" vertical="center" wrapText="1"/>
      <protection locked="0"/>
    </xf>
    <xf numFmtId="0" fontId="5" fillId="29" borderId="55" xfId="0" applyFont="1" applyFill="1" applyBorder="1" applyAlignment="1" applyProtection="1">
      <alignment horizontal="center" vertical="center" wrapText="1"/>
      <protection locked="0"/>
    </xf>
    <xf numFmtId="169" fontId="5" fillId="29" borderId="55" xfId="0" applyNumberFormat="1" applyFont="1" applyFill="1" applyBorder="1" applyAlignment="1" applyProtection="1">
      <alignment horizontal="center" vertical="center" wrapText="1"/>
      <protection locked="0"/>
    </xf>
    <xf numFmtId="1" fontId="5" fillId="29" borderId="55" xfId="0" applyNumberFormat="1" applyFont="1" applyFill="1" applyBorder="1" applyAlignment="1" applyProtection="1">
      <alignment horizontal="center" vertical="center" wrapText="1"/>
      <protection locked="0"/>
    </xf>
    <xf numFmtId="169" fontId="5" fillId="29" borderId="55" xfId="0" applyNumberFormat="1" applyFont="1" applyFill="1" applyBorder="1" applyAlignment="1" applyProtection="1">
      <alignment horizontal="right" vertical="center" wrapText="1"/>
      <protection locked="0"/>
    </xf>
    <xf numFmtId="169" fontId="5" fillId="29" borderId="55" xfId="64" applyNumberFormat="1" applyFont="1" applyFill="1" applyBorder="1" applyAlignment="1" applyProtection="1">
      <alignment horizontal="right" vertical="center" wrapText="1"/>
      <protection locked="0"/>
    </xf>
    <xf numFmtId="0" fontId="53" fillId="25" borderId="0" xfId="0" applyFont="1" applyFill="1"/>
    <xf numFmtId="0" fontId="54" fillId="25" borderId="0" xfId="0" applyFont="1" applyFill="1"/>
    <xf numFmtId="49" fontId="3" fillId="25" borderId="0" xfId="0" applyNumberFormat="1" applyFont="1" applyFill="1"/>
    <xf numFmtId="0" fontId="0" fillId="25" borderId="0" xfId="0" applyFont="1" applyFill="1"/>
    <xf numFmtId="0" fontId="55" fillId="25" borderId="0" xfId="0" applyFont="1" applyFill="1"/>
    <xf numFmtId="0" fontId="0" fillId="25" borderId="0" xfId="0" applyFill="1" applyProtection="1"/>
    <xf numFmtId="0" fontId="0" fillId="27" borderId="0" xfId="0" applyFill="1" applyProtection="1"/>
    <xf numFmtId="0" fontId="0" fillId="25" borderId="16" xfId="0" applyFill="1" applyBorder="1" applyProtection="1"/>
    <xf numFmtId="0" fontId="0" fillId="25" borderId="15" xfId="0" applyFill="1" applyBorder="1" applyProtection="1"/>
    <xf numFmtId="0" fontId="3" fillId="0" borderId="17" xfId="0" applyFont="1" applyBorder="1" applyProtection="1"/>
    <xf numFmtId="15" fontId="3" fillId="28" borderId="17" xfId="0" applyNumberFormat="1" applyFont="1" applyFill="1" applyBorder="1" applyProtection="1"/>
    <xf numFmtId="0" fontId="3" fillId="28" borderId="17" xfId="0" applyFont="1" applyFill="1" applyBorder="1" applyProtection="1"/>
    <xf numFmtId="1" fontId="26" fillId="0" borderId="11" xfId="0" applyNumberFormat="1" applyFont="1" applyBorder="1" applyAlignment="1">
      <alignment horizontal="center" vertical="center"/>
    </xf>
    <xf numFmtId="0" fontId="5" fillId="25" borderId="11" xfId="0" applyFont="1" applyFill="1" applyBorder="1" applyAlignment="1" applyProtection="1">
      <alignment horizontal="justify" vertical="center" wrapText="1"/>
    </xf>
    <xf numFmtId="0" fontId="5" fillId="25" borderId="11" xfId="0" applyFont="1" applyFill="1" applyBorder="1" applyAlignment="1" applyProtection="1">
      <alignment horizontal="left" vertical="center" wrapText="1"/>
    </xf>
    <xf numFmtId="0" fontId="5" fillId="0" borderId="11" xfId="0" applyFont="1" applyFill="1" applyBorder="1" applyAlignment="1" applyProtection="1">
      <alignment vertical="center"/>
    </xf>
    <xf numFmtId="0" fontId="5" fillId="0" borderId="11" xfId="0" applyFont="1" applyFill="1" applyBorder="1" applyAlignment="1" applyProtection="1">
      <alignment horizontal="justify" vertical="center" wrapText="1"/>
    </xf>
    <xf numFmtId="0" fontId="26" fillId="25" borderId="11" xfId="0" applyFont="1" applyFill="1" applyBorder="1" applyAlignment="1">
      <alignment vertical="center" wrapText="1"/>
    </xf>
    <xf numFmtId="0" fontId="26" fillId="25" borderId="11" xfId="0" applyFont="1" applyFill="1" applyBorder="1" applyAlignment="1" applyProtection="1">
      <alignment vertical="center" wrapText="1"/>
      <protection locked="0"/>
    </xf>
    <xf numFmtId="171" fontId="26" fillId="25" borderId="11" xfId="76" applyNumberFormat="1" applyFont="1" applyFill="1" applyBorder="1" applyAlignment="1">
      <alignment vertical="center"/>
    </xf>
    <xf numFmtId="171" fontId="26" fillId="25" borderId="11" xfId="76" applyNumberFormat="1" applyFont="1" applyFill="1" applyBorder="1" applyAlignment="1" applyProtection="1">
      <alignment vertical="center"/>
      <protection locked="0"/>
    </xf>
    <xf numFmtId="0" fontId="0" fillId="0" borderId="41" xfId="0" applyFill="1" applyBorder="1"/>
    <xf numFmtId="0" fontId="5" fillId="0" borderId="26" xfId="0" applyFont="1" applyFill="1" applyBorder="1" applyAlignment="1" applyProtection="1">
      <alignment horizontal="justify" vertical="center" wrapText="1"/>
    </xf>
    <xf numFmtId="0" fontId="0" fillId="0" borderId="0" xfId="0" applyNumberFormat="1"/>
    <xf numFmtId="0" fontId="0" fillId="0" borderId="0" xfId="0" applyAlignment="1">
      <alignment horizontal="center"/>
    </xf>
    <xf numFmtId="14" fontId="0" fillId="0" borderId="0" xfId="0" applyNumberFormat="1"/>
    <xf numFmtId="0" fontId="0" fillId="25" borderId="71" xfId="0" applyFill="1" applyBorder="1" applyAlignment="1">
      <alignment vertical="center"/>
    </xf>
    <xf numFmtId="0" fontId="0" fillId="25" borderId="74" xfId="0" applyFill="1" applyBorder="1" applyAlignment="1">
      <alignment vertical="center"/>
    </xf>
    <xf numFmtId="0" fontId="5" fillId="0" borderId="11" xfId="0" applyFont="1" applyFill="1" applyBorder="1" applyAlignment="1" applyProtection="1">
      <alignment horizontal="left" vertical="center" wrapText="1"/>
    </xf>
    <xf numFmtId="173" fontId="26" fillId="0" borderId="11" xfId="116" applyNumberFormat="1" applyFont="1" applyFill="1" applyBorder="1" applyAlignment="1">
      <alignment vertical="center"/>
    </xf>
    <xf numFmtId="15" fontId="26" fillId="0" borderId="11" xfId="0" applyNumberFormat="1" applyFont="1" applyFill="1" applyBorder="1" applyAlignment="1">
      <alignment vertical="center"/>
    </xf>
    <xf numFmtId="43" fontId="26" fillId="0" borderId="11" xfId="116" applyFont="1" applyFill="1" applyBorder="1" applyAlignment="1">
      <alignment vertical="center"/>
    </xf>
    <xf numFmtId="0" fontId="5" fillId="0" borderId="11" xfId="0" applyNumberFormat="1" applyFont="1" applyFill="1" applyBorder="1" applyAlignment="1" applyProtection="1">
      <alignment horizontal="center" vertical="center"/>
      <protection locked="0"/>
    </xf>
    <xf numFmtId="0" fontId="26" fillId="0" borderId="11" xfId="0" applyFont="1" applyBorder="1" applyAlignment="1">
      <alignment horizontal="center" vertical="center"/>
    </xf>
    <xf numFmtId="0" fontId="5" fillId="0" borderId="11" xfId="0" applyNumberFormat="1" applyFont="1" applyFill="1" applyBorder="1" applyAlignment="1">
      <alignment horizontal="center" vertical="center"/>
    </xf>
    <xf numFmtId="0" fontId="0" fillId="0" borderId="0" xfId="0" applyAlignment="1">
      <alignment horizontal="center"/>
    </xf>
    <xf numFmtId="15" fontId="5" fillId="0" borderId="33" xfId="64" applyNumberFormat="1" applyFont="1" applyFill="1" applyBorder="1" applyAlignment="1" applyProtection="1">
      <alignment horizontal="center" vertical="center"/>
      <protection locked="0"/>
    </xf>
    <xf numFmtId="171" fontId="5" fillId="0" borderId="11" xfId="76" applyNumberFormat="1" applyFont="1" applyBorder="1" applyAlignment="1">
      <alignment vertical="center"/>
    </xf>
    <xf numFmtId="172" fontId="5" fillId="0" borderId="11" xfId="1" applyNumberFormat="1" applyFont="1" applyBorder="1" applyAlignment="1">
      <alignment horizontal="center" vertical="center"/>
    </xf>
    <xf numFmtId="9" fontId="5" fillId="0" borderId="11" xfId="0" applyNumberFormat="1" applyFont="1" applyBorder="1" applyAlignment="1">
      <alignment horizontal="center" vertical="center"/>
    </xf>
    <xf numFmtId="1" fontId="5" fillId="0" borderId="11" xfId="0" applyNumberFormat="1" applyFont="1" applyBorder="1" applyAlignment="1">
      <alignment horizontal="center" vertical="center"/>
    </xf>
    <xf numFmtId="0" fontId="5" fillId="0" borderId="11" xfId="0" applyNumberFormat="1" applyFont="1" applyBorder="1" applyAlignment="1">
      <alignment horizontal="center" vertical="center"/>
    </xf>
    <xf numFmtId="0" fontId="5" fillId="0" borderId="11" xfId="0" applyFont="1" applyBorder="1" applyAlignment="1" applyProtection="1">
      <alignment vertical="center" wrapText="1"/>
      <protection locked="0"/>
    </xf>
    <xf numFmtId="0" fontId="5" fillId="0" borderId="11" xfId="0" applyFont="1" applyBorder="1" applyAlignment="1" applyProtection="1">
      <alignment vertical="center"/>
      <protection locked="0"/>
    </xf>
    <xf numFmtId="0" fontId="5" fillId="0" borderId="11" xfId="0" applyFont="1" applyBorder="1" applyAlignment="1" applyProtection="1">
      <alignment horizontal="center" vertical="center"/>
      <protection locked="0"/>
    </xf>
    <xf numFmtId="0" fontId="48" fillId="0" borderId="0" xfId="0" applyFont="1" applyAlignment="1">
      <alignment vertical="center"/>
    </xf>
    <xf numFmtId="173" fontId="5" fillId="0" borderId="43" xfId="116" applyNumberFormat="1" applyFont="1" applyFill="1" applyBorder="1" applyAlignment="1" applyProtection="1">
      <alignment horizontal="right" vertical="center" wrapText="1"/>
      <protection locked="0"/>
    </xf>
    <xf numFmtId="173" fontId="26" fillId="0" borderId="11" xfId="116" applyNumberFormat="1" applyFont="1" applyFill="1" applyBorder="1" applyAlignment="1" applyProtection="1">
      <alignment vertical="center"/>
      <protection locked="0"/>
    </xf>
    <xf numFmtId="0" fontId="26" fillId="0" borderId="11" xfId="0" applyFont="1" applyBorder="1"/>
    <xf numFmtId="15" fontId="26" fillId="0" borderId="11" xfId="0" applyNumberFormat="1" applyFont="1" applyBorder="1"/>
    <xf numFmtId="15" fontId="0" fillId="0" borderId="0" xfId="0" applyNumberFormat="1"/>
    <xf numFmtId="171" fontId="26" fillId="0" borderId="11" xfId="76" applyNumberFormat="1" applyFont="1" applyBorder="1" applyAlignment="1" applyProtection="1">
      <alignment vertical="center"/>
      <protection locked="0"/>
    </xf>
    <xf numFmtId="0" fontId="26" fillId="0" borderId="0" xfId="0" applyFont="1" applyAlignment="1">
      <alignment vertical="center"/>
    </xf>
    <xf numFmtId="0" fontId="26" fillId="0" borderId="0" xfId="0" applyFont="1" applyAlignment="1">
      <alignment vertical="center" wrapText="1"/>
    </xf>
    <xf numFmtId="171" fontId="26" fillId="0" borderId="0" xfId="76" applyNumberFormat="1" applyFont="1" applyAlignment="1">
      <alignment vertical="center"/>
    </xf>
    <xf numFmtId="0" fontId="26" fillId="0" borderId="0" xfId="0" applyFont="1" applyAlignment="1">
      <alignment horizontal="center" vertical="center"/>
    </xf>
    <xf numFmtId="15" fontId="26" fillId="0" borderId="0" xfId="0" applyNumberFormat="1" applyFont="1" applyAlignment="1">
      <alignment vertical="center"/>
    </xf>
    <xf numFmtId="3" fontId="5" fillId="28" borderId="77" xfId="0" applyNumberFormat="1" applyFont="1" applyFill="1" applyBorder="1" applyAlignment="1">
      <alignment horizontal="center" vertical="center" wrapText="1"/>
    </xf>
    <xf numFmtId="15" fontId="5" fillId="28" borderId="77" xfId="0" applyNumberFormat="1" applyFont="1" applyFill="1" applyBorder="1" applyAlignment="1">
      <alignment horizontal="center" vertical="center" wrapText="1"/>
    </xf>
    <xf numFmtId="15" fontId="5" fillId="28" borderId="12" xfId="0" applyNumberFormat="1" applyFont="1" applyFill="1" applyBorder="1" applyAlignment="1">
      <alignment horizontal="center" vertical="center" wrapText="1"/>
    </xf>
    <xf numFmtId="0" fontId="5" fillId="0" borderId="55" xfId="0" applyFont="1" applyFill="1" applyBorder="1" applyAlignment="1" applyProtection="1">
      <alignment horizontal="justify" vertical="center" wrapText="1"/>
      <protection locked="0"/>
    </xf>
    <xf numFmtId="0" fontId="5" fillId="0" borderId="55" xfId="0" applyFont="1" applyFill="1" applyBorder="1" applyAlignment="1" applyProtection="1">
      <alignment vertical="center"/>
      <protection locked="0"/>
    </xf>
    <xf numFmtId="0" fontId="5" fillId="0" borderId="55" xfId="64" applyFont="1" applyFill="1" applyBorder="1" applyAlignment="1" applyProtection="1">
      <alignment horizontal="justify" vertical="center"/>
      <protection locked="0"/>
    </xf>
    <xf numFmtId="0" fontId="5" fillId="25" borderId="55" xfId="64" applyFont="1" applyFill="1" applyBorder="1" applyAlignment="1" applyProtection="1">
      <alignment horizontal="justify" vertical="center"/>
      <protection locked="0"/>
    </xf>
    <xf numFmtId="0" fontId="5" fillId="25" borderId="55" xfId="0" applyFont="1" applyFill="1" applyBorder="1" applyAlignment="1" applyProtection="1">
      <alignment horizontal="justify" vertical="center" wrapText="1"/>
      <protection locked="0"/>
    </xf>
    <xf numFmtId="0" fontId="23" fillId="0" borderId="55" xfId="0" applyFont="1" applyFill="1" applyBorder="1" applyAlignment="1" applyProtection="1">
      <alignment horizontal="justify" vertical="center" wrapText="1"/>
      <protection locked="0"/>
    </xf>
    <xf numFmtId="0" fontId="5" fillId="26" borderId="55" xfId="0" applyFont="1" applyFill="1" applyBorder="1" applyAlignment="1" applyProtection="1">
      <alignment vertical="center"/>
      <protection locked="0"/>
    </xf>
    <xf numFmtId="0" fontId="5" fillId="0" borderId="55" xfId="0" applyFont="1" applyFill="1" applyBorder="1" applyAlignment="1" applyProtection="1">
      <alignment horizontal="left" vertical="center"/>
      <protection locked="0"/>
    </xf>
    <xf numFmtId="0" fontId="5" fillId="25" borderId="55" xfId="0" applyFont="1" applyFill="1" applyBorder="1" applyAlignment="1" applyProtection="1">
      <alignment vertical="center"/>
      <protection locked="0"/>
    </xf>
    <xf numFmtId="0" fontId="5" fillId="0" borderId="61" xfId="0" applyFont="1" applyFill="1" applyBorder="1" applyAlignment="1" applyProtection="1">
      <alignment vertical="center"/>
      <protection locked="0"/>
    </xf>
    <xf numFmtId="0" fontId="26" fillId="25" borderId="55" xfId="0" applyFont="1" applyFill="1" applyBorder="1" applyAlignment="1">
      <alignment vertical="center"/>
    </xf>
    <xf numFmtId="0" fontId="26" fillId="25" borderId="55" xfId="0" applyFont="1" applyFill="1" applyBorder="1" applyAlignment="1" applyProtection="1">
      <alignment vertical="center"/>
      <protection locked="0"/>
    </xf>
    <xf numFmtId="0" fontId="26" fillId="0" borderId="55" xfId="0" applyFont="1" applyBorder="1"/>
    <xf numFmtId="0" fontId="5" fillId="0" borderId="78" xfId="0" applyNumberFormat="1" applyFont="1" applyFill="1" applyBorder="1" applyAlignment="1" applyProtection="1">
      <alignment horizontal="center" vertical="center"/>
      <protection locked="0"/>
    </xf>
    <xf numFmtId="169" fontId="5" fillId="0" borderId="78" xfId="0" applyNumberFormat="1" applyFont="1" applyFill="1" applyBorder="1" applyAlignment="1">
      <alignment horizontal="center" vertical="center"/>
    </xf>
    <xf numFmtId="0" fontId="5" fillId="0" borderId="78" xfId="0" applyNumberFormat="1" applyFont="1" applyFill="1" applyBorder="1" applyAlignment="1">
      <alignment horizontal="center" vertical="center"/>
    </xf>
    <xf numFmtId="0" fontId="26" fillId="0" borderId="78" xfId="0" applyFont="1" applyBorder="1" applyAlignment="1">
      <alignment horizontal="center" vertical="center"/>
    </xf>
    <xf numFmtId="175" fontId="5" fillId="28" borderId="11" xfId="0" applyNumberFormat="1" applyFont="1" applyFill="1" applyBorder="1" applyAlignment="1">
      <alignment horizontal="center" vertical="center" wrapText="1"/>
    </xf>
    <xf numFmtId="0" fontId="26" fillId="0" borderId="33" xfId="0" applyFont="1" applyBorder="1" applyAlignment="1">
      <alignment horizontal="center" vertical="center"/>
    </xf>
    <xf numFmtId="0" fontId="26" fillId="0" borderId="79" xfId="0" applyFont="1" applyBorder="1" applyAlignment="1">
      <alignment horizontal="center" vertical="center"/>
    </xf>
    <xf numFmtId="0" fontId="0" fillId="64" borderId="0" xfId="0" applyFill="1"/>
    <xf numFmtId="1" fontId="25" fillId="25" borderId="0" xfId="1" applyNumberFormat="1" applyFont="1" applyFill="1" applyAlignment="1">
      <alignment vertical="center"/>
    </xf>
    <xf numFmtId="176" fontId="0" fillId="0" borderId="0" xfId="0" applyNumberFormat="1"/>
    <xf numFmtId="0" fontId="0" fillId="25" borderId="0" xfId="0" applyFill="1" applyAlignment="1">
      <alignment vertical="center" wrapText="1"/>
    </xf>
    <xf numFmtId="0" fontId="0" fillId="25" borderId="29" xfId="0" applyFill="1" applyBorder="1" applyAlignment="1">
      <alignment vertical="center" wrapText="1"/>
    </xf>
    <xf numFmtId="0" fontId="0" fillId="25" borderId="0" xfId="0" applyFill="1" applyBorder="1" applyAlignment="1">
      <alignment vertical="center" wrapText="1"/>
    </xf>
    <xf numFmtId="0" fontId="0" fillId="25" borderId="27" xfId="0" applyFill="1" applyBorder="1" applyAlignment="1">
      <alignment vertical="center" wrapText="1"/>
    </xf>
    <xf numFmtId="15" fontId="0" fillId="25" borderId="69" xfId="0" applyNumberFormat="1" applyFill="1" applyBorder="1" applyAlignment="1">
      <alignment horizontal="center" vertical="center" wrapText="1"/>
    </xf>
    <xf numFmtId="15" fontId="0" fillId="25" borderId="30" xfId="0" applyNumberFormat="1" applyFill="1" applyBorder="1" applyAlignment="1">
      <alignment horizontal="center" vertical="center" wrapText="1"/>
    </xf>
    <xf numFmtId="0" fontId="5" fillId="0" borderId="11" xfId="64" applyFont="1" applyFill="1" applyBorder="1" applyAlignment="1" applyProtection="1">
      <alignment horizontal="justify" vertical="center" wrapText="1"/>
      <protection locked="0"/>
    </xf>
    <xf numFmtId="0" fontId="26" fillId="25" borderId="11" xfId="0" applyFont="1" applyFill="1" applyBorder="1" applyAlignment="1" applyProtection="1">
      <alignment horizontal="justify" vertical="center" wrapText="1"/>
      <protection locked="0"/>
    </xf>
    <xf numFmtId="0" fontId="26" fillId="0" borderId="11" xfId="0" applyFont="1" applyBorder="1" applyAlignment="1" applyProtection="1">
      <alignment horizontal="justify" vertical="center" wrapText="1"/>
      <protection locked="0"/>
    </xf>
    <xf numFmtId="0" fontId="26" fillId="0" borderId="0" xfId="0" applyFont="1" applyAlignment="1">
      <alignment horizontal="justify" vertical="center" wrapText="1"/>
    </xf>
    <xf numFmtId="173" fontId="0" fillId="25" borderId="0" xfId="116" applyNumberFormat="1" applyFont="1" applyFill="1" applyAlignment="1">
      <alignment vertical="center"/>
    </xf>
    <xf numFmtId="15" fontId="26" fillId="0" borderId="11" xfId="0" applyNumberFormat="1" applyFont="1" applyFill="1" applyBorder="1" applyAlignment="1" applyProtection="1">
      <alignment vertical="center"/>
      <protection locked="0"/>
    </xf>
    <xf numFmtId="173" fontId="0" fillId="0" borderId="0" xfId="116" applyNumberFormat="1" applyFont="1" applyAlignment="1">
      <alignment vertical="center"/>
    </xf>
    <xf numFmtId="0" fontId="0" fillId="0" borderId="0" xfId="0" applyFill="1" applyAlignment="1">
      <alignment vertical="center"/>
    </xf>
    <xf numFmtId="173" fontId="0" fillId="0" borderId="0" xfId="116" applyNumberFormat="1" applyFont="1" applyFill="1" applyAlignment="1">
      <alignment vertical="center"/>
    </xf>
    <xf numFmtId="169" fontId="5" fillId="27" borderId="11" xfId="0" applyNumberFormat="1" applyFont="1" applyFill="1" applyBorder="1" applyAlignment="1">
      <alignment horizontal="center" vertical="center" wrapText="1"/>
    </xf>
    <xf numFmtId="171" fontId="26" fillId="0" borderId="11" xfId="76" applyNumberFormat="1" applyFont="1" applyBorder="1" applyAlignment="1" applyProtection="1">
      <alignment horizontal="center" vertical="center"/>
      <protection locked="0"/>
    </xf>
    <xf numFmtId="173" fontId="26" fillId="0" borderId="11" xfId="116" applyNumberFormat="1" applyFont="1" applyBorder="1" applyAlignment="1" applyProtection="1">
      <alignment horizontal="center" vertical="center"/>
      <protection locked="0"/>
    </xf>
    <xf numFmtId="15" fontId="5" fillId="0" borderId="11" xfId="0" applyNumberFormat="1" applyFont="1" applyFill="1" applyBorder="1" applyAlignment="1" applyProtection="1">
      <alignment horizontal="center" vertical="center" wrapText="1"/>
      <protection locked="0"/>
    </xf>
    <xf numFmtId="15" fontId="26" fillId="0" borderId="11" xfId="0" applyNumberFormat="1" applyFont="1" applyBorder="1" applyAlignment="1" applyProtection="1">
      <alignment horizontal="center" vertical="center"/>
      <protection locked="0"/>
    </xf>
    <xf numFmtId="171" fontId="26" fillId="0" borderId="11" xfId="76" applyNumberFormat="1" applyFont="1" applyBorder="1" applyAlignment="1">
      <alignment horizontal="center" vertical="center"/>
    </xf>
    <xf numFmtId="171" fontId="26" fillId="25" borderId="11" xfId="76" applyNumberFormat="1" applyFont="1" applyFill="1" applyBorder="1" applyAlignment="1" applyProtection="1">
      <alignment horizontal="center" vertical="center"/>
      <protection locked="0"/>
    </xf>
    <xf numFmtId="173" fontId="26" fillId="25" borderId="11" xfId="116" applyNumberFormat="1" applyFont="1" applyFill="1" applyBorder="1" applyAlignment="1" applyProtection="1">
      <alignment horizontal="center" vertical="center"/>
      <protection locked="0"/>
    </xf>
    <xf numFmtId="15" fontId="26" fillId="25" borderId="11" xfId="0" applyNumberFormat="1" applyFont="1" applyFill="1" applyBorder="1" applyAlignment="1" applyProtection="1">
      <alignment horizontal="center" vertical="center"/>
      <protection locked="0"/>
    </xf>
    <xf numFmtId="0" fontId="0" fillId="25" borderId="0" xfId="0" applyFill="1" applyAlignment="1">
      <alignment horizontal="left" vertical="center"/>
    </xf>
    <xf numFmtId="0" fontId="0" fillId="25" borderId="29" xfId="0" applyFill="1" applyBorder="1" applyAlignment="1">
      <alignment horizontal="left" vertical="center"/>
    </xf>
    <xf numFmtId="0" fontId="0" fillId="25" borderId="0" xfId="0" applyFill="1" applyBorder="1" applyAlignment="1">
      <alignment horizontal="left" vertical="center"/>
    </xf>
    <xf numFmtId="0" fontId="0" fillId="25" borderId="27" xfId="0" applyFill="1" applyBorder="1" applyAlignment="1">
      <alignment horizontal="left" vertical="center"/>
    </xf>
    <xf numFmtId="0" fontId="26" fillId="0" borderId="11" xfId="0" applyFont="1" applyBorder="1" applyAlignment="1" applyProtection="1">
      <alignment horizontal="left" vertical="center" wrapText="1"/>
      <protection locked="0"/>
    </xf>
    <xf numFmtId="0" fontId="26" fillId="0" borderId="0" xfId="0" applyFont="1" applyAlignment="1">
      <alignment horizontal="left" vertical="center"/>
    </xf>
    <xf numFmtId="0" fontId="0" fillId="0" borderId="0" xfId="0" applyAlignment="1">
      <alignment horizontal="center" vertical="center"/>
    </xf>
    <xf numFmtId="0" fontId="26" fillId="0" borderId="11" xfId="0" applyFont="1" applyFill="1" applyBorder="1" applyAlignment="1" applyProtection="1">
      <alignment horizontal="left" vertical="center" wrapText="1"/>
      <protection locked="0"/>
    </xf>
    <xf numFmtId="0" fontId="26" fillId="0" borderId="11" xfId="0" applyFont="1" applyBorder="1" applyAlignment="1" applyProtection="1">
      <alignment horizontal="justify" vertical="center"/>
      <protection locked="0"/>
    </xf>
    <xf numFmtId="0" fontId="26" fillId="25" borderId="11" xfId="0" applyFont="1" applyFill="1" applyBorder="1" applyAlignment="1" applyProtection="1">
      <alignment horizontal="justify" vertical="center"/>
      <protection locked="0"/>
    </xf>
    <xf numFmtId="0" fontId="26" fillId="0" borderId="11" xfId="0" applyFont="1" applyBorder="1" applyAlignment="1">
      <alignment horizontal="justify" vertical="center"/>
    </xf>
    <xf numFmtId="15" fontId="26" fillId="25" borderId="11" xfId="0" applyNumberFormat="1" applyFont="1" applyFill="1" applyBorder="1" applyAlignment="1">
      <alignment horizontal="center" vertical="center"/>
    </xf>
    <xf numFmtId="171" fontId="26" fillId="0" borderId="11" xfId="76" applyNumberFormat="1" applyFont="1" applyBorder="1" applyAlignment="1">
      <alignment horizontal="justify" vertical="center"/>
    </xf>
    <xf numFmtId="0" fontId="33" fillId="0" borderId="11" xfId="0" applyFont="1" applyBorder="1" applyAlignment="1" applyProtection="1">
      <alignment horizontal="justify" vertical="center"/>
      <protection locked="0"/>
    </xf>
    <xf numFmtId="0" fontId="33" fillId="0" borderId="11" xfId="0" applyFont="1" applyBorder="1" applyAlignment="1" applyProtection="1">
      <alignment horizontal="justify" vertical="center" wrapText="1"/>
      <protection locked="0"/>
    </xf>
    <xf numFmtId="49" fontId="26" fillId="0" borderId="33" xfId="76" applyNumberFormat="1" applyFont="1" applyBorder="1" applyAlignment="1">
      <alignment horizontal="justify" vertical="center" wrapText="1"/>
    </xf>
    <xf numFmtId="171" fontId="26" fillId="0" borderId="11" xfId="76" applyNumberFormat="1" applyFont="1" applyBorder="1" applyAlignment="1">
      <alignment horizontal="justify" vertical="center" wrapText="1"/>
    </xf>
    <xf numFmtId="49" fontId="26" fillId="0" borderId="11" xfId="76" applyNumberFormat="1" applyFont="1" applyBorder="1" applyAlignment="1">
      <alignment horizontal="justify" vertical="center" wrapText="1"/>
    </xf>
    <xf numFmtId="0" fontId="3" fillId="65" borderId="0" xfId="0" applyFont="1" applyFill="1"/>
    <xf numFmtId="0" fontId="26" fillId="0" borderId="11" xfId="0" applyFont="1" applyFill="1" applyBorder="1" applyAlignment="1" applyProtection="1">
      <alignment horizontal="center" vertical="center" wrapText="1"/>
      <protection locked="0"/>
    </xf>
    <xf numFmtId="177" fontId="26" fillId="0" borderId="0" xfId="0" applyNumberFormat="1" applyFont="1" applyAlignment="1">
      <alignment horizontal="right" vertical="center" wrapText="1"/>
    </xf>
    <xf numFmtId="0" fontId="5" fillId="28" borderId="80" xfId="0" applyFont="1" applyFill="1" applyBorder="1" applyAlignment="1">
      <alignment horizontal="justify" vertical="center" wrapText="1"/>
    </xf>
    <xf numFmtId="177" fontId="5" fillId="28" borderId="80" xfId="0" applyNumberFormat="1" applyFont="1" applyFill="1" applyBorder="1" applyAlignment="1">
      <alignment horizontal="right" vertical="center" wrapText="1"/>
    </xf>
    <xf numFmtId="15" fontId="5" fillId="28" borderId="80" xfId="0" applyNumberFormat="1" applyFont="1" applyFill="1" applyBorder="1" applyAlignment="1">
      <alignment horizontal="center" vertical="center" wrapText="1"/>
    </xf>
    <xf numFmtId="0" fontId="26" fillId="65" borderId="80" xfId="0" applyFont="1" applyFill="1" applyBorder="1" applyAlignment="1">
      <alignment horizontal="center" vertical="center" wrapText="1"/>
    </xf>
    <xf numFmtId="3" fontId="5" fillId="28" borderId="80" xfId="0" applyNumberFormat="1" applyFont="1" applyFill="1" applyBorder="1" applyAlignment="1">
      <alignment horizontal="center" vertical="center" wrapText="1"/>
    </xf>
    <xf numFmtId="0" fontId="26" fillId="65" borderId="80" xfId="0" applyFont="1" applyFill="1" applyBorder="1" applyAlignment="1">
      <alignment horizontal="justify" vertical="center" wrapText="1"/>
    </xf>
    <xf numFmtId="0" fontId="26" fillId="0" borderId="80" xfId="0" applyFont="1" applyBorder="1" applyAlignment="1">
      <alignment horizontal="justify" vertical="center" wrapText="1"/>
    </xf>
    <xf numFmtId="177" fontId="26" fillId="0" borderId="80" xfId="0" applyNumberFormat="1" applyFont="1" applyBorder="1" applyAlignment="1">
      <alignment horizontal="right" vertical="center" wrapText="1"/>
    </xf>
    <xf numFmtId="15" fontId="26" fillId="0" borderId="80" xfId="0" applyNumberFormat="1" applyFont="1" applyBorder="1" applyAlignment="1">
      <alignment horizontal="justify" vertical="center" wrapText="1"/>
    </xf>
    <xf numFmtId="0" fontId="26" fillId="0" borderId="80" xfId="0" applyFont="1" applyBorder="1" applyAlignment="1">
      <alignment horizontal="center" vertical="center" wrapText="1"/>
    </xf>
    <xf numFmtId="172" fontId="26" fillId="0" borderId="80" xfId="1" applyNumberFormat="1" applyFont="1" applyBorder="1" applyAlignment="1">
      <alignment horizontal="center" vertical="center" wrapText="1"/>
    </xf>
    <xf numFmtId="0" fontId="26" fillId="25" borderId="0" xfId="0" applyFont="1" applyFill="1" applyAlignment="1">
      <alignment horizontal="justify" vertical="center" wrapText="1"/>
    </xf>
    <xf numFmtId="177" fontId="26" fillId="25" borderId="0" xfId="0" applyNumberFormat="1" applyFont="1" applyFill="1" applyAlignment="1">
      <alignment horizontal="right" vertical="center" wrapText="1"/>
    </xf>
    <xf numFmtId="14" fontId="26" fillId="25" borderId="0" xfId="0" applyNumberFormat="1" applyFont="1" applyFill="1" applyAlignment="1">
      <alignment horizontal="justify" vertical="center" wrapText="1"/>
    </xf>
    <xf numFmtId="175" fontId="5" fillId="68" borderId="11" xfId="0" applyNumberFormat="1" applyFont="1" applyFill="1" applyBorder="1" applyAlignment="1">
      <alignment horizontal="center" vertical="center" wrapText="1"/>
    </xf>
    <xf numFmtId="175" fontId="5" fillId="69" borderId="11" xfId="0" applyNumberFormat="1" applyFont="1" applyFill="1" applyBorder="1" applyAlignment="1">
      <alignment horizontal="center" vertical="center" wrapText="1"/>
    </xf>
    <xf numFmtId="15" fontId="33" fillId="0" borderId="11" xfId="0" applyNumberFormat="1" applyFont="1" applyBorder="1" applyAlignment="1" applyProtection="1">
      <alignment horizontal="center" vertical="center"/>
      <protection locked="0"/>
    </xf>
    <xf numFmtId="15" fontId="33" fillId="0" borderId="11" xfId="0" applyNumberFormat="1" applyFont="1" applyFill="1" applyBorder="1" applyAlignment="1" applyProtection="1">
      <alignment horizontal="center" vertical="center"/>
      <protection locked="0"/>
    </xf>
    <xf numFmtId="15" fontId="33" fillId="0" borderId="11" xfId="0" applyNumberFormat="1" applyFont="1" applyBorder="1" applyAlignment="1" applyProtection="1">
      <alignment horizontal="center" vertical="center" wrapText="1"/>
      <protection locked="0"/>
    </xf>
    <xf numFmtId="15" fontId="49" fillId="0" borderId="11" xfId="0" applyNumberFormat="1" applyFont="1" applyBorder="1" applyAlignment="1" applyProtection="1">
      <alignment horizontal="center" vertical="center" wrapText="1"/>
      <protection locked="0"/>
    </xf>
    <xf numFmtId="15" fontId="26" fillId="0" borderId="11" xfId="0" applyNumberFormat="1" applyFont="1" applyBorder="1" applyAlignment="1" applyProtection="1">
      <alignment horizontal="center" vertical="center" wrapText="1"/>
      <protection locked="0"/>
    </xf>
    <xf numFmtId="15" fontId="5" fillId="0" borderId="11" xfId="0" applyNumberFormat="1" applyFont="1" applyBorder="1" applyAlignment="1" applyProtection="1">
      <alignment horizontal="center" vertical="center" wrapText="1"/>
      <protection locked="0"/>
    </xf>
    <xf numFmtId="15" fontId="26" fillId="0" borderId="11" xfId="0" applyNumberFormat="1" applyFont="1" applyFill="1" applyBorder="1" applyAlignment="1" applyProtection="1">
      <alignment horizontal="center" vertical="center" wrapText="1"/>
      <protection locked="0"/>
    </xf>
    <xf numFmtId="15" fontId="33" fillId="65" borderId="11" xfId="0" applyNumberFormat="1" applyFont="1" applyFill="1" applyBorder="1" applyAlignment="1" applyProtection="1">
      <alignment horizontal="center" vertical="center"/>
      <protection locked="0"/>
    </xf>
    <xf numFmtId="49" fontId="26" fillId="0" borderId="11" xfId="76" applyNumberFormat="1" applyFont="1" applyBorder="1" applyAlignment="1">
      <alignment horizontal="justify" vertical="center"/>
    </xf>
    <xf numFmtId="0" fontId="56" fillId="0" borderId="11" xfId="77" applyFont="1" applyFill="1" applyBorder="1" applyAlignment="1" applyProtection="1">
      <alignment vertical="center"/>
      <protection locked="0"/>
    </xf>
    <xf numFmtId="0" fontId="56" fillId="0" borderId="26" xfId="77" applyFont="1" applyFill="1" applyBorder="1" applyAlignment="1" applyProtection="1">
      <alignment vertical="center"/>
      <protection locked="0"/>
    </xf>
    <xf numFmtId="0" fontId="56" fillId="0" borderId="26" xfId="77" applyFont="1" applyFill="1" applyBorder="1" applyAlignment="1" applyProtection="1">
      <alignment vertical="center"/>
    </xf>
    <xf numFmtId="0" fontId="56" fillId="0" borderId="11" xfId="77" applyFont="1" applyFill="1" applyBorder="1" applyAlignment="1" applyProtection="1">
      <alignment horizontal="left" vertical="center"/>
      <protection locked="0"/>
    </xf>
    <xf numFmtId="0" fontId="56" fillId="25" borderId="11" xfId="77" applyFont="1" applyFill="1" applyBorder="1" applyAlignment="1">
      <alignment vertical="center"/>
    </xf>
    <xf numFmtId="0" fontId="56" fillId="25" borderId="11" xfId="77" applyFont="1" applyFill="1" applyBorder="1" applyAlignment="1" applyProtection="1">
      <alignment vertical="center"/>
      <protection locked="0"/>
    </xf>
    <xf numFmtId="0" fontId="56" fillId="0" borderId="11" xfId="77" applyFont="1" applyBorder="1" applyAlignment="1" applyProtection="1">
      <alignment vertical="center"/>
      <protection locked="0"/>
    </xf>
    <xf numFmtId="0" fontId="56" fillId="0" borderId="11" xfId="77" applyFont="1" applyBorder="1" applyAlignment="1" applyProtection="1">
      <alignment horizontal="justify" vertical="center"/>
      <protection locked="0"/>
    </xf>
    <xf numFmtId="0" fontId="56" fillId="25" borderId="11" xfId="77" applyFont="1" applyFill="1" applyBorder="1" applyAlignment="1" applyProtection="1">
      <alignment horizontal="justify" vertical="center"/>
      <protection locked="0"/>
    </xf>
    <xf numFmtId="14" fontId="26" fillId="0" borderId="11" xfId="0" applyNumberFormat="1" applyFont="1" applyFill="1" applyBorder="1" applyAlignment="1" applyProtection="1">
      <alignment vertical="center"/>
      <protection locked="0"/>
    </xf>
    <xf numFmtId="169" fontId="5" fillId="29" borderId="61" xfId="0" applyNumberFormat="1" applyFont="1" applyFill="1" applyBorder="1" applyAlignment="1" applyProtection="1">
      <alignment vertical="center" wrapText="1"/>
      <protection locked="0"/>
    </xf>
    <xf numFmtId="0" fontId="26" fillId="25" borderId="16" xfId="0" applyFont="1" applyFill="1" applyBorder="1" applyAlignment="1">
      <alignment horizontal="justify" vertical="center" wrapText="1"/>
    </xf>
    <xf numFmtId="0" fontId="0" fillId="0" borderId="0" xfId="0" applyAlignment="1">
      <alignment vertical="center" wrapText="1"/>
    </xf>
    <xf numFmtId="178" fontId="5" fillId="0" borderId="11" xfId="116" applyNumberFormat="1" applyFont="1" applyFill="1" applyBorder="1" applyAlignment="1">
      <alignment horizontal="right" vertical="center" wrapText="1"/>
    </xf>
    <xf numFmtId="179" fontId="5" fillId="0" borderId="11" xfId="116" applyNumberFormat="1" applyFont="1" applyFill="1" applyBorder="1" applyAlignment="1">
      <alignment horizontal="center" vertical="center" wrapText="1"/>
    </xf>
    <xf numFmtId="169" fontId="0" fillId="25" borderId="0" xfId="0" applyNumberFormat="1" applyFill="1" applyAlignment="1">
      <alignment horizontal="center" vertical="center"/>
    </xf>
    <xf numFmtId="169" fontId="5" fillId="0" borderId="11" xfId="76" applyNumberFormat="1" applyFont="1" applyFill="1" applyBorder="1" applyAlignment="1" applyProtection="1">
      <alignment horizontal="center" vertical="center" wrapText="1"/>
      <protection locked="0"/>
    </xf>
    <xf numFmtId="169" fontId="26" fillId="0" borderId="11" xfId="0" applyNumberFormat="1" applyFont="1" applyFill="1" applyBorder="1" applyAlignment="1" applyProtection="1">
      <alignment horizontal="center" vertical="center"/>
      <protection locked="0"/>
    </xf>
    <xf numFmtId="169" fontId="0" fillId="0" borderId="0" xfId="0" applyNumberFormat="1" applyAlignment="1">
      <alignment horizontal="center" vertical="center"/>
    </xf>
    <xf numFmtId="169" fontId="0" fillId="25" borderId="0" xfId="116" applyNumberFormat="1" applyFont="1" applyFill="1" applyAlignment="1">
      <alignment horizontal="center" vertical="center"/>
    </xf>
    <xf numFmtId="169" fontId="26" fillId="0" borderId="11" xfId="116" applyNumberFormat="1" applyFont="1" applyFill="1" applyBorder="1" applyAlignment="1" applyProtection="1">
      <alignment horizontal="center" vertical="center"/>
      <protection locked="0"/>
    </xf>
    <xf numFmtId="169" fontId="0" fillId="0" borderId="0" xfId="116" applyNumberFormat="1" applyFont="1" applyAlignment="1">
      <alignment horizontal="center" vertical="center"/>
    </xf>
    <xf numFmtId="169" fontId="26" fillId="0" borderId="57" xfId="0" applyNumberFormat="1" applyFont="1" applyFill="1" applyBorder="1" applyAlignment="1" applyProtection="1">
      <alignment horizontal="center" vertical="center"/>
      <protection locked="0"/>
    </xf>
    <xf numFmtId="169" fontId="5" fillId="27" borderId="41" xfId="0" applyNumberFormat="1" applyFont="1" applyFill="1" applyBorder="1" applyAlignment="1">
      <alignment horizontal="center" vertical="center" wrapText="1"/>
    </xf>
    <xf numFmtId="169" fontId="5" fillId="27" borderId="42" xfId="0" applyNumberFormat="1" applyFont="1" applyFill="1" applyBorder="1" applyAlignment="1">
      <alignment horizontal="center" vertical="center" wrapText="1"/>
    </xf>
    <xf numFmtId="169" fontId="0" fillId="0" borderId="0" xfId="0" applyNumberFormat="1" applyFill="1" applyAlignment="1">
      <alignment horizontal="center" vertical="center"/>
    </xf>
    <xf numFmtId="169" fontId="5" fillId="0" borderId="43" xfId="116" applyNumberFormat="1" applyFont="1" applyFill="1" applyBorder="1" applyAlignment="1" applyProtection="1">
      <alignment horizontal="center" vertical="center" wrapText="1"/>
      <protection locked="0"/>
    </xf>
    <xf numFmtId="169" fontId="26" fillId="0" borderId="43" xfId="0" applyNumberFormat="1" applyFont="1" applyFill="1" applyBorder="1" applyAlignment="1" applyProtection="1">
      <alignment horizontal="center" vertical="center" wrapText="1"/>
      <protection locked="0"/>
    </xf>
    <xf numFmtId="169" fontId="26" fillId="0" borderId="11" xfId="0" applyNumberFormat="1" applyFont="1" applyFill="1" applyBorder="1" applyAlignment="1" applyProtection="1">
      <alignment horizontal="center" vertical="center" wrapText="1"/>
      <protection locked="0"/>
    </xf>
    <xf numFmtId="2" fontId="26" fillId="0" borderId="43" xfId="0" applyNumberFormat="1" applyFont="1" applyFill="1" applyBorder="1" applyAlignment="1" applyProtection="1">
      <alignment horizontal="center" vertical="center" wrapText="1"/>
      <protection locked="0"/>
    </xf>
    <xf numFmtId="171" fontId="5" fillId="30" borderId="11" xfId="76" applyNumberFormat="1" applyFont="1" applyFill="1" applyBorder="1" applyAlignment="1" applyProtection="1">
      <alignment horizontal="right" vertical="center" wrapText="1"/>
      <protection locked="0"/>
    </xf>
    <xf numFmtId="0" fontId="0" fillId="29" borderId="59" xfId="0" applyFill="1" applyBorder="1" applyAlignment="1" applyProtection="1">
      <alignment vertical="center" wrapText="1"/>
      <protection locked="0"/>
    </xf>
    <xf numFmtId="169" fontId="5" fillId="29" borderId="59" xfId="64" applyNumberFormat="1" applyFont="1" applyFill="1" applyBorder="1" applyAlignment="1" applyProtection="1">
      <alignment horizontal="center" vertical="center" wrapText="1"/>
      <protection locked="0"/>
    </xf>
    <xf numFmtId="169" fontId="5" fillId="29" borderId="55" xfId="0" applyNumberFormat="1" applyFont="1" applyFill="1" applyBorder="1" applyAlignment="1" applyProtection="1">
      <alignment vertical="center" wrapText="1"/>
      <protection locked="0"/>
    </xf>
    <xf numFmtId="169" fontId="5" fillId="29" borderId="55" xfId="64" applyNumberFormat="1" applyFont="1" applyFill="1" applyBorder="1" applyAlignment="1" applyProtection="1">
      <alignment horizontal="center" vertical="center" wrapText="1"/>
      <protection locked="0"/>
    </xf>
    <xf numFmtId="0" fontId="5" fillId="29" borderId="55" xfId="0" applyNumberFormat="1" applyFont="1" applyFill="1" applyBorder="1" applyAlignment="1" applyProtection="1">
      <alignment horizontal="center" vertical="center" wrapText="1"/>
      <protection locked="0"/>
    </xf>
    <xf numFmtId="169" fontId="5" fillId="29" borderId="61" xfId="0" applyNumberFormat="1" applyFont="1" applyFill="1" applyBorder="1" applyAlignment="1" applyProtection="1">
      <alignment horizontal="center" vertical="center" wrapText="1"/>
      <protection locked="0"/>
    </xf>
    <xf numFmtId="169" fontId="5" fillId="29" borderId="53" xfId="0" applyNumberFormat="1" applyFont="1" applyFill="1" applyBorder="1" applyAlignment="1" applyProtection="1">
      <alignment vertical="center" wrapText="1"/>
      <protection locked="0"/>
    </xf>
    <xf numFmtId="169" fontId="5" fillId="29" borderId="59" xfId="0" applyNumberFormat="1" applyFont="1" applyFill="1" applyBorder="1" applyAlignment="1" applyProtection="1">
      <alignment horizontal="center" vertical="center" wrapText="1"/>
      <protection locked="0"/>
    </xf>
    <xf numFmtId="169" fontId="5" fillId="29" borderId="54" xfId="0" applyNumberFormat="1" applyFont="1" applyFill="1" applyBorder="1" applyAlignment="1" applyProtection="1">
      <alignment horizontal="center" vertical="center" wrapText="1"/>
      <protection locked="0"/>
    </xf>
    <xf numFmtId="169" fontId="23" fillId="29" borderId="55" xfId="0" applyNumberFormat="1" applyFont="1" applyFill="1" applyBorder="1" applyAlignment="1" applyProtection="1">
      <alignment horizontal="right" vertical="center" wrapText="1"/>
      <protection locked="0"/>
    </xf>
    <xf numFmtId="169" fontId="5" fillId="29" borderId="61" xfId="0" applyNumberFormat="1" applyFont="1" applyFill="1" applyBorder="1" applyAlignment="1" applyProtection="1">
      <alignment horizontal="right" vertical="center" wrapText="1"/>
      <protection locked="0"/>
    </xf>
    <xf numFmtId="169" fontId="5" fillId="29" borderId="56" xfId="0" applyNumberFormat="1" applyFont="1" applyFill="1" applyBorder="1" applyAlignment="1" applyProtection="1">
      <alignment horizontal="right" vertical="center" wrapText="1"/>
      <protection locked="0"/>
    </xf>
    <xf numFmtId="169" fontId="5" fillId="29" borderId="62" xfId="0" applyNumberFormat="1" applyFont="1" applyFill="1" applyBorder="1" applyAlignment="1" applyProtection="1">
      <alignment horizontal="center" vertical="center" wrapText="1"/>
      <protection locked="0"/>
    </xf>
    <xf numFmtId="169" fontId="5" fillId="29" borderId="54" xfId="0" applyNumberFormat="1" applyFont="1" applyFill="1" applyBorder="1" applyAlignment="1" applyProtection="1">
      <alignment horizontal="right" vertical="center" wrapText="1"/>
      <protection locked="0"/>
    </xf>
    <xf numFmtId="169" fontId="5" fillId="29" borderId="59" xfId="0" applyNumberFormat="1" applyFont="1" applyFill="1" applyBorder="1" applyAlignment="1" applyProtection="1">
      <alignment vertical="center" wrapText="1"/>
      <protection locked="0"/>
    </xf>
    <xf numFmtId="180" fontId="26" fillId="0" borderId="80" xfId="1" applyNumberFormat="1" applyFont="1" applyBorder="1" applyAlignment="1">
      <alignment horizontal="center" vertical="center" wrapText="1"/>
    </xf>
    <xf numFmtId="1" fontId="26" fillId="0" borderId="80" xfId="1" applyNumberFormat="1" applyFont="1" applyBorder="1" applyAlignment="1">
      <alignment horizontal="center" vertical="center" wrapText="1"/>
    </xf>
    <xf numFmtId="0" fontId="26" fillId="30" borderId="0" xfId="0" applyFont="1" applyFill="1" applyAlignment="1">
      <alignment horizontal="justify" vertical="center" wrapText="1"/>
    </xf>
    <xf numFmtId="0" fontId="26" fillId="70" borderId="0" xfId="0" applyFont="1" applyFill="1" applyAlignment="1">
      <alignment horizontal="justify" vertical="center" wrapText="1"/>
    </xf>
    <xf numFmtId="0" fontId="26" fillId="71" borderId="0" xfId="0" applyFont="1" applyFill="1" applyAlignment="1">
      <alignment horizontal="justify" vertical="center" wrapText="1"/>
    </xf>
    <xf numFmtId="0" fontId="26" fillId="72" borderId="0" xfId="0" applyFont="1" applyFill="1" applyAlignment="1">
      <alignment horizontal="justify" vertical="center" wrapText="1"/>
    </xf>
    <xf numFmtId="0" fontId="26" fillId="73" borderId="0" xfId="0" applyFont="1" applyFill="1" applyAlignment="1">
      <alignment horizontal="justify" vertical="center" wrapText="1"/>
    </xf>
    <xf numFmtId="0" fontId="26" fillId="31" borderId="0" xfId="0" applyFont="1" applyFill="1" applyAlignment="1">
      <alignment horizontal="justify" vertical="center" wrapText="1"/>
    </xf>
    <xf numFmtId="14" fontId="58" fillId="25" borderId="0" xfId="0" applyNumberFormat="1" applyFont="1" applyFill="1" applyAlignment="1">
      <alignment horizontal="justify" vertical="center" wrapText="1"/>
    </xf>
    <xf numFmtId="0" fontId="5" fillId="70" borderId="0" xfId="0" applyFont="1" applyFill="1" applyAlignment="1">
      <alignment vertical="center"/>
    </xf>
    <xf numFmtId="169" fontId="26" fillId="26" borderId="43" xfId="0" applyNumberFormat="1" applyFont="1" applyFill="1" applyBorder="1" applyAlignment="1" applyProtection="1">
      <alignment horizontal="center" vertical="center" wrapText="1"/>
      <protection locked="0"/>
    </xf>
    <xf numFmtId="0" fontId="5" fillId="30" borderId="0" xfId="0" applyFont="1" applyFill="1" applyAlignment="1">
      <alignment vertical="center"/>
    </xf>
    <xf numFmtId="0" fontId="26" fillId="0" borderId="11" xfId="0" applyFont="1" applyBorder="1" applyAlignment="1">
      <alignment horizontal="center" vertical="center"/>
    </xf>
    <xf numFmtId="9" fontId="26" fillId="0" borderId="80" xfId="1" applyFont="1" applyBorder="1" applyAlignment="1">
      <alignment horizontal="center" vertical="center" wrapText="1"/>
    </xf>
    <xf numFmtId="0" fontId="26" fillId="25" borderId="61" xfId="0" applyFont="1" applyFill="1" applyBorder="1" applyAlignment="1">
      <alignment vertical="center"/>
    </xf>
    <xf numFmtId="0" fontId="26" fillId="0" borderId="61" xfId="0" applyFont="1" applyBorder="1"/>
    <xf numFmtId="0" fontId="5" fillId="25" borderId="56" xfId="0" applyFont="1" applyFill="1" applyBorder="1" applyAlignment="1" applyProtection="1">
      <alignment horizontal="justify" vertical="center" wrapText="1"/>
      <protection locked="0"/>
    </xf>
    <xf numFmtId="0" fontId="5" fillId="0" borderId="55" xfId="0" applyFont="1" applyFill="1" applyBorder="1" applyAlignment="1" applyProtection="1">
      <alignment vertical="center"/>
    </xf>
    <xf numFmtId="0" fontId="26" fillId="25" borderId="26" xfId="0" applyFont="1" applyFill="1" applyBorder="1" applyAlignment="1">
      <alignment vertical="center" wrapText="1"/>
    </xf>
    <xf numFmtId="0" fontId="26" fillId="0" borderId="26" xfId="0" applyFont="1" applyBorder="1"/>
    <xf numFmtId="0" fontId="5" fillId="25" borderId="78" xfId="0" applyFont="1" applyFill="1" applyBorder="1" applyAlignment="1" applyProtection="1">
      <alignment horizontal="justify" vertical="center" wrapText="1"/>
      <protection locked="0"/>
    </xf>
    <xf numFmtId="168" fontId="5" fillId="25" borderId="78" xfId="38" applyNumberFormat="1" applyFont="1" applyFill="1" applyBorder="1" applyAlignment="1" applyProtection="1">
      <alignment horizontal="center" vertical="center" wrapText="1"/>
      <protection locked="0"/>
    </xf>
    <xf numFmtId="15" fontId="26" fillId="25" borderId="26" xfId="0" applyNumberFormat="1" applyFont="1" applyFill="1" applyBorder="1" applyAlignment="1">
      <alignment vertical="center"/>
    </xf>
    <xf numFmtId="15" fontId="26" fillId="0" borderId="26" xfId="0" applyNumberFormat="1" applyFont="1" applyBorder="1"/>
    <xf numFmtId="15" fontId="5" fillId="25" borderId="78" xfId="0" applyNumberFormat="1" applyFont="1" applyFill="1" applyBorder="1" applyAlignment="1" applyProtection="1">
      <alignment horizontal="center" vertical="center"/>
      <protection locked="0"/>
    </xf>
    <xf numFmtId="174" fontId="0" fillId="0" borderId="0" xfId="0" applyNumberFormat="1" applyAlignment="1">
      <alignment vertical="center"/>
    </xf>
    <xf numFmtId="173" fontId="5" fillId="26" borderId="43" xfId="116" applyNumberFormat="1" applyFont="1" applyFill="1" applyBorder="1" applyAlignment="1" applyProtection="1">
      <alignment horizontal="right" vertical="center" wrapText="1"/>
      <protection locked="0"/>
    </xf>
    <xf numFmtId="0" fontId="59" fillId="25" borderId="0" xfId="0" applyFont="1" applyFill="1" applyAlignment="1">
      <alignment wrapText="1"/>
    </xf>
    <xf numFmtId="49" fontId="0" fillId="25" borderId="0" xfId="0" applyNumberFormat="1" applyFill="1" applyAlignment="1">
      <alignment horizontal="justify" vertical="center" wrapText="1"/>
    </xf>
    <xf numFmtId="49" fontId="0" fillId="25" borderId="0" xfId="0" applyNumberFormat="1" applyFill="1" applyBorder="1" applyAlignment="1">
      <alignment horizontal="justify" vertical="center" wrapText="1"/>
    </xf>
    <xf numFmtId="171" fontId="26" fillId="0" borderId="11" xfId="76" applyNumberFormat="1" applyFont="1" applyFill="1" applyBorder="1" applyAlignment="1">
      <alignment horizontal="justify" vertical="center"/>
    </xf>
    <xf numFmtId="171" fontId="26" fillId="0" borderId="33" xfId="76" applyNumberFormat="1" applyFont="1" applyBorder="1" applyAlignment="1">
      <alignment horizontal="justify" vertical="center"/>
    </xf>
    <xf numFmtId="49" fontId="26" fillId="0" borderId="0" xfId="0" applyNumberFormat="1" applyFont="1" applyAlignment="1">
      <alignment horizontal="justify" vertical="center" wrapText="1"/>
    </xf>
    <xf numFmtId="15" fontId="33" fillId="74" borderId="11" xfId="0" applyNumberFormat="1" applyFont="1" applyFill="1" applyBorder="1" applyAlignment="1" applyProtection="1">
      <alignment horizontal="center" vertical="center" wrapText="1"/>
      <protection locked="0"/>
    </xf>
    <xf numFmtId="0" fontId="0" fillId="0" borderId="11" xfId="0" applyBorder="1" applyAlignment="1">
      <alignment vertical="center" wrapText="1"/>
    </xf>
    <xf numFmtId="4" fontId="0" fillId="0" borderId="0" xfId="0" applyNumberFormat="1" applyFill="1"/>
    <xf numFmtId="0" fontId="0" fillId="0" borderId="11" xfId="0" applyFill="1" applyBorder="1" applyAlignment="1">
      <alignment wrapText="1"/>
    </xf>
    <xf numFmtId="0" fontId="0" fillId="0" borderId="11" xfId="0" applyFill="1" applyBorder="1" applyAlignment="1">
      <alignment horizontal="left"/>
    </xf>
    <xf numFmtId="0" fontId="0" fillId="75" borderId="11" xfId="0" applyFill="1" applyBorder="1" applyAlignment="1">
      <alignment vertical="center" wrapText="1"/>
    </xf>
    <xf numFmtId="0" fontId="0" fillId="76" borderId="11" xfId="0" applyFill="1" applyBorder="1"/>
    <xf numFmtId="171" fontId="26" fillId="0" borderId="0" xfId="76" applyNumberFormat="1" applyFont="1" applyAlignment="1">
      <alignment vertical="center" wrapText="1"/>
    </xf>
    <xf numFmtId="169" fontId="26" fillId="0" borderId="0" xfId="0" applyNumberFormat="1" applyFont="1" applyAlignment="1">
      <alignment horizontal="center" vertical="center" wrapText="1"/>
    </xf>
    <xf numFmtId="169" fontId="26" fillId="0" borderId="0" xfId="0" applyNumberFormat="1" applyFont="1" applyAlignment="1">
      <alignment vertical="center" wrapText="1"/>
    </xf>
    <xf numFmtId="0" fontId="3" fillId="76" borderId="11" xfId="0" applyFont="1" applyFill="1" applyBorder="1"/>
    <xf numFmtId="0" fontId="26" fillId="0" borderId="11" xfId="0" applyFont="1" applyBorder="1" applyAlignment="1">
      <alignment horizontal="center" vertical="center" wrapText="1"/>
    </xf>
    <xf numFmtId="0" fontId="26" fillId="0" borderId="11" xfId="0" applyFont="1" applyBorder="1" applyAlignment="1">
      <alignment horizontal="justify" vertical="center" wrapText="1"/>
    </xf>
    <xf numFmtId="0" fontId="26" fillId="25" borderId="0" xfId="0" applyFont="1" applyFill="1" applyAlignment="1">
      <alignment horizontal="center" vertical="center"/>
    </xf>
    <xf numFmtId="0" fontId="26" fillId="25" borderId="0" xfId="0" applyFont="1" applyFill="1" applyBorder="1" applyAlignment="1">
      <alignment horizontal="center" vertical="center"/>
    </xf>
    <xf numFmtId="0" fontId="5" fillId="25" borderId="11" xfId="0" applyFont="1" applyFill="1" applyBorder="1" applyAlignment="1">
      <alignment horizontal="center" vertical="center"/>
    </xf>
    <xf numFmtId="0" fontId="5" fillId="0" borderId="11" xfId="0" applyFont="1" applyFill="1" applyBorder="1" applyAlignment="1">
      <alignment horizontal="center" vertical="center"/>
    </xf>
    <xf numFmtId="0" fontId="5" fillId="70" borderId="11" xfId="0" applyFont="1" applyFill="1" applyBorder="1" applyAlignment="1">
      <alignment horizontal="center" vertical="center"/>
    </xf>
    <xf numFmtId="0" fontId="5" fillId="30" borderId="11" xfId="0" applyFont="1" applyFill="1" applyBorder="1" applyAlignment="1">
      <alignment horizontal="center" vertical="center"/>
    </xf>
    <xf numFmtId="0" fontId="26" fillId="0" borderId="11" xfId="0" applyFont="1" applyBorder="1" applyAlignment="1">
      <alignment vertical="center" wrapText="1"/>
    </xf>
    <xf numFmtId="171" fontId="26" fillId="0" borderId="11" xfId="76" applyNumberFormat="1" applyFont="1" applyBorder="1" applyAlignment="1">
      <alignment vertical="center" wrapText="1"/>
    </xf>
    <xf numFmtId="0" fontId="26" fillId="0" borderId="33" xfId="0" applyFont="1" applyBorder="1" applyAlignment="1">
      <alignment horizontal="justify" vertical="center" wrapText="1"/>
    </xf>
    <xf numFmtId="0" fontId="26" fillId="0" borderId="82" xfId="0" applyFont="1" applyBorder="1" applyAlignment="1">
      <alignment horizontal="center" vertical="center" wrapText="1"/>
    </xf>
    <xf numFmtId="169" fontId="26" fillId="0" borderId="82" xfId="0" applyNumberFormat="1" applyFont="1" applyBorder="1" applyAlignment="1">
      <alignment horizontal="center" vertical="center" wrapText="1"/>
    </xf>
    <xf numFmtId="0" fontId="26" fillId="0" borderId="82" xfId="0" applyFont="1" applyBorder="1" applyAlignment="1">
      <alignment vertical="center" wrapText="1"/>
    </xf>
    <xf numFmtId="0" fontId="26" fillId="0" borderId="84" xfId="0" applyFont="1" applyBorder="1" applyAlignment="1">
      <alignment vertical="center" wrapText="1"/>
    </xf>
    <xf numFmtId="0" fontId="26" fillId="0" borderId="83" xfId="0" applyFont="1" applyBorder="1" applyAlignment="1">
      <alignment vertical="center" wrapText="1"/>
    </xf>
    <xf numFmtId="0" fontId="26" fillId="0" borderId="85" xfId="0" applyFont="1" applyBorder="1" applyAlignment="1">
      <alignment horizontal="center" vertical="center" wrapText="1"/>
    </xf>
    <xf numFmtId="0" fontId="26" fillId="0" borderId="85" xfId="0" applyFont="1" applyBorder="1" applyAlignment="1">
      <alignment vertical="center" wrapText="1"/>
    </xf>
    <xf numFmtId="166" fontId="26" fillId="0" borderId="0" xfId="76" applyFont="1" applyAlignment="1">
      <alignment vertical="center" wrapText="1"/>
    </xf>
    <xf numFmtId="166" fontId="26" fillId="0" borderId="85" xfId="76" applyFont="1" applyBorder="1" applyAlignment="1">
      <alignment vertical="center" wrapText="1"/>
    </xf>
    <xf numFmtId="171" fontId="26" fillId="0" borderId="85" xfId="76" applyNumberFormat="1" applyFont="1" applyBorder="1" applyAlignment="1">
      <alignment vertical="center" wrapText="1"/>
    </xf>
    <xf numFmtId="169" fontId="26" fillId="0" borderId="85" xfId="0" applyNumberFormat="1" applyFont="1" applyBorder="1" applyAlignment="1">
      <alignment vertical="center" wrapText="1"/>
    </xf>
    <xf numFmtId="169" fontId="26" fillId="0" borderId="85" xfId="0" applyNumberFormat="1" applyFont="1" applyBorder="1" applyAlignment="1">
      <alignment horizontal="center" vertical="center" wrapText="1"/>
    </xf>
    <xf numFmtId="169" fontId="26" fillId="0" borderId="85" xfId="76" applyNumberFormat="1" applyFont="1" applyBorder="1" applyAlignment="1">
      <alignment horizontal="center" vertical="center" wrapText="1"/>
    </xf>
    <xf numFmtId="0" fontId="26" fillId="0" borderId="0" xfId="0" applyNumberFormat="1" applyFont="1" applyAlignment="1">
      <alignment vertical="center" wrapText="1"/>
    </xf>
    <xf numFmtId="0" fontId="26" fillId="0" borderId="85" xfId="76" applyNumberFormat="1" applyFont="1" applyBorder="1" applyAlignment="1">
      <alignment horizontal="center" vertical="center" wrapText="1"/>
    </xf>
    <xf numFmtId="166" fontId="26" fillId="0" borderId="85" xfId="76" applyFont="1" applyBorder="1" applyAlignment="1">
      <alignment horizontal="center" vertical="center" wrapText="1"/>
    </xf>
    <xf numFmtId="171" fontId="26" fillId="0" borderId="85" xfId="76" applyNumberFormat="1" applyFont="1" applyBorder="1" applyAlignment="1">
      <alignment horizontal="center" vertical="center" wrapText="1"/>
    </xf>
    <xf numFmtId="9" fontId="26" fillId="0" borderId="85" xfId="1" applyFont="1" applyBorder="1" applyAlignment="1">
      <alignment horizontal="center" vertical="center" wrapText="1"/>
    </xf>
    <xf numFmtId="172" fontId="26" fillId="0" borderId="0" xfId="1" applyNumberFormat="1" applyFont="1" applyAlignment="1">
      <alignment vertical="center" wrapText="1"/>
    </xf>
    <xf numFmtId="172" fontId="26" fillId="0" borderId="85" xfId="1" applyNumberFormat="1" applyFont="1" applyBorder="1" applyAlignment="1">
      <alignment horizontal="center" vertical="center" wrapText="1"/>
    </xf>
    <xf numFmtId="14" fontId="26" fillId="0" borderId="85" xfId="0" applyNumberFormat="1" applyFont="1" applyBorder="1" applyAlignment="1">
      <alignment vertical="center" wrapText="1"/>
    </xf>
    <xf numFmtId="0" fontId="56" fillId="0" borderId="84" xfId="77" applyFont="1" applyBorder="1" applyAlignment="1">
      <alignment vertical="center" wrapText="1"/>
    </xf>
    <xf numFmtId="14" fontId="26" fillId="0" borderId="82" xfId="0" applyNumberFormat="1" applyFont="1" applyBorder="1" applyAlignment="1">
      <alignment vertical="center" wrapText="1"/>
    </xf>
    <xf numFmtId="0" fontId="26" fillId="25" borderId="0" xfId="0" applyFont="1" applyFill="1" applyAlignment="1">
      <alignment vertical="center" wrapText="1"/>
    </xf>
    <xf numFmtId="171" fontId="26" fillId="25" borderId="0" xfId="76" applyNumberFormat="1" applyFont="1" applyFill="1" applyAlignment="1">
      <alignment vertical="center" wrapText="1"/>
    </xf>
    <xf numFmtId="169" fontId="26" fillId="25" borderId="0" xfId="0" applyNumberFormat="1" applyFont="1" applyFill="1" applyAlignment="1">
      <alignment horizontal="center" vertical="center" wrapText="1"/>
    </xf>
    <xf numFmtId="166" fontId="26" fillId="25" borderId="0" xfId="76" applyFont="1" applyFill="1" applyAlignment="1">
      <alignment vertical="center" wrapText="1"/>
    </xf>
    <xf numFmtId="0" fontId="26" fillId="25" borderId="0" xfId="0" applyNumberFormat="1" applyFont="1" applyFill="1" applyAlignment="1">
      <alignment vertical="center" wrapText="1"/>
    </xf>
    <xf numFmtId="169" fontId="26" fillId="25" borderId="0" xfId="0" applyNumberFormat="1" applyFont="1" applyFill="1" applyAlignment="1">
      <alignment vertical="center" wrapText="1"/>
    </xf>
    <xf numFmtId="172" fontId="26" fillId="25" borderId="0" xfId="1" applyNumberFormat="1" applyFont="1" applyFill="1" applyAlignment="1">
      <alignment vertical="center" wrapText="1"/>
    </xf>
    <xf numFmtId="4" fontId="0" fillId="0" borderId="11" xfId="0" applyNumberFormat="1" applyFill="1" applyBorder="1"/>
    <xf numFmtId="4" fontId="0" fillId="76" borderId="11" xfId="0" applyNumberFormat="1" applyFill="1" applyBorder="1"/>
    <xf numFmtId="4" fontId="0" fillId="0" borderId="11" xfId="0" applyNumberFormat="1" applyBorder="1"/>
    <xf numFmtId="4" fontId="0" fillId="75" borderId="11" xfId="0" applyNumberFormat="1" applyFill="1" applyBorder="1"/>
    <xf numFmtId="0" fontId="0" fillId="76" borderId="11" xfId="0" applyFill="1" applyBorder="1" applyAlignment="1">
      <alignment vertical="center" wrapText="1"/>
    </xf>
    <xf numFmtId="0" fontId="0" fillId="0" borderId="11" xfId="0" applyFill="1" applyBorder="1" applyAlignment="1">
      <alignment vertical="center" wrapText="1"/>
    </xf>
    <xf numFmtId="166" fontId="26" fillId="0" borderId="0" xfId="0" applyNumberFormat="1" applyFont="1" applyAlignment="1">
      <alignment vertical="center" wrapText="1"/>
    </xf>
    <xf numFmtId="0" fontId="26" fillId="0" borderId="87" xfId="0" applyFont="1" applyBorder="1" applyAlignment="1">
      <alignment vertical="center" wrapText="1"/>
    </xf>
    <xf numFmtId="0" fontId="63" fillId="0" borderId="0" xfId="0" applyFont="1" applyBorder="1"/>
    <xf numFmtId="0" fontId="63" fillId="0" borderId="11" xfId="0" applyFont="1" applyBorder="1" applyAlignment="1">
      <alignment vertical="center" wrapText="1"/>
    </xf>
    <xf numFmtId="166" fontId="63" fillId="0" borderId="11" xfId="76" applyFont="1" applyBorder="1"/>
    <xf numFmtId="171" fontId="63" fillId="0" borderId="11" xfId="76" applyNumberFormat="1" applyFont="1" applyBorder="1"/>
    <xf numFmtId="0" fontId="22" fillId="0" borderId="11" xfId="77" applyFont="1" applyFill="1" applyBorder="1" applyAlignment="1" applyProtection="1">
      <alignment horizontal="center" vertical="center"/>
      <protection locked="0"/>
    </xf>
    <xf numFmtId="0" fontId="63" fillId="0" borderId="11" xfId="0" applyFont="1" applyBorder="1" applyAlignment="1">
      <alignment horizontal="center"/>
    </xf>
    <xf numFmtId="166" fontId="63" fillId="0" borderId="11" xfId="76" applyFont="1" applyBorder="1" applyAlignment="1">
      <alignment horizontal="center"/>
    </xf>
    <xf numFmtId="0" fontId="63" fillId="0" borderId="11" xfId="0" applyFont="1" applyBorder="1"/>
    <xf numFmtId="10" fontId="63" fillId="0" borderId="11" xfId="1" applyNumberFormat="1" applyFont="1" applyBorder="1" applyAlignment="1">
      <alignment horizontal="center"/>
    </xf>
    <xf numFmtId="172" fontId="63" fillId="0" borderId="11" xfId="1" applyNumberFormat="1" applyFont="1" applyBorder="1"/>
    <xf numFmtId="0" fontId="60" fillId="76" borderId="11" xfId="0" applyFont="1" applyFill="1" applyBorder="1"/>
    <xf numFmtId="0" fontId="60" fillId="75" borderId="11" xfId="0" applyFont="1" applyFill="1" applyBorder="1" applyAlignment="1">
      <alignment vertical="center" wrapText="1"/>
    </xf>
    <xf numFmtId="0" fontId="60" fillId="76" borderId="11" xfId="0" applyFont="1" applyFill="1" applyBorder="1" applyAlignment="1">
      <alignment vertical="center" wrapText="1"/>
    </xf>
    <xf numFmtId="0" fontId="60" fillId="0" borderId="11" xfId="0" applyFont="1" applyFill="1" applyBorder="1" applyAlignment="1">
      <alignment vertical="center" wrapText="1"/>
    </xf>
    <xf numFmtId="0" fontId="60" fillId="0" borderId="11" xfId="0" applyFont="1" applyFill="1" applyBorder="1"/>
    <xf numFmtId="0" fontId="60" fillId="0" borderId="11" xfId="0" applyFont="1" applyFill="1" applyBorder="1" applyAlignment="1">
      <alignment wrapText="1"/>
    </xf>
    <xf numFmtId="171" fontId="60" fillId="0" borderId="11" xfId="76" applyNumberFormat="1" applyFont="1" applyFill="1" applyBorder="1"/>
    <xf numFmtId="0" fontId="60" fillId="0" borderId="11" xfId="0" applyFont="1" applyFill="1" applyBorder="1" applyAlignment="1">
      <alignment horizontal="left"/>
    </xf>
    <xf numFmtId="171" fontId="60" fillId="0" borderId="11" xfId="76" applyNumberFormat="1" applyFont="1" applyBorder="1"/>
    <xf numFmtId="171" fontId="60" fillId="75" borderId="11" xfId="76" applyNumberFormat="1" applyFont="1" applyFill="1" applyBorder="1"/>
    <xf numFmtId="171" fontId="60" fillId="76" borderId="11" xfId="76" applyNumberFormat="1" applyFont="1" applyFill="1" applyBorder="1"/>
    <xf numFmtId="0" fontId="60" fillId="0" borderId="11" xfId="0" applyFont="1" applyBorder="1" applyAlignment="1">
      <alignment vertical="center" wrapText="1"/>
    </xf>
    <xf numFmtId="0" fontId="50" fillId="25" borderId="0" xfId="0" applyFont="1" applyFill="1" applyAlignment="1">
      <alignment horizontal="center" vertical="center" wrapText="1"/>
    </xf>
    <xf numFmtId="0" fontId="50" fillId="70" borderId="11" xfId="0" applyFont="1" applyFill="1" applyBorder="1" applyAlignment="1">
      <alignment horizontal="center" vertical="center" wrapText="1"/>
    </xf>
    <xf numFmtId="0" fontId="50" fillId="70" borderId="33" xfId="0" applyFont="1" applyFill="1" applyBorder="1" applyAlignment="1">
      <alignment horizontal="center" vertical="center" wrapText="1"/>
    </xf>
    <xf numFmtId="0" fontId="50" fillId="76" borderId="82" xfId="0" applyFont="1" applyFill="1" applyBorder="1" applyAlignment="1">
      <alignment horizontal="center" vertical="center" wrapText="1"/>
    </xf>
    <xf numFmtId="0" fontId="50" fillId="76" borderId="84" xfId="0" applyFont="1" applyFill="1" applyBorder="1" applyAlignment="1">
      <alignment horizontal="center" vertical="center" wrapText="1"/>
    </xf>
    <xf numFmtId="0" fontId="50" fillId="77" borderId="83" xfId="0" applyFont="1" applyFill="1" applyBorder="1" applyAlignment="1">
      <alignment horizontal="center" vertical="center" wrapText="1"/>
    </xf>
    <xf numFmtId="171" fontId="50" fillId="77" borderId="83" xfId="76" applyNumberFormat="1" applyFont="1" applyFill="1" applyBorder="1" applyAlignment="1">
      <alignment horizontal="center" vertical="center" wrapText="1"/>
    </xf>
    <xf numFmtId="169" fontId="50" fillId="77" borderId="83" xfId="0" applyNumberFormat="1" applyFont="1" applyFill="1" applyBorder="1" applyAlignment="1">
      <alignment horizontal="center" vertical="center" wrapText="1"/>
    </xf>
    <xf numFmtId="166" fontId="50" fillId="77" borderId="83" xfId="76" applyFont="1" applyFill="1" applyBorder="1" applyAlignment="1">
      <alignment horizontal="center" vertical="center" wrapText="1"/>
    </xf>
    <xf numFmtId="0" fontId="50" fillId="77" borderId="86" xfId="0" applyFont="1" applyFill="1" applyBorder="1" applyAlignment="1">
      <alignment horizontal="center" vertical="center" wrapText="1"/>
    </xf>
    <xf numFmtId="169" fontId="50" fillId="70" borderId="85" xfId="0" applyNumberFormat="1" applyFont="1" applyFill="1" applyBorder="1" applyAlignment="1">
      <alignment horizontal="center" vertical="center" wrapText="1"/>
    </xf>
    <xf numFmtId="0" fontId="50" fillId="70" borderId="85" xfId="0" applyFont="1" applyFill="1" applyBorder="1" applyAlignment="1">
      <alignment horizontal="center" vertical="center" wrapText="1"/>
    </xf>
    <xf numFmtId="171" fontId="50" fillId="70" borderId="85" xfId="76" applyNumberFormat="1" applyFont="1" applyFill="1" applyBorder="1" applyAlignment="1">
      <alignment horizontal="center" vertical="center" wrapText="1"/>
    </xf>
    <xf numFmtId="0" fontId="50" fillId="70" borderId="85" xfId="0" applyNumberFormat="1" applyFont="1" applyFill="1" applyBorder="1" applyAlignment="1">
      <alignment horizontal="center" vertical="center" wrapText="1"/>
    </xf>
    <xf numFmtId="166" fontId="50" fillId="70" borderId="85" xfId="76" applyFont="1" applyFill="1" applyBorder="1" applyAlignment="1">
      <alignment horizontal="center" vertical="center" wrapText="1"/>
    </xf>
    <xf numFmtId="172" fontId="50" fillId="70" borderId="85" xfId="1" applyNumberFormat="1" applyFont="1" applyFill="1" applyBorder="1" applyAlignment="1">
      <alignment horizontal="center" vertical="center" wrapText="1"/>
    </xf>
    <xf numFmtId="0" fontId="50" fillId="0" borderId="0" xfId="0" applyFont="1" applyAlignment="1">
      <alignment horizontal="center" vertical="center" wrapText="1"/>
    </xf>
    <xf numFmtId="0" fontId="62" fillId="25" borderId="93" xfId="0" applyFont="1" applyFill="1" applyBorder="1" applyAlignment="1">
      <alignment horizontal="center" vertical="center" wrapText="1"/>
    </xf>
    <xf numFmtId="0" fontId="62" fillId="25" borderId="94" xfId="0" applyFont="1" applyFill="1" applyBorder="1" applyAlignment="1">
      <alignment horizontal="center" vertical="center" wrapText="1"/>
    </xf>
    <xf numFmtId="0" fontId="62" fillId="25" borderId="95" xfId="0" applyFont="1" applyFill="1" applyBorder="1" applyAlignment="1">
      <alignment horizontal="center" vertical="center" wrapText="1"/>
    </xf>
    <xf numFmtId="0" fontId="26" fillId="0" borderId="0" xfId="0" applyFont="1" applyBorder="1" applyAlignment="1">
      <alignment vertical="center" wrapText="1"/>
    </xf>
    <xf numFmtId="14" fontId="26" fillId="0" borderId="84" xfId="0" applyNumberFormat="1" applyFont="1" applyBorder="1" applyAlignment="1">
      <alignment vertical="center" wrapText="1"/>
    </xf>
    <xf numFmtId="0" fontId="26" fillId="0" borderId="84" xfId="0" applyFont="1" applyBorder="1" applyAlignment="1">
      <alignment horizontal="center" vertical="center" wrapText="1"/>
    </xf>
    <xf numFmtId="0" fontId="63" fillId="25" borderId="0" xfId="0" applyFont="1" applyFill="1" applyBorder="1"/>
    <xf numFmtId="0" fontId="60" fillId="78" borderId="26" xfId="0" applyFont="1" applyFill="1" applyBorder="1" applyAlignment="1">
      <alignment horizontal="center" vertical="center" wrapText="1"/>
    </xf>
    <xf numFmtId="9" fontId="60" fillId="78" borderId="26" xfId="1" applyFont="1" applyFill="1" applyBorder="1" applyAlignment="1">
      <alignment horizontal="center" vertical="center" wrapText="1"/>
    </xf>
    <xf numFmtId="0" fontId="63" fillId="25" borderId="0" xfId="0" applyFont="1" applyFill="1" applyBorder="1" applyAlignment="1">
      <alignment vertical="center" wrapText="1"/>
    </xf>
    <xf numFmtId="166" fontId="63" fillId="25" borderId="0" xfId="0" applyNumberFormat="1" applyFont="1" applyFill="1" applyBorder="1"/>
    <xf numFmtId="166" fontId="64" fillId="25" borderId="0" xfId="77" applyNumberFormat="1" applyFont="1" applyFill="1" applyBorder="1" applyAlignment="1" applyProtection="1">
      <alignment horizontal="justify" vertical="center"/>
      <protection locked="0"/>
    </xf>
    <xf numFmtId="0" fontId="66" fillId="0" borderId="11" xfId="0" applyFont="1" applyBorder="1" applyAlignment="1">
      <alignment vertical="center" wrapText="1"/>
    </xf>
    <xf numFmtId="0" fontId="68" fillId="0" borderId="11" xfId="77" applyFont="1" applyFill="1" applyBorder="1" applyAlignment="1" applyProtection="1">
      <alignment horizontal="center" vertical="center" wrapText="1"/>
      <protection locked="0"/>
    </xf>
    <xf numFmtId="0" fontId="66" fillId="0" borderId="0" xfId="0" applyFont="1" applyAlignment="1">
      <alignment vertical="center" wrapText="1"/>
    </xf>
    <xf numFmtId="171" fontId="66" fillId="0" borderId="11" xfId="76" applyNumberFormat="1" applyFont="1" applyBorder="1" applyAlignment="1">
      <alignment vertical="center" wrapText="1"/>
    </xf>
    <xf numFmtId="0" fontId="66" fillId="0" borderId="11" xfId="0" applyFont="1" applyBorder="1" applyAlignment="1">
      <alignment horizontal="center" vertical="center" wrapText="1"/>
    </xf>
    <xf numFmtId="0" fontId="66" fillId="0" borderId="11" xfId="0" applyFont="1" applyBorder="1" applyAlignment="1">
      <alignment horizontal="left" vertical="center" wrapText="1"/>
    </xf>
    <xf numFmtId="171" fontId="67" fillId="29" borderId="11" xfId="76" applyNumberFormat="1" applyFont="1" applyFill="1" applyBorder="1" applyAlignment="1">
      <alignment vertical="center" wrapText="1"/>
    </xf>
    <xf numFmtId="0" fontId="68" fillId="29" borderId="11" xfId="77" applyFont="1" applyFill="1" applyBorder="1" applyAlignment="1" applyProtection="1">
      <alignment horizontal="center" vertical="center" wrapText="1"/>
      <protection locked="0"/>
    </xf>
    <xf numFmtId="171" fontId="67" fillId="80" borderId="11" xfId="76" applyNumberFormat="1" applyFont="1" applyFill="1" applyBorder="1" applyAlignment="1">
      <alignment vertical="center" wrapText="1"/>
    </xf>
    <xf numFmtId="0" fontId="68" fillId="80" borderId="11" xfId="77" applyFont="1" applyFill="1" applyBorder="1" applyAlignment="1" applyProtection="1">
      <alignment horizontal="center" vertical="center" wrapText="1"/>
      <protection locked="0"/>
    </xf>
    <xf numFmtId="171" fontId="66" fillId="29" borderId="11" xfId="76" applyNumberFormat="1" applyFont="1" applyFill="1" applyBorder="1" applyAlignment="1">
      <alignment vertical="center" wrapText="1"/>
    </xf>
    <xf numFmtId="0" fontId="67" fillId="78" borderId="11" xfId="0" applyFont="1" applyFill="1" applyBorder="1" applyAlignment="1">
      <alignment horizontal="center" vertical="center" wrapText="1"/>
    </xf>
    <xf numFmtId="171" fontId="66" fillId="0" borderId="11" xfId="76" applyNumberFormat="1" applyFont="1" applyBorder="1" applyAlignment="1">
      <alignment horizontal="center" vertical="center" wrapText="1"/>
    </xf>
    <xf numFmtId="15" fontId="5" fillId="0" borderId="11" xfId="38" applyNumberFormat="1" applyFont="1" applyFill="1" applyBorder="1" applyAlignment="1" applyProtection="1">
      <alignment horizontal="center" vertical="center" wrapText="1"/>
      <protection locked="0"/>
    </xf>
    <xf numFmtId="15" fontId="66" fillId="0" borderId="0" xfId="0" applyNumberFormat="1" applyFont="1" applyAlignment="1">
      <alignment vertical="center" wrapText="1"/>
    </xf>
    <xf numFmtId="0" fontId="26" fillId="26" borderId="11" xfId="0" applyFont="1" applyFill="1" applyBorder="1" applyAlignment="1">
      <alignment horizontal="justify" vertical="center" wrapText="1"/>
    </xf>
    <xf numFmtId="0" fontId="26" fillId="26" borderId="33" xfId="0" applyFont="1" applyFill="1" applyBorder="1" applyAlignment="1">
      <alignment horizontal="justify" vertical="center" wrapText="1"/>
    </xf>
    <xf numFmtId="0" fontId="26" fillId="26" borderId="82" xfId="0" applyFont="1" applyFill="1" applyBorder="1" applyAlignment="1">
      <alignment horizontal="center" vertical="center" wrapText="1"/>
    </xf>
    <xf numFmtId="15" fontId="66" fillId="0" borderId="11" xfId="76" applyNumberFormat="1" applyFont="1" applyBorder="1" applyAlignment="1">
      <alignment vertical="center" wrapText="1"/>
    </xf>
    <xf numFmtId="0" fontId="66" fillId="0" borderId="26" xfId="0" applyFont="1" applyBorder="1" applyAlignment="1">
      <alignment horizontal="center" vertical="center" wrapText="1"/>
    </xf>
    <xf numFmtId="0" fontId="66" fillId="0" borderId="26" xfId="0" applyFont="1" applyBorder="1" applyAlignment="1">
      <alignment vertical="center" wrapText="1"/>
    </xf>
    <xf numFmtId="171" fontId="66" fillId="0" borderId="26" xfId="76" applyNumberFormat="1" applyFont="1" applyBorder="1" applyAlignment="1">
      <alignment vertical="center" wrapText="1"/>
    </xf>
    <xf numFmtId="0" fontId="68" fillId="0" borderId="26" xfId="77" applyFont="1" applyFill="1" applyBorder="1" applyAlignment="1" applyProtection="1">
      <alignment horizontal="center" vertical="center" wrapText="1"/>
      <protection locked="0"/>
    </xf>
    <xf numFmtId="15" fontId="66" fillId="0" borderId="26" xfId="76" applyNumberFormat="1" applyFont="1" applyBorder="1" applyAlignment="1">
      <alignment vertical="center" wrapText="1"/>
    </xf>
    <xf numFmtId="171" fontId="67" fillId="29" borderId="96" xfId="76" applyNumberFormat="1" applyFont="1" applyFill="1" applyBorder="1" applyAlignment="1">
      <alignment vertical="center" wrapText="1"/>
    </xf>
    <xf numFmtId="0" fontId="68" fillId="29" borderId="96" xfId="77" applyFont="1" applyFill="1" applyBorder="1" applyAlignment="1" applyProtection="1">
      <alignment horizontal="center" vertical="center" wrapText="1"/>
      <protection locked="0"/>
    </xf>
    <xf numFmtId="171" fontId="66" fillId="0" borderId="77" xfId="76" applyNumberFormat="1" applyFont="1" applyBorder="1" applyAlignment="1">
      <alignment vertical="center" wrapText="1"/>
    </xf>
    <xf numFmtId="15" fontId="66" fillId="0" borderId="77" xfId="76" applyNumberFormat="1" applyFont="1" applyBorder="1" applyAlignment="1">
      <alignment vertical="center" wrapText="1"/>
    </xf>
    <xf numFmtId="0" fontId="66" fillId="0" borderId="77" xfId="0" applyFont="1" applyBorder="1" applyAlignment="1">
      <alignment vertical="center" wrapText="1"/>
    </xf>
    <xf numFmtId="0" fontId="66" fillId="0" borderId="97" xfId="0" applyFont="1" applyBorder="1" applyAlignment="1">
      <alignment vertical="center" wrapText="1"/>
    </xf>
    <xf numFmtId="171" fontId="66" fillId="0" borderId="78" xfId="76" applyNumberFormat="1" applyFont="1" applyBorder="1" applyAlignment="1">
      <alignment vertical="center" wrapText="1"/>
    </xf>
    <xf numFmtId="15" fontId="66" fillId="0" borderId="78" xfId="76" applyNumberFormat="1" applyFont="1" applyBorder="1" applyAlignment="1">
      <alignment vertical="center" wrapText="1"/>
    </xf>
    <xf numFmtId="0" fontId="66" fillId="0" borderId="78" xfId="0" applyFont="1" applyBorder="1" applyAlignment="1">
      <alignment vertical="center" wrapText="1"/>
    </xf>
    <xf numFmtId="0" fontId="66" fillId="0" borderId="98" xfId="0" applyFont="1" applyBorder="1" applyAlignment="1">
      <alignment vertical="center" wrapText="1"/>
    </xf>
    <xf numFmtId="171" fontId="66" fillId="29" borderId="96" xfId="76" applyNumberFormat="1" applyFont="1" applyFill="1" applyBorder="1" applyAlignment="1">
      <alignment vertical="center" wrapText="1"/>
    </xf>
    <xf numFmtId="15" fontId="66" fillId="0" borderId="11" xfId="0" applyNumberFormat="1" applyFont="1" applyBorder="1" applyAlignment="1">
      <alignment horizontal="center" vertical="center" wrapText="1"/>
    </xf>
    <xf numFmtId="0" fontId="66" fillId="29" borderId="11" xfId="0" applyFont="1" applyFill="1" applyBorder="1" applyAlignment="1">
      <alignment vertical="center" wrapText="1"/>
    </xf>
    <xf numFmtId="15" fontId="66" fillId="29" borderId="11" xfId="0" applyNumberFormat="1" applyFont="1" applyFill="1" applyBorder="1" applyAlignment="1">
      <alignment vertical="center" wrapText="1"/>
    </xf>
    <xf numFmtId="0" fontId="66" fillId="80" borderId="11" xfId="0" applyFont="1" applyFill="1" applyBorder="1" applyAlignment="1">
      <alignment vertical="center" wrapText="1"/>
    </xf>
    <xf numFmtId="15" fontId="66" fillId="80" borderId="11" xfId="0" applyNumberFormat="1" applyFont="1" applyFill="1" applyBorder="1" applyAlignment="1">
      <alignment vertical="center" wrapText="1"/>
    </xf>
    <xf numFmtId="15" fontId="66" fillId="29" borderId="96" xfId="76" applyNumberFormat="1" applyFont="1" applyFill="1" applyBorder="1" applyAlignment="1">
      <alignment vertical="center" wrapText="1"/>
    </xf>
    <xf numFmtId="0" fontId="66" fillId="29" borderId="96" xfId="0" applyFont="1" applyFill="1" applyBorder="1" applyAlignment="1">
      <alignment vertical="center" wrapText="1"/>
    </xf>
    <xf numFmtId="15" fontId="66" fillId="29" borderId="11" xfId="76" applyNumberFormat="1" applyFont="1" applyFill="1" applyBorder="1" applyAlignment="1">
      <alignment vertical="center" wrapText="1"/>
    </xf>
    <xf numFmtId="171" fontId="66" fillId="80" borderId="11" xfId="76" applyNumberFormat="1" applyFont="1" applyFill="1" applyBorder="1" applyAlignment="1">
      <alignment vertical="center" wrapText="1"/>
    </xf>
    <xf numFmtId="15" fontId="66" fillId="80" borderId="11" xfId="76" applyNumberFormat="1" applyFont="1" applyFill="1" applyBorder="1" applyAlignment="1">
      <alignment vertical="center" wrapText="1"/>
    </xf>
    <xf numFmtId="0" fontId="26" fillId="0" borderId="11" xfId="0" applyFont="1" applyFill="1" applyBorder="1" applyAlignment="1" applyProtection="1">
      <alignment horizontal="justify" vertical="center" wrapText="1"/>
      <protection locked="0"/>
    </xf>
    <xf numFmtId="171" fontId="68" fillId="0" borderId="78" xfId="77" applyNumberFormat="1" applyFont="1" applyFill="1" applyBorder="1" applyAlignment="1" applyProtection="1">
      <alignment horizontal="center" vertical="center" wrapText="1"/>
      <protection locked="0"/>
    </xf>
    <xf numFmtId="171" fontId="66" fillId="0" borderId="11" xfId="76" applyNumberFormat="1" applyFont="1" applyFill="1" applyBorder="1" applyAlignment="1">
      <alignment vertical="center" wrapText="1"/>
    </xf>
    <xf numFmtId="171" fontId="66" fillId="81" borderId="11" xfId="76" applyNumberFormat="1" applyFont="1" applyFill="1" applyBorder="1" applyAlignment="1">
      <alignment vertical="center" wrapText="1"/>
    </xf>
    <xf numFmtId="171" fontId="69" fillId="81" borderId="11" xfId="76" applyNumberFormat="1" applyFont="1" applyFill="1" applyBorder="1" applyAlignment="1">
      <alignment vertical="center" wrapText="1"/>
    </xf>
    <xf numFmtId="10" fontId="67" fillId="80" borderId="11" xfId="1" applyNumberFormat="1" applyFont="1" applyFill="1" applyBorder="1" applyAlignment="1">
      <alignment vertical="center" wrapText="1"/>
    </xf>
    <xf numFmtId="171" fontId="66" fillId="81" borderId="11" xfId="0" applyNumberFormat="1" applyFont="1" applyFill="1" applyBorder="1" applyAlignment="1">
      <alignment vertical="center" wrapText="1"/>
    </xf>
    <xf numFmtId="171" fontId="70" fillId="81" borderId="11" xfId="0" applyNumberFormat="1" applyFont="1" applyFill="1" applyBorder="1" applyAlignment="1">
      <alignment vertical="center" wrapText="1"/>
    </xf>
    <xf numFmtId="0" fontId="68" fillId="81" borderId="11" xfId="77" applyFont="1" applyFill="1" applyBorder="1" applyAlignment="1" applyProtection="1">
      <alignment horizontal="center" vertical="center" wrapText="1"/>
      <protection locked="0"/>
    </xf>
    <xf numFmtId="171" fontId="66" fillId="81" borderId="96" xfId="76" applyNumberFormat="1" applyFont="1" applyFill="1" applyBorder="1" applyAlignment="1">
      <alignment vertical="center" wrapText="1"/>
    </xf>
    <xf numFmtId="0" fontId="68" fillId="81" borderId="96" xfId="77" applyFont="1" applyFill="1" applyBorder="1" applyAlignment="1" applyProtection="1">
      <alignment horizontal="center" vertical="center" wrapText="1"/>
      <protection locked="0"/>
    </xf>
    <xf numFmtId="15" fontId="66" fillId="81" borderId="96" xfId="76" applyNumberFormat="1" applyFont="1" applyFill="1" applyBorder="1" applyAlignment="1">
      <alignment vertical="center" wrapText="1"/>
    </xf>
    <xf numFmtId="0" fontId="66" fillId="81" borderId="96" xfId="0" applyFont="1" applyFill="1" applyBorder="1" applyAlignment="1">
      <alignment vertical="center" wrapText="1"/>
    </xf>
    <xf numFmtId="15" fontId="66" fillId="81" borderId="11" xfId="76" applyNumberFormat="1" applyFont="1" applyFill="1" applyBorder="1" applyAlignment="1">
      <alignment vertical="center" wrapText="1"/>
    </xf>
    <xf numFmtId="0" fontId="66" fillId="81" borderId="11" xfId="0" applyFont="1" applyFill="1" applyBorder="1" applyAlignment="1">
      <alignment vertical="center" wrapText="1"/>
    </xf>
    <xf numFmtId="0" fontId="68" fillId="0" borderId="96" xfId="0" applyFont="1" applyFill="1" applyBorder="1" applyAlignment="1">
      <alignment horizontal="left" vertical="center" wrapText="1"/>
    </xf>
    <xf numFmtId="171" fontId="68" fillId="0" borderId="96" xfId="76" applyNumberFormat="1" applyFont="1" applyFill="1" applyBorder="1" applyAlignment="1">
      <alignment vertical="center" wrapText="1"/>
    </xf>
    <xf numFmtId="0" fontId="68" fillId="0" borderId="96" xfId="77" applyFont="1" applyFill="1" applyBorder="1" applyAlignment="1" applyProtection="1">
      <alignment horizontal="center" vertical="center" wrapText="1"/>
      <protection locked="0"/>
    </xf>
    <xf numFmtId="15" fontId="68" fillId="0" borderId="96" xfId="76" applyNumberFormat="1" applyFont="1" applyFill="1" applyBorder="1" applyAlignment="1">
      <alignment vertical="center" wrapText="1"/>
    </xf>
    <xf numFmtId="0" fontId="68" fillId="0" borderId="96" xfId="0" applyFont="1" applyFill="1" applyBorder="1" applyAlignment="1">
      <alignment vertical="center" wrapText="1"/>
    </xf>
    <xf numFmtId="0" fontId="68" fillId="0" borderId="0" xfId="0" applyFont="1" applyFill="1" applyAlignment="1">
      <alignment vertical="center" wrapText="1"/>
    </xf>
    <xf numFmtId="10" fontId="67" fillId="78" borderId="11" xfId="1" applyNumberFormat="1" applyFont="1" applyFill="1" applyBorder="1" applyAlignment="1">
      <alignment horizontal="center" vertical="center" wrapText="1"/>
    </xf>
    <xf numFmtId="10" fontId="66" fillId="0" borderId="11" xfId="1" applyNumberFormat="1" applyFont="1" applyBorder="1" applyAlignment="1">
      <alignment horizontal="center" vertical="center" wrapText="1"/>
    </xf>
    <xf numFmtId="10" fontId="66" fillId="29" borderId="11" xfId="1" applyNumberFormat="1" applyFont="1" applyFill="1" applyBorder="1" applyAlignment="1">
      <alignment vertical="center" wrapText="1"/>
    </xf>
    <xf numFmtId="10" fontId="67" fillId="29" borderId="11" xfId="1" applyNumberFormat="1" applyFont="1" applyFill="1" applyBorder="1" applyAlignment="1">
      <alignment horizontal="center" vertical="center" wrapText="1"/>
    </xf>
    <xf numFmtId="10" fontId="66" fillId="81" borderId="11" xfId="1" applyNumberFormat="1" applyFont="1" applyFill="1" applyBorder="1" applyAlignment="1">
      <alignment horizontal="center" vertical="center" wrapText="1"/>
    </xf>
    <xf numFmtId="10" fontId="66" fillId="0" borderId="26" xfId="1" applyNumberFormat="1" applyFont="1" applyBorder="1" applyAlignment="1">
      <alignment horizontal="center" vertical="center" wrapText="1"/>
    </xf>
    <xf numFmtId="10" fontId="66" fillId="0" borderId="77" xfId="1" applyNumberFormat="1" applyFont="1" applyBorder="1" applyAlignment="1">
      <alignment horizontal="center" vertical="center" wrapText="1"/>
    </xf>
    <xf numFmtId="10" fontId="66" fillId="0" borderId="78" xfId="1" applyNumberFormat="1" applyFont="1" applyBorder="1" applyAlignment="1">
      <alignment horizontal="center" vertical="center" wrapText="1"/>
    </xf>
    <xf numFmtId="10" fontId="66" fillId="81" borderId="96" xfId="1" applyNumberFormat="1" applyFont="1" applyFill="1" applyBorder="1" applyAlignment="1">
      <alignment horizontal="center" vertical="center" wrapText="1"/>
    </xf>
    <xf numFmtId="10" fontId="68" fillId="0" borderId="96" xfId="1" applyNumberFormat="1" applyFont="1" applyFill="1" applyBorder="1" applyAlignment="1">
      <alignment horizontal="center" vertical="center" wrapText="1"/>
    </xf>
    <xf numFmtId="10" fontId="66" fillId="29" borderId="96" xfId="1" applyNumberFormat="1" applyFont="1" applyFill="1" applyBorder="1" applyAlignment="1">
      <alignment horizontal="center" vertical="center" wrapText="1"/>
    </xf>
    <xf numFmtId="10" fontId="66" fillId="29" borderId="11" xfId="1" applyNumberFormat="1" applyFont="1" applyFill="1" applyBorder="1" applyAlignment="1">
      <alignment horizontal="center" vertical="center" wrapText="1"/>
    </xf>
    <xf numFmtId="10" fontId="66" fillId="0" borderId="0" xfId="1" applyNumberFormat="1" applyFont="1" applyAlignment="1">
      <alignment horizontal="center" vertical="center" wrapText="1"/>
    </xf>
    <xf numFmtId="10" fontId="66" fillId="0" borderId="11" xfId="1" applyNumberFormat="1" applyFont="1" applyFill="1" applyBorder="1" applyAlignment="1">
      <alignment horizontal="center" vertical="center" wrapText="1"/>
    </xf>
    <xf numFmtId="15" fontId="66" fillId="0" borderId="11" xfId="76" applyNumberFormat="1" applyFont="1" applyFill="1" applyBorder="1" applyAlignment="1">
      <alignment vertical="center" wrapText="1"/>
    </xf>
    <xf numFmtId="0" fontId="66" fillId="0" borderId="11" xfId="0" applyFont="1" applyFill="1" applyBorder="1" applyAlignment="1">
      <alignment vertical="center" wrapText="1"/>
    </xf>
    <xf numFmtId="0" fontId="66" fillId="0" borderId="0" xfId="0" applyFont="1" applyFill="1" applyAlignment="1">
      <alignment vertical="center" wrapText="1"/>
    </xf>
    <xf numFmtId="0" fontId="66" fillId="29" borderId="11" xfId="0" applyFont="1" applyFill="1" applyBorder="1" applyAlignment="1">
      <alignment horizontal="center" vertical="center" wrapText="1"/>
    </xf>
    <xf numFmtId="0" fontId="66" fillId="0" borderId="11" xfId="0" applyFont="1" applyBorder="1" applyAlignment="1">
      <alignment horizontal="justify" vertical="center" wrapText="1"/>
    </xf>
    <xf numFmtId="171" fontId="66" fillId="29" borderId="11" xfId="76" applyNumberFormat="1" applyFont="1" applyFill="1" applyBorder="1" applyAlignment="1">
      <alignment horizontal="center" vertical="center" wrapText="1"/>
    </xf>
    <xf numFmtId="171" fontId="66" fillId="82" borderId="11" xfId="76" applyNumberFormat="1" applyFont="1" applyFill="1" applyBorder="1" applyAlignment="1">
      <alignment vertical="center" wrapText="1"/>
    </xf>
    <xf numFmtId="171" fontId="66" fillId="82" borderId="11" xfId="0" applyNumberFormat="1" applyFont="1" applyFill="1" applyBorder="1" applyAlignment="1">
      <alignment vertical="center" wrapText="1"/>
    </xf>
    <xf numFmtId="0" fontId="68" fillId="82" borderId="11" xfId="77" applyFont="1" applyFill="1" applyBorder="1" applyAlignment="1" applyProtection="1">
      <alignment horizontal="center" vertical="center" wrapText="1"/>
      <protection locked="0"/>
    </xf>
    <xf numFmtId="171" fontId="66" fillId="29" borderId="11" xfId="0" applyNumberFormat="1" applyFont="1" applyFill="1" applyBorder="1" applyAlignment="1">
      <alignment vertical="center" wrapText="1"/>
    </xf>
    <xf numFmtId="10" fontId="66" fillId="82" borderId="11" xfId="1" applyNumberFormat="1" applyFont="1" applyFill="1" applyBorder="1" applyAlignment="1">
      <alignment vertical="center" wrapText="1"/>
    </xf>
    <xf numFmtId="0" fontId="68" fillId="82" borderId="26" xfId="77" applyFont="1" applyFill="1" applyBorder="1" applyAlignment="1" applyProtection="1">
      <alignment horizontal="center" vertical="center" wrapText="1"/>
      <protection locked="0"/>
    </xf>
    <xf numFmtId="15" fontId="66" fillId="82" borderId="11" xfId="76" applyNumberFormat="1" applyFont="1" applyFill="1" applyBorder="1" applyAlignment="1">
      <alignment vertical="center" wrapText="1"/>
    </xf>
    <xf numFmtId="15" fontId="66" fillId="82" borderId="11" xfId="0" applyNumberFormat="1" applyFont="1" applyFill="1" applyBorder="1" applyAlignment="1">
      <alignment vertical="center" wrapText="1"/>
    </xf>
    <xf numFmtId="0" fontId="66" fillId="0" borderId="11" xfId="0" applyFont="1" applyFill="1" applyBorder="1" applyAlignment="1">
      <alignment horizontal="center" vertical="center" wrapText="1"/>
    </xf>
    <xf numFmtId="0" fontId="66" fillId="0" borderId="11" xfId="0" applyFont="1" applyFill="1" applyBorder="1" applyAlignment="1">
      <alignment horizontal="justify" vertical="center" wrapText="1"/>
    </xf>
    <xf numFmtId="15" fontId="66" fillId="0" borderId="11" xfId="0" applyNumberFormat="1" applyFont="1" applyFill="1" applyBorder="1" applyAlignment="1">
      <alignment vertical="center" wrapText="1"/>
    </xf>
    <xf numFmtId="171" fontId="66" fillId="0" borderId="11" xfId="0" applyNumberFormat="1" applyFont="1" applyFill="1" applyBorder="1" applyAlignment="1">
      <alignment vertical="center" wrapText="1"/>
    </xf>
    <xf numFmtId="171" fontId="68" fillId="29" borderId="11" xfId="77" applyNumberFormat="1" applyFont="1" applyFill="1" applyBorder="1" applyAlignment="1" applyProtection="1">
      <alignment horizontal="center" vertical="center" wrapText="1"/>
      <protection locked="0"/>
    </xf>
    <xf numFmtId="171" fontId="71" fillId="81" borderId="11" xfId="0" applyNumberFormat="1" applyFont="1" applyFill="1" applyBorder="1" applyAlignment="1">
      <alignment vertical="center" wrapText="1"/>
    </xf>
    <xf numFmtId="171" fontId="68" fillId="29" borderId="96" xfId="77" applyNumberFormat="1" applyFont="1" applyFill="1" applyBorder="1" applyAlignment="1" applyProtection="1">
      <alignment horizontal="center" vertical="center" wrapText="1"/>
      <protection locked="0"/>
    </xf>
    <xf numFmtId="164" fontId="66" fillId="0" borderId="0" xfId="0" applyNumberFormat="1" applyFont="1" applyAlignment="1">
      <alignment vertical="center" wrapText="1"/>
    </xf>
    <xf numFmtId="0" fontId="66" fillId="82" borderId="11" xfId="0" applyFont="1" applyFill="1" applyBorder="1" applyAlignment="1">
      <alignment vertical="center" wrapText="1"/>
    </xf>
    <xf numFmtId="0" fontId="68" fillId="83" borderId="11" xfId="77" applyFont="1" applyFill="1" applyBorder="1" applyAlignment="1" applyProtection="1">
      <alignment horizontal="center" vertical="center" wrapText="1"/>
      <protection locked="0"/>
    </xf>
    <xf numFmtId="171" fontId="66" fillId="83" borderId="11" xfId="76" applyNumberFormat="1" applyFont="1" applyFill="1" applyBorder="1" applyAlignment="1">
      <alignment horizontal="center" vertical="center" wrapText="1"/>
    </xf>
    <xf numFmtId="171" fontId="66" fillId="83" borderId="11" xfId="0" applyNumberFormat="1" applyFont="1" applyFill="1" applyBorder="1" applyAlignment="1">
      <alignment vertical="center" wrapText="1"/>
    </xf>
    <xf numFmtId="171" fontId="66" fillId="83" borderId="11" xfId="76" applyNumberFormat="1" applyFont="1" applyFill="1" applyBorder="1" applyAlignment="1">
      <alignment vertical="center" wrapText="1"/>
    </xf>
    <xf numFmtId="15" fontId="66" fillId="83" borderId="11" xfId="76" applyNumberFormat="1" applyFont="1" applyFill="1" applyBorder="1" applyAlignment="1">
      <alignment vertical="center" wrapText="1"/>
    </xf>
    <xf numFmtId="0" fontId="66" fillId="83" borderId="11" xfId="0" applyFont="1" applyFill="1" applyBorder="1" applyAlignment="1">
      <alignment vertical="center" wrapText="1"/>
    </xf>
    <xf numFmtId="171" fontId="66" fillId="0" borderId="96" xfId="76" applyNumberFormat="1" applyFont="1" applyFill="1" applyBorder="1" applyAlignment="1">
      <alignment vertical="center" wrapText="1"/>
    </xf>
    <xf numFmtId="10" fontId="66" fillId="0" borderId="96" xfId="1" applyNumberFormat="1" applyFont="1" applyFill="1" applyBorder="1" applyAlignment="1">
      <alignment horizontal="center" vertical="center" wrapText="1"/>
    </xf>
    <xf numFmtId="15" fontId="66" fillId="0" borderId="96" xfId="76" applyNumberFormat="1" applyFont="1" applyFill="1" applyBorder="1" applyAlignment="1">
      <alignment vertical="center" wrapText="1"/>
    </xf>
    <xf numFmtId="0" fontId="66" fillId="0" borderId="96" xfId="0" applyFont="1" applyFill="1" applyBorder="1" applyAlignment="1">
      <alignment vertical="center" wrapText="1"/>
    </xf>
    <xf numFmtId="10" fontId="67" fillId="80" borderId="11" xfId="1" applyNumberFormat="1" applyFont="1" applyFill="1" applyBorder="1" applyAlignment="1">
      <alignment horizontal="center" vertical="center" wrapText="1"/>
    </xf>
    <xf numFmtId="171" fontId="68" fillId="0" borderId="11" xfId="77" applyNumberFormat="1" applyFont="1" applyFill="1" applyBorder="1" applyAlignment="1" applyProtection="1">
      <alignment horizontal="center" vertical="center" wrapText="1"/>
      <protection locked="0"/>
    </xf>
    <xf numFmtId="0" fontId="67" fillId="0" borderId="11" xfId="0" applyFont="1" applyBorder="1" applyAlignment="1">
      <alignment vertical="center" wrapText="1"/>
    </xf>
    <xf numFmtId="166" fontId="66" fillId="82" borderId="11" xfId="76" applyFont="1" applyFill="1" applyBorder="1" applyAlignment="1">
      <alignment vertical="center" wrapText="1"/>
    </xf>
    <xf numFmtId="171" fontId="22" fillId="0" borderId="11" xfId="77" applyNumberFormat="1" applyFont="1" applyFill="1" applyBorder="1" applyAlignment="1" applyProtection="1">
      <alignment horizontal="center" vertical="center"/>
      <protection locked="0"/>
    </xf>
    <xf numFmtId="171" fontId="66" fillId="80" borderId="11" xfId="0" applyNumberFormat="1" applyFont="1" applyFill="1" applyBorder="1" applyAlignment="1">
      <alignment vertical="center" wrapText="1"/>
    </xf>
    <xf numFmtId="10" fontId="66" fillId="80" borderId="11" xfId="1" applyNumberFormat="1" applyFont="1" applyFill="1" applyBorder="1" applyAlignment="1">
      <alignment horizontal="center" vertical="center" wrapText="1"/>
    </xf>
    <xf numFmtId="171" fontId="71" fillId="29" borderId="11" xfId="0" applyNumberFormat="1" applyFont="1" applyFill="1" applyBorder="1" applyAlignment="1">
      <alignment vertical="center" wrapText="1"/>
    </xf>
    <xf numFmtId="0" fontId="66" fillId="0" borderId="0" xfId="0" applyFont="1" applyFill="1" applyBorder="1" applyAlignment="1">
      <alignment horizontal="center" vertical="center" wrapText="1"/>
    </xf>
    <xf numFmtId="0" fontId="0" fillId="0" borderId="0" xfId="0" applyFill="1" applyBorder="1"/>
    <xf numFmtId="0" fontId="66" fillId="0" borderId="0" xfId="0" applyFont="1" applyFill="1" applyBorder="1" applyAlignment="1">
      <alignment vertical="center" wrapText="1"/>
    </xf>
    <xf numFmtId="171" fontId="67" fillId="81" borderId="11" xfId="76" applyNumberFormat="1" applyFont="1" applyFill="1" applyBorder="1" applyAlignment="1">
      <alignment vertical="center" wrapText="1"/>
    </xf>
    <xf numFmtId="0" fontId="68" fillId="26" borderId="11" xfId="77" applyFont="1" applyFill="1" applyBorder="1" applyAlignment="1" applyProtection="1">
      <alignment horizontal="center" vertical="center" wrapText="1"/>
      <protection locked="0"/>
    </xf>
    <xf numFmtId="171" fontId="67" fillId="26" borderId="11" xfId="76" applyNumberFormat="1" applyFont="1" applyFill="1" applyBorder="1" applyAlignment="1">
      <alignment vertical="center" wrapText="1"/>
    </xf>
    <xf numFmtId="0" fontId="71" fillId="65" borderId="11" xfId="77" applyFont="1" applyFill="1" applyBorder="1" applyAlignment="1" applyProtection="1">
      <alignment horizontal="center" vertical="center" wrapText="1"/>
      <protection locked="0"/>
    </xf>
    <xf numFmtId="171" fontId="67" fillId="65" borderId="11" xfId="76" applyNumberFormat="1" applyFont="1" applyFill="1" applyBorder="1" applyAlignment="1">
      <alignment vertical="center" wrapText="1"/>
    </xf>
    <xf numFmtId="0" fontId="68" fillId="65" borderId="11" xfId="77" applyFont="1" applyFill="1" applyBorder="1" applyAlignment="1" applyProtection="1">
      <alignment horizontal="center" vertical="center" wrapText="1"/>
      <protection locked="0"/>
    </xf>
    <xf numFmtId="0" fontId="71" fillId="81" borderId="11" xfId="77" applyFont="1" applyFill="1" applyBorder="1" applyAlignment="1" applyProtection="1">
      <alignment horizontal="center" vertical="center" wrapText="1"/>
      <protection locked="0"/>
    </xf>
    <xf numFmtId="171" fontId="66" fillId="82" borderId="11" xfId="76" applyNumberFormat="1" applyFont="1" applyFill="1" applyBorder="1" applyAlignment="1">
      <alignment horizontal="center" vertical="center" wrapText="1"/>
    </xf>
    <xf numFmtId="10" fontId="67" fillId="81" borderId="11" xfId="1" applyNumberFormat="1" applyFont="1" applyFill="1" applyBorder="1" applyAlignment="1">
      <alignment horizontal="center" vertical="center" wrapText="1"/>
    </xf>
    <xf numFmtId="171" fontId="67" fillId="0" borderId="11" xfId="76" applyNumberFormat="1" applyFont="1" applyFill="1" applyBorder="1" applyAlignment="1">
      <alignment vertical="center" wrapText="1"/>
    </xf>
    <xf numFmtId="10" fontId="67" fillId="0" borderId="11" xfId="1" applyNumberFormat="1" applyFont="1" applyFill="1" applyBorder="1" applyAlignment="1">
      <alignment horizontal="center" vertical="center" wrapText="1"/>
    </xf>
    <xf numFmtId="0" fontId="26" fillId="0" borderId="11" xfId="0" applyFont="1" applyFill="1" applyBorder="1" applyAlignment="1">
      <alignment horizontal="justify" vertical="center" wrapText="1"/>
    </xf>
    <xf numFmtId="10" fontId="67" fillId="26" borderId="11" xfId="1" applyNumberFormat="1" applyFont="1" applyFill="1" applyBorder="1" applyAlignment="1">
      <alignment horizontal="center" vertical="center" wrapText="1"/>
    </xf>
    <xf numFmtId="171" fontId="67" fillId="82" borderId="11" xfId="76" applyNumberFormat="1" applyFont="1" applyFill="1" applyBorder="1" applyAlignment="1">
      <alignment vertical="center" wrapText="1"/>
    </xf>
    <xf numFmtId="10" fontId="67" fillId="82" borderId="11" xfId="1" applyNumberFormat="1" applyFont="1" applyFill="1" applyBorder="1" applyAlignment="1">
      <alignment horizontal="center" vertical="center" wrapText="1"/>
    </xf>
    <xf numFmtId="10" fontId="67" fillId="65" borderId="11" xfId="1" applyNumberFormat="1" applyFont="1" applyFill="1" applyBorder="1" applyAlignment="1">
      <alignment horizontal="center" vertical="center" wrapText="1"/>
    </xf>
    <xf numFmtId="10" fontId="0" fillId="0" borderId="0" xfId="1" applyNumberFormat="1" applyFont="1" applyFill="1" applyBorder="1" applyAlignment="1">
      <alignment horizontal="center"/>
    </xf>
    <xf numFmtId="0" fontId="67" fillId="80" borderId="11" xfId="76" applyNumberFormat="1" applyFont="1" applyFill="1" applyBorder="1" applyAlignment="1">
      <alignment vertical="center" wrapText="1"/>
    </xf>
    <xf numFmtId="0" fontId="67" fillId="29" borderId="11" xfId="76" applyNumberFormat="1" applyFont="1" applyFill="1" applyBorder="1" applyAlignment="1">
      <alignment vertical="center" wrapText="1"/>
    </xf>
    <xf numFmtId="0" fontId="71" fillId="81" borderId="11" xfId="0" applyNumberFormat="1" applyFont="1" applyFill="1" applyBorder="1" applyAlignment="1">
      <alignment vertical="center" wrapText="1"/>
    </xf>
    <xf numFmtId="0" fontId="66" fillId="0" borderId="11" xfId="0" applyNumberFormat="1" applyFont="1" applyBorder="1" applyAlignment="1">
      <alignment horizontal="center" vertical="center" wrapText="1"/>
    </xf>
    <xf numFmtId="0" fontId="66" fillId="0" borderId="11" xfId="76" applyNumberFormat="1" applyFont="1" applyBorder="1" applyAlignment="1">
      <alignment vertical="center" wrapText="1"/>
    </xf>
    <xf numFmtId="0" fontId="66" fillId="0" borderId="26" xfId="76" applyNumberFormat="1" applyFont="1" applyBorder="1" applyAlignment="1">
      <alignment vertical="center" wrapText="1"/>
    </xf>
    <xf numFmtId="0" fontId="66" fillId="0" borderId="77" xfId="76" applyNumberFormat="1" applyFont="1" applyBorder="1" applyAlignment="1">
      <alignment vertical="center" wrapText="1"/>
    </xf>
    <xf numFmtId="0" fontId="66" fillId="0" borderId="78" xfId="76" applyNumberFormat="1" applyFont="1" applyBorder="1" applyAlignment="1">
      <alignment vertical="center" wrapText="1"/>
    </xf>
    <xf numFmtId="0" fontId="66" fillId="81" borderId="96" xfId="76" applyNumberFormat="1" applyFont="1" applyFill="1" applyBorder="1" applyAlignment="1">
      <alignment vertical="center" wrapText="1"/>
    </xf>
    <xf numFmtId="0" fontId="68" fillId="0" borderId="96" xfId="76" applyNumberFormat="1" applyFont="1" applyFill="1" applyBorder="1" applyAlignment="1">
      <alignment vertical="center" wrapText="1"/>
    </xf>
    <xf numFmtId="0" fontId="66" fillId="81" borderId="11" xfId="76" applyNumberFormat="1" applyFont="1" applyFill="1" applyBorder="1" applyAlignment="1">
      <alignment vertical="center" wrapText="1"/>
    </xf>
    <xf numFmtId="0" fontId="66" fillId="29" borderId="96" xfId="76" applyNumberFormat="1" applyFont="1" applyFill="1" applyBorder="1" applyAlignment="1">
      <alignment vertical="center" wrapText="1"/>
    </xf>
    <xf numFmtId="0" fontId="68" fillId="29" borderId="11" xfId="77" applyNumberFormat="1" applyFont="1" applyFill="1" applyBorder="1" applyAlignment="1" applyProtection="1">
      <alignment horizontal="center" vertical="center" wrapText="1"/>
      <protection locked="0"/>
    </xf>
    <xf numFmtId="0" fontId="66" fillId="0" borderId="96" xfId="76" applyNumberFormat="1" applyFont="1" applyBorder="1" applyAlignment="1">
      <alignment vertical="center" wrapText="1"/>
    </xf>
    <xf numFmtId="0" fontId="66" fillId="0" borderId="96" xfId="76" applyNumberFormat="1" applyFont="1" applyFill="1" applyBorder="1" applyAlignment="1">
      <alignment vertical="center" wrapText="1"/>
    </xf>
    <xf numFmtId="0" fontId="66" fillId="29" borderId="11" xfId="76" applyNumberFormat="1" applyFont="1" applyFill="1" applyBorder="1" applyAlignment="1">
      <alignment vertical="center" wrapText="1"/>
    </xf>
    <xf numFmtId="0" fontId="66" fillId="0" borderId="11" xfId="76" applyNumberFormat="1" applyFont="1" applyFill="1" applyBorder="1" applyAlignment="1">
      <alignment vertical="center" wrapText="1"/>
    </xf>
    <xf numFmtId="0" fontId="66" fillId="0" borderId="11" xfId="0" applyNumberFormat="1" applyFont="1" applyBorder="1" applyAlignment="1">
      <alignment vertical="center" wrapText="1"/>
    </xf>
    <xf numFmtId="0" fontId="66" fillId="29" borderId="11" xfId="0" applyNumberFormat="1" applyFont="1" applyFill="1" applyBorder="1" applyAlignment="1">
      <alignment vertical="center" wrapText="1"/>
    </xf>
    <xf numFmtId="0" fontId="66" fillId="83" borderId="11" xfId="0" applyNumberFormat="1" applyFont="1" applyFill="1" applyBorder="1" applyAlignment="1">
      <alignment vertical="center" wrapText="1"/>
    </xf>
    <xf numFmtId="0" fontId="66" fillId="82" borderId="11" xfId="76" applyNumberFormat="1" applyFont="1" applyFill="1" applyBorder="1" applyAlignment="1">
      <alignment vertical="center" wrapText="1"/>
    </xf>
    <xf numFmtId="0" fontId="66" fillId="0" borderId="11" xfId="0" applyNumberFormat="1" applyFont="1" applyFill="1" applyBorder="1" applyAlignment="1">
      <alignment vertical="center" wrapText="1"/>
    </xf>
    <xf numFmtId="0" fontId="66" fillId="82" borderId="11" xfId="0" applyNumberFormat="1" applyFont="1" applyFill="1" applyBorder="1" applyAlignment="1">
      <alignment vertical="center" wrapText="1"/>
    </xf>
    <xf numFmtId="0" fontId="66" fillId="0" borderId="0" xfId="0" applyNumberFormat="1" applyFont="1" applyAlignment="1">
      <alignment vertical="center" wrapText="1"/>
    </xf>
    <xf numFmtId="0" fontId="33" fillId="0" borderId="11" xfId="0" applyFont="1" applyFill="1" applyBorder="1" applyAlignment="1" applyProtection="1">
      <alignment vertical="center" wrapText="1"/>
      <protection locked="0"/>
    </xf>
    <xf numFmtId="0" fontId="5" fillId="0" borderId="11" xfId="76" applyNumberFormat="1" applyFont="1" applyFill="1" applyBorder="1" applyAlignment="1" applyProtection="1">
      <alignment horizontal="center" vertical="center" wrapText="1"/>
      <protection locked="0"/>
    </xf>
    <xf numFmtId="171" fontId="56" fillId="0" borderId="11" xfId="77" applyNumberFormat="1" applyFont="1" applyFill="1" applyBorder="1" applyAlignment="1" applyProtection="1">
      <alignment horizontal="center" vertical="center" wrapText="1"/>
      <protection locked="0"/>
    </xf>
    <xf numFmtId="171" fontId="68" fillId="0" borderId="26" xfId="76" applyNumberFormat="1" applyFont="1" applyBorder="1" applyAlignment="1">
      <alignment vertical="center" wrapText="1"/>
    </xf>
    <xf numFmtId="171" fontId="56" fillId="25" borderId="11" xfId="77" applyNumberFormat="1" applyFont="1" applyFill="1" applyBorder="1" applyAlignment="1" applyProtection="1">
      <alignment horizontal="center" vertical="center" wrapText="1"/>
      <protection locked="0"/>
    </xf>
    <xf numFmtId="0" fontId="56" fillId="0" borderId="84" xfId="77" applyFont="1" applyBorder="1" applyAlignment="1">
      <alignment horizontal="center" vertical="center" wrapText="1"/>
    </xf>
    <xf numFmtId="0" fontId="34" fillId="0" borderId="84" xfId="77" applyBorder="1" applyAlignment="1">
      <alignment vertical="center" wrapText="1"/>
    </xf>
    <xf numFmtId="171" fontId="56" fillId="25" borderId="11" xfId="77" applyNumberFormat="1" applyFont="1" applyFill="1" applyBorder="1" applyAlignment="1" applyProtection="1">
      <alignment horizontal="center" vertical="center"/>
      <protection locked="0"/>
    </xf>
    <xf numFmtId="0" fontId="66" fillId="0" borderId="26" xfId="0" applyFont="1" applyFill="1" applyBorder="1" applyAlignment="1">
      <alignment horizontal="center" vertical="center" wrapText="1"/>
    </xf>
    <xf numFmtId="0" fontId="66" fillId="0" borderId="26" xfId="0" applyFont="1" applyFill="1" applyBorder="1" applyAlignment="1">
      <alignment vertical="center" wrapText="1"/>
    </xf>
    <xf numFmtId="171" fontId="66" fillId="0" borderId="26" xfId="76" applyNumberFormat="1" applyFont="1" applyFill="1" applyBorder="1" applyAlignment="1">
      <alignment vertical="center" wrapText="1"/>
    </xf>
    <xf numFmtId="10" fontId="66" fillId="0" borderId="26" xfId="1" applyNumberFormat="1" applyFont="1" applyFill="1" applyBorder="1" applyAlignment="1">
      <alignment horizontal="center" vertical="center" wrapText="1"/>
    </xf>
    <xf numFmtId="15" fontId="66" fillId="0" borderId="26" xfId="76" applyNumberFormat="1" applyFont="1" applyFill="1" applyBorder="1" applyAlignment="1">
      <alignment vertical="center" wrapText="1"/>
    </xf>
    <xf numFmtId="171" fontId="68" fillId="0" borderId="11" xfId="76" applyNumberFormat="1" applyFont="1" applyFill="1" applyBorder="1" applyAlignment="1">
      <alignment vertical="center" wrapText="1"/>
    </xf>
    <xf numFmtId="3" fontId="26" fillId="25" borderId="11" xfId="0" applyNumberFormat="1" applyFont="1" applyFill="1" applyBorder="1" applyAlignment="1" applyProtection="1">
      <alignment horizontal="justify" vertical="center"/>
      <protection locked="0"/>
    </xf>
    <xf numFmtId="171" fontId="34" fillId="25" borderId="11" xfId="77" applyNumberFormat="1" applyFill="1" applyBorder="1" applyAlignment="1" applyProtection="1">
      <alignment horizontal="center" vertical="center" wrapText="1"/>
      <protection locked="0"/>
    </xf>
    <xf numFmtId="0" fontId="66" fillId="81" borderId="102" xfId="0" applyFont="1" applyFill="1" applyBorder="1" applyAlignment="1">
      <alignment vertical="center" wrapText="1"/>
    </xf>
    <xf numFmtId="0" fontId="68" fillId="0" borderId="11" xfId="0" applyFont="1" applyFill="1" applyBorder="1" applyAlignment="1">
      <alignment vertical="center" wrapText="1"/>
    </xf>
    <xf numFmtId="10" fontId="67" fillId="78" borderId="96" xfId="1" applyNumberFormat="1" applyFont="1" applyFill="1" applyBorder="1" applyAlignment="1">
      <alignment horizontal="center" vertical="center" wrapText="1"/>
    </xf>
    <xf numFmtId="0" fontId="67" fillId="78" borderId="96" xfId="0" applyNumberFormat="1" applyFont="1" applyFill="1" applyBorder="1" applyAlignment="1">
      <alignment horizontal="center" vertical="center" wrapText="1"/>
    </xf>
    <xf numFmtId="15" fontId="67" fillId="78" borderId="96" xfId="0" applyNumberFormat="1" applyFont="1" applyFill="1" applyBorder="1" applyAlignment="1">
      <alignment horizontal="center" vertical="center" wrapText="1"/>
    </xf>
    <xf numFmtId="0" fontId="66" fillId="0" borderId="11" xfId="76" applyNumberFormat="1" applyFont="1" applyBorder="1" applyAlignment="1">
      <alignment horizontal="center" vertical="center" wrapText="1"/>
    </xf>
    <xf numFmtId="0" fontId="26" fillId="25" borderId="0" xfId="0" applyFont="1" applyFill="1" applyAlignment="1">
      <alignment vertical="center"/>
    </xf>
    <xf numFmtId="0" fontId="66" fillId="0" borderId="96" xfId="0" applyFont="1" applyBorder="1" applyAlignment="1">
      <alignment vertical="center" wrapText="1"/>
    </xf>
    <xf numFmtId="43" fontId="66" fillId="0" borderId="0" xfId="116" applyFont="1" applyFill="1" applyBorder="1" applyAlignment="1">
      <alignment vertical="center" wrapText="1"/>
    </xf>
    <xf numFmtId="0" fontId="66" fillId="25" borderId="11" xfId="0" applyFont="1" applyFill="1" applyBorder="1" applyAlignment="1" applyProtection="1">
      <alignment horizontal="justify" vertical="center" wrapText="1"/>
      <protection locked="0"/>
    </xf>
    <xf numFmtId="0" fontId="26" fillId="25" borderId="0" xfId="0" applyFont="1" applyFill="1" applyBorder="1" applyAlignment="1">
      <alignment horizontal="center" vertical="center" wrapText="1"/>
    </xf>
    <xf numFmtId="0" fontId="26" fillId="25" borderId="27" xfId="0" applyFont="1" applyFill="1" applyBorder="1" applyAlignment="1">
      <alignment horizontal="center" vertical="center" wrapText="1"/>
    </xf>
    <xf numFmtId="0" fontId="56" fillId="25" borderId="11" xfId="77" applyFont="1" applyFill="1" applyBorder="1" applyAlignment="1" applyProtection="1">
      <alignment horizontal="center" vertical="center" wrapText="1"/>
      <protection locked="0"/>
    </xf>
    <xf numFmtId="171" fontId="26" fillId="25" borderId="11" xfId="76" applyNumberFormat="1" applyFont="1" applyFill="1" applyBorder="1" applyAlignment="1" applyProtection="1">
      <alignment horizontal="center" vertical="center" wrapText="1"/>
      <protection locked="0"/>
    </xf>
    <xf numFmtId="171" fontId="26" fillId="0" borderId="0" xfId="76" applyNumberFormat="1" applyFont="1" applyAlignment="1">
      <alignment horizontal="center" vertical="center" wrapText="1"/>
    </xf>
    <xf numFmtId="0" fontId="67" fillId="78" borderId="96" xfId="0" applyFont="1" applyFill="1" applyBorder="1" applyAlignment="1">
      <alignment horizontal="center" vertical="center" wrapText="1"/>
    </xf>
    <xf numFmtId="0" fontId="66" fillId="82" borderId="11" xfId="0" applyFont="1" applyFill="1" applyBorder="1" applyAlignment="1">
      <alignment vertical="center" wrapText="1"/>
    </xf>
    <xf numFmtId="0" fontId="66" fillId="0" borderId="11" xfId="0" applyFont="1" applyFill="1" applyBorder="1" applyAlignment="1">
      <alignment horizontal="left" vertical="center" wrapText="1"/>
    </xf>
    <xf numFmtId="171" fontId="66" fillId="84" borderId="11" xfId="76" applyNumberFormat="1" applyFont="1" applyFill="1" applyBorder="1" applyAlignment="1">
      <alignment vertical="center" wrapText="1"/>
    </xf>
    <xf numFmtId="171" fontId="66" fillId="26" borderId="11" xfId="76" applyNumberFormat="1" applyFont="1" applyFill="1" applyBorder="1" applyAlignment="1">
      <alignment vertical="center" wrapText="1"/>
    </xf>
    <xf numFmtId="171" fontId="67" fillId="85" borderId="11" xfId="76" applyNumberFormat="1" applyFont="1" applyFill="1" applyBorder="1" applyAlignment="1">
      <alignment vertical="center" wrapText="1"/>
    </xf>
    <xf numFmtId="10" fontId="67" fillId="85" borderId="11" xfId="1" applyNumberFormat="1" applyFont="1" applyFill="1" applyBorder="1" applyAlignment="1">
      <alignment vertical="center" wrapText="1"/>
    </xf>
    <xf numFmtId="171" fontId="66" fillId="85" borderId="11" xfId="76" applyNumberFormat="1" applyFont="1" applyFill="1" applyBorder="1" applyAlignment="1">
      <alignment vertical="center" wrapText="1"/>
    </xf>
    <xf numFmtId="15" fontId="66" fillId="0" borderId="11" xfId="0" applyNumberFormat="1" applyFont="1" applyBorder="1" applyAlignment="1">
      <alignment vertical="center" wrapText="1"/>
    </xf>
    <xf numFmtId="0" fontId="71" fillId="85" borderId="11" xfId="77" applyFont="1" applyFill="1" applyBorder="1" applyAlignment="1" applyProtection="1">
      <alignment horizontal="center" vertical="center" wrapText="1"/>
      <protection locked="0"/>
    </xf>
    <xf numFmtId="171" fontId="67" fillId="85" borderId="11" xfId="76" applyNumberFormat="1" applyFont="1" applyFill="1" applyBorder="1" applyAlignment="1">
      <alignment horizontal="center" vertical="center" wrapText="1"/>
    </xf>
    <xf numFmtId="171" fontId="66" fillId="86" borderId="11" xfId="76" applyNumberFormat="1" applyFont="1" applyFill="1" applyBorder="1" applyAlignment="1">
      <alignment vertical="center" wrapText="1"/>
    </xf>
    <xf numFmtId="171" fontId="66" fillId="0" borderId="11" xfId="1" applyNumberFormat="1" applyFont="1" applyBorder="1" applyAlignment="1">
      <alignment horizontal="center" vertical="center" wrapText="1"/>
    </xf>
    <xf numFmtId="171" fontId="66" fillId="0" borderId="11" xfId="0" applyNumberFormat="1" applyFont="1" applyBorder="1" applyAlignment="1">
      <alignment vertical="center" wrapText="1"/>
    </xf>
    <xf numFmtId="169" fontId="66" fillId="0" borderId="11" xfId="76" applyNumberFormat="1" applyFont="1" applyBorder="1" applyAlignment="1">
      <alignment vertical="center" wrapText="1"/>
    </xf>
    <xf numFmtId="169" fontId="66" fillId="0" borderId="11" xfId="0" applyNumberFormat="1" applyFont="1" applyBorder="1" applyAlignment="1">
      <alignment vertical="center" wrapText="1"/>
    </xf>
    <xf numFmtId="169" fontId="66" fillId="81" borderId="11" xfId="76" applyNumberFormat="1" applyFont="1" applyFill="1" applyBorder="1" applyAlignment="1">
      <alignment vertical="center" wrapText="1"/>
    </xf>
    <xf numFmtId="169" fontId="66" fillId="0" borderId="11" xfId="0" applyNumberFormat="1" applyFont="1" applyBorder="1" applyAlignment="1">
      <alignment horizontal="center" vertical="center" wrapText="1"/>
    </xf>
    <xf numFmtId="169" fontId="66" fillId="29" borderId="11" xfId="76" applyNumberFormat="1" applyFont="1" applyFill="1" applyBorder="1" applyAlignment="1">
      <alignment vertical="center" wrapText="1"/>
    </xf>
    <xf numFmtId="169" fontId="66" fillId="80" borderId="11" xfId="76" applyNumberFormat="1" applyFont="1" applyFill="1" applyBorder="1" applyAlignment="1">
      <alignment vertical="center" wrapText="1"/>
    </xf>
    <xf numFmtId="169" fontId="66" fillId="0" borderId="0" xfId="0" applyNumberFormat="1" applyFont="1" applyAlignment="1">
      <alignment vertical="center" wrapText="1"/>
    </xf>
    <xf numFmtId="0" fontId="67" fillId="0" borderId="11" xfId="0" applyFont="1" applyFill="1" applyBorder="1" applyAlignment="1">
      <alignment horizontal="left" vertical="center" wrapText="1"/>
    </xf>
    <xf numFmtId="0" fontId="66" fillId="86" borderId="11" xfId="76" applyNumberFormat="1" applyFont="1" applyFill="1" applyBorder="1" applyAlignment="1">
      <alignment vertical="center" wrapText="1"/>
    </xf>
    <xf numFmtId="181" fontId="66" fillId="81" borderId="11" xfId="76" applyNumberFormat="1" applyFont="1" applyFill="1" applyBorder="1" applyAlignment="1">
      <alignment vertical="center" wrapText="1"/>
    </xf>
    <xf numFmtId="171" fontId="66" fillId="77" borderId="11" xfId="76" applyNumberFormat="1" applyFont="1" applyFill="1" applyBorder="1" applyAlignment="1">
      <alignment vertical="center" wrapText="1"/>
    </xf>
    <xf numFmtId="171" fontId="66" fillId="77" borderId="11" xfId="0" applyNumberFormat="1" applyFont="1" applyFill="1" applyBorder="1" applyAlignment="1">
      <alignment vertical="center" wrapText="1"/>
    </xf>
    <xf numFmtId="171" fontId="71" fillId="0" borderId="11" xfId="0" applyNumberFormat="1" applyFont="1" applyFill="1" applyBorder="1" applyAlignment="1">
      <alignment vertical="center" wrapText="1"/>
    </xf>
    <xf numFmtId="169" fontId="66" fillId="0" borderId="11" xfId="76" applyNumberFormat="1" applyFont="1" applyFill="1" applyBorder="1" applyAlignment="1">
      <alignment vertical="center" wrapText="1"/>
    </xf>
    <xf numFmtId="0" fontId="68" fillId="0" borderId="11" xfId="0" applyFont="1" applyFill="1" applyBorder="1" applyAlignment="1" applyProtection="1">
      <alignment horizontal="justify" vertical="center" wrapText="1"/>
      <protection locked="0"/>
    </xf>
    <xf numFmtId="0" fontId="71" fillId="29" borderId="11" xfId="77" applyFont="1" applyFill="1" applyBorder="1" applyAlignment="1" applyProtection="1">
      <alignment horizontal="center" vertical="center" wrapText="1"/>
      <protection locked="0"/>
    </xf>
    <xf numFmtId="0" fontId="50" fillId="64" borderId="0" xfId="0" applyFont="1" applyFill="1" applyBorder="1" applyAlignment="1">
      <alignment horizontal="center" vertical="center"/>
    </xf>
    <xf numFmtId="0" fontId="5" fillId="0" borderId="11" xfId="0" applyNumberFormat="1" applyFont="1" applyBorder="1" applyAlignment="1">
      <alignment horizontal="center" vertical="center" wrapText="1"/>
    </xf>
    <xf numFmtId="0" fontId="26" fillId="0" borderId="11" xfId="0" applyFont="1" applyFill="1" applyBorder="1" applyAlignment="1" applyProtection="1">
      <alignment horizontal="justify" vertical="center"/>
      <protection locked="0"/>
    </xf>
    <xf numFmtId="0" fontId="66" fillId="0" borderId="0" xfId="0" applyFont="1" applyBorder="1" applyAlignment="1">
      <alignment horizontal="center" vertical="center" wrapText="1"/>
    </xf>
    <xf numFmtId="0" fontId="66" fillId="0" borderId="0" xfId="0" applyFont="1" applyBorder="1" applyAlignment="1">
      <alignment vertical="center" wrapText="1"/>
    </xf>
    <xf numFmtId="171" fontId="66" fillId="0" borderId="0" xfId="76" applyNumberFormat="1" applyFont="1" applyBorder="1" applyAlignment="1">
      <alignment vertical="center" wrapText="1"/>
    </xf>
    <xf numFmtId="0" fontId="68" fillId="0" borderId="0" xfId="77" applyFont="1" applyFill="1" applyBorder="1" applyAlignment="1" applyProtection="1">
      <alignment horizontal="center" vertical="center" wrapText="1"/>
      <protection locked="0"/>
    </xf>
    <xf numFmtId="0" fontId="66" fillId="0" borderId="0" xfId="76" applyNumberFormat="1" applyFont="1" applyBorder="1" applyAlignment="1">
      <alignment horizontal="center" vertical="center" wrapText="1"/>
    </xf>
    <xf numFmtId="15" fontId="66" fillId="0" borderId="0" xfId="76" applyNumberFormat="1" applyFont="1" applyBorder="1" applyAlignment="1">
      <alignment vertical="center" wrapText="1"/>
    </xf>
    <xf numFmtId="0" fontId="66" fillId="0" borderId="11" xfId="0" applyFont="1" applyFill="1" applyBorder="1" applyAlignment="1">
      <alignment horizontal="left" vertical="center" wrapText="1"/>
    </xf>
    <xf numFmtId="0" fontId="56" fillId="0" borderId="26" xfId="77" applyFont="1" applyFill="1" applyBorder="1" applyAlignment="1" applyProtection="1">
      <alignment horizontal="center" vertical="center"/>
      <protection locked="0"/>
    </xf>
    <xf numFmtId="0" fontId="66" fillId="0" borderId="11" xfId="0" applyFont="1" applyFill="1" applyBorder="1" applyAlignment="1">
      <alignment horizontal="left" vertical="center" wrapText="1"/>
    </xf>
    <xf numFmtId="0" fontId="66" fillId="77" borderId="11" xfId="0" applyFont="1" applyFill="1" applyBorder="1" applyAlignment="1">
      <alignment horizontal="center" vertical="center" wrapText="1"/>
    </xf>
    <xf numFmtId="0" fontId="66" fillId="82" borderId="11" xfId="0" applyFont="1" applyFill="1" applyBorder="1" applyAlignment="1">
      <alignment vertical="center" wrapText="1"/>
    </xf>
    <xf numFmtId="0" fontId="67" fillId="78" borderId="96" xfId="0" applyFont="1" applyFill="1" applyBorder="1" applyAlignment="1">
      <alignment horizontal="center" vertical="center" wrapText="1"/>
    </xf>
    <xf numFmtId="0" fontId="66" fillId="0" borderId="11" xfId="0" applyFont="1" applyFill="1" applyBorder="1" applyAlignment="1">
      <alignment horizontal="left" vertical="center" wrapText="1"/>
    </xf>
    <xf numFmtId="0" fontId="66" fillId="0" borderId="11" xfId="0" applyFont="1" applyFill="1" applyBorder="1" applyAlignment="1">
      <alignment horizontal="left" vertical="center" wrapText="1"/>
    </xf>
    <xf numFmtId="171" fontId="66" fillId="0" borderId="11" xfId="76" applyNumberFormat="1" applyFont="1" applyFill="1" applyBorder="1" applyAlignment="1">
      <alignment horizontal="center" vertical="center" wrapText="1"/>
    </xf>
    <xf numFmtId="0" fontId="66" fillId="0" borderId="11" xfId="0" applyNumberFormat="1" applyFont="1" applyFill="1" applyBorder="1" applyAlignment="1">
      <alignment horizontal="center" vertical="center" wrapText="1"/>
    </xf>
    <xf numFmtId="15" fontId="66" fillId="0" borderId="11" xfId="0" applyNumberFormat="1" applyFont="1" applyFill="1" applyBorder="1" applyAlignment="1">
      <alignment horizontal="center" vertical="center" wrapText="1"/>
    </xf>
    <xf numFmtId="164" fontId="66" fillId="0" borderId="0" xfId="0" applyNumberFormat="1" applyFont="1" applyFill="1" applyAlignment="1">
      <alignment vertical="center" wrapText="1"/>
    </xf>
    <xf numFmtId="0" fontId="66" fillId="0" borderId="11" xfId="76" applyNumberFormat="1" applyFont="1" applyFill="1" applyBorder="1" applyAlignment="1">
      <alignment horizontal="center" vertical="center" wrapText="1"/>
    </xf>
    <xf numFmtId="171" fontId="67" fillId="81" borderId="96" xfId="76" applyNumberFormat="1" applyFont="1" applyFill="1" applyBorder="1" applyAlignment="1">
      <alignment vertical="center" wrapText="1"/>
    </xf>
    <xf numFmtId="171" fontId="68" fillId="81" borderId="11" xfId="77" applyNumberFormat="1" applyFont="1" applyFill="1" applyBorder="1" applyAlignment="1" applyProtection="1">
      <alignment horizontal="center" vertical="center" wrapText="1"/>
      <protection locked="0"/>
    </xf>
    <xf numFmtId="0" fontId="68" fillId="81" borderId="11" xfId="77" applyNumberFormat="1" applyFont="1" applyFill="1" applyBorder="1" applyAlignment="1" applyProtection="1">
      <alignment horizontal="center" vertical="center" wrapText="1"/>
      <protection locked="0"/>
    </xf>
    <xf numFmtId="0" fontId="66" fillId="81" borderId="11" xfId="76" applyNumberFormat="1" applyFont="1" applyFill="1" applyBorder="1" applyAlignment="1">
      <alignment horizontal="center" vertical="center" wrapText="1"/>
    </xf>
    <xf numFmtId="171" fontId="66" fillId="87" borderId="11" xfId="76" applyNumberFormat="1" applyFont="1" applyFill="1" applyBorder="1" applyAlignment="1">
      <alignment vertical="center" wrapText="1"/>
    </xf>
    <xf numFmtId="0" fontId="68" fillId="87" borderId="11" xfId="77" applyFont="1" applyFill="1" applyBorder="1" applyAlignment="1" applyProtection="1">
      <alignment horizontal="center" vertical="center" wrapText="1"/>
      <protection locked="0"/>
    </xf>
    <xf numFmtId="10" fontId="66" fillId="87" borderId="11" xfId="1" applyNumberFormat="1" applyFont="1" applyFill="1" applyBorder="1" applyAlignment="1">
      <alignment horizontal="center" vertical="center" wrapText="1"/>
    </xf>
    <xf numFmtId="0" fontId="66" fillId="87" borderId="11" xfId="76" applyNumberFormat="1" applyFont="1" applyFill="1" applyBorder="1" applyAlignment="1">
      <alignment vertical="center" wrapText="1"/>
    </xf>
    <xf numFmtId="15" fontId="66" fillId="87" borderId="11" xfId="76" applyNumberFormat="1" applyFont="1" applyFill="1" applyBorder="1" applyAlignment="1">
      <alignment vertical="center" wrapText="1"/>
    </xf>
    <xf numFmtId="0" fontId="66" fillId="87" borderId="11" xfId="0" applyFont="1" applyFill="1" applyBorder="1" applyAlignment="1">
      <alignment vertical="center" wrapText="1"/>
    </xf>
    <xf numFmtId="0" fontId="66" fillId="87" borderId="11" xfId="76" applyNumberFormat="1" applyFont="1" applyFill="1" applyBorder="1" applyAlignment="1">
      <alignment horizontal="center" vertical="center" wrapText="1"/>
    </xf>
    <xf numFmtId="171" fontId="66" fillId="87" borderId="96" xfId="76" applyNumberFormat="1" applyFont="1" applyFill="1" applyBorder="1" applyAlignment="1">
      <alignment vertical="center" wrapText="1"/>
    </xf>
    <xf numFmtId="0" fontId="68" fillId="87" borderId="96" xfId="77" applyFont="1" applyFill="1" applyBorder="1" applyAlignment="1" applyProtection="1">
      <alignment horizontal="center" vertical="center" wrapText="1"/>
      <protection locked="0"/>
    </xf>
    <xf numFmtId="10" fontId="66" fillId="87" borderId="96" xfId="1" applyNumberFormat="1" applyFont="1" applyFill="1" applyBorder="1" applyAlignment="1">
      <alignment horizontal="center" vertical="center" wrapText="1"/>
    </xf>
    <xf numFmtId="171" fontId="71" fillId="87" borderId="11" xfId="0" applyNumberFormat="1" applyFont="1" applyFill="1" applyBorder="1" applyAlignment="1">
      <alignment vertical="center" wrapText="1"/>
    </xf>
    <xf numFmtId="0" fontId="66" fillId="87" borderId="96" xfId="76" applyNumberFormat="1" applyFont="1" applyFill="1" applyBorder="1" applyAlignment="1">
      <alignment vertical="center" wrapText="1"/>
    </xf>
    <xf numFmtId="15" fontId="66" fillId="87" borderId="96" xfId="76" applyNumberFormat="1" applyFont="1" applyFill="1" applyBorder="1" applyAlignment="1">
      <alignment vertical="center" wrapText="1"/>
    </xf>
    <xf numFmtId="0" fontId="66" fillId="87" borderId="96" xfId="0" applyFont="1" applyFill="1" applyBorder="1" applyAlignment="1">
      <alignment vertical="center" wrapText="1"/>
    </xf>
    <xf numFmtId="171" fontId="68" fillId="87" borderId="11" xfId="77" applyNumberFormat="1" applyFont="1" applyFill="1" applyBorder="1" applyAlignment="1" applyProtection="1">
      <alignment horizontal="center" vertical="center" wrapText="1"/>
      <protection locked="0"/>
    </xf>
    <xf numFmtId="171" fontId="67" fillId="87" borderId="96" xfId="76" applyNumberFormat="1" applyFont="1" applyFill="1" applyBorder="1" applyAlignment="1">
      <alignment vertical="center" wrapText="1"/>
    </xf>
    <xf numFmtId="171" fontId="67" fillId="87" borderId="11" xfId="76" applyNumberFormat="1" applyFont="1" applyFill="1" applyBorder="1" applyAlignment="1">
      <alignment vertical="center" wrapText="1"/>
    </xf>
    <xf numFmtId="0" fontId="67" fillId="81" borderId="11" xfId="76" applyNumberFormat="1" applyFont="1" applyFill="1" applyBorder="1" applyAlignment="1">
      <alignment vertical="center" wrapText="1"/>
    </xf>
    <xf numFmtId="15" fontId="66" fillId="81" borderId="11" xfId="0" applyNumberFormat="1" applyFont="1" applyFill="1" applyBorder="1" applyAlignment="1">
      <alignment vertical="center" wrapText="1"/>
    </xf>
    <xf numFmtId="10" fontId="67" fillId="87" borderId="11" xfId="1" applyNumberFormat="1" applyFont="1" applyFill="1" applyBorder="1" applyAlignment="1">
      <alignment horizontal="center" vertical="center" wrapText="1"/>
    </xf>
    <xf numFmtId="0" fontId="67" fillId="87" borderId="11" xfId="76" applyNumberFormat="1" applyFont="1" applyFill="1" applyBorder="1" applyAlignment="1">
      <alignment vertical="center" wrapText="1"/>
    </xf>
    <xf numFmtId="15" fontId="66" fillId="87" borderId="11" xfId="0" applyNumberFormat="1" applyFont="1" applyFill="1" applyBorder="1" applyAlignment="1">
      <alignment vertical="center" wrapText="1"/>
    </xf>
    <xf numFmtId="171" fontId="66" fillId="87" borderId="11" xfId="0" applyNumberFormat="1" applyFont="1" applyFill="1" applyBorder="1" applyAlignment="1">
      <alignment vertical="center" wrapText="1"/>
    </xf>
    <xf numFmtId="0" fontId="71" fillId="87" borderId="11" xfId="0" applyNumberFormat="1" applyFont="1" applyFill="1" applyBorder="1" applyAlignment="1">
      <alignment vertical="center" wrapText="1"/>
    </xf>
    <xf numFmtId="0" fontId="66" fillId="0" borderId="26" xfId="76" applyNumberFormat="1" applyFont="1" applyFill="1" applyBorder="1" applyAlignment="1">
      <alignment vertical="center" wrapText="1"/>
    </xf>
    <xf numFmtId="171" fontId="68" fillId="0" borderId="26" xfId="76" applyNumberFormat="1" applyFont="1" applyFill="1" applyBorder="1" applyAlignment="1">
      <alignment vertical="center" wrapText="1"/>
    </xf>
    <xf numFmtId="0" fontId="67" fillId="0" borderId="11" xfId="0" applyFont="1" applyFill="1" applyBorder="1" applyAlignment="1">
      <alignment vertical="center" wrapText="1"/>
    </xf>
    <xf numFmtId="15" fontId="66" fillId="0" borderId="11" xfId="76" applyNumberFormat="1" applyFont="1" applyFill="1" applyBorder="1" applyAlignment="1">
      <alignment horizontal="center" vertical="center" wrapText="1"/>
    </xf>
    <xf numFmtId="15" fontId="66" fillId="0" borderId="11" xfId="76" applyNumberFormat="1" applyFont="1" applyBorder="1" applyAlignment="1">
      <alignment horizontal="center" vertical="center" wrapText="1"/>
    </xf>
    <xf numFmtId="15" fontId="68" fillId="0" borderId="11" xfId="77" applyNumberFormat="1" applyFont="1" applyFill="1" applyBorder="1" applyAlignment="1" applyProtection="1">
      <alignment horizontal="center" vertical="center" wrapText="1"/>
      <protection locked="0"/>
    </xf>
    <xf numFmtId="15" fontId="66" fillId="0" borderId="26" xfId="76" applyNumberFormat="1" applyFont="1" applyFill="1" applyBorder="1" applyAlignment="1">
      <alignment horizontal="center" vertical="center" wrapText="1"/>
    </xf>
    <xf numFmtId="15" fontId="68" fillId="0" borderId="96" xfId="76" applyNumberFormat="1" applyFont="1" applyFill="1" applyBorder="1" applyAlignment="1">
      <alignment horizontal="center" vertical="center" wrapText="1"/>
    </xf>
    <xf numFmtId="15" fontId="66" fillId="0" borderId="26" xfId="76" applyNumberFormat="1" applyFont="1" applyBorder="1" applyAlignment="1">
      <alignment horizontal="center" vertical="center" wrapText="1"/>
    </xf>
    <xf numFmtId="15" fontId="68" fillId="0" borderId="26" xfId="76" applyNumberFormat="1" applyFont="1" applyFill="1" applyBorder="1" applyAlignment="1">
      <alignment horizontal="center" vertical="center" wrapText="1"/>
    </xf>
    <xf numFmtId="15" fontId="66" fillId="0" borderId="0" xfId="76" applyNumberFormat="1" applyFont="1" applyBorder="1" applyAlignment="1">
      <alignment horizontal="center" vertical="center" wrapText="1"/>
    </xf>
    <xf numFmtId="15" fontId="66" fillId="0" borderId="0" xfId="0" applyNumberFormat="1" applyFont="1" applyAlignment="1">
      <alignment horizontal="center" vertical="center" wrapText="1"/>
    </xf>
    <xf numFmtId="0" fontId="66" fillId="82" borderId="11" xfId="76" applyNumberFormat="1" applyFont="1" applyFill="1" applyBorder="1" applyAlignment="1">
      <alignment horizontal="center" vertical="center" wrapText="1"/>
    </xf>
    <xf numFmtId="0" fontId="66" fillId="82" borderId="11" xfId="0" applyNumberFormat="1" applyFont="1" applyFill="1" applyBorder="1" applyAlignment="1">
      <alignment horizontal="center" vertical="center" wrapText="1"/>
    </xf>
    <xf numFmtId="0" fontId="66" fillId="29" borderId="11" xfId="76" applyNumberFormat="1" applyFont="1" applyFill="1" applyBorder="1" applyAlignment="1">
      <alignment horizontal="center" vertical="center" wrapText="1"/>
    </xf>
    <xf numFmtId="0" fontId="67" fillId="87" borderId="11" xfId="76" applyNumberFormat="1" applyFont="1" applyFill="1" applyBorder="1" applyAlignment="1">
      <alignment horizontal="center" vertical="center" wrapText="1"/>
    </xf>
    <xf numFmtId="0" fontId="66" fillId="29" borderId="96" xfId="76" applyNumberFormat="1" applyFont="1" applyFill="1" applyBorder="1" applyAlignment="1">
      <alignment horizontal="center" vertical="center" wrapText="1"/>
    </xf>
    <xf numFmtId="0" fontId="66" fillId="81" borderId="96" xfId="76" applyNumberFormat="1" applyFont="1" applyFill="1" applyBorder="1" applyAlignment="1">
      <alignment horizontal="center" vertical="center" wrapText="1"/>
    </xf>
    <xf numFmtId="0" fontId="66" fillId="87" borderId="96" xfId="76" applyNumberFormat="1" applyFont="1" applyFill="1" applyBorder="1" applyAlignment="1">
      <alignment horizontal="center" vertical="center" wrapText="1"/>
    </xf>
    <xf numFmtId="0" fontId="67" fillId="87" borderId="96" xfId="76" applyNumberFormat="1" applyFont="1" applyFill="1" applyBorder="1" applyAlignment="1">
      <alignment horizontal="center" vertical="center" wrapText="1"/>
    </xf>
    <xf numFmtId="0" fontId="67" fillId="80" borderId="11" xfId="76" applyNumberFormat="1" applyFont="1" applyFill="1" applyBorder="1" applyAlignment="1">
      <alignment horizontal="center" vertical="center" wrapText="1"/>
    </xf>
    <xf numFmtId="0" fontId="67" fillId="29" borderId="11" xfId="76" applyNumberFormat="1" applyFont="1" applyFill="1" applyBorder="1" applyAlignment="1">
      <alignment horizontal="center" vertical="center" wrapText="1"/>
    </xf>
    <xf numFmtId="0" fontId="67" fillId="81" borderId="11" xfId="76" applyNumberFormat="1" applyFont="1" applyFill="1" applyBorder="1" applyAlignment="1">
      <alignment horizontal="center" vertical="center" wrapText="1"/>
    </xf>
    <xf numFmtId="0" fontId="67" fillId="81" borderId="96" xfId="76" applyNumberFormat="1" applyFont="1" applyFill="1" applyBorder="1" applyAlignment="1">
      <alignment horizontal="center" vertical="center" wrapText="1"/>
    </xf>
    <xf numFmtId="0" fontId="72" fillId="0" borderId="11" xfId="0" applyFont="1" applyFill="1" applyBorder="1" applyAlignment="1">
      <alignment vertical="center" wrapText="1"/>
    </xf>
    <xf numFmtId="0" fontId="66" fillId="0" borderId="33" xfId="0" applyFont="1" applyBorder="1" applyAlignment="1">
      <alignment horizontal="center" vertical="center" wrapText="1"/>
    </xf>
    <xf numFmtId="166" fontId="26" fillId="25" borderId="11" xfId="76" applyNumberFormat="1" applyFont="1" applyFill="1" applyBorder="1" applyAlignment="1" applyProtection="1">
      <alignment vertical="center"/>
      <protection locked="0"/>
    </xf>
    <xf numFmtId="171" fontId="26" fillId="0" borderId="11" xfId="76" applyNumberFormat="1" applyFont="1" applyFill="1" applyBorder="1" applyAlignment="1" applyProtection="1">
      <alignment vertical="center"/>
      <protection locked="0"/>
    </xf>
    <xf numFmtId="0" fontId="0" fillId="0" borderId="0" xfId="0" applyBorder="1" applyAlignment="1">
      <alignment vertical="center" wrapText="1"/>
    </xf>
    <xf numFmtId="4" fontId="0" fillId="0" borderId="0" xfId="0" applyNumberFormat="1" applyBorder="1"/>
    <xf numFmtId="166" fontId="26" fillId="0" borderId="11" xfId="76" applyFont="1" applyFill="1" applyBorder="1" applyAlignment="1" applyProtection="1">
      <alignment vertical="center"/>
      <protection locked="0"/>
    </xf>
    <xf numFmtId="0" fontId="66" fillId="0" borderId="11" xfId="0" applyFont="1" applyFill="1" applyBorder="1" applyAlignment="1">
      <alignment horizontal="left" vertical="center" wrapText="1"/>
    </xf>
    <xf numFmtId="0" fontId="0" fillId="0" borderId="0" xfId="0" applyAlignment="1">
      <alignment horizontal="left" wrapText="1"/>
    </xf>
    <xf numFmtId="173" fontId="26" fillId="25" borderId="11" xfId="116" applyNumberFormat="1" applyFont="1" applyFill="1" applyBorder="1" applyAlignment="1" applyProtection="1">
      <alignment vertical="center"/>
      <protection locked="0"/>
    </xf>
    <xf numFmtId="173" fontId="5" fillId="0" borderId="11" xfId="116" applyNumberFormat="1" applyFont="1" applyFill="1" applyBorder="1" applyAlignment="1" applyProtection="1">
      <alignment vertical="center"/>
      <protection locked="0"/>
    </xf>
    <xf numFmtId="15" fontId="66" fillId="26" borderId="11" xfId="76" applyNumberFormat="1" applyFont="1" applyFill="1" applyBorder="1" applyAlignment="1">
      <alignment vertical="center" wrapText="1"/>
    </xf>
    <xf numFmtId="0" fontId="5" fillId="26" borderId="11" xfId="0" applyFont="1" applyFill="1" applyBorder="1" applyAlignment="1">
      <alignment horizontal="center" vertical="center"/>
    </xf>
    <xf numFmtId="0" fontId="0" fillId="26" borderId="0" xfId="0" applyFill="1" applyAlignment="1">
      <alignment vertical="center"/>
    </xf>
    <xf numFmtId="0" fontId="26" fillId="26" borderId="11" xfId="0" applyFont="1" applyFill="1" applyBorder="1" applyAlignment="1" applyProtection="1">
      <alignment horizontal="justify" vertical="center"/>
      <protection locked="0"/>
    </xf>
    <xf numFmtId="0" fontId="33" fillId="26" borderId="11" xfId="0" applyFont="1" applyFill="1" applyBorder="1" applyAlignment="1" applyProtection="1">
      <alignment horizontal="center" vertical="center"/>
      <protection locked="0"/>
    </xf>
    <xf numFmtId="15" fontId="26" fillId="0" borderId="11" xfId="0" applyNumberFormat="1" applyFont="1" applyFill="1" applyBorder="1" applyAlignment="1" applyProtection="1">
      <alignment vertical="center" wrapText="1"/>
      <protection locked="0"/>
    </xf>
    <xf numFmtId="171" fontId="34" fillId="0" borderId="11" xfId="77" applyNumberFormat="1" applyFill="1" applyBorder="1" applyAlignment="1" applyProtection="1">
      <alignment horizontal="center" vertical="center" wrapText="1"/>
      <protection locked="0"/>
    </xf>
    <xf numFmtId="0" fontId="56" fillId="0" borderId="11" xfId="77" applyFont="1" applyBorder="1" applyAlignment="1">
      <alignment vertical="center"/>
    </xf>
    <xf numFmtId="172" fontId="26" fillId="88" borderId="11" xfId="1" applyNumberFormat="1" applyFont="1" applyFill="1" applyBorder="1" applyAlignment="1">
      <alignment horizontal="center" vertical="center"/>
    </xf>
    <xf numFmtId="0" fontId="26" fillId="25" borderId="11" xfId="0" applyFont="1" applyFill="1" applyBorder="1" applyAlignment="1" applyProtection="1">
      <alignment horizontal="justify" vertical="center" wrapText="1"/>
      <protection locked="0"/>
    </xf>
    <xf numFmtId="0" fontId="26" fillId="25" borderId="11" xfId="0" applyFont="1" applyFill="1" applyBorder="1" applyAlignment="1" applyProtection="1">
      <alignment horizontal="justify" vertical="center"/>
      <protection locked="0"/>
    </xf>
    <xf numFmtId="169" fontId="5" fillId="0" borderId="11" xfId="0" applyNumberFormat="1" applyFont="1" applyFill="1" applyBorder="1" applyAlignment="1">
      <alignment horizontal="center" vertical="center"/>
    </xf>
    <xf numFmtId="15" fontId="26" fillId="25" borderId="11" xfId="0" applyNumberFormat="1" applyFont="1" applyFill="1" applyBorder="1" applyAlignment="1" applyProtection="1">
      <alignment horizontal="center" vertical="center"/>
      <protection locked="0"/>
    </xf>
    <xf numFmtId="0" fontId="26" fillId="0" borderId="11" xfId="0" applyNumberFormat="1" applyFont="1" applyBorder="1" applyAlignment="1" applyProtection="1">
      <alignment vertical="center" wrapText="1"/>
      <protection locked="0"/>
    </xf>
    <xf numFmtId="0" fontId="50" fillId="25" borderId="11" xfId="0" applyFont="1" applyFill="1" applyBorder="1" applyAlignment="1" applyProtection="1">
      <alignment horizontal="justify" vertical="center" wrapText="1"/>
      <protection locked="0"/>
    </xf>
    <xf numFmtId="0" fontId="26" fillId="0" borderId="11" xfId="76" applyNumberFormat="1" applyFont="1" applyBorder="1" applyAlignment="1">
      <alignment horizontal="justify" vertical="center"/>
    </xf>
    <xf numFmtId="0" fontId="26" fillId="0" borderId="11" xfId="76" applyNumberFormat="1" applyFont="1" applyBorder="1" applyAlignment="1">
      <alignment vertical="center" wrapText="1"/>
    </xf>
    <xf numFmtId="0" fontId="34" fillId="0" borderId="11" xfId="77" applyNumberFormat="1" applyFill="1" applyBorder="1" applyAlignment="1" applyProtection="1">
      <alignment horizontal="center" vertical="center" wrapText="1"/>
      <protection locked="0"/>
    </xf>
    <xf numFmtId="15" fontId="26" fillId="0" borderId="11" xfId="0" applyNumberFormat="1" applyFont="1" applyFill="1" applyBorder="1" applyAlignment="1" applyProtection="1">
      <alignment horizontal="right" vertical="center" wrapText="1"/>
      <protection locked="0"/>
    </xf>
    <xf numFmtId="0" fontId="34" fillId="0" borderId="11" xfId="77" applyBorder="1" applyAlignment="1">
      <alignment horizontal="center" vertical="center" wrapText="1"/>
    </xf>
    <xf numFmtId="0" fontId="26" fillId="25" borderId="11" xfId="0" applyFont="1" applyFill="1" applyBorder="1" applyAlignment="1" applyProtection="1">
      <alignment horizontal="justify" vertical="center" wrapText="1"/>
      <protection locked="0"/>
    </xf>
    <xf numFmtId="15" fontId="26" fillId="25" borderId="11" xfId="0" applyNumberFormat="1" applyFont="1" applyFill="1" applyBorder="1" applyAlignment="1" applyProtection="1">
      <alignment horizontal="center" vertical="center"/>
      <protection locked="0"/>
    </xf>
    <xf numFmtId="0" fontId="26" fillId="25" borderId="11" xfId="0" applyFont="1" applyFill="1" applyBorder="1" applyAlignment="1" applyProtection="1">
      <alignment horizontal="justify" vertical="center"/>
      <protection locked="0"/>
    </xf>
    <xf numFmtId="0" fontId="26" fillId="25" borderId="11" xfId="0" applyFont="1" applyFill="1" applyBorder="1" applyAlignment="1">
      <alignment horizontal="center" vertical="center"/>
    </xf>
    <xf numFmtId="0" fontId="26" fillId="0" borderId="11" xfId="0" applyFont="1" applyBorder="1" applyAlignment="1">
      <alignment vertical="center"/>
    </xf>
    <xf numFmtId="171" fontId="26" fillId="0" borderId="11" xfId="76" applyNumberFormat="1" applyFont="1" applyBorder="1" applyAlignment="1">
      <alignment horizontal="center" vertical="center" wrapText="1"/>
    </xf>
    <xf numFmtId="15" fontId="26" fillId="0" borderId="11" xfId="0" applyNumberFormat="1" applyFont="1" applyBorder="1" applyAlignment="1">
      <alignment vertical="center"/>
    </xf>
    <xf numFmtId="0" fontId="26" fillId="0" borderId="11" xfId="0" applyFont="1" applyBorder="1" applyAlignment="1">
      <alignment horizontal="left" vertical="center"/>
    </xf>
    <xf numFmtId="171" fontId="76" fillId="25" borderId="11" xfId="77" applyNumberFormat="1" applyFont="1" applyFill="1" applyBorder="1" applyAlignment="1" applyProtection="1">
      <alignment horizontal="center" vertical="center" wrapText="1"/>
      <protection locked="0"/>
    </xf>
    <xf numFmtId="171" fontId="34" fillId="0" borderId="11" xfId="77" applyNumberFormat="1" applyBorder="1" applyAlignment="1">
      <alignment horizontal="center" vertical="center" wrapText="1"/>
    </xf>
    <xf numFmtId="15" fontId="26" fillId="0" borderId="11" xfId="0" applyNumberFormat="1" applyFont="1" applyBorder="1" applyAlignment="1">
      <alignment horizontal="center" vertical="center"/>
    </xf>
    <xf numFmtId="0" fontId="67" fillId="78" borderId="96" xfId="0" applyFont="1" applyFill="1" applyBorder="1" applyAlignment="1">
      <alignment horizontal="center" vertical="center" wrapText="1"/>
    </xf>
    <xf numFmtId="0" fontId="66" fillId="82" borderId="11" xfId="0" applyFont="1" applyFill="1" applyBorder="1" applyAlignment="1">
      <alignment vertical="center" wrapText="1"/>
    </xf>
    <xf numFmtId="0" fontId="67" fillId="0" borderId="11" xfId="0" applyFont="1" applyFill="1" applyBorder="1" applyAlignment="1">
      <alignment horizontal="left" vertical="center" wrapText="1"/>
    </xf>
    <xf numFmtId="0" fontId="66" fillId="0" borderId="11" xfId="0" applyFont="1" applyFill="1" applyBorder="1" applyAlignment="1">
      <alignment horizontal="left" vertical="center" wrapText="1"/>
    </xf>
    <xf numFmtId="0" fontId="66" fillId="25" borderId="11" xfId="0" applyFont="1" applyFill="1" applyBorder="1" applyAlignment="1">
      <alignment horizontal="center" vertical="center" wrapText="1"/>
    </xf>
    <xf numFmtId="0" fontId="26" fillId="72" borderId="11" xfId="0" applyFont="1" applyFill="1" applyBorder="1" applyAlignment="1">
      <alignment horizontal="center" vertical="center"/>
    </xf>
    <xf numFmtId="0" fontId="77" fillId="0" borderId="0" xfId="0" pivotButton="1" applyFont="1" applyAlignment="1">
      <alignment horizontal="center" vertical="center" wrapText="1"/>
    </xf>
    <xf numFmtId="0" fontId="77" fillId="0" borderId="0" xfId="0" applyFont="1" applyAlignment="1">
      <alignment horizontal="center" vertical="center" wrapText="1"/>
    </xf>
    <xf numFmtId="0" fontId="77" fillId="0" borderId="0" xfId="0" pivotButton="1" applyFont="1"/>
    <xf numFmtId="171" fontId="77" fillId="0" borderId="0" xfId="0" applyNumberFormat="1" applyFont="1"/>
    <xf numFmtId="171" fontId="77" fillId="0" borderId="0" xfId="0" applyNumberFormat="1" applyFont="1" applyAlignment="1">
      <alignment horizontal="center" vertical="center" wrapText="1"/>
    </xf>
    <xf numFmtId="172" fontId="77" fillId="0" borderId="0" xfId="0" applyNumberFormat="1" applyFont="1" applyAlignment="1">
      <alignment horizontal="center" vertical="center" wrapText="1"/>
    </xf>
    <xf numFmtId="0" fontId="77" fillId="0" borderId="0" xfId="0" applyFont="1" applyAlignment="1">
      <alignment horizontal="left"/>
    </xf>
    <xf numFmtId="172" fontId="77" fillId="0" borderId="0" xfId="0" applyNumberFormat="1" applyFont="1"/>
    <xf numFmtId="0" fontId="77" fillId="0" borderId="0" xfId="0" applyFont="1" applyAlignment="1">
      <alignment horizontal="left" indent="1"/>
    </xf>
    <xf numFmtId="169" fontId="77" fillId="0" borderId="0" xfId="0" applyNumberFormat="1" applyFont="1" applyAlignment="1">
      <alignment horizontal="center"/>
    </xf>
    <xf numFmtId="171" fontId="77" fillId="0" borderId="0" xfId="0" applyNumberFormat="1" applyFont="1" applyAlignment="1">
      <alignment horizontal="center"/>
    </xf>
    <xf numFmtId="9" fontId="77" fillId="0" borderId="0" xfId="0" applyNumberFormat="1" applyFont="1" applyAlignment="1">
      <alignment horizontal="center"/>
    </xf>
    <xf numFmtId="0" fontId="26" fillId="0" borderId="11" xfId="0" applyFont="1" applyBorder="1" applyAlignment="1">
      <alignment horizontal="right" vertical="center"/>
    </xf>
    <xf numFmtId="0" fontId="33" fillId="0" borderId="11" xfId="0" applyFont="1" applyFill="1" applyBorder="1" applyAlignment="1" applyProtection="1">
      <alignment horizontal="justify" vertical="center"/>
      <protection locked="0"/>
    </xf>
    <xf numFmtId="0" fontId="26" fillId="0" borderId="0" xfId="0" applyFont="1" applyBorder="1" applyAlignment="1" applyProtection="1">
      <alignment horizontal="justify" vertical="center" wrapText="1"/>
      <protection locked="0"/>
    </xf>
    <xf numFmtId="0" fontId="26" fillId="0" borderId="11" xfId="0" applyFont="1" applyFill="1" applyBorder="1" applyAlignment="1">
      <alignment horizontal="center" vertical="center"/>
    </xf>
    <xf numFmtId="0" fontId="26" fillId="0" borderId="11" xfId="0" applyFont="1" applyFill="1" applyBorder="1" applyAlignment="1">
      <alignment vertical="center"/>
    </xf>
    <xf numFmtId="0" fontId="26" fillId="0" borderId="11" xfId="0" applyFont="1" applyFill="1" applyBorder="1" applyAlignment="1">
      <alignment vertical="center" wrapText="1"/>
    </xf>
    <xf numFmtId="0" fontId="26" fillId="0" borderId="11" xfId="76" applyNumberFormat="1" applyFont="1" applyBorder="1" applyAlignment="1">
      <alignment horizontal="justify" vertical="center" wrapText="1"/>
    </xf>
    <xf numFmtId="0" fontId="26" fillId="0" borderId="11" xfId="0" applyFont="1" applyBorder="1" applyAlignment="1">
      <alignment horizontal="left" vertical="center" wrapText="1"/>
    </xf>
    <xf numFmtId="179" fontId="26" fillId="0" borderId="11" xfId="125" applyNumberFormat="1" applyFont="1" applyBorder="1" applyAlignment="1">
      <alignment horizontal="right" vertical="center"/>
    </xf>
    <xf numFmtId="179" fontId="26" fillId="0" borderId="11" xfId="125" applyNumberFormat="1" applyFont="1" applyBorder="1" applyAlignment="1">
      <alignment horizontal="center" vertical="center"/>
    </xf>
    <xf numFmtId="0" fontId="26" fillId="25" borderId="33" xfId="0" applyFont="1" applyFill="1" applyBorder="1" applyAlignment="1" applyProtection="1">
      <alignment horizontal="justify" vertical="center"/>
      <protection locked="0"/>
    </xf>
    <xf numFmtId="0" fontId="26" fillId="25" borderId="33" xfId="0" applyFont="1" applyFill="1" applyBorder="1" applyAlignment="1" applyProtection="1">
      <alignment horizontal="justify" vertical="center" wrapText="1"/>
      <protection locked="0"/>
    </xf>
    <xf numFmtId="0" fontId="26" fillId="0" borderId="33" xfId="0" applyFont="1" applyBorder="1" applyAlignment="1">
      <alignment vertical="center"/>
    </xf>
    <xf numFmtId="0" fontId="26" fillId="0" borderId="33" xfId="0" applyFont="1" applyBorder="1" applyAlignment="1">
      <alignment horizontal="right" vertical="center"/>
    </xf>
    <xf numFmtId="0" fontId="26" fillId="25" borderId="33" xfId="0" applyFont="1" applyFill="1" applyBorder="1" applyAlignment="1" applyProtection="1">
      <alignment horizontal="right" vertical="center"/>
      <protection locked="0"/>
    </xf>
    <xf numFmtId="171" fontId="26" fillId="25" borderId="43" xfId="76" applyNumberFormat="1" applyFont="1" applyFill="1" applyBorder="1" applyAlignment="1" applyProtection="1">
      <alignment vertical="center"/>
      <protection locked="0"/>
    </xf>
    <xf numFmtId="171" fontId="26" fillId="25" borderId="43" xfId="117" applyNumberFormat="1" applyFont="1" applyFill="1" applyBorder="1" applyAlignment="1" applyProtection="1">
      <alignment vertical="center"/>
      <protection locked="0"/>
    </xf>
    <xf numFmtId="171" fontId="26" fillId="0" borderId="43" xfId="76" applyNumberFormat="1" applyFont="1" applyBorder="1" applyAlignment="1">
      <alignment vertical="center"/>
    </xf>
    <xf numFmtId="0" fontId="78" fillId="25" borderId="11" xfId="77" applyFont="1" applyFill="1" applyBorder="1" applyAlignment="1" applyProtection="1">
      <alignment horizontal="justify" vertical="center"/>
      <protection locked="0"/>
    </xf>
    <xf numFmtId="0" fontId="22" fillId="0" borderId="11" xfId="50" applyFont="1" applyBorder="1" applyAlignment="1">
      <alignment horizontal="center" vertical="center" wrapText="1"/>
    </xf>
    <xf numFmtId="0" fontId="22" fillId="0" borderId="0" xfId="50"/>
    <xf numFmtId="0" fontId="22" fillId="0" borderId="11" xfId="50" applyFont="1" applyBorder="1" applyAlignment="1">
      <alignment wrapText="1"/>
    </xf>
    <xf numFmtId="0" fontId="22" fillId="0" borderId="0" xfId="50" applyFill="1"/>
    <xf numFmtId="0" fontId="0" fillId="30" borderId="0" xfId="0" applyFill="1" applyAlignment="1">
      <alignment horizontal="center" vertical="center"/>
    </xf>
    <xf numFmtId="0" fontId="0" fillId="76" borderId="0" xfId="0" applyFill="1" applyAlignment="1">
      <alignment vertical="center"/>
    </xf>
    <xf numFmtId="0" fontId="0" fillId="90" borderId="0" xfId="0" applyFill="1" applyAlignment="1">
      <alignment horizontal="center" vertical="center"/>
    </xf>
    <xf numFmtId="0" fontId="26" fillId="0" borderId="0" xfId="0" applyFont="1" applyFill="1" applyAlignment="1">
      <alignment horizontal="center" vertical="center" wrapText="1"/>
    </xf>
    <xf numFmtId="0" fontId="0" fillId="91" borderId="0" xfId="0" applyFill="1" applyAlignment="1">
      <alignment horizontal="center" vertical="center" wrapText="1"/>
    </xf>
    <xf numFmtId="0" fontId="22" fillId="0" borderId="11" xfId="50" applyFont="1" applyBorder="1" applyAlignment="1">
      <alignment horizontal="center" wrapText="1"/>
    </xf>
    <xf numFmtId="0" fontId="74" fillId="26" borderId="11" xfId="137" applyFont="1" applyFill="1" applyBorder="1" applyAlignment="1" applyProtection="1">
      <alignment horizontal="left" wrapText="1"/>
    </xf>
    <xf numFmtId="0" fontId="22" fillId="0" borderId="11" xfId="0" applyFont="1" applyFill="1" applyBorder="1" applyAlignment="1" applyProtection="1">
      <alignment horizontal="justify" vertical="center" wrapText="1"/>
      <protection locked="0"/>
    </xf>
    <xf numFmtId="0" fontId="22" fillId="26" borderId="11" xfId="0" applyFont="1" applyFill="1" applyBorder="1" applyAlignment="1" applyProtection="1">
      <alignment horizontal="justify" vertical="center" wrapText="1"/>
      <protection locked="0"/>
    </xf>
    <xf numFmtId="0" fontId="22" fillId="25" borderId="11" xfId="0" applyFont="1" applyFill="1" applyBorder="1" applyAlignment="1" applyProtection="1">
      <alignment horizontal="justify" vertical="center" wrapText="1"/>
      <protection locked="0"/>
    </xf>
    <xf numFmtId="0" fontId="63" fillId="0" borderId="11" xfId="0" applyFont="1" applyBorder="1" applyAlignment="1">
      <alignment horizontal="left" vertical="center" wrapText="1"/>
    </xf>
    <xf numFmtId="0" fontId="63" fillId="25" borderId="11" xfId="0" applyFont="1" applyFill="1" applyBorder="1" applyAlignment="1">
      <alignment horizontal="center" vertical="center" wrapText="1"/>
    </xf>
    <xf numFmtId="0" fontId="22" fillId="26" borderId="11" xfId="50" applyFont="1" applyFill="1" applyBorder="1" applyAlignment="1">
      <alignment horizontal="left" wrapText="1"/>
    </xf>
    <xf numFmtId="0" fontId="22" fillId="0" borderId="11" xfId="50" applyFont="1" applyBorder="1" applyAlignment="1">
      <alignment horizontal="left" wrapText="1"/>
    </xf>
    <xf numFmtId="0" fontId="64" fillId="26" borderId="11" xfId="77" applyFont="1" applyFill="1" applyBorder="1" applyAlignment="1">
      <alignment horizontal="left" wrapText="1"/>
    </xf>
    <xf numFmtId="0" fontId="22" fillId="0" borderId="11" xfId="50" applyFont="1" applyFill="1" applyBorder="1" applyAlignment="1">
      <alignment wrapText="1"/>
    </xf>
    <xf numFmtId="0" fontId="22" fillId="0" borderId="11" xfId="50" applyFont="1" applyFill="1" applyBorder="1" applyAlignment="1">
      <alignment horizontal="left" wrapText="1"/>
    </xf>
    <xf numFmtId="0" fontId="22" fillId="26" borderId="11" xfId="50" applyFont="1" applyFill="1" applyBorder="1" applyAlignment="1">
      <alignment horizontal="center" wrapText="1"/>
    </xf>
    <xf numFmtId="0" fontId="74" fillId="0" borderId="11" xfId="137" applyFont="1" applyFill="1" applyBorder="1" applyAlignment="1" applyProtection="1">
      <alignment wrapText="1"/>
    </xf>
    <xf numFmtId="0" fontId="74" fillId="0" borderId="11" xfId="137" applyFont="1" applyBorder="1" applyAlignment="1" applyProtection="1">
      <alignment wrapText="1"/>
    </xf>
    <xf numFmtId="0" fontId="22" fillId="90" borderId="11" xfId="50" applyFont="1" applyFill="1" applyBorder="1" applyAlignment="1">
      <alignment horizontal="left" wrapText="1"/>
    </xf>
    <xf numFmtId="0" fontId="74" fillId="26" borderId="11" xfId="137" applyFont="1" applyFill="1" applyBorder="1" applyAlignment="1" applyProtection="1">
      <alignment wrapText="1"/>
    </xf>
    <xf numFmtId="0" fontId="22" fillId="26" borderId="11" xfId="50" applyFont="1" applyFill="1" applyBorder="1" applyAlignment="1">
      <alignment wrapText="1"/>
    </xf>
    <xf numFmtId="0" fontId="64" fillId="26" borderId="11" xfId="77" applyFont="1" applyFill="1" applyBorder="1" applyAlignment="1">
      <alignment wrapText="1"/>
    </xf>
    <xf numFmtId="0" fontId="22" fillId="0" borderId="0" xfId="50" applyAlignment="1">
      <alignment horizontal="center" vertical="center"/>
    </xf>
    <xf numFmtId="0" fontId="22" fillId="0" borderId="11" xfId="50" applyFont="1" applyBorder="1" applyAlignment="1">
      <alignment horizontal="left" vertical="center" wrapText="1"/>
    </xf>
    <xf numFmtId="0" fontId="22" fillId="0" borderId="0" xfId="50" applyAlignment="1">
      <alignment horizontal="left" vertical="center"/>
    </xf>
    <xf numFmtId="0" fontId="22" fillId="0" borderId="11" xfId="50" applyFont="1" applyFill="1" applyBorder="1" applyAlignment="1">
      <alignment horizontal="left" vertical="center" wrapText="1"/>
    </xf>
    <xf numFmtId="0" fontId="33" fillId="0" borderId="11" xfId="0" applyFont="1" applyFill="1" applyBorder="1" applyAlignment="1" applyProtection="1">
      <alignment horizontal="center" vertical="center" wrapText="1"/>
      <protection locked="0"/>
    </xf>
    <xf numFmtId="0" fontId="26" fillId="0" borderId="0" xfId="0" applyFont="1" applyBorder="1" applyAlignment="1">
      <alignment vertical="center"/>
    </xf>
    <xf numFmtId="0" fontId="26" fillId="0" borderId="0" xfId="0" applyFont="1" applyBorder="1" applyAlignment="1">
      <alignment horizontal="left" vertical="center"/>
    </xf>
    <xf numFmtId="0" fontId="56" fillId="0" borderId="0" xfId="77" applyFont="1" applyBorder="1" applyAlignment="1">
      <alignment vertical="center"/>
    </xf>
    <xf numFmtId="0" fontId="34" fillId="26" borderId="11" xfId="77" applyFill="1" applyBorder="1" applyAlignment="1">
      <alignment horizontal="left" wrapText="1"/>
    </xf>
    <xf numFmtId="0" fontId="22" fillId="0" borderId="11" xfId="50" applyFont="1" applyFill="1" applyBorder="1" applyAlignment="1">
      <alignment horizontal="center" vertical="center" wrapText="1"/>
    </xf>
    <xf numFmtId="15" fontId="22" fillId="0" borderId="11" xfId="50" applyNumberFormat="1" applyFont="1" applyBorder="1" applyAlignment="1">
      <alignment horizontal="center" vertical="center" wrapText="1"/>
    </xf>
    <xf numFmtId="0" fontId="34" fillId="71" borderId="11" xfId="77" applyFill="1" applyBorder="1" applyAlignment="1">
      <alignment horizontal="left" wrapText="1"/>
    </xf>
    <xf numFmtId="0" fontId="22" fillId="0" borderId="11" xfId="50" applyBorder="1"/>
    <xf numFmtId="0" fontId="22" fillId="0" borderId="11" xfId="50" applyBorder="1" applyAlignment="1">
      <alignment horizontal="center" vertical="center"/>
    </xf>
    <xf numFmtId="0" fontId="22" fillId="0" borderId="11" xfId="50" applyBorder="1" applyAlignment="1">
      <alignment horizontal="left" vertical="center"/>
    </xf>
    <xf numFmtId="0" fontId="34" fillId="26" borderId="11" xfId="77" applyFill="1" applyBorder="1" applyAlignment="1">
      <alignment horizontal="center" vertical="center"/>
    </xf>
    <xf numFmtId="0" fontId="22" fillId="0" borderId="11" xfId="50" applyBorder="1" applyAlignment="1">
      <alignment wrapText="1"/>
    </xf>
    <xf numFmtId="0" fontId="22" fillId="0" borderId="11" xfId="50" applyBorder="1" applyAlignment="1">
      <alignment horizontal="left" wrapText="1"/>
    </xf>
    <xf numFmtId="0" fontId="34" fillId="26" borderId="11" xfId="77" applyFill="1" applyBorder="1" applyAlignment="1">
      <alignment wrapText="1"/>
    </xf>
    <xf numFmtId="0" fontId="22" fillId="0" borderId="11" xfId="50" applyBorder="1" applyAlignment="1">
      <alignment horizontal="center" vertical="center" wrapText="1"/>
    </xf>
    <xf numFmtId="0" fontId="22" fillId="0" borderId="11" xfId="50" applyBorder="1" applyAlignment="1">
      <alignment horizontal="left" vertical="center" wrapText="1"/>
    </xf>
    <xf numFmtId="0" fontId="34" fillId="26" borderId="11" xfId="77" applyFill="1" applyBorder="1" applyAlignment="1">
      <alignment horizontal="center" vertical="center" wrapText="1"/>
    </xf>
    <xf numFmtId="172" fontId="50" fillId="88" borderId="11" xfId="1" applyNumberFormat="1" applyFont="1" applyFill="1" applyBorder="1" applyAlignment="1">
      <alignment horizontal="center" vertical="center"/>
    </xf>
    <xf numFmtId="0" fontId="22" fillId="0" borderId="0" xfId="50" applyAlignment="1">
      <alignment wrapText="1"/>
    </xf>
    <xf numFmtId="0" fontId="0" fillId="0" borderId="11" xfId="0" applyBorder="1" applyAlignment="1">
      <alignment vertical="center"/>
    </xf>
    <xf numFmtId="0" fontId="48" fillId="0" borderId="11" xfId="0" applyFont="1" applyBorder="1" applyAlignment="1">
      <alignment vertical="center"/>
    </xf>
    <xf numFmtId="0" fontId="26" fillId="0" borderId="11" xfId="0" applyFont="1" applyBorder="1" applyAlignment="1" applyProtection="1">
      <alignment horizontal="center" vertical="center" wrapText="1"/>
      <protection locked="0"/>
    </xf>
    <xf numFmtId="0" fontId="26" fillId="0" borderId="11" xfId="0" applyFont="1" applyBorder="1" applyAlignment="1">
      <alignment horizontal="center" vertical="center"/>
    </xf>
    <xf numFmtId="0" fontId="26" fillId="0" borderId="26" xfId="0" applyFont="1" applyBorder="1" applyAlignment="1">
      <alignment horizontal="center" vertical="center" wrapText="1"/>
    </xf>
    <xf numFmtId="0" fontId="26" fillId="0" borderId="96" xfId="0" applyFont="1" applyBorder="1" applyAlignment="1">
      <alignment horizontal="center" vertical="center" wrapText="1"/>
    </xf>
    <xf numFmtId="0" fontId="66" fillId="82" borderId="11" xfId="0" applyFont="1" applyFill="1" applyBorder="1" applyAlignment="1">
      <alignment vertical="center" wrapText="1"/>
    </xf>
    <xf numFmtId="0" fontId="67" fillId="78" borderId="96" xfId="0" applyFont="1" applyFill="1" applyBorder="1" applyAlignment="1">
      <alignment horizontal="center" vertical="center" wrapText="1"/>
    </xf>
    <xf numFmtId="0" fontId="66" fillId="0" borderId="11" xfId="0" applyFont="1" applyFill="1" applyBorder="1" applyAlignment="1">
      <alignment horizontal="left" vertical="center" wrapText="1"/>
    </xf>
    <xf numFmtId="0" fontId="67" fillId="0" borderId="11" xfId="0" applyFont="1" applyFill="1" applyBorder="1" applyAlignment="1">
      <alignment horizontal="left" vertical="center" wrapText="1"/>
    </xf>
    <xf numFmtId="0" fontId="26" fillId="0" borderId="11" xfId="0" applyFont="1" applyBorder="1" applyAlignment="1">
      <alignment horizontal="center" vertical="center"/>
    </xf>
    <xf numFmtId="0" fontId="26" fillId="0" borderId="11" xfId="0" applyFont="1" applyBorder="1" applyAlignment="1">
      <alignment horizontal="center" vertical="center"/>
    </xf>
    <xf numFmtId="0" fontId="34" fillId="0" borderId="11" xfId="77" applyBorder="1" applyAlignment="1">
      <alignment horizontal="left" wrapText="1"/>
    </xf>
    <xf numFmtId="0" fontId="34" fillId="0" borderId="11" xfId="77" applyBorder="1" applyAlignment="1">
      <alignment horizontal="center" vertical="center"/>
    </xf>
    <xf numFmtId="0" fontId="34" fillId="25" borderId="11" xfId="77" applyFill="1" applyBorder="1" applyAlignment="1">
      <alignment horizontal="center" vertical="center" wrapText="1"/>
    </xf>
    <xf numFmtId="0" fontId="34" fillId="0" borderId="11" xfId="77" applyFill="1" applyBorder="1" applyAlignment="1">
      <alignment vertical="center"/>
    </xf>
    <xf numFmtId="0" fontId="34" fillId="0" borderId="11" xfId="77" applyFill="1" applyBorder="1" applyAlignment="1">
      <alignment horizontal="left" wrapText="1"/>
    </xf>
    <xf numFmtId="14" fontId="22" fillId="0" borderId="11" xfId="50" applyNumberFormat="1" applyBorder="1" applyAlignment="1">
      <alignment horizontal="center" vertical="center" wrapText="1"/>
    </xf>
    <xf numFmtId="14" fontId="22" fillId="0" borderId="11" xfId="50" applyNumberFormat="1" applyFont="1" applyBorder="1" applyAlignment="1">
      <alignment horizontal="center" vertical="center" wrapText="1"/>
    </xf>
    <xf numFmtId="166" fontId="26" fillId="25" borderId="11" xfId="117" applyNumberFormat="1" applyFont="1" applyFill="1" applyBorder="1" applyAlignment="1" applyProtection="1">
      <alignment vertical="center"/>
      <protection locked="0"/>
    </xf>
    <xf numFmtId="0" fontId="34" fillId="0" borderId="11" xfId="77" applyBorder="1" applyAlignment="1">
      <alignment horizontal="center"/>
    </xf>
    <xf numFmtId="0" fontId="34" fillId="0" borderId="11" xfId="77" applyBorder="1" applyAlignment="1">
      <alignment wrapText="1"/>
    </xf>
    <xf numFmtId="0" fontId="34" fillId="90" borderId="11" xfId="77" applyFill="1" applyBorder="1" applyAlignment="1">
      <alignment horizontal="left" wrapText="1"/>
    </xf>
    <xf numFmtId="0" fontId="26" fillId="0" borderId="11" xfId="0" applyFont="1" applyBorder="1" applyAlignment="1">
      <alignment horizontal="center" vertical="center"/>
    </xf>
    <xf numFmtId="0" fontId="34" fillId="0" borderId="0" xfId="77" applyAlignment="1">
      <alignment horizontal="center"/>
    </xf>
    <xf numFmtId="0" fontId="3" fillId="25" borderId="0" xfId="0" applyFont="1" applyFill="1" applyBorder="1" applyAlignment="1">
      <alignment horizontal="justify" vertical="center"/>
    </xf>
    <xf numFmtId="0" fontId="3" fillId="25" borderId="27" xfId="0" applyFont="1" applyFill="1" applyBorder="1" applyAlignment="1">
      <alignment horizontal="justify" vertical="center"/>
    </xf>
    <xf numFmtId="0" fontId="3" fillId="63" borderId="0" xfId="0" applyFont="1" applyFill="1" applyAlignment="1">
      <alignment horizontal="center" vertical="center"/>
    </xf>
    <xf numFmtId="0" fontId="79" fillId="28" borderId="11" xfId="0" applyFont="1" applyFill="1" applyBorder="1" applyAlignment="1">
      <alignment horizontal="center" vertical="center" wrapText="1"/>
    </xf>
    <xf numFmtId="0" fontId="79" fillId="0" borderId="11" xfId="0" applyFont="1" applyFill="1" applyBorder="1" applyAlignment="1" applyProtection="1">
      <alignment horizontal="justify" vertical="center" wrapText="1"/>
      <protection locked="0"/>
    </xf>
    <xf numFmtId="0" fontId="79" fillId="25" borderId="11" xfId="0" applyFont="1" applyFill="1" applyBorder="1" applyAlignment="1" applyProtection="1">
      <alignment horizontal="justify" vertical="center" wrapText="1"/>
      <protection locked="0"/>
    </xf>
    <xf numFmtId="0" fontId="79" fillId="0" borderId="11" xfId="0" applyFont="1" applyFill="1" applyBorder="1" applyAlignment="1">
      <alignment horizontal="justify" vertical="center" wrapText="1"/>
    </xf>
    <xf numFmtId="0" fontId="79" fillId="0" borderId="11" xfId="0" applyFont="1" applyFill="1" applyBorder="1" applyAlignment="1" applyProtection="1">
      <alignment horizontal="justify" vertical="center" wrapText="1"/>
    </xf>
    <xf numFmtId="0" fontId="79" fillId="0" borderId="26" xfId="0" applyFont="1" applyFill="1" applyBorder="1" applyAlignment="1" applyProtection="1">
      <alignment horizontal="justify" vertical="center" wrapText="1"/>
      <protection locked="0"/>
    </xf>
    <xf numFmtId="0" fontId="79" fillId="0" borderId="26" xfId="0" applyFont="1" applyFill="1" applyBorder="1" applyAlignment="1" applyProtection="1">
      <alignment horizontal="justify" vertical="center" wrapText="1"/>
    </xf>
    <xf numFmtId="0" fontId="50" fillId="25" borderId="11" xfId="0" applyFont="1" applyFill="1" applyBorder="1" applyAlignment="1">
      <alignment horizontal="justify" vertical="center" wrapText="1"/>
    </xf>
    <xf numFmtId="0" fontId="50" fillId="0" borderId="11" xfId="0" applyFont="1" applyBorder="1" applyAlignment="1" applyProtection="1">
      <alignment horizontal="justify" vertical="center" wrapText="1"/>
      <protection locked="0"/>
    </xf>
    <xf numFmtId="0" fontId="80" fillId="89" borderId="11" xfId="0" applyFont="1" applyFill="1" applyBorder="1" applyAlignment="1">
      <alignment horizontal="justify" vertical="center" wrapText="1"/>
    </xf>
    <xf numFmtId="0" fontId="80" fillId="89" borderId="11" xfId="0" applyFont="1" applyFill="1" applyBorder="1" applyAlignment="1">
      <alignment vertical="center" wrapText="1"/>
    </xf>
    <xf numFmtId="0" fontId="80" fillId="0" borderId="11" xfId="0" applyFont="1" applyBorder="1" applyAlignment="1">
      <alignment horizontal="justify" vertical="center" wrapText="1"/>
    </xf>
    <xf numFmtId="0" fontId="50" fillId="0" borderId="96" xfId="0" applyFont="1" applyBorder="1" applyAlignment="1">
      <alignment horizontal="justify" vertical="center" wrapText="1"/>
    </xf>
    <xf numFmtId="0" fontId="50" fillId="0" borderId="11" xfId="0" applyFont="1" applyBorder="1" applyAlignment="1">
      <alignment horizontal="justify" vertical="center" wrapText="1"/>
    </xf>
    <xf numFmtId="0" fontId="50" fillId="0" borderId="0" xfId="0" applyFont="1" applyAlignment="1">
      <alignment horizontal="justify" vertical="center" wrapText="1"/>
    </xf>
    <xf numFmtId="49" fontId="26" fillId="0" borderId="11" xfId="0" applyNumberFormat="1" applyFont="1" applyBorder="1" applyAlignment="1">
      <alignment horizontal="right" vertical="center"/>
    </xf>
    <xf numFmtId="0" fontId="26" fillId="65" borderId="11" xfId="0" applyFont="1" applyFill="1" applyBorder="1" applyAlignment="1" applyProtection="1">
      <alignment horizontal="justify" vertical="center"/>
      <protection locked="0"/>
    </xf>
    <xf numFmtId="0" fontId="5" fillId="63" borderId="11" xfId="0" applyFont="1" applyFill="1" applyBorder="1" applyAlignment="1">
      <alignment horizontal="center" vertical="center"/>
    </xf>
    <xf numFmtId="0" fontId="26" fillId="0" borderId="11" xfId="0" applyFont="1" applyBorder="1" applyAlignment="1">
      <alignment horizontal="center" vertical="center"/>
    </xf>
    <xf numFmtId="0" fontId="34" fillId="0" borderId="0" xfId="77" applyAlignment="1">
      <alignment horizontal="center" vertical="center" wrapText="1"/>
    </xf>
    <xf numFmtId="0" fontId="26" fillId="0" borderId="11" xfId="0" applyFont="1" applyBorder="1" applyAlignment="1">
      <alignment horizontal="center" vertical="center"/>
    </xf>
    <xf numFmtId="0" fontId="26" fillId="0" borderId="11" xfId="0" applyFont="1" applyBorder="1" applyAlignment="1">
      <alignment horizontal="center" vertical="center"/>
    </xf>
    <xf numFmtId="0" fontId="34" fillId="0" borderId="0" xfId="77" applyAlignment="1">
      <alignment horizontal="center" wrapText="1"/>
    </xf>
    <xf numFmtId="0" fontId="26" fillId="0" borderId="11" xfId="0" applyFont="1" applyBorder="1" applyAlignment="1">
      <alignment horizontal="center" vertical="center"/>
    </xf>
    <xf numFmtId="0" fontId="34" fillId="0" borderId="11" xfId="77" applyBorder="1" applyAlignment="1">
      <alignment horizontal="center" wrapText="1"/>
    </xf>
    <xf numFmtId="0" fontId="34" fillId="25" borderId="11" xfId="77" applyFill="1" applyBorder="1" applyAlignment="1" applyProtection="1">
      <alignment horizontal="justify" vertical="center"/>
      <protection locked="0"/>
    </xf>
    <xf numFmtId="0" fontId="81" fillId="0" borderId="11" xfId="0" applyFont="1" applyBorder="1" applyAlignment="1">
      <alignment horizontal="center" vertical="center" wrapText="1"/>
    </xf>
    <xf numFmtId="0" fontId="82" fillId="0" borderId="11" xfId="0" applyFont="1" applyBorder="1" applyAlignment="1">
      <alignment horizontal="justify" vertical="center" wrapText="1"/>
    </xf>
    <xf numFmtId="0" fontId="26" fillId="0" borderId="11" xfId="0" applyFont="1" applyBorder="1" applyAlignment="1">
      <alignment horizontal="center" vertical="center"/>
    </xf>
    <xf numFmtId="0" fontId="26" fillId="0" borderId="11" xfId="0" applyFont="1" applyBorder="1" applyAlignment="1">
      <alignment horizontal="center" vertical="center"/>
    </xf>
    <xf numFmtId="0" fontId="26" fillId="76" borderId="11" xfId="0" applyFont="1" applyFill="1" applyBorder="1" applyAlignment="1" applyProtection="1">
      <alignment horizontal="justify" vertical="center"/>
      <protection locked="0"/>
    </xf>
    <xf numFmtId="0" fontId="26" fillId="0" borderId="11" xfId="0" applyFont="1" applyBorder="1" applyAlignment="1">
      <alignment horizontal="center" vertical="center"/>
    </xf>
    <xf numFmtId="0" fontId="50" fillId="0" borderId="11" xfId="0" applyFont="1" applyBorder="1" applyAlignment="1">
      <alignment vertical="center"/>
    </xf>
    <xf numFmtId="0" fontId="26" fillId="0" borderId="11" xfId="0" applyFont="1" applyBorder="1" applyAlignment="1">
      <alignment horizontal="center" vertical="center"/>
    </xf>
    <xf numFmtId="0" fontId="26" fillId="0" borderId="11" xfId="0" applyFont="1" applyBorder="1" applyAlignment="1">
      <alignment horizontal="center" vertical="center"/>
    </xf>
    <xf numFmtId="0" fontId="26" fillId="0" borderId="11" xfId="0" applyFont="1" applyBorder="1" applyAlignment="1">
      <alignment horizontal="center" vertical="center"/>
    </xf>
    <xf numFmtId="0" fontId="26" fillId="0" borderId="11" xfId="0" applyFont="1" applyBorder="1" applyAlignment="1">
      <alignment horizontal="center" vertical="center"/>
    </xf>
    <xf numFmtId="0" fontId="26" fillId="0" borderId="11" xfId="0" applyFont="1" applyBorder="1" applyAlignment="1">
      <alignment horizontal="center" vertical="center"/>
    </xf>
    <xf numFmtId="0" fontId="26" fillId="0" borderId="11" xfId="0" applyFont="1" applyBorder="1" applyAlignment="1">
      <alignment horizontal="center" vertical="center"/>
    </xf>
    <xf numFmtId="0" fontId="26" fillId="0" borderId="11" xfId="0" applyFont="1" applyBorder="1" applyAlignment="1">
      <alignment horizontal="center" vertical="center"/>
    </xf>
    <xf numFmtId="0" fontId="22" fillId="0" borderId="11" xfId="50" applyBorder="1" applyAlignment="1">
      <alignment horizontal="center"/>
    </xf>
    <xf numFmtId="0" fontId="26" fillId="0" borderId="11" xfId="0" applyFont="1" applyBorder="1" applyAlignment="1">
      <alignment horizontal="center" vertical="center"/>
    </xf>
    <xf numFmtId="0" fontId="34" fillId="26" borderId="0" xfId="77" applyFill="1"/>
    <xf numFmtId="0" fontId="26" fillId="0" borderId="11" xfId="0" applyFont="1" applyBorder="1" applyAlignment="1">
      <alignment horizontal="center" vertical="center"/>
    </xf>
    <xf numFmtId="0" fontId="34" fillId="0" borderId="11" xfId="77" applyBorder="1"/>
    <xf numFmtId="0" fontId="50" fillId="0" borderId="11" xfId="0" applyFont="1" applyBorder="1" applyAlignment="1">
      <alignment vertical="center" wrapText="1"/>
    </xf>
    <xf numFmtId="0" fontId="26" fillId="0" borderId="11" xfId="0" applyFont="1" applyBorder="1" applyAlignment="1">
      <alignment horizontal="center" vertical="center"/>
    </xf>
    <xf numFmtId="0" fontId="26" fillId="25" borderId="11" xfId="0" applyFont="1" applyFill="1" applyBorder="1" applyAlignment="1" applyProtection="1">
      <alignment horizontal="right" vertical="center"/>
      <protection locked="0"/>
    </xf>
    <xf numFmtId="0" fontId="26" fillId="0" borderId="11" xfId="0" applyFont="1" applyBorder="1" applyAlignment="1">
      <alignment horizontal="center" vertical="center"/>
    </xf>
    <xf numFmtId="49" fontId="26" fillId="0" borderId="11" xfId="0" applyNumberFormat="1" applyFont="1" applyBorder="1" applyAlignment="1">
      <alignment horizontal="justify" vertical="center" wrapText="1"/>
    </xf>
    <xf numFmtId="0" fontId="0" fillId="0" borderId="11" xfId="0" applyBorder="1" applyAlignment="1">
      <alignment horizontal="center" vertical="center" wrapText="1"/>
    </xf>
    <xf numFmtId="169" fontId="26" fillId="0" borderId="33" xfId="0" applyNumberFormat="1" applyFont="1" applyFill="1" applyBorder="1" applyAlignment="1" applyProtection="1">
      <alignment horizontal="center" vertical="center"/>
      <protection locked="0"/>
    </xf>
    <xf numFmtId="169" fontId="5" fillId="29" borderId="11" xfId="0" applyNumberFormat="1" applyFont="1" applyFill="1" applyBorder="1" applyAlignment="1" applyProtection="1">
      <alignment vertical="center" wrapText="1"/>
      <protection locked="0"/>
    </xf>
    <xf numFmtId="169" fontId="26" fillId="29" borderId="11" xfId="0" applyNumberFormat="1" applyFont="1" applyFill="1" applyBorder="1" applyAlignment="1">
      <alignment horizontal="center" vertical="center"/>
    </xf>
    <xf numFmtId="15" fontId="34" fillId="0" borderId="11" xfId="77" applyNumberFormat="1" applyFont="1" applyFill="1" applyBorder="1" applyAlignment="1" applyProtection="1">
      <alignment horizontal="center" vertical="center" wrapText="1"/>
      <protection locked="0"/>
    </xf>
    <xf numFmtId="49" fontId="5" fillId="28" borderId="11" xfId="0" applyNumberFormat="1" applyFont="1" applyFill="1" applyBorder="1" applyAlignment="1">
      <alignment horizontal="center" vertical="center" wrapText="1"/>
    </xf>
    <xf numFmtId="0" fontId="26" fillId="0" borderId="11" xfId="0" applyFont="1" applyBorder="1" applyAlignment="1">
      <alignment horizontal="center" vertical="center"/>
    </xf>
    <xf numFmtId="0" fontId="26" fillId="0" borderId="11" xfId="0" applyFont="1" applyBorder="1" applyAlignment="1">
      <alignment horizontal="center" vertical="center"/>
    </xf>
    <xf numFmtId="0" fontId="26" fillId="0" borderId="11" xfId="0" applyFont="1" applyBorder="1" applyAlignment="1">
      <alignment horizontal="center" vertical="center"/>
    </xf>
    <xf numFmtId="14" fontId="26" fillId="0" borderId="11" xfId="0" applyNumberFormat="1" applyFont="1" applyBorder="1" applyAlignment="1">
      <alignment horizontal="center" vertical="center"/>
    </xf>
    <xf numFmtId="182" fontId="0" fillId="0" borderId="0" xfId="0" applyNumberFormat="1" applyFill="1" applyAlignment="1">
      <alignment horizontal="center" vertical="center"/>
    </xf>
    <xf numFmtId="0" fontId="0" fillId="0" borderId="11" xfId="0" applyFill="1" applyBorder="1" applyAlignment="1">
      <alignment vertical="center"/>
    </xf>
    <xf numFmtId="0" fontId="26" fillId="0" borderId="0" xfId="0" applyFont="1" applyFill="1" applyAlignment="1">
      <alignment vertical="center"/>
    </xf>
    <xf numFmtId="0" fontId="26" fillId="0" borderId="33" xfId="0" applyFont="1" applyFill="1" applyBorder="1" applyAlignment="1" applyProtection="1">
      <alignment horizontal="justify" vertical="center"/>
      <protection locked="0"/>
    </xf>
    <xf numFmtId="0" fontId="80" fillId="0" borderId="11" xfId="0" applyFont="1" applyFill="1" applyBorder="1" applyAlignment="1">
      <alignment horizontal="justify" vertical="center" wrapText="1"/>
    </xf>
    <xf numFmtId="171" fontId="26" fillId="0" borderId="43" xfId="76" applyNumberFormat="1" applyFont="1" applyFill="1" applyBorder="1" applyAlignment="1" applyProtection="1">
      <alignment vertical="center"/>
      <protection locked="0"/>
    </xf>
    <xf numFmtId="171" fontId="73" fillId="0" borderId="11" xfId="77" applyNumberFormat="1" applyFont="1" applyFill="1" applyBorder="1" applyAlignment="1" applyProtection="1">
      <alignment horizontal="center" vertical="center" wrapText="1"/>
      <protection locked="0"/>
    </xf>
    <xf numFmtId="173" fontId="26" fillId="0" borderId="11" xfId="116" applyNumberFormat="1" applyFont="1" applyFill="1" applyBorder="1" applyAlignment="1" applyProtection="1">
      <alignment horizontal="center" vertical="center"/>
      <protection locked="0"/>
    </xf>
    <xf numFmtId="15" fontId="26" fillId="0" borderId="11" xfId="0" applyNumberFormat="1" applyFont="1" applyFill="1" applyBorder="1" applyAlignment="1" applyProtection="1">
      <alignment horizontal="center" vertical="center"/>
      <protection locked="0"/>
    </xf>
    <xf numFmtId="1" fontId="26" fillId="0" borderId="11" xfId="0" applyNumberFormat="1" applyFont="1" applyFill="1" applyBorder="1" applyAlignment="1">
      <alignment horizontal="center" vertical="center"/>
    </xf>
    <xf numFmtId="0" fontId="5" fillId="0" borderId="11" xfId="0" applyNumberFormat="1" applyFont="1" applyFill="1" applyBorder="1" applyAlignment="1">
      <alignment horizontal="center" vertical="center" wrapText="1"/>
    </xf>
    <xf numFmtId="0" fontId="26" fillId="0" borderId="11" xfId="0" applyFont="1" applyFill="1" applyBorder="1" applyAlignment="1" applyProtection="1">
      <alignment horizontal="center" vertical="center"/>
      <protection locked="0"/>
    </xf>
    <xf numFmtId="0" fontId="26" fillId="0" borderId="11" xfId="0" applyFont="1" applyFill="1" applyBorder="1" applyAlignment="1">
      <alignment horizontal="center" vertical="center" wrapText="1"/>
    </xf>
    <xf numFmtId="0" fontId="26" fillId="0" borderId="11" xfId="0" applyFont="1" applyBorder="1" applyAlignment="1">
      <alignment horizontal="center" vertical="center"/>
    </xf>
    <xf numFmtId="0" fontId="26" fillId="0" borderId="11" xfId="0" applyFont="1" applyBorder="1" applyAlignment="1">
      <alignment horizontal="center" vertical="center"/>
    </xf>
    <xf numFmtId="0" fontId="26" fillId="0" borderId="11" xfId="0" applyFont="1" applyBorder="1" applyAlignment="1">
      <alignment horizontal="center" vertical="center"/>
    </xf>
    <xf numFmtId="0" fontId="26" fillId="0" borderId="11" xfId="0" applyFont="1" applyBorder="1" applyAlignment="1">
      <alignment horizontal="center" vertical="center"/>
    </xf>
    <xf numFmtId="0" fontId="26" fillId="0" borderId="11" xfId="0" applyFont="1" applyBorder="1" applyAlignment="1">
      <alignment horizontal="center" vertical="center"/>
    </xf>
    <xf numFmtId="0" fontId="26" fillId="0" borderId="11" xfId="0" applyFont="1" applyBorder="1" applyAlignment="1">
      <alignment horizontal="center" vertical="center"/>
    </xf>
    <xf numFmtId="0" fontId="26" fillId="0" borderId="11" xfId="0" applyFont="1" applyBorder="1" applyAlignment="1">
      <alignment horizontal="center" vertical="center"/>
    </xf>
    <xf numFmtId="0" fontId="26" fillId="0" borderId="11" xfId="0" applyFont="1" applyBorder="1" applyAlignment="1">
      <alignment horizontal="center" vertical="center"/>
    </xf>
    <xf numFmtId="171" fontId="26" fillId="0" borderId="0" xfId="0" applyNumberFormat="1" applyFont="1" applyAlignment="1">
      <alignment vertical="center"/>
    </xf>
    <xf numFmtId="0" fontId="26" fillId="0" borderId="11" xfId="0" applyFont="1" applyBorder="1" applyAlignment="1">
      <alignment horizontal="center" vertical="center"/>
    </xf>
    <xf numFmtId="0" fontId="26" fillId="0" borderId="11" xfId="0" applyFont="1" applyBorder="1" applyAlignment="1">
      <alignment horizontal="center" vertical="center"/>
    </xf>
    <xf numFmtId="0" fontId="26" fillId="0" borderId="11" xfId="0" applyFont="1" applyBorder="1" applyAlignment="1">
      <alignment horizontal="center" vertical="center"/>
    </xf>
    <xf numFmtId="169" fontId="83" fillId="0" borderId="0" xfId="0" applyNumberFormat="1" applyFont="1" applyAlignment="1">
      <alignment wrapText="1"/>
    </xf>
    <xf numFmtId="174" fontId="83" fillId="0" borderId="0" xfId="0" applyNumberFormat="1" applyFont="1" applyAlignment="1">
      <alignment wrapText="1"/>
    </xf>
    <xf numFmtId="169" fontId="83" fillId="0" borderId="0" xfId="0" applyNumberFormat="1" applyFont="1" applyAlignment="1">
      <alignment vertical="center" wrapText="1"/>
    </xf>
    <xf numFmtId="174" fontId="83" fillId="0" borderId="0" xfId="0" applyNumberFormat="1" applyFont="1" applyAlignment="1">
      <alignment vertical="center" wrapText="1"/>
    </xf>
    <xf numFmtId="0" fontId="83" fillId="0" borderId="0" xfId="0" applyFont="1" applyAlignment="1">
      <alignment horizontal="left" wrapText="1"/>
    </xf>
    <xf numFmtId="0" fontId="83" fillId="0" borderId="0" xfId="0" pivotButton="1" applyFont="1" applyAlignment="1">
      <alignment horizontal="center" vertical="center" wrapText="1"/>
    </xf>
    <xf numFmtId="0" fontId="83" fillId="0" borderId="0" xfId="0" applyFont="1" applyAlignment="1">
      <alignment horizontal="center" vertical="center" wrapText="1"/>
    </xf>
    <xf numFmtId="174" fontId="83" fillId="0" borderId="0" xfId="0" applyNumberFormat="1" applyFont="1" applyAlignment="1">
      <alignment horizontal="center" vertical="center" wrapText="1"/>
    </xf>
    <xf numFmtId="0" fontId="83" fillId="0" borderId="0" xfId="0" pivotButton="1" applyFont="1" applyAlignment="1">
      <alignment vertical="center" wrapText="1"/>
    </xf>
    <xf numFmtId="9" fontId="83" fillId="0" borderId="0" xfId="0" applyNumberFormat="1" applyFont="1" applyAlignment="1">
      <alignment horizontal="left" wrapText="1"/>
    </xf>
    <xf numFmtId="0" fontId="83" fillId="0" borderId="0" xfId="0" pivotButton="1" applyFont="1" applyAlignment="1">
      <alignment wrapText="1"/>
    </xf>
    <xf numFmtId="0" fontId="83" fillId="0" borderId="0" xfId="0" applyFont="1" applyAlignment="1">
      <alignment wrapText="1"/>
    </xf>
    <xf numFmtId="0" fontId="30" fillId="0" borderId="0" xfId="0" applyFont="1" applyAlignment="1" applyProtection="1">
      <alignment horizontal="center" vertical="center"/>
    </xf>
    <xf numFmtId="0" fontId="3" fillId="0" borderId="18" xfId="0" applyFont="1" applyBorder="1" applyAlignment="1" applyProtection="1">
      <alignment horizontal="left" wrapText="1"/>
    </xf>
    <xf numFmtId="0" fontId="3" fillId="0" borderId="19" xfId="0" applyFont="1" applyBorder="1" applyAlignment="1" applyProtection="1">
      <alignment horizontal="left" wrapText="1"/>
    </xf>
    <xf numFmtId="15" fontId="3" fillId="28" borderId="18" xfId="0" applyNumberFormat="1" applyFont="1" applyFill="1" applyBorder="1" applyAlignment="1" applyProtection="1">
      <alignment horizontal="right" vertical="center"/>
      <protection locked="0"/>
    </xf>
    <xf numFmtId="15" fontId="3" fillId="28" borderId="19" xfId="0" applyNumberFormat="1" applyFont="1" applyFill="1" applyBorder="1" applyAlignment="1" applyProtection="1">
      <alignment horizontal="right" vertical="center"/>
      <protection locked="0"/>
    </xf>
    <xf numFmtId="0" fontId="25" fillId="0" borderId="0" xfId="0" applyFont="1" applyAlignment="1" applyProtection="1">
      <alignment horizontal="center" vertical="center"/>
    </xf>
    <xf numFmtId="0" fontId="31" fillId="28" borderId="20" xfId="0" applyFont="1" applyFill="1" applyBorder="1" applyAlignment="1" applyProtection="1">
      <alignment horizontal="center" vertical="center"/>
    </xf>
    <xf numFmtId="0" fontId="31" fillId="28" borderId="21" xfId="0" applyFont="1" applyFill="1" applyBorder="1" applyAlignment="1" applyProtection="1">
      <alignment horizontal="center" vertical="center"/>
    </xf>
    <xf numFmtId="0" fontId="31" fillId="28" borderId="22" xfId="0" applyFont="1" applyFill="1" applyBorder="1" applyAlignment="1" applyProtection="1">
      <alignment horizontal="center" vertical="center"/>
    </xf>
    <xf numFmtId="0" fontId="31" fillId="28" borderId="23" xfId="0" applyFont="1" applyFill="1" applyBorder="1" applyAlignment="1" applyProtection="1">
      <alignment horizontal="center" vertical="center"/>
    </xf>
    <xf numFmtId="0" fontId="31" fillId="28" borderId="0" xfId="0" applyFont="1" applyFill="1" applyBorder="1" applyAlignment="1" applyProtection="1">
      <alignment horizontal="center" vertical="center"/>
    </xf>
    <xf numFmtId="0" fontId="31" fillId="28" borderId="16" xfId="0" applyFont="1" applyFill="1" applyBorder="1" applyAlignment="1" applyProtection="1">
      <alignment horizontal="center" vertical="center"/>
    </xf>
    <xf numFmtId="0" fontId="31" fillId="28" borderId="24" xfId="0" applyFont="1" applyFill="1" applyBorder="1" applyAlignment="1" applyProtection="1">
      <alignment horizontal="center" vertical="center"/>
    </xf>
    <xf numFmtId="0" fontId="31" fillId="28" borderId="15" xfId="0" applyFont="1" applyFill="1" applyBorder="1" applyAlignment="1" applyProtection="1">
      <alignment horizontal="center" vertical="center"/>
    </xf>
    <xf numFmtId="0" fontId="31" fillId="28" borderId="25" xfId="0" applyFont="1" applyFill="1" applyBorder="1" applyAlignment="1" applyProtection="1">
      <alignment horizontal="center" vertical="center"/>
    </xf>
    <xf numFmtId="9" fontId="25" fillId="25" borderId="0" xfId="1" applyFont="1" applyFill="1" applyAlignment="1">
      <alignment horizontal="center" vertical="center"/>
    </xf>
    <xf numFmtId="0" fontId="29" fillId="25" borderId="29" xfId="0" applyFont="1" applyFill="1" applyBorder="1" applyAlignment="1">
      <alignment horizontal="center" vertical="center"/>
    </xf>
    <xf numFmtId="49" fontId="29" fillId="25" borderId="29" xfId="0" applyNumberFormat="1" applyFont="1" applyFill="1" applyBorder="1" applyAlignment="1">
      <alignment horizontal="center" vertical="center" wrapText="1"/>
    </xf>
    <xf numFmtId="0" fontId="29" fillId="25" borderId="0" xfId="0" applyFont="1" applyFill="1" applyBorder="1" applyAlignment="1">
      <alignment horizontal="center" vertical="center"/>
    </xf>
    <xf numFmtId="49" fontId="29" fillId="25" borderId="0" xfId="0" applyNumberFormat="1" applyFont="1" applyFill="1" applyBorder="1" applyAlignment="1">
      <alignment horizontal="center" vertical="center" wrapText="1"/>
    </xf>
    <xf numFmtId="0" fontId="50" fillId="27" borderId="63" xfId="0" applyFont="1" applyFill="1" applyBorder="1" applyAlignment="1">
      <alignment horizontal="center" vertical="center"/>
    </xf>
    <xf numFmtId="0" fontId="50" fillId="27" borderId="64" xfId="0" applyFont="1" applyFill="1" applyBorder="1" applyAlignment="1">
      <alignment horizontal="center" vertical="center"/>
    </xf>
    <xf numFmtId="0" fontId="26" fillId="25" borderId="20" xfId="0" applyFont="1" applyFill="1" applyBorder="1" applyAlignment="1">
      <alignment horizontal="justify" vertical="center" wrapText="1"/>
    </xf>
    <xf numFmtId="0" fontId="26" fillId="25" borderId="21" xfId="0" applyFont="1" applyFill="1" applyBorder="1" applyAlignment="1">
      <alignment horizontal="justify" vertical="center" wrapText="1"/>
    </xf>
    <xf numFmtId="0" fontId="26" fillId="25" borderId="22" xfId="0" applyFont="1" applyFill="1" applyBorder="1" applyAlignment="1">
      <alignment horizontal="justify" vertical="center" wrapText="1"/>
    </xf>
    <xf numFmtId="0" fontId="26" fillId="25" borderId="23" xfId="0" applyFont="1" applyFill="1" applyBorder="1" applyAlignment="1">
      <alignment horizontal="justify" vertical="center" wrapText="1"/>
    </xf>
    <xf numFmtId="0" fontId="26" fillId="25" borderId="0" xfId="0" applyFont="1" applyFill="1" applyBorder="1" applyAlignment="1">
      <alignment horizontal="justify" vertical="center" wrapText="1"/>
    </xf>
    <xf numFmtId="0" fontId="26" fillId="25" borderId="16" xfId="0" applyFont="1" applyFill="1" applyBorder="1" applyAlignment="1">
      <alignment horizontal="justify" vertical="center" wrapText="1"/>
    </xf>
    <xf numFmtId="0" fontId="26" fillId="25" borderId="24" xfId="0" applyFont="1" applyFill="1" applyBorder="1" applyAlignment="1">
      <alignment horizontal="justify" vertical="center" wrapText="1"/>
    </xf>
    <xf numFmtId="0" fontId="26" fillId="25" borderId="15" xfId="0" applyFont="1" applyFill="1" applyBorder="1" applyAlignment="1">
      <alignment horizontal="justify" vertical="center" wrapText="1"/>
    </xf>
    <xf numFmtId="0" fontId="26" fillId="25" borderId="25" xfId="0" applyFont="1" applyFill="1" applyBorder="1" applyAlignment="1">
      <alignment horizontal="justify" vertical="center" wrapText="1"/>
    </xf>
    <xf numFmtId="0" fontId="50" fillId="64" borderId="76" xfId="0" applyFont="1" applyFill="1" applyBorder="1" applyAlignment="1">
      <alignment horizontal="center" vertical="center"/>
    </xf>
    <xf numFmtId="49" fontId="50" fillId="64" borderId="76" xfId="0" applyNumberFormat="1" applyFont="1" applyFill="1" applyBorder="1" applyAlignment="1">
      <alignment horizontal="center" vertical="center" wrapText="1"/>
    </xf>
    <xf numFmtId="0" fontId="50" fillId="64" borderId="58" xfId="0" applyFont="1" applyFill="1" applyBorder="1" applyAlignment="1">
      <alignment horizontal="center" vertical="center"/>
    </xf>
    <xf numFmtId="0" fontId="53" fillId="25" borderId="0" xfId="0" applyFont="1" applyFill="1" applyAlignment="1">
      <alignment horizontal="left" wrapText="1"/>
    </xf>
    <xf numFmtId="0" fontId="31" fillId="28" borderId="20" xfId="0" applyFont="1" applyFill="1" applyBorder="1" applyAlignment="1">
      <alignment horizontal="center" vertical="center"/>
    </xf>
    <xf numFmtId="0" fontId="31" fillId="28" borderId="21" xfId="0" applyFont="1" applyFill="1" applyBorder="1" applyAlignment="1">
      <alignment horizontal="center" vertical="center"/>
    </xf>
    <xf numFmtId="0" fontId="31" fillId="28" borderId="31" xfId="0" applyFont="1" applyFill="1" applyBorder="1" applyAlignment="1">
      <alignment horizontal="center" vertical="center"/>
    </xf>
    <xf numFmtId="0" fontId="31" fillId="28" borderId="23" xfId="0" applyFont="1" applyFill="1" applyBorder="1" applyAlignment="1">
      <alignment horizontal="center" vertical="center"/>
    </xf>
    <xf numFmtId="0" fontId="31" fillId="28" borderId="0" xfId="0" applyFont="1" applyFill="1" applyBorder="1" applyAlignment="1">
      <alignment horizontal="center" vertical="center"/>
    </xf>
    <xf numFmtId="0" fontId="31" fillId="28" borderId="28" xfId="0" applyFont="1" applyFill="1" applyBorder="1" applyAlignment="1">
      <alignment horizontal="center" vertical="center"/>
    </xf>
    <xf numFmtId="0" fontId="31" fillId="28" borderId="24" xfId="0" applyFont="1" applyFill="1" applyBorder="1" applyAlignment="1">
      <alignment horizontal="center" vertical="center"/>
    </xf>
    <xf numFmtId="0" fontId="31" fillId="28" borderId="15" xfId="0" applyFont="1" applyFill="1" applyBorder="1" applyAlignment="1">
      <alignment horizontal="center" vertical="center"/>
    </xf>
    <xf numFmtId="0" fontId="31" fillId="28" borderId="32" xfId="0" applyFont="1" applyFill="1" applyBorder="1" applyAlignment="1">
      <alignment horizontal="center" vertical="center"/>
    </xf>
    <xf numFmtId="0" fontId="30" fillId="0" borderId="0" xfId="0" applyFont="1" applyAlignment="1">
      <alignment horizontal="center" vertical="center"/>
    </xf>
    <xf numFmtId="0" fontId="25" fillId="0" borderId="0" xfId="0" applyFont="1" applyAlignment="1">
      <alignment horizontal="center" vertical="center"/>
    </xf>
    <xf numFmtId="0" fontId="52" fillId="25" borderId="0" xfId="0" applyFont="1" applyFill="1" applyAlignment="1">
      <alignment horizontal="left" wrapText="1"/>
    </xf>
    <xf numFmtId="0" fontId="29" fillId="25" borderId="71" xfId="0" applyFont="1" applyFill="1" applyBorder="1" applyAlignment="1">
      <alignment horizontal="center" vertical="center"/>
    </xf>
    <xf numFmtId="0" fontId="26" fillId="25" borderId="70" xfId="0" applyFont="1" applyFill="1" applyBorder="1" applyAlignment="1">
      <alignment horizontal="justify" vertical="center"/>
    </xf>
    <xf numFmtId="0" fontId="26" fillId="25" borderId="71" xfId="0" applyFont="1" applyFill="1" applyBorder="1" applyAlignment="1">
      <alignment horizontal="justify" vertical="center"/>
    </xf>
    <xf numFmtId="0" fontId="26" fillId="25" borderId="72" xfId="0" applyFont="1" applyFill="1" applyBorder="1" applyAlignment="1">
      <alignment horizontal="justify" vertical="center"/>
    </xf>
    <xf numFmtId="0" fontId="26" fillId="25" borderId="73" xfId="0" applyFont="1" applyFill="1" applyBorder="1" applyAlignment="1">
      <alignment horizontal="justify" vertical="center"/>
    </xf>
    <xf numFmtId="0" fontId="26" fillId="25" borderId="74" xfId="0" applyFont="1" applyFill="1" applyBorder="1" applyAlignment="1">
      <alignment horizontal="justify" vertical="center"/>
    </xf>
    <xf numFmtId="0" fontId="26" fillId="25" borderId="75" xfId="0" applyFont="1" applyFill="1" applyBorder="1" applyAlignment="1">
      <alignment horizontal="justify" vertical="center"/>
    </xf>
    <xf numFmtId="0" fontId="51" fillId="25" borderId="74" xfId="0" applyFont="1" applyFill="1" applyBorder="1" applyAlignment="1">
      <alignment horizontal="center" vertical="center"/>
    </xf>
    <xf numFmtId="0" fontId="3" fillId="64" borderId="13" xfId="0" applyFont="1" applyFill="1" applyBorder="1" applyAlignment="1">
      <alignment horizontal="center" vertical="center" wrapText="1"/>
    </xf>
    <xf numFmtId="0" fontId="3" fillId="64" borderId="50" xfId="0" applyFont="1" applyFill="1" applyBorder="1" applyAlignment="1">
      <alignment horizontal="center" vertical="center" wrapText="1"/>
    </xf>
    <xf numFmtId="0" fontId="3" fillId="64" borderId="67" xfId="0" applyFont="1" applyFill="1" applyBorder="1" applyAlignment="1">
      <alignment horizontal="center" vertical="center"/>
    </xf>
    <xf numFmtId="0" fontId="3" fillId="64" borderId="52" xfId="0" applyFont="1" applyFill="1" applyBorder="1" applyAlignment="1">
      <alignment horizontal="center" vertical="center"/>
    </xf>
    <xf numFmtId="0" fontId="3" fillId="28" borderId="43" xfId="0" applyFont="1" applyFill="1" applyBorder="1" applyAlignment="1">
      <alignment horizontal="center" vertical="center"/>
    </xf>
    <xf numFmtId="0" fontId="3" fillId="28" borderId="11" xfId="0" applyFont="1" applyFill="1" applyBorder="1" applyAlignment="1">
      <alignment horizontal="center" vertical="center"/>
    </xf>
    <xf numFmtId="0" fontId="3" fillId="28" borderId="33" xfId="0" applyFont="1" applyFill="1" applyBorder="1" applyAlignment="1">
      <alignment horizontal="center" vertical="center"/>
    </xf>
    <xf numFmtId="0" fontId="3" fillId="64" borderId="17" xfId="0" applyFont="1" applyFill="1" applyBorder="1" applyAlignment="1">
      <alignment horizontal="center" vertical="center" wrapText="1"/>
    </xf>
    <xf numFmtId="169" fontId="26" fillId="28" borderId="11" xfId="0" applyNumberFormat="1" applyFont="1" applyFill="1" applyBorder="1" applyAlignment="1">
      <alignment horizontal="center" vertical="center" wrapText="1"/>
    </xf>
    <xf numFmtId="0" fontId="28" fillId="28" borderId="81" xfId="0" applyFont="1" applyFill="1" applyBorder="1" applyAlignment="1">
      <alignment horizontal="center" vertical="center"/>
    </xf>
    <xf numFmtId="0" fontId="28" fillId="28" borderId="57" xfId="0" applyFont="1" applyFill="1" applyBorder="1" applyAlignment="1">
      <alignment horizontal="center" vertical="center"/>
    </xf>
    <xf numFmtId="0" fontId="28" fillId="28" borderId="43" xfId="0" applyFont="1" applyFill="1" applyBorder="1" applyAlignment="1">
      <alignment horizontal="center" vertical="center"/>
    </xf>
    <xf numFmtId="0" fontId="28" fillId="25" borderId="0" xfId="0" applyFont="1" applyFill="1" applyAlignment="1">
      <alignment horizontal="center"/>
    </xf>
    <xf numFmtId="0" fontId="26" fillId="0" borderId="11" xfId="0" applyFont="1" applyBorder="1" applyAlignment="1">
      <alignment horizontal="center" vertical="center"/>
    </xf>
    <xf numFmtId="0" fontId="3" fillId="69" borderId="11" xfId="0" applyFont="1" applyFill="1" applyBorder="1" applyAlignment="1">
      <alignment horizontal="center"/>
    </xf>
    <xf numFmtId="0" fontId="3" fillId="68" borderId="11" xfId="0" applyFont="1" applyFill="1" applyBorder="1" applyAlignment="1">
      <alignment horizontal="center"/>
    </xf>
    <xf numFmtId="0" fontId="5" fillId="28" borderId="0" xfId="0" applyFont="1" applyFill="1" applyBorder="1" applyAlignment="1">
      <alignment horizontal="center" vertical="center" wrapText="1"/>
    </xf>
    <xf numFmtId="0" fontId="5" fillId="28" borderId="76" xfId="0" applyFont="1" applyFill="1" applyBorder="1" applyAlignment="1">
      <alignment horizontal="center" vertical="center" wrapText="1"/>
    </xf>
    <xf numFmtId="0" fontId="5" fillId="28" borderId="49" xfId="0" applyFont="1" applyFill="1" applyBorder="1" applyAlignment="1">
      <alignment horizontal="center" vertical="center" wrapText="1"/>
    </xf>
    <xf numFmtId="0" fontId="5" fillId="28" borderId="58" xfId="0" applyFont="1" applyFill="1" applyBorder="1" applyAlignment="1">
      <alignment horizontal="center" vertical="center" wrapText="1"/>
    </xf>
    <xf numFmtId="0" fontId="0" fillId="0" borderId="26" xfId="0" applyBorder="1" applyAlignment="1">
      <alignment horizontal="center"/>
    </xf>
    <xf numFmtId="0" fontId="3" fillId="0" borderId="11" xfId="0" applyFont="1" applyBorder="1" applyAlignment="1">
      <alignment horizontal="center"/>
    </xf>
    <xf numFmtId="0" fontId="26" fillId="65" borderId="80" xfId="0" applyFont="1" applyFill="1" applyBorder="1" applyAlignment="1">
      <alignment horizontal="center" vertical="center" wrapText="1"/>
    </xf>
    <xf numFmtId="0" fontId="57" fillId="25" borderId="20" xfId="0" applyFont="1" applyFill="1" applyBorder="1" applyAlignment="1">
      <alignment horizontal="center" vertical="center" wrapText="1"/>
    </xf>
    <xf numFmtId="0" fontId="57" fillId="25" borderId="21" xfId="0" applyFont="1" applyFill="1" applyBorder="1" applyAlignment="1">
      <alignment horizontal="center" vertical="center" wrapText="1"/>
    </xf>
    <xf numFmtId="0" fontId="57" fillId="25" borderId="22" xfId="0" applyFont="1" applyFill="1" applyBorder="1" applyAlignment="1">
      <alignment horizontal="center" vertical="center" wrapText="1"/>
    </xf>
    <xf numFmtId="0" fontId="57" fillId="25" borderId="24" xfId="0" applyFont="1" applyFill="1" applyBorder="1" applyAlignment="1">
      <alignment horizontal="center" vertical="center" wrapText="1"/>
    </xf>
    <xf numFmtId="0" fontId="57" fillId="25" borderId="15" xfId="0" applyFont="1" applyFill="1" applyBorder="1" applyAlignment="1">
      <alignment horizontal="center" vertical="center" wrapText="1"/>
    </xf>
    <xf numFmtId="0" fontId="57" fillId="25" borderId="25" xfId="0" applyFont="1" applyFill="1" applyBorder="1" applyAlignment="1">
      <alignment horizontal="center" vertical="center" wrapText="1"/>
    </xf>
    <xf numFmtId="0" fontId="62" fillId="25" borderId="88" xfId="0" applyFont="1" applyFill="1" applyBorder="1" applyAlignment="1">
      <alignment horizontal="center" vertical="center" wrapText="1"/>
    </xf>
    <xf numFmtId="0" fontId="62" fillId="25" borderId="89" xfId="0" applyFont="1" applyFill="1" applyBorder="1" applyAlignment="1">
      <alignment horizontal="center" vertical="center" wrapText="1"/>
    </xf>
    <xf numFmtId="0" fontId="62" fillId="25" borderId="90" xfId="0" applyFont="1" applyFill="1" applyBorder="1" applyAlignment="1">
      <alignment horizontal="center" vertical="center" wrapText="1"/>
    </xf>
    <xf numFmtId="0" fontId="65" fillId="25" borderId="91" xfId="0" applyFont="1" applyFill="1" applyBorder="1" applyAlignment="1">
      <alignment horizontal="center" vertical="center" wrapText="1"/>
    </xf>
    <xf numFmtId="0" fontId="65" fillId="25" borderId="0" xfId="0" applyFont="1" applyFill="1" applyBorder="1" applyAlignment="1">
      <alignment horizontal="center" vertical="center" wrapText="1"/>
    </xf>
    <xf numFmtId="0" fontId="65" fillId="25" borderId="92" xfId="0" applyFont="1" applyFill="1" applyBorder="1" applyAlignment="1">
      <alignment horizontal="center" vertical="center" wrapText="1"/>
    </xf>
    <xf numFmtId="0" fontId="61" fillId="70" borderId="11" xfId="0" applyFont="1" applyFill="1" applyBorder="1" applyAlignment="1">
      <alignment horizontal="center" vertical="center" wrapText="1"/>
    </xf>
    <xf numFmtId="0" fontId="66" fillId="29" borderId="11" xfId="0" applyFont="1" applyFill="1" applyBorder="1" applyAlignment="1">
      <alignment horizontal="left" vertical="center" wrapText="1"/>
    </xf>
    <xf numFmtId="0" fontId="66" fillId="81" borderId="11" xfId="0" applyFont="1" applyFill="1" applyBorder="1" applyAlignment="1">
      <alignment horizontal="left" vertical="center" wrapText="1"/>
    </xf>
    <xf numFmtId="0" fontId="67" fillId="29" borderId="11" xfId="0" applyFont="1" applyFill="1" applyBorder="1" applyAlignment="1">
      <alignment horizontal="left" vertical="center" wrapText="1"/>
    </xf>
    <xf numFmtId="0" fontId="67" fillId="80" borderId="11" xfId="0" applyFont="1" applyFill="1" applyBorder="1" applyAlignment="1">
      <alignment horizontal="left" vertical="center" wrapText="1"/>
    </xf>
    <xf numFmtId="0" fontId="67" fillId="81" borderId="11" xfId="0" applyFont="1" applyFill="1" applyBorder="1" applyAlignment="1">
      <alignment horizontal="left" vertical="center" wrapText="1"/>
    </xf>
    <xf numFmtId="0" fontId="67" fillId="78" borderId="96" xfId="0" applyFont="1" applyFill="1" applyBorder="1" applyAlignment="1">
      <alignment horizontal="center" vertical="center" wrapText="1"/>
    </xf>
    <xf numFmtId="0" fontId="60" fillId="85" borderId="11" xfId="0" applyFont="1" applyFill="1" applyBorder="1" applyAlignment="1">
      <alignment horizontal="left" vertical="center" wrapText="1"/>
    </xf>
    <xf numFmtId="0" fontId="67" fillId="79" borderId="99" xfId="0" applyFont="1" applyFill="1" applyBorder="1" applyAlignment="1">
      <alignment horizontal="center" vertical="center" wrapText="1"/>
    </xf>
    <xf numFmtId="0" fontId="67" fillId="79" borderId="100" xfId="0" applyFont="1" applyFill="1" applyBorder="1" applyAlignment="1">
      <alignment horizontal="center" vertical="center" wrapText="1"/>
    </xf>
    <xf numFmtId="0" fontId="67" fillId="79" borderId="101" xfId="0" applyFont="1" applyFill="1" applyBorder="1" applyAlignment="1">
      <alignment horizontal="center" vertical="center" wrapText="1"/>
    </xf>
    <xf numFmtId="0" fontId="67" fillId="0" borderId="11" xfId="0" applyFont="1" applyBorder="1" applyAlignment="1">
      <alignment horizontal="right" vertical="center" wrapText="1"/>
    </xf>
    <xf numFmtId="0" fontId="67" fillId="0" borderId="54" xfId="0" applyFont="1" applyBorder="1" applyAlignment="1">
      <alignment horizontal="right" vertical="center" wrapText="1"/>
    </xf>
    <xf numFmtId="0" fontId="67" fillId="0" borderId="77" xfId="0" applyFont="1" applyBorder="1" applyAlignment="1">
      <alignment horizontal="right" vertical="center" wrapText="1"/>
    </xf>
    <xf numFmtId="0" fontId="67" fillId="0" borderId="56" xfId="0" applyFont="1" applyBorder="1" applyAlignment="1">
      <alignment horizontal="right" vertical="center" wrapText="1"/>
    </xf>
    <xf numFmtId="0" fontId="67" fillId="0" borderId="78" xfId="0" applyFont="1" applyBorder="1" applyAlignment="1">
      <alignment horizontal="right" vertical="center" wrapText="1"/>
    </xf>
    <xf numFmtId="0" fontId="66" fillId="81" borderId="96" xfId="0" applyFont="1" applyFill="1" applyBorder="1" applyAlignment="1">
      <alignment horizontal="left" vertical="center" wrapText="1"/>
    </xf>
    <xf numFmtId="0" fontId="67" fillId="29" borderId="96" xfId="0" applyFont="1" applyFill="1" applyBorder="1" applyAlignment="1">
      <alignment horizontal="left" vertical="center" wrapText="1"/>
    </xf>
    <xf numFmtId="0" fontId="66" fillId="83" borderId="33" xfId="0" applyFont="1" applyFill="1" applyBorder="1" applyAlignment="1">
      <alignment horizontal="justify" vertical="center" wrapText="1"/>
    </xf>
    <xf numFmtId="0" fontId="66" fillId="83" borderId="43" xfId="0" applyFont="1" applyFill="1" applyBorder="1" applyAlignment="1">
      <alignment horizontal="justify" vertical="center" wrapText="1"/>
    </xf>
    <xf numFmtId="0" fontId="67" fillId="81" borderId="96" xfId="0" applyFont="1" applyFill="1" applyBorder="1" applyAlignment="1">
      <alignment horizontal="left" vertical="center" wrapText="1"/>
    </xf>
    <xf numFmtId="0" fontId="66" fillId="82" borderId="11" xfId="0" applyFont="1" applyFill="1" applyBorder="1" applyAlignment="1">
      <alignment vertical="center" wrapText="1"/>
    </xf>
    <xf numFmtId="0" fontId="66" fillId="82" borderId="11" xfId="0" applyFont="1" applyFill="1" applyBorder="1" applyAlignment="1">
      <alignment horizontal="justify" vertical="center" wrapText="1"/>
    </xf>
    <xf numFmtId="0" fontId="67" fillId="0" borderId="11" xfId="0" applyFont="1" applyFill="1" applyBorder="1" applyAlignment="1">
      <alignment horizontal="left" vertical="center" wrapText="1"/>
    </xf>
    <xf numFmtId="0" fontId="28" fillId="0" borderId="76" xfId="0" applyFont="1" applyBorder="1" applyAlignment="1">
      <alignment horizontal="center" vertical="center"/>
    </xf>
    <xf numFmtId="0" fontId="67" fillId="78" borderId="11" xfId="0" applyFont="1" applyFill="1" applyBorder="1" applyAlignment="1">
      <alignment horizontal="center" vertical="center" wrapText="1"/>
    </xf>
    <xf numFmtId="0" fontId="67" fillId="26" borderId="11" xfId="0" applyFont="1" applyFill="1" applyBorder="1" applyAlignment="1">
      <alignment horizontal="left" vertical="center" wrapText="1"/>
    </xf>
    <xf numFmtId="0" fontId="66" fillId="0" borderId="11" xfId="0" applyFont="1" applyFill="1" applyBorder="1" applyAlignment="1">
      <alignment horizontal="left" vertical="center" wrapText="1"/>
    </xf>
    <xf numFmtId="0" fontId="67" fillId="65" borderId="11" xfId="0" applyFont="1" applyFill="1" applyBorder="1" applyAlignment="1">
      <alignment horizontal="left" vertical="center" wrapText="1"/>
    </xf>
    <xf numFmtId="0" fontId="66" fillId="69" borderId="11" xfId="0" applyFont="1" applyFill="1" applyBorder="1" applyAlignment="1">
      <alignment horizontal="left" vertical="center" wrapText="1"/>
    </xf>
    <xf numFmtId="0" fontId="66" fillId="82" borderId="33" xfId="0" applyFont="1" applyFill="1" applyBorder="1" applyAlignment="1">
      <alignment horizontal="justify" vertical="center" wrapText="1"/>
    </xf>
    <xf numFmtId="0" fontId="66" fillId="82" borderId="43" xfId="0" applyFont="1" applyFill="1" applyBorder="1" applyAlignment="1">
      <alignment horizontal="justify" vertical="center" wrapText="1"/>
    </xf>
    <xf numFmtId="0" fontId="67" fillId="78" borderId="103" xfId="0" applyFont="1" applyFill="1" applyBorder="1" applyAlignment="1">
      <alignment horizontal="center" vertical="center" wrapText="1"/>
    </xf>
    <xf numFmtId="0" fontId="67" fillId="78" borderId="104" xfId="0" applyFont="1" applyFill="1" applyBorder="1" applyAlignment="1">
      <alignment horizontal="center" vertical="center" wrapText="1"/>
    </xf>
    <xf numFmtId="0" fontId="66" fillId="87" borderId="11" xfId="0" applyFont="1" applyFill="1" applyBorder="1" applyAlignment="1">
      <alignment horizontal="left" vertical="center" wrapText="1"/>
    </xf>
    <xf numFmtId="0" fontId="67" fillId="0" borderId="11" xfId="0" applyFont="1" applyFill="1" applyBorder="1" applyAlignment="1">
      <alignment horizontal="right" vertical="center" wrapText="1"/>
    </xf>
    <xf numFmtId="0" fontId="67" fillId="87" borderId="11" xfId="0" applyFont="1" applyFill="1" applyBorder="1" applyAlignment="1">
      <alignment horizontal="left" vertical="center" wrapText="1"/>
    </xf>
    <xf numFmtId="0" fontId="66" fillId="87" borderId="96" xfId="0" applyFont="1" applyFill="1" applyBorder="1" applyAlignment="1">
      <alignment horizontal="left" vertical="center" wrapText="1"/>
    </xf>
    <xf numFmtId="0" fontId="67" fillId="87" borderId="96" xfId="0" applyFont="1" applyFill="1" applyBorder="1" applyAlignment="1">
      <alignment horizontal="left" vertical="center" wrapText="1"/>
    </xf>
  </cellXfs>
  <cellStyles count="214">
    <cellStyle name="20% - Accent1" xfId="127"/>
    <cellStyle name="20% - Accent2" xfId="156"/>
    <cellStyle name="20% - Accent3" xfId="157"/>
    <cellStyle name="20% - Accent4" xfId="152"/>
    <cellStyle name="20% - Accent5" xfId="148"/>
    <cellStyle name="20% - Accent6" xfId="145"/>
    <cellStyle name="20% - Énfasis1" xfId="93" builtinId="30" customBuiltin="1"/>
    <cellStyle name="20% - Énfasis1 2" xfId="4"/>
    <cellStyle name="20% - Énfasis2" xfId="97" builtinId="34" customBuiltin="1"/>
    <cellStyle name="20% - Énfasis2 2" xfId="5"/>
    <cellStyle name="20% - Énfasis3" xfId="101" builtinId="38" customBuiltin="1"/>
    <cellStyle name="20% - Énfasis3 2" xfId="6"/>
    <cellStyle name="20% - Énfasis4" xfId="105" builtinId="42" customBuiltin="1"/>
    <cellStyle name="20% - Énfasis4 2" xfId="7"/>
    <cellStyle name="20% - Énfasis5" xfId="109" builtinId="46" customBuiltin="1"/>
    <cellStyle name="20% - Énfasis5 2" xfId="8"/>
    <cellStyle name="20% - Énfasis6" xfId="113" builtinId="50" customBuiltin="1"/>
    <cellStyle name="20% - Énfasis6 2" xfId="9"/>
    <cellStyle name="40% - Accent1" xfId="124"/>
    <cellStyle name="40% - Accent2" xfId="154"/>
    <cellStyle name="40% - Accent3" xfId="159"/>
    <cellStyle name="40% - Accent4" xfId="128"/>
    <cellStyle name="40% - Accent5" xfId="140"/>
    <cellStyle name="40% - Accent6" xfId="141"/>
    <cellStyle name="40% - Énfasis1" xfId="94" builtinId="31" customBuiltin="1"/>
    <cellStyle name="40% - Énfasis1 2" xfId="10"/>
    <cellStyle name="40% - Énfasis2" xfId="98" builtinId="35" customBuiltin="1"/>
    <cellStyle name="40% - Énfasis2 2" xfId="11"/>
    <cellStyle name="40% - Énfasis3" xfId="102" builtinId="39" customBuiltin="1"/>
    <cellStyle name="40% - Énfasis3 2" xfId="12"/>
    <cellStyle name="40% - Énfasis4" xfId="106" builtinId="43" customBuiltin="1"/>
    <cellStyle name="40% - Énfasis4 2" xfId="13"/>
    <cellStyle name="40% - Énfasis5" xfId="110" builtinId="47" customBuiltin="1"/>
    <cellStyle name="40% - Énfasis5 2" xfId="14"/>
    <cellStyle name="40% - Énfasis6" xfId="114" builtinId="51" customBuiltin="1"/>
    <cellStyle name="40% - Énfasis6 2" xfId="15"/>
    <cellStyle name="60% - Accent1" xfId="131"/>
    <cellStyle name="60% - Accent2" xfId="132"/>
    <cellStyle name="60% - Accent3" xfId="133"/>
    <cellStyle name="60% - Accent4" xfId="139"/>
    <cellStyle name="60% - Accent5" xfId="119"/>
    <cellStyle name="60% - Accent6" xfId="155"/>
    <cellStyle name="60% - Énfasis1" xfId="95" builtinId="32" customBuiltin="1"/>
    <cellStyle name="60% - Énfasis1 2" xfId="16"/>
    <cellStyle name="60% - Énfasis2" xfId="99" builtinId="36" customBuiltin="1"/>
    <cellStyle name="60% - Énfasis2 2" xfId="17"/>
    <cellStyle name="60% - Énfasis3" xfId="103" builtinId="40" customBuiltin="1"/>
    <cellStyle name="60% - Énfasis3 2" xfId="18"/>
    <cellStyle name="60% - Énfasis4" xfId="107" builtinId="44" customBuiltin="1"/>
    <cellStyle name="60% - Énfasis4 2" xfId="19"/>
    <cellStyle name="60% - Énfasis5" xfId="111" builtinId="48" customBuiltin="1"/>
    <cellStyle name="60% - Énfasis5 2" xfId="20"/>
    <cellStyle name="60% - Énfasis6" xfId="115" builtinId="52" customBuiltin="1"/>
    <cellStyle name="60% - Énfasis6 2" xfId="21"/>
    <cellStyle name="Accent1" xfId="150"/>
    <cellStyle name="Accent2" xfId="134"/>
    <cellStyle name="Accent3" xfId="146"/>
    <cellStyle name="Accent4" xfId="158"/>
    <cellStyle name="Accent5" xfId="122"/>
    <cellStyle name="Accent6" xfId="149"/>
    <cellStyle name="Bad" xfId="120"/>
    <cellStyle name="Buena" xfId="82" builtinId="26" customBuiltin="1"/>
    <cellStyle name="Buena 2" xfId="22"/>
    <cellStyle name="Calculation" xfId="135"/>
    <cellStyle name="Cálculo" xfId="86" builtinId="22" customBuiltin="1"/>
    <cellStyle name="Cálculo 2" xfId="23"/>
    <cellStyle name="Celda de comprobación" xfId="88" builtinId="23" customBuiltin="1"/>
    <cellStyle name="Celda de comprobación 2" xfId="24"/>
    <cellStyle name="Celda vinculada" xfId="87" builtinId="24" customBuiltin="1"/>
    <cellStyle name="Celda vinculada 2" xfId="25"/>
    <cellStyle name="Check Cell" xfId="144"/>
    <cellStyle name="Encabezado 1" xfId="136" builtinId="16" customBuiltin="1"/>
    <cellStyle name="Encabezado 4" xfId="81" builtinId="19" customBuiltin="1"/>
    <cellStyle name="Encabezado 4 2" xfId="26"/>
    <cellStyle name="Énfasis1" xfId="92" builtinId="29" customBuiltin="1"/>
    <cellStyle name="Énfasis1 2" xfId="27"/>
    <cellStyle name="Énfasis2" xfId="96" builtinId="33" customBuiltin="1"/>
    <cellStyle name="Énfasis2 2" xfId="28"/>
    <cellStyle name="Énfasis3" xfId="100" builtinId="37" customBuiltin="1"/>
    <cellStyle name="Énfasis3 2" xfId="29"/>
    <cellStyle name="Énfasis4" xfId="104" builtinId="41" customBuiltin="1"/>
    <cellStyle name="Énfasis4 2" xfId="30"/>
    <cellStyle name="Énfasis5" xfId="108" builtinId="45" customBuiltin="1"/>
    <cellStyle name="Énfasis5 2" xfId="31"/>
    <cellStyle name="Énfasis6" xfId="112" builtinId="49" customBuiltin="1"/>
    <cellStyle name="Énfasis6 2" xfId="32"/>
    <cellStyle name="Entrada" xfId="84" builtinId="20" customBuiltin="1"/>
    <cellStyle name="Entrada 2" xfId="33"/>
    <cellStyle name="Euro" xfId="34"/>
    <cellStyle name="Explanatory Text" xfId="142"/>
    <cellStyle name="Good" xfId="151"/>
    <cellStyle name="Heading 1" xfId="130"/>
    <cellStyle name="Heading 2" xfId="147"/>
    <cellStyle name="Heading 3" xfId="143"/>
    <cellStyle name="Heading 4" xfId="121"/>
    <cellStyle name="Hipervínculo" xfId="77" builtinId="8"/>
    <cellStyle name="Hipervínculo 2" xfId="153"/>
    <cellStyle name="Hipervínculo 3" xfId="137"/>
    <cellStyle name="Incorrecto" xfId="83" builtinId="27" customBuiltin="1"/>
    <cellStyle name="Incorrecto 2" xfId="35"/>
    <cellStyle name="Input" xfId="126"/>
    <cellStyle name="Linked Cell" xfId="129"/>
    <cellStyle name="Millares" xfId="116" builtinId="3"/>
    <cellStyle name="Millares 2" xfId="37"/>
    <cellStyle name="Millares 2 2" xfId="138"/>
    <cellStyle name="Millares 3" xfId="38"/>
    <cellStyle name="Millares 4" xfId="36"/>
    <cellStyle name="Millares 5" xfId="118"/>
    <cellStyle name="Millares 6" xfId="123"/>
    <cellStyle name="Millares 6 2" xfId="213"/>
    <cellStyle name="Moneda" xfId="76" builtinId="4"/>
    <cellStyle name="Moneda 2" xfId="117"/>
    <cellStyle name="Moneda 3" xfId="125"/>
    <cellStyle name="Moneda 3 2" xfId="212"/>
    <cellStyle name="Neutral" xfId="2" builtinId="28" customBuiltin="1"/>
    <cellStyle name="Neutral 2" xfId="39"/>
    <cellStyle name="Normal" xfId="0" builtinId="0"/>
    <cellStyle name="Normal 10" xfId="40"/>
    <cellStyle name="Normal 10 2" xfId="161"/>
    <cellStyle name="Normal 10 3" xfId="160"/>
    <cellStyle name="Normal 11" xfId="41"/>
    <cellStyle name="Normal 11 2" xfId="163"/>
    <cellStyle name="Normal 11 3" xfId="162"/>
    <cellStyle name="Normal 12" xfId="42"/>
    <cellStyle name="Normal 12 2" xfId="165"/>
    <cellStyle name="Normal 12 3" xfId="164"/>
    <cellStyle name="Normal 13" xfId="43"/>
    <cellStyle name="Normal 13 2" xfId="167"/>
    <cellStyle name="Normal 13 3" xfId="166"/>
    <cellStyle name="Normal 14" xfId="44"/>
    <cellStyle name="Normal 14 2" xfId="169"/>
    <cellStyle name="Normal 14 3" xfId="168"/>
    <cellStyle name="Normal 15" xfId="45"/>
    <cellStyle name="Normal 15 2" xfId="171"/>
    <cellStyle name="Normal 15 3" xfId="170"/>
    <cellStyle name="Normal 16" xfId="46"/>
    <cellStyle name="Normal 16 2" xfId="173"/>
    <cellStyle name="Normal 16 3" xfId="172"/>
    <cellStyle name="Normal 17" xfId="47"/>
    <cellStyle name="Normal 17 2" xfId="175"/>
    <cellStyle name="Normal 17 3" xfId="174"/>
    <cellStyle name="Normal 18" xfId="48"/>
    <cellStyle name="Normal 18 2" xfId="177"/>
    <cellStyle name="Normal 18 3" xfId="176"/>
    <cellStyle name="Normal 19" xfId="49"/>
    <cellStyle name="Normal 19 2" xfId="179"/>
    <cellStyle name="Normal 19 3" xfId="178"/>
    <cellStyle name="Normal 2" xfId="50"/>
    <cellStyle name="Normal 2 2" xfId="51"/>
    <cellStyle name="Normal 2 3" xfId="180"/>
    <cellStyle name="Normal 2 4" xfId="181"/>
    <cellStyle name="Normal 2_Hoja1" xfId="182"/>
    <cellStyle name="Normal 20" xfId="52"/>
    <cellStyle name="Normal 20 2" xfId="184"/>
    <cellStyle name="Normal 20 3" xfId="183"/>
    <cellStyle name="Normal 21" xfId="53"/>
    <cellStyle name="Normal 21 2" xfId="186"/>
    <cellStyle name="Normal 21 3" xfId="185"/>
    <cellStyle name="Normal 22" xfId="54"/>
    <cellStyle name="Normal 23" xfId="187"/>
    <cellStyle name="Normal 3" xfId="55"/>
    <cellStyle name="Normal 3 2" xfId="189"/>
    <cellStyle name="Normal 3 3" xfId="188"/>
    <cellStyle name="Normal 4" xfId="56"/>
    <cellStyle name="Normal 4 2" xfId="191"/>
    <cellStyle name="Normal 4 3" xfId="190"/>
    <cellStyle name="Normal 5" xfId="57"/>
    <cellStyle name="Normal 5 2" xfId="193"/>
    <cellStyle name="Normal 5 3" xfId="192"/>
    <cellStyle name="Normal 6" xfId="58"/>
    <cellStyle name="Normal 6 2" xfId="195"/>
    <cellStyle name="Normal 6 3" xfId="194"/>
    <cellStyle name="Normal 7" xfId="59"/>
    <cellStyle name="Normal 7 2" xfId="60"/>
    <cellStyle name="Normal 7 2 2" xfId="198"/>
    <cellStyle name="Normal 7 2 3" xfId="197"/>
    <cellStyle name="Normal 7 3" xfId="199"/>
    <cellStyle name="Normal 7 4" xfId="196"/>
    <cellStyle name="Normal 7_PASIVOS EXIGIBLES" xfId="61"/>
    <cellStyle name="Normal 8" xfId="62"/>
    <cellStyle name="Normal 9" xfId="63"/>
    <cellStyle name="Normal 9 2" xfId="201"/>
    <cellStyle name="Normal 9 3" xfId="200"/>
    <cellStyle name="Normal_Plan de Contratacion 2012 enero 6" xfId="64"/>
    <cellStyle name="Notas" xfId="90" builtinId="10" customBuiltin="1"/>
    <cellStyle name="Notas 2" xfId="65"/>
    <cellStyle name="Notas 3" xfId="202"/>
    <cellStyle name="Note" xfId="203"/>
    <cellStyle name="Output" xfId="204"/>
    <cellStyle name="Porcentaje" xfId="1" builtinId="5"/>
    <cellStyle name="Porcentaje 2" xfId="67"/>
    <cellStyle name="Porcentaje 2 2" xfId="205"/>
    <cellStyle name="Porcentaje 3" xfId="66"/>
    <cellStyle name="Porcentaje 3 2" xfId="207"/>
    <cellStyle name="Porcentaje 3 3" xfId="206"/>
    <cellStyle name="Porcentaje 4" xfId="208"/>
    <cellStyle name="Salida" xfId="85" builtinId="21" customBuiltin="1"/>
    <cellStyle name="Salida 2" xfId="68"/>
    <cellStyle name="Texto de advertencia" xfId="89" builtinId="11" customBuiltin="1"/>
    <cellStyle name="Texto de advertencia 2" xfId="69"/>
    <cellStyle name="Texto explicativo" xfId="91" builtinId="53" customBuiltin="1"/>
    <cellStyle name="Texto explicativo 2" xfId="70"/>
    <cellStyle name="Title" xfId="209"/>
    <cellStyle name="Título" xfId="78" builtinId="15" customBuiltin="1"/>
    <cellStyle name="Título 1 2" xfId="71"/>
    <cellStyle name="Título 2" xfId="79" builtinId="17" customBuiltin="1"/>
    <cellStyle name="Título 2 2" xfId="72"/>
    <cellStyle name="Título 3" xfId="80" builtinId="18" customBuiltin="1"/>
    <cellStyle name="Título 3 2" xfId="73"/>
    <cellStyle name="Título 4" xfId="74"/>
    <cellStyle name="Título 5" xfId="210"/>
    <cellStyle name="Total" xfId="3" builtinId="25" customBuiltin="1"/>
    <cellStyle name="Total 2" xfId="75"/>
    <cellStyle name="Warning Text" xfId="211"/>
  </cellStyles>
  <dxfs count="1092">
    <dxf>
      <alignment wrapText="1" indent="0" readingOrder="0"/>
    </dxf>
    <dxf>
      <numFmt numFmtId="169" formatCode="[$-C0A]d\-mmm\-yy;@"/>
    </dxf>
    <dxf>
      <numFmt numFmtId="169" formatCode="[$-C0A]d\-mmm\-yy;@"/>
    </dxf>
    <dxf>
      <numFmt numFmtId="174" formatCode="&quot;$&quot;#,##0"/>
    </dxf>
    <dxf>
      <numFmt numFmtId="174" formatCode="&quot;$&quot;#,##0"/>
    </dxf>
    <dxf>
      <numFmt numFmtId="169" formatCode="[$-C0A]d\-mmm\-yy;@"/>
    </dxf>
    <dxf>
      <numFmt numFmtId="174" formatCode="&quot;$&quot;#,##0"/>
    </dxf>
    <dxf>
      <numFmt numFmtId="174" formatCode="&quot;$&quot;#,##0"/>
    </dxf>
    <dxf>
      <alignment vertical="center" readingOrder="0"/>
    </dxf>
    <dxf>
      <alignment vertical="center" readingOrder="0"/>
    </dxf>
    <dxf>
      <alignment horizontal="center" readingOrder="0"/>
    </dxf>
    <dxf>
      <alignment horizontal="center" readingOrder="0"/>
    </dxf>
    <dxf>
      <numFmt numFmtId="13" formatCode="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sz val="8"/>
      </font>
    </dxf>
    <dxf>
      <font>
        <sz val="8"/>
      </font>
    </dxf>
    <dxf>
      <font>
        <sz val="8"/>
      </font>
    </dxf>
    <dxf>
      <font>
        <sz val="8"/>
      </font>
    </dxf>
    <dxf>
      <font>
        <sz val="8"/>
      </font>
    </dxf>
    <dxf>
      <font>
        <sz val="8"/>
      </font>
    </dxf>
    <dxf>
      <font>
        <sz val="8"/>
      </font>
    </dxf>
    <dxf>
      <font>
        <name val="Arial"/>
        <scheme val="none"/>
      </font>
    </dxf>
    <dxf>
      <font>
        <name val="Arial"/>
        <scheme val="none"/>
      </font>
    </dxf>
    <dxf>
      <font>
        <sz val="8"/>
      </font>
    </dxf>
    <dxf>
      <font>
        <sz val="8"/>
      </font>
    </dxf>
    <dxf>
      <font>
        <name val="Arial"/>
        <scheme val="none"/>
      </font>
    </dxf>
    <dxf>
      <font>
        <name val="Arial"/>
        <scheme val="none"/>
      </font>
    </dxf>
    <dxf>
      <font>
        <name val="Arial"/>
        <scheme val="none"/>
      </font>
    </dxf>
    <dxf>
      <font>
        <name val="Arial"/>
        <scheme val="none"/>
      </font>
    </dxf>
    <dxf>
      <font>
        <sz val="8"/>
      </font>
    </dxf>
    <dxf>
      <font>
        <sz val="8"/>
      </font>
    </dxf>
    <dxf>
      <font>
        <sz val="8"/>
      </font>
    </dxf>
    <dxf>
      <font>
        <sz val="8"/>
      </font>
    </dxf>
    <dxf>
      <alignment wrapText="1" readingOrder="0"/>
    </dxf>
    <dxf>
      <alignment wrapText="1" readingOrder="0"/>
    </dxf>
    <dxf>
      <alignment horizontal="center" readingOrder="0"/>
    </dxf>
    <dxf>
      <alignment horizontal="center" readingOrder="0"/>
    </dxf>
    <dxf>
      <alignment vertical="center" readingOrder="0"/>
    </dxf>
    <dxf>
      <alignment vertical="center" readingOrder="0"/>
    </dxf>
    <dxf>
      <font>
        <b/>
        <i val="0"/>
        <color rgb="FF00B050"/>
      </font>
    </dxf>
    <dxf>
      <font>
        <b/>
        <i val="0"/>
        <color rgb="FFFF0000"/>
      </font>
      <fill>
        <patternFill patternType="none">
          <bgColor auto="1"/>
        </patternFill>
      </fill>
    </dxf>
    <dxf>
      <fill>
        <patternFill>
          <bgColor theme="9" tint="0.39994506668294322"/>
        </patternFill>
      </fill>
    </dxf>
    <dxf>
      <fill>
        <patternFill>
          <bgColor theme="9" tint="0.39994506668294322"/>
        </patternFill>
      </fill>
    </dxf>
    <dxf>
      <fill>
        <patternFill>
          <bgColor theme="9" tint="-0.24994659260841701"/>
        </patternFill>
      </fill>
    </dxf>
    <dxf>
      <fill>
        <patternFill>
          <bgColor rgb="FF92D050"/>
        </patternFill>
      </fill>
    </dxf>
    <dxf>
      <fill>
        <patternFill>
          <bgColor rgb="FF00B050"/>
        </patternFill>
      </fill>
    </dxf>
    <dxf>
      <fill>
        <patternFill>
          <bgColor rgb="FF92D050"/>
        </patternFill>
      </fill>
    </dxf>
    <dxf>
      <fill>
        <patternFill>
          <bgColor rgb="FFFFFF66"/>
        </patternFill>
      </fill>
    </dxf>
    <dxf>
      <fill>
        <patternFill>
          <bgColor rgb="FFFFC000"/>
        </patternFill>
      </fill>
    </dxf>
    <dxf>
      <fill>
        <patternFill>
          <bgColor theme="9" tint="-0.24994659260841701"/>
        </patternFill>
      </fill>
    </dxf>
    <dxf>
      <fill>
        <patternFill>
          <bgColor rgb="FFFF0000"/>
        </patternFill>
      </fill>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ill>
        <patternFill>
          <bgColor theme="9" tint="0.39994506668294322"/>
        </patternFill>
      </fill>
    </dxf>
    <dxf>
      <fill>
        <patternFill>
          <bgColor rgb="FF92D050"/>
        </patternFill>
      </fill>
    </dxf>
    <dxf>
      <fill>
        <patternFill>
          <bgColor rgb="FF00B0F0"/>
        </patternFill>
      </fill>
    </dxf>
    <dxf>
      <fill>
        <patternFill>
          <bgColor theme="7" tint="0.39994506668294322"/>
        </patternFill>
      </fill>
    </dxf>
    <dxf>
      <fill>
        <patternFill>
          <bgColor rgb="FFD14BB4"/>
        </patternFill>
      </fill>
    </dxf>
    <dxf>
      <fill>
        <patternFill patternType="none">
          <bgColor auto="1"/>
        </patternFill>
      </fill>
    </dxf>
    <dxf>
      <fill>
        <patternFill patternType="none">
          <bgColor auto="1"/>
        </patternFill>
      </fill>
    </dxf>
    <dxf>
      <fill>
        <patternFill patternType="none">
          <bgColor auto="1"/>
        </patternFill>
      </fill>
    </dxf>
    <dxf>
      <font>
        <color rgb="FF006100"/>
      </font>
      <fill>
        <patternFill>
          <bgColor rgb="FFC6EFCE"/>
        </patternFill>
      </fill>
    </dxf>
    <dxf>
      <font>
        <color rgb="FF9C0006"/>
      </font>
      <fill>
        <patternFill>
          <bgColor rgb="FFFFC7CE"/>
        </patternFill>
      </fill>
    </dxf>
    <dxf>
      <font>
        <color rgb="FF9C0006"/>
      </font>
    </dxf>
    <dxf>
      <font>
        <color rgb="FF9C0006"/>
      </font>
    </dxf>
    <dxf>
      <font>
        <b/>
        <i val="0"/>
        <color rgb="FF00B050"/>
      </font>
      <fill>
        <patternFill patternType="none">
          <bgColor auto="1"/>
        </patternFill>
      </fill>
    </dxf>
    <dxf>
      <font>
        <color theme="5" tint="-0.24994659260841701"/>
      </font>
      <fill>
        <patternFill>
          <bgColor theme="5" tint="0.59996337778862885"/>
        </patternFill>
      </fill>
    </dxf>
    <dxf>
      <font>
        <color theme="5" tint="-0.24994659260841701"/>
      </font>
      <fill>
        <patternFill>
          <bgColor theme="5" tint="0.59996337778862885"/>
        </patternFill>
      </fill>
    </dxf>
    <dxf>
      <fill>
        <patternFill>
          <bgColor theme="9" tint="0.39994506668294322"/>
        </patternFill>
      </fill>
    </dxf>
    <dxf>
      <fill>
        <patternFill>
          <bgColor rgb="FF92D050"/>
        </patternFill>
      </fill>
    </dxf>
    <dxf>
      <fill>
        <patternFill>
          <bgColor rgb="FF00B0F0"/>
        </patternFill>
      </fill>
    </dxf>
    <dxf>
      <fill>
        <patternFill>
          <bgColor theme="7" tint="0.39994506668294322"/>
        </patternFill>
      </fill>
    </dxf>
    <dxf>
      <fill>
        <patternFill>
          <bgColor rgb="FFD14BB4"/>
        </patternFill>
      </fill>
    </dxf>
    <dxf>
      <fill>
        <patternFill patternType="none">
          <bgColor auto="1"/>
        </patternFill>
      </fill>
    </dxf>
    <dxf>
      <fill>
        <patternFill patternType="none">
          <bgColor auto="1"/>
        </patternFill>
      </fill>
    </dxf>
    <dxf>
      <fill>
        <patternFill patternType="none">
          <bgColor auto="1"/>
        </patternFill>
      </fill>
    </dxf>
    <dxf>
      <font>
        <color rgb="FF006100"/>
      </font>
      <fill>
        <patternFill>
          <bgColor rgb="FFC6EFCE"/>
        </patternFill>
      </fill>
    </dxf>
    <dxf>
      <font>
        <color rgb="FF9C0006"/>
      </font>
      <fill>
        <patternFill>
          <bgColor rgb="FFFFC7CE"/>
        </patternFill>
      </fill>
    </dxf>
    <dxf>
      <font>
        <color rgb="FF9C0006"/>
      </font>
    </dxf>
    <dxf>
      <font>
        <color rgb="FF9C0006"/>
      </font>
    </dxf>
    <dxf>
      <font>
        <b/>
        <i val="0"/>
        <color rgb="FF00B050"/>
      </font>
      <fill>
        <patternFill patternType="none">
          <bgColor auto="1"/>
        </patternFill>
      </fill>
    </dxf>
    <dxf>
      <font>
        <color theme="5" tint="-0.24994659260841701"/>
      </font>
      <fill>
        <patternFill>
          <bgColor theme="5" tint="0.59996337778862885"/>
        </patternFill>
      </fill>
    </dxf>
    <dxf>
      <font>
        <color theme="5" tint="-0.24994659260841701"/>
      </font>
      <fill>
        <patternFill>
          <bgColor theme="5" tint="0.59996337778862885"/>
        </patternFill>
      </fill>
    </dxf>
    <dxf>
      <fill>
        <patternFill>
          <bgColor theme="9" tint="0.39994506668294322"/>
        </patternFill>
      </fill>
    </dxf>
    <dxf>
      <fill>
        <patternFill>
          <bgColor rgb="FF92D050"/>
        </patternFill>
      </fill>
    </dxf>
    <dxf>
      <fill>
        <patternFill>
          <bgColor rgb="FF00B0F0"/>
        </patternFill>
      </fill>
    </dxf>
    <dxf>
      <fill>
        <patternFill>
          <bgColor theme="7" tint="0.39994506668294322"/>
        </patternFill>
      </fill>
    </dxf>
    <dxf>
      <fill>
        <patternFill>
          <bgColor rgb="FFD14BB4"/>
        </patternFill>
      </fill>
    </dxf>
    <dxf>
      <fill>
        <patternFill patternType="none">
          <bgColor auto="1"/>
        </patternFill>
      </fill>
    </dxf>
    <dxf>
      <fill>
        <patternFill patternType="none">
          <bgColor auto="1"/>
        </patternFill>
      </fill>
    </dxf>
    <dxf>
      <fill>
        <patternFill patternType="none">
          <bgColor auto="1"/>
        </patternFill>
      </fill>
    </dxf>
    <dxf>
      <font>
        <color rgb="FF006100"/>
      </font>
      <fill>
        <patternFill>
          <bgColor rgb="FFC6EFCE"/>
        </patternFill>
      </fill>
    </dxf>
    <dxf>
      <font>
        <color rgb="FF9C0006"/>
      </font>
      <fill>
        <patternFill>
          <bgColor rgb="FFFFC7CE"/>
        </patternFill>
      </fill>
    </dxf>
    <dxf>
      <font>
        <color rgb="FF9C0006"/>
      </font>
    </dxf>
    <dxf>
      <font>
        <color rgb="FF9C0006"/>
      </font>
    </dxf>
    <dxf>
      <font>
        <b/>
        <i val="0"/>
        <color rgb="FF00B050"/>
      </font>
      <fill>
        <patternFill patternType="none">
          <bgColor auto="1"/>
        </patternFill>
      </fill>
    </dxf>
    <dxf>
      <font>
        <color theme="5" tint="-0.24994659260841701"/>
      </font>
      <fill>
        <patternFill>
          <bgColor theme="5" tint="0.59996337778862885"/>
        </patternFill>
      </fill>
    </dxf>
    <dxf>
      <font>
        <color theme="5" tint="-0.24994659260841701"/>
      </font>
      <fill>
        <patternFill>
          <bgColor theme="5" tint="0.59996337778862885"/>
        </patternFill>
      </fill>
    </dxf>
    <dxf>
      <fill>
        <patternFill>
          <bgColor theme="9" tint="0.39994506668294322"/>
        </patternFill>
      </fill>
    </dxf>
    <dxf>
      <fill>
        <patternFill>
          <bgColor rgb="FF92D050"/>
        </patternFill>
      </fill>
    </dxf>
    <dxf>
      <fill>
        <patternFill>
          <bgColor rgb="FF00B0F0"/>
        </patternFill>
      </fill>
    </dxf>
    <dxf>
      <fill>
        <patternFill>
          <bgColor theme="7" tint="0.39994506668294322"/>
        </patternFill>
      </fill>
    </dxf>
    <dxf>
      <fill>
        <patternFill>
          <bgColor rgb="FFD14BB4"/>
        </patternFill>
      </fill>
    </dxf>
    <dxf>
      <fill>
        <patternFill patternType="none">
          <bgColor auto="1"/>
        </patternFill>
      </fill>
    </dxf>
    <dxf>
      <fill>
        <patternFill patternType="none">
          <bgColor auto="1"/>
        </patternFill>
      </fill>
    </dxf>
    <dxf>
      <fill>
        <patternFill patternType="none">
          <bgColor auto="1"/>
        </patternFill>
      </fill>
    </dxf>
    <dxf>
      <font>
        <color rgb="FF006100"/>
      </font>
      <fill>
        <patternFill>
          <bgColor rgb="FFC6EFCE"/>
        </patternFill>
      </fill>
    </dxf>
    <dxf>
      <font>
        <color rgb="FF9C0006"/>
      </font>
      <fill>
        <patternFill>
          <bgColor rgb="FFFFC7CE"/>
        </patternFill>
      </fill>
    </dxf>
    <dxf>
      <font>
        <color rgb="FF9C0006"/>
      </font>
    </dxf>
    <dxf>
      <font>
        <color rgb="FF9C0006"/>
      </font>
    </dxf>
    <dxf>
      <font>
        <b/>
        <i val="0"/>
        <color rgb="FF00B050"/>
      </font>
      <fill>
        <patternFill patternType="none">
          <bgColor auto="1"/>
        </patternFill>
      </fill>
    </dxf>
    <dxf>
      <font>
        <color theme="5" tint="-0.24994659260841701"/>
      </font>
      <fill>
        <patternFill>
          <bgColor theme="5" tint="0.59996337778862885"/>
        </patternFill>
      </fill>
    </dxf>
    <dxf>
      <font>
        <color theme="5" tint="-0.24994659260841701"/>
      </font>
      <fill>
        <patternFill>
          <bgColor theme="5" tint="0.59996337778862885"/>
        </patternFill>
      </fill>
    </dxf>
    <dxf>
      <fill>
        <patternFill>
          <bgColor theme="9" tint="0.39994506668294322"/>
        </patternFill>
      </fill>
    </dxf>
    <dxf>
      <fill>
        <patternFill>
          <bgColor rgb="FF92D050"/>
        </patternFill>
      </fill>
    </dxf>
    <dxf>
      <fill>
        <patternFill>
          <bgColor rgb="FF00B0F0"/>
        </patternFill>
      </fill>
    </dxf>
    <dxf>
      <fill>
        <patternFill>
          <bgColor theme="7" tint="0.39994506668294322"/>
        </patternFill>
      </fill>
    </dxf>
    <dxf>
      <fill>
        <patternFill>
          <bgColor rgb="FFD14BB4"/>
        </patternFill>
      </fill>
    </dxf>
    <dxf>
      <fill>
        <patternFill patternType="none">
          <bgColor auto="1"/>
        </patternFill>
      </fill>
    </dxf>
    <dxf>
      <fill>
        <patternFill patternType="none">
          <bgColor auto="1"/>
        </patternFill>
      </fill>
    </dxf>
    <dxf>
      <fill>
        <patternFill patternType="none">
          <bgColor auto="1"/>
        </patternFill>
      </fill>
    </dxf>
    <dxf>
      <font>
        <color rgb="FF006100"/>
      </font>
      <fill>
        <patternFill>
          <bgColor rgb="FFC6EFCE"/>
        </patternFill>
      </fill>
    </dxf>
    <dxf>
      <font>
        <color rgb="FF9C0006"/>
      </font>
      <fill>
        <patternFill>
          <bgColor rgb="FFFFC7CE"/>
        </patternFill>
      </fill>
    </dxf>
    <dxf>
      <font>
        <color rgb="FF9C0006"/>
      </font>
    </dxf>
    <dxf>
      <font>
        <color rgb="FF9C0006"/>
      </font>
    </dxf>
    <dxf>
      <font>
        <b/>
        <i val="0"/>
        <color rgb="FF00B050"/>
      </font>
      <fill>
        <patternFill patternType="none">
          <bgColor auto="1"/>
        </patternFill>
      </fill>
    </dxf>
    <dxf>
      <font>
        <color theme="5" tint="-0.24994659260841701"/>
      </font>
      <fill>
        <patternFill>
          <bgColor theme="5" tint="0.59996337778862885"/>
        </patternFill>
      </fill>
    </dxf>
    <dxf>
      <font>
        <color theme="5" tint="-0.24994659260841701"/>
      </font>
      <fill>
        <patternFill>
          <bgColor theme="5" tint="0.59996337778862885"/>
        </patternFill>
      </fill>
    </dxf>
    <dxf>
      <fill>
        <patternFill>
          <bgColor theme="9" tint="0.39994506668294322"/>
        </patternFill>
      </fill>
    </dxf>
    <dxf>
      <fill>
        <patternFill>
          <bgColor rgb="FF92D050"/>
        </patternFill>
      </fill>
    </dxf>
    <dxf>
      <fill>
        <patternFill>
          <bgColor rgb="FF00B0F0"/>
        </patternFill>
      </fill>
    </dxf>
    <dxf>
      <fill>
        <patternFill>
          <bgColor theme="7" tint="0.39994506668294322"/>
        </patternFill>
      </fill>
    </dxf>
    <dxf>
      <fill>
        <patternFill>
          <bgColor rgb="FFD14BB4"/>
        </patternFill>
      </fill>
    </dxf>
    <dxf>
      <fill>
        <patternFill patternType="none">
          <bgColor auto="1"/>
        </patternFill>
      </fill>
    </dxf>
    <dxf>
      <fill>
        <patternFill patternType="none">
          <bgColor auto="1"/>
        </patternFill>
      </fill>
    </dxf>
    <dxf>
      <fill>
        <patternFill patternType="none">
          <bgColor auto="1"/>
        </patternFill>
      </fill>
    </dxf>
    <dxf>
      <font>
        <color rgb="FF006100"/>
      </font>
      <fill>
        <patternFill>
          <bgColor rgb="FFC6EFCE"/>
        </patternFill>
      </fill>
    </dxf>
    <dxf>
      <font>
        <color rgb="FF9C0006"/>
      </font>
      <fill>
        <patternFill>
          <bgColor rgb="FFFFC7CE"/>
        </patternFill>
      </fill>
    </dxf>
    <dxf>
      <font>
        <color rgb="FF9C0006"/>
      </font>
    </dxf>
    <dxf>
      <font>
        <color rgb="FF9C0006"/>
      </font>
    </dxf>
    <dxf>
      <font>
        <b/>
        <i val="0"/>
        <color rgb="FF00B050"/>
      </font>
      <fill>
        <patternFill patternType="none">
          <bgColor auto="1"/>
        </patternFill>
      </fill>
    </dxf>
    <dxf>
      <font>
        <color theme="5" tint="-0.24994659260841701"/>
      </font>
      <fill>
        <patternFill>
          <bgColor theme="5" tint="0.59996337778862885"/>
        </patternFill>
      </fill>
    </dxf>
    <dxf>
      <font>
        <color theme="5" tint="-0.24994659260841701"/>
      </font>
      <fill>
        <patternFill>
          <bgColor theme="5" tint="0.59996337778862885"/>
        </patternFill>
      </fill>
    </dxf>
    <dxf>
      <fill>
        <patternFill>
          <bgColor theme="9" tint="0.39994506668294322"/>
        </patternFill>
      </fill>
    </dxf>
    <dxf>
      <fill>
        <patternFill>
          <bgColor rgb="FF92D050"/>
        </patternFill>
      </fill>
    </dxf>
    <dxf>
      <fill>
        <patternFill>
          <bgColor rgb="FF00B0F0"/>
        </patternFill>
      </fill>
    </dxf>
    <dxf>
      <fill>
        <patternFill>
          <bgColor theme="7" tint="0.39994506668294322"/>
        </patternFill>
      </fill>
    </dxf>
    <dxf>
      <fill>
        <patternFill>
          <bgColor rgb="FFD14BB4"/>
        </patternFill>
      </fill>
    </dxf>
    <dxf>
      <fill>
        <patternFill patternType="none">
          <bgColor auto="1"/>
        </patternFill>
      </fill>
    </dxf>
    <dxf>
      <fill>
        <patternFill patternType="none">
          <bgColor auto="1"/>
        </patternFill>
      </fill>
    </dxf>
    <dxf>
      <fill>
        <patternFill patternType="none">
          <bgColor auto="1"/>
        </patternFill>
      </fill>
    </dxf>
    <dxf>
      <font>
        <color rgb="FF006100"/>
      </font>
      <fill>
        <patternFill>
          <bgColor rgb="FFC6EFCE"/>
        </patternFill>
      </fill>
    </dxf>
    <dxf>
      <font>
        <color rgb="FF9C0006"/>
      </font>
      <fill>
        <patternFill>
          <bgColor rgb="FFFFC7CE"/>
        </patternFill>
      </fill>
    </dxf>
    <dxf>
      <font>
        <color rgb="FF9C0006"/>
      </font>
    </dxf>
    <dxf>
      <font>
        <color rgb="FF9C0006"/>
      </font>
    </dxf>
    <dxf>
      <font>
        <b/>
        <i val="0"/>
        <color rgb="FF00B050"/>
      </font>
      <fill>
        <patternFill patternType="none">
          <bgColor auto="1"/>
        </patternFill>
      </fill>
    </dxf>
    <dxf>
      <font>
        <color theme="5" tint="-0.24994659260841701"/>
      </font>
      <fill>
        <patternFill>
          <bgColor theme="5" tint="0.59996337778862885"/>
        </patternFill>
      </fill>
    </dxf>
    <dxf>
      <font>
        <color theme="5" tint="-0.24994659260841701"/>
      </font>
      <fill>
        <patternFill>
          <bgColor theme="5" tint="0.59996337778862885"/>
        </patternFill>
      </fill>
    </dxf>
    <dxf>
      <fill>
        <patternFill>
          <bgColor theme="9" tint="0.39994506668294322"/>
        </patternFill>
      </fill>
    </dxf>
    <dxf>
      <fill>
        <patternFill>
          <bgColor rgb="FF92D050"/>
        </patternFill>
      </fill>
    </dxf>
    <dxf>
      <fill>
        <patternFill>
          <bgColor rgb="FF00B0F0"/>
        </patternFill>
      </fill>
    </dxf>
    <dxf>
      <fill>
        <patternFill>
          <bgColor theme="7" tint="0.39994506668294322"/>
        </patternFill>
      </fill>
    </dxf>
    <dxf>
      <fill>
        <patternFill>
          <bgColor rgb="FFD14BB4"/>
        </patternFill>
      </fill>
    </dxf>
    <dxf>
      <fill>
        <patternFill patternType="none">
          <bgColor auto="1"/>
        </patternFill>
      </fill>
    </dxf>
    <dxf>
      <fill>
        <patternFill patternType="none">
          <bgColor auto="1"/>
        </patternFill>
      </fill>
    </dxf>
    <dxf>
      <fill>
        <patternFill patternType="none">
          <bgColor auto="1"/>
        </patternFill>
      </fill>
    </dxf>
    <dxf>
      <font>
        <color rgb="FF006100"/>
      </font>
      <fill>
        <patternFill>
          <bgColor rgb="FFC6EFCE"/>
        </patternFill>
      </fill>
    </dxf>
    <dxf>
      <font>
        <color rgb="FF9C0006"/>
      </font>
      <fill>
        <patternFill>
          <bgColor rgb="FFFFC7CE"/>
        </patternFill>
      </fill>
    </dxf>
    <dxf>
      <font>
        <color rgb="FF9C0006"/>
      </font>
    </dxf>
    <dxf>
      <font>
        <color rgb="FF9C0006"/>
      </font>
    </dxf>
    <dxf>
      <font>
        <b/>
        <i val="0"/>
        <color rgb="FF00B050"/>
      </font>
      <fill>
        <patternFill patternType="none">
          <bgColor auto="1"/>
        </patternFill>
      </fill>
    </dxf>
    <dxf>
      <font>
        <color theme="5" tint="-0.24994659260841701"/>
      </font>
      <fill>
        <patternFill>
          <bgColor theme="5" tint="0.59996337778862885"/>
        </patternFill>
      </fill>
    </dxf>
    <dxf>
      <font>
        <color theme="5" tint="-0.24994659260841701"/>
      </font>
      <fill>
        <patternFill>
          <bgColor theme="5" tint="0.59996337778862885"/>
        </patternFill>
      </fill>
    </dxf>
    <dxf>
      <fill>
        <patternFill>
          <bgColor theme="9" tint="0.39994506668294322"/>
        </patternFill>
      </fill>
    </dxf>
    <dxf>
      <fill>
        <patternFill>
          <bgColor rgb="FF92D050"/>
        </patternFill>
      </fill>
    </dxf>
    <dxf>
      <fill>
        <patternFill>
          <bgColor rgb="FF00B0F0"/>
        </patternFill>
      </fill>
    </dxf>
    <dxf>
      <fill>
        <patternFill>
          <bgColor theme="7" tint="0.39994506668294322"/>
        </patternFill>
      </fill>
    </dxf>
    <dxf>
      <fill>
        <patternFill>
          <bgColor rgb="FFD14BB4"/>
        </patternFill>
      </fill>
    </dxf>
    <dxf>
      <fill>
        <patternFill patternType="none">
          <bgColor auto="1"/>
        </patternFill>
      </fill>
    </dxf>
    <dxf>
      <fill>
        <patternFill patternType="none">
          <bgColor auto="1"/>
        </patternFill>
      </fill>
    </dxf>
    <dxf>
      <fill>
        <patternFill patternType="none">
          <bgColor auto="1"/>
        </patternFill>
      </fill>
    </dxf>
    <dxf>
      <font>
        <color rgb="FF006100"/>
      </font>
      <fill>
        <patternFill>
          <bgColor rgb="FFC6EFCE"/>
        </patternFill>
      </fill>
    </dxf>
    <dxf>
      <font>
        <color rgb="FF9C0006"/>
      </font>
      <fill>
        <patternFill>
          <bgColor rgb="FFFFC7CE"/>
        </patternFill>
      </fill>
    </dxf>
    <dxf>
      <font>
        <color rgb="FF9C0006"/>
      </font>
    </dxf>
    <dxf>
      <font>
        <color rgb="FF9C0006"/>
      </font>
    </dxf>
    <dxf>
      <font>
        <b/>
        <i val="0"/>
        <color rgb="FF00B050"/>
      </font>
      <fill>
        <patternFill patternType="none">
          <bgColor auto="1"/>
        </patternFill>
      </fill>
    </dxf>
    <dxf>
      <font>
        <color theme="5" tint="-0.24994659260841701"/>
      </font>
      <fill>
        <patternFill>
          <bgColor theme="5" tint="0.59996337778862885"/>
        </patternFill>
      </fill>
    </dxf>
    <dxf>
      <font>
        <color theme="5" tint="-0.24994659260841701"/>
      </font>
      <fill>
        <patternFill>
          <bgColor theme="5" tint="0.59996337778862885"/>
        </patternFill>
      </fill>
    </dxf>
    <dxf>
      <fill>
        <patternFill>
          <bgColor theme="9" tint="0.39994506668294322"/>
        </patternFill>
      </fill>
    </dxf>
    <dxf>
      <fill>
        <patternFill>
          <bgColor rgb="FF92D050"/>
        </patternFill>
      </fill>
    </dxf>
    <dxf>
      <fill>
        <patternFill>
          <bgColor rgb="FF00B0F0"/>
        </patternFill>
      </fill>
    </dxf>
    <dxf>
      <fill>
        <patternFill>
          <bgColor theme="7" tint="0.39994506668294322"/>
        </patternFill>
      </fill>
    </dxf>
    <dxf>
      <fill>
        <patternFill>
          <bgColor rgb="FFD14BB4"/>
        </patternFill>
      </fill>
    </dxf>
    <dxf>
      <fill>
        <patternFill patternType="none">
          <bgColor auto="1"/>
        </patternFill>
      </fill>
    </dxf>
    <dxf>
      <fill>
        <patternFill patternType="none">
          <bgColor auto="1"/>
        </patternFill>
      </fill>
    </dxf>
    <dxf>
      <fill>
        <patternFill patternType="none">
          <bgColor auto="1"/>
        </patternFill>
      </fill>
    </dxf>
    <dxf>
      <font>
        <color rgb="FF006100"/>
      </font>
      <fill>
        <patternFill>
          <bgColor rgb="FFC6EFCE"/>
        </patternFill>
      </fill>
    </dxf>
    <dxf>
      <font>
        <color rgb="FF9C0006"/>
      </font>
      <fill>
        <patternFill>
          <bgColor rgb="FFFFC7CE"/>
        </patternFill>
      </fill>
    </dxf>
    <dxf>
      <font>
        <color rgb="FF9C0006"/>
      </font>
    </dxf>
    <dxf>
      <font>
        <color rgb="FF9C0006"/>
      </font>
    </dxf>
    <dxf>
      <font>
        <b/>
        <i val="0"/>
        <color rgb="FF00B050"/>
      </font>
      <fill>
        <patternFill patternType="none">
          <bgColor auto="1"/>
        </patternFill>
      </fill>
    </dxf>
    <dxf>
      <font>
        <color theme="5" tint="-0.24994659260841701"/>
      </font>
      <fill>
        <patternFill>
          <bgColor theme="5" tint="0.59996337778862885"/>
        </patternFill>
      </fill>
    </dxf>
    <dxf>
      <font>
        <color theme="5" tint="-0.24994659260841701"/>
      </font>
      <fill>
        <patternFill>
          <bgColor theme="5" tint="0.59996337778862885"/>
        </patternFill>
      </fill>
    </dxf>
    <dxf>
      <fill>
        <patternFill>
          <bgColor theme="9" tint="0.39994506668294322"/>
        </patternFill>
      </fill>
    </dxf>
    <dxf>
      <fill>
        <patternFill>
          <bgColor rgb="FF92D050"/>
        </patternFill>
      </fill>
    </dxf>
    <dxf>
      <fill>
        <patternFill>
          <bgColor rgb="FF00B0F0"/>
        </patternFill>
      </fill>
    </dxf>
    <dxf>
      <fill>
        <patternFill>
          <bgColor theme="7" tint="0.39994506668294322"/>
        </patternFill>
      </fill>
    </dxf>
    <dxf>
      <fill>
        <patternFill>
          <bgColor rgb="FFD14BB4"/>
        </patternFill>
      </fill>
    </dxf>
    <dxf>
      <fill>
        <patternFill patternType="none">
          <bgColor auto="1"/>
        </patternFill>
      </fill>
    </dxf>
    <dxf>
      <fill>
        <patternFill patternType="none">
          <bgColor auto="1"/>
        </patternFill>
      </fill>
    </dxf>
    <dxf>
      <fill>
        <patternFill patternType="none">
          <bgColor auto="1"/>
        </patternFill>
      </fill>
    </dxf>
    <dxf>
      <font>
        <color rgb="FF006100"/>
      </font>
      <fill>
        <patternFill>
          <bgColor rgb="FFC6EFCE"/>
        </patternFill>
      </fill>
    </dxf>
    <dxf>
      <font>
        <color rgb="FF9C0006"/>
      </font>
      <fill>
        <patternFill>
          <bgColor rgb="FFFFC7CE"/>
        </patternFill>
      </fill>
    </dxf>
    <dxf>
      <font>
        <color rgb="FF9C0006"/>
      </font>
    </dxf>
    <dxf>
      <font>
        <color rgb="FF9C0006"/>
      </font>
    </dxf>
    <dxf>
      <font>
        <b/>
        <i val="0"/>
        <color rgb="FF00B050"/>
      </font>
      <fill>
        <patternFill patternType="none">
          <bgColor auto="1"/>
        </patternFill>
      </fill>
    </dxf>
    <dxf>
      <font>
        <color theme="5" tint="-0.24994659260841701"/>
      </font>
      <fill>
        <patternFill>
          <bgColor theme="5" tint="0.59996337778862885"/>
        </patternFill>
      </fill>
    </dxf>
    <dxf>
      <font>
        <color theme="5" tint="-0.24994659260841701"/>
      </font>
      <fill>
        <patternFill>
          <bgColor theme="5" tint="0.59996337778862885"/>
        </patternFill>
      </fill>
    </dxf>
    <dxf>
      <fill>
        <patternFill>
          <bgColor theme="9" tint="0.39994506668294322"/>
        </patternFill>
      </fill>
    </dxf>
    <dxf>
      <fill>
        <patternFill>
          <bgColor rgb="FF92D050"/>
        </patternFill>
      </fill>
    </dxf>
    <dxf>
      <fill>
        <patternFill>
          <bgColor rgb="FF00B0F0"/>
        </patternFill>
      </fill>
    </dxf>
    <dxf>
      <fill>
        <patternFill>
          <bgColor theme="7" tint="0.39994506668294322"/>
        </patternFill>
      </fill>
    </dxf>
    <dxf>
      <fill>
        <patternFill>
          <bgColor rgb="FFD14BB4"/>
        </patternFill>
      </fill>
    </dxf>
    <dxf>
      <fill>
        <patternFill>
          <bgColor theme="9" tint="0.39994506668294322"/>
        </patternFill>
      </fill>
    </dxf>
    <dxf>
      <fill>
        <patternFill>
          <bgColor rgb="FF92D050"/>
        </patternFill>
      </fill>
    </dxf>
    <dxf>
      <fill>
        <patternFill>
          <bgColor rgb="FF00B0F0"/>
        </patternFill>
      </fill>
    </dxf>
    <dxf>
      <fill>
        <patternFill>
          <bgColor theme="7" tint="0.39994506668294322"/>
        </patternFill>
      </fill>
    </dxf>
    <dxf>
      <fill>
        <patternFill>
          <bgColor rgb="FFD14BB4"/>
        </patternFill>
      </fill>
    </dxf>
    <dxf>
      <fill>
        <patternFill>
          <bgColor theme="9" tint="0.39994506668294322"/>
        </patternFill>
      </fill>
    </dxf>
    <dxf>
      <fill>
        <patternFill>
          <bgColor rgb="FF92D050"/>
        </patternFill>
      </fill>
    </dxf>
    <dxf>
      <fill>
        <patternFill>
          <bgColor rgb="FF00B0F0"/>
        </patternFill>
      </fill>
    </dxf>
    <dxf>
      <fill>
        <patternFill>
          <bgColor theme="7" tint="0.39994506668294322"/>
        </patternFill>
      </fill>
    </dxf>
    <dxf>
      <fill>
        <patternFill>
          <bgColor rgb="FFD14BB4"/>
        </patternFill>
      </fill>
    </dxf>
    <dxf>
      <fill>
        <patternFill>
          <bgColor theme="9" tint="0.39994506668294322"/>
        </patternFill>
      </fill>
    </dxf>
    <dxf>
      <fill>
        <patternFill>
          <bgColor rgb="FF92D050"/>
        </patternFill>
      </fill>
    </dxf>
    <dxf>
      <fill>
        <patternFill>
          <bgColor rgb="FF00B0F0"/>
        </patternFill>
      </fill>
    </dxf>
    <dxf>
      <fill>
        <patternFill>
          <bgColor theme="7" tint="0.39994506668294322"/>
        </patternFill>
      </fill>
    </dxf>
    <dxf>
      <fill>
        <patternFill>
          <bgColor rgb="FFD14BB4"/>
        </patternFill>
      </fill>
    </dxf>
    <dxf>
      <fill>
        <patternFill>
          <bgColor theme="9" tint="0.39994506668294322"/>
        </patternFill>
      </fill>
    </dxf>
    <dxf>
      <fill>
        <patternFill>
          <bgColor rgb="FF92D050"/>
        </patternFill>
      </fill>
    </dxf>
    <dxf>
      <fill>
        <patternFill>
          <bgColor rgb="FF00B0F0"/>
        </patternFill>
      </fill>
    </dxf>
    <dxf>
      <fill>
        <patternFill>
          <bgColor theme="7" tint="0.39994506668294322"/>
        </patternFill>
      </fill>
    </dxf>
    <dxf>
      <fill>
        <patternFill>
          <bgColor rgb="FFD14BB4"/>
        </patternFill>
      </fill>
    </dxf>
    <dxf>
      <fill>
        <patternFill patternType="none">
          <bgColor auto="1"/>
        </patternFill>
      </fill>
    </dxf>
    <dxf>
      <fill>
        <patternFill patternType="none">
          <bgColor auto="1"/>
        </patternFill>
      </fill>
    </dxf>
    <dxf>
      <fill>
        <patternFill patternType="none">
          <bgColor auto="1"/>
        </patternFill>
      </fill>
    </dxf>
    <dxf>
      <font>
        <color rgb="FF006100"/>
      </font>
      <fill>
        <patternFill>
          <bgColor rgb="FFC6EFCE"/>
        </patternFill>
      </fill>
    </dxf>
    <dxf>
      <font>
        <color rgb="FF9C0006"/>
      </font>
      <fill>
        <patternFill>
          <bgColor rgb="FFFFC7CE"/>
        </patternFill>
      </fill>
    </dxf>
    <dxf>
      <font>
        <color rgb="FF9C0006"/>
      </font>
    </dxf>
    <dxf>
      <font>
        <color rgb="FF9C0006"/>
      </font>
    </dxf>
    <dxf>
      <font>
        <b/>
        <i val="0"/>
        <color rgb="FF00B050"/>
      </font>
      <fill>
        <patternFill patternType="none">
          <bgColor auto="1"/>
        </patternFill>
      </fill>
    </dxf>
    <dxf>
      <font>
        <color theme="5" tint="-0.24994659260841701"/>
      </font>
      <fill>
        <patternFill>
          <bgColor theme="5" tint="0.59996337778862885"/>
        </patternFill>
      </fill>
    </dxf>
    <dxf>
      <font>
        <color theme="5" tint="-0.24994659260841701"/>
      </font>
      <fill>
        <patternFill>
          <bgColor theme="5" tint="0.59996337778862885"/>
        </patternFill>
      </fill>
    </dxf>
    <dxf>
      <fill>
        <patternFill>
          <bgColor theme="9" tint="0.39994506668294322"/>
        </patternFill>
      </fill>
    </dxf>
    <dxf>
      <fill>
        <patternFill>
          <bgColor rgb="FF92D050"/>
        </patternFill>
      </fill>
    </dxf>
    <dxf>
      <fill>
        <patternFill>
          <bgColor rgb="FF00B0F0"/>
        </patternFill>
      </fill>
    </dxf>
    <dxf>
      <fill>
        <patternFill>
          <bgColor theme="7" tint="0.39994506668294322"/>
        </patternFill>
      </fill>
    </dxf>
    <dxf>
      <fill>
        <patternFill>
          <bgColor rgb="FFD14BB4"/>
        </patternFill>
      </fill>
    </dxf>
    <dxf>
      <fill>
        <patternFill>
          <bgColor theme="9" tint="0.39994506668294322"/>
        </patternFill>
      </fill>
    </dxf>
    <dxf>
      <fill>
        <patternFill>
          <bgColor rgb="FF92D050"/>
        </patternFill>
      </fill>
    </dxf>
    <dxf>
      <fill>
        <patternFill>
          <bgColor rgb="FF00B0F0"/>
        </patternFill>
      </fill>
    </dxf>
    <dxf>
      <fill>
        <patternFill>
          <bgColor theme="7" tint="0.39994506668294322"/>
        </patternFill>
      </fill>
    </dxf>
    <dxf>
      <fill>
        <patternFill>
          <bgColor rgb="FFD14BB4"/>
        </patternFill>
      </fill>
    </dxf>
    <dxf>
      <fill>
        <patternFill patternType="none">
          <bgColor auto="1"/>
        </patternFill>
      </fill>
    </dxf>
    <dxf>
      <fill>
        <patternFill patternType="none">
          <bgColor auto="1"/>
        </patternFill>
      </fill>
    </dxf>
    <dxf>
      <fill>
        <patternFill patternType="none">
          <bgColor auto="1"/>
        </patternFill>
      </fill>
    </dxf>
    <dxf>
      <font>
        <color rgb="FF006100"/>
      </font>
      <fill>
        <patternFill>
          <bgColor rgb="FFC6EFCE"/>
        </patternFill>
      </fill>
    </dxf>
    <dxf>
      <font>
        <color rgb="FF9C0006"/>
      </font>
      <fill>
        <patternFill>
          <bgColor rgb="FFFFC7CE"/>
        </patternFill>
      </fill>
    </dxf>
    <dxf>
      <font>
        <color rgb="FF9C0006"/>
      </font>
    </dxf>
    <dxf>
      <font>
        <color rgb="FF9C0006"/>
      </font>
    </dxf>
    <dxf>
      <font>
        <b/>
        <i val="0"/>
        <color rgb="FF00B050"/>
      </font>
      <fill>
        <patternFill patternType="none">
          <bgColor auto="1"/>
        </patternFill>
      </fill>
    </dxf>
    <dxf>
      <font>
        <color theme="5" tint="-0.24994659260841701"/>
      </font>
      <fill>
        <patternFill>
          <bgColor theme="5" tint="0.59996337778862885"/>
        </patternFill>
      </fill>
    </dxf>
    <dxf>
      <font>
        <color theme="5" tint="-0.24994659260841701"/>
      </font>
      <fill>
        <patternFill>
          <bgColor theme="5" tint="0.59996337778862885"/>
        </patternFill>
      </fill>
    </dxf>
    <dxf>
      <fill>
        <patternFill>
          <bgColor theme="9" tint="0.39994506668294322"/>
        </patternFill>
      </fill>
    </dxf>
    <dxf>
      <fill>
        <patternFill>
          <bgColor rgb="FF92D050"/>
        </patternFill>
      </fill>
    </dxf>
    <dxf>
      <fill>
        <patternFill>
          <bgColor rgb="FF00B0F0"/>
        </patternFill>
      </fill>
    </dxf>
    <dxf>
      <fill>
        <patternFill>
          <bgColor theme="7" tint="0.39994506668294322"/>
        </patternFill>
      </fill>
    </dxf>
    <dxf>
      <fill>
        <patternFill>
          <bgColor rgb="FFD14BB4"/>
        </patternFill>
      </fill>
    </dxf>
    <dxf>
      <fill>
        <patternFill patternType="none">
          <bgColor auto="1"/>
        </patternFill>
      </fill>
    </dxf>
    <dxf>
      <fill>
        <patternFill patternType="none">
          <bgColor auto="1"/>
        </patternFill>
      </fill>
    </dxf>
    <dxf>
      <fill>
        <patternFill patternType="none">
          <bgColor auto="1"/>
        </patternFill>
      </fill>
    </dxf>
    <dxf>
      <font>
        <color rgb="FF006100"/>
      </font>
      <fill>
        <patternFill>
          <bgColor rgb="FFC6EFCE"/>
        </patternFill>
      </fill>
    </dxf>
    <dxf>
      <font>
        <color rgb="FF9C0006"/>
      </font>
      <fill>
        <patternFill>
          <bgColor rgb="FFFFC7CE"/>
        </patternFill>
      </fill>
    </dxf>
    <dxf>
      <font>
        <color rgb="FF9C0006"/>
      </font>
    </dxf>
    <dxf>
      <font>
        <color rgb="FF9C0006"/>
      </font>
    </dxf>
    <dxf>
      <font>
        <b/>
        <i val="0"/>
        <color rgb="FF00B050"/>
      </font>
      <fill>
        <patternFill patternType="none">
          <bgColor auto="1"/>
        </patternFill>
      </fill>
    </dxf>
    <dxf>
      <font>
        <color theme="5" tint="-0.24994659260841701"/>
      </font>
      <fill>
        <patternFill>
          <bgColor theme="5" tint="0.59996337778862885"/>
        </patternFill>
      </fill>
    </dxf>
    <dxf>
      <font>
        <color theme="5" tint="-0.24994659260841701"/>
      </font>
      <fill>
        <patternFill>
          <bgColor theme="5" tint="0.59996337778862885"/>
        </patternFill>
      </fill>
    </dxf>
    <dxf>
      <fill>
        <patternFill>
          <bgColor theme="9" tint="0.39994506668294322"/>
        </patternFill>
      </fill>
    </dxf>
    <dxf>
      <fill>
        <patternFill>
          <bgColor rgb="FF92D050"/>
        </patternFill>
      </fill>
    </dxf>
    <dxf>
      <fill>
        <patternFill>
          <bgColor rgb="FF00B0F0"/>
        </patternFill>
      </fill>
    </dxf>
    <dxf>
      <fill>
        <patternFill>
          <bgColor theme="7" tint="0.39994506668294322"/>
        </patternFill>
      </fill>
    </dxf>
    <dxf>
      <fill>
        <patternFill>
          <bgColor rgb="FFD14BB4"/>
        </patternFill>
      </fill>
    </dxf>
    <dxf>
      <fill>
        <patternFill patternType="none">
          <bgColor auto="1"/>
        </patternFill>
      </fill>
    </dxf>
    <dxf>
      <fill>
        <patternFill patternType="none">
          <bgColor auto="1"/>
        </patternFill>
      </fill>
    </dxf>
    <dxf>
      <fill>
        <patternFill patternType="none">
          <bgColor auto="1"/>
        </patternFill>
      </fill>
    </dxf>
    <dxf>
      <font>
        <color rgb="FF006100"/>
      </font>
      <fill>
        <patternFill>
          <bgColor rgb="FFC6EFCE"/>
        </patternFill>
      </fill>
    </dxf>
    <dxf>
      <font>
        <color rgb="FF9C0006"/>
      </font>
      <fill>
        <patternFill>
          <bgColor rgb="FFFFC7CE"/>
        </patternFill>
      </fill>
    </dxf>
    <dxf>
      <font>
        <color rgb="FF9C0006"/>
      </font>
    </dxf>
    <dxf>
      <font>
        <color rgb="FF9C0006"/>
      </font>
    </dxf>
    <dxf>
      <font>
        <b/>
        <i val="0"/>
        <color rgb="FF00B050"/>
      </font>
      <fill>
        <patternFill patternType="none">
          <bgColor auto="1"/>
        </patternFill>
      </fill>
    </dxf>
    <dxf>
      <font>
        <color theme="5" tint="-0.24994659260841701"/>
      </font>
      <fill>
        <patternFill>
          <bgColor theme="5" tint="0.59996337778862885"/>
        </patternFill>
      </fill>
    </dxf>
    <dxf>
      <font>
        <color theme="5" tint="-0.24994659260841701"/>
      </font>
      <fill>
        <patternFill>
          <bgColor theme="5" tint="0.59996337778862885"/>
        </patternFill>
      </fill>
    </dxf>
    <dxf>
      <fill>
        <patternFill>
          <bgColor theme="9" tint="0.39994506668294322"/>
        </patternFill>
      </fill>
    </dxf>
    <dxf>
      <fill>
        <patternFill>
          <bgColor rgb="FF92D050"/>
        </patternFill>
      </fill>
    </dxf>
    <dxf>
      <fill>
        <patternFill>
          <bgColor rgb="FF00B0F0"/>
        </patternFill>
      </fill>
    </dxf>
    <dxf>
      <fill>
        <patternFill>
          <bgColor theme="7" tint="0.39994506668294322"/>
        </patternFill>
      </fill>
    </dxf>
    <dxf>
      <fill>
        <patternFill>
          <bgColor rgb="FFD14BB4"/>
        </patternFill>
      </fill>
    </dxf>
    <dxf>
      <fill>
        <patternFill patternType="none">
          <bgColor auto="1"/>
        </patternFill>
      </fill>
    </dxf>
    <dxf>
      <fill>
        <patternFill patternType="none">
          <bgColor auto="1"/>
        </patternFill>
      </fill>
    </dxf>
    <dxf>
      <fill>
        <patternFill patternType="none">
          <bgColor auto="1"/>
        </patternFill>
      </fill>
    </dxf>
    <dxf>
      <font>
        <color rgb="FF006100"/>
      </font>
      <fill>
        <patternFill>
          <bgColor rgb="FFC6EFCE"/>
        </patternFill>
      </fill>
    </dxf>
    <dxf>
      <font>
        <color rgb="FF9C0006"/>
      </font>
      <fill>
        <patternFill>
          <bgColor rgb="FFFFC7CE"/>
        </patternFill>
      </fill>
    </dxf>
    <dxf>
      <font>
        <color rgb="FF9C0006"/>
      </font>
    </dxf>
    <dxf>
      <font>
        <color rgb="FF9C0006"/>
      </font>
    </dxf>
    <dxf>
      <font>
        <b/>
        <i val="0"/>
        <color rgb="FF00B050"/>
      </font>
      <fill>
        <patternFill patternType="none">
          <bgColor auto="1"/>
        </patternFill>
      </fill>
    </dxf>
    <dxf>
      <font>
        <color theme="5" tint="-0.24994659260841701"/>
      </font>
      <fill>
        <patternFill>
          <bgColor theme="5" tint="0.59996337778862885"/>
        </patternFill>
      </fill>
    </dxf>
    <dxf>
      <font>
        <color theme="5" tint="-0.24994659260841701"/>
      </font>
      <fill>
        <patternFill>
          <bgColor theme="5" tint="0.59996337778862885"/>
        </patternFill>
      </fill>
    </dxf>
    <dxf>
      <fill>
        <patternFill>
          <bgColor theme="9" tint="0.39994506668294322"/>
        </patternFill>
      </fill>
    </dxf>
    <dxf>
      <fill>
        <patternFill>
          <bgColor rgb="FF92D050"/>
        </patternFill>
      </fill>
    </dxf>
    <dxf>
      <fill>
        <patternFill>
          <bgColor rgb="FF00B0F0"/>
        </patternFill>
      </fill>
    </dxf>
    <dxf>
      <fill>
        <patternFill>
          <bgColor theme="7" tint="0.39994506668294322"/>
        </patternFill>
      </fill>
    </dxf>
    <dxf>
      <fill>
        <patternFill>
          <bgColor rgb="FFD14BB4"/>
        </patternFill>
      </fill>
    </dxf>
    <dxf>
      <fill>
        <patternFill patternType="none">
          <bgColor auto="1"/>
        </patternFill>
      </fill>
    </dxf>
    <dxf>
      <fill>
        <patternFill patternType="none">
          <bgColor auto="1"/>
        </patternFill>
      </fill>
    </dxf>
    <dxf>
      <fill>
        <patternFill patternType="none">
          <bgColor auto="1"/>
        </patternFill>
      </fill>
    </dxf>
    <dxf>
      <font>
        <color rgb="FF006100"/>
      </font>
      <fill>
        <patternFill>
          <bgColor rgb="FFC6EFCE"/>
        </patternFill>
      </fill>
    </dxf>
    <dxf>
      <font>
        <color rgb="FF9C0006"/>
      </font>
      <fill>
        <patternFill>
          <bgColor rgb="FFFFC7CE"/>
        </patternFill>
      </fill>
    </dxf>
    <dxf>
      <font>
        <color rgb="FF9C0006"/>
      </font>
    </dxf>
    <dxf>
      <font>
        <color rgb="FF9C0006"/>
      </font>
    </dxf>
    <dxf>
      <font>
        <b/>
        <i val="0"/>
        <color rgb="FF00B050"/>
      </font>
      <fill>
        <patternFill patternType="none">
          <bgColor auto="1"/>
        </patternFill>
      </fill>
    </dxf>
    <dxf>
      <font>
        <color theme="5" tint="-0.24994659260841701"/>
      </font>
      <fill>
        <patternFill>
          <bgColor theme="5" tint="0.59996337778862885"/>
        </patternFill>
      </fill>
    </dxf>
    <dxf>
      <font>
        <color theme="5" tint="-0.24994659260841701"/>
      </font>
      <fill>
        <patternFill>
          <bgColor theme="5" tint="0.59996337778862885"/>
        </patternFill>
      </fill>
    </dxf>
    <dxf>
      <fill>
        <patternFill>
          <bgColor theme="9" tint="0.39994506668294322"/>
        </patternFill>
      </fill>
    </dxf>
    <dxf>
      <fill>
        <patternFill>
          <bgColor rgb="FF92D050"/>
        </patternFill>
      </fill>
    </dxf>
    <dxf>
      <fill>
        <patternFill>
          <bgColor rgb="FF00B0F0"/>
        </patternFill>
      </fill>
    </dxf>
    <dxf>
      <fill>
        <patternFill>
          <bgColor theme="7" tint="0.39994506668294322"/>
        </patternFill>
      </fill>
    </dxf>
    <dxf>
      <fill>
        <patternFill>
          <bgColor rgb="FFD14BB4"/>
        </patternFill>
      </fill>
    </dxf>
    <dxf>
      <fill>
        <patternFill patternType="none">
          <bgColor auto="1"/>
        </patternFill>
      </fill>
    </dxf>
    <dxf>
      <fill>
        <patternFill patternType="none">
          <bgColor auto="1"/>
        </patternFill>
      </fill>
    </dxf>
    <dxf>
      <fill>
        <patternFill patternType="none">
          <bgColor auto="1"/>
        </patternFill>
      </fill>
    </dxf>
    <dxf>
      <font>
        <color rgb="FF006100"/>
      </font>
      <fill>
        <patternFill>
          <bgColor rgb="FFC6EFCE"/>
        </patternFill>
      </fill>
    </dxf>
    <dxf>
      <font>
        <color rgb="FF9C0006"/>
      </font>
      <fill>
        <patternFill>
          <bgColor rgb="FFFFC7CE"/>
        </patternFill>
      </fill>
    </dxf>
    <dxf>
      <font>
        <color rgb="FF9C0006"/>
      </font>
    </dxf>
    <dxf>
      <font>
        <color rgb="FF9C0006"/>
      </font>
    </dxf>
    <dxf>
      <font>
        <b/>
        <i val="0"/>
        <color rgb="FF00B050"/>
      </font>
      <fill>
        <patternFill patternType="none">
          <bgColor auto="1"/>
        </patternFill>
      </fill>
    </dxf>
    <dxf>
      <font>
        <color theme="5" tint="-0.24994659260841701"/>
      </font>
      <fill>
        <patternFill>
          <bgColor theme="5" tint="0.59996337778862885"/>
        </patternFill>
      </fill>
    </dxf>
    <dxf>
      <font>
        <color theme="5" tint="-0.24994659260841701"/>
      </font>
      <fill>
        <patternFill>
          <bgColor theme="5" tint="0.59996337778862885"/>
        </patternFill>
      </fill>
    </dxf>
    <dxf>
      <fill>
        <patternFill>
          <bgColor theme="9" tint="0.39994506668294322"/>
        </patternFill>
      </fill>
    </dxf>
    <dxf>
      <fill>
        <patternFill>
          <bgColor rgb="FF92D050"/>
        </patternFill>
      </fill>
    </dxf>
    <dxf>
      <fill>
        <patternFill>
          <bgColor rgb="FF00B0F0"/>
        </patternFill>
      </fill>
    </dxf>
    <dxf>
      <fill>
        <patternFill>
          <bgColor theme="7" tint="0.39994506668294322"/>
        </patternFill>
      </fill>
    </dxf>
    <dxf>
      <fill>
        <patternFill>
          <bgColor rgb="FFD14BB4"/>
        </patternFill>
      </fill>
    </dxf>
    <dxf>
      <fill>
        <patternFill patternType="none">
          <bgColor auto="1"/>
        </patternFill>
      </fill>
    </dxf>
    <dxf>
      <fill>
        <patternFill patternType="none">
          <bgColor auto="1"/>
        </patternFill>
      </fill>
    </dxf>
    <dxf>
      <fill>
        <patternFill patternType="none">
          <bgColor auto="1"/>
        </patternFill>
      </fill>
    </dxf>
    <dxf>
      <font>
        <color rgb="FF006100"/>
      </font>
      <fill>
        <patternFill>
          <bgColor rgb="FFC6EFCE"/>
        </patternFill>
      </fill>
    </dxf>
    <dxf>
      <font>
        <color rgb="FF9C0006"/>
      </font>
      <fill>
        <patternFill>
          <bgColor rgb="FFFFC7CE"/>
        </patternFill>
      </fill>
    </dxf>
    <dxf>
      <font>
        <color rgb="FF9C0006"/>
      </font>
    </dxf>
    <dxf>
      <font>
        <color rgb="FF9C0006"/>
      </font>
    </dxf>
    <dxf>
      <font>
        <b/>
        <i val="0"/>
        <color rgb="FF00B050"/>
      </font>
      <fill>
        <patternFill patternType="none">
          <bgColor auto="1"/>
        </patternFill>
      </fill>
    </dxf>
    <dxf>
      <font>
        <color theme="5" tint="-0.24994659260841701"/>
      </font>
      <fill>
        <patternFill>
          <bgColor theme="5" tint="0.59996337778862885"/>
        </patternFill>
      </fill>
    </dxf>
    <dxf>
      <font>
        <color theme="5" tint="-0.24994659260841701"/>
      </font>
      <fill>
        <patternFill>
          <bgColor theme="5" tint="0.59996337778862885"/>
        </patternFill>
      </fill>
    </dxf>
    <dxf>
      <fill>
        <patternFill>
          <bgColor theme="9" tint="0.39994506668294322"/>
        </patternFill>
      </fill>
    </dxf>
    <dxf>
      <fill>
        <patternFill>
          <bgColor rgb="FF92D050"/>
        </patternFill>
      </fill>
    </dxf>
    <dxf>
      <fill>
        <patternFill>
          <bgColor rgb="FF00B0F0"/>
        </patternFill>
      </fill>
    </dxf>
    <dxf>
      <fill>
        <patternFill>
          <bgColor theme="7" tint="0.39994506668294322"/>
        </patternFill>
      </fill>
    </dxf>
    <dxf>
      <fill>
        <patternFill>
          <bgColor rgb="FFD14BB4"/>
        </patternFill>
      </fill>
    </dxf>
    <dxf>
      <fill>
        <patternFill patternType="none">
          <bgColor auto="1"/>
        </patternFill>
      </fill>
    </dxf>
    <dxf>
      <fill>
        <patternFill patternType="none">
          <bgColor auto="1"/>
        </patternFill>
      </fill>
    </dxf>
    <dxf>
      <fill>
        <patternFill patternType="none">
          <bgColor auto="1"/>
        </patternFill>
      </fill>
    </dxf>
    <dxf>
      <font>
        <color rgb="FF006100"/>
      </font>
      <fill>
        <patternFill>
          <bgColor rgb="FFC6EFCE"/>
        </patternFill>
      </fill>
    </dxf>
    <dxf>
      <font>
        <color rgb="FF9C0006"/>
      </font>
      <fill>
        <patternFill>
          <bgColor rgb="FFFFC7CE"/>
        </patternFill>
      </fill>
    </dxf>
    <dxf>
      <font>
        <color rgb="FF9C0006"/>
      </font>
    </dxf>
    <dxf>
      <font>
        <color rgb="FF9C0006"/>
      </font>
    </dxf>
    <dxf>
      <font>
        <color theme="5" tint="-0.24994659260841701"/>
      </font>
      <fill>
        <patternFill>
          <bgColor theme="5" tint="0.59996337778862885"/>
        </patternFill>
      </fill>
    </dxf>
    <dxf>
      <font>
        <color theme="5" tint="-0.24994659260841701"/>
      </font>
      <fill>
        <patternFill>
          <bgColor theme="5" tint="0.59996337778862885"/>
        </patternFill>
      </fill>
    </dxf>
    <dxf>
      <font>
        <b/>
        <i val="0"/>
        <color rgb="FF00B050"/>
      </font>
      <fill>
        <patternFill patternType="none">
          <bgColor auto="1"/>
        </patternFill>
      </fill>
    </dxf>
    <dxf>
      <font>
        <color theme="5" tint="-0.24994659260841701"/>
      </font>
      <fill>
        <patternFill>
          <bgColor theme="5" tint="0.59996337778862885"/>
        </patternFill>
      </fill>
    </dxf>
    <dxf>
      <font>
        <color theme="5" tint="-0.24994659260841701"/>
      </font>
      <fill>
        <patternFill>
          <bgColor theme="5" tint="0.59996337778862885"/>
        </patternFill>
      </fill>
    </dxf>
    <dxf>
      <font>
        <b/>
        <i val="0"/>
        <color rgb="FF00B050"/>
      </font>
      <fill>
        <patternFill patternType="none">
          <bgColor auto="1"/>
        </patternFill>
      </fill>
    </dxf>
    <dxf>
      <font>
        <color theme="5" tint="-0.24994659260841701"/>
      </font>
      <fill>
        <patternFill>
          <bgColor theme="5" tint="0.59996337778862885"/>
        </patternFill>
      </fill>
    </dxf>
    <dxf>
      <font>
        <color theme="5" tint="-0.24994659260841701"/>
      </font>
      <fill>
        <patternFill>
          <bgColor theme="5" tint="0.59996337778862885"/>
        </patternFill>
      </fill>
    </dxf>
    <dxf>
      <font>
        <b/>
        <i val="0"/>
        <color rgb="FF00B050"/>
      </font>
      <fill>
        <patternFill patternType="none">
          <bgColor auto="1"/>
        </patternFill>
      </fill>
    </dxf>
    <dxf>
      <font>
        <b/>
        <i val="0"/>
        <color rgb="FF00B050"/>
      </font>
      <fill>
        <patternFill patternType="none">
          <bgColor auto="1"/>
        </patternFill>
      </fill>
    </dxf>
    <dxf>
      <font>
        <b/>
        <i val="0"/>
        <color rgb="FF00B050"/>
      </font>
      <fill>
        <patternFill patternType="none">
          <bgColor auto="1"/>
        </patternFill>
      </fill>
    </dxf>
    <dxf>
      <font>
        <b/>
        <i val="0"/>
        <color rgb="FF00B050"/>
      </font>
      <fill>
        <patternFill patternType="none">
          <bgColor auto="1"/>
        </patternFill>
      </fill>
    </dxf>
    <dxf>
      <font>
        <b/>
        <i val="0"/>
        <color rgb="FF00B050"/>
      </font>
      <fill>
        <patternFill patternType="none">
          <bgColor auto="1"/>
        </patternFill>
      </fill>
    </dxf>
    <dxf>
      <font>
        <b/>
        <i val="0"/>
        <color rgb="FF00B050"/>
      </font>
      <fill>
        <patternFill patternType="none">
          <bgColor auto="1"/>
        </patternFill>
      </fill>
    </dxf>
    <dxf>
      <font>
        <b/>
        <i val="0"/>
        <color rgb="FF00B050"/>
      </font>
      <fill>
        <patternFill patternType="none">
          <bgColor auto="1"/>
        </patternFill>
      </fill>
    </dxf>
    <dxf>
      <font>
        <b/>
        <i val="0"/>
        <color rgb="FF00B050"/>
      </font>
      <fill>
        <patternFill patternType="none">
          <bgColor auto="1"/>
        </patternFill>
      </fill>
    </dxf>
    <dxf>
      <font>
        <b/>
        <i val="0"/>
        <color rgb="FF00B050"/>
      </font>
      <fill>
        <patternFill patternType="none">
          <bgColor auto="1"/>
        </patternFill>
      </fill>
    </dxf>
    <dxf>
      <font>
        <b/>
        <i val="0"/>
        <color rgb="FF00B050"/>
      </font>
      <fill>
        <patternFill patternType="none">
          <bgColor auto="1"/>
        </patternFill>
      </fill>
    </dxf>
    <dxf>
      <font>
        <b/>
        <i val="0"/>
        <color rgb="FF00B050"/>
      </font>
      <fill>
        <patternFill patternType="none">
          <bgColor auto="1"/>
        </patternFill>
      </fill>
    </dxf>
    <dxf>
      <font>
        <color theme="5" tint="-0.24994659260841701"/>
      </font>
      <fill>
        <patternFill>
          <bgColor theme="5" tint="0.59996337778862885"/>
        </patternFill>
      </fill>
    </dxf>
    <dxf>
      <font>
        <color theme="5" tint="-0.24994659260841701"/>
      </font>
      <fill>
        <patternFill>
          <bgColor theme="5" tint="0.59996337778862885"/>
        </patternFill>
      </fill>
    </dxf>
    <dxf>
      <font>
        <b/>
        <i val="0"/>
        <color rgb="FF00B050"/>
      </font>
      <fill>
        <patternFill patternType="none">
          <bgColor auto="1"/>
        </patternFill>
      </fill>
    </dxf>
    <dxf>
      <font>
        <color theme="5" tint="-0.24994659260841701"/>
      </font>
      <fill>
        <patternFill>
          <bgColor theme="5" tint="0.59996337778862885"/>
        </patternFill>
      </fill>
    </dxf>
    <dxf>
      <font>
        <color theme="5" tint="-0.24994659260841701"/>
      </font>
      <fill>
        <patternFill>
          <bgColor theme="5" tint="0.59996337778862885"/>
        </patternFill>
      </fill>
    </dxf>
    <dxf>
      <font>
        <b/>
        <i val="0"/>
        <color rgb="FF00B050"/>
      </font>
      <fill>
        <patternFill patternType="none">
          <bgColor auto="1"/>
        </patternFill>
      </fill>
    </dxf>
    <dxf>
      <font>
        <color theme="5" tint="-0.24994659260841701"/>
      </font>
      <fill>
        <patternFill>
          <bgColor theme="5" tint="0.59996337778862885"/>
        </patternFill>
      </fill>
    </dxf>
    <dxf>
      <font>
        <color theme="5" tint="-0.24994659260841701"/>
      </font>
      <fill>
        <patternFill>
          <bgColor theme="5" tint="0.59996337778862885"/>
        </patternFill>
      </fill>
    </dxf>
    <dxf>
      <font>
        <b/>
        <i val="0"/>
        <color rgb="FF00B050"/>
      </font>
      <fill>
        <patternFill patternType="none">
          <bgColor auto="1"/>
        </patternFill>
      </fill>
    </dxf>
    <dxf>
      <font>
        <color theme="5" tint="-0.24994659260841701"/>
      </font>
      <fill>
        <patternFill>
          <bgColor theme="5" tint="0.59996337778862885"/>
        </patternFill>
      </fill>
    </dxf>
    <dxf>
      <font>
        <color theme="5" tint="-0.24994659260841701"/>
      </font>
      <fill>
        <patternFill>
          <bgColor theme="5" tint="0.59996337778862885"/>
        </patternFill>
      </fill>
    </dxf>
    <dxf>
      <font>
        <b/>
        <i val="0"/>
        <color rgb="FF00B050"/>
      </font>
      <fill>
        <patternFill patternType="none">
          <bgColor auto="1"/>
        </patternFill>
      </fill>
    </dxf>
    <dxf>
      <font>
        <color theme="5" tint="-0.24994659260841701"/>
      </font>
      <fill>
        <patternFill>
          <bgColor theme="5" tint="0.59996337778862885"/>
        </patternFill>
      </fill>
    </dxf>
    <dxf>
      <font>
        <color theme="5" tint="-0.24994659260841701"/>
      </font>
      <fill>
        <patternFill>
          <bgColor theme="5" tint="0.59996337778862885"/>
        </patternFill>
      </fill>
    </dxf>
    <dxf>
      <font>
        <b/>
        <i val="0"/>
        <color rgb="FF00B050"/>
      </font>
      <fill>
        <patternFill patternType="none">
          <bgColor auto="1"/>
        </patternFill>
      </fill>
    </dxf>
    <dxf>
      <font>
        <color theme="5" tint="-0.24994659260841701"/>
      </font>
      <fill>
        <patternFill>
          <bgColor theme="5" tint="0.59996337778862885"/>
        </patternFill>
      </fill>
    </dxf>
    <dxf>
      <font>
        <color theme="5" tint="-0.24994659260841701"/>
      </font>
      <fill>
        <patternFill>
          <bgColor theme="5" tint="0.59996337778862885"/>
        </patternFill>
      </fill>
    </dxf>
    <dxf>
      <font>
        <b/>
        <i val="0"/>
        <color rgb="FF00B050"/>
      </font>
      <fill>
        <patternFill patternType="none">
          <bgColor auto="1"/>
        </patternFill>
      </fill>
    </dxf>
    <dxf>
      <font>
        <color theme="5" tint="-0.24994659260841701"/>
      </font>
      <fill>
        <patternFill>
          <bgColor theme="5" tint="0.59996337778862885"/>
        </patternFill>
      </fill>
    </dxf>
    <dxf>
      <font>
        <color theme="5" tint="-0.24994659260841701"/>
      </font>
      <fill>
        <patternFill>
          <bgColor theme="5" tint="0.59996337778862885"/>
        </patternFill>
      </fill>
    </dxf>
    <dxf>
      <font>
        <b/>
        <i val="0"/>
        <color rgb="FF00B050"/>
      </font>
      <fill>
        <patternFill patternType="none">
          <bgColor auto="1"/>
        </patternFill>
      </fill>
    </dxf>
    <dxf>
      <font>
        <color theme="5" tint="-0.24994659260841701"/>
      </font>
      <fill>
        <patternFill>
          <bgColor theme="5" tint="0.59996337778862885"/>
        </patternFill>
      </fill>
    </dxf>
    <dxf>
      <font>
        <color theme="5" tint="-0.24994659260841701"/>
      </font>
      <fill>
        <patternFill>
          <bgColor theme="5" tint="0.59996337778862885"/>
        </patternFill>
      </fill>
    </dxf>
    <dxf>
      <font>
        <b/>
        <i val="0"/>
        <color rgb="FF00B050"/>
      </font>
      <fill>
        <patternFill patternType="none">
          <bgColor auto="1"/>
        </patternFill>
      </fill>
    </dxf>
    <dxf>
      <font>
        <color theme="5" tint="-0.24994659260841701"/>
      </font>
      <fill>
        <patternFill>
          <bgColor theme="5" tint="0.59996337778862885"/>
        </patternFill>
      </fill>
    </dxf>
    <dxf>
      <font>
        <color theme="5" tint="-0.24994659260841701"/>
      </font>
      <fill>
        <patternFill>
          <bgColor theme="5" tint="0.59996337778862885"/>
        </patternFill>
      </fill>
    </dxf>
    <dxf>
      <alignment vertical="center" readingOrder="0"/>
    </dxf>
    <dxf>
      <alignment vertical="center" readingOrder="0"/>
    </dxf>
    <dxf>
      <alignment horizontal="center" readingOrder="0"/>
    </dxf>
    <dxf>
      <alignment horizontal="center" readingOrder="0"/>
    </dxf>
    <dxf>
      <alignment wrapText="1" readingOrder="0"/>
    </dxf>
    <dxf>
      <alignment wrapText="1" readingOrder="0"/>
    </dxf>
    <dxf>
      <alignment horizontal="center" readingOrder="0"/>
    </dxf>
    <dxf>
      <alignment horizontal="center" readingOrder="0"/>
    </dxf>
    <dxf>
      <alignment horizontal="center" readingOrder="0"/>
    </dxf>
    <dxf>
      <alignment horizontal="center" readingOrder="0"/>
    </dxf>
    <dxf>
      <font>
        <sz val="8"/>
      </font>
    </dxf>
    <dxf>
      <font>
        <name val="Arial"/>
        <scheme val="none"/>
      </font>
    </dxf>
    <dxf>
      <numFmt numFmtId="169" formatCode="[$-C0A]d\-mmm\-yy;@"/>
    </dxf>
    <dxf>
      <alignment horizontal="center" readingOrder="0"/>
    </dxf>
    <dxf>
      <alignment horizontal="center" readingOrder="0"/>
    </dxf>
    <dxf>
      <alignment vertical="center" readingOrder="0"/>
    </dxf>
    <dxf>
      <alignment vertical="center" readingOrder="0"/>
    </dxf>
    <dxf>
      <alignment wrapText="1" readingOrder="0"/>
    </dxf>
    <dxf>
      <alignment wrapText="1" readingOrder="0"/>
    </dxf>
    <dxf>
      <numFmt numFmtId="13" formatCode="0%"/>
    </dxf>
    <dxf>
      <numFmt numFmtId="172" formatCode="0.0%"/>
    </dxf>
    <dxf>
      <numFmt numFmtId="172" formatCode="0.0%"/>
    </dxf>
    <dxf>
      <numFmt numFmtId="171" formatCode="_-&quot;$&quot;* #,##0_-;\-&quot;$&quot;* #,##0_-;_-&quot;$&quot;* &quot;-&quot;??_-;_-@_-"/>
    </dxf>
    <dxf>
      <numFmt numFmtId="171" formatCode="_-&quot;$&quot;* #,##0_-;\-&quot;$&quot;* #,##0_-;_-&quot;$&quot;* &quot;-&quot;??_-;_-@_-"/>
    </dxf>
    <dxf>
      <numFmt numFmtId="171" formatCode="_-&quot;$&quot;* #,##0_-;\-&quot;$&quot;* #,##0_-;_-&quot;$&quot;* &quot;-&quot;??_-;_-@_-"/>
    </dxf>
    <dxf>
      <font>
        <sz val="8"/>
      </font>
    </dxf>
    <dxf>
      <font>
        <sz val="8"/>
      </font>
    </dxf>
    <dxf>
      <font>
        <sz val="8"/>
      </font>
    </dxf>
    <dxf>
      <font>
        <sz val="8"/>
      </font>
    </dxf>
    <dxf>
      <font>
        <name val="Arial"/>
        <scheme val="none"/>
      </font>
    </dxf>
    <dxf>
      <font>
        <name val="Arial"/>
        <scheme val="none"/>
      </font>
    </dxf>
    <dxf>
      <font>
        <name val="Arial"/>
        <scheme val="none"/>
      </font>
    </dxf>
    <dxf>
      <font>
        <name val="Arial"/>
        <scheme val="none"/>
      </font>
    </dxf>
    <dxf>
      <font>
        <sz val="8"/>
      </font>
    </dxf>
    <dxf>
      <font>
        <sz val="8"/>
      </font>
    </dxf>
    <dxf>
      <font>
        <name val="Arial"/>
        <scheme val="none"/>
      </font>
    </dxf>
    <dxf>
      <font>
        <name val="Arial"/>
        <scheme val="none"/>
      </font>
    </dxf>
    <dxf>
      <font>
        <sz val="8"/>
      </font>
    </dxf>
    <dxf>
      <font>
        <sz val="8"/>
      </font>
    </dxf>
    <dxf>
      <font>
        <sz val="8"/>
      </font>
    </dxf>
    <dxf>
      <font>
        <sz val="8"/>
      </font>
    </dxf>
    <dxf>
      <font>
        <sz val="8"/>
      </font>
    </dxf>
    <dxf>
      <font>
        <sz val="8"/>
      </font>
    </dxf>
    <dxf>
      <font>
        <sz val="8"/>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numFmt numFmtId="13" formatCode="0%"/>
    </dxf>
    <dxf>
      <alignment horizontal="center" readingOrder="0"/>
    </dxf>
    <dxf>
      <alignment horizontal="center" readingOrder="0"/>
    </dxf>
    <dxf>
      <alignment vertical="center" readingOrder="0"/>
    </dxf>
    <dxf>
      <alignment vertical="center" readingOrder="0"/>
    </dxf>
    <dxf>
      <numFmt numFmtId="174" formatCode="&quot;$&quot;#,##0"/>
    </dxf>
    <dxf>
      <numFmt numFmtId="174" formatCode="&quot;$&quot;#,##0"/>
    </dxf>
    <dxf>
      <numFmt numFmtId="169" formatCode="[$-C0A]d\-mmm\-yy;@"/>
    </dxf>
    <dxf>
      <numFmt numFmtId="174" formatCode="&quot;$&quot;#,##0"/>
    </dxf>
    <dxf>
      <numFmt numFmtId="174" formatCode="&quot;$&quot;#,##0"/>
    </dxf>
    <dxf>
      <numFmt numFmtId="169" formatCode="[$-C0A]d\-mmm\-yy;@"/>
    </dxf>
    <dxf>
      <numFmt numFmtId="169" formatCode="[$-C0A]d\-mmm\-yy;@"/>
    </dxf>
    <dxf>
      <alignment wrapText="1" indent="0" readingOrder="0"/>
    </dxf>
  </dxfs>
  <tableStyles count="0" defaultTableStyle="TableStyleMedium2" defaultPivotStyle="PivotStyleLight16"/>
  <colors>
    <mruColors>
      <color rgb="FFFFFF66"/>
      <color rgb="FFD14BB4"/>
      <color rgb="FFFF3300"/>
      <color rgb="FFFF5050"/>
      <color rgb="FFFF6600"/>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6.xml"/><Relationship Id="rId39" Type="http://schemas.openxmlformats.org/officeDocument/2006/relationships/theme" Target="theme/theme1.xml"/><Relationship Id="rId21" Type="http://schemas.openxmlformats.org/officeDocument/2006/relationships/externalLink" Target="externalLinks/externalLink1.xml"/><Relationship Id="rId34" Type="http://schemas.openxmlformats.org/officeDocument/2006/relationships/pivotCacheDefinition" Target="pivotCache/pivotCacheDefinition6.xml"/><Relationship Id="rId42"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pivotCacheDefinition" Target="pivotCache/pivotCacheDefinition1.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4.xml"/><Relationship Id="rId32" Type="http://schemas.openxmlformats.org/officeDocument/2006/relationships/pivotCacheDefinition" Target="pivotCache/pivotCacheDefinition4.xml"/><Relationship Id="rId37" Type="http://schemas.microsoft.com/office/2007/relationships/slicerCache" Target="slicerCaches/slicerCache2.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3.xml"/><Relationship Id="rId28" Type="http://schemas.openxmlformats.org/officeDocument/2006/relationships/externalLink" Target="externalLinks/externalLink8.xml"/><Relationship Id="rId36" Type="http://schemas.microsoft.com/office/2007/relationships/slicerCache" Target="slicerCaches/slicerCach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pivotCacheDefinition" Target="pivotCache/pivotCacheDefinition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2.xml"/><Relationship Id="rId27" Type="http://schemas.openxmlformats.org/officeDocument/2006/relationships/externalLink" Target="externalLinks/externalLink7.xml"/><Relationship Id="rId30" Type="http://schemas.openxmlformats.org/officeDocument/2006/relationships/pivotCacheDefinition" Target="pivotCache/pivotCacheDefinition2.xml"/><Relationship Id="rId35" Type="http://schemas.openxmlformats.org/officeDocument/2006/relationships/pivotCacheDefinition" Target="pivotCache/pivotCacheDefinition7.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5.xml"/><Relationship Id="rId33" Type="http://schemas.openxmlformats.org/officeDocument/2006/relationships/pivotCacheDefinition" Target="pivotCache/pivotCacheDefinition5.xml"/><Relationship Id="rId38" Type="http://schemas.microsoft.com/office/2007/relationships/slicerCache" Target="slicerCaches/slicerCache3.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[BASE DE DATOS - 21 JUNIO 2019.xlsx]Gráficos!Tabla dinámica2</c:name>
    <c:fmtId val="0"/>
  </c:pivotSource>
  <c:chart>
    <c:autoTitleDeleted val="0"/>
    <c:pivotFmts>
      <c:pivotFmt>
        <c:idx val="0"/>
        <c:marker>
          <c:symbol val="none"/>
        </c:marker>
      </c:pivotFmt>
    </c:pivotFmts>
    <c:plotArea>
      <c:layout/>
      <c:barChart>
        <c:barDir val="col"/>
        <c:grouping val="clustered"/>
        <c:varyColors val="0"/>
        <c:ser>
          <c:idx val="0"/>
          <c:order val="0"/>
          <c:tx>
            <c:strRef>
              <c:f>Gráficos!$B$6:$B$7</c:f>
              <c:strCache>
                <c:ptCount val="1"/>
                <c:pt idx="0">
                  <c:v>enero</c:v>
                </c:pt>
              </c:strCache>
            </c:strRef>
          </c:tx>
          <c:invertIfNegative val="0"/>
          <c:cat>
            <c:strRef>
              <c:f>Gráficos!$A$8:$A$14</c:f>
              <c:strCache>
                <c:ptCount val="6"/>
                <c:pt idx="0">
                  <c:v>2012</c:v>
                </c:pt>
                <c:pt idx="1">
                  <c:v>2013</c:v>
                </c:pt>
                <c:pt idx="2">
                  <c:v>2014</c:v>
                </c:pt>
                <c:pt idx="3">
                  <c:v>2015</c:v>
                </c:pt>
                <c:pt idx="4">
                  <c:v>2016</c:v>
                </c:pt>
                <c:pt idx="5">
                  <c:v>#N/A</c:v>
                </c:pt>
              </c:strCache>
            </c:strRef>
          </c:cat>
          <c:val>
            <c:numRef>
              <c:f>Gráficos!$B$8:$B$14</c:f>
              <c:numCache>
                <c:formatCode>General</c:formatCode>
                <c:ptCount val="6"/>
                <c:pt idx="0">
                  <c:v>1</c:v>
                </c:pt>
                <c:pt idx="1">
                  <c:v>1</c:v>
                </c:pt>
                <c:pt idx="2">
                  <c:v>16</c:v>
                </c:pt>
                <c:pt idx="3">
                  <c:v>22</c:v>
                </c:pt>
              </c:numCache>
            </c:numRef>
          </c:val>
          <c:extLst xmlns:c16r2="http://schemas.microsoft.com/office/drawing/2015/06/chart">
            <c:ext xmlns:c16="http://schemas.microsoft.com/office/drawing/2014/chart" uri="{C3380CC4-5D6E-409C-BE32-E72D297353CC}">
              <c16:uniqueId val="{00000000-AA05-4EBB-827C-5DF13C30EC12}"/>
            </c:ext>
          </c:extLst>
        </c:ser>
        <c:ser>
          <c:idx val="1"/>
          <c:order val="1"/>
          <c:tx>
            <c:strRef>
              <c:f>Gráficos!$C$6:$C$7</c:f>
              <c:strCache>
                <c:ptCount val="1"/>
                <c:pt idx="0">
                  <c:v>febrero</c:v>
                </c:pt>
              </c:strCache>
            </c:strRef>
          </c:tx>
          <c:invertIfNegative val="0"/>
          <c:cat>
            <c:strRef>
              <c:f>Gráficos!$A$8:$A$14</c:f>
              <c:strCache>
                <c:ptCount val="6"/>
                <c:pt idx="0">
                  <c:v>2012</c:v>
                </c:pt>
                <c:pt idx="1">
                  <c:v>2013</c:v>
                </c:pt>
                <c:pt idx="2">
                  <c:v>2014</c:v>
                </c:pt>
                <c:pt idx="3">
                  <c:v>2015</c:v>
                </c:pt>
                <c:pt idx="4">
                  <c:v>2016</c:v>
                </c:pt>
                <c:pt idx="5">
                  <c:v>#N/A</c:v>
                </c:pt>
              </c:strCache>
            </c:strRef>
          </c:cat>
          <c:val>
            <c:numRef>
              <c:f>Gráficos!$C$8:$C$14</c:f>
              <c:numCache>
                <c:formatCode>General</c:formatCode>
                <c:ptCount val="6"/>
                <c:pt idx="1">
                  <c:v>10</c:v>
                </c:pt>
                <c:pt idx="2">
                  <c:v>10</c:v>
                </c:pt>
                <c:pt idx="3">
                  <c:v>6</c:v>
                </c:pt>
                <c:pt idx="4">
                  <c:v>1</c:v>
                </c:pt>
              </c:numCache>
            </c:numRef>
          </c:val>
          <c:extLst xmlns:c16r2="http://schemas.microsoft.com/office/drawing/2015/06/chart">
            <c:ext xmlns:c16="http://schemas.microsoft.com/office/drawing/2014/chart" uri="{C3380CC4-5D6E-409C-BE32-E72D297353CC}">
              <c16:uniqueId val="{00000001-AA05-4EBB-827C-5DF13C30EC12}"/>
            </c:ext>
          </c:extLst>
        </c:ser>
        <c:ser>
          <c:idx val="2"/>
          <c:order val="2"/>
          <c:tx>
            <c:strRef>
              <c:f>Gráficos!$D$6:$D$7</c:f>
              <c:strCache>
                <c:ptCount val="1"/>
                <c:pt idx="0">
                  <c:v>marzo</c:v>
                </c:pt>
              </c:strCache>
            </c:strRef>
          </c:tx>
          <c:invertIfNegative val="0"/>
          <c:cat>
            <c:strRef>
              <c:f>Gráficos!$A$8:$A$14</c:f>
              <c:strCache>
                <c:ptCount val="6"/>
                <c:pt idx="0">
                  <c:v>2012</c:v>
                </c:pt>
                <c:pt idx="1">
                  <c:v>2013</c:v>
                </c:pt>
                <c:pt idx="2">
                  <c:v>2014</c:v>
                </c:pt>
                <c:pt idx="3">
                  <c:v>2015</c:v>
                </c:pt>
                <c:pt idx="4">
                  <c:v>2016</c:v>
                </c:pt>
                <c:pt idx="5">
                  <c:v>#N/A</c:v>
                </c:pt>
              </c:strCache>
            </c:strRef>
          </c:cat>
          <c:val>
            <c:numRef>
              <c:f>Gráficos!$D$8:$D$14</c:f>
              <c:numCache>
                <c:formatCode>General</c:formatCode>
                <c:ptCount val="6"/>
                <c:pt idx="1">
                  <c:v>9</c:v>
                </c:pt>
                <c:pt idx="2">
                  <c:v>10</c:v>
                </c:pt>
                <c:pt idx="3">
                  <c:v>5</c:v>
                </c:pt>
              </c:numCache>
            </c:numRef>
          </c:val>
          <c:extLst xmlns:c16r2="http://schemas.microsoft.com/office/drawing/2015/06/chart">
            <c:ext xmlns:c16="http://schemas.microsoft.com/office/drawing/2014/chart" uri="{C3380CC4-5D6E-409C-BE32-E72D297353CC}">
              <c16:uniqueId val="{00000002-AA05-4EBB-827C-5DF13C30EC12}"/>
            </c:ext>
          </c:extLst>
        </c:ser>
        <c:ser>
          <c:idx val="3"/>
          <c:order val="3"/>
          <c:tx>
            <c:strRef>
              <c:f>Gráficos!$E$6:$E$7</c:f>
              <c:strCache>
                <c:ptCount val="1"/>
                <c:pt idx="0">
                  <c:v>abril</c:v>
                </c:pt>
              </c:strCache>
            </c:strRef>
          </c:tx>
          <c:invertIfNegative val="0"/>
          <c:cat>
            <c:strRef>
              <c:f>Gráficos!$A$8:$A$14</c:f>
              <c:strCache>
                <c:ptCount val="6"/>
                <c:pt idx="0">
                  <c:v>2012</c:v>
                </c:pt>
                <c:pt idx="1">
                  <c:v>2013</c:v>
                </c:pt>
                <c:pt idx="2">
                  <c:v>2014</c:v>
                </c:pt>
                <c:pt idx="3">
                  <c:v>2015</c:v>
                </c:pt>
                <c:pt idx="4">
                  <c:v>2016</c:v>
                </c:pt>
                <c:pt idx="5">
                  <c:v>#N/A</c:v>
                </c:pt>
              </c:strCache>
            </c:strRef>
          </c:cat>
          <c:val>
            <c:numRef>
              <c:f>Gráficos!$E$8:$E$14</c:f>
              <c:numCache>
                <c:formatCode>General</c:formatCode>
                <c:ptCount val="6"/>
                <c:pt idx="1">
                  <c:v>5</c:v>
                </c:pt>
                <c:pt idx="2">
                  <c:v>9</c:v>
                </c:pt>
                <c:pt idx="3">
                  <c:v>10</c:v>
                </c:pt>
              </c:numCache>
            </c:numRef>
          </c:val>
          <c:extLst xmlns:c16r2="http://schemas.microsoft.com/office/drawing/2015/06/chart">
            <c:ext xmlns:c16="http://schemas.microsoft.com/office/drawing/2014/chart" uri="{C3380CC4-5D6E-409C-BE32-E72D297353CC}">
              <c16:uniqueId val="{00000003-AA05-4EBB-827C-5DF13C30EC12}"/>
            </c:ext>
          </c:extLst>
        </c:ser>
        <c:ser>
          <c:idx val="4"/>
          <c:order val="4"/>
          <c:tx>
            <c:strRef>
              <c:f>Gráficos!$F$6:$F$7</c:f>
              <c:strCache>
                <c:ptCount val="1"/>
                <c:pt idx="0">
                  <c:v>mayo</c:v>
                </c:pt>
              </c:strCache>
            </c:strRef>
          </c:tx>
          <c:invertIfNegative val="0"/>
          <c:cat>
            <c:strRef>
              <c:f>Gráficos!$A$8:$A$14</c:f>
              <c:strCache>
                <c:ptCount val="6"/>
                <c:pt idx="0">
                  <c:v>2012</c:v>
                </c:pt>
                <c:pt idx="1">
                  <c:v>2013</c:v>
                </c:pt>
                <c:pt idx="2">
                  <c:v>2014</c:v>
                </c:pt>
                <c:pt idx="3">
                  <c:v>2015</c:v>
                </c:pt>
                <c:pt idx="4">
                  <c:v>2016</c:v>
                </c:pt>
                <c:pt idx="5">
                  <c:v>#N/A</c:v>
                </c:pt>
              </c:strCache>
            </c:strRef>
          </c:cat>
          <c:val>
            <c:numRef>
              <c:f>Gráficos!$F$8:$F$14</c:f>
              <c:numCache>
                <c:formatCode>General</c:formatCode>
                <c:ptCount val="6"/>
                <c:pt idx="1">
                  <c:v>8</c:v>
                </c:pt>
                <c:pt idx="2">
                  <c:v>5</c:v>
                </c:pt>
                <c:pt idx="3">
                  <c:v>2</c:v>
                </c:pt>
              </c:numCache>
            </c:numRef>
          </c:val>
          <c:extLst xmlns:c16r2="http://schemas.microsoft.com/office/drawing/2015/06/chart">
            <c:ext xmlns:c16="http://schemas.microsoft.com/office/drawing/2014/chart" uri="{C3380CC4-5D6E-409C-BE32-E72D297353CC}">
              <c16:uniqueId val="{00000004-AA05-4EBB-827C-5DF13C30EC12}"/>
            </c:ext>
          </c:extLst>
        </c:ser>
        <c:ser>
          <c:idx val="5"/>
          <c:order val="5"/>
          <c:tx>
            <c:strRef>
              <c:f>Gráficos!$G$6:$G$7</c:f>
              <c:strCache>
                <c:ptCount val="1"/>
                <c:pt idx="0">
                  <c:v>junio</c:v>
                </c:pt>
              </c:strCache>
            </c:strRef>
          </c:tx>
          <c:invertIfNegative val="0"/>
          <c:cat>
            <c:strRef>
              <c:f>Gráficos!$A$8:$A$14</c:f>
              <c:strCache>
                <c:ptCount val="6"/>
                <c:pt idx="0">
                  <c:v>2012</c:v>
                </c:pt>
                <c:pt idx="1">
                  <c:v>2013</c:v>
                </c:pt>
                <c:pt idx="2">
                  <c:v>2014</c:v>
                </c:pt>
                <c:pt idx="3">
                  <c:v>2015</c:v>
                </c:pt>
                <c:pt idx="4">
                  <c:v>2016</c:v>
                </c:pt>
                <c:pt idx="5">
                  <c:v>#N/A</c:v>
                </c:pt>
              </c:strCache>
            </c:strRef>
          </c:cat>
          <c:val>
            <c:numRef>
              <c:f>Gráficos!$G$8:$G$14</c:f>
              <c:numCache>
                <c:formatCode>General</c:formatCode>
                <c:ptCount val="6"/>
                <c:pt idx="1">
                  <c:v>9</c:v>
                </c:pt>
                <c:pt idx="2">
                  <c:v>9</c:v>
                </c:pt>
                <c:pt idx="3">
                  <c:v>1</c:v>
                </c:pt>
              </c:numCache>
            </c:numRef>
          </c:val>
          <c:extLst xmlns:c16r2="http://schemas.microsoft.com/office/drawing/2015/06/chart">
            <c:ext xmlns:c16="http://schemas.microsoft.com/office/drawing/2014/chart" uri="{C3380CC4-5D6E-409C-BE32-E72D297353CC}">
              <c16:uniqueId val="{00000005-AA05-4EBB-827C-5DF13C30EC12}"/>
            </c:ext>
          </c:extLst>
        </c:ser>
        <c:ser>
          <c:idx val="6"/>
          <c:order val="6"/>
          <c:tx>
            <c:strRef>
              <c:f>Gráficos!$H$6:$H$7</c:f>
              <c:strCache>
                <c:ptCount val="1"/>
                <c:pt idx="0">
                  <c:v>julio</c:v>
                </c:pt>
              </c:strCache>
            </c:strRef>
          </c:tx>
          <c:invertIfNegative val="0"/>
          <c:cat>
            <c:strRef>
              <c:f>Gráficos!$A$8:$A$14</c:f>
              <c:strCache>
                <c:ptCount val="6"/>
                <c:pt idx="0">
                  <c:v>2012</c:v>
                </c:pt>
                <c:pt idx="1">
                  <c:v>2013</c:v>
                </c:pt>
                <c:pt idx="2">
                  <c:v>2014</c:v>
                </c:pt>
                <c:pt idx="3">
                  <c:v>2015</c:v>
                </c:pt>
                <c:pt idx="4">
                  <c:v>2016</c:v>
                </c:pt>
                <c:pt idx="5">
                  <c:v>#N/A</c:v>
                </c:pt>
              </c:strCache>
            </c:strRef>
          </c:cat>
          <c:val>
            <c:numRef>
              <c:f>Gráficos!$H$8:$H$14</c:f>
              <c:numCache>
                <c:formatCode>General</c:formatCode>
                <c:ptCount val="6"/>
                <c:pt idx="0">
                  <c:v>2</c:v>
                </c:pt>
                <c:pt idx="1">
                  <c:v>7</c:v>
                </c:pt>
                <c:pt idx="2">
                  <c:v>3</c:v>
                </c:pt>
                <c:pt idx="3">
                  <c:v>3</c:v>
                </c:pt>
              </c:numCache>
            </c:numRef>
          </c:val>
          <c:extLst xmlns:c16r2="http://schemas.microsoft.com/office/drawing/2015/06/chart">
            <c:ext xmlns:c16="http://schemas.microsoft.com/office/drawing/2014/chart" uri="{C3380CC4-5D6E-409C-BE32-E72D297353CC}">
              <c16:uniqueId val="{00000006-AA05-4EBB-827C-5DF13C30EC12}"/>
            </c:ext>
          </c:extLst>
        </c:ser>
        <c:ser>
          <c:idx val="7"/>
          <c:order val="7"/>
          <c:tx>
            <c:strRef>
              <c:f>Gráficos!$I$6:$I$7</c:f>
              <c:strCache>
                <c:ptCount val="1"/>
                <c:pt idx="0">
                  <c:v>agosto</c:v>
                </c:pt>
              </c:strCache>
            </c:strRef>
          </c:tx>
          <c:invertIfNegative val="0"/>
          <c:cat>
            <c:strRef>
              <c:f>Gráficos!$A$8:$A$14</c:f>
              <c:strCache>
                <c:ptCount val="6"/>
                <c:pt idx="0">
                  <c:v>2012</c:v>
                </c:pt>
                <c:pt idx="1">
                  <c:v>2013</c:v>
                </c:pt>
                <c:pt idx="2">
                  <c:v>2014</c:v>
                </c:pt>
                <c:pt idx="3">
                  <c:v>2015</c:v>
                </c:pt>
                <c:pt idx="4">
                  <c:v>2016</c:v>
                </c:pt>
                <c:pt idx="5">
                  <c:v>#N/A</c:v>
                </c:pt>
              </c:strCache>
            </c:strRef>
          </c:cat>
          <c:val>
            <c:numRef>
              <c:f>Gráficos!$I$8:$I$14</c:f>
              <c:numCache>
                <c:formatCode>General</c:formatCode>
                <c:ptCount val="6"/>
                <c:pt idx="1">
                  <c:v>4</c:v>
                </c:pt>
                <c:pt idx="2">
                  <c:v>7</c:v>
                </c:pt>
              </c:numCache>
            </c:numRef>
          </c:val>
          <c:extLst xmlns:c16r2="http://schemas.microsoft.com/office/drawing/2015/06/chart">
            <c:ext xmlns:c16="http://schemas.microsoft.com/office/drawing/2014/chart" uri="{C3380CC4-5D6E-409C-BE32-E72D297353CC}">
              <c16:uniqueId val="{00000007-AA05-4EBB-827C-5DF13C30EC12}"/>
            </c:ext>
          </c:extLst>
        </c:ser>
        <c:ser>
          <c:idx val="8"/>
          <c:order val="8"/>
          <c:tx>
            <c:strRef>
              <c:f>Gráficos!$J$6:$J$7</c:f>
              <c:strCache>
                <c:ptCount val="1"/>
                <c:pt idx="0">
                  <c:v>septiembre</c:v>
                </c:pt>
              </c:strCache>
            </c:strRef>
          </c:tx>
          <c:invertIfNegative val="0"/>
          <c:cat>
            <c:strRef>
              <c:f>Gráficos!$A$8:$A$14</c:f>
              <c:strCache>
                <c:ptCount val="6"/>
                <c:pt idx="0">
                  <c:v>2012</c:v>
                </c:pt>
                <c:pt idx="1">
                  <c:v>2013</c:v>
                </c:pt>
                <c:pt idx="2">
                  <c:v>2014</c:v>
                </c:pt>
                <c:pt idx="3">
                  <c:v>2015</c:v>
                </c:pt>
                <c:pt idx="4">
                  <c:v>2016</c:v>
                </c:pt>
                <c:pt idx="5">
                  <c:v>#N/A</c:v>
                </c:pt>
              </c:strCache>
            </c:strRef>
          </c:cat>
          <c:val>
            <c:numRef>
              <c:f>Gráficos!$J$8:$J$14</c:f>
              <c:numCache>
                <c:formatCode>General</c:formatCode>
                <c:ptCount val="6"/>
                <c:pt idx="1">
                  <c:v>8</c:v>
                </c:pt>
                <c:pt idx="2">
                  <c:v>9</c:v>
                </c:pt>
                <c:pt idx="3">
                  <c:v>3</c:v>
                </c:pt>
              </c:numCache>
            </c:numRef>
          </c:val>
          <c:extLst xmlns:c16r2="http://schemas.microsoft.com/office/drawing/2015/06/chart">
            <c:ext xmlns:c16="http://schemas.microsoft.com/office/drawing/2014/chart" uri="{C3380CC4-5D6E-409C-BE32-E72D297353CC}">
              <c16:uniqueId val="{00000008-AA05-4EBB-827C-5DF13C30EC12}"/>
            </c:ext>
          </c:extLst>
        </c:ser>
        <c:ser>
          <c:idx val="9"/>
          <c:order val="9"/>
          <c:tx>
            <c:strRef>
              <c:f>Gráficos!$K$6:$K$7</c:f>
              <c:strCache>
                <c:ptCount val="1"/>
                <c:pt idx="0">
                  <c:v>octubre</c:v>
                </c:pt>
              </c:strCache>
            </c:strRef>
          </c:tx>
          <c:invertIfNegative val="0"/>
          <c:cat>
            <c:strRef>
              <c:f>Gráficos!$A$8:$A$14</c:f>
              <c:strCache>
                <c:ptCount val="6"/>
                <c:pt idx="0">
                  <c:v>2012</c:v>
                </c:pt>
                <c:pt idx="1">
                  <c:v>2013</c:v>
                </c:pt>
                <c:pt idx="2">
                  <c:v>2014</c:v>
                </c:pt>
                <c:pt idx="3">
                  <c:v>2015</c:v>
                </c:pt>
                <c:pt idx="4">
                  <c:v>2016</c:v>
                </c:pt>
                <c:pt idx="5">
                  <c:v>#N/A</c:v>
                </c:pt>
              </c:strCache>
            </c:strRef>
          </c:cat>
          <c:val>
            <c:numRef>
              <c:f>Gráficos!$K$8:$K$14</c:f>
              <c:numCache>
                <c:formatCode>General</c:formatCode>
                <c:ptCount val="6"/>
                <c:pt idx="0">
                  <c:v>1</c:v>
                </c:pt>
                <c:pt idx="1">
                  <c:v>5</c:v>
                </c:pt>
                <c:pt idx="2">
                  <c:v>5</c:v>
                </c:pt>
                <c:pt idx="3">
                  <c:v>3</c:v>
                </c:pt>
              </c:numCache>
            </c:numRef>
          </c:val>
          <c:extLst xmlns:c16r2="http://schemas.microsoft.com/office/drawing/2015/06/chart">
            <c:ext xmlns:c16="http://schemas.microsoft.com/office/drawing/2014/chart" uri="{C3380CC4-5D6E-409C-BE32-E72D297353CC}">
              <c16:uniqueId val="{00000009-AA05-4EBB-827C-5DF13C30EC12}"/>
            </c:ext>
          </c:extLst>
        </c:ser>
        <c:ser>
          <c:idx val="10"/>
          <c:order val="10"/>
          <c:tx>
            <c:strRef>
              <c:f>Gráficos!$L$6:$L$7</c:f>
              <c:strCache>
                <c:ptCount val="1"/>
                <c:pt idx="0">
                  <c:v>noviembre</c:v>
                </c:pt>
              </c:strCache>
            </c:strRef>
          </c:tx>
          <c:invertIfNegative val="0"/>
          <c:cat>
            <c:strRef>
              <c:f>Gráficos!$A$8:$A$14</c:f>
              <c:strCache>
                <c:ptCount val="6"/>
                <c:pt idx="0">
                  <c:v>2012</c:v>
                </c:pt>
                <c:pt idx="1">
                  <c:v>2013</c:v>
                </c:pt>
                <c:pt idx="2">
                  <c:v>2014</c:v>
                </c:pt>
                <c:pt idx="3">
                  <c:v>2015</c:v>
                </c:pt>
                <c:pt idx="4">
                  <c:v>2016</c:v>
                </c:pt>
                <c:pt idx="5">
                  <c:v>#N/A</c:v>
                </c:pt>
              </c:strCache>
            </c:strRef>
          </c:cat>
          <c:val>
            <c:numRef>
              <c:f>Gráficos!$L$8:$L$14</c:f>
              <c:numCache>
                <c:formatCode>General</c:formatCode>
                <c:ptCount val="6"/>
                <c:pt idx="1">
                  <c:v>4</c:v>
                </c:pt>
                <c:pt idx="2">
                  <c:v>5</c:v>
                </c:pt>
              </c:numCache>
            </c:numRef>
          </c:val>
          <c:extLst xmlns:c16r2="http://schemas.microsoft.com/office/drawing/2015/06/chart">
            <c:ext xmlns:c16="http://schemas.microsoft.com/office/drawing/2014/chart" uri="{C3380CC4-5D6E-409C-BE32-E72D297353CC}">
              <c16:uniqueId val="{0000000A-AA05-4EBB-827C-5DF13C30EC12}"/>
            </c:ext>
          </c:extLst>
        </c:ser>
        <c:ser>
          <c:idx val="11"/>
          <c:order val="11"/>
          <c:tx>
            <c:strRef>
              <c:f>Gráficos!$M$6:$M$7</c:f>
              <c:strCache>
                <c:ptCount val="1"/>
                <c:pt idx="0">
                  <c:v>diciembre</c:v>
                </c:pt>
              </c:strCache>
            </c:strRef>
          </c:tx>
          <c:invertIfNegative val="0"/>
          <c:cat>
            <c:strRef>
              <c:f>Gráficos!$A$8:$A$14</c:f>
              <c:strCache>
                <c:ptCount val="6"/>
                <c:pt idx="0">
                  <c:v>2012</c:v>
                </c:pt>
                <c:pt idx="1">
                  <c:v>2013</c:v>
                </c:pt>
                <c:pt idx="2">
                  <c:v>2014</c:v>
                </c:pt>
                <c:pt idx="3">
                  <c:v>2015</c:v>
                </c:pt>
                <c:pt idx="4">
                  <c:v>2016</c:v>
                </c:pt>
                <c:pt idx="5">
                  <c:v>#N/A</c:v>
                </c:pt>
              </c:strCache>
            </c:strRef>
          </c:cat>
          <c:val>
            <c:numRef>
              <c:f>Gráficos!$M$8:$M$14</c:f>
              <c:numCache>
                <c:formatCode>General</c:formatCode>
                <c:ptCount val="6"/>
                <c:pt idx="0">
                  <c:v>3</c:v>
                </c:pt>
                <c:pt idx="1">
                  <c:v>5</c:v>
                </c:pt>
                <c:pt idx="2">
                  <c:v>8</c:v>
                </c:pt>
              </c:numCache>
            </c:numRef>
          </c:val>
          <c:extLst xmlns:c16r2="http://schemas.microsoft.com/office/drawing/2015/06/chart">
            <c:ext xmlns:c16="http://schemas.microsoft.com/office/drawing/2014/chart" uri="{C3380CC4-5D6E-409C-BE32-E72D297353CC}">
              <c16:uniqueId val="{0000000B-AA05-4EBB-827C-5DF13C30EC12}"/>
            </c:ext>
          </c:extLst>
        </c:ser>
        <c:ser>
          <c:idx val="12"/>
          <c:order val="12"/>
          <c:tx>
            <c:strRef>
              <c:f>Gráficos!$N$6:$N$7</c:f>
              <c:strCache>
                <c:ptCount val="1"/>
                <c:pt idx="0">
                  <c:v>#N/A</c:v>
                </c:pt>
              </c:strCache>
            </c:strRef>
          </c:tx>
          <c:invertIfNegative val="0"/>
          <c:cat>
            <c:strRef>
              <c:f>Gráficos!$A$8:$A$14</c:f>
              <c:strCache>
                <c:ptCount val="6"/>
                <c:pt idx="0">
                  <c:v>2012</c:v>
                </c:pt>
                <c:pt idx="1">
                  <c:v>2013</c:v>
                </c:pt>
                <c:pt idx="2">
                  <c:v>2014</c:v>
                </c:pt>
                <c:pt idx="3">
                  <c:v>2015</c:v>
                </c:pt>
                <c:pt idx="4">
                  <c:v>2016</c:v>
                </c:pt>
                <c:pt idx="5">
                  <c:v>#N/A</c:v>
                </c:pt>
              </c:strCache>
            </c:strRef>
          </c:cat>
          <c:val>
            <c:numRef>
              <c:f>Gráficos!$N$8:$N$14</c:f>
              <c:numCache>
                <c:formatCode>General</c:formatCode>
                <c:ptCount val="6"/>
                <c:pt idx="5">
                  <c:v>2</c:v>
                </c:pt>
              </c:numCache>
            </c:numRef>
          </c:val>
          <c:extLst xmlns:c16r2="http://schemas.microsoft.com/office/drawing/2015/06/chart">
            <c:ext xmlns:c16="http://schemas.microsoft.com/office/drawing/2014/chart" uri="{C3380CC4-5D6E-409C-BE32-E72D297353CC}">
              <c16:uniqueId val="{0000000C-AA05-4EBB-827C-5DF13C30EC12}"/>
            </c:ext>
          </c:extLst>
        </c:ser>
        <c:dLbls>
          <c:showLegendKey val="0"/>
          <c:showVal val="0"/>
          <c:showCatName val="0"/>
          <c:showSerName val="0"/>
          <c:showPercent val="0"/>
          <c:showBubbleSize val="0"/>
        </c:dLbls>
        <c:gapWidth val="150"/>
        <c:axId val="-1992763760"/>
        <c:axId val="-1992770288"/>
      </c:barChart>
      <c:catAx>
        <c:axId val="-1992763760"/>
        <c:scaling>
          <c:orientation val="minMax"/>
        </c:scaling>
        <c:delete val="0"/>
        <c:axPos val="b"/>
        <c:numFmt formatCode="General" sourceLinked="0"/>
        <c:majorTickMark val="out"/>
        <c:minorTickMark val="none"/>
        <c:tickLblPos val="nextTo"/>
        <c:crossAx val="-1992770288"/>
        <c:crosses val="autoZero"/>
        <c:auto val="1"/>
        <c:lblAlgn val="ctr"/>
        <c:lblOffset val="100"/>
        <c:noMultiLvlLbl val="0"/>
      </c:catAx>
      <c:valAx>
        <c:axId val="-1992770288"/>
        <c:scaling>
          <c:orientation val="minMax"/>
        </c:scaling>
        <c:delete val="0"/>
        <c:axPos val="l"/>
        <c:majorGridlines/>
        <c:numFmt formatCode="General" sourceLinked="1"/>
        <c:majorTickMark val="out"/>
        <c:minorTickMark val="none"/>
        <c:tickLblPos val="nextTo"/>
        <c:crossAx val="-1992763760"/>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extLst xmlns:c16r2="http://schemas.microsoft.com/office/drawing/2015/06/chart">
    <c:ext xmlns:c14="http://schemas.microsoft.com/office/drawing/2007/8/2/chart" uri="{781A3756-C4B2-4CAC-9D66-4F8BD8637D16}">
      <c14:pivotOptions>
        <c14:dropZoneFilter val="1"/>
        <c14:dropZoneCategories val="1"/>
        <c14:dropZoneData val="1"/>
        <c14:dropZoneSeries val="1"/>
        <c14:dropZonesVisible val="1"/>
      </c14:pivotOptions>
    </c:ext>
  </c:extLst>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pivotSource>
    <c:name>[BASE DE DATOS - 21 JUNIO 2019.xlsx]Gráficos!Tabla dinámica1</c:name>
    <c:fmtId val="1"/>
  </c:pivotSource>
  <c:chart>
    <c:autoTitleDeleted val="1"/>
    <c:pivotFmts>
      <c:pivotFmt>
        <c:idx val="0"/>
        <c:marker>
          <c:symbol val="none"/>
        </c:marker>
      </c:pivotFmt>
    </c:pivotFmts>
    <c:plotArea>
      <c:layout/>
      <c:barChart>
        <c:barDir val="col"/>
        <c:grouping val="clustered"/>
        <c:varyColors val="0"/>
        <c:ser>
          <c:idx val="0"/>
          <c:order val="0"/>
          <c:tx>
            <c:strRef>
              <c:f>Gráficos!$B$47</c:f>
              <c:strCache>
                <c:ptCount val="1"/>
                <c:pt idx="0">
                  <c:v>Total</c:v>
                </c:pt>
              </c:strCache>
            </c:strRef>
          </c:tx>
          <c:invertIfNegative val="0"/>
          <c:cat>
            <c:strRef>
              <c:f>Gráficos!$A$48:$A$60</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Gráficos!$B$48:$B$60</c:f>
              <c:numCache>
                <c:formatCode>General</c:formatCode>
                <c:ptCount val="12"/>
                <c:pt idx="0">
                  <c:v>161</c:v>
                </c:pt>
                <c:pt idx="1">
                  <c:v>176</c:v>
                </c:pt>
                <c:pt idx="2">
                  <c:v>183</c:v>
                </c:pt>
                <c:pt idx="3">
                  <c:v>192</c:v>
                </c:pt>
                <c:pt idx="4">
                  <c:v>194</c:v>
                </c:pt>
                <c:pt idx="5">
                  <c:v>202</c:v>
                </c:pt>
                <c:pt idx="6">
                  <c:v>213</c:v>
                </c:pt>
                <c:pt idx="7">
                  <c:v>216</c:v>
                </c:pt>
                <c:pt idx="8">
                  <c:v>225</c:v>
                </c:pt>
                <c:pt idx="9">
                  <c:v>235</c:v>
                </c:pt>
                <c:pt idx="10">
                  <c:v>244</c:v>
                </c:pt>
                <c:pt idx="11">
                  <c:v>250</c:v>
                </c:pt>
              </c:numCache>
            </c:numRef>
          </c:val>
          <c:extLst xmlns:c16r2="http://schemas.microsoft.com/office/drawing/2015/06/chart">
            <c:ext xmlns:c16="http://schemas.microsoft.com/office/drawing/2014/chart" uri="{C3380CC4-5D6E-409C-BE32-E72D297353CC}">
              <c16:uniqueId val="{00000000-2FC6-4269-9D1E-F4D0B05BCD41}"/>
            </c:ext>
          </c:extLst>
        </c:ser>
        <c:dLbls>
          <c:showLegendKey val="0"/>
          <c:showVal val="0"/>
          <c:showCatName val="0"/>
          <c:showSerName val="0"/>
          <c:showPercent val="0"/>
          <c:showBubbleSize val="0"/>
        </c:dLbls>
        <c:gapWidth val="150"/>
        <c:axId val="-1797048592"/>
        <c:axId val="-1797053488"/>
      </c:barChart>
      <c:catAx>
        <c:axId val="-1797048592"/>
        <c:scaling>
          <c:orientation val="minMax"/>
        </c:scaling>
        <c:delete val="0"/>
        <c:axPos val="b"/>
        <c:numFmt formatCode="General" sourceLinked="0"/>
        <c:majorTickMark val="out"/>
        <c:minorTickMark val="none"/>
        <c:tickLblPos val="nextTo"/>
        <c:crossAx val="-1797053488"/>
        <c:crosses val="autoZero"/>
        <c:auto val="1"/>
        <c:lblAlgn val="ctr"/>
        <c:lblOffset val="100"/>
        <c:noMultiLvlLbl val="0"/>
      </c:catAx>
      <c:valAx>
        <c:axId val="-1797053488"/>
        <c:scaling>
          <c:orientation val="minMax"/>
        </c:scaling>
        <c:delete val="0"/>
        <c:axPos val="l"/>
        <c:majorGridlines/>
        <c:numFmt formatCode="General" sourceLinked="1"/>
        <c:majorTickMark val="out"/>
        <c:minorTickMark val="none"/>
        <c:tickLblPos val="nextTo"/>
        <c:crossAx val="-1797048592"/>
        <c:crosses val="autoZero"/>
        <c:crossBetween val="between"/>
      </c:valAx>
    </c:plotArea>
    <c:plotVisOnly val="1"/>
    <c:dispBlanksAs val="gap"/>
    <c:showDLblsOverMax val="0"/>
  </c:chart>
  <c:printSettings>
    <c:headerFooter/>
    <c:pageMargins b="0.75" l="0.7" r="0.7" t="0.75" header="0.3" footer="0.3"/>
    <c:pageSetup/>
  </c:printSettings>
  <c:extLst xmlns:c16r2="http://schemas.microsoft.com/office/drawing/2015/06/chart">
    <c:ext xmlns:c14="http://schemas.microsoft.com/office/drawing/2007/8/2/chart" uri="{781A3756-C4B2-4CAC-9D66-4F8BD8637D16}">
      <c14:pivotOptions>
        <c14:dropZoneFilter val="1"/>
        <c14:dropZoneCategories val="1"/>
        <c14:dropZoneData val="1"/>
        <c14:dropZonesVisible val="1"/>
      </c14:pivotOptions>
    </c:ext>
  </c:extLst>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pivotSource>
    <c:name>[BASE DE DATOS - 21 JUNIO 2019.xlsx]Gráficos!Tabla dinámica5</c:name>
    <c:fmtId val="0"/>
  </c:pivotSource>
  <c:chart>
    <c:autoTitleDeleted val="1"/>
    <c:pivotFmts>
      <c:pivotFmt>
        <c:idx val="0"/>
      </c:pivotFmt>
      <c:pivotFmt>
        <c:idx val="1"/>
      </c:pivotFmt>
      <c:pivotFmt>
        <c:idx val="2"/>
      </c:pivotFmt>
      <c:pivotFmt>
        <c:idx val="3"/>
      </c:pivotFmt>
      <c:pivotFmt>
        <c:idx val="4"/>
      </c:pivotFmt>
      <c:pivotFmt>
        <c:idx val="5"/>
      </c:pivotFmt>
      <c:pivotFmt>
        <c:idx val="6"/>
      </c:pivotFmt>
      <c:pivotFmt>
        <c:idx val="7"/>
      </c:pivotFmt>
      <c:pivotFmt>
        <c:idx val="8"/>
      </c:pivotFmt>
      <c:pivotFmt>
        <c:idx val="9"/>
      </c:pivotFmt>
      <c:pivotFmt>
        <c:idx val="10"/>
      </c:pivotFmt>
      <c:pivotFmt>
        <c:idx val="11"/>
      </c:pivotFmt>
      <c:pivotFmt>
        <c:idx val="12"/>
        <c:marker>
          <c:symbol val="none"/>
        </c:marker>
      </c:pivotFmt>
    </c:pivotFmts>
    <c:plotArea>
      <c:layout/>
      <c:barChart>
        <c:barDir val="col"/>
        <c:grouping val="clustered"/>
        <c:varyColors val="0"/>
        <c:ser>
          <c:idx val="0"/>
          <c:order val="0"/>
          <c:tx>
            <c:strRef>
              <c:f>Gráficos!$B$90</c:f>
              <c:strCache>
                <c:ptCount val="1"/>
                <c:pt idx="0">
                  <c:v>Total</c:v>
                </c:pt>
              </c:strCache>
            </c:strRef>
          </c:tx>
          <c:invertIfNegative val="0"/>
          <c:cat>
            <c:strRef>
              <c:f>Gráficos!$A$91:$A$103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Gráficos!$B$91:$B$103</c:f>
              <c:numCache>
                <c:formatCode>General</c:formatCode>
                <c:ptCount val="12"/>
                <c:pt idx="0">
                  <c:v>13</c:v>
                </c:pt>
                <c:pt idx="1">
                  <c:v>15</c:v>
                </c:pt>
                <c:pt idx="2">
                  <c:v>15</c:v>
                </c:pt>
                <c:pt idx="3">
                  <c:v>16</c:v>
                </c:pt>
                <c:pt idx="4">
                  <c:v>17</c:v>
                </c:pt>
                <c:pt idx="5">
                  <c:v>22</c:v>
                </c:pt>
                <c:pt idx="6">
                  <c:v>27</c:v>
                </c:pt>
                <c:pt idx="7">
                  <c:v>33</c:v>
                </c:pt>
                <c:pt idx="8">
                  <c:v>45</c:v>
                </c:pt>
                <c:pt idx="9">
                  <c:v>56</c:v>
                </c:pt>
                <c:pt idx="10">
                  <c:v>63</c:v>
                </c:pt>
                <c:pt idx="11">
                  <c:v>68</c:v>
                </c:pt>
              </c:numCache>
            </c:numRef>
          </c:val>
          <c:extLst xmlns:c16r2="http://schemas.microsoft.com/office/drawing/2015/06/chart">
            <c:ext xmlns:c16="http://schemas.microsoft.com/office/drawing/2014/chart" uri="{C3380CC4-5D6E-409C-BE32-E72D297353CC}">
              <c16:uniqueId val="{00000000-95C7-45C6-83C9-6A9D2E34B6DE}"/>
            </c:ext>
          </c:extLst>
        </c:ser>
        <c:dLbls>
          <c:showLegendKey val="0"/>
          <c:showVal val="0"/>
          <c:showCatName val="0"/>
          <c:showSerName val="0"/>
          <c:showPercent val="0"/>
          <c:showBubbleSize val="0"/>
        </c:dLbls>
        <c:gapWidth val="150"/>
        <c:axId val="-1797043696"/>
        <c:axId val="-1797046416"/>
      </c:barChart>
      <c:catAx>
        <c:axId val="-1797043696"/>
        <c:scaling>
          <c:orientation val="minMax"/>
        </c:scaling>
        <c:delete val="0"/>
        <c:axPos val="b"/>
        <c:numFmt formatCode="General" sourceLinked="0"/>
        <c:majorTickMark val="out"/>
        <c:minorTickMark val="none"/>
        <c:tickLblPos val="nextTo"/>
        <c:crossAx val="-1797046416"/>
        <c:crosses val="autoZero"/>
        <c:auto val="1"/>
        <c:lblAlgn val="ctr"/>
        <c:lblOffset val="100"/>
        <c:noMultiLvlLbl val="0"/>
      </c:catAx>
      <c:valAx>
        <c:axId val="-1797046416"/>
        <c:scaling>
          <c:orientation val="minMax"/>
        </c:scaling>
        <c:delete val="0"/>
        <c:axPos val="l"/>
        <c:majorGridlines/>
        <c:numFmt formatCode="General" sourceLinked="1"/>
        <c:majorTickMark val="out"/>
        <c:minorTickMark val="none"/>
        <c:tickLblPos val="nextTo"/>
        <c:crossAx val="-1797043696"/>
        <c:crosses val="autoZero"/>
        <c:crossBetween val="between"/>
      </c:valAx>
    </c:plotArea>
    <c:plotVisOnly val="1"/>
    <c:dispBlanksAs val="gap"/>
    <c:showDLblsOverMax val="0"/>
  </c:chart>
  <c:printSettings>
    <c:headerFooter/>
    <c:pageMargins b="0.75" l="0.7" r="0.7" t="0.75" header="0.3" footer="0.3"/>
    <c:pageSetup/>
  </c:printSettings>
  <c:extLst xmlns:c16r2="http://schemas.microsoft.com/office/drawing/2015/06/chart">
    <c:ext xmlns:c14="http://schemas.microsoft.com/office/drawing/2007/8/2/chart" uri="{781A3756-C4B2-4CAC-9D66-4F8BD8637D16}">
      <c14:pivotOptions>
        <c14:dropZoneFilter val="1"/>
        <c14:dropZoneCategories val="1"/>
        <c14:dropZoneData val="1"/>
        <c14:dropZonesVisible val="1"/>
      </c14:pivotOptions>
    </c:ext>
  </c:extLst>
</c:chartSpace>
</file>

<file path=xl/charts/chart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pivotSource>
    <c:name>[BASE DE DATOS - 21 JUNIO 2019.xlsx]Gráficos!Tabla dinámica6</c:name>
    <c:fmtId val="0"/>
  </c:pivotSource>
  <c:chart>
    <c:autoTitleDeleted val="1"/>
    <c:pivotFmts>
      <c:pivotFmt>
        <c:idx val="0"/>
        <c:marker>
          <c:symbol val="none"/>
        </c:marker>
      </c:pivotFmt>
    </c:pivotFmts>
    <c:plotArea>
      <c:layout/>
      <c:barChart>
        <c:barDir val="col"/>
        <c:grouping val="clustered"/>
        <c:varyColors val="0"/>
        <c:ser>
          <c:idx val="0"/>
          <c:order val="0"/>
          <c:tx>
            <c:strRef>
              <c:f>Gráficos!$B$114</c:f>
              <c:strCache>
                <c:ptCount val="1"/>
                <c:pt idx="0">
                  <c:v>Total</c:v>
                </c:pt>
              </c:strCache>
            </c:strRef>
          </c:tx>
          <c:invertIfNegative val="0"/>
          <c:cat>
            <c:strRef>
              <c:f>Gráficos!$A$115:$A$127</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Gráficos!$B$115:$B$127</c:f>
              <c:numCache>
                <c:formatCode>General</c:formatCode>
                <c:ptCount val="12"/>
                <c:pt idx="0">
                  <c:v>74</c:v>
                </c:pt>
                <c:pt idx="1">
                  <c:v>79</c:v>
                </c:pt>
                <c:pt idx="2">
                  <c:v>82</c:v>
                </c:pt>
                <c:pt idx="3">
                  <c:v>85</c:v>
                </c:pt>
                <c:pt idx="4">
                  <c:v>100</c:v>
                </c:pt>
                <c:pt idx="5">
                  <c:v>105</c:v>
                </c:pt>
                <c:pt idx="6">
                  <c:v>117</c:v>
                </c:pt>
                <c:pt idx="7">
                  <c:v>121</c:v>
                </c:pt>
                <c:pt idx="8">
                  <c:v>126</c:v>
                </c:pt>
                <c:pt idx="9">
                  <c:v>138</c:v>
                </c:pt>
                <c:pt idx="10">
                  <c:v>141</c:v>
                </c:pt>
                <c:pt idx="11">
                  <c:v>152</c:v>
                </c:pt>
              </c:numCache>
            </c:numRef>
          </c:val>
          <c:extLst xmlns:c16r2="http://schemas.microsoft.com/office/drawing/2015/06/chart">
            <c:ext xmlns:c16="http://schemas.microsoft.com/office/drawing/2014/chart" uri="{C3380CC4-5D6E-409C-BE32-E72D297353CC}">
              <c16:uniqueId val="{00000000-CCD8-47B8-A35D-9A66FAE4C5FE}"/>
            </c:ext>
          </c:extLst>
        </c:ser>
        <c:dLbls>
          <c:showLegendKey val="0"/>
          <c:showVal val="0"/>
          <c:showCatName val="0"/>
          <c:showSerName val="0"/>
          <c:showPercent val="0"/>
          <c:showBubbleSize val="0"/>
        </c:dLbls>
        <c:gapWidth val="150"/>
        <c:axId val="-1797043152"/>
        <c:axId val="-1797052944"/>
      </c:barChart>
      <c:catAx>
        <c:axId val="-1797043152"/>
        <c:scaling>
          <c:orientation val="minMax"/>
        </c:scaling>
        <c:delete val="0"/>
        <c:axPos val="b"/>
        <c:numFmt formatCode="General" sourceLinked="0"/>
        <c:majorTickMark val="out"/>
        <c:minorTickMark val="none"/>
        <c:tickLblPos val="nextTo"/>
        <c:crossAx val="-1797052944"/>
        <c:crosses val="autoZero"/>
        <c:auto val="1"/>
        <c:lblAlgn val="ctr"/>
        <c:lblOffset val="100"/>
        <c:noMultiLvlLbl val="0"/>
      </c:catAx>
      <c:valAx>
        <c:axId val="-1797052944"/>
        <c:scaling>
          <c:orientation val="minMax"/>
        </c:scaling>
        <c:delete val="0"/>
        <c:axPos val="l"/>
        <c:majorGridlines/>
        <c:numFmt formatCode="General" sourceLinked="1"/>
        <c:majorTickMark val="out"/>
        <c:minorTickMark val="none"/>
        <c:tickLblPos val="nextTo"/>
        <c:crossAx val="-1797043152"/>
        <c:crosses val="autoZero"/>
        <c:crossBetween val="between"/>
      </c:valAx>
    </c:plotArea>
    <c:plotVisOnly val="1"/>
    <c:dispBlanksAs val="gap"/>
    <c:showDLblsOverMax val="0"/>
  </c:chart>
  <c:printSettings>
    <c:headerFooter/>
    <c:pageMargins b="0.75" l="0.7" r="0.7" t="0.75" header="0.3" footer="0.3"/>
    <c:pageSetup/>
  </c:printSettings>
  <c:extLst xmlns:c16r2="http://schemas.microsoft.com/office/drawing/2015/06/chart">
    <c:ext xmlns:c14="http://schemas.microsoft.com/office/drawing/2007/8/2/chart" uri="{781A3756-C4B2-4CAC-9D66-4F8BD8637D16}">
      <c14:pivotOptions>
        <c14:dropZoneFilter val="1"/>
        <c14:dropZoneCategories val="1"/>
        <c14:dropZoneData val="1"/>
        <c14:dropZonesVisible val="1"/>
      </c14:pivotOptions>
    </c:ext>
  </c:extLst>
</c:chartSpace>
</file>

<file path=xl/drawings/_rels/drawing1.xml.rels><?xml version="1.0" encoding="UTF-8" standalone="yes"?>
<Relationships xmlns="http://schemas.openxmlformats.org/package/2006/relationships"><Relationship Id="rId8" Type="http://schemas.openxmlformats.org/officeDocument/2006/relationships/hyperlink" Target="#Gr&#225;ficos!A1"/><Relationship Id="rId3" Type="http://schemas.openxmlformats.org/officeDocument/2006/relationships/hyperlink" Target="#Modificaciones!A1"/><Relationship Id="rId7" Type="http://schemas.openxmlformats.org/officeDocument/2006/relationships/hyperlink" Target="#'Giros Vs Tiempo'!A1"/><Relationship Id="rId2" Type="http://schemas.openxmlformats.org/officeDocument/2006/relationships/hyperlink" Target="#'Base de Datos'!A1"/><Relationship Id="rId1" Type="http://schemas.openxmlformats.org/officeDocument/2006/relationships/image" Target="../media/image1.png"/><Relationship Id="rId6" Type="http://schemas.openxmlformats.org/officeDocument/2006/relationships/hyperlink" Target="#'Estado de Giros'!A1"/><Relationship Id="rId5" Type="http://schemas.openxmlformats.org/officeDocument/2006/relationships/hyperlink" Target="#'Tiempo de ejecuci&#243;n'!A1"/><Relationship Id="rId10" Type="http://schemas.openxmlformats.org/officeDocument/2006/relationships/hyperlink" Target="#'Presupuesto - PAA'!A1"/><Relationship Id="rId4" Type="http://schemas.openxmlformats.org/officeDocument/2006/relationships/hyperlink" Target="#Instructivo!A1"/><Relationship Id="rId9" Type="http://schemas.openxmlformats.org/officeDocument/2006/relationships/hyperlink" Target="#'Tablero de Control'!A1"/></Relationships>
</file>

<file path=xl/drawings/_rels/drawing10.xml.rels><?xml version="1.0" encoding="UTF-8" standalone="yes"?>
<Relationships xmlns="http://schemas.openxmlformats.org/package/2006/relationships"><Relationship Id="rId3" Type="http://schemas.openxmlformats.org/officeDocument/2006/relationships/hyperlink" Target="#'Resumen_Seguimiento Presupuesto'!A1"/><Relationship Id="rId2" Type="http://schemas.openxmlformats.org/officeDocument/2006/relationships/hyperlink" Target="#'Base de Datos'!A1"/><Relationship Id="rId1" Type="http://schemas.openxmlformats.org/officeDocument/2006/relationships/hyperlink" Target="#Inicio!A1"/></Relationships>
</file>

<file path=xl/drawings/_rels/drawing11.xml.rels><?xml version="1.0" encoding="UTF-8" standalone="yes"?>
<Relationships xmlns="http://schemas.openxmlformats.org/package/2006/relationships"><Relationship Id="rId3" Type="http://schemas.openxmlformats.org/officeDocument/2006/relationships/hyperlink" Target="#'Actualizada - presupuesto'!A1"/><Relationship Id="rId2" Type="http://schemas.openxmlformats.org/officeDocument/2006/relationships/hyperlink" Target="#'Base de Datos'!A1"/><Relationship Id="rId1" Type="http://schemas.openxmlformats.org/officeDocument/2006/relationships/hyperlink" Target="#Inicio!A1"/></Relationships>
</file>

<file path=xl/drawings/_rels/drawing12.xml.rels><?xml version="1.0" encoding="UTF-8" standalone="yes"?>
<Relationships xmlns="http://schemas.openxmlformats.org/package/2006/relationships"><Relationship Id="rId2" Type="http://schemas.openxmlformats.org/officeDocument/2006/relationships/hyperlink" Target="#'Base de Datos'!A1"/><Relationship Id="rId1" Type="http://schemas.openxmlformats.org/officeDocument/2006/relationships/hyperlink" Target="#Inicio!A1"/></Relationships>
</file>

<file path=xl/drawings/_rels/drawing13.xml.rels><?xml version="1.0" encoding="UTF-8" standalone="yes"?>
<Relationships xmlns="http://schemas.openxmlformats.org/package/2006/relationships"><Relationship Id="rId2" Type="http://schemas.openxmlformats.org/officeDocument/2006/relationships/hyperlink" Target="#'Base de Datos'!A1"/><Relationship Id="rId1" Type="http://schemas.openxmlformats.org/officeDocument/2006/relationships/hyperlink" Target="#Inicio!A1"/></Relationships>
</file>

<file path=xl/drawings/_rels/drawing14.xml.rels><?xml version="1.0" encoding="UTF-8" standalone="yes"?>
<Relationships xmlns="http://schemas.openxmlformats.org/package/2006/relationships"><Relationship Id="rId2" Type="http://schemas.openxmlformats.org/officeDocument/2006/relationships/hyperlink" Target="#'Base de Datos'!A1"/><Relationship Id="rId1" Type="http://schemas.openxmlformats.org/officeDocument/2006/relationships/hyperlink" Target="#Inicio!A1"/></Relationships>
</file>

<file path=xl/drawings/_rels/drawing15.xml.rels><?xml version="1.0" encoding="UTF-8" standalone="yes"?>
<Relationships xmlns="http://schemas.openxmlformats.org/package/2006/relationships"><Relationship Id="rId2" Type="http://schemas.openxmlformats.org/officeDocument/2006/relationships/hyperlink" Target="#'Base de Datos'!A1"/><Relationship Id="rId1" Type="http://schemas.openxmlformats.org/officeDocument/2006/relationships/hyperlink" Target="#Inicio!A1"/></Relationships>
</file>

<file path=xl/drawings/_rels/drawing2.xml.rels><?xml version="1.0" encoding="UTF-8" standalone="yes"?>
<Relationships xmlns="http://schemas.openxmlformats.org/package/2006/relationships"><Relationship Id="rId2" Type="http://schemas.openxmlformats.org/officeDocument/2006/relationships/hyperlink" Target="#'Base de Datos'!A1"/><Relationship Id="rId1" Type="http://schemas.openxmlformats.org/officeDocument/2006/relationships/hyperlink" Target="#Inicio!A1"/></Relationships>
</file>

<file path=xl/drawings/_rels/drawing3.xml.rels><?xml version="1.0" encoding="UTF-8" standalone="yes"?>
<Relationships xmlns="http://schemas.openxmlformats.org/package/2006/relationships"><Relationship Id="rId2" Type="http://schemas.openxmlformats.org/officeDocument/2006/relationships/hyperlink" Target="#'Base de Datos'!A1"/><Relationship Id="rId1" Type="http://schemas.openxmlformats.org/officeDocument/2006/relationships/hyperlink" Target="#Inicio!A1"/></Relationships>
</file>

<file path=xl/drawings/_rels/drawing4.xml.rels><?xml version="1.0" encoding="UTF-8" standalone="yes"?>
<Relationships xmlns="http://schemas.openxmlformats.org/package/2006/relationships"><Relationship Id="rId2" Type="http://schemas.openxmlformats.org/officeDocument/2006/relationships/hyperlink" Target="#'Base de Datos'!A1"/><Relationship Id="rId1" Type="http://schemas.openxmlformats.org/officeDocument/2006/relationships/hyperlink" Target="#Inicio!A1"/></Relationships>
</file>

<file path=xl/drawings/_rels/drawing5.xml.rels><?xml version="1.0" encoding="UTF-8" standalone="yes"?>
<Relationships xmlns="http://schemas.openxmlformats.org/package/2006/relationships"><Relationship Id="rId2" Type="http://schemas.openxmlformats.org/officeDocument/2006/relationships/hyperlink" Target="#Modificaciones!A1"/><Relationship Id="rId1" Type="http://schemas.openxmlformats.org/officeDocument/2006/relationships/hyperlink" Target="#Inicio!A1"/></Relationships>
</file>

<file path=xl/drawings/_rels/drawing6.xml.rels><?xml version="1.0" encoding="UTF-8" standalone="yes"?>
<Relationships xmlns="http://schemas.openxmlformats.org/package/2006/relationships"><Relationship Id="rId2" Type="http://schemas.openxmlformats.org/officeDocument/2006/relationships/hyperlink" Target="#Inicio!A1"/><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hyperlink" Target="#'Base de Datos'!A1"/><Relationship Id="rId1" Type="http://schemas.openxmlformats.org/officeDocument/2006/relationships/hyperlink" Target="#Inicio!A1"/></Relationships>
</file>

<file path=xl/drawings/_rels/drawing8.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hyperlink" Target="#Inicio!A1"/><Relationship Id="rId1" Type="http://schemas.openxmlformats.org/officeDocument/2006/relationships/chart" Target="../charts/chart1.xml"/><Relationship Id="rId5" Type="http://schemas.openxmlformats.org/officeDocument/2006/relationships/chart" Target="../charts/chart4.xml"/><Relationship Id="rId4" Type="http://schemas.openxmlformats.org/officeDocument/2006/relationships/chart" Target="../charts/chart3.xml"/></Relationships>
</file>

<file path=xl/drawings/_rels/drawing9.xml.rels><?xml version="1.0" encoding="UTF-8" standalone="yes"?>
<Relationships xmlns="http://schemas.openxmlformats.org/package/2006/relationships"><Relationship Id="rId2" Type="http://schemas.openxmlformats.org/officeDocument/2006/relationships/hyperlink" Target="#'Base de Datos'!A1"/><Relationship Id="rId1" Type="http://schemas.openxmlformats.org/officeDocument/2006/relationships/hyperlink" Target="#Inicio!A1"/></Relationships>
</file>

<file path=xl/drawings/drawing1.xml><?xml version="1.0" encoding="utf-8"?>
<xdr:wsDr xmlns:xdr="http://schemas.openxmlformats.org/drawingml/2006/spreadsheetDrawing" xmlns:a="http://schemas.openxmlformats.org/drawingml/2006/main">
  <xdr:twoCellAnchor>
    <xdr:from>
      <xdr:col>8</xdr:col>
      <xdr:colOff>84673</xdr:colOff>
      <xdr:row>20</xdr:row>
      <xdr:rowOff>137580</xdr:rowOff>
    </xdr:from>
    <xdr:to>
      <xdr:col>12</xdr:col>
      <xdr:colOff>264591</xdr:colOff>
      <xdr:row>34</xdr:row>
      <xdr:rowOff>95247</xdr:rowOff>
    </xdr:to>
    <xdr:sp macro="" textlink="">
      <xdr:nvSpPr>
        <xdr:cNvPr id="10" name="9 Elipse">
          <a:extLst>
            <a:ext uri="{FF2B5EF4-FFF2-40B4-BE49-F238E27FC236}">
              <a16:creationId xmlns="" xmlns:a16="http://schemas.microsoft.com/office/drawing/2014/main" id="{00000000-0008-0000-0000-00000A000000}"/>
            </a:ext>
          </a:extLst>
        </xdr:cNvPr>
        <xdr:cNvSpPr/>
      </xdr:nvSpPr>
      <xdr:spPr>
        <a:xfrm>
          <a:off x="3693590" y="3428997"/>
          <a:ext cx="2931584" cy="2624667"/>
        </a:xfrm>
        <a:prstGeom prst="ellipse">
          <a:avLst/>
        </a:prstGeom>
        <a:noFill/>
        <a:ln w="762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twoCellAnchor>
    <xdr:from>
      <xdr:col>2</xdr:col>
      <xdr:colOff>133351</xdr:colOff>
      <xdr:row>2</xdr:row>
      <xdr:rowOff>66675</xdr:rowOff>
    </xdr:from>
    <xdr:to>
      <xdr:col>3</xdr:col>
      <xdr:colOff>523875</xdr:colOff>
      <xdr:row>8</xdr:row>
      <xdr:rowOff>66675</xdr:rowOff>
    </xdr:to>
    <xdr:pic>
      <xdr:nvPicPr>
        <xdr:cNvPr id="2" name="Picture 1" descr="manual01">
          <a:extLst>
            <a:ext uri="{FF2B5EF4-FFF2-40B4-BE49-F238E27FC236}">
              <a16:creationId xmlns=""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lum bright="10000" contrast="4000"/>
          <a:extLst>
            <a:ext uri="{28A0092B-C50C-407E-A947-70E740481C1C}">
              <a14:useLocalDpi xmlns:a14="http://schemas.microsoft.com/office/drawing/2010/main" val="0"/>
            </a:ext>
          </a:extLst>
        </a:blip>
        <a:srcRect/>
        <a:stretch>
          <a:fillRect/>
        </a:stretch>
      </xdr:blipFill>
      <xdr:spPr bwMode="auto">
        <a:xfrm>
          <a:off x="419101" y="342900"/>
          <a:ext cx="1095374"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169343</xdr:colOff>
      <xdr:row>36</xdr:row>
      <xdr:rowOff>169323</xdr:rowOff>
    </xdr:from>
    <xdr:to>
      <xdr:col>6</xdr:col>
      <xdr:colOff>10593</xdr:colOff>
      <xdr:row>39</xdr:row>
      <xdr:rowOff>42323</xdr:rowOff>
    </xdr:to>
    <xdr:sp macro="" textlink="">
      <xdr:nvSpPr>
        <xdr:cNvPr id="3" name="2 Rectángulo redondeado">
          <a:hlinkClick xmlns:r="http://schemas.openxmlformats.org/officeDocument/2006/relationships" r:id="rId2"/>
          <a:extLst>
            <a:ext uri="{FF2B5EF4-FFF2-40B4-BE49-F238E27FC236}">
              <a16:creationId xmlns="" xmlns:a16="http://schemas.microsoft.com/office/drawing/2014/main" id="{00000000-0008-0000-0000-000003000000}"/>
            </a:ext>
          </a:extLst>
        </xdr:cNvPr>
        <xdr:cNvSpPr/>
      </xdr:nvSpPr>
      <xdr:spPr>
        <a:xfrm>
          <a:off x="455093" y="6508740"/>
          <a:ext cx="1841500" cy="444500"/>
        </a:xfrm>
        <a:prstGeom prst="roundRect">
          <a:avLst/>
        </a:prstGeom>
        <a:solidFill>
          <a:schemeClr val="accent1">
            <a:lumMod val="60000"/>
            <a:lumOff val="40000"/>
          </a:schemeClr>
        </a:solidFill>
        <a:ln w="285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800" b="1"/>
            <a:t>BASE DE DATOS</a:t>
          </a:r>
        </a:p>
      </xdr:txBody>
    </xdr:sp>
    <xdr:clientData/>
  </xdr:twoCellAnchor>
  <xdr:twoCellAnchor>
    <xdr:from>
      <xdr:col>6</xdr:col>
      <xdr:colOff>42328</xdr:colOff>
      <xdr:row>25</xdr:row>
      <xdr:rowOff>74069</xdr:rowOff>
    </xdr:from>
    <xdr:to>
      <xdr:col>9</xdr:col>
      <xdr:colOff>105807</xdr:colOff>
      <xdr:row>30</xdr:row>
      <xdr:rowOff>179920</xdr:rowOff>
    </xdr:to>
    <xdr:sp macro="" textlink="">
      <xdr:nvSpPr>
        <xdr:cNvPr id="5" name="4 Rectángulo redondeado">
          <a:hlinkClick xmlns:r="http://schemas.openxmlformats.org/officeDocument/2006/relationships" r:id="rId3"/>
          <a:extLst>
            <a:ext uri="{FF2B5EF4-FFF2-40B4-BE49-F238E27FC236}">
              <a16:creationId xmlns="" xmlns:a16="http://schemas.microsoft.com/office/drawing/2014/main" id="{00000000-0008-0000-0000-000005000000}"/>
            </a:ext>
          </a:extLst>
        </xdr:cNvPr>
        <xdr:cNvSpPr/>
      </xdr:nvSpPr>
      <xdr:spPr>
        <a:xfrm>
          <a:off x="2328328" y="4317986"/>
          <a:ext cx="2063729" cy="1058351"/>
        </a:xfrm>
        <a:prstGeom prst="roundRect">
          <a:avLst/>
        </a:prstGeom>
        <a:solidFill>
          <a:schemeClr val="accent1">
            <a:lumMod val="60000"/>
            <a:lumOff val="40000"/>
          </a:schemeClr>
        </a:solidFill>
        <a:ln w="285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800" b="1"/>
            <a:t>ACTUALIZACIONES</a:t>
          </a:r>
          <a:r>
            <a:rPr lang="es-MX" sz="1800" b="1" baseline="0"/>
            <a:t> Y MODIFICACIONES</a:t>
          </a:r>
          <a:endParaRPr lang="es-MX" sz="1800" b="1"/>
        </a:p>
      </xdr:txBody>
    </xdr:sp>
    <xdr:clientData/>
  </xdr:twoCellAnchor>
  <xdr:twoCellAnchor>
    <xdr:from>
      <xdr:col>17</xdr:col>
      <xdr:colOff>21164</xdr:colOff>
      <xdr:row>16</xdr:row>
      <xdr:rowOff>105837</xdr:rowOff>
    </xdr:from>
    <xdr:to>
      <xdr:col>18</xdr:col>
      <xdr:colOff>709081</xdr:colOff>
      <xdr:row>18</xdr:row>
      <xdr:rowOff>169337</xdr:rowOff>
    </xdr:to>
    <xdr:sp macro="" textlink="">
      <xdr:nvSpPr>
        <xdr:cNvPr id="7" name="6 Rectángulo redondeado">
          <a:hlinkClick xmlns:r="http://schemas.openxmlformats.org/officeDocument/2006/relationships" r:id="rId4"/>
          <a:extLst>
            <a:ext uri="{FF2B5EF4-FFF2-40B4-BE49-F238E27FC236}">
              <a16:creationId xmlns="" xmlns:a16="http://schemas.microsoft.com/office/drawing/2014/main" id="{00000000-0008-0000-0000-000007000000}"/>
            </a:ext>
          </a:extLst>
        </xdr:cNvPr>
        <xdr:cNvSpPr/>
      </xdr:nvSpPr>
      <xdr:spPr>
        <a:xfrm>
          <a:off x="8043331" y="2635254"/>
          <a:ext cx="1841500" cy="444500"/>
        </a:xfrm>
        <a:prstGeom prst="roundRect">
          <a:avLst/>
        </a:prstGeom>
        <a:solidFill>
          <a:schemeClr val="accent1">
            <a:lumMod val="60000"/>
            <a:lumOff val="40000"/>
          </a:schemeClr>
        </a:solidFill>
        <a:ln w="285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800" b="1"/>
            <a:t>INSTRUCTIVO</a:t>
          </a:r>
        </a:p>
      </xdr:txBody>
    </xdr:sp>
    <xdr:clientData/>
  </xdr:twoCellAnchor>
  <xdr:twoCellAnchor>
    <xdr:from>
      <xdr:col>11</xdr:col>
      <xdr:colOff>126981</xdr:colOff>
      <xdr:row>26</xdr:row>
      <xdr:rowOff>105819</xdr:rowOff>
    </xdr:from>
    <xdr:to>
      <xdr:col>13</xdr:col>
      <xdr:colOff>571481</xdr:colOff>
      <xdr:row>28</xdr:row>
      <xdr:rowOff>169319</xdr:rowOff>
    </xdr:to>
    <xdr:sp macro="" textlink="">
      <xdr:nvSpPr>
        <xdr:cNvPr id="9" name="8 Rectángulo redondeado">
          <a:extLst>
            <a:ext uri="{FF2B5EF4-FFF2-40B4-BE49-F238E27FC236}">
              <a16:creationId xmlns="" xmlns:a16="http://schemas.microsoft.com/office/drawing/2014/main" id="{00000000-0008-0000-0000-000009000000}"/>
            </a:ext>
          </a:extLst>
        </xdr:cNvPr>
        <xdr:cNvSpPr/>
      </xdr:nvSpPr>
      <xdr:spPr>
        <a:xfrm>
          <a:off x="5778481" y="4540236"/>
          <a:ext cx="1841500" cy="444500"/>
        </a:xfrm>
        <a:prstGeom prst="roundRect">
          <a:avLst/>
        </a:prstGeom>
        <a:solidFill>
          <a:schemeClr val="accent1">
            <a:lumMod val="60000"/>
            <a:lumOff val="40000"/>
          </a:schemeClr>
        </a:solidFill>
        <a:ln w="285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800" b="1"/>
            <a:t>REPORTES</a:t>
          </a:r>
        </a:p>
      </xdr:txBody>
    </xdr:sp>
    <xdr:clientData/>
  </xdr:twoCellAnchor>
  <xdr:twoCellAnchor>
    <xdr:from>
      <xdr:col>13</xdr:col>
      <xdr:colOff>148162</xdr:colOff>
      <xdr:row>30</xdr:row>
      <xdr:rowOff>169338</xdr:rowOff>
    </xdr:from>
    <xdr:to>
      <xdr:col>18</xdr:col>
      <xdr:colOff>751410</xdr:colOff>
      <xdr:row>32</xdr:row>
      <xdr:rowOff>84675</xdr:rowOff>
    </xdr:to>
    <xdr:sp macro="" textlink="">
      <xdr:nvSpPr>
        <xdr:cNvPr id="11" name="10 Rectángulo redondeado">
          <a:hlinkClick xmlns:r="http://schemas.openxmlformats.org/officeDocument/2006/relationships" r:id="rId5"/>
          <a:extLst>
            <a:ext uri="{FF2B5EF4-FFF2-40B4-BE49-F238E27FC236}">
              <a16:creationId xmlns="" xmlns:a16="http://schemas.microsoft.com/office/drawing/2014/main" id="{00000000-0008-0000-0000-00000B000000}"/>
            </a:ext>
          </a:extLst>
        </xdr:cNvPr>
        <xdr:cNvSpPr/>
      </xdr:nvSpPr>
      <xdr:spPr>
        <a:xfrm>
          <a:off x="7196662" y="5365755"/>
          <a:ext cx="2730498" cy="296337"/>
        </a:xfrm>
        <a:prstGeom prst="roundRect">
          <a:avLst/>
        </a:prstGeom>
        <a:solidFill>
          <a:schemeClr val="accent1">
            <a:lumMod val="60000"/>
            <a:lumOff val="40000"/>
          </a:schemeClr>
        </a:solidFill>
        <a:ln w="285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Contratos por terminar (tiempo)</a:t>
          </a:r>
        </a:p>
      </xdr:txBody>
    </xdr:sp>
    <xdr:clientData/>
  </xdr:twoCellAnchor>
  <xdr:twoCellAnchor>
    <xdr:from>
      <xdr:col>13</xdr:col>
      <xdr:colOff>137577</xdr:colOff>
      <xdr:row>33</xdr:row>
      <xdr:rowOff>95263</xdr:rowOff>
    </xdr:from>
    <xdr:to>
      <xdr:col>18</xdr:col>
      <xdr:colOff>761988</xdr:colOff>
      <xdr:row>34</xdr:row>
      <xdr:rowOff>169345</xdr:rowOff>
    </xdr:to>
    <xdr:sp macro="" textlink="">
      <xdr:nvSpPr>
        <xdr:cNvPr id="12" name="11 Rectángulo redondeado">
          <a:hlinkClick xmlns:r="http://schemas.openxmlformats.org/officeDocument/2006/relationships" r:id="rId6"/>
          <a:extLst>
            <a:ext uri="{FF2B5EF4-FFF2-40B4-BE49-F238E27FC236}">
              <a16:creationId xmlns="" xmlns:a16="http://schemas.microsoft.com/office/drawing/2014/main" id="{00000000-0008-0000-0000-00000C000000}"/>
            </a:ext>
          </a:extLst>
        </xdr:cNvPr>
        <xdr:cNvSpPr/>
      </xdr:nvSpPr>
      <xdr:spPr>
        <a:xfrm>
          <a:off x="7186077" y="5863180"/>
          <a:ext cx="2751661" cy="264582"/>
        </a:xfrm>
        <a:prstGeom prst="roundRect">
          <a:avLst/>
        </a:prstGeom>
        <a:solidFill>
          <a:schemeClr val="accent1">
            <a:lumMod val="60000"/>
            <a:lumOff val="40000"/>
          </a:schemeClr>
        </a:solidFill>
        <a:ln w="285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Estado de Giros</a:t>
          </a:r>
        </a:p>
      </xdr:txBody>
    </xdr:sp>
    <xdr:clientData/>
  </xdr:twoCellAnchor>
  <xdr:twoCellAnchor>
    <xdr:from>
      <xdr:col>13</xdr:col>
      <xdr:colOff>137602</xdr:colOff>
      <xdr:row>36</xdr:row>
      <xdr:rowOff>10595</xdr:rowOff>
    </xdr:from>
    <xdr:to>
      <xdr:col>19</xdr:col>
      <xdr:colOff>13</xdr:colOff>
      <xdr:row>37</xdr:row>
      <xdr:rowOff>84677</xdr:rowOff>
    </xdr:to>
    <xdr:sp macro="" textlink="">
      <xdr:nvSpPr>
        <xdr:cNvPr id="13" name="12 Rectángulo redondeado">
          <a:hlinkClick xmlns:r="http://schemas.openxmlformats.org/officeDocument/2006/relationships" r:id="rId7"/>
          <a:extLst>
            <a:ext uri="{FF2B5EF4-FFF2-40B4-BE49-F238E27FC236}">
              <a16:creationId xmlns="" xmlns:a16="http://schemas.microsoft.com/office/drawing/2014/main" id="{00000000-0008-0000-0000-00000D000000}"/>
            </a:ext>
          </a:extLst>
        </xdr:cNvPr>
        <xdr:cNvSpPr/>
      </xdr:nvSpPr>
      <xdr:spPr>
        <a:xfrm>
          <a:off x="7186102" y="6350012"/>
          <a:ext cx="2751661" cy="264582"/>
        </a:xfrm>
        <a:prstGeom prst="roundRect">
          <a:avLst/>
        </a:prstGeom>
        <a:solidFill>
          <a:schemeClr val="accent1">
            <a:lumMod val="60000"/>
            <a:lumOff val="40000"/>
          </a:schemeClr>
        </a:solidFill>
        <a:ln w="285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Giros Vs Tiempo</a:t>
          </a:r>
        </a:p>
      </xdr:txBody>
    </xdr:sp>
    <xdr:clientData/>
  </xdr:twoCellAnchor>
  <xdr:twoCellAnchor>
    <xdr:from>
      <xdr:col>12</xdr:col>
      <xdr:colOff>635000</xdr:colOff>
      <xdr:row>28</xdr:row>
      <xdr:rowOff>158750</xdr:rowOff>
    </xdr:from>
    <xdr:to>
      <xdr:col>13</xdr:col>
      <xdr:colOff>137579</xdr:colOff>
      <xdr:row>31</xdr:row>
      <xdr:rowOff>127007</xdr:rowOff>
    </xdr:to>
    <xdr:cxnSp macro="">
      <xdr:nvCxnSpPr>
        <xdr:cNvPr id="15" name="14 Conector recto de flecha">
          <a:extLst>
            <a:ext uri="{FF2B5EF4-FFF2-40B4-BE49-F238E27FC236}">
              <a16:creationId xmlns="" xmlns:a16="http://schemas.microsoft.com/office/drawing/2014/main" id="{00000000-0008-0000-0000-00000F000000}"/>
            </a:ext>
          </a:extLst>
        </xdr:cNvPr>
        <xdr:cNvCxnSpPr/>
      </xdr:nvCxnSpPr>
      <xdr:spPr>
        <a:xfrm>
          <a:off x="6995583" y="4974167"/>
          <a:ext cx="190496" cy="539757"/>
        </a:xfrm>
        <a:prstGeom prst="straightConnector1">
          <a:avLst/>
        </a:prstGeom>
        <a:ln w="57150">
          <a:solidFill>
            <a:schemeClr val="accent1">
              <a:lumMod val="75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465667</xdr:colOff>
      <xdr:row>28</xdr:row>
      <xdr:rowOff>158750</xdr:rowOff>
    </xdr:from>
    <xdr:to>
      <xdr:col>13</xdr:col>
      <xdr:colOff>116411</xdr:colOff>
      <xdr:row>34</xdr:row>
      <xdr:rowOff>37055</xdr:rowOff>
    </xdr:to>
    <xdr:cxnSp macro="">
      <xdr:nvCxnSpPr>
        <xdr:cNvPr id="16" name="15 Conector recto de flecha">
          <a:extLst>
            <a:ext uri="{FF2B5EF4-FFF2-40B4-BE49-F238E27FC236}">
              <a16:creationId xmlns="" xmlns:a16="http://schemas.microsoft.com/office/drawing/2014/main" id="{00000000-0008-0000-0000-000010000000}"/>
            </a:ext>
          </a:extLst>
        </xdr:cNvPr>
        <xdr:cNvCxnSpPr/>
      </xdr:nvCxnSpPr>
      <xdr:spPr>
        <a:xfrm>
          <a:off x="6826250" y="4974167"/>
          <a:ext cx="338661" cy="1021305"/>
        </a:xfrm>
        <a:prstGeom prst="straightConnector1">
          <a:avLst/>
        </a:prstGeom>
        <a:ln w="57150">
          <a:solidFill>
            <a:schemeClr val="accent1">
              <a:lumMod val="75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338648</xdr:colOff>
      <xdr:row>28</xdr:row>
      <xdr:rowOff>169319</xdr:rowOff>
    </xdr:from>
    <xdr:to>
      <xdr:col>13</xdr:col>
      <xdr:colOff>127019</xdr:colOff>
      <xdr:row>36</xdr:row>
      <xdr:rowOff>142886</xdr:rowOff>
    </xdr:to>
    <xdr:cxnSp macro="">
      <xdr:nvCxnSpPr>
        <xdr:cNvPr id="20" name="19 Conector recto de flecha">
          <a:extLst>
            <a:ext uri="{FF2B5EF4-FFF2-40B4-BE49-F238E27FC236}">
              <a16:creationId xmlns="" xmlns:a16="http://schemas.microsoft.com/office/drawing/2014/main" id="{00000000-0008-0000-0000-000014000000}"/>
            </a:ext>
          </a:extLst>
        </xdr:cNvPr>
        <xdr:cNvCxnSpPr>
          <a:stCxn id="9" idx="2"/>
        </xdr:cNvCxnSpPr>
      </xdr:nvCxnSpPr>
      <xdr:spPr>
        <a:xfrm>
          <a:off x="6699231" y="4984736"/>
          <a:ext cx="476288" cy="1497567"/>
        </a:xfrm>
        <a:prstGeom prst="straightConnector1">
          <a:avLst/>
        </a:prstGeom>
        <a:ln w="57150">
          <a:solidFill>
            <a:schemeClr val="accent1">
              <a:lumMod val="75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84667</xdr:colOff>
      <xdr:row>32</xdr:row>
      <xdr:rowOff>158750</xdr:rowOff>
    </xdr:from>
    <xdr:to>
      <xdr:col>11</xdr:col>
      <xdr:colOff>560917</xdr:colOff>
      <xdr:row>35</xdr:row>
      <xdr:rowOff>31750</xdr:rowOff>
    </xdr:to>
    <xdr:sp macro="" textlink="">
      <xdr:nvSpPr>
        <xdr:cNvPr id="17" name="16 Rectángulo redondeado">
          <a:hlinkClick xmlns:r="http://schemas.openxmlformats.org/officeDocument/2006/relationships" r:id="rId8"/>
          <a:extLst>
            <a:ext uri="{FF2B5EF4-FFF2-40B4-BE49-F238E27FC236}">
              <a16:creationId xmlns="" xmlns:a16="http://schemas.microsoft.com/office/drawing/2014/main" id="{00000000-0008-0000-0000-000011000000}"/>
            </a:ext>
          </a:extLst>
        </xdr:cNvPr>
        <xdr:cNvSpPr/>
      </xdr:nvSpPr>
      <xdr:spPr>
        <a:xfrm>
          <a:off x="4370917" y="5736167"/>
          <a:ext cx="1841500" cy="444500"/>
        </a:xfrm>
        <a:prstGeom prst="roundRect">
          <a:avLst/>
        </a:prstGeom>
        <a:solidFill>
          <a:schemeClr val="accent1">
            <a:lumMod val="60000"/>
            <a:lumOff val="40000"/>
          </a:schemeClr>
        </a:solidFill>
        <a:ln w="285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800" b="1"/>
            <a:t>GRÁFICOS</a:t>
          </a:r>
        </a:p>
      </xdr:txBody>
    </xdr:sp>
    <xdr:clientData/>
  </xdr:twoCellAnchor>
  <xdr:twoCellAnchor>
    <xdr:from>
      <xdr:col>17</xdr:col>
      <xdr:colOff>23812</xdr:colOff>
      <xdr:row>20</xdr:row>
      <xdr:rowOff>178594</xdr:rowOff>
    </xdr:from>
    <xdr:to>
      <xdr:col>18</xdr:col>
      <xdr:colOff>706437</xdr:colOff>
      <xdr:row>25</xdr:row>
      <xdr:rowOff>59532</xdr:rowOff>
    </xdr:to>
    <xdr:sp macro="" textlink="">
      <xdr:nvSpPr>
        <xdr:cNvPr id="18" name="17 Rectángulo redondeado">
          <a:hlinkClick xmlns:r="http://schemas.openxmlformats.org/officeDocument/2006/relationships" r:id="rId9"/>
          <a:extLst>
            <a:ext uri="{FF2B5EF4-FFF2-40B4-BE49-F238E27FC236}">
              <a16:creationId xmlns="" xmlns:a16="http://schemas.microsoft.com/office/drawing/2014/main" id="{00000000-0008-0000-0000-000012000000}"/>
            </a:ext>
          </a:extLst>
        </xdr:cNvPr>
        <xdr:cNvSpPr/>
      </xdr:nvSpPr>
      <xdr:spPr>
        <a:xfrm>
          <a:off x="8048625" y="3476625"/>
          <a:ext cx="1837531" cy="833438"/>
        </a:xfrm>
        <a:prstGeom prst="roundRect">
          <a:avLst/>
        </a:prstGeom>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s-MX" sz="1800" b="1"/>
            <a:t>TABLERO DE CONTROL</a:t>
          </a:r>
        </a:p>
      </xdr:txBody>
    </xdr:sp>
    <xdr:clientData/>
  </xdr:twoCellAnchor>
  <xdr:twoCellAnchor>
    <xdr:from>
      <xdr:col>17</xdr:col>
      <xdr:colOff>18518</xdr:colOff>
      <xdr:row>16</xdr:row>
      <xdr:rowOff>99223</xdr:rowOff>
    </xdr:from>
    <xdr:to>
      <xdr:col>18</xdr:col>
      <xdr:colOff>706435</xdr:colOff>
      <xdr:row>18</xdr:row>
      <xdr:rowOff>162723</xdr:rowOff>
    </xdr:to>
    <xdr:sp macro="" textlink="">
      <xdr:nvSpPr>
        <xdr:cNvPr id="19" name="18 Rectángulo redondeado">
          <a:hlinkClick xmlns:r="http://schemas.openxmlformats.org/officeDocument/2006/relationships" r:id="rId4"/>
          <a:extLst>
            <a:ext uri="{FF2B5EF4-FFF2-40B4-BE49-F238E27FC236}">
              <a16:creationId xmlns="" xmlns:a16="http://schemas.microsoft.com/office/drawing/2014/main" id="{00000000-0008-0000-0000-000013000000}"/>
            </a:ext>
          </a:extLst>
        </xdr:cNvPr>
        <xdr:cNvSpPr/>
      </xdr:nvSpPr>
      <xdr:spPr>
        <a:xfrm>
          <a:off x="8043331" y="2635254"/>
          <a:ext cx="1842823" cy="444500"/>
        </a:xfrm>
        <a:prstGeom prst="roundRect">
          <a:avLst/>
        </a:prstGeom>
        <a:solidFill>
          <a:schemeClr val="accent1">
            <a:lumMod val="60000"/>
            <a:lumOff val="40000"/>
          </a:schemeClr>
        </a:solidFill>
        <a:ln w="285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800" b="1"/>
            <a:t>INSTRUCTIVO</a:t>
          </a:r>
        </a:p>
      </xdr:txBody>
    </xdr:sp>
    <xdr:clientData/>
  </xdr:twoCellAnchor>
  <xdr:twoCellAnchor>
    <xdr:from>
      <xdr:col>2</xdr:col>
      <xdr:colOff>59531</xdr:colOff>
      <xdr:row>24</xdr:row>
      <xdr:rowOff>178596</xdr:rowOff>
    </xdr:from>
    <xdr:to>
      <xdr:col>5</xdr:col>
      <xdr:colOff>21166</xdr:colOff>
      <xdr:row>31</xdr:row>
      <xdr:rowOff>47627</xdr:rowOff>
    </xdr:to>
    <xdr:sp macro="" textlink="">
      <xdr:nvSpPr>
        <xdr:cNvPr id="21" name="20 Rectángulo redondeado">
          <a:hlinkClick xmlns:r="http://schemas.openxmlformats.org/officeDocument/2006/relationships" r:id="rId10"/>
          <a:extLst>
            <a:ext uri="{FF2B5EF4-FFF2-40B4-BE49-F238E27FC236}">
              <a16:creationId xmlns="" xmlns:a16="http://schemas.microsoft.com/office/drawing/2014/main" id="{00000000-0008-0000-0000-000015000000}"/>
            </a:ext>
          </a:extLst>
        </xdr:cNvPr>
        <xdr:cNvSpPr/>
      </xdr:nvSpPr>
      <xdr:spPr>
        <a:xfrm>
          <a:off x="345281" y="4238627"/>
          <a:ext cx="1842823" cy="1202531"/>
        </a:xfrm>
        <a:prstGeom prst="roundRect">
          <a:avLst/>
        </a:prstGeom>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s-MX" sz="1800" b="1"/>
            <a:t>SEGUIMIENTO PRESUPUESTO Y PAA</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142875</xdr:colOff>
      <xdr:row>1</xdr:row>
      <xdr:rowOff>257175</xdr:rowOff>
    </xdr:from>
    <xdr:to>
      <xdr:col>4</xdr:col>
      <xdr:colOff>85726</xdr:colOff>
      <xdr:row>2</xdr:row>
      <xdr:rowOff>266700</xdr:rowOff>
    </xdr:to>
    <xdr:sp macro="" textlink="">
      <xdr:nvSpPr>
        <xdr:cNvPr id="2" name="1 Rectángulo redondeado">
          <a:hlinkClick xmlns:r="http://schemas.openxmlformats.org/officeDocument/2006/relationships" r:id="rId1"/>
          <a:extLst>
            <a:ext uri="{FF2B5EF4-FFF2-40B4-BE49-F238E27FC236}">
              <a16:creationId xmlns="" xmlns:a16="http://schemas.microsoft.com/office/drawing/2014/main" id="{00000000-0008-0000-0B00-000002000000}"/>
            </a:ext>
          </a:extLst>
        </xdr:cNvPr>
        <xdr:cNvSpPr/>
      </xdr:nvSpPr>
      <xdr:spPr>
        <a:xfrm>
          <a:off x="142875" y="409575"/>
          <a:ext cx="1371601" cy="32385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INICIO</a:t>
          </a:r>
        </a:p>
      </xdr:txBody>
    </xdr:sp>
    <xdr:clientData/>
  </xdr:twoCellAnchor>
  <xdr:twoCellAnchor>
    <xdr:from>
      <xdr:col>4</xdr:col>
      <xdr:colOff>190500</xdr:colOff>
      <xdr:row>0</xdr:row>
      <xdr:rowOff>95250</xdr:rowOff>
    </xdr:from>
    <xdr:to>
      <xdr:col>5</xdr:col>
      <xdr:colOff>876301</xdr:colOff>
      <xdr:row>1</xdr:row>
      <xdr:rowOff>257174</xdr:rowOff>
    </xdr:to>
    <xdr:sp macro="" textlink="">
      <xdr:nvSpPr>
        <xdr:cNvPr id="3" name="2 Rectángulo redondeado">
          <a:hlinkClick xmlns:r="http://schemas.openxmlformats.org/officeDocument/2006/relationships" r:id="rId2"/>
          <a:extLst>
            <a:ext uri="{FF2B5EF4-FFF2-40B4-BE49-F238E27FC236}">
              <a16:creationId xmlns="" xmlns:a16="http://schemas.microsoft.com/office/drawing/2014/main" id="{00000000-0008-0000-0B00-000003000000}"/>
            </a:ext>
          </a:extLst>
        </xdr:cNvPr>
        <xdr:cNvSpPr/>
      </xdr:nvSpPr>
      <xdr:spPr>
        <a:xfrm>
          <a:off x="1619250" y="95250"/>
          <a:ext cx="2009776" cy="314324"/>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Ir</a:t>
          </a:r>
          <a:r>
            <a:rPr lang="es-MX" sz="1400" b="1" baseline="0"/>
            <a:t> a base de datos</a:t>
          </a:r>
          <a:endParaRPr lang="es-MX" sz="1400" b="1"/>
        </a:p>
      </xdr:txBody>
    </xdr:sp>
    <xdr:clientData/>
  </xdr:twoCellAnchor>
  <xdr:twoCellAnchor>
    <xdr:from>
      <xdr:col>4</xdr:col>
      <xdr:colOff>247650</xdr:colOff>
      <xdr:row>3</xdr:row>
      <xdr:rowOff>28575</xdr:rowOff>
    </xdr:from>
    <xdr:to>
      <xdr:col>5</xdr:col>
      <xdr:colOff>876300</xdr:colOff>
      <xdr:row>4</xdr:row>
      <xdr:rowOff>38100</xdr:rowOff>
    </xdr:to>
    <xdr:sp macro="" textlink="">
      <xdr:nvSpPr>
        <xdr:cNvPr id="4" name="3 Rectángulo redondeado">
          <a:hlinkClick xmlns:r="http://schemas.openxmlformats.org/officeDocument/2006/relationships" r:id="rId3"/>
          <a:extLst>
            <a:ext uri="{FF2B5EF4-FFF2-40B4-BE49-F238E27FC236}">
              <a16:creationId xmlns="" xmlns:a16="http://schemas.microsoft.com/office/drawing/2014/main" id="{00000000-0008-0000-0B00-000004000000}"/>
            </a:ext>
          </a:extLst>
        </xdr:cNvPr>
        <xdr:cNvSpPr/>
      </xdr:nvSpPr>
      <xdr:spPr>
        <a:xfrm>
          <a:off x="1676400" y="809625"/>
          <a:ext cx="1952625" cy="32385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100" b="1"/>
            <a:t>SEGUIMIENTO</a:t>
          </a:r>
          <a:r>
            <a:rPr lang="es-MX" sz="1100" b="1" baseline="0"/>
            <a:t> PRESUPUESTO</a:t>
          </a:r>
          <a:endParaRPr lang="es-MX" sz="1100" b="1"/>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0</xdr:colOff>
      <xdr:row>1</xdr:row>
      <xdr:rowOff>0</xdr:rowOff>
    </xdr:from>
    <xdr:to>
      <xdr:col>1</xdr:col>
      <xdr:colOff>1371601</xdr:colOff>
      <xdr:row>3</xdr:row>
      <xdr:rowOff>0</xdr:rowOff>
    </xdr:to>
    <xdr:sp macro="" textlink="">
      <xdr:nvSpPr>
        <xdr:cNvPr id="2" name="1 Rectángulo redondeado">
          <a:hlinkClick xmlns:r="http://schemas.openxmlformats.org/officeDocument/2006/relationships" r:id="rId1"/>
          <a:extLst>
            <a:ext uri="{FF2B5EF4-FFF2-40B4-BE49-F238E27FC236}">
              <a16:creationId xmlns="" xmlns:a16="http://schemas.microsoft.com/office/drawing/2014/main" id="{00000000-0008-0000-0C00-000002000000}"/>
            </a:ext>
          </a:extLst>
        </xdr:cNvPr>
        <xdr:cNvSpPr/>
      </xdr:nvSpPr>
      <xdr:spPr>
        <a:xfrm>
          <a:off x="257175" y="161925"/>
          <a:ext cx="1371601" cy="32385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INICIO</a:t>
          </a:r>
        </a:p>
      </xdr:txBody>
    </xdr:sp>
    <xdr:clientData/>
  </xdr:twoCellAnchor>
  <xdr:twoCellAnchor>
    <xdr:from>
      <xdr:col>1</xdr:col>
      <xdr:colOff>1628775</xdr:colOff>
      <xdr:row>0</xdr:row>
      <xdr:rowOff>152400</xdr:rowOff>
    </xdr:from>
    <xdr:to>
      <xdr:col>2</xdr:col>
      <xdr:colOff>590551</xdr:colOff>
      <xdr:row>2</xdr:row>
      <xdr:rowOff>142874</xdr:rowOff>
    </xdr:to>
    <xdr:sp macro="" textlink="">
      <xdr:nvSpPr>
        <xdr:cNvPr id="3" name="2 Rectángulo redondeado">
          <a:hlinkClick xmlns:r="http://schemas.openxmlformats.org/officeDocument/2006/relationships" r:id="rId2"/>
          <a:extLst>
            <a:ext uri="{FF2B5EF4-FFF2-40B4-BE49-F238E27FC236}">
              <a16:creationId xmlns="" xmlns:a16="http://schemas.microsoft.com/office/drawing/2014/main" id="{00000000-0008-0000-0C00-000003000000}"/>
            </a:ext>
          </a:extLst>
        </xdr:cNvPr>
        <xdr:cNvSpPr/>
      </xdr:nvSpPr>
      <xdr:spPr>
        <a:xfrm>
          <a:off x="1885950" y="152400"/>
          <a:ext cx="2009776" cy="314324"/>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Ir</a:t>
          </a:r>
          <a:r>
            <a:rPr lang="es-MX" sz="1400" b="1" baseline="0"/>
            <a:t> a base de datos</a:t>
          </a:r>
          <a:endParaRPr lang="es-MX" sz="1400" b="1"/>
        </a:p>
      </xdr:txBody>
    </xdr:sp>
    <xdr:clientData/>
  </xdr:twoCellAnchor>
  <xdr:twoCellAnchor>
    <xdr:from>
      <xdr:col>2</xdr:col>
      <xdr:colOff>1114425</xdr:colOff>
      <xdr:row>0</xdr:row>
      <xdr:rowOff>142875</xdr:rowOff>
    </xdr:from>
    <xdr:to>
      <xdr:col>4</xdr:col>
      <xdr:colOff>895351</xdr:colOff>
      <xdr:row>2</xdr:row>
      <xdr:rowOff>133349</xdr:rowOff>
    </xdr:to>
    <xdr:sp macro="" textlink="">
      <xdr:nvSpPr>
        <xdr:cNvPr id="4" name="3 Rectángulo redondeado">
          <a:hlinkClick xmlns:r="http://schemas.openxmlformats.org/officeDocument/2006/relationships" r:id="rId3"/>
          <a:extLst>
            <a:ext uri="{FF2B5EF4-FFF2-40B4-BE49-F238E27FC236}">
              <a16:creationId xmlns="" xmlns:a16="http://schemas.microsoft.com/office/drawing/2014/main" id="{00000000-0008-0000-0C00-000004000000}"/>
            </a:ext>
          </a:extLst>
        </xdr:cNvPr>
        <xdr:cNvSpPr/>
      </xdr:nvSpPr>
      <xdr:spPr>
        <a:xfrm>
          <a:off x="4419600" y="142875"/>
          <a:ext cx="2009776" cy="314324"/>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Ir</a:t>
          </a:r>
          <a:r>
            <a:rPr lang="es-MX" sz="1400" b="1" baseline="0"/>
            <a:t> Seguimiento PAA</a:t>
          </a:r>
          <a:endParaRPr lang="es-MX" sz="1400" b="1"/>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xdr:col>
      <xdr:colOff>190500</xdr:colOff>
      <xdr:row>0</xdr:row>
      <xdr:rowOff>187324</xdr:rowOff>
    </xdr:from>
    <xdr:to>
      <xdr:col>2</xdr:col>
      <xdr:colOff>514350</xdr:colOff>
      <xdr:row>1</xdr:row>
      <xdr:rowOff>252941</xdr:rowOff>
    </xdr:to>
    <xdr:sp macro="" textlink="">
      <xdr:nvSpPr>
        <xdr:cNvPr id="2" name="1 Rectángulo redondeado">
          <a:hlinkClick xmlns:r="http://schemas.openxmlformats.org/officeDocument/2006/relationships" r:id="rId1"/>
          <a:extLst>
            <a:ext uri="{FF2B5EF4-FFF2-40B4-BE49-F238E27FC236}">
              <a16:creationId xmlns="" xmlns:a16="http://schemas.microsoft.com/office/drawing/2014/main" id="{00000000-0008-0000-0D00-000002000000}"/>
            </a:ext>
          </a:extLst>
        </xdr:cNvPr>
        <xdr:cNvSpPr/>
      </xdr:nvSpPr>
      <xdr:spPr>
        <a:xfrm>
          <a:off x="349250" y="187324"/>
          <a:ext cx="990600" cy="36195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INICIO</a:t>
          </a:r>
        </a:p>
      </xdr:txBody>
    </xdr:sp>
    <xdr:clientData/>
  </xdr:twoCellAnchor>
  <xdr:twoCellAnchor>
    <xdr:from>
      <xdr:col>2</xdr:col>
      <xdr:colOff>657224</xdr:colOff>
      <xdr:row>0</xdr:row>
      <xdr:rowOff>63500</xdr:rowOff>
    </xdr:from>
    <xdr:to>
      <xdr:col>3</xdr:col>
      <xdr:colOff>1471083</xdr:colOff>
      <xdr:row>1</xdr:row>
      <xdr:rowOff>81491</xdr:rowOff>
    </xdr:to>
    <xdr:sp macro="" textlink="">
      <xdr:nvSpPr>
        <xdr:cNvPr id="3" name="2 Rectángulo redondeado">
          <a:hlinkClick xmlns:r="http://schemas.openxmlformats.org/officeDocument/2006/relationships" r:id="rId2"/>
          <a:extLst>
            <a:ext uri="{FF2B5EF4-FFF2-40B4-BE49-F238E27FC236}">
              <a16:creationId xmlns="" xmlns:a16="http://schemas.microsoft.com/office/drawing/2014/main" id="{00000000-0008-0000-0D00-000003000000}"/>
            </a:ext>
          </a:extLst>
        </xdr:cNvPr>
        <xdr:cNvSpPr/>
      </xdr:nvSpPr>
      <xdr:spPr>
        <a:xfrm>
          <a:off x="1482724" y="63500"/>
          <a:ext cx="2009776" cy="314324"/>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Ir</a:t>
          </a:r>
          <a:r>
            <a:rPr lang="es-MX" sz="1400" b="1" baseline="0"/>
            <a:t> a base de datos</a:t>
          </a:r>
          <a:endParaRPr lang="es-MX" sz="1400" b="1"/>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190500</xdr:colOff>
      <xdr:row>0</xdr:row>
      <xdr:rowOff>187324</xdr:rowOff>
    </xdr:from>
    <xdr:to>
      <xdr:col>3</xdr:col>
      <xdr:colOff>514350</xdr:colOff>
      <xdr:row>1</xdr:row>
      <xdr:rowOff>252941</xdr:rowOff>
    </xdr:to>
    <xdr:sp macro="" textlink="">
      <xdr:nvSpPr>
        <xdr:cNvPr id="2" name="1 Rectángulo redondeado">
          <a:hlinkClick xmlns:r="http://schemas.openxmlformats.org/officeDocument/2006/relationships" r:id="rId1"/>
          <a:extLst>
            <a:ext uri="{FF2B5EF4-FFF2-40B4-BE49-F238E27FC236}">
              <a16:creationId xmlns="" xmlns:a16="http://schemas.microsoft.com/office/drawing/2014/main" id="{00000000-0008-0000-0F00-000002000000}"/>
            </a:ext>
          </a:extLst>
        </xdr:cNvPr>
        <xdr:cNvSpPr/>
      </xdr:nvSpPr>
      <xdr:spPr>
        <a:xfrm>
          <a:off x="352425" y="187324"/>
          <a:ext cx="990600" cy="360892"/>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INICIO</a:t>
          </a:r>
        </a:p>
      </xdr:txBody>
    </xdr:sp>
    <xdr:clientData/>
  </xdr:twoCellAnchor>
  <xdr:twoCellAnchor>
    <xdr:from>
      <xdr:col>3</xdr:col>
      <xdr:colOff>657224</xdr:colOff>
      <xdr:row>0</xdr:row>
      <xdr:rowOff>63500</xdr:rowOff>
    </xdr:from>
    <xdr:to>
      <xdr:col>4</xdr:col>
      <xdr:colOff>1471083</xdr:colOff>
      <xdr:row>1</xdr:row>
      <xdr:rowOff>81491</xdr:rowOff>
    </xdr:to>
    <xdr:sp macro="" textlink="">
      <xdr:nvSpPr>
        <xdr:cNvPr id="3" name="2 Rectángulo redondeado">
          <a:hlinkClick xmlns:r="http://schemas.openxmlformats.org/officeDocument/2006/relationships" r:id="rId2"/>
          <a:extLst>
            <a:ext uri="{FF2B5EF4-FFF2-40B4-BE49-F238E27FC236}">
              <a16:creationId xmlns="" xmlns:a16="http://schemas.microsoft.com/office/drawing/2014/main" id="{00000000-0008-0000-0F00-000003000000}"/>
            </a:ext>
          </a:extLst>
        </xdr:cNvPr>
        <xdr:cNvSpPr/>
      </xdr:nvSpPr>
      <xdr:spPr>
        <a:xfrm>
          <a:off x="1485899" y="63500"/>
          <a:ext cx="2014009" cy="313266"/>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Ir</a:t>
          </a:r>
          <a:r>
            <a:rPr lang="es-MX" sz="1400" b="1" baseline="0"/>
            <a:t> a base de datos</a:t>
          </a:r>
          <a:endParaRPr lang="es-MX" sz="1400" b="1"/>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1</xdr:col>
      <xdr:colOff>190500</xdr:colOff>
      <xdr:row>0</xdr:row>
      <xdr:rowOff>187324</xdr:rowOff>
    </xdr:from>
    <xdr:to>
      <xdr:col>2</xdr:col>
      <xdr:colOff>514350</xdr:colOff>
      <xdr:row>1</xdr:row>
      <xdr:rowOff>252941</xdr:rowOff>
    </xdr:to>
    <xdr:sp macro="" textlink="">
      <xdr:nvSpPr>
        <xdr:cNvPr id="2" name="1 Rectángulo redondeado">
          <a:hlinkClick xmlns:r="http://schemas.openxmlformats.org/officeDocument/2006/relationships" r:id="rId1"/>
          <a:extLst>
            <a:ext uri="{FF2B5EF4-FFF2-40B4-BE49-F238E27FC236}">
              <a16:creationId xmlns="" xmlns:a16="http://schemas.microsoft.com/office/drawing/2014/main" id="{00000000-0008-0000-1000-000002000000}"/>
            </a:ext>
          </a:extLst>
        </xdr:cNvPr>
        <xdr:cNvSpPr/>
      </xdr:nvSpPr>
      <xdr:spPr>
        <a:xfrm>
          <a:off x="352425" y="187324"/>
          <a:ext cx="990600" cy="360892"/>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INICIO</a:t>
          </a:r>
        </a:p>
      </xdr:txBody>
    </xdr:sp>
    <xdr:clientData/>
  </xdr:twoCellAnchor>
  <xdr:twoCellAnchor>
    <xdr:from>
      <xdr:col>2</xdr:col>
      <xdr:colOff>657224</xdr:colOff>
      <xdr:row>0</xdr:row>
      <xdr:rowOff>63500</xdr:rowOff>
    </xdr:from>
    <xdr:to>
      <xdr:col>3</xdr:col>
      <xdr:colOff>1471083</xdr:colOff>
      <xdr:row>1</xdr:row>
      <xdr:rowOff>81491</xdr:rowOff>
    </xdr:to>
    <xdr:sp macro="" textlink="">
      <xdr:nvSpPr>
        <xdr:cNvPr id="3" name="2 Rectángulo redondeado">
          <a:hlinkClick xmlns:r="http://schemas.openxmlformats.org/officeDocument/2006/relationships" r:id="rId2"/>
          <a:extLst>
            <a:ext uri="{FF2B5EF4-FFF2-40B4-BE49-F238E27FC236}">
              <a16:creationId xmlns="" xmlns:a16="http://schemas.microsoft.com/office/drawing/2014/main" id="{00000000-0008-0000-1000-000003000000}"/>
            </a:ext>
          </a:extLst>
        </xdr:cNvPr>
        <xdr:cNvSpPr/>
      </xdr:nvSpPr>
      <xdr:spPr>
        <a:xfrm>
          <a:off x="1485899" y="63500"/>
          <a:ext cx="2014009" cy="313266"/>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Ir</a:t>
          </a:r>
          <a:r>
            <a:rPr lang="es-MX" sz="1400" b="1" baseline="0"/>
            <a:t> a base de datos</a:t>
          </a:r>
          <a:endParaRPr lang="es-MX" sz="1400" b="1"/>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1</xdr:col>
      <xdr:colOff>190500</xdr:colOff>
      <xdr:row>0</xdr:row>
      <xdr:rowOff>187324</xdr:rowOff>
    </xdr:from>
    <xdr:to>
      <xdr:col>2</xdr:col>
      <xdr:colOff>514350</xdr:colOff>
      <xdr:row>1</xdr:row>
      <xdr:rowOff>252941</xdr:rowOff>
    </xdr:to>
    <xdr:sp macro="" textlink="">
      <xdr:nvSpPr>
        <xdr:cNvPr id="2" name="1 Rectángulo redondeado">
          <a:hlinkClick xmlns:r="http://schemas.openxmlformats.org/officeDocument/2006/relationships" r:id="rId1"/>
          <a:extLst>
            <a:ext uri="{FF2B5EF4-FFF2-40B4-BE49-F238E27FC236}">
              <a16:creationId xmlns="" xmlns:a16="http://schemas.microsoft.com/office/drawing/2014/main" id="{00000000-0008-0000-1100-000002000000}"/>
            </a:ext>
          </a:extLst>
        </xdr:cNvPr>
        <xdr:cNvSpPr/>
      </xdr:nvSpPr>
      <xdr:spPr>
        <a:xfrm>
          <a:off x="352425" y="187324"/>
          <a:ext cx="990600" cy="360892"/>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INICIO</a:t>
          </a:r>
        </a:p>
      </xdr:txBody>
    </xdr:sp>
    <xdr:clientData/>
  </xdr:twoCellAnchor>
  <xdr:twoCellAnchor>
    <xdr:from>
      <xdr:col>2</xdr:col>
      <xdr:colOff>657224</xdr:colOff>
      <xdr:row>0</xdr:row>
      <xdr:rowOff>63500</xdr:rowOff>
    </xdr:from>
    <xdr:to>
      <xdr:col>3</xdr:col>
      <xdr:colOff>1471083</xdr:colOff>
      <xdr:row>1</xdr:row>
      <xdr:rowOff>81491</xdr:rowOff>
    </xdr:to>
    <xdr:sp macro="" textlink="">
      <xdr:nvSpPr>
        <xdr:cNvPr id="3" name="2 Rectángulo redondeado">
          <a:hlinkClick xmlns:r="http://schemas.openxmlformats.org/officeDocument/2006/relationships" r:id="rId2"/>
          <a:extLst>
            <a:ext uri="{FF2B5EF4-FFF2-40B4-BE49-F238E27FC236}">
              <a16:creationId xmlns="" xmlns:a16="http://schemas.microsoft.com/office/drawing/2014/main" id="{00000000-0008-0000-1100-000003000000}"/>
            </a:ext>
          </a:extLst>
        </xdr:cNvPr>
        <xdr:cNvSpPr/>
      </xdr:nvSpPr>
      <xdr:spPr>
        <a:xfrm>
          <a:off x="1485899" y="63500"/>
          <a:ext cx="2014009" cy="313266"/>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Ir</a:t>
          </a:r>
          <a:r>
            <a:rPr lang="es-MX" sz="1400" b="1" baseline="0"/>
            <a:t> a base de datos</a:t>
          </a:r>
          <a:endParaRPr lang="es-MX" sz="1400" b="1"/>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85725</xdr:colOff>
      <xdr:row>0</xdr:row>
      <xdr:rowOff>95250</xdr:rowOff>
    </xdr:from>
    <xdr:to>
      <xdr:col>0</xdr:col>
      <xdr:colOff>1171575</xdr:colOff>
      <xdr:row>2</xdr:row>
      <xdr:rowOff>123825</xdr:rowOff>
    </xdr:to>
    <xdr:sp macro="" textlink="">
      <xdr:nvSpPr>
        <xdr:cNvPr id="2" name="1 Rectángulo redondeado">
          <a:hlinkClick xmlns:r="http://schemas.openxmlformats.org/officeDocument/2006/relationships" r:id="rId1"/>
          <a:extLst>
            <a:ext uri="{FF2B5EF4-FFF2-40B4-BE49-F238E27FC236}">
              <a16:creationId xmlns="" xmlns:a16="http://schemas.microsoft.com/office/drawing/2014/main" id="{00000000-0008-0000-0100-000002000000}"/>
            </a:ext>
          </a:extLst>
        </xdr:cNvPr>
        <xdr:cNvSpPr/>
      </xdr:nvSpPr>
      <xdr:spPr>
        <a:xfrm>
          <a:off x="85725" y="95250"/>
          <a:ext cx="1085850" cy="40957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INICIO</a:t>
          </a:r>
        </a:p>
      </xdr:txBody>
    </xdr:sp>
    <xdr:clientData/>
  </xdr:twoCellAnchor>
  <xdr:twoCellAnchor>
    <xdr:from>
      <xdr:col>3</xdr:col>
      <xdr:colOff>200025</xdr:colOff>
      <xdr:row>0</xdr:row>
      <xdr:rowOff>104775</xdr:rowOff>
    </xdr:from>
    <xdr:to>
      <xdr:col>5</xdr:col>
      <xdr:colOff>609601</xdr:colOff>
      <xdr:row>2</xdr:row>
      <xdr:rowOff>38099</xdr:rowOff>
    </xdr:to>
    <xdr:sp macro="" textlink="">
      <xdr:nvSpPr>
        <xdr:cNvPr id="3" name="2 Rectángulo redondeado">
          <a:hlinkClick xmlns:r="http://schemas.openxmlformats.org/officeDocument/2006/relationships" r:id="rId2"/>
          <a:extLst>
            <a:ext uri="{FF2B5EF4-FFF2-40B4-BE49-F238E27FC236}">
              <a16:creationId xmlns="" xmlns:a16="http://schemas.microsoft.com/office/drawing/2014/main" id="{00000000-0008-0000-0100-000003000000}"/>
            </a:ext>
          </a:extLst>
        </xdr:cNvPr>
        <xdr:cNvSpPr/>
      </xdr:nvSpPr>
      <xdr:spPr>
        <a:xfrm>
          <a:off x="6934200" y="104775"/>
          <a:ext cx="2009776" cy="314324"/>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Ir</a:t>
          </a:r>
          <a:r>
            <a:rPr lang="es-MX" sz="1400" b="1" baseline="0"/>
            <a:t> a base de datos</a:t>
          </a:r>
          <a:endParaRPr lang="es-MX" sz="1400" b="1"/>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104775</xdr:colOff>
      <xdr:row>0</xdr:row>
      <xdr:rowOff>142875</xdr:rowOff>
    </xdr:from>
    <xdr:to>
      <xdr:col>0</xdr:col>
      <xdr:colOff>1190625</xdr:colOff>
      <xdr:row>2</xdr:row>
      <xdr:rowOff>171450</xdr:rowOff>
    </xdr:to>
    <xdr:sp macro="" textlink="">
      <xdr:nvSpPr>
        <xdr:cNvPr id="2" name="1 Rectángulo redondeado">
          <a:hlinkClick xmlns:r="http://schemas.openxmlformats.org/officeDocument/2006/relationships" r:id="rId1"/>
          <a:extLst>
            <a:ext uri="{FF2B5EF4-FFF2-40B4-BE49-F238E27FC236}">
              <a16:creationId xmlns="" xmlns:a16="http://schemas.microsoft.com/office/drawing/2014/main" id="{00000000-0008-0000-0200-000002000000}"/>
            </a:ext>
          </a:extLst>
        </xdr:cNvPr>
        <xdr:cNvSpPr/>
      </xdr:nvSpPr>
      <xdr:spPr>
        <a:xfrm>
          <a:off x="104775" y="142875"/>
          <a:ext cx="1085850" cy="40957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INICIO</a:t>
          </a:r>
        </a:p>
      </xdr:txBody>
    </xdr:sp>
    <xdr:clientData/>
  </xdr:twoCellAnchor>
  <xdr:twoCellAnchor>
    <xdr:from>
      <xdr:col>3</xdr:col>
      <xdr:colOff>962025</xdr:colOff>
      <xdr:row>0</xdr:row>
      <xdr:rowOff>104775</xdr:rowOff>
    </xdr:from>
    <xdr:to>
      <xdr:col>5</xdr:col>
      <xdr:colOff>733426</xdr:colOff>
      <xdr:row>2</xdr:row>
      <xdr:rowOff>38099</xdr:rowOff>
    </xdr:to>
    <xdr:sp macro="" textlink="">
      <xdr:nvSpPr>
        <xdr:cNvPr id="3" name="2 Rectángulo redondeado">
          <a:hlinkClick xmlns:r="http://schemas.openxmlformats.org/officeDocument/2006/relationships" r:id="rId2"/>
          <a:extLst>
            <a:ext uri="{FF2B5EF4-FFF2-40B4-BE49-F238E27FC236}">
              <a16:creationId xmlns="" xmlns:a16="http://schemas.microsoft.com/office/drawing/2014/main" id="{00000000-0008-0000-0200-000003000000}"/>
            </a:ext>
          </a:extLst>
        </xdr:cNvPr>
        <xdr:cNvSpPr/>
      </xdr:nvSpPr>
      <xdr:spPr>
        <a:xfrm>
          <a:off x="6305550" y="104775"/>
          <a:ext cx="1676401" cy="219074"/>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Ir</a:t>
          </a:r>
          <a:r>
            <a:rPr lang="es-MX" sz="1400" b="1" baseline="0"/>
            <a:t> a base de datos</a:t>
          </a:r>
          <a:endParaRPr lang="es-MX" sz="1400" b="1"/>
        </a:p>
      </xdr:txBody>
    </xdr:sp>
    <xdr:clientData/>
  </xdr:twoCellAnchor>
  <xdr:twoCellAnchor editAs="oneCell">
    <xdr:from>
      <xdr:col>4</xdr:col>
      <xdr:colOff>647700</xdr:colOff>
      <xdr:row>2</xdr:row>
      <xdr:rowOff>142874</xdr:rowOff>
    </xdr:from>
    <xdr:to>
      <xdr:col>5</xdr:col>
      <xdr:colOff>819149</xdr:colOff>
      <xdr:row>12</xdr:row>
      <xdr:rowOff>66674</xdr:rowOff>
    </xdr:to>
    <mc:AlternateContent xmlns:mc="http://schemas.openxmlformats.org/markup-compatibility/2006" xmlns:a14="http://schemas.microsoft.com/office/drawing/2010/main">
      <mc:Choice Requires="a14">
        <xdr:graphicFrame macro="">
          <xdr:nvGraphicFramePr>
            <xdr:cNvPr id="4" name="% Ejecución recursos">
              <a:extLst>
                <a:ext uri="{FF2B5EF4-FFF2-40B4-BE49-F238E27FC236}">
                  <a16:creationId xmlns="" xmlns:a16="http://schemas.microsoft.com/office/drawing/2014/main" id="{00000000-0008-0000-0200-000004000000}"/>
                </a:ext>
              </a:extLst>
            </xdr:cNvPr>
            <xdr:cNvGraphicFramePr/>
          </xdr:nvGraphicFramePr>
          <xdr:xfrm>
            <a:off x="0" y="0"/>
            <a:ext cx="0" cy="0"/>
          </xdr:xfrm>
          <a:graphic>
            <a:graphicData uri="http://schemas.microsoft.com/office/drawing/2010/slicer">
              <sle:slicer xmlns:sle="http://schemas.microsoft.com/office/drawing/2010/slicer" name="% Ejecución recursos"/>
            </a:graphicData>
          </a:graphic>
        </xdr:graphicFrame>
      </mc:Choice>
      <mc:Fallback xmlns="">
        <xdr:sp macro="" textlink="">
          <xdr:nvSpPr>
            <xdr:cNvPr id="0" name=""/>
            <xdr:cNvSpPr>
              <a:spLocks noTextEdit="1"/>
            </xdr:cNvSpPr>
          </xdr:nvSpPr>
          <xdr:spPr>
            <a:xfrm>
              <a:off x="6962775" y="428624"/>
              <a:ext cx="1104899" cy="1533525"/>
            </a:xfrm>
            <a:prstGeom prst="rect">
              <a:avLst/>
            </a:prstGeom>
            <a:solidFill>
              <a:prstClr val="white"/>
            </a:solidFill>
            <a:ln w="1">
              <a:solidFill>
                <a:prstClr val="green"/>
              </a:solidFill>
            </a:ln>
          </xdr:spPr>
          <xdr:txBody>
            <a:bodyPr vertOverflow="clip" horzOverflow="clip"/>
            <a:lstStyle/>
            <a:p>
              <a:r>
                <a:rPr lang="es-MX" sz="1100"/>
                <a:t>Esta forma representa una segmentación de datos. La segmentación de datos se puede usar al menos en Excel 2010.
Si la forma se modificó en una versión anterior de Excel, o si el libro se guardó en Excel 2003 o anterior, no se puede usar la segmentaciones de datos.</a:t>
              </a:r>
            </a:p>
          </xdr:txBody>
        </xdr:sp>
      </mc:Fallback>
    </mc:AlternateContent>
    <xdr:clientData/>
  </xdr:twoCellAnchor>
</xdr:wsDr>
</file>

<file path=xl/drawings/drawing4.xml><?xml version="1.0" encoding="utf-8"?>
<xdr:wsDr xmlns:xdr="http://schemas.openxmlformats.org/drawingml/2006/spreadsheetDrawing" xmlns:a="http://schemas.openxmlformats.org/drawingml/2006/main">
  <xdr:twoCellAnchor>
    <xdr:from>
      <xdr:col>0</xdr:col>
      <xdr:colOff>95250</xdr:colOff>
      <xdr:row>0</xdr:row>
      <xdr:rowOff>133350</xdr:rowOff>
    </xdr:from>
    <xdr:to>
      <xdr:col>0</xdr:col>
      <xdr:colOff>1181100</xdr:colOff>
      <xdr:row>2</xdr:row>
      <xdr:rowOff>38100</xdr:rowOff>
    </xdr:to>
    <xdr:sp macro="" textlink="">
      <xdr:nvSpPr>
        <xdr:cNvPr id="2" name="1 Rectángulo redondeado">
          <a:hlinkClick xmlns:r="http://schemas.openxmlformats.org/officeDocument/2006/relationships" r:id="rId1"/>
          <a:extLst>
            <a:ext uri="{FF2B5EF4-FFF2-40B4-BE49-F238E27FC236}">
              <a16:creationId xmlns="" xmlns:a16="http://schemas.microsoft.com/office/drawing/2014/main" id="{00000000-0008-0000-0300-000002000000}"/>
            </a:ext>
          </a:extLst>
        </xdr:cNvPr>
        <xdr:cNvSpPr/>
      </xdr:nvSpPr>
      <xdr:spPr>
        <a:xfrm>
          <a:off x="95250" y="133350"/>
          <a:ext cx="1085850" cy="28575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INICIO</a:t>
          </a:r>
        </a:p>
      </xdr:txBody>
    </xdr:sp>
    <xdr:clientData/>
  </xdr:twoCellAnchor>
  <xdr:twoCellAnchor>
    <xdr:from>
      <xdr:col>1</xdr:col>
      <xdr:colOff>752475</xdr:colOff>
      <xdr:row>0</xdr:row>
      <xdr:rowOff>152400</xdr:rowOff>
    </xdr:from>
    <xdr:to>
      <xdr:col>3</xdr:col>
      <xdr:colOff>666751</xdr:colOff>
      <xdr:row>1</xdr:row>
      <xdr:rowOff>180974</xdr:rowOff>
    </xdr:to>
    <xdr:sp macro="" textlink="">
      <xdr:nvSpPr>
        <xdr:cNvPr id="3" name="2 Rectángulo redondeado">
          <a:hlinkClick xmlns:r="http://schemas.openxmlformats.org/officeDocument/2006/relationships" r:id="rId2"/>
          <a:extLst>
            <a:ext uri="{FF2B5EF4-FFF2-40B4-BE49-F238E27FC236}">
              <a16:creationId xmlns="" xmlns:a16="http://schemas.microsoft.com/office/drawing/2014/main" id="{00000000-0008-0000-0300-000003000000}"/>
            </a:ext>
          </a:extLst>
        </xdr:cNvPr>
        <xdr:cNvSpPr/>
      </xdr:nvSpPr>
      <xdr:spPr>
        <a:xfrm>
          <a:off x="5095875" y="152400"/>
          <a:ext cx="1676401" cy="219074"/>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Ir</a:t>
          </a:r>
          <a:r>
            <a:rPr lang="es-MX" sz="1400" b="1" baseline="0"/>
            <a:t> a base de datos</a:t>
          </a:r>
          <a:endParaRPr lang="es-MX" sz="1400" b="1"/>
        </a:p>
      </xdr:txBody>
    </xdr:sp>
    <xdr:clientData/>
  </xdr:twoCellAnchor>
  <xdr:twoCellAnchor editAs="oneCell">
    <xdr:from>
      <xdr:col>2</xdr:col>
      <xdr:colOff>38101</xdr:colOff>
      <xdr:row>2</xdr:row>
      <xdr:rowOff>38100</xdr:rowOff>
    </xdr:from>
    <xdr:to>
      <xdr:col>3</xdr:col>
      <xdr:colOff>114301</xdr:colOff>
      <xdr:row>9</xdr:row>
      <xdr:rowOff>123825</xdr:rowOff>
    </xdr:to>
    <mc:AlternateContent xmlns:mc="http://schemas.openxmlformats.org/markup-compatibility/2006" xmlns:a14="http://schemas.microsoft.com/office/drawing/2010/main">
      <mc:Choice Requires="a14">
        <xdr:graphicFrame macro="">
          <xdr:nvGraphicFramePr>
            <xdr:cNvPr id="4" name="% Ejecución recursos 1">
              <a:extLst>
                <a:ext uri="{FF2B5EF4-FFF2-40B4-BE49-F238E27FC236}">
                  <a16:creationId xmlns="" xmlns:a16="http://schemas.microsoft.com/office/drawing/2014/main" id="{00000000-0008-0000-0300-000004000000}"/>
                </a:ext>
              </a:extLst>
            </xdr:cNvPr>
            <xdr:cNvGraphicFramePr/>
          </xdr:nvGraphicFramePr>
          <xdr:xfrm>
            <a:off x="0" y="0"/>
            <a:ext cx="0" cy="0"/>
          </xdr:xfrm>
          <a:graphic>
            <a:graphicData uri="http://schemas.microsoft.com/office/drawing/2010/slicer">
              <sle:slicer xmlns:sle="http://schemas.microsoft.com/office/drawing/2010/slicer" name="% Ejecución recursos 1"/>
            </a:graphicData>
          </a:graphic>
        </xdr:graphicFrame>
      </mc:Choice>
      <mc:Fallback xmlns="">
        <xdr:sp macro="" textlink="">
          <xdr:nvSpPr>
            <xdr:cNvPr id="0" name=""/>
            <xdr:cNvSpPr>
              <a:spLocks noTextEdit="1"/>
            </xdr:cNvSpPr>
          </xdr:nvSpPr>
          <xdr:spPr>
            <a:xfrm>
              <a:off x="5381626" y="419100"/>
              <a:ext cx="838200" cy="1419225"/>
            </a:xfrm>
            <a:prstGeom prst="rect">
              <a:avLst/>
            </a:prstGeom>
            <a:solidFill>
              <a:prstClr val="white"/>
            </a:solidFill>
            <a:ln w="1">
              <a:solidFill>
                <a:prstClr val="green"/>
              </a:solidFill>
            </a:ln>
          </xdr:spPr>
          <xdr:txBody>
            <a:bodyPr vertOverflow="clip" horzOverflow="clip"/>
            <a:lstStyle/>
            <a:p>
              <a:r>
                <a:rPr lang="es-MX" sz="1100"/>
                <a:t>Esta forma representa una segmentación de datos. La segmentación de datos se puede usar al menos en Excel 2010.
Si la forma se modificó en una versión anterior de Excel, o si el libro se guardó en Excel 2003 o anterior, no se puede usar la segmentaciones de datos.</a:t>
              </a:r>
            </a:p>
          </xdr:txBody>
        </xdr:sp>
      </mc:Fallback>
    </mc:AlternateContent>
    <xdr:clientData/>
  </xdr:twoCellAnchor>
  <xdr:twoCellAnchor editAs="oneCell">
    <xdr:from>
      <xdr:col>3</xdr:col>
      <xdr:colOff>247650</xdr:colOff>
      <xdr:row>2</xdr:row>
      <xdr:rowOff>47625</xdr:rowOff>
    </xdr:from>
    <xdr:to>
      <xdr:col>4</xdr:col>
      <xdr:colOff>495300</xdr:colOff>
      <xdr:row>9</xdr:row>
      <xdr:rowOff>133350</xdr:rowOff>
    </xdr:to>
    <mc:AlternateContent xmlns:mc="http://schemas.openxmlformats.org/markup-compatibility/2006" xmlns:a14="http://schemas.microsoft.com/office/drawing/2010/main">
      <mc:Choice Requires="a14">
        <xdr:graphicFrame macro="">
          <xdr:nvGraphicFramePr>
            <xdr:cNvPr id="6" name="% Ejecución física">
              <a:extLst>
                <a:ext uri="{FF2B5EF4-FFF2-40B4-BE49-F238E27FC236}">
                  <a16:creationId xmlns="" xmlns:a16="http://schemas.microsoft.com/office/drawing/2014/main" id="{00000000-0008-0000-0300-000006000000}"/>
                </a:ext>
              </a:extLst>
            </xdr:cNvPr>
            <xdr:cNvGraphicFramePr/>
          </xdr:nvGraphicFramePr>
          <xdr:xfrm>
            <a:off x="0" y="0"/>
            <a:ext cx="0" cy="0"/>
          </xdr:xfrm>
          <a:graphic>
            <a:graphicData uri="http://schemas.microsoft.com/office/drawing/2010/slicer">
              <sle:slicer xmlns:sle="http://schemas.microsoft.com/office/drawing/2010/slicer" name="% Ejecución física"/>
            </a:graphicData>
          </a:graphic>
        </xdr:graphicFrame>
      </mc:Choice>
      <mc:Fallback xmlns="">
        <xdr:sp macro="" textlink="">
          <xdr:nvSpPr>
            <xdr:cNvPr id="0" name=""/>
            <xdr:cNvSpPr>
              <a:spLocks noTextEdit="1"/>
            </xdr:cNvSpPr>
          </xdr:nvSpPr>
          <xdr:spPr>
            <a:xfrm>
              <a:off x="6353175" y="428625"/>
              <a:ext cx="1009650" cy="1419225"/>
            </a:xfrm>
            <a:prstGeom prst="rect">
              <a:avLst/>
            </a:prstGeom>
            <a:solidFill>
              <a:prstClr val="white"/>
            </a:solidFill>
            <a:ln w="1">
              <a:solidFill>
                <a:prstClr val="green"/>
              </a:solidFill>
            </a:ln>
          </xdr:spPr>
          <xdr:txBody>
            <a:bodyPr vertOverflow="clip" horzOverflow="clip"/>
            <a:lstStyle/>
            <a:p>
              <a:r>
                <a:rPr lang="es-MX" sz="1100"/>
                <a:t>Esta forma representa una segmentación de datos. La segmentación de datos se puede usar al menos en Excel 2010.
Si la forma se modificó en una versión anterior de Excel, o si el libro se guardó en Excel 2003 o anterior, no se puede usar la segmentaciones de datos.</a:t>
              </a:r>
            </a:p>
          </xdr:txBody>
        </xdr:sp>
      </mc:Fallback>
    </mc:AlternateContent>
    <xdr:clientData/>
  </xdr:twoCellAnchor>
</xdr:wsDr>
</file>

<file path=xl/drawings/drawing5.xml><?xml version="1.0" encoding="utf-8"?>
<xdr:wsDr xmlns:xdr="http://schemas.openxmlformats.org/drawingml/2006/spreadsheetDrawing" xmlns:a="http://schemas.openxmlformats.org/drawingml/2006/main">
  <xdr:twoCellAnchor>
    <xdr:from>
      <xdr:col>0</xdr:col>
      <xdr:colOff>66675</xdr:colOff>
      <xdr:row>0</xdr:row>
      <xdr:rowOff>66675</xdr:rowOff>
    </xdr:from>
    <xdr:to>
      <xdr:col>4</xdr:col>
      <xdr:colOff>714376</xdr:colOff>
      <xdr:row>1</xdr:row>
      <xdr:rowOff>190500</xdr:rowOff>
    </xdr:to>
    <xdr:sp macro="" textlink="">
      <xdr:nvSpPr>
        <xdr:cNvPr id="2" name="1 Rectángulo redondeado">
          <a:hlinkClick xmlns:r="http://schemas.openxmlformats.org/officeDocument/2006/relationships" r:id="rId1"/>
          <a:extLst>
            <a:ext uri="{FF2B5EF4-FFF2-40B4-BE49-F238E27FC236}">
              <a16:creationId xmlns="" xmlns:a16="http://schemas.microsoft.com/office/drawing/2014/main" id="{00000000-0008-0000-0400-000002000000}"/>
            </a:ext>
          </a:extLst>
        </xdr:cNvPr>
        <xdr:cNvSpPr/>
      </xdr:nvSpPr>
      <xdr:spPr>
        <a:xfrm>
          <a:off x="66675" y="66675"/>
          <a:ext cx="1009651" cy="32385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INICIO</a:t>
          </a:r>
        </a:p>
      </xdr:txBody>
    </xdr:sp>
    <xdr:clientData/>
  </xdr:twoCellAnchor>
  <xdr:twoCellAnchor>
    <xdr:from>
      <xdr:col>4</xdr:col>
      <xdr:colOff>838199</xdr:colOff>
      <xdr:row>0</xdr:row>
      <xdr:rowOff>76201</xdr:rowOff>
    </xdr:from>
    <xdr:to>
      <xdr:col>5</xdr:col>
      <xdr:colOff>1733550</xdr:colOff>
      <xdr:row>1</xdr:row>
      <xdr:rowOff>95250</xdr:rowOff>
    </xdr:to>
    <xdr:sp macro="" textlink="">
      <xdr:nvSpPr>
        <xdr:cNvPr id="3" name="2 Rectángulo redondeado">
          <a:hlinkClick xmlns:r="http://schemas.openxmlformats.org/officeDocument/2006/relationships" r:id="rId2"/>
          <a:extLst>
            <a:ext uri="{FF2B5EF4-FFF2-40B4-BE49-F238E27FC236}">
              <a16:creationId xmlns="" xmlns:a16="http://schemas.microsoft.com/office/drawing/2014/main" id="{00000000-0008-0000-0400-000003000000}"/>
            </a:ext>
          </a:extLst>
        </xdr:cNvPr>
        <xdr:cNvSpPr/>
      </xdr:nvSpPr>
      <xdr:spPr>
        <a:xfrm>
          <a:off x="1200149" y="76201"/>
          <a:ext cx="2124076" cy="219074"/>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s-MX" sz="1000" b="1"/>
            <a:t>Ir a modificaciones y actualizaciones</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3</xdr:col>
      <xdr:colOff>74084</xdr:colOff>
      <xdr:row>2</xdr:row>
      <xdr:rowOff>66675</xdr:rowOff>
    </xdr:from>
    <xdr:to>
      <xdr:col>5</xdr:col>
      <xdr:colOff>423326</xdr:colOff>
      <xdr:row>8</xdr:row>
      <xdr:rowOff>66675</xdr:rowOff>
    </xdr:to>
    <xdr:pic>
      <xdr:nvPicPr>
        <xdr:cNvPr id="2" name="Picture 1" descr="manual01">
          <a:extLst>
            <a:ext uri="{FF2B5EF4-FFF2-40B4-BE49-F238E27FC236}">
              <a16:creationId xmlns=""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cstate="print">
          <a:lum bright="10000" contrast="4000"/>
          <a:extLst>
            <a:ext uri="{28A0092B-C50C-407E-A947-70E740481C1C}">
              <a14:useLocalDpi xmlns:a14="http://schemas.microsoft.com/office/drawing/2010/main" val="0"/>
            </a:ext>
          </a:extLst>
        </a:blip>
        <a:srcRect/>
        <a:stretch>
          <a:fillRect/>
        </a:stretch>
      </xdr:blipFill>
      <xdr:spPr bwMode="auto">
        <a:xfrm>
          <a:off x="769409" y="447675"/>
          <a:ext cx="977892"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95247</xdr:colOff>
      <xdr:row>0</xdr:row>
      <xdr:rowOff>137585</xdr:rowOff>
    </xdr:from>
    <xdr:to>
      <xdr:col>3</xdr:col>
      <xdr:colOff>342898</xdr:colOff>
      <xdr:row>2</xdr:row>
      <xdr:rowOff>31740</xdr:rowOff>
    </xdr:to>
    <xdr:sp macro="" textlink="">
      <xdr:nvSpPr>
        <xdr:cNvPr id="3" name="2 Rectángulo redondeado">
          <a:hlinkClick xmlns:r="http://schemas.openxmlformats.org/officeDocument/2006/relationships" r:id="rId2"/>
          <a:extLst>
            <a:ext uri="{FF2B5EF4-FFF2-40B4-BE49-F238E27FC236}">
              <a16:creationId xmlns="" xmlns:a16="http://schemas.microsoft.com/office/drawing/2014/main" id="{00000000-0008-0000-0600-000003000000}"/>
            </a:ext>
          </a:extLst>
        </xdr:cNvPr>
        <xdr:cNvSpPr/>
      </xdr:nvSpPr>
      <xdr:spPr>
        <a:xfrm>
          <a:off x="95247" y="137585"/>
          <a:ext cx="942976" cy="360880"/>
        </a:xfrm>
        <a:prstGeom prst="roundRect">
          <a:avLst/>
        </a:prstGeom>
        <a:solidFill>
          <a:schemeClr val="accent1">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INICIO</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104775</xdr:colOff>
      <xdr:row>0</xdr:row>
      <xdr:rowOff>180975</xdr:rowOff>
    </xdr:from>
    <xdr:to>
      <xdr:col>1</xdr:col>
      <xdr:colOff>790575</xdr:colOff>
      <xdr:row>2</xdr:row>
      <xdr:rowOff>47625</xdr:rowOff>
    </xdr:to>
    <xdr:sp macro="" textlink="">
      <xdr:nvSpPr>
        <xdr:cNvPr id="2" name="1 Rectángulo redondeado">
          <a:hlinkClick xmlns:r="http://schemas.openxmlformats.org/officeDocument/2006/relationships" r:id="rId1"/>
          <a:extLst>
            <a:ext uri="{FF2B5EF4-FFF2-40B4-BE49-F238E27FC236}">
              <a16:creationId xmlns="" xmlns:a16="http://schemas.microsoft.com/office/drawing/2014/main" id="{00000000-0008-0000-0700-000002000000}"/>
            </a:ext>
          </a:extLst>
        </xdr:cNvPr>
        <xdr:cNvSpPr/>
      </xdr:nvSpPr>
      <xdr:spPr>
        <a:xfrm>
          <a:off x="104775" y="180975"/>
          <a:ext cx="990600" cy="32385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INICIO</a:t>
          </a:r>
        </a:p>
      </xdr:txBody>
    </xdr:sp>
    <xdr:clientData/>
  </xdr:twoCellAnchor>
  <xdr:twoCellAnchor>
    <xdr:from>
      <xdr:col>1</xdr:col>
      <xdr:colOff>933449</xdr:colOff>
      <xdr:row>0</xdr:row>
      <xdr:rowOff>57151</xdr:rowOff>
    </xdr:from>
    <xdr:to>
      <xdr:col>2</xdr:col>
      <xdr:colOff>1771650</xdr:colOff>
      <xdr:row>1</xdr:row>
      <xdr:rowOff>171450</xdr:rowOff>
    </xdr:to>
    <xdr:sp macro="" textlink="">
      <xdr:nvSpPr>
        <xdr:cNvPr id="3" name="2 Rectángulo redondeado">
          <a:hlinkClick xmlns:r="http://schemas.openxmlformats.org/officeDocument/2006/relationships" r:id="rId2"/>
          <a:extLst>
            <a:ext uri="{FF2B5EF4-FFF2-40B4-BE49-F238E27FC236}">
              <a16:creationId xmlns="" xmlns:a16="http://schemas.microsoft.com/office/drawing/2014/main" id="{00000000-0008-0000-0700-000003000000}"/>
            </a:ext>
          </a:extLst>
        </xdr:cNvPr>
        <xdr:cNvSpPr/>
      </xdr:nvSpPr>
      <xdr:spPr>
        <a:xfrm>
          <a:off x="1238249" y="57151"/>
          <a:ext cx="2009776" cy="304799"/>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Ir</a:t>
          </a:r>
          <a:r>
            <a:rPr lang="es-MX" sz="1400" b="1" baseline="0"/>
            <a:t> a base de datos</a:t>
          </a:r>
          <a:endParaRPr lang="es-MX" sz="1400" b="1"/>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180974</xdr:colOff>
      <xdr:row>14</xdr:row>
      <xdr:rowOff>85725</xdr:rowOff>
    </xdr:from>
    <xdr:to>
      <xdr:col>13</xdr:col>
      <xdr:colOff>752475</xdr:colOff>
      <xdr:row>37</xdr:row>
      <xdr:rowOff>0</xdr:rowOff>
    </xdr:to>
    <xdr:graphicFrame macro="">
      <xdr:nvGraphicFramePr>
        <xdr:cNvPr id="2" name="1 Gráfico">
          <a:extLst>
            <a:ext uri="{FF2B5EF4-FFF2-40B4-BE49-F238E27FC236}">
              <a16:creationId xmlns="" xmlns:a16="http://schemas.microsoft.com/office/drawing/2014/main" id="{00000000-0008-0000-08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190500</xdr:colOff>
      <xdr:row>0</xdr:row>
      <xdr:rowOff>95250</xdr:rowOff>
    </xdr:from>
    <xdr:to>
      <xdr:col>0</xdr:col>
      <xdr:colOff>1276350</xdr:colOff>
      <xdr:row>1</xdr:row>
      <xdr:rowOff>190500</xdr:rowOff>
    </xdr:to>
    <xdr:sp macro="" textlink="">
      <xdr:nvSpPr>
        <xdr:cNvPr id="3" name="2 Rectángulo redondeado">
          <a:hlinkClick xmlns:r="http://schemas.openxmlformats.org/officeDocument/2006/relationships" r:id="rId2"/>
          <a:extLst>
            <a:ext uri="{FF2B5EF4-FFF2-40B4-BE49-F238E27FC236}">
              <a16:creationId xmlns="" xmlns:a16="http://schemas.microsoft.com/office/drawing/2014/main" id="{00000000-0008-0000-0800-000003000000}"/>
            </a:ext>
          </a:extLst>
        </xdr:cNvPr>
        <xdr:cNvSpPr/>
      </xdr:nvSpPr>
      <xdr:spPr>
        <a:xfrm>
          <a:off x="190500" y="95250"/>
          <a:ext cx="1085850" cy="28575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INICIO</a:t>
          </a:r>
        </a:p>
      </xdr:txBody>
    </xdr:sp>
    <xdr:clientData/>
  </xdr:twoCellAnchor>
  <xdr:twoCellAnchor>
    <xdr:from>
      <xdr:col>0</xdr:col>
      <xdr:colOff>171449</xdr:colOff>
      <xdr:row>61</xdr:row>
      <xdr:rowOff>52386</xdr:rowOff>
    </xdr:from>
    <xdr:to>
      <xdr:col>14</xdr:col>
      <xdr:colOff>228599</xdr:colOff>
      <xdr:row>79</xdr:row>
      <xdr:rowOff>152399</xdr:rowOff>
    </xdr:to>
    <xdr:graphicFrame macro="">
      <xdr:nvGraphicFramePr>
        <xdr:cNvPr id="5" name="4 Gráfico">
          <a:extLst>
            <a:ext uri="{FF2B5EF4-FFF2-40B4-BE49-F238E27FC236}">
              <a16:creationId xmlns="" xmlns:a16="http://schemas.microsoft.com/office/drawing/2014/main" id="{00000000-0008-0000-08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95250</xdr:colOff>
      <xdr:row>88</xdr:row>
      <xdr:rowOff>157162</xdr:rowOff>
    </xdr:from>
    <xdr:to>
      <xdr:col>14</xdr:col>
      <xdr:colOff>76200</xdr:colOff>
      <xdr:row>103</xdr:row>
      <xdr:rowOff>42862</xdr:rowOff>
    </xdr:to>
    <xdr:graphicFrame macro="">
      <xdr:nvGraphicFramePr>
        <xdr:cNvPr id="4" name="3 Gráfico">
          <a:extLst>
            <a:ext uri="{FF2B5EF4-FFF2-40B4-BE49-F238E27FC236}">
              <a16:creationId xmlns="" xmlns:a16="http://schemas.microsoft.com/office/drawing/2014/main" id="{00000000-0008-0000-08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5</xdr:col>
      <xdr:colOff>352425</xdr:colOff>
      <xdr:row>111</xdr:row>
      <xdr:rowOff>166687</xdr:rowOff>
    </xdr:from>
    <xdr:to>
      <xdr:col>13</xdr:col>
      <xdr:colOff>609600</xdr:colOff>
      <xdr:row>126</xdr:row>
      <xdr:rowOff>52387</xdr:rowOff>
    </xdr:to>
    <xdr:graphicFrame macro="">
      <xdr:nvGraphicFramePr>
        <xdr:cNvPr id="6" name="5 Gráfico">
          <a:extLst>
            <a:ext uri="{FF2B5EF4-FFF2-40B4-BE49-F238E27FC236}">
              <a16:creationId xmlns="" xmlns:a16="http://schemas.microsoft.com/office/drawing/2014/main" id="{00000000-0008-0000-08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95250</xdr:colOff>
      <xdr:row>2</xdr:row>
      <xdr:rowOff>76199</xdr:rowOff>
    </xdr:from>
    <xdr:to>
      <xdr:col>1</xdr:col>
      <xdr:colOff>847725</xdr:colOff>
      <xdr:row>3</xdr:row>
      <xdr:rowOff>209549</xdr:rowOff>
    </xdr:to>
    <xdr:sp macro="" textlink="">
      <xdr:nvSpPr>
        <xdr:cNvPr id="4" name="3 Rectángulo redondeado">
          <a:hlinkClick xmlns:r="http://schemas.openxmlformats.org/officeDocument/2006/relationships" r:id="rId1"/>
          <a:extLst>
            <a:ext uri="{FF2B5EF4-FFF2-40B4-BE49-F238E27FC236}">
              <a16:creationId xmlns="" xmlns:a16="http://schemas.microsoft.com/office/drawing/2014/main" id="{00000000-0008-0000-0A00-000004000000}"/>
            </a:ext>
          </a:extLst>
        </xdr:cNvPr>
        <xdr:cNvSpPr/>
      </xdr:nvSpPr>
      <xdr:spPr>
        <a:xfrm>
          <a:off x="95250" y="219074"/>
          <a:ext cx="990600" cy="36195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INICIO</a:t>
          </a:r>
        </a:p>
      </xdr:txBody>
    </xdr:sp>
    <xdr:clientData/>
  </xdr:twoCellAnchor>
  <xdr:twoCellAnchor>
    <xdr:from>
      <xdr:col>2</xdr:col>
      <xdr:colOff>9524</xdr:colOff>
      <xdr:row>1</xdr:row>
      <xdr:rowOff>66675</xdr:rowOff>
    </xdr:from>
    <xdr:to>
      <xdr:col>3</xdr:col>
      <xdr:colOff>466725</xdr:colOff>
      <xdr:row>3</xdr:row>
      <xdr:rowOff>9524</xdr:rowOff>
    </xdr:to>
    <xdr:sp macro="" textlink="">
      <xdr:nvSpPr>
        <xdr:cNvPr id="5" name="4 Rectángulo redondeado">
          <a:hlinkClick xmlns:r="http://schemas.openxmlformats.org/officeDocument/2006/relationships" r:id="rId2"/>
          <a:extLst>
            <a:ext uri="{FF2B5EF4-FFF2-40B4-BE49-F238E27FC236}">
              <a16:creationId xmlns="" xmlns:a16="http://schemas.microsoft.com/office/drawing/2014/main" id="{00000000-0008-0000-0A00-000005000000}"/>
            </a:ext>
          </a:extLst>
        </xdr:cNvPr>
        <xdr:cNvSpPr/>
      </xdr:nvSpPr>
      <xdr:spPr>
        <a:xfrm>
          <a:off x="1295399" y="66675"/>
          <a:ext cx="2009776" cy="314324"/>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Ir</a:t>
          </a:r>
          <a:r>
            <a:rPr lang="es-MX" sz="1400" b="1" baseline="0"/>
            <a:t> a base de datos</a:t>
          </a:r>
          <a:endParaRPr lang="es-MX" sz="1400" b="1"/>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bprint\FONDO%20CUENTA\FONDO%20CUENTA\Relaci&#243;n%20Contratos%202014%20-%202014%20(02-10-201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bprint\FONDO%20CUENTA\ljgonzalez\Mis%20documentos\NUEVO\PAA\Plan%20de%20contratacion%20201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bprint\FONDO%20CUENTA\Contratos\BASE%20DE%20DATOS%203-04-2019.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bprint\FONDO%20CUENTA\ljgonzalez\Mis%20documentos\Informes%20Contratos\Distribuciones%20contratos\Plan%20de%20contratacion%202015%20-%20SEGUIMIENTO.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bprint\FONDO%20CUENTA\Users\ljgonzalez\Downloads\Base%20de%20datos%20contratos%20(27-04-2015)%20-%20Actualizada.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bprint\FONDO%20CUENTA\Users\ljgonzalez\AppData\Local\Microsoft\Windows\Temporary%20Internet%20Files\Content.Outlook\CYM4VQT8\Plan%20de%20contratacion%202015%20(8).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bprint\FONDO%20CUENTA\Contratos\Copia%20de%20Copia%20de%20PAA_2017%20v0.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bprint\FONDO%20CUENTA\Contratos\Relacion%20UPS%20201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Reporte 1"/>
      <sheetName val="Base de Datos"/>
      <sheetName val="Hoja1"/>
      <sheetName val="Hoja2"/>
      <sheetName val="Nuevo Registro"/>
      <sheetName val="Requisitos"/>
      <sheetName val="Instructivo"/>
      <sheetName val="Pasivos Exigibles"/>
      <sheetName val="Hoja3"/>
      <sheetName val="Modificaciones"/>
    </sheetNames>
    <sheetDataSet>
      <sheetData sheetId="0" refreshError="1"/>
      <sheetData sheetId="1" refreshError="1"/>
      <sheetData sheetId="2" refreshError="1"/>
      <sheetData sheetId="3" refreshError="1">
        <row r="4">
          <cell r="F4" t="str">
            <v>120000-24-0-2011</v>
          </cell>
          <cell r="G4" t="str">
            <v>MIGUEL RODRIGO OLARTE PINZON</v>
          </cell>
        </row>
        <row r="5">
          <cell r="F5" t="str">
            <v>120000-25-0-2011</v>
          </cell>
          <cell r="G5" t="str">
            <v>MIGUEL RODRIGO OLARTE PINZON</v>
          </cell>
        </row>
        <row r="6">
          <cell r="F6" t="str">
            <v>120000-58-0-2011</v>
          </cell>
          <cell r="G6" t="str">
            <v>ELBERT WISNER ESPITIA OLAYA</v>
          </cell>
        </row>
        <row r="7">
          <cell r="F7" t="str">
            <v>120000-106-0-2011</v>
          </cell>
          <cell r="G7" t="str">
            <v>ELBERT WISNER ESPITIA OLAYA</v>
          </cell>
        </row>
        <row r="8">
          <cell r="F8" t="str">
            <v>120000-108-0-2011</v>
          </cell>
          <cell r="G8" t="str">
            <v>Elbert Wisner Espitia Olaya</v>
          </cell>
        </row>
        <row r="9">
          <cell r="F9" t="str">
            <v>120000-116-0-2011</v>
          </cell>
          <cell r="G9" t="str">
            <v>ELBERT WISNER ESPITIA OLAYA</v>
          </cell>
        </row>
        <row r="10">
          <cell r="F10" t="str">
            <v>120000-118-0-2011</v>
          </cell>
          <cell r="G10" t="str">
            <v>Elbert Wisner Espitia Olaya</v>
          </cell>
        </row>
        <row r="11">
          <cell r="F11" t="str">
            <v>120000-119-0-2011</v>
          </cell>
          <cell r="G11" t="str">
            <v>Elbert Wisner Espitia Olaya</v>
          </cell>
        </row>
        <row r="12">
          <cell r="F12" t="str">
            <v>120000-144-0-2011</v>
          </cell>
          <cell r="G12" t="str">
            <v>ELBERT WISNER ESPITIA OLAYA</v>
          </cell>
        </row>
        <row r="13">
          <cell r="F13" t="str">
            <v>120000-147-0-2011</v>
          </cell>
          <cell r="G13" t="str">
            <v>ELBERT WISNER ESPITIA OLAYA</v>
          </cell>
        </row>
        <row r="14">
          <cell r="F14" t="str">
            <v>120000-150-0-2011</v>
          </cell>
          <cell r="G14" t="str">
            <v>Elbert Wisner Espitia Olaya</v>
          </cell>
        </row>
        <row r="15">
          <cell r="F15" t="str">
            <v>120000-153-0-2011</v>
          </cell>
          <cell r="G15" t="str">
            <v>ELBERT WISNER ESPITIA OLAYA</v>
          </cell>
        </row>
        <row r="16">
          <cell r="F16" t="str">
            <v>120000-159-0-2011</v>
          </cell>
          <cell r="G16" t="str">
            <v>ELBERT WISNER ESPITIA OLAYA</v>
          </cell>
        </row>
        <row r="17">
          <cell r="F17" t="str">
            <v>120000-174-0-2011</v>
          </cell>
          <cell r="G17" t="str">
            <v>ELBERT WISNER ESPITIA OLAYA</v>
          </cell>
        </row>
        <row r="18">
          <cell r="F18" t="str">
            <v>120000-193-0-2011</v>
          </cell>
          <cell r="G18" t="str">
            <v>ELBERT WISNER ESPITIA OLAYA</v>
          </cell>
        </row>
        <row r="19">
          <cell r="F19" t="str">
            <v>120000-213-0-2011</v>
          </cell>
          <cell r="G19" t="str">
            <v>ELBERT WISNER ESPITIA OLAYA</v>
          </cell>
        </row>
        <row r="20">
          <cell r="F20" t="str">
            <v>120000-214-0-2011</v>
          </cell>
          <cell r="G20" t="str">
            <v>ELBERT WISNER ESPITIA OLAYA</v>
          </cell>
        </row>
        <row r="21">
          <cell r="F21" t="str">
            <v>120000-220-0-2011</v>
          </cell>
          <cell r="G21" t="str">
            <v>ELBERT WISNER ESPITIA OLAYA</v>
          </cell>
        </row>
        <row r="22">
          <cell r="F22" t="str">
            <v>120000-226-0-2011</v>
          </cell>
          <cell r="G22" t="str">
            <v>ELBERT WISNER ESPITIA OLAYA</v>
          </cell>
        </row>
        <row r="23">
          <cell r="F23" t="str">
            <v>120000-246-0-2011</v>
          </cell>
          <cell r="G23" t="str">
            <v>ELBERT WISNER ESPITIA OLAYA</v>
          </cell>
        </row>
        <row r="24">
          <cell r="F24" t="str">
            <v>120000-255-0-2011</v>
          </cell>
          <cell r="G24" t="str">
            <v>Elbert Wisner Espitia Olaya</v>
          </cell>
        </row>
        <row r="25">
          <cell r="F25" t="str">
            <v>120000-258-0-2011</v>
          </cell>
          <cell r="G25" t="str">
            <v>ELBERT WISNER ESPITIA OLAYA</v>
          </cell>
        </row>
        <row r="26">
          <cell r="F26" t="str">
            <v>120000-260-0-2011</v>
          </cell>
          <cell r="G26" t="str">
            <v>ELBERT WISNER ESPITIA OLAYA</v>
          </cell>
        </row>
        <row r="27">
          <cell r="F27" t="str">
            <v>120000-261-0-2011</v>
          </cell>
          <cell r="G27" t="str">
            <v>ELBERT WISNER ESPITIA OLAYA</v>
          </cell>
        </row>
        <row r="28">
          <cell r="F28" t="str">
            <v>120000-267-0-2011</v>
          </cell>
          <cell r="G28" t="str">
            <v>NA</v>
          </cell>
        </row>
        <row r="29">
          <cell r="F29" t="str">
            <v>120000-270-0-2011</v>
          </cell>
          <cell r="G29" t="str">
            <v>NA</v>
          </cell>
        </row>
        <row r="30">
          <cell r="F30" t="str">
            <v>120000-281-0-2011</v>
          </cell>
          <cell r="G30" t="str">
            <v>SOPO SOLANO RAFAEL MAURICIO</v>
          </cell>
        </row>
        <row r="31">
          <cell r="F31" t="str">
            <v>120000-285-0-2011</v>
          </cell>
          <cell r="G31" t="str">
            <v>ELBERT WISNER ESPITIA OLAYA</v>
          </cell>
        </row>
        <row r="32">
          <cell r="F32" t="str">
            <v>120000-286-0-2011</v>
          </cell>
          <cell r="G32" t="str">
            <v>ELBERT WISNER ESPITIA OLAYA</v>
          </cell>
        </row>
        <row r="33">
          <cell r="F33" t="str">
            <v>120000-287-0-2011</v>
          </cell>
          <cell r="G33" t="str">
            <v>ELBERT WISNER ESPITIA OLAYA</v>
          </cell>
        </row>
        <row r="34">
          <cell r="F34" t="str">
            <v>120000-289-0-2011</v>
          </cell>
          <cell r="G34" t="str">
            <v>ELBERT WISNER ESPITIA OLAYA</v>
          </cell>
        </row>
        <row r="35">
          <cell r="F35" t="str">
            <v>120000-297-0-2011</v>
          </cell>
          <cell r="G35" t="str">
            <v>NA</v>
          </cell>
        </row>
        <row r="36">
          <cell r="F36" t="str">
            <v>120000-298-0-2011</v>
          </cell>
          <cell r="G36" t="str">
            <v>ELBERT WISNER ESPITIA OLAYA</v>
          </cell>
        </row>
        <row r="37">
          <cell r="F37" t="str">
            <v>120000-307-0-2011</v>
          </cell>
          <cell r="G37" t="str">
            <v>ELBERT WISNER ESPITIA OLAYA</v>
          </cell>
        </row>
        <row r="38">
          <cell r="F38" t="str">
            <v>120000-331-0-2011</v>
          </cell>
          <cell r="G38" t="str">
            <v>NA</v>
          </cell>
        </row>
        <row r="39">
          <cell r="F39" t="str">
            <v>120000-357-0-2011</v>
          </cell>
          <cell r="G39" t="str">
            <v>ELBERT WISNER ESPITIA OLAYA</v>
          </cell>
        </row>
        <row r="40">
          <cell r="F40" t="str">
            <v>120000-358-0-2011</v>
          </cell>
          <cell r="G40" t="str">
            <v>ELBERT WISNER ESPITIA OLAYA</v>
          </cell>
        </row>
        <row r="41">
          <cell r="F41" t="str">
            <v>120000-361-0-2011</v>
          </cell>
          <cell r="G41" t="str">
            <v>ELBERT WISNER ESPITIA OLAYA</v>
          </cell>
        </row>
        <row r="42">
          <cell r="F42" t="str">
            <v>120000-374-0-2011</v>
          </cell>
          <cell r="G42" t="str">
            <v>ELBERT WISNER ESPITIA OLAYA</v>
          </cell>
        </row>
        <row r="43">
          <cell r="F43" t="str">
            <v>120000-383-0-2011</v>
          </cell>
          <cell r="G43" t="str">
            <v>NA</v>
          </cell>
        </row>
        <row r="44">
          <cell r="F44" t="str">
            <v>120000-428-0-2011</v>
          </cell>
          <cell r="G44" t="str">
            <v>ELBERT WISNER ESPITIA OLAYA</v>
          </cell>
        </row>
        <row r="45">
          <cell r="F45" t="str">
            <v>120000-436-0-2011</v>
          </cell>
          <cell r="G45" t="str">
            <v>NA</v>
          </cell>
        </row>
        <row r="46">
          <cell r="F46" t="str">
            <v>120000-440-0-2011</v>
          </cell>
          <cell r="G46" t="str">
            <v>ELBERT WISNER ESPITIA OLAYA</v>
          </cell>
        </row>
        <row r="47">
          <cell r="F47" t="str">
            <v>120000-450-0-2011</v>
          </cell>
          <cell r="G47" t="str">
            <v>ELBERT WISNER ESPITIA OLAYA</v>
          </cell>
        </row>
        <row r="48">
          <cell r="F48" t="str">
            <v>120000-454-0-2011</v>
          </cell>
          <cell r="G48" t="str">
            <v>ELBERT ESPITIA OLAYA</v>
          </cell>
        </row>
      </sheetData>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de contratacion Ene 2-2015"/>
      <sheetName val="Hoja1"/>
      <sheetName val="Feb 27-2015"/>
      <sheetName val="Hoja2"/>
      <sheetName val="Mar 9-2015"/>
      <sheetName val="Abr 24-2015"/>
      <sheetName val="Mayo 11 2015"/>
      <sheetName val="Mayo 19 -2015"/>
      <sheetName val="Hoja3"/>
      <sheetName val="Junio 5-2015"/>
      <sheetName val="Junio 16-2015"/>
      <sheetName val="Junio 22-2015"/>
      <sheetName val="Junio 26-2015"/>
      <sheetName val="Julio 6-2015"/>
      <sheetName val="Julio 21-2015"/>
      <sheetName val="Agos 10-2015"/>
      <sheetName val="Final 2014"/>
      <sheetName val="Hoja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2">
          <cell r="A2">
            <v>54</v>
          </cell>
          <cell r="B2" t="str">
            <v>3-1-2-01-02 Gastos de Computador</v>
          </cell>
          <cell r="C2" t="str">
            <v>Prestar los servicios de mantenimientos, soporte y actualización con el suministro de repuestos para la infraestructura de telecomunicaciones, cableado estructurado (voz y datos), fibra óptica, energía normal y regulada de la Secretaría Distrital de Hacie</v>
          </cell>
          <cell r="D2" t="str">
            <v>SEL. ABREVIADA SUB.INVERSA</v>
          </cell>
          <cell r="E2" t="str">
            <v>PRESTACION DE SERVICIOS</v>
          </cell>
        </row>
        <row r="3">
          <cell r="A3">
            <v>55</v>
          </cell>
          <cell r="B3" t="str">
            <v>3-1-2-01-02 Gastos de Computador</v>
          </cell>
          <cell r="C3" t="str">
            <v>Adquisición de medios magnéticos para copias de respaldo para la Secretaría Distrital de Hacienda y el Concejo de Bogotá.</v>
          </cell>
          <cell r="D3" t="str">
            <v>MINIMA CUANTIA</v>
          </cell>
          <cell r="E3" t="str">
            <v>COMPRAVENTA</v>
          </cell>
        </row>
        <row r="4">
          <cell r="A4">
            <v>57</v>
          </cell>
          <cell r="B4" t="str">
            <v>3-1-2-01-02 Gastos de Computador</v>
          </cell>
          <cell r="C4" t="str">
            <v>Prestar los servicios de mantenimiento preventivo, correctivo y soporte técnico especializado para los servidores y sus dispositivos de la Secretaría Distrital de Hacienda y el Concejo de Bogotá.</v>
          </cell>
          <cell r="D4" t="str">
            <v>SEL. ABREVIADA SUB.INVERSA</v>
          </cell>
          <cell r="E4" t="str">
            <v>PRESTACION DE SERVICIOS</v>
          </cell>
        </row>
        <row r="5">
          <cell r="A5">
            <v>58</v>
          </cell>
          <cell r="B5" t="str">
            <v>3-1-2-01-02 Gastos de Computador</v>
          </cell>
          <cell r="C5" t="str">
            <v>Prestar los servicios de mantenimiento y actualizacion  de módulo de contabilidad programa SIIGO.-</v>
          </cell>
          <cell r="D5" t="str">
            <v>CONTRATACION DIRECTA</v>
          </cell>
          <cell r="E5" t="str">
            <v>PRESTACION DE SERVICIOS</v>
          </cell>
        </row>
        <row r="6">
          <cell r="A6">
            <v>59</v>
          </cell>
          <cell r="B6" t="str">
            <v>3-1-2-01-02 Gastos de Computador</v>
          </cell>
          <cell r="C6" t="str">
            <v>Prestar los servicios de mantenimiento preventivo, correctivo y soporte técnico especializado para el sistema biométrico del Concejo de Bogotá.</v>
          </cell>
          <cell r="D6" t="str">
            <v>MINIMA CUANTIA</v>
          </cell>
          <cell r="E6" t="str">
            <v>PRESTACION DE SERVICIOS</v>
          </cell>
        </row>
        <row r="7">
          <cell r="A7">
            <v>60</v>
          </cell>
          <cell r="B7" t="str">
            <v>3-1-2-01-02 Gastos de Computador</v>
          </cell>
          <cell r="C7" t="str">
            <v>Contratar los servicios de mantenimiento preventivo y correctivo con repuestos y bienes fungibles para los elementos del  centro de cómputo y centros de cableado del Concejo de Bogotá D.C.,</v>
          </cell>
          <cell r="D7" t="str">
            <v>MINIMA CUANTIA</v>
          </cell>
          <cell r="E7" t="str">
            <v>PRESTACION DE SERVICIOS</v>
          </cell>
        </row>
        <row r="8">
          <cell r="A8">
            <v>61</v>
          </cell>
          <cell r="B8" t="str">
            <v>3-1-2-01-02 Gastos de Computador</v>
          </cell>
          <cell r="C8" t="str">
            <v>Adición y prórroga al contrato 140317 -2014 que tiene por objeto:  Prestar el servicio de actualización, mantenimiento y soporte al sitio WEB e intranet del Concejo de Bogotá.</v>
          </cell>
          <cell r="D8" t="str">
            <v>NA</v>
          </cell>
          <cell r="E8" t="str">
            <v>PRESTACION DE SERVICIOS</v>
          </cell>
        </row>
        <row r="9">
          <cell r="A9">
            <v>62</v>
          </cell>
          <cell r="B9" t="str">
            <v>3-1-2-01-02 Gastos de Computador</v>
          </cell>
          <cell r="C9" t="str">
            <v>Prestar los servicios de mantenimieto, actualización y soporte de licencias y plataforma del sistema de voto electrónico del Concejo de Bogotá D.C</v>
          </cell>
          <cell r="D9" t="str">
            <v>SEL. ABREVIADA MENOR CUANTIA</v>
          </cell>
          <cell r="E9" t="str">
            <v>PRESTACION DE SERVICIOS</v>
          </cell>
        </row>
        <row r="10">
          <cell r="A10">
            <v>63</v>
          </cell>
          <cell r="B10" t="str">
            <v>3-1-2-01-02 Gastos de Computador</v>
          </cell>
          <cell r="C10" t="str">
            <v>Prestar los servicios de administración y soporte técnico para la plataforma Microsoft del Concejo de Bogotá</v>
          </cell>
          <cell r="D10" t="str">
            <v>SEL. ABREVIADA MENOR CUANTIA</v>
          </cell>
          <cell r="E10" t="str">
            <v>PRESTACION DE SERVICIOS</v>
          </cell>
        </row>
        <row r="11">
          <cell r="A11">
            <v>64</v>
          </cell>
          <cell r="B11" t="str">
            <v>3-1-2-01-02 Gastos de Computador</v>
          </cell>
          <cell r="C11" t="str">
            <v>Adición y prórroga al contrato 140252-2014 que tiene por objeto: Contratar la actualización, mantenimiento y soporte de licencias de software antivirus para la plataforma del Concejo de Bogotá.</v>
          </cell>
          <cell r="D11" t="str">
            <v>NA</v>
          </cell>
          <cell r="E11" t="str">
            <v>PRESTACION DE SERVICIOS</v>
          </cell>
        </row>
        <row r="12">
          <cell r="A12">
            <v>65</v>
          </cell>
          <cell r="B12" t="str">
            <v>3-1-2-01-02 Gastos de Computador</v>
          </cell>
          <cell r="C12" t="str">
            <v>Adición y prórroga al contrato 140317 suscrito con Factor Visual E A T cuyo objeto es: Prestar el servicio de actualización, mantenimiento y soporte al sitio web  e intranet"</v>
          </cell>
          <cell r="D12" t="str">
            <v>NA</v>
          </cell>
          <cell r="E12" t="str">
            <v>PRESTACION DE SERVICIOS</v>
          </cell>
        </row>
        <row r="13">
          <cell r="A13">
            <v>68</v>
          </cell>
          <cell r="B13" t="str">
            <v>3-1-2-02-03 Gastos de Transporte y Comunicación</v>
          </cell>
          <cell r="C13" t="str">
            <v>Prestar los servicios de conectividad de canales de comunicación dedicados e Internet y servicios complementarios para la Secretaría Distrital de Hacienda y el Concejo de Bogotá.</v>
          </cell>
          <cell r="D13" t="str">
            <v>CONTRATACION DIRECTA</v>
          </cell>
          <cell r="E13" t="str">
            <v>PRESTACION DE SERVICIOS</v>
          </cell>
        </row>
        <row r="14">
          <cell r="A14">
            <v>70</v>
          </cell>
          <cell r="B14" t="str">
            <v>3-3-1-14-03-31-0728-235235 - Fortalecimiento a la gestión institucional del Concejo de Bogotá</v>
          </cell>
          <cell r="C14" t="str">
            <v>Adquisición de la licencia TOAD para el Concejo de Bogotá.</v>
          </cell>
          <cell r="D14" t="str">
            <v>MINIMA CUANTIA</v>
          </cell>
          <cell r="E14" t="str">
            <v>COMPRAVENTA</v>
          </cell>
        </row>
        <row r="15">
          <cell r="A15">
            <v>71</v>
          </cell>
          <cell r="B15" t="str">
            <v>3-3-1-14-03-31-0728-235235 - Fortalecimiento a la gestión institucional del Concejo de Bogotá</v>
          </cell>
          <cell r="C15" t="str">
            <v>Adquisición de licencias de servidores Windows Server 2012 para el Concejo de Bogotá.</v>
          </cell>
          <cell r="D15" t="str">
            <v>MINIMA CUANTIA</v>
          </cell>
          <cell r="E15" t="str">
            <v>COMPRAVENTA</v>
          </cell>
        </row>
        <row r="16">
          <cell r="A16">
            <v>73</v>
          </cell>
          <cell r="B16" t="str">
            <v>3-3-1-14-03-31-0728-235235 - Fortalecimiento a la gestión institucional del Concejo de Bogotá</v>
          </cell>
          <cell r="C16" t="str">
            <v>Adquisición de licencias Oracle  para el Concejo de Bogotá.</v>
          </cell>
          <cell r="D16" t="str">
            <v>CONTRATACION DIRECTA</v>
          </cell>
          <cell r="E16" t="str">
            <v>COMPRAVENTA</v>
          </cell>
        </row>
        <row r="17">
          <cell r="A17">
            <v>74</v>
          </cell>
          <cell r="B17" t="str">
            <v>3-3-1-14-03-31-0728-235235 - Fortalecimiento a la gestión institucional del Concejo de Bogotá</v>
          </cell>
          <cell r="C17" t="str">
            <v>Adquisición de los equipos de red Switches para el Concejo de Bogotá.</v>
          </cell>
          <cell r="D17" t="str">
            <v>SEL. ABREVIADA SUB.INVERSA</v>
          </cell>
          <cell r="E17" t="str">
            <v>COMPRAVENTA</v>
          </cell>
        </row>
        <row r="18">
          <cell r="A18">
            <v>75</v>
          </cell>
          <cell r="B18" t="str">
            <v>3-3-1-14-03-31-0728-235235 - Fortalecimiento a la gestión institucional del Concejo de Bogotá</v>
          </cell>
          <cell r="C18" t="str">
            <v>Adquisición de memorias para repotenciación de equipos de cómputo para el Concejo de Bogotá D.C.</v>
          </cell>
          <cell r="D18" t="str">
            <v>MINIMA CUANTIA</v>
          </cell>
          <cell r="E18" t="str">
            <v>COMPRAVENTA</v>
          </cell>
        </row>
        <row r="19">
          <cell r="A19">
            <v>122</v>
          </cell>
          <cell r="B19" t="str">
            <v>3-1-1-02-03-01 Honorarios Entidad</v>
          </cell>
          <cell r="C19" t="str">
            <v>Realizar las auditorías de seguimiento a los Subsistemas de Gestión Ambiental y Seguridad y Salud Ocupacional bajo las normas ISO 14001:2004 y OHSAS 18001:2007</v>
          </cell>
          <cell r="D19" t="str">
            <v>CONTRATACION DIRECTA</v>
          </cell>
          <cell r="E19" t="str">
            <v>PRESTACION DE SERVICIOS</v>
          </cell>
        </row>
        <row r="20">
          <cell r="A20">
            <v>123</v>
          </cell>
          <cell r="B20" t="str">
            <v>3-1-1-02-03-01 Honorarios Entidad</v>
          </cell>
          <cell r="C20" t="str">
            <v>Realizar las auditorías para la recertificación del Sistema de Gestión de Calidad del Concejo de Bogotá.</v>
          </cell>
          <cell r="D20" t="str">
            <v>MINIMA CUANTIA</v>
          </cell>
          <cell r="E20" t="str">
            <v>PRESTACION DE SERVICIOS</v>
          </cell>
        </row>
        <row r="21">
          <cell r="A21">
            <v>124</v>
          </cell>
          <cell r="B21" t="str">
            <v>3-1-1-02-03-01 Honorarios Entidad</v>
          </cell>
          <cell r="C21" t="str">
            <v>Prestar los servicios profesionales para acompañar la definición, contratación y seguimiento a los temas de infraestructura física que requiera el Concejo de Bogotá.</v>
          </cell>
          <cell r="D21" t="str">
            <v>CONTRATACION DIRECTA</v>
          </cell>
          <cell r="E21" t="str">
            <v>PRESTACION DE SERVICIOS1</v>
          </cell>
        </row>
        <row r="22">
          <cell r="A22">
            <v>125</v>
          </cell>
          <cell r="B22" t="str">
            <v>3-1-1-02-03-01 Honorarios Entidad</v>
          </cell>
          <cell r="C22" t="str">
            <v xml:space="preserve">Prestar los servicios profesionales para apoyar  en la supervisión de los contratos que le sean asignadas al Concejo de Bogotá, implementando mecanismos que le permitan contribuir efectivamente al seguimiento técnico, administrativo, financiero, contable </v>
          </cell>
          <cell r="D22" t="str">
            <v>CONTRATACION DIRECTA</v>
          </cell>
          <cell r="E22" t="str">
            <v>PRESTACION DE SERVICIOS1</v>
          </cell>
        </row>
        <row r="23">
          <cell r="A23">
            <v>126</v>
          </cell>
          <cell r="B23" t="str">
            <v>3-1-1-02-03-01 Honorarios Entidad</v>
          </cell>
          <cell r="C23" t="str">
            <v>Prestar los servicios profesionales para la actualización, administración, publicación y salvaguarda de la información publicada en la página WEB oficial del Concejo de Bogotá D.C.</v>
          </cell>
          <cell r="D23" t="str">
            <v>CONTRATACION DIRECTA</v>
          </cell>
          <cell r="E23" t="str">
            <v>PRESTACION DE SERVICIOS1</v>
          </cell>
        </row>
        <row r="24">
          <cell r="A24">
            <v>127</v>
          </cell>
          <cell r="B24" t="str">
            <v>3-1-1-02-03-01 Honorarios Entidad</v>
          </cell>
          <cell r="C24" t="str">
            <v>Prestar los servicios profesionales para la consolidación y actualización de la estrategia de depuración normativa del Concejo de Bogotá D.C.</v>
          </cell>
          <cell r="D24" t="str">
            <v>CONTRATACION DIRECTA</v>
          </cell>
          <cell r="E24" t="str">
            <v>PRESTACION DE SERVICIOS1</v>
          </cell>
        </row>
        <row r="25">
          <cell r="A25">
            <v>128</v>
          </cell>
          <cell r="B25" t="str">
            <v>3-1-1-02-03-01 Honorarios Entidad</v>
          </cell>
          <cell r="C25" t="str">
            <v>Prestar los servicios profesionales para apoyar el proceso de sistemas y seguridad informática del Concejo de Bogotá con especial énfasis en la identificación y mitigación de riesgos.</v>
          </cell>
          <cell r="D25" t="str">
            <v>CONTRATACION DIRECTA</v>
          </cell>
          <cell r="E25" t="str">
            <v>PRESTACION DE SERVICIOS1</v>
          </cell>
        </row>
        <row r="26">
          <cell r="A26">
            <v>129</v>
          </cell>
          <cell r="B26" t="str">
            <v>3-1-1-02-03-01 Honorarios Entidad</v>
          </cell>
          <cell r="C26" t="str">
            <v>Prestar los servicios profesionales para acompañar al Concejo de Bogotá D.C. en la revisión y estudio de las historias laborales de los funcionarios para la definición técnica y jurídica del cumplimiento de requisitos en los diferentes regímenes de pensió</v>
          </cell>
          <cell r="D26" t="str">
            <v>CONTRATACION DIRECTA</v>
          </cell>
          <cell r="E26" t="str">
            <v>PRESTACION DE SERVICIOS1</v>
          </cell>
        </row>
        <row r="27">
          <cell r="A27">
            <v>130</v>
          </cell>
          <cell r="B27" t="str">
            <v>3-1-1-02-03-01 Honorarios Entidad</v>
          </cell>
          <cell r="C27" t="str">
            <v>Prestar los servicios profesionales para elaborar las especificaciones y condiciones técnicas de los procesos para la adquisición de bienes y servicios y apoyar la funcion de supervision de los contratos</v>
          </cell>
          <cell r="D27" t="str">
            <v>CONTRATACION DIRECTA</v>
          </cell>
          <cell r="E27" t="str">
            <v>PRESTACION DE SERVICIOS1</v>
          </cell>
        </row>
        <row r="28">
          <cell r="A28">
            <v>131</v>
          </cell>
          <cell r="B28" t="str">
            <v>3-1-1-02-03-01 Honorarios Entidad</v>
          </cell>
          <cell r="C28" t="str">
            <v>Prestar los servicios profesionales para apoyar la gestión administrativa, documental y contractual en los asuntos de competencia del Concejo de Bogotá.</v>
          </cell>
          <cell r="D28" t="str">
            <v>CONTRATACION DIRECTA</v>
          </cell>
          <cell r="E28" t="str">
            <v>PRESTACION DE SERVICIOS1</v>
          </cell>
        </row>
        <row r="29">
          <cell r="A29">
            <v>132</v>
          </cell>
          <cell r="B29" t="str">
            <v>3-1-1-02-03-01 Honorarios Entidad</v>
          </cell>
          <cell r="C29" t="str">
            <v>Prestar los servicios profesionales para acompañar a la Oficina de Comunicaciones del Concejo de Bogotá en la implementación de estrategias comunicativas</v>
          </cell>
          <cell r="D29" t="str">
            <v>CONTRATACION DIRECTA</v>
          </cell>
          <cell r="E29" t="str">
            <v>PRESTACION DE SERVICIOS1</v>
          </cell>
        </row>
        <row r="30">
          <cell r="A30">
            <v>133</v>
          </cell>
          <cell r="B30" t="str">
            <v>3-1-1-02-03-01 Honorarios Entidad</v>
          </cell>
          <cell r="C30" t="str">
            <v>Prestar los servicios profesionales para  apoyar al Concejo de Bogotá en el enlace con la Unidad Ejecutora 04 de la Secretaría Distrital de Hacienda para la liquidación y cierre de los expedientes contractuales</v>
          </cell>
          <cell r="D30" t="str">
            <v>CONTRATACION DIRECTA</v>
          </cell>
          <cell r="E30" t="str">
            <v>PRESTACION DE SERVICIOS1</v>
          </cell>
        </row>
        <row r="31">
          <cell r="A31">
            <v>134</v>
          </cell>
          <cell r="B31" t="str">
            <v>3-1-1-02-03-01 Honorarios Entidad</v>
          </cell>
          <cell r="C31" t="str">
            <v>Prestar los servicios para la elaboracion del retrato sobre lienzo al oleo del Presidente de la Mesa Directiva del Concejo de Bogota.</v>
          </cell>
          <cell r="D31" t="str">
            <v>CONTRATACION DIRECTA</v>
          </cell>
          <cell r="E31" t="str">
            <v>PRESTACION DE SERVICIOS</v>
          </cell>
        </row>
        <row r="32">
          <cell r="A32">
            <v>135</v>
          </cell>
          <cell r="B32" t="str">
            <v>3-1-1-02-03-01 Honorarios Entidad</v>
          </cell>
          <cell r="C32" t="str">
            <v>Prestar los servicios profesionales para realizar acompañamiento y seguimiento a los procesos de adquisición de bienes y servicios y seguimiento a la ejecución de contratos para el Concejo de Bogotá D. C.</v>
          </cell>
          <cell r="D32" t="str">
            <v>CONTRATACION DIRECTA</v>
          </cell>
          <cell r="E32" t="str">
            <v>PRESTACION DE SERVICIOS1</v>
          </cell>
        </row>
        <row r="33">
          <cell r="A33">
            <v>136</v>
          </cell>
          <cell r="B33" t="str">
            <v>3-1-1-02-03-01 Honorarios Entidad</v>
          </cell>
          <cell r="C33" t="str">
            <v>Prestar los servicios profesionales para sistematizar y consolidar la informacion de los trámites contractuales a cargo del proceso administrativo y finanaciero del Concejo de Bogotá</v>
          </cell>
          <cell r="D33" t="str">
            <v>CONTRATACION DIRECTA</v>
          </cell>
          <cell r="E33" t="str">
            <v>PRESTACION DE SERVICIOS1</v>
          </cell>
        </row>
        <row r="34">
          <cell r="A34">
            <v>137</v>
          </cell>
          <cell r="B34" t="str">
            <v>3-1-1-02-03-01 Honorarios Entidad</v>
          </cell>
          <cell r="C34" t="str">
            <v>Prestar los servicios profesionales para acompañar la definición de especificaciones y condiciones técnicas para la adquisición de bienes y servicios relacionadas con tecnología e informática</v>
          </cell>
          <cell r="D34" t="str">
            <v>CONTRATACION DIRECTA</v>
          </cell>
          <cell r="E34" t="str">
            <v>PRESTACION DE SERVICIOS1</v>
          </cell>
        </row>
        <row r="35">
          <cell r="A35">
            <v>138</v>
          </cell>
          <cell r="B35" t="str">
            <v>3-1-2-02-03 Gastos de Transporte y Comunicación</v>
          </cell>
          <cell r="C35" t="str">
            <v>Adición y prórroga al contrato 140198 suscrito con A&amp;V EXPRESS S A cuyo objeto es  la prestación del servicio de  correspondencia  para el Concejo  de Bogotá</v>
          </cell>
          <cell r="D35" t="str">
            <v>NA</v>
          </cell>
          <cell r="E35" t="str">
            <v>PRESTACION DE SERVICIOS</v>
          </cell>
        </row>
        <row r="36">
          <cell r="A36">
            <v>139</v>
          </cell>
          <cell r="B36" t="str">
            <v>3-1-2-02-03 Gastos de Transporte y Comunicación</v>
          </cell>
          <cell r="C36" t="str">
            <v>Suscripción al sistema de televisión satelital para ser instalados en la sede del Concejo de Bogotá</v>
          </cell>
          <cell r="D36" t="str">
            <v>MINIMA CUANTIA</v>
          </cell>
          <cell r="E36" t="str">
            <v>SUSCRIPCION</v>
          </cell>
        </row>
        <row r="37">
          <cell r="A37">
            <v>140</v>
          </cell>
          <cell r="B37" t="str">
            <v>3-1-2-02-04 Impresos y  Publicaciones</v>
          </cell>
          <cell r="C37" t="str">
            <v>Suscripción al servicio de información jurídica a través de un boletín informativo por correo electrónico, consulta web y bibilioteca digital de legislación colombiana actualizada.</v>
          </cell>
          <cell r="D37" t="str">
            <v>MINIMA CUANTIA</v>
          </cell>
          <cell r="E37" t="str">
            <v>SUSCRIPCION</v>
          </cell>
        </row>
        <row r="38">
          <cell r="A38">
            <v>141</v>
          </cell>
          <cell r="B38" t="str">
            <v>3-1-2-02-04 Impresos y  Publicaciones</v>
          </cell>
          <cell r="C38" t="str">
            <v>Suscripción al períodico El Tiempo y Portafolio para el Concejo de Bogotá.</v>
          </cell>
          <cell r="D38" t="str">
            <v>CONTRATACION DIRECTA</v>
          </cell>
          <cell r="E38" t="str">
            <v>SUSCRIPCION</v>
          </cell>
        </row>
        <row r="39">
          <cell r="A39">
            <v>142</v>
          </cell>
          <cell r="B39" t="str">
            <v>3-1-2-02-04 Impresos y  Publicaciones</v>
          </cell>
          <cell r="C39" t="str">
            <v>Suscripción a la Revista del Congreso para el Concejo de Bogotá.-</v>
          </cell>
          <cell r="D39" t="str">
            <v>CONTRATACION DIRECTA</v>
          </cell>
          <cell r="E39" t="str">
            <v>SUSCRIPCION</v>
          </cell>
        </row>
        <row r="40">
          <cell r="A40">
            <v>143</v>
          </cell>
          <cell r="B40" t="str">
            <v>3-1-2-02-04 Impresos y  Publicaciones</v>
          </cell>
          <cell r="C40" t="str">
            <v>Suscripción al Directorio de Despachos Públicos para el Concejo de Bogotá.-</v>
          </cell>
          <cell r="D40" t="str">
            <v>CONTRATACION DIRECTA</v>
          </cell>
          <cell r="E40" t="str">
            <v>SUSCRIPCION</v>
          </cell>
        </row>
        <row r="41">
          <cell r="A41">
            <v>144</v>
          </cell>
          <cell r="B41" t="str">
            <v>3-1-2-02-04 Impresos y  Publicaciones</v>
          </cell>
          <cell r="C41" t="str">
            <v>Suscripción al diario el Espectador para el Concejo de Bogotá</v>
          </cell>
          <cell r="D41" t="str">
            <v>CONTRATACION DIRECTA</v>
          </cell>
          <cell r="E41" t="str">
            <v>SUSCRIPCION</v>
          </cell>
        </row>
        <row r="42">
          <cell r="A42">
            <v>145</v>
          </cell>
          <cell r="B42" t="str">
            <v>3-1-2-02-04 Impresos y  Publicaciones</v>
          </cell>
          <cell r="C42" t="str">
            <v>Suscripción al diario La República para el Concejo de Bogotá.-</v>
          </cell>
          <cell r="D42" t="str">
            <v>CONTRATACION DIRECTA</v>
          </cell>
          <cell r="E42" t="str">
            <v>SUSCRIPCION</v>
          </cell>
        </row>
        <row r="43">
          <cell r="A43">
            <v>146</v>
          </cell>
          <cell r="B43" t="str">
            <v>3-1-2-02-04 Impresos y  Publicaciones</v>
          </cell>
          <cell r="C43" t="str">
            <v>Suscripción a la Revista Semana para el Concejo de Bogotá</v>
          </cell>
          <cell r="D43" t="str">
            <v>CONTRATACION DIRECTA</v>
          </cell>
          <cell r="E43" t="str">
            <v>SUSCRIPCION</v>
          </cell>
        </row>
        <row r="44">
          <cell r="A44">
            <v>148</v>
          </cell>
          <cell r="B44" t="str">
            <v>3-1-2-02-04 Impresos y  Publicaciones</v>
          </cell>
          <cell r="C44" t="str">
            <v>Suscripción al diario El Nuevo Siglo para el Concejo de Bogotá</v>
          </cell>
          <cell r="D44" t="str">
            <v>CONTRATACION DIRECTA</v>
          </cell>
          <cell r="E44" t="str">
            <v>SUSCRIPCION</v>
          </cell>
        </row>
        <row r="45">
          <cell r="A45">
            <v>149</v>
          </cell>
          <cell r="B45" t="str">
            <v>3-1-2-02-05-01 Mantenimiento Entidad</v>
          </cell>
          <cell r="C45" t="str">
            <v>Prestar los servicios de mantenimiento preventivo y correctivo de las alarmas de emergencia ubicadas en la sede principal del Concejo de Bogotá-</v>
          </cell>
          <cell r="D45" t="str">
            <v>MINIMA CUANTIA</v>
          </cell>
          <cell r="E45" t="str">
            <v>PRESTACION DE SERVICIOS</v>
          </cell>
        </row>
        <row r="46">
          <cell r="A46">
            <v>150</v>
          </cell>
          <cell r="B46" t="str">
            <v>3-1-2-02-05-01 Mantenimiento Entidad</v>
          </cell>
          <cell r="C46" t="str">
            <v>Prestar los servicios de mantenimiento correctivo y preventivo para las máquinas: Impresoras litográfica Multilith, compaginadora, guillotina y cizalla manual, ubicadas en la oficina de anales y publicaciones del Concejo de Bogotá</v>
          </cell>
          <cell r="D46" t="str">
            <v>MINIMA CUANTIA</v>
          </cell>
          <cell r="E46" t="str">
            <v>PRESTACION DE SERVICIOS</v>
          </cell>
        </row>
        <row r="47">
          <cell r="A47">
            <v>151</v>
          </cell>
          <cell r="B47" t="str">
            <v>3-1-2-02-05-01 Mantenimiento Entidad</v>
          </cell>
          <cell r="C47" t="str">
            <v>Realizar la interventoría al contrato de mantenimiento integral locativo del Concejo de Bogotá.</v>
          </cell>
          <cell r="D47" t="str">
            <v>MINIMA CUANTIA</v>
          </cell>
          <cell r="E47" t="str">
            <v>CONSULTORIA</v>
          </cell>
        </row>
        <row r="48">
          <cell r="A48">
            <v>152</v>
          </cell>
          <cell r="B48" t="str">
            <v>3-1-2-02-05-01 Mantenimiento Entidad</v>
          </cell>
          <cell r="C48" t="str">
            <v>Prestar los servicios de mantenimiento correctivo y preventivo de la puerta eléctrica y talanqueras de acceso vehicular del Concejo de Bogota</v>
          </cell>
          <cell r="D48" t="str">
            <v>MINIMA CUANTIA</v>
          </cell>
          <cell r="E48" t="str">
            <v>PRESTACION DE SERVICIOS</v>
          </cell>
        </row>
        <row r="49">
          <cell r="A49">
            <v>154</v>
          </cell>
          <cell r="B49" t="str">
            <v>3-1-2-02-05-01 Mantenimiento Entidad</v>
          </cell>
          <cell r="C49" t="str">
            <v>Prestar los servicios de mantenimiento correctivo con suministro de repuestos para los vehículos marca Mitsubishi al servicio del Concejo de Bogotá.</v>
          </cell>
          <cell r="D49" t="str">
            <v>CONTRATACION DIRECTA</v>
          </cell>
          <cell r="E49" t="str">
            <v>PRESTACION DE SERVICIOS</v>
          </cell>
        </row>
        <row r="50">
          <cell r="A50">
            <v>155</v>
          </cell>
          <cell r="B50" t="str">
            <v>3-1-2-02-05-01 Mantenimiento Entidad</v>
          </cell>
          <cell r="C50" t="str">
            <v>Prestar el servicio de mantenimiento preventivo y correctivo para los tanques de almacenamiento y equipos de bombeo hidráulicos de agua potable, residual y aguas negras del Concejo de Bogotá.</v>
          </cell>
          <cell r="D50" t="str">
            <v>MINIMA CUANTIA</v>
          </cell>
          <cell r="E50" t="str">
            <v>PRESTACION DE SERVICIOS</v>
          </cell>
        </row>
        <row r="51">
          <cell r="A51">
            <v>156</v>
          </cell>
          <cell r="B51" t="str">
            <v>3-1-2-02-06-02 Seguros de Vida Concejales</v>
          </cell>
          <cell r="C51" t="str">
            <v>Adición y prorroga al contrato 130342-0-2013 suscrito con POSITIVA COMPAÑIA DE SEGUROS S A para la expedición de la póliza de seguro vida de los  Concejales de Bogotá.</v>
          </cell>
          <cell r="D51" t="str">
            <v>NA</v>
          </cell>
          <cell r="E51" t="str">
            <v>PRESTACION DE SERVICIOS</v>
          </cell>
        </row>
        <row r="52">
          <cell r="A52">
            <v>157</v>
          </cell>
          <cell r="B52" t="str">
            <v>3-1-2-02-11 Promoción Institucional</v>
          </cell>
          <cell r="C52" t="str">
            <v>Suministro de elementos de promoción institucional y actos protocolarios del Concejo de Bogotá.-</v>
          </cell>
          <cell r="D52" t="str">
            <v>MINIMA CUANTIA</v>
          </cell>
          <cell r="E52" t="str">
            <v>SUMINISTRO</v>
          </cell>
        </row>
        <row r="53">
          <cell r="A53">
            <v>158</v>
          </cell>
          <cell r="B53" t="str">
            <v>3-1-2-02-11 Promoción Institucional</v>
          </cell>
          <cell r="C53" t="str">
            <v>Aunar esfuerzos y recursos humanos, financieros y técnicos para realizar las actividades asociadas a la intervención de los bienes muebles de carácter patrimonial del Concejo de Bogotá D.C.</v>
          </cell>
          <cell r="D53" t="str">
            <v>CONTRATACION DIRECTA</v>
          </cell>
          <cell r="E53" t="str">
            <v>CONVENIO INTERADMINISTRATIVO</v>
          </cell>
        </row>
        <row r="54">
          <cell r="A54">
            <v>160</v>
          </cell>
          <cell r="B54" t="str">
            <v>3-1-2-02-17 Información</v>
          </cell>
          <cell r="C54" t="str">
            <v>Presar los servicios de diseño, producción y ejecución de estrategias de divulgación en medios de comunicación de carácter masivo y alternativo para el Concejo de Bogotá.</v>
          </cell>
          <cell r="D54" t="str">
            <v>SEL. ABREVIADA SUB.INVERSA</v>
          </cell>
          <cell r="E54" t="str">
            <v>CONTRATO INTERADMINISTRATIVO</v>
          </cell>
        </row>
        <row r="55">
          <cell r="A55">
            <v>161</v>
          </cell>
          <cell r="B55" t="str">
            <v>3-1-2-02-17 Información</v>
          </cell>
          <cell r="C55" t="str">
            <v>Prestar los servicios de producción y transmisión de  programas de televisión para el Concejo de Bogotá-</v>
          </cell>
          <cell r="D55" t="str">
            <v>CONTRATACION DIRECTA</v>
          </cell>
          <cell r="E55" t="str">
            <v>CONTRATO INTERADMINISTRATIVO</v>
          </cell>
        </row>
        <row r="56">
          <cell r="A56">
            <v>162</v>
          </cell>
          <cell r="B56" t="str">
            <v>3-1-2-01-03 Combustibles, Lubricantes y Llantas</v>
          </cell>
          <cell r="C56" t="str">
            <v>Suministro de combustible para la Secretaría Distrital de Hacienda y Concejo de Bogotá</v>
          </cell>
          <cell r="D56" t="str">
            <v>ACUERDO MARCO</v>
          </cell>
          <cell r="E56" t="str">
            <v>SUMINISTRO</v>
          </cell>
        </row>
        <row r="57">
          <cell r="A57">
            <v>163</v>
          </cell>
          <cell r="B57" t="str">
            <v>3-1-2-01-03 Combustibles, Lubricantes y Llantas</v>
          </cell>
          <cell r="C57" t="str">
            <v>Suministro de ACPM para la Secretaría Distrital de Hacienda y el Concejo de Bogotá</v>
          </cell>
          <cell r="D57" t="str">
            <v>MINIMA CUANTIA</v>
          </cell>
          <cell r="E57" t="str">
            <v>SUMINISTRO</v>
          </cell>
        </row>
        <row r="58">
          <cell r="A58">
            <v>164</v>
          </cell>
          <cell r="B58" t="str">
            <v>3-1-2-01-03 Combustibles, Lubricantes y Llantas</v>
          </cell>
          <cell r="C58" t="str">
            <v>Prestar los servicios de mantenimiento preventivo para los vehículos de la Secretaría de Hacienda y del Concejo de Bogotá.-</v>
          </cell>
          <cell r="D58" t="str">
            <v>MINIMA CUANTIA</v>
          </cell>
          <cell r="E58" t="str">
            <v>PRESTACION DE SERVICIOS</v>
          </cell>
        </row>
        <row r="59">
          <cell r="A59">
            <v>164</v>
          </cell>
          <cell r="B59" t="str">
            <v>3-1-2-02-05-01 Mantenimiento Entidad</v>
          </cell>
          <cell r="C59" t="str">
            <v>Prestar los servicios de mantenimiento preventivo para los vehículos de la Secretaría de Hacienda y del Concejo de Bogotá.-</v>
          </cell>
          <cell r="D59" t="str">
            <v>MINIMA CUANTIA</v>
          </cell>
          <cell r="E59" t="str">
            <v>PRESTACION DE SERVICIOS</v>
          </cell>
        </row>
        <row r="60">
          <cell r="A60">
            <v>165</v>
          </cell>
          <cell r="B60" t="str">
            <v>3-1-2-01-04 Materiales y Suministros</v>
          </cell>
          <cell r="C60" t="str">
            <v>Prestar los servicios integrales de aseo y cafetería y servicio de fumigación para las instalaciones de la Secretaría Distrital de Hacienda de Bogotá, D.C., zonas comunes del Centro Administrativo Distrital - CAD y del Concejo de Bogotá D.C</v>
          </cell>
          <cell r="D60" t="str">
            <v>SEL. ABREVIADA SUB.INVERSA</v>
          </cell>
          <cell r="E60" t="str">
            <v>PRESTACION DE SERVICIOS</v>
          </cell>
        </row>
        <row r="61">
          <cell r="A61">
            <v>165</v>
          </cell>
          <cell r="B61" t="str">
            <v>3-1-2-02-05-01 Mantenimiento Entidad</v>
          </cell>
          <cell r="C61" t="str">
            <v>Prestar los servicios integrales de aseo y cafetería y servicio de fumigación para las instalaciones de la Secretaría Distrital de Hacienda de Bogotá, D.C., zonas comunes del Centro Administrativo Distrital - CAD y del Concejo de Bogotá D.C</v>
          </cell>
          <cell r="D61" t="str">
            <v>SEL. ABREVIADA SUB.INVERSA</v>
          </cell>
          <cell r="E61" t="str">
            <v>PRESTACION DE SERVICIOS</v>
          </cell>
        </row>
        <row r="62">
          <cell r="A62">
            <v>166</v>
          </cell>
          <cell r="B62" t="str">
            <v>3-1-2-01-04 Materiales y Suministros</v>
          </cell>
          <cell r="C62" t="str">
            <v>Suministro de elementos para protección y embalaje de documentos para la Secretaria Distrital de Hacienda y del Concejo de Bogotá</v>
          </cell>
          <cell r="D62" t="str">
            <v>MINIMA CUANTIA</v>
          </cell>
          <cell r="E62" t="str">
            <v>SUMINISTRO</v>
          </cell>
        </row>
        <row r="63">
          <cell r="A63">
            <v>167</v>
          </cell>
          <cell r="B63" t="str">
            <v>3-1-2-01-04 Materiales y Suministros</v>
          </cell>
          <cell r="C63" t="str">
            <v>Suministro de papelería, útiles de escritorio para la Secretaría Distrital de Hacienda y el Concejo de Bogotá--</v>
          </cell>
          <cell r="D63" t="str">
            <v>SEL. ABREVIADA SUB.INVERSA</v>
          </cell>
          <cell r="E63" t="str">
            <v>SUMINISTRO</v>
          </cell>
        </row>
        <row r="64">
          <cell r="A64">
            <v>168</v>
          </cell>
          <cell r="B64" t="str">
            <v>3-1-2-02-03 Gastos de Transporte y Comunicación</v>
          </cell>
          <cell r="C64" t="str">
            <v>Prestar el servicio de correspondencia para la Secretaría de Hacienda  y de mensajería expresa masiva para la Secretaria Distrital de Hacienda y el Concejo de Bogotá</v>
          </cell>
          <cell r="D64" t="str">
            <v>SEL. ABREVIADA SUB.INVERSA</v>
          </cell>
          <cell r="E64" t="str">
            <v>PRESTACION DE SERVICIOS</v>
          </cell>
        </row>
        <row r="65">
          <cell r="A65">
            <v>169</v>
          </cell>
          <cell r="B65" t="str">
            <v>3-1-2-02-03 Gastos de Transporte y Comunicación</v>
          </cell>
          <cell r="C65" t="str">
            <v>Prestar el servicio de transporte  de bienes muebles, equipos de oficina y cajas de archivo documental para la Secretaria Distrital de Hacienda y el Concejo de Bogotá.</v>
          </cell>
          <cell r="D65" t="str">
            <v>MINIMA CUANTIA</v>
          </cell>
          <cell r="E65" t="str">
            <v>TRANSPORTE</v>
          </cell>
        </row>
        <row r="66">
          <cell r="A66">
            <v>170</v>
          </cell>
          <cell r="B66" t="str">
            <v>3-1-2-02-04 Impresos y  Publicaciones</v>
          </cell>
          <cell r="C66" t="str">
            <v>Prestar el servicio Integral de fotocopiado y servicios afines para la Secretaría Distrital de Hacienda y del Concejo de Bogotá</v>
          </cell>
          <cell r="D66" t="str">
            <v>SEL. ABREVIADA SUB.INVERSA</v>
          </cell>
          <cell r="E66" t="str">
            <v>PRESTACION DE SERVICIOS</v>
          </cell>
        </row>
        <row r="67">
          <cell r="A67">
            <v>171</v>
          </cell>
          <cell r="B67" t="str">
            <v>3-1-2-02-05-01 Mantenimiento Entidad</v>
          </cell>
          <cell r="C67" t="str">
            <v>Prestar los servicios de mantenimiento preventivo y correctivo a los ascensores marca Mitsubishi del CAD y del Concejo de Bogotá y de la Plataforma para discapacitados ubicada en el CAD.-</v>
          </cell>
          <cell r="D67" t="str">
            <v>CONTRATACION DIRECTA</v>
          </cell>
          <cell r="E67" t="str">
            <v>PRESTACION DE SERVICIOS</v>
          </cell>
        </row>
        <row r="68">
          <cell r="A68">
            <v>172</v>
          </cell>
          <cell r="B68" t="str">
            <v>3-1-2-02-05-01 Mantenimiento Entidad</v>
          </cell>
          <cell r="C68" t="str">
            <v>Prestar los servicios de mantenimiento correctivo y suministro de repuestos para los sistemas de archivos rodantes de la Secretaría Distrital de Hacienda y del Concejo de Bogotá-</v>
          </cell>
          <cell r="D68" t="str">
            <v>MINIMA CUANTIA</v>
          </cell>
          <cell r="E68" t="str">
            <v>PRESTACION DE SERVICIOS</v>
          </cell>
        </row>
        <row r="69">
          <cell r="A69">
            <v>173</v>
          </cell>
          <cell r="B69" t="str">
            <v>3-1-2-02-05-01 Mantenimiento Entidad</v>
          </cell>
          <cell r="C69" t="str">
            <v>Prestar los servicios de mantenimiento integral locativo con el suministro de personal, equipo y repuestos en las instalaciones físicas de la Secretaría Distrital de Hacienda y del Concejo de Bogotá.</v>
          </cell>
          <cell r="D69" t="str">
            <v>SEL. ABREVIADA MENOR CUANTIA</v>
          </cell>
          <cell r="E69" t="str">
            <v>OBRA</v>
          </cell>
        </row>
        <row r="70">
          <cell r="A70">
            <v>174</v>
          </cell>
          <cell r="B70" t="str">
            <v>3-1-2-02-05-01 Mantenimiento Entidad</v>
          </cell>
          <cell r="C70" t="str">
            <v xml:space="preserve">Prestar el servicio de vigilancia y seguridad privada en las instalaciones de la Secretaria de Hacienda y del Concejo de Bogotá., con el fin de asegurar la protección y custodia de las personas y bienes muebles e inmuebles de propiedad de la entidad y de </v>
          </cell>
          <cell r="D70" t="str">
            <v>SEL. ABREVIADA SUB.INVERSA</v>
          </cell>
          <cell r="E70" t="str">
            <v>PRESTACION DE SERVICIOS</v>
          </cell>
        </row>
        <row r="71">
          <cell r="A71">
            <v>175</v>
          </cell>
          <cell r="B71" t="str">
            <v>3-1-2-02-05-01 Mantenimiento Entidad</v>
          </cell>
          <cell r="C71" t="str">
            <v>Prestar los servicios de mantenimiento preventivo y correctivo con suministro de repuestos de los automotores marca Chevrolet al servicio de la Secretaría Distrital de Hacienda y del Concejo de Bogotá</v>
          </cell>
          <cell r="D71" t="str">
            <v>MINIMA CUANTIA</v>
          </cell>
          <cell r="E71" t="str">
            <v>PRESTACION DE SERVICIOS</v>
          </cell>
        </row>
        <row r="72">
          <cell r="A72">
            <v>176</v>
          </cell>
          <cell r="B72" t="str">
            <v>3-1-2-02-05-01 Mantenimiento Entidad</v>
          </cell>
          <cell r="C72" t="str">
            <v xml:space="preserve">Prestar los servicios de mantenimiento correctivo correspondiente a la reparación y corrección de las sillas existentes en la Secretaría de Distrital de Hacienda y del Concejo de Bogotá, con el suministro de repuestos y/o elementos nuevos necesarios para </v>
          </cell>
          <cell r="D72" t="str">
            <v>SEL. ABREVIADA SUB.INVERSA</v>
          </cell>
          <cell r="E72" t="str">
            <v>PRESTACION DE SERVICIOS</v>
          </cell>
        </row>
        <row r="73">
          <cell r="A73">
            <v>177</v>
          </cell>
          <cell r="B73" t="str">
            <v>3-1-2-02-05-01 Mantenimiento Entidad</v>
          </cell>
          <cell r="C73" t="str">
            <v>Prestar los servicios de mantenimiento preventivo y correctivo al sistema eléctrico del  Centro Administrativo Distrital CAD y al sistema de generación y transferencia eléctrica de emergencia  del Concejo de Bogotá, DC.</v>
          </cell>
          <cell r="D73" t="str">
            <v>SEL. ABREVIADA MENOR CUANTIA</v>
          </cell>
          <cell r="E73" t="str">
            <v>PRESTACION DE SERVICIOS</v>
          </cell>
        </row>
        <row r="74">
          <cell r="A74">
            <v>178</v>
          </cell>
          <cell r="B74" t="str">
            <v>3-1-2-02-05-01 Mantenimiento Entidad</v>
          </cell>
          <cell r="C74" t="str">
            <v>Prestar los servicios de mantenimiento con suministro de repuestos para plantas purificadoras de agua semi-industriales de la Secretaría Distrital de Hacienda</v>
          </cell>
          <cell r="D74" t="str">
            <v>MINIMA CUANTIA</v>
          </cell>
          <cell r="E74" t="str">
            <v>PRESTACION DE SERVICIOS</v>
          </cell>
        </row>
        <row r="75">
          <cell r="A75">
            <v>179</v>
          </cell>
          <cell r="B75" t="str">
            <v>3-1-2-02-06-02 Seguros de Vida Concejales</v>
          </cell>
          <cell r="C75" t="str">
            <v>Expedir la pólizas de seguros requeridas para adecuada protección de los bienes de la Secretaría Distrital de Hacienda y del Concejo de Bogotá D.C., así como el seguro de Grupo Vida de los Concejales de Bogotá D.C.</v>
          </cell>
          <cell r="D75" t="str">
            <v>LICITACION PUBLICA</v>
          </cell>
          <cell r="E75" t="str">
            <v>PRESTACION DE SERVICIOS</v>
          </cell>
        </row>
        <row r="76">
          <cell r="A76">
            <v>179</v>
          </cell>
          <cell r="B76" t="str">
            <v>3-1-2-02-06-01 Seguros Entidad</v>
          </cell>
          <cell r="C76" t="str">
            <v>Expedir la pólizas de seguros requeridas para adecuada protección de los bienes de la Secretaría Distrital de Hacienda y del Concejo de Bogotá D.C., así como el seguro de Grupo Vida de los Concejales de Bogotá D.C.</v>
          </cell>
          <cell r="D76" t="str">
            <v>LICITACION PUBLICA</v>
          </cell>
          <cell r="E76" t="str">
            <v>PRESTACION DE SERVICIOS</v>
          </cell>
        </row>
        <row r="77">
          <cell r="A77">
            <v>180</v>
          </cell>
          <cell r="B77" t="str">
            <v>3-1-2-02-06-01 Seguros Entidad</v>
          </cell>
          <cell r="C77" t="str">
            <v>Expedir las polizas de seguro obligatorio SOAT para los vehículos de la Secretaría Distrital de Hacienda y del Concejo de Bogotá</v>
          </cell>
          <cell r="D77" t="str">
            <v>ACUERDO MARCO</v>
          </cell>
          <cell r="E77" t="str">
            <v>PRESTACION DE SERVICIOS</v>
          </cell>
        </row>
        <row r="78">
          <cell r="A78">
            <v>181</v>
          </cell>
          <cell r="B78" t="str">
            <v>3-1-2-02-09-01 Capacitación Interna</v>
          </cell>
          <cell r="C78" t="str">
            <v>Realizar las actividades de capacitación previstas en el Plan Institucional de Capacitación para los funcionarios de la SDH y el Concejo de Bogota.</v>
          </cell>
          <cell r="D78" t="str">
            <v>LICITACION PUBLICA</v>
          </cell>
          <cell r="E78" t="str">
            <v>PRESTACION DE SERVICIOS</v>
          </cell>
        </row>
        <row r="79">
          <cell r="A79">
            <v>182</v>
          </cell>
          <cell r="B79" t="str">
            <v>3-1-2-02-11 Promoción Institucional</v>
          </cell>
          <cell r="C79" t="str">
            <v>Presar el servicio de alquiler de escenarios como salones, auditorios y espacios abiertos, apoyo logístico y servicio de catering para el desarrollo de eventos que requieran la Secretaría Distrital de Hacienda y el Concejo de Bogotá.</v>
          </cell>
          <cell r="D79" t="str">
            <v>SEL. ABREVIADA MENOR CUANTIA</v>
          </cell>
          <cell r="E79" t="str">
            <v>PRESTACION DE SERVICIOS</v>
          </cell>
        </row>
        <row r="80">
          <cell r="A80">
            <v>184</v>
          </cell>
          <cell r="B80" t="str">
            <v>3-1-2-02-10 Bienestar e Incentivos</v>
          </cell>
          <cell r="C80" t="str">
            <v>Adquisición de bonos navideños para los hijos de los funcionarios de la Secretaría de Hacienda y el Concejo de Bogotá</v>
          </cell>
          <cell r="D80" t="str">
            <v>SEL. ABREVIADA MENOR CUANTIA</v>
          </cell>
          <cell r="E80" t="str">
            <v>COMPRAVENTA</v>
          </cell>
        </row>
        <row r="81">
          <cell r="A81">
            <v>185</v>
          </cell>
          <cell r="B81" t="str">
            <v>3-1-2-02-10 Bienestar e Incentivos</v>
          </cell>
          <cell r="C81" t="str">
            <v>Desarrollar las actividades contenidas en los Planes de Bienestar e Incentivos y Mejoramiento del Clima Laboral para la Secretaría de Hacienda y el Concejo de Bogota.</v>
          </cell>
          <cell r="D81" t="str">
            <v>LICITACION PUBLICA</v>
          </cell>
          <cell r="E81" t="str">
            <v>PRESTACION DE SERVICIOS</v>
          </cell>
        </row>
        <row r="82">
          <cell r="A82">
            <v>186</v>
          </cell>
          <cell r="B82" t="str">
            <v>3-1-2-02-12 Salud Ocupacional</v>
          </cell>
          <cell r="C82" t="str">
            <v>Adquisición de elementos e insumos necesarios para atender los primeros auxilios y dotar los botiquines de la Secretaría de Hacienda</v>
          </cell>
          <cell r="D82" t="str">
            <v>MINIMA CUANTIA</v>
          </cell>
          <cell r="E82" t="str">
            <v>COMPRAVENTA</v>
          </cell>
        </row>
        <row r="83">
          <cell r="A83">
            <v>187</v>
          </cell>
          <cell r="B83" t="str">
            <v>3-1-2-02-12 Salud Ocupacional</v>
          </cell>
          <cell r="C83" t="str">
            <v>Adquisición de elementos de protección personal para los servidores de la Secretaría de Hacienda y del Concejo de Bogotá</v>
          </cell>
          <cell r="D83" t="str">
            <v>MINIMA CUANTIA</v>
          </cell>
          <cell r="E83" t="str">
            <v>COMPRAVENTA</v>
          </cell>
        </row>
        <row r="84">
          <cell r="A84">
            <v>188</v>
          </cell>
          <cell r="B84" t="str">
            <v>3-1-2-02-12 Salud Ocupacional</v>
          </cell>
          <cell r="C84" t="str">
            <v>Realizar exámenes médicos ocupacionales y complementarios y aplicación de vacunas para los funcionarios de la Secretaría Distrital de Hacienda y del Concejo de Bogotá</v>
          </cell>
          <cell r="D84" t="str">
            <v>SEL. ABREVIADA MENOR CUANTIA</v>
          </cell>
          <cell r="E84" t="str">
            <v>PRESTACION DE SERVICIOS</v>
          </cell>
        </row>
        <row r="85">
          <cell r="A85">
            <v>189</v>
          </cell>
          <cell r="B85" t="str">
            <v>3-1-2-02-12 Salud Ocupacional</v>
          </cell>
          <cell r="C85" t="str">
            <v>Prestar los servicios de revisión, mantenimiento y recarga de extintores y  gabinetes contra incendio con suministro de repuestos y otros elementos de seguridad para la Secretaría Distrital de Hacienda, el CAD y el Concejo de Bogotá.</v>
          </cell>
          <cell r="D85" t="str">
            <v>MINIMA CUANTIA</v>
          </cell>
          <cell r="E85" t="str">
            <v>PRESTACION DE SERVICIOS</v>
          </cell>
        </row>
        <row r="86">
          <cell r="A86">
            <v>208</v>
          </cell>
          <cell r="B86" t="str">
            <v>3-3-1-14-03-31-0728-235235 - Fortalecimiento a la gestión institucional del Concejo de Bogotá</v>
          </cell>
          <cell r="C86" t="str">
            <v>Arriendo de un inmueble para uso de parqueadero de vehÍculos y motocicletas del Concejo de Bogotá.</v>
          </cell>
          <cell r="D86" t="str">
            <v>CONTRATACION DIRECTA</v>
          </cell>
          <cell r="E86" t="str">
            <v>ARRENDAMIENTO</v>
          </cell>
        </row>
        <row r="87">
          <cell r="A87">
            <v>210</v>
          </cell>
          <cell r="B87" t="str">
            <v>3-3-1-14-03-31-0728-235235 - Fortalecimiento a la gestión institucional del Concejo de Bogotá</v>
          </cell>
          <cell r="C87" t="str">
            <v>Aunar esfuerzos humanos, tecnicos, logisticos y administrativos para garantizar el esquema de seguridad requerido por los Concejales del Distrito Capital que se encuentren en situacion de riesgo extraordinario o extremo como consecuencia directa del ejerc</v>
          </cell>
          <cell r="D87" t="str">
            <v>CONTRATACION DIRECTA</v>
          </cell>
          <cell r="E87" t="str">
            <v>CONTRATO INTERADMINISTRATIVO</v>
          </cell>
        </row>
        <row r="88">
          <cell r="A88">
            <v>213</v>
          </cell>
          <cell r="B88" t="str">
            <v>3-3-1-14-03-31-0728-235235 - Fortalecimiento a la gestión institucional del Concejo de Bogotá</v>
          </cell>
          <cell r="C88" t="str">
            <v>Adquisición, entrega y montaje de mobiliario y equipo de oficina para la sede del Concejo de Bogotá</v>
          </cell>
          <cell r="D88" t="str">
            <v>SEL. ABREVIADA SUB.INVERSA</v>
          </cell>
          <cell r="E88" t="str">
            <v>COMPRAVENTA</v>
          </cell>
        </row>
        <row r="89">
          <cell r="A89">
            <v>263</v>
          </cell>
          <cell r="B89" t="str">
            <v>3-3-1-14-03-31-0728-235235 - Fortalecimiento a la gestión institucional del Concejo de Bogotá</v>
          </cell>
          <cell r="C89" t="str">
            <v>Adicion y Prorroga al contrato 140249-0-2014 suscrito con Inversiones Matay cuyo objeto es: Contratar a título de arrendamiento un inmueble para uso de parqueadero, por parte del Concejo de Bogotá D.C.</v>
          </cell>
          <cell r="D89" t="str">
            <v>CONTRATACION DIRECTA</v>
          </cell>
          <cell r="E89" t="str">
            <v>ARRENDAMIENTO</v>
          </cell>
        </row>
        <row r="90">
          <cell r="A90">
            <v>266</v>
          </cell>
          <cell r="B90" t="str">
            <v>3-1-2-01-04 Materiales y Suministros</v>
          </cell>
          <cell r="C90" t="str">
            <v>Adquisicion de audifonos biauriculares para el  Concejo de Bogotá D.C.</v>
          </cell>
          <cell r="D90" t="str">
            <v>MINIMA CUANTIA</v>
          </cell>
          <cell r="E90" t="str">
            <v>COMPRAVENTA</v>
          </cell>
        </row>
        <row r="91">
          <cell r="A91">
            <v>267</v>
          </cell>
          <cell r="B91" t="str">
            <v>3-1-2-02-04 Impresos y  Publicaciones</v>
          </cell>
          <cell r="C91" t="str">
            <v>Adicion al contrato 140342-2014 que tiene por objeto: Prestar el  servicio de empaste y/o encuadernación de documentos del concejo de Bogotá D.C.</v>
          </cell>
          <cell r="D91" t="str">
            <v>NA</v>
          </cell>
          <cell r="E91" t="str">
            <v>NA</v>
          </cell>
        </row>
        <row r="92">
          <cell r="A92">
            <v>274</v>
          </cell>
          <cell r="B92" t="str">
            <v>3-1-1-02-04 Remuneración Servicios Técnicos</v>
          </cell>
          <cell r="C92" t="str">
            <v>Prestar los servicios de apoyo al Concejo de Bogota D.C., en la elaboracion y actualizacion  para el control en el proceso de depuracion y actualizacion de la normativa de los acuerdos Distritales.</v>
          </cell>
          <cell r="D92" t="str">
            <v>CONTRATACION DIRECTA</v>
          </cell>
          <cell r="E92" t="str">
            <v>PRESTACION DE SERVICIOS</v>
          </cell>
        </row>
        <row r="93">
          <cell r="A93">
            <v>275</v>
          </cell>
          <cell r="B93" t="str">
            <v>3-1-2-02-11 Promoción Institucional</v>
          </cell>
          <cell r="C93" t="str">
            <v xml:space="preserve">Adicion y prorroga al contrato 140238-0-2014 que tiene por objeto: Prestar el servicio de alquiler de escenarios como salones, auditorios y espacios abiertos, apoyo logístico y servicio de catering para el desarrollo de eventos que requiera el Concejo de </v>
          </cell>
          <cell r="D93" t="str">
            <v>NA</v>
          </cell>
          <cell r="E93" t="str">
            <v>PRESTACION DE SERVICIOS</v>
          </cell>
        </row>
        <row r="94">
          <cell r="A94">
            <v>277</v>
          </cell>
          <cell r="B94" t="str">
            <v>3-1-2-01-02 Gastos de Computador</v>
          </cell>
          <cell r="C94" t="str">
            <v>Adquirir elementos de hardware para el sistema de voto electrónico del Concejo de Bogotá.</v>
          </cell>
          <cell r="D94" t="str">
            <v>MINIMA CUANTIA</v>
          </cell>
          <cell r="E94" t="str">
            <v>PRESTACION DE SERVICIOS</v>
          </cell>
        </row>
        <row r="95">
          <cell r="A95">
            <v>282</v>
          </cell>
          <cell r="B95" t="str">
            <v>3-1-2-01-02 Gastos de Computador</v>
          </cell>
          <cell r="C95" t="str">
            <v>Contratar el Outsourcing Integral para los Servicios de Gestión de Mesa de Ayuda, Gestión de Impresión, para la SDH,  el Concejo de Bogotá y el servicio de monitoreo y operación del Data Center en modalidad BPO 7x24 para la SDH.</v>
          </cell>
          <cell r="D95" t="str">
            <v>LICITACION PUBLICA</v>
          </cell>
          <cell r="E95" t="str">
            <v>PRESTACION DE SERVICIOS</v>
          </cell>
        </row>
        <row r="96">
          <cell r="A96">
            <v>284</v>
          </cell>
          <cell r="B96" t="str">
            <v>3-1-2-01-02 Gastos de Computador</v>
          </cell>
          <cell r="C96" t="str">
            <v>Adición y pórroga a los contrato No. 140309-0-2014 y 140310-0-2014 cuyo objeto es contratar la gestión integral de servicios de mesa de ayuda, soporte informático, mantenimiento preventivo y correctivo de la infraestructura tecnológica con suministro de r</v>
          </cell>
          <cell r="D96" t="str">
            <v>NA</v>
          </cell>
          <cell r="E96" t="str">
            <v>PRESTACION DE SERVICIOS</v>
          </cell>
        </row>
        <row r="97">
          <cell r="A97">
            <v>289</v>
          </cell>
          <cell r="B97" t="str">
            <v>3-1-2-02-10 Bienestar e Incentivos</v>
          </cell>
          <cell r="C97" t="str">
            <v>Adición del Contrato N° 140351-0-2014 suscrito con J.A. Zabala Consultores Asociados S.AS. para - desarrollar actividades contenidas en el Plan de Bienestar e Incentivos del Concejo de Bogotá-</v>
          </cell>
          <cell r="D97" t="str">
            <v>NA</v>
          </cell>
          <cell r="E97" t="str">
            <v>PRESTACION DE SERVICIOS</v>
          </cell>
        </row>
        <row r="98">
          <cell r="A98">
            <v>298</v>
          </cell>
          <cell r="B98" t="str">
            <v>3-3-1-14-03-31-0728-235235 - Fortalecimiento a la gestión institucional del Concejo de Bogotá</v>
          </cell>
          <cell r="C98" t="str">
            <v>Prestar servicios profesionales para la identificación y análisis de información y elementos que permitan a la Oficina de Planeación del Concejo de Bogotá, la implementación del Subsistema de Responsabilidad Social SRS.</v>
          </cell>
          <cell r="D98" t="str">
            <v>CONTRATACION DIRECTA</v>
          </cell>
          <cell r="E98" t="str">
            <v>PRESTACION DE SERVICIOS1</v>
          </cell>
        </row>
        <row r="99">
          <cell r="A99">
            <v>299</v>
          </cell>
          <cell r="B99" t="str">
            <v>3-3-1-14-03-31-0728-235235 - Fortalecimiento a la gestión institucional del Concejo de Bogotá</v>
          </cell>
          <cell r="C99" t="str">
            <v>Prestar los servicios de apoyo para consolidar y sistematizar la información del proceso de planificación del Subsistema de Responsabilidad Social SRS.</v>
          </cell>
          <cell r="D99" t="str">
            <v>CONTRATACION DIRECTA</v>
          </cell>
          <cell r="E99" t="str">
            <v>PRESTACION DE SERVICIOS</v>
          </cell>
        </row>
        <row r="100">
          <cell r="A100">
            <v>300</v>
          </cell>
          <cell r="B100" t="str">
            <v>3-3-1-14-03-31-0728-235235 - Fortalecimiento a la gestión institucional del Concejo de Bogotá</v>
          </cell>
          <cell r="C100" t="str">
            <v>Prestar los servicios de apoyo, para la elaboración de la documentación soporte para la implementación del Subsistema de Responsabilidad Social SRS.</v>
          </cell>
          <cell r="D100" t="str">
            <v>CONTRATACION DIRECTA</v>
          </cell>
          <cell r="E100" t="str">
            <v>PRESTACION DE SERVICIOS</v>
          </cell>
        </row>
        <row r="101">
          <cell r="A101">
            <v>304</v>
          </cell>
          <cell r="B101" t="str">
            <v>3-1-2-02-06-02 Seguros de Vida Concejales</v>
          </cell>
          <cell r="C101" t="str">
            <v>Adición y prorroga al contrato 130342-0-2013 suscrito con POSITIVA COMPAÑIA DE SEGUROS S A para la expedición de la póliza de seguro vida de los  Concejales de Bogotá.</v>
          </cell>
          <cell r="D101" t="str">
            <v>NA</v>
          </cell>
          <cell r="E101" t="str">
            <v>PRESTACION DE SERVICIOS</v>
          </cell>
        </row>
        <row r="102">
          <cell r="A102">
            <v>305</v>
          </cell>
          <cell r="B102" t="str">
            <v>3-1-2-02-06-01 Seguros Entidad</v>
          </cell>
          <cell r="C102" t="str">
            <v>Adición y prorroga al contrato 130350-0-2013 suscrito con UT Colpatria - Allianz- Mapfre para amparar los bienes e intereses de la SDH y el Concejo de Bogotá</v>
          </cell>
          <cell r="D102" t="str">
            <v>NA</v>
          </cell>
          <cell r="E102" t="str">
            <v>PRESTACION DE SERVICIOS</v>
          </cell>
        </row>
        <row r="103">
          <cell r="A103">
            <v>307</v>
          </cell>
          <cell r="B103" t="str">
            <v>3-1-2-01-02 Gastos de Computador</v>
          </cell>
          <cell r="C103" t="str">
            <v>Adquirir el soporte y actualización de licenciamiento del software Infodoc para el Concejo de Bogotá</v>
          </cell>
          <cell r="D103" t="str">
            <v>MINIMA CUANTIA</v>
          </cell>
          <cell r="E103" t="str">
            <v>NA</v>
          </cell>
        </row>
        <row r="104">
          <cell r="A104">
            <v>308</v>
          </cell>
          <cell r="B104" t="str">
            <v>3-1-2-01-02 Gastos de Computador</v>
          </cell>
          <cell r="C104" t="str">
            <v>Prestar los servicios de administración y soporte técnico para la plataforma Oracle del Concejo de Bogotá</v>
          </cell>
          <cell r="D104" t="str">
            <v>SEL. ABREVIADA MENOR CUANTIA</v>
          </cell>
          <cell r="E104" t="str">
            <v>PRESTACION DE SERVICIOS</v>
          </cell>
        </row>
        <row r="105">
          <cell r="A105">
            <v>309</v>
          </cell>
          <cell r="B105" t="str">
            <v>3-1-2-02-10 Bienestar e Incentivos</v>
          </cell>
          <cell r="C105" t="str">
            <v>Adicion al contrato 140351-0-2014 cuyo objeto es ¿Prestar los servicios integrales para desarrollar actividades contenidas en el Plan de Bienestar e Incentivos del Concejo de Bogotá</v>
          </cell>
          <cell r="D105" t="str">
            <v>NA</v>
          </cell>
          <cell r="E105" t="str">
            <v>PRESTACION DE SERVICIOS</v>
          </cell>
        </row>
        <row r="106">
          <cell r="A106">
            <v>310</v>
          </cell>
          <cell r="B106" t="str">
            <v>3-1-2-02-17 Información</v>
          </cell>
          <cell r="C106" t="str">
            <v>Adicionar el contrato 140418-0-2014 que tiene por objeto: Prestar el servicio de diseño, producción y ejecución de estrategias de divulgación en medios de comunicación de carácter masivo, alternativo y comunitario para el Concejo de Bogotá</v>
          </cell>
          <cell r="D106" t="str">
            <v>NA</v>
          </cell>
          <cell r="E106" t="str">
            <v>PRESTACION DE SERVICIOS</v>
          </cell>
        </row>
        <row r="107">
          <cell r="A107">
            <v>314</v>
          </cell>
          <cell r="B107" t="str">
            <v>3-3-1-14-03-31-0728-235235 - Fortalecimiento a la gestión institucional del Concejo de Bogotá</v>
          </cell>
          <cell r="C107" t="str">
            <v>Realizar la adquisición, actualización y soporte de licenciamiento del software Aranda para el Concejo de Bogotá.</v>
          </cell>
          <cell r="D107" t="str">
            <v>SEL. ABREVIADA MENOR CUANTIA</v>
          </cell>
          <cell r="E107" t="str">
            <v>PRESTACION DE SERVICIOS</v>
          </cell>
        </row>
        <row r="108">
          <cell r="A108">
            <v>314</v>
          </cell>
          <cell r="B108" t="str">
            <v>3-1-2-01-02 Gastos de Computador</v>
          </cell>
          <cell r="C108" t="str">
            <v>Realizar la adquisición, actualización y soporte de licenciamiento del software Aranda para el Concejo de Bogotá.</v>
          </cell>
          <cell r="D108" t="str">
            <v>SEL. ABREVIADA MENOR CUANTIA</v>
          </cell>
          <cell r="E108" t="str">
            <v>PRESTACION DE SERVICIOS</v>
          </cell>
        </row>
        <row r="109">
          <cell r="A109">
            <v>319</v>
          </cell>
          <cell r="B109" t="str">
            <v>3-1-1-02-03-01 Honorarios Entidad</v>
          </cell>
          <cell r="C109" t="str">
            <v>Prestar los servicios profesionales al Concejo de Bogotá D.C. para apoyar el área de nómina, especialmente en áreas relacionadas con la seguridad social.</v>
          </cell>
          <cell r="D109" t="str">
            <v>CONTRATACION DIRECTA</v>
          </cell>
          <cell r="E109" t="str">
            <v>PRESTACION DE SERVICIOS1</v>
          </cell>
        </row>
        <row r="110">
          <cell r="A110">
            <v>320</v>
          </cell>
          <cell r="B110" t="str">
            <v>3-1-1-02-03-01 Honorarios Entidad</v>
          </cell>
          <cell r="C110" t="str">
            <v>Prestar servicios profesionales para apoyar a la Dirección Jurídica del Concejo de Bogotá, con especial énfasis en análisis y respuestas  a derechos de petición y PQRS</v>
          </cell>
          <cell r="D110" t="str">
            <v>CONTRATACION DIRECTA</v>
          </cell>
          <cell r="E110" t="str">
            <v>PRESTACION DE SERVICIOS1</v>
          </cell>
        </row>
        <row r="111">
          <cell r="A111">
            <v>321</v>
          </cell>
          <cell r="B111" t="str">
            <v>3-1-1-02-04 Remuneración Servicios Técnicos</v>
          </cell>
          <cell r="C111" t="str">
            <v>Prestar servicios para apoyar actividades del proceso de relatoría del Concejo de Bogotá D.C., para la transcripción y elaboración de Actas de sesiones de las diferentes Comisiones y de Sesiones de Plenaria.</v>
          </cell>
          <cell r="D111" t="str">
            <v>CONTRATACION DIRECTA</v>
          </cell>
          <cell r="E111" t="str">
            <v>PRESTACION DE SERVICIOS</v>
          </cell>
        </row>
        <row r="112">
          <cell r="A112">
            <v>322</v>
          </cell>
          <cell r="B112" t="str">
            <v>3-1-1-02-04 Remuneración Servicios Técnicos</v>
          </cell>
          <cell r="C112" t="str">
            <v>Prestar servicios de apoyo para sistematizar y consolidar la información relacionada con las incapacidades de los funcionarios en el marco del proceso de Seguridad Social del Concejo de Bogotá</v>
          </cell>
          <cell r="D112" t="str">
            <v>CONTRATACION DIRECTA</v>
          </cell>
          <cell r="E112" t="str">
            <v>PRESTACION DE SERVICIOS</v>
          </cell>
        </row>
        <row r="113">
          <cell r="A113">
            <v>324</v>
          </cell>
          <cell r="B113" t="str">
            <v>3-1-1-02-03-01 Honorarios Entidad</v>
          </cell>
          <cell r="C113" t="str">
            <v>Prestar servicios profesionales para la identificación y análisis de información y elementos que permitan a la Dirección Administrativa del Concejo de Bogotá, la implementación del Plan Estratégico de Seguridad Vial.</v>
          </cell>
          <cell r="D113" t="str">
            <v>CONTRATACION DIRECTA</v>
          </cell>
          <cell r="E113" t="str">
            <v>PRESTACION DE SERVICIOS1</v>
          </cell>
        </row>
        <row r="114">
          <cell r="A114">
            <v>325</v>
          </cell>
          <cell r="B114" t="str">
            <v>3-3-1-14-03-31-0728-235235 - Fortalecimiento a la gestión institucional del Concejo de Bogotá</v>
          </cell>
          <cell r="C114" t="str">
            <v>Prestar los servicios profesionales para apoyar en el desarrollo e implementación de los sistemas de información requeridos, construidos bajo la plataforma Oracle, en el Concejo de Bogotá.</v>
          </cell>
          <cell r="D114" t="str">
            <v>CONTRATACION DIRECTA</v>
          </cell>
          <cell r="E114" t="str">
            <v>PRESTACION DE SERVICIOS1</v>
          </cell>
        </row>
        <row r="115">
          <cell r="A115">
            <v>326</v>
          </cell>
          <cell r="B115" t="str">
            <v>3-3-1-14-03-31-0728-235235 - Fortalecimiento a la gestión institucional del Concejo de Bogotá</v>
          </cell>
          <cell r="C115" t="str">
            <v>Adquirir el software Equitrac, para el Concejo de Bogotá</v>
          </cell>
          <cell r="D115" t="str">
            <v>CONTRATACION DIRECTA</v>
          </cell>
          <cell r="E115" t="str">
            <v>NA</v>
          </cell>
        </row>
        <row r="116">
          <cell r="A116">
            <v>327</v>
          </cell>
          <cell r="B116" t="str">
            <v>3-1-2-02-05-01 Mantenimiento Entidad</v>
          </cell>
          <cell r="C116" t="str">
            <v>Adicionar y prorrogar el contrato 140233-2014 que tiene por objeto: Realizar la Interventoría técnica administrativa, ambiental, contractual, financiera, legal y presupuestal, para el contrato de Mantenimiento Integral Locativo con el suministro de person</v>
          </cell>
          <cell r="D116" t="str">
            <v>NA</v>
          </cell>
          <cell r="E116" t="str">
            <v>CONSULTORIA</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s>
    <sheetDataSet>
      <sheetData sheetId="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de contratacion Ene 2-2015"/>
      <sheetName val="Hoja1"/>
      <sheetName val="Feb 27-2015"/>
      <sheetName val="Hoja2"/>
      <sheetName val="Mar 9-2015"/>
      <sheetName val="Seguimiento Plan"/>
      <sheetName val="Indicadores"/>
      <sheetName val="IndicadoresP"/>
    </sheetNames>
    <sheetDataSet>
      <sheetData sheetId="0" refreshError="1"/>
      <sheetData sheetId="1" refreshError="1"/>
      <sheetData sheetId="2" refreshError="1"/>
      <sheetData sheetId="3" refreshError="1"/>
      <sheetData sheetId="4" refreshError="1"/>
      <sheetData sheetId="5" refreshError="1">
        <row r="2">
          <cell r="C2">
            <v>53</v>
          </cell>
          <cell r="D2" t="str">
            <v>SISTEMAS</v>
          </cell>
          <cell r="E2">
            <v>3</v>
          </cell>
          <cell r="F2" t="str">
            <v>NA</v>
          </cell>
          <cell r="G2" t="str">
            <v>NUEVA</v>
          </cell>
          <cell r="H2" t="str">
            <v>RECURSOS PROPIOS</v>
          </cell>
          <cell r="I2">
            <v>120000</v>
          </cell>
          <cell r="J2">
            <v>4</v>
          </cell>
          <cell r="K2" t="str">
            <v>NA</v>
          </cell>
          <cell r="L2" t="str">
            <v>3-1-2-01-02 Gastos de Computador</v>
          </cell>
          <cell r="M2">
            <v>1</v>
          </cell>
          <cell r="N2" t="str">
            <v>NA</v>
          </cell>
          <cell r="O2" t="str">
            <v>NA</v>
          </cell>
          <cell r="P2" t="str">
            <v>S</v>
          </cell>
          <cell r="Q2" t="str">
            <v>NA</v>
          </cell>
          <cell r="R2" t="str">
            <v>Prestar el servicio integral de servicios de impresión para la Secretaría Distrital de Hacienda y el Concejo de Bogotá.</v>
          </cell>
          <cell r="S2">
            <v>2</v>
          </cell>
          <cell r="T2" t="str">
            <v>N/A</v>
          </cell>
          <cell r="U2" t="str">
            <v>N/A</v>
          </cell>
          <cell r="V2" t="str">
            <v>SEL. ABREVIADA SUB.INVERSA</v>
          </cell>
          <cell r="W2" t="str">
            <v>PRINCIPAL</v>
          </cell>
          <cell r="X2" t="str">
            <v>NA</v>
          </cell>
          <cell r="Y2" t="str">
            <v>PRESTACION DE SERVICIOS</v>
          </cell>
          <cell r="Z2">
            <v>545000000</v>
          </cell>
          <cell r="AA2">
            <v>170000000</v>
          </cell>
          <cell r="AB2" t="str">
            <v>6 mes(es)</v>
          </cell>
          <cell r="AC2" t="str">
            <v>SEMANA 02</v>
          </cell>
          <cell r="AD2">
            <v>5</v>
          </cell>
          <cell r="AE2" t="str">
            <v>Es necesario la contratación de la gestión integral de servicios de impresión que consiste en el componente de hardware, componente de software, recurso técnico en sitio, lo cual permite reducir los costos de impresión y unificar los servicios que se enco</v>
          </cell>
          <cell r="AF2" t="str">
            <v>SI</v>
          </cell>
          <cell r="AG2">
            <v>42009</v>
          </cell>
          <cell r="AH2" t="str">
            <v>FEBRERO</v>
          </cell>
          <cell r="AJ2" t="str">
            <v>MAYO</v>
          </cell>
        </row>
        <row r="3">
          <cell r="C3">
            <v>54</v>
          </cell>
          <cell r="D3" t="str">
            <v>SISTEMAS</v>
          </cell>
          <cell r="E3">
            <v>3</v>
          </cell>
          <cell r="F3">
            <v>80</v>
          </cell>
          <cell r="G3" t="str">
            <v>INICIAL</v>
          </cell>
          <cell r="H3" t="str">
            <v>RECURSOS PROPIOS</v>
          </cell>
          <cell r="I3">
            <v>120000</v>
          </cell>
          <cell r="J3">
            <v>4</v>
          </cell>
          <cell r="K3" t="str">
            <v>NA</v>
          </cell>
          <cell r="L3" t="str">
            <v>3-1-2-01-02 Gastos de Computador</v>
          </cell>
          <cell r="M3">
            <v>1</v>
          </cell>
          <cell r="N3" t="str">
            <v>NA</v>
          </cell>
          <cell r="O3" t="str">
            <v>NA</v>
          </cell>
          <cell r="P3" t="str">
            <v>S</v>
          </cell>
          <cell r="Q3" t="str">
            <v>NA</v>
          </cell>
          <cell r="R3" t="str">
            <v>Prestar los servicios de mantenimientos, soporte y actualización con el suministro de repuestos para la infraestructura de telecomunicaciones, cableado estructurado (voz y datos), fibra óptica, energía normal y regulada de la Secretaría Distrital de Hacie</v>
          </cell>
          <cell r="S3">
            <v>1</v>
          </cell>
          <cell r="T3" t="str">
            <v>Relacionada con el objeto a contratar</v>
          </cell>
          <cell r="U3" t="str">
            <v>NA</v>
          </cell>
          <cell r="V3" t="str">
            <v>SEL. ABREVIADA SUB.INVERSA</v>
          </cell>
          <cell r="W3" t="str">
            <v>PRINCIPAL</v>
          </cell>
          <cell r="X3" t="str">
            <v>NA</v>
          </cell>
          <cell r="Y3" t="str">
            <v>PRESTACION DE SERVICIOS</v>
          </cell>
          <cell r="Z3">
            <v>140000000</v>
          </cell>
          <cell r="AA3">
            <v>60000000</v>
          </cell>
          <cell r="AB3" t="str">
            <v>12 mes(es)</v>
          </cell>
          <cell r="AC3" t="str">
            <v>SEMANA 02</v>
          </cell>
          <cell r="AD3">
            <v>3</v>
          </cell>
          <cell r="AE3" t="str">
            <v>Es necesario seguir contando con el mantenimiento que se requiere al sistema que soporta la red regulada para la SDH  El presupuesto se calculó con base en el valor del contrato anterior más un estimado del 3% IPC</v>
          </cell>
          <cell r="AF3" t="str">
            <v>SI</v>
          </cell>
          <cell r="AG3">
            <v>41983</v>
          </cell>
          <cell r="AH3" t="str">
            <v>FEBRERO</v>
          </cell>
          <cell r="AJ3" t="str">
            <v>MARZO</v>
          </cell>
        </row>
        <row r="4">
          <cell r="C4">
            <v>55</v>
          </cell>
          <cell r="D4" t="str">
            <v>SISTEMAS</v>
          </cell>
          <cell r="E4">
            <v>3</v>
          </cell>
          <cell r="F4">
            <v>80</v>
          </cell>
          <cell r="G4" t="str">
            <v>INICIAL</v>
          </cell>
          <cell r="H4" t="str">
            <v>RECURSOS PROPIOS</v>
          </cell>
          <cell r="I4">
            <v>120000</v>
          </cell>
          <cell r="J4">
            <v>4</v>
          </cell>
          <cell r="K4" t="str">
            <v>NA</v>
          </cell>
          <cell r="L4" t="str">
            <v>3-1-2-01-02 Gastos de Computador</v>
          </cell>
          <cell r="M4">
            <v>1</v>
          </cell>
          <cell r="N4" t="str">
            <v>NA</v>
          </cell>
          <cell r="O4" t="str">
            <v>NA</v>
          </cell>
          <cell r="P4" t="str">
            <v>S</v>
          </cell>
          <cell r="Q4" t="str">
            <v>NA</v>
          </cell>
          <cell r="R4" t="str">
            <v>Adquisición de medios magnéticos para copias de respaldo para la Secretaría Distrital de Hacienda y el Concejo de Bogotá.</v>
          </cell>
          <cell r="S4">
            <v>1</v>
          </cell>
          <cell r="T4" t="str">
            <v>Relacionada con el objeto a contratar</v>
          </cell>
          <cell r="U4" t="str">
            <v>NA</v>
          </cell>
          <cell r="V4" t="str">
            <v>MINIMA CUANTIA</v>
          </cell>
          <cell r="W4" t="str">
            <v>PRINCIPAL</v>
          </cell>
          <cell r="X4" t="str">
            <v>NA</v>
          </cell>
          <cell r="Y4" t="str">
            <v>COMPRAVENTA</v>
          </cell>
          <cell r="Z4">
            <v>20900000</v>
          </cell>
          <cell r="AA4">
            <v>10600000</v>
          </cell>
          <cell r="AB4" t="str">
            <v>2 mes(es)</v>
          </cell>
          <cell r="AC4" t="str">
            <v>SEMANA 04</v>
          </cell>
          <cell r="AD4">
            <v>6</v>
          </cell>
          <cell r="AE4" t="str">
            <v>Se hace necesario garantizar la disponibilidad de los medios magnéticos (Cintas ) para la ejecución de copias de seguridad de los Sistema de Información. El presupuesto se calculó con base en el valor del contrato anterior más un estimado del 3% IPC</v>
          </cell>
          <cell r="AF4" t="str">
            <v>SI</v>
          </cell>
          <cell r="AG4">
            <v>42018</v>
          </cell>
          <cell r="AH4" t="str">
            <v>ABRIL</v>
          </cell>
          <cell r="AJ4" t="str">
            <v>JUNIO</v>
          </cell>
        </row>
        <row r="5">
          <cell r="C5">
            <v>58</v>
          </cell>
          <cell r="D5" t="str">
            <v>SISTEMAS</v>
          </cell>
          <cell r="E5">
            <v>3</v>
          </cell>
          <cell r="F5">
            <v>80</v>
          </cell>
          <cell r="G5" t="str">
            <v>INICIAL</v>
          </cell>
          <cell r="H5" t="str">
            <v>RECURSOS PROPIOS</v>
          </cell>
          <cell r="I5">
            <v>120000</v>
          </cell>
          <cell r="J5">
            <v>4</v>
          </cell>
          <cell r="K5" t="str">
            <v>NA</v>
          </cell>
          <cell r="L5" t="str">
            <v>3-1-2-01-02 Gastos de Computador</v>
          </cell>
          <cell r="M5">
            <v>1</v>
          </cell>
          <cell r="N5" t="str">
            <v>NA</v>
          </cell>
          <cell r="O5" t="str">
            <v>NA</v>
          </cell>
          <cell r="P5" t="str">
            <v>S</v>
          </cell>
          <cell r="Q5" t="str">
            <v>NA</v>
          </cell>
          <cell r="R5" t="str">
            <v>Prestar los servicios de mantenimiento y actualizacion  de módulo de contabilidad programa SIIGO.-</v>
          </cell>
          <cell r="S5">
            <v>1</v>
          </cell>
          <cell r="T5" t="str">
            <v>NA</v>
          </cell>
          <cell r="U5" t="str">
            <v>NA</v>
          </cell>
          <cell r="V5" t="str">
            <v>CONTRATACION DIRECTA</v>
          </cell>
          <cell r="W5" t="str">
            <v>PRINCIPAL</v>
          </cell>
          <cell r="X5" t="str">
            <v>NA</v>
          </cell>
          <cell r="Y5" t="str">
            <v>PRESTACION DE SERVICIOS</v>
          </cell>
          <cell r="Z5">
            <v>850000</v>
          </cell>
          <cell r="AA5">
            <v>850000</v>
          </cell>
          <cell r="AB5" t="str">
            <v>12 mes(es)</v>
          </cell>
          <cell r="AC5" t="str">
            <v>SEMANA 01</v>
          </cell>
          <cell r="AD5">
            <v>2</v>
          </cell>
          <cell r="AE5" t="str">
            <v>El Concejo de Bogota requiere el mantenimiento y la actualizacion del modulo de contabilidad utilizado en la Corporacion como es el programa SIIGO. Esta actualizcion y mantenimiento se realiza anualmente.  El presupuesto para la vigencia 2015 se calculo c</v>
          </cell>
          <cell r="AF5" t="str">
            <v>SI</v>
          </cell>
          <cell r="AG5">
            <v>42081</v>
          </cell>
          <cell r="AH5" t="str">
            <v>ENERO</v>
          </cell>
          <cell r="AJ5" t="str">
            <v>FEBRERO</v>
          </cell>
        </row>
        <row r="6">
          <cell r="C6">
            <v>59</v>
          </cell>
          <cell r="D6" t="str">
            <v>SISTEMAS</v>
          </cell>
          <cell r="E6">
            <v>3</v>
          </cell>
          <cell r="F6">
            <v>80</v>
          </cell>
          <cell r="G6" t="str">
            <v>INICIAL</v>
          </cell>
          <cell r="H6" t="str">
            <v>RECURSOS PROPIOS</v>
          </cell>
          <cell r="I6">
            <v>120000</v>
          </cell>
          <cell r="J6">
            <v>4</v>
          </cell>
          <cell r="K6" t="str">
            <v>NA</v>
          </cell>
          <cell r="L6" t="str">
            <v>3-1-2-01-02 Gastos de Computador</v>
          </cell>
          <cell r="M6">
            <v>1</v>
          </cell>
          <cell r="N6" t="str">
            <v>NA</v>
          </cell>
          <cell r="O6" t="str">
            <v>NA</v>
          </cell>
          <cell r="P6" t="str">
            <v>S</v>
          </cell>
          <cell r="Q6" t="str">
            <v>NA</v>
          </cell>
          <cell r="R6" t="str">
            <v>Prestar los servicios de mantenimiento preventivo, correctivo y soporte técnico especializado para sistema biométrico y control de horarios.</v>
          </cell>
          <cell r="S6">
            <v>1</v>
          </cell>
          <cell r="T6" t="str">
            <v>Relacionada con el objeto a contratar</v>
          </cell>
          <cell r="U6" t="str">
            <v>NA</v>
          </cell>
          <cell r="V6" t="str">
            <v>MINIMA CUANTIA</v>
          </cell>
          <cell r="W6" t="str">
            <v>PRINCIPAL</v>
          </cell>
          <cell r="X6" t="str">
            <v>NA</v>
          </cell>
          <cell r="Y6" t="str">
            <v>PRESTACION DE SERVICIOS</v>
          </cell>
          <cell r="Z6">
            <v>15000000</v>
          </cell>
          <cell r="AA6">
            <v>15000000</v>
          </cell>
          <cell r="AB6" t="str">
            <v>12 mes(es)</v>
          </cell>
          <cell r="AC6" t="str">
            <v>SEMANA 01</v>
          </cell>
          <cell r="AD6">
            <v>2</v>
          </cell>
          <cell r="AE6" t="str">
            <v>Teniendo en cuenta el reforzamiento estructural del claustro y el traslado del data centeren el Concejo de Bogotá, el proceso de sistemas y seguridad de la información tuvo que realizar la desconexión del sistema de biométricos instalado para el control d</v>
          </cell>
          <cell r="AF6" t="str">
            <v>SI</v>
          </cell>
          <cell r="AG6">
            <v>41940</v>
          </cell>
          <cell r="AH6" t="str">
            <v>ENERO</v>
          </cell>
          <cell r="AJ6" t="str">
            <v>FEBRERO</v>
          </cell>
        </row>
        <row r="7">
          <cell r="C7">
            <v>60</v>
          </cell>
          <cell r="D7" t="str">
            <v>SISTEMAS</v>
          </cell>
          <cell r="E7">
            <v>3</v>
          </cell>
          <cell r="F7">
            <v>80</v>
          </cell>
          <cell r="G7" t="str">
            <v>INICIAL</v>
          </cell>
          <cell r="H7" t="str">
            <v>RECURSOS PROPIOS</v>
          </cell>
          <cell r="I7">
            <v>120000</v>
          </cell>
          <cell r="J7">
            <v>4</v>
          </cell>
          <cell r="K7" t="str">
            <v>NA</v>
          </cell>
          <cell r="L7" t="str">
            <v>3-1-2-01-02 Gastos de Computador</v>
          </cell>
          <cell r="M7">
            <v>1</v>
          </cell>
          <cell r="N7" t="str">
            <v>NA</v>
          </cell>
          <cell r="O7" t="str">
            <v>NA</v>
          </cell>
          <cell r="P7" t="str">
            <v>S</v>
          </cell>
          <cell r="Q7" t="str">
            <v>NA</v>
          </cell>
          <cell r="R7" t="str">
            <v>Prestar los servicios de mantenimiento preventivo, correctivo y soporte técnico especializado para los equipos de aire acondicionado para el Concejo de Bogotá.</v>
          </cell>
          <cell r="S7">
            <v>1</v>
          </cell>
          <cell r="T7" t="str">
            <v>Relacionada con el objeto a contratar</v>
          </cell>
          <cell r="U7" t="str">
            <v>NA</v>
          </cell>
          <cell r="V7" t="str">
            <v>MINIMA CUANTIA</v>
          </cell>
          <cell r="W7" t="str">
            <v>PRINCIPAL</v>
          </cell>
          <cell r="X7" t="str">
            <v>NA</v>
          </cell>
          <cell r="Y7" t="str">
            <v>PRESTACION DE SERVICIOS</v>
          </cell>
          <cell r="Z7">
            <v>35000000</v>
          </cell>
          <cell r="AA7">
            <v>35000000</v>
          </cell>
          <cell r="AB7" t="str">
            <v>12 mes(es)</v>
          </cell>
          <cell r="AC7" t="str">
            <v>SEMANA 01</v>
          </cell>
          <cell r="AD7">
            <v>3</v>
          </cell>
          <cell r="AE7" t="str">
            <v>Se requiere del servicio de mantenimiento preventivo, correctivo y soporte técnico para los equipos de aire acondicionado teniendo en cueanta que se terminó el plazo de garantía de estos equipos.</v>
          </cell>
          <cell r="AF7" t="str">
            <v>SI</v>
          </cell>
          <cell r="AG7">
            <v>42065</v>
          </cell>
          <cell r="AH7" t="str">
            <v>ENERO</v>
          </cell>
          <cell r="AJ7" t="str">
            <v>MARZO</v>
          </cell>
        </row>
        <row r="8">
          <cell r="C8">
            <v>61</v>
          </cell>
          <cell r="D8" t="str">
            <v>SISTEMAS</v>
          </cell>
          <cell r="E8">
            <v>3</v>
          </cell>
          <cell r="F8">
            <v>80</v>
          </cell>
          <cell r="G8" t="str">
            <v>INICIAL</v>
          </cell>
          <cell r="H8" t="str">
            <v>RECURSOS PROPIOS</v>
          </cell>
          <cell r="I8">
            <v>120000</v>
          </cell>
          <cell r="J8">
            <v>4</v>
          </cell>
          <cell r="K8" t="str">
            <v>NA</v>
          </cell>
          <cell r="L8" t="str">
            <v>3-1-2-01-02 Gastos de Computador</v>
          </cell>
          <cell r="M8">
            <v>1</v>
          </cell>
          <cell r="N8" t="str">
            <v>NA</v>
          </cell>
          <cell r="O8" t="str">
            <v>NA</v>
          </cell>
          <cell r="P8" t="str">
            <v>S</v>
          </cell>
          <cell r="Q8" t="str">
            <v>NA</v>
          </cell>
          <cell r="R8" t="str">
            <v>Adición y prórroga al contrato 140317 -2014 que tiene por objeto:  Prestar el servicio de actualización, mantenimiento y soporte al sitio WEB e intranet del Concejo de Bogotá.</v>
          </cell>
          <cell r="S8">
            <v>1</v>
          </cell>
          <cell r="T8" t="str">
            <v>NA</v>
          </cell>
          <cell r="U8" t="str">
            <v>NA</v>
          </cell>
          <cell r="V8" t="str">
            <v>NA</v>
          </cell>
          <cell r="W8" t="str">
            <v>MODIFICACION</v>
          </cell>
          <cell r="X8" t="str">
            <v>NA</v>
          </cell>
          <cell r="Y8" t="str">
            <v>PRESTACION DE SERVICIOS</v>
          </cell>
          <cell r="Z8">
            <v>40610000</v>
          </cell>
          <cell r="AA8">
            <v>40610000</v>
          </cell>
          <cell r="AB8" t="str">
            <v>5 mes(es)</v>
          </cell>
          <cell r="AC8" t="str">
            <v>SEMANA 09</v>
          </cell>
          <cell r="AD8">
            <v>10</v>
          </cell>
          <cell r="AE8" t="str">
            <v>Se requiere del servicio de actualización, mantenimiento y soporte al sitio  WEB e intranet, teniendo en cuenta que es un medio de información, consulta...</v>
          </cell>
          <cell r="AH8" t="str">
            <v>SEPTIEMBRE</v>
          </cell>
          <cell r="AJ8" t="str">
            <v>OCTUBRE</v>
          </cell>
        </row>
        <row r="9">
          <cell r="C9">
            <v>62</v>
          </cell>
          <cell r="D9" t="str">
            <v>SISTEMAS</v>
          </cell>
          <cell r="E9">
            <v>3</v>
          </cell>
          <cell r="F9">
            <v>80</v>
          </cell>
          <cell r="G9" t="str">
            <v>INICIAL</v>
          </cell>
          <cell r="H9" t="str">
            <v>RECURSOS PROPIOS</v>
          </cell>
          <cell r="I9">
            <v>120000</v>
          </cell>
          <cell r="J9">
            <v>4</v>
          </cell>
          <cell r="K9" t="str">
            <v>NA</v>
          </cell>
          <cell r="L9" t="str">
            <v>3-1-2-01-02 Gastos de Computador</v>
          </cell>
          <cell r="M9">
            <v>1</v>
          </cell>
          <cell r="N9" t="str">
            <v>NA</v>
          </cell>
          <cell r="O9" t="str">
            <v>NA</v>
          </cell>
          <cell r="P9" t="str">
            <v>S</v>
          </cell>
          <cell r="Q9" t="str">
            <v>NA</v>
          </cell>
          <cell r="R9" t="str">
            <v>Prestar los servicios de mantenimieto, actualización y soporte de licencias y plataforma del sistema de voto electrónico del Concejo de Bogotá D.C</v>
          </cell>
          <cell r="S9">
            <v>1</v>
          </cell>
          <cell r="T9" t="str">
            <v>Relacionada con el objeto a contratar-</v>
          </cell>
          <cell r="U9" t="str">
            <v>NA</v>
          </cell>
          <cell r="V9" t="str">
            <v>SEL. ABREVIADA MENOR CUANTIA</v>
          </cell>
          <cell r="W9" t="str">
            <v>PRINCIPAL</v>
          </cell>
          <cell r="X9" t="str">
            <v>NA</v>
          </cell>
          <cell r="Y9" t="str">
            <v>PRESTACION DE SERVICIOS</v>
          </cell>
          <cell r="Z9">
            <v>95000000</v>
          </cell>
          <cell r="AA9">
            <v>95000000</v>
          </cell>
          <cell r="AB9" t="str">
            <v>10 mes(es)</v>
          </cell>
          <cell r="AC9" t="str">
            <v>SEMANA 01</v>
          </cell>
          <cell r="AD9">
            <v>3</v>
          </cell>
          <cell r="AE9" t="str">
            <v>Es necesario seguir contando con el objeto registrado, teniendo en cuenta que el soporte informático en sitio, el mantenimiento preventivo y correctivo, y suministro de repuestos ha proporcionado un punto único de contacto que gestiona y apoya las solicit</v>
          </cell>
          <cell r="AF9" t="str">
            <v>SI</v>
          </cell>
          <cell r="AG9">
            <v>42065</v>
          </cell>
          <cell r="AH9" t="str">
            <v>ENERO</v>
          </cell>
          <cell r="AJ9" t="str">
            <v>MARZO</v>
          </cell>
        </row>
        <row r="10">
          <cell r="C10">
            <v>63</v>
          </cell>
          <cell r="D10" t="str">
            <v>SISTEMAS</v>
          </cell>
          <cell r="E10">
            <v>3</v>
          </cell>
          <cell r="F10">
            <v>80</v>
          </cell>
          <cell r="G10" t="str">
            <v>INICIAL</v>
          </cell>
          <cell r="H10" t="str">
            <v>RECURSOS PROPIOS</v>
          </cell>
          <cell r="I10">
            <v>120000</v>
          </cell>
          <cell r="J10">
            <v>4</v>
          </cell>
          <cell r="K10" t="str">
            <v>NA</v>
          </cell>
          <cell r="L10" t="str">
            <v>3-1-2-01-02 Gastos de Computador</v>
          </cell>
          <cell r="M10">
            <v>1</v>
          </cell>
          <cell r="N10" t="str">
            <v>NA</v>
          </cell>
          <cell r="O10" t="str">
            <v>NA</v>
          </cell>
          <cell r="P10" t="str">
            <v>S</v>
          </cell>
          <cell r="Q10" t="str">
            <v>NA</v>
          </cell>
          <cell r="R10" t="str">
            <v>Prestar los servicios de administración y soporte técnico para la plataforma Oracle y Microsoft del Concejo de Bogotá-</v>
          </cell>
          <cell r="S10">
            <v>1</v>
          </cell>
          <cell r="T10" t="str">
            <v>Relacionada con el objeto a contratar</v>
          </cell>
          <cell r="U10" t="str">
            <v>NA</v>
          </cell>
          <cell r="V10" t="str">
            <v>SEL. ABREVIADA MENOR CUANTIA</v>
          </cell>
          <cell r="W10" t="str">
            <v>PRINCIPAL</v>
          </cell>
          <cell r="X10" t="str">
            <v>NA</v>
          </cell>
          <cell r="Y10" t="str">
            <v>PRESTACION DE SERVICIOS</v>
          </cell>
          <cell r="Z10">
            <v>240000000</v>
          </cell>
          <cell r="AA10">
            <v>240000000</v>
          </cell>
          <cell r="AB10" t="str">
            <v>12 mes(es)</v>
          </cell>
          <cell r="AC10" t="str">
            <v>SEMANA 01</v>
          </cell>
          <cell r="AD10">
            <v>3</v>
          </cell>
          <cell r="AE10" t="str">
            <v xml:space="preserve"> Se hace necesario garantizar la disponibilidad de los medios magnéticos (Cintas ) para la ejecución de copias de seguridad de los Sistema de Información. </v>
          </cell>
          <cell r="AF10" t="str">
            <v>SI</v>
          </cell>
          <cell r="AG10">
            <v>42065</v>
          </cell>
          <cell r="AH10" t="str">
            <v>ENERO</v>
          </cell>
          <cell r="AJ10" t="str">
            <v>MARZO</v>
          </cell>
        </row>
        <row r="11">
          <cell r="C11">
            <v>64</v>
          </cell>
          <cell r="D11" t="str">
            <v>SISTEMAS</v>
          </cell>
          <cell r="E11">
            <v>3</v>
          </cell>
          <cell r="F11">
            <v>80</v>
          </cell>
          <cell r="G11" t="str">
            <v>INICIAL</v>
          </cell>
          <cell r="H11" t="str">
            <v>RECURSOS PROPIOS</v>
          </cell>
          <cell r="I11">
            <v>120000</v>
          </cell>
          <cell r="J11">
            <v>4</v>
          </cell>
          <cell r="K11" t="str">
            <v>NA</v>
          </cell>
          <cell r="L11" t="str">
            <v>3-1-2-01-02 Gastos de Computador</v>
          </cell>
          <cell r="M11">
            <v>1</v>
          </cell>
          <cell r="N11" t="str">
            <v>NA</v>
          </cell>
          <cell r="O11" t="str">
            <v>NA</v>
          </cell>
          <cell r="P11" t="str">
            <v>S</v>
          </cell>
          <cell r="Q11" t="str">
            <v>NA</v>
          </cell>
          <cell r="R11" t="str">
            <v>Adición y prórroga al contrato 140252-2014 que tiene por objeto: Contratar la actualización, mantenimiento y soporte de licencias de software antivirus para la plataforma del Concejo de Bogotá.</v>
          </cell>
          <cell r="S11" t="str">
            <v>NA</v>
          </cell>
          <cell r="T11" t="str">
            <v>NA</v>
          </cell>
          <cell r="U11" t="str">
            <v>NA</v>
          </cell>
          <cell r="V11" t="str">
            <v>NA</v>
          </cell>
          <cell r="W11" t="str">
            <v>MODIFICACION</v>
          </cell>
          <cell r="X11" t="str">
            <v>AP</v>
          </cell>
          <cell r="Y11" t="str">
            <v>PRESTACION DE SERVICIOS</v>
          </cell>
          <cell r="Z11">
            <v>8300000</v>
          </cell>
          <cell r="AA11">
            <v>8300000</v>
          </cell>
          <cell r="AB11" t="str">
            <v>5 mes(es)</v>
          </cell>
          <cell r="AC11" t="str">
            <v>SEMANA 09</v>
          </cell>
          <cell r="AD11">
            <v>10</v>
          </cell>
          <cell r="AE11" t="str">
            <v>Se requiere contar el servicio de actualización, mantenimiento y soporte de las licencias Software antivirus para proteger la plataforma tecnolófica del Concejo de Bogotá de virus.  De acuerdo con el costo promedio mensual se realiza el presupuesto para r</v>
          </cell>
          <cell r="AH11" t="str">
            <v>SEPTIEMBRE</v>
          </cell>
          <cell r="AJ11" t="str">
            <v>OCTUBRE</v>
          </cell>
        </row>
        <row r="12">
          <cell r="C12">
            <v>65</v>
          </cell>
          <cell r="D12" t="str">
            <v>SISTEMAS</v>
          </cell>
          <cell r="E12">
            <v>3</v>
          </cell>
          <cell r="F12">
            <v>80</v>
          </cell>
          <cell r="G12" t="str">
            <v>INICIAL</v>
          </cell>
          <cell r="H12" t="str">
            <v>RECURSOS PROPIOS</v>
          </cell>
          <cell r="I12">
            <v>120000</v>
          </cell>
          <cell r="J12">
            <v>4</v>
          </cell>
          <cell r="K12" t="str">
            <v>NA</v>
          </cell>
          <cell r="L12" t="str">
            <v>3-1-2-01-02 Gastos de Computador</v>
          </cell>
          <cell r="M12">
            <v>1</v>
          </cell>
          <cell r="N12" t="str">
            <v>NA</v>
          </cell>
          <cell r="O12" t="str">
            <v>NA</v>
          </cell>
          <cell r="P12" t="str">
            <v>S</v>
          </cell>
          <cell r="Q12" t="str">
            <v>NA</v>
          </cell>
          <cell r="R12" t="str">
            <v>Adición y prórroga al contrato 140317 suscrito con Factor Visual E A T cuyo objeto es: Prestar el servicio de actualización, mantenimiento y soporte al sitio web  e intranet"</v>
          </cell>
          <cell r="S12" t="str">
            <v>NA</v>
          </cell>
          <cell r="T12" t="str">
            <v>NA</v>
          </cell>
          <cell r="U12" t="str">
            <v>NA</v>
          </cell>
          <cell r="V12" t="str">
            <v>NA</v>
          </cell>
          <cell r="W12" t="str">
            <v>MODIFICACION</v>
          </cell>
          <cell r="X12" t="str">
            <v>AP</v>
          </cell>
          <cell r="Y12" t="str">
            <v>PRESTACION DE SERVICIOS</v>
          </cell>
          <cell r="Z12">
            <v>22500000</v>
          </cell>
          <cell r="AA12">
            <v>22500000</v>
          </cell>
          <cell r="AB12" t="str">
            <v>6 mes(es)</v>
          </cell>
          <cell r="AC12" t="str">
            <v>SEMANA 09</v>
          </cell>
          <cell r="AD12">
            <v>10</v>
          </cell>
          <cell r="AE12" t="str">
            <v xml:space="preserve">La entidad requiere de los servicios y/o bienes aqui descritos con el fin de atender los diferentes requerimientos y necesidades de las dependencias.  </v>
          </cell>
          <cell r="AH12" t="str">
            <v>SEPTIEMBRE</v>
          </cell>
          <cell r="AJ12" t="str">
            <v>OCTUBRE</v>
          </cell>
        </row>
        <row r="13">
          <cell r="C13">
            <v>68</v>
          </cell>
          <cell r="D13" t="str">
            <v>SISTEMAS</v>
          </cell>
          <cell r="E13">
            <v>3</v>
          </cell>
          <cell r="F13">
            <v>80</v>
          </cell>
          <cell r="G13" t="str">
            <v>INICIAL</v>
          </cell>
          <cell r="H13" t="str">
            <v>RECURSOS PROPIOS</v>
          </cell>
          <cell r="I13">
            <v>120000</v>
          </cell>
          <cell r="J13">
            <v>4</v>
          </cell>
          <cell r="K13" t="str">
            <v>NA</v>
          </cell>
          <cell r="L13" t="str">
            <v>3-1-2-02-03 Gastos de Transporte y Comunicación</v>
          </cell>
          <cell r="M13">
            <v>1</v>
          </cell>
          <cell r="N13" t="str">
            <v>NA</v>
          </cell>
          <cell r="O13" t="str">
            <v>NA</v>
          </cell>
          <cell r="P13" t="str">
            <v>S</v>
          </cell>
          <cell r="Q13" t="str">
            <v>NA</v>
          </cell>
          <cell r="R13" t="str">
            <v>Prestar los servicios de conectividad de canales de comunicación dedicados e Internet y servicios complementarios para la Secretaría Distrital de Hacienda y el Concejo de Bogotá.</v>
          </cell>
          <cell r="S13">
            <v>1</v>
          </cell>
          <cell r="T13" t="str">
            <v>NA</v>
          </cell>
          <cell r="U13" t="str">
            <v>NA</v>
          </cell>
          <cell r="V13" t="str">
            <v>CONTRATACION DIRECTA</v>
          </cell>
          <cell r="W13" t="str">
            <v>PRINCIPAL</v>
          </cell>
          <cell r="X13" t="str">
            <v>NA</v>
          </cell>
          <cell r="Y13" t="str">
            <v>PRESTACION DE SERVICIOS</v>
          </cell>
          <cell r="Z13">
            <v>793400000</v>
          </cell>
          <cell r="AA13">
            <v>150000000</v>
          </cell>
          <cell r="AB13" t="str">
            <v>12 mes(es)</v>
          </cell>
          <cell r="AC13" t="str">
            <v>SEMANA 02</v>
          </cell>
          <cell r="AD13">
            <v>3</v>
          </cell>
          <cell r="AE13" t="str">
            <v>Servicio de canales dedicados e Internet para que estos canales de comunicación permitan garantizar la disponibilidad de los servicios de transmisión de datos en medios como Internet y con; las sedes de la Secretaria Distrital de Hacienda, centros de aten</v>
          </cell>
          <cell r="AF13" t="str">
            <v>SI</v>
          </cell>
          <cell r="AG13">
            <v>42081</v>
          </cell>
          <cell r="AH13" t="str">
            <v>FEBRERO</v>
          </cell>
          <cell r="AJ13" t="str">
            <v>MARZO</v>
          </cell>
        </row>
        <row r="14">
          <cell r="C14">
            <v>70</v>
          </cell>
          <cell r="D14" t="str">
            <v>SISTEMAS</v>
          </cell>
          <cell r="E14">
            <v>3</v>
          </cell>
          <cell r="F14">
            <v>80</v>
          </cell>
          <cell r="G14" t="str">
            <v>INICIAL</v>
          </cell>
          <cell r="H14" t="str">
            <v>RECURSOS PROPIOS</v>
          </cell>
          <cell r="I14">
            <v>120000</v>
          </cell>
          <cell r="J14">
            <v>4</v>
          </cell>
          <cell r="K14" t="str">
            <v>NA</v>
          </cell>
          <cell r="L14" t="str">
            <v>3-3-1-14-03-31-0728-235235 - Fortalecimiento a la gestión institucional del Concejo de Bogotá</v>
          </cell>
          <cell r="M14">
            <v>1</v>
          </cell>
          <cell r="N14" t="str">
            <v>MActualizar el 100% de la infraestructura física, tecnológica y transporte</v>
          </cell>
          <cell r="O14" t="str">
            <v>Actualizar la plataforma tecnológica del Concejo de Bogotá</v>
          </cell>
          <cell r="P14" t="str">
            <v>S</v>
          </cell>
          <cell r="Q14" t="str">
            <v>NA</v>
          </cell>
          <cell r="R14" t="str">
            <v>Adquisición de la licencia TOAD para el Concejo de Bogotá.</v>
          </cell>
          <cell r="S14">
            <v>1</v>
          </cell>
          <cell r="T14" t="str">
            <v>NA</v>
          </cell>
          <cell r="U14" t="str">
            <v>NA</v>
          </cell>
          <cell r="V14" t="str">
            <v>MINIMA CUANTIA</v>
          </cell>
          <cell r="W14" t="str">
            <v>PRINCIPAL</v>
          </cell>
          <cell r="X14" t="str">
            <v>NA</v>
          </cell>
          <cell r="Y14" t="str">
            <v>COMPRAVENTA</v>
          </cell>
          <cell r="Z14">
            <v>20050000</v>
          </cell>
          <cell r="AA14">
            <v>20050000</v>
          </cell>
          <cell r="AB14" t="str">
            <v>12 mes(es)</v>
          </cell>
          <cell r="AC14" t="str">
            <v>SEMANA 01</v>
          </cell>
          <cell r="AD14">
            <v>2</v>
          </cell>
          <cell r="AE14" t="str">
            <v>La licencia que soporta el uso del software requerido sirve para aumentar la productividad de desarrolladores, administradores y analistas de bases de datos para la gestión de las BD Oracle, SQL Server y DB2</v>
          </cell>
          <cell r="AF14" t="str">
            <v>SI</v>
          </cell>
          <cell r="AG14">
            <v>42009</v>
          </cell>
          <cell r="AH14" t="str">
            <v>ENERO</v>
          </cell>
          <cell r="AJ14" t="str">
            <v>FEBRERO</v>
          </cell>
        </row>
        <row r="15">
          <cell r="C15">
            <v>71</v>
          </cell>
          <cell r="D15" t="str">
            <v>SISTEMAS</v>
          </cell>
          <cell r="E15">
            <v>3</v>
          </cell>
          <cell r="F15">
            <v>80</v>
          </cell>
          <cell r="G15" t="str">
            <v>INICIAL</v>
          </cell>
          <cell r="H15" t="str">
            <v>RECURSOS PROPIOS</v>
          </cell>
          <cell r="I15">
            <v>120000</v>
          </cell>
          <cell r="J15">
            <v>4</v>
          </cell>
          <cell r="K15" t="str">
            <v>NA</v>
          </cell>
          <cell r="L15" t="str">
            <v>3-3-1-14-03-31-0728-235235 - Fortalecimiento a la gestión institucional del Concejo de Bogotá</v>
          </cell>
          <cell r="M15">
            <v>1</v>
          </cell>
          <cell r="N15" t="str">
            <v>Actualizar el 100% de la infraestructura física, tecnológica y transporte</v>
          </cell>
          <cell r="O15" t="str">
            <v>Actualizar la plataforma tecnológica del Concejo de Bogotá</v>
          </cell>
          <cell r="P15" t="str">
            <v>S</v>
          </cell>
          <cell r="Q15" t="str">
            <v>NA</v>
          </cell>
          <cell r="R15" t="str">
            <v>Adquisición de licencias de servidores Windows Server 2012 para el Concejo de Bogotá.</v>
          </cell>
          <cell r="S15" t="str">
            <v>NA</v>
          </cell>
          <cell r="T15" t="str">
            <v>NA</v>
          </cell>
          <cell r="U15" t="str">
            <v>NA</v>
          </cell>
          <cell r="V15" t="str">
            <v>MINIMA CUANTIA</v>
          </cell>
          <cell r="W15" t="str">
            <v>PRINCIPAL</v>
          </cell>
          <cell r="X15" t="str">
            <v>NA</v>
          </cell>
          <cell r="Y15" t="str">
            <v>COMPRAVENTA</v>
          </cell>
          <cell r="Z15">
            <v>12000000</v>
          </cell>
          <cell r="AA15">
            <v>12000000</v>
          </cell>
          <cell r="AB15" t="str">
            <v>12 mes(es)</v>
          </cell>
          <cell r="AC15" t="str">
            <v>SEMANA 02</v>
          </cell>
          <cell r="AD15">
            <v>3</v>
          </cell>
          <cell r="AE15" t="str">
            <v>Adquirir para actualizar las 5 licencias de sistema operativo de los servidores de plataforma Windows que actualmente se encuentran en versión 2003 y no cuentan con actualización ni soporte</v>
          </cell>
          <cell r="AF15" t="str">
            <v>SI</v>
          </cell>
          <cell r="AG15">
            <v>42093</v>
          </cell>
          <cell r="AH15" t="str">
            <v>FEBRERO</v>
          </cell>
          <cell r="AJ15" t="str">
            <v>MARZO</v>
          </cell>
        </row>
        <row r="16">
          <cell r="C16">
            <v>72</v>
          </cell>
          <cell r="D16" t="str">
            <v>SISTEMAS</v>
          </cell>
          <cell r="E16">
            <v>3</v>
          </cell>
          <cell r="F16">
            <v>80</v>
          </cell>
          <cell r="G16" t="str">
            <v>INICIAL</v>
          </cell>
          <cell r="H16" t="str">
            <v>RECURSOS PROPIOS</v>
          </cell>
          <cell r="I16">
            <v>120000</v>
          </cell>
          <cell r="J16">
            <v>4</v>
          </cell>
          <cell r="K16" t="str">
            <v>NA</v>
          </cell>
          <cell r="L16" t="str">
            <v>3-3-1-14-03-31-0728-235235 - Fortalecimiento a la gestión institucional del Concejo de Bogotá</v>
          </cell>
          <cell r="M16">
            <v>1</v>
          </cell>
          <cell r="N16" t="str">
            <v>Actualizar el 100% de la infraestructura física, tecnológica y transporte</v>
          </cell>
          <cell r="O16" t="str">
            <v>Actualizar la plataforma tecnológica del Concejo de Bogotá</v>
          </cell>
          <cell r="P16" t="str">
            <v>S</v>
          </cell>
          <cell r="Q16" t="str">
            <v>NA</v>
          </cell>
          <cell r="R16" t="str">
            <v>Adquisición e instalación tableros eléctricos de red normal  del Concejo de Bogotá.</v>
          </cell>
          <cell r="S16">
            <v>1</v>
          </cell>
          <cell r="T16" t="str">
            <v>NA</v>
          </cell>
          <cell r="U16" t="str">
            <v>NA</v>
          </cell>
          <cell r="V16" t="str">
            <v>MINIMA CUANTIA</v>
          </cell>
          <cell r="W16" t="str">
            <v>PRINCIPAL</v>
          </cell>
          <cell r="X16" t="str">
            <v>NA</v>
          </cell>
          <cell r="Y16" t="str">
            <v>COMPRAVENTA</v>
          </cell>
          <cell r="Z16">
            <v>50000000</v>
          </cell>
          <cell r="AA16">
            <v>50000000</v>
          </cell>
          <cell r="AB16" t="str">
            <v>12 mes(es)</v>
          </cell>
          <cell r="AC16" t="str">
            <v>SEMANA 03</v>
          </cell>
          <cell r="AD16">
            <v>4</v>
          </cell>
          <cell r="AE16" t="str">
            <v>El sistema de energía normal cuenta con un tablero de red desactualizado y debe ser cambiado para que cumplan con la normativa RETIE vigente. Se debe cambiar el módulo de transferencia automático.  El tabler a cambiar, tecnicamente la necesidad concreta a</v>
          </cell>
          <cell r="AF16" t="str">
            <v>NA</v>
          </cell>
          <cell r="AG16">
            <v>0</v>
          </cell>
          <cell r="AH16" t="str">
            <v>MARZO</v>
          </cell>
          <cell r="AJ16" t="str">
            <v>ABRIL</v>
          </cell>
        </row>
        <row r="17">
          <cell r="C17">
            <v>73</v>
          </cell>
          <cell r="D17" t="str">
            <v>SISTEMAS</v>
          </cell>
          <cell r="E17">
            <v>3</v>
          </cell>
          <cell r="F17">
            <v>80</v>
          </cell>
          <cell r="G17" t="str">
            <v>INICIAL</v>
          </cell>
          <cell r="H17" t="str">
            <v>RECURSOS PROPIOS</v>
          </cell>
          <cell r="I17">
            <v>120000</v>
          </cell>
          <cell r="J17">
            <v>4</v>
          </cell>
          <cell r="K17" t="str">
            <v>NA</v>
          </cell>
          <cell r="L17" t="str">
            <v>3-3-1-14-03-31-0728-235235 - Fortalecimiento a la gestión institucional del Concejo de Bogotá</v>
          </cell>
          <cell r="M17">
            <v>1</v>
          </cell>
          <cell r="N17" t="str">
            <v>Actualizar el 100% de la infraestructura física, tecnológica y transporte</v>
          </cell>
          <cell r="O17" t="str">
            <v>Actualizar la plataforma tecnológica del Concejo de Bogotá</v>
          </cell>
          <cell r="P17" t="str">
            <v>S</v>
          </cell>
          <cell r="Q17" t="str">
            <v>NA</v>
          </cell>
          <cell r="R17" t="str">
            <v>Adquisición de licencias Oracle  para el Concejo de Bogotá.</v>
          </cell>
          <cell r="S17">
            <v>1</v>
          </cell>
          <cell r="T17" t="str">
            <v>NA</v>
          </cell>
          <cell r="U17" t="str">
            <v>NA</v>
          </cell>
          <cell r="V17" t="str">
            <v>CONTRATACION DIRECTA</v>
          </cell>
          <cell r="W17" t="str">
            <v>PRINCIPAL</v>
          </cell>
          <cell r="X17" t="str">
            <v>NA</v>
          </cell>
          <cell r="Y17" t="str">
            <v>COMPRAVENTA</v>
          </cell>
          <cell r="Z17">
            <v>201000000</v>
          </cell>
          <cell r="AA17">
            <v>201000000</v>
          </cell>
          <cell r="AB17" t="str">
            <v>12 mes(es)</v>
          </cell>
          <cell r="AC17" t="str">
            <v>SEMANA 01</v>
          </cell>
          <cell r="AD17">
            <v>2</v>
          </cell>
          <cell r="AE17" t="str">
            <v>El licenciamiento de Oracle actual no tiene soporte desde hace 7 años y es más normalizar esta situación que adquirirlas, además estas licencias no cuentan con soporte del fabricante.  Las Cantidad y descripción de las licencias a comprar son: - 10 licenc</v>
          </cell>
          <cell r="AF17" t="str">
            <v>SI</v>
          </cell>
          <cell r="AG17">
            <v>42009</v>
          </cell>
          <cell r="AH17" t="str">
            <v>ENERO</v>
          </cell>
          <cell r="AJ17" t="str">
            <v>FEBRERO</v>
          </cell>
        </row>
        <row r="18">
          <cell r="C18">
            <v>74</v>
          </cell>
          <cell r="D18" t="str">
            <v>SISTEMAS</v>
          </cell>
          <cell r="E18">
            <v>3</v>
          </cell>
          <cell r="F18">
            <v>80</v>
          </cell>
          <cell r="G18" t="str">
            <v>INICIAL</v>
          </cell>
          <cell r="H18" t="str">
            <v>RECURSOS PROPIOS</v>
          </cell>
          <cell r="I18">
            <v>120000</v>
          </cell>
          <cell r="J18">
            <v>4</v>
          </cell>
          <cell r="K18" t="str">
            <v>NA</v>
          </cell>
          <cell r="L18" t="str">
            <v>3-3-1-14-03-31-0728-235235 - Fortalecimiento a la gestión institucional del Concejo de Bogotá</v>
          </cell>
          <cell r="M18">
            <v>1</v>
          </cell>
          <cell r="N18" t="str">
            <v>Actualizar el 100% de la infraestructura física, tecnológica y transporte</v>
          </cell>
          <cell r="O18" t="str">
            <v>Actualizar la plataforma tecnológica del Concejo de Bogotá</v>
          </cell>
          <cell r="P18" t="str">
            <v>S</v>
          </cell>
          <cell r="Q18" t="str">
            <v>NA</v>
          </cell>
          <cell r="R18" t="str">
            <v>Adquisición de los equipos de red Switches para el Concejo de Bogotá.</v>
          </cell>
          <cell r="S18">
            <v>1</v>
          </cell>
          <cell r="T18" t="str">
            <v>NA</v>
          </cell>
          <cell r="U18" t="str">
            <v>NA</v>
          </cell>
          <cell r="V18" t="str">
            <v>SEL. ABREVIADA SUB.INVERSA</v>
          </cell>
          <cell r="W18" t="str">
            <v>PRINCIPAL</v>
          </cell>
          <cell r="X18" t="str">
            <v>NA</v>
          </cell>
          <cell r="Y18" t="str">
            <v>COMPRAVENTA</v>
          </cell>
          <cell r="Z18">
            <v>130000000</v>
          </cell>
          <cell r="AA18">
            <v>130000000</v>
          </cell>
          <cell r="AB18" t="str">
            <v>5 mes(es)</v>
          </cell>
          <cell r="AC18" t="str">
            <v>SEMANA 03</v>
          </cell>
          <cell r="AD18">
            <v>5</v>
          </cell>
          <cell r="AE18" t="str">
            <v>El sistema de red cuenta con 30 equipos de red y serán cambiados los de mayor desactualización, Se cambiaría el 40% de los equipos de red, la estructura actual de red se encuentra saturada y obsoleta, se requiere actualizar los dispositivos y ampliar la c</v>
          </cell>
          <cell r="AH18" t="str">
            <v>MARZO</v>
          </cell>
          <cell r="AJ18" t="str">
            <v>MAYO</v>
          </cell>
        </row>
        <row r="19">
          <cell r="C19">
            <v>75</v>
          </cell>
          <cell r="D19" t="str">
            <v>SISTEMAS</v>
          </cell>
          <cell r="E19">
            <v>3</v>
          </cell>
          <cell r="F19">
            <v>80</v>
          </cell>
          <cell r="G19" t="str">
            <v>INICIAL</v>
          </cell>
          <cell r="H19" t="str">
            <v>RECURSOS PROPIOS</v>
          </cell>
          <cell r="I19">
            <v>120000</v>
          </cell>
          <cell r="J19">
            <v>4</v>
          </cell>
          <cell r="K19" t="str">
            <v>NA</v>
          </cell>
          <cell r="L19" t="str">
            <v>3-3-1-14-03-31-0728-235235 - Fortalecimiento a la gestión institucional del Concejo de Bogotá</v>
          </cell>
          <cell r="M19">
            <v>1</v>
          </cell>
          <cell r="N19" t="str">
            <v>Actualizar el 100% de la infraestructura física, tecnológica y transporte</v>
          </cell>
          <cell r="O19" t="str">
            <v>Actualizar la plataforma tecnológica del Concejo de Bogotá</v>
          </cell>
          <cell r="P19" t="str">
            <v>S</v>
          </cell>
          <cell r="Q19" t="str">
            <v>NA</v>
          </cell>
          <cell r="R19" t="str">
            <v>Adquisición de memorias DDR11 de 2 y 4 GB de capacidad para la referencia de equipos HP6005 -</v>
          </cell>
          <cell r="S19">
            <v>1</v>
          </cell>
          <cell r="T19" t="str">
            <v>NA</v>
          </cell>
          <cell r="U19" t="str">
            <v>NA</v>
          </cell>
          <cell r="V19" t="str">
            <v>MINIMA CUANTIA</v>
          </cell>
          <cell r="W19" t="str">
            <v>PRINCIPAL</v>
          </cell>
          <cell r="X19" t="str">
            <v>NA</v>
          </cell>
          <cell r="Y19" t="str">
            <v>COMPRAVENTA</v>
          </cell>
          <cell r="Z19">
            <v>8550000</v>
          </cell>
          <cell r="AA19">
            <v>8550000</v>
          </cell>
          <cell r="AB19" t="str">
            <v>2 mes(es)</v>
          </cell>
          <cell r="AC19" t="str">
            <v>SEMANA 03</v>
          </cell>
          <cell r="AD19">
            <v>4</v>
          </cell>
          <cell r="AE19" t="str">
            <v>Se requiere adquirir 90 memorias DDR11 de 2 y 4 GB de capacidad para Repotenciar equipos de cómputo del Concejo de Bogotá D.C  de la referencia HP6005 ya que estos equipos aún tienen vida útil</v>
          </cell>
          <cell r="AF19" t="str">
            <v>SI</v>
          </cell>
          <cell r="AG19">
            <v>42045</v>
          </cell>
          <cell r="AH19" t="str">
            <v>MARZO</v>
          </cell>
          <cell r="AJ19" t="str">
            <v>ABRIL</v>
          </cell>
        </row>
        <row r="20">
          <cell r="C20">
            <v>76</v>
          </cell>
          <cell r="D20" t="str">
            <v>SISTEMAS</v>
          </cell>
          <cell r="E20">
            <v>3</v>
          </cell>
          <cell r="F20">
            <v>80</v>
          </cell>
          <cell r="G20" t="str">
            <v>INICIAL</v>
          </cell>
          <cell r="H20" t="str">
            <v>RECURSOS PROPIOS</v>
          </cell>
          <cell r="I20">
            <v>120000</v>
          </cell>
          <cell r="J20">
            <v>4</v>
          </cell>
          <cell r="K20" t="str">
            <v>NA</v>
          </cell>
          <cell r="L20" t="str">
            <v>3-3-1-14-03-31-0728-235235 - Fortalecimiento a la gestión institucional del Concejo de Bogotá</v>
          </cell>
          <cell r="M20">
            <v>1</v>
          </cell>
          <cell r="N20" t="str">
            <v>Actualizar el 100% de la infraestructura física, tecnológica y transporte</v>
          </cell>
          <cell r="O20" t="str">
            <v>Actualizar la plataforma tecnológica del Concejo de Bogotá</v>
          </cell>
          <cell r="P20" t="str">
            <v>S</v>
          </cell>
          <cell r="Q20" t="str">
            <v>NA</v>
          </cell>
          <cell r="R20" t="str">
            <v>Adquisición del sistema de aire acondicionado para el salón comuneros del Concejo de Bogotá.</v>
          </cell>
          <cell r="S20">
            <v>1</v>
          </cell>
          <cell r="T20" t="str">
            <v>NA</v>
          </cell>
          <cell r="U20" t="str">
            <v>NA</v>
          </cell>
          <cell r="V20" t="str">
            <v>SEL. ABREVIADA SUB.INVERSA</v>
          </cell>
          <cell r="W20" t="str">
            <v>PRINCIPAL</v>
          </cell>
          <cell r="X20" t="str">
            <v>NA</v>
          </cell>
          <cell r="Y20" t="str">
            <v>COMPRAVENTA</v>
          </cell>
          <cell r="Z20">
            <v>65000000</v>
          </cell>
          <cell r="AA20">
            <v>65000000</v>
          </cell>
          <cell r="AB20" t="str">
            <v>4 mes(es)</v>
          </cell>
          <cell r="AC20" t="str">
            <v>SEMANA 03</v>
          </cell>
          <cell r="AD20">
            <v>5</v>
          </cell>
          <cell r="AE20" t="str">
            <v xml:space="preserve">Aire acondicionado industrial para el Salón Comuneros, se incluye instalación - El aire actual es de tipo doméstico y esta obsoleto por lo que no se consigue mantenimiento.  No está contemplado el mantenimiento ya que se tendría es período de garantía.   </v>
          </cell>
          <cell r="AF20" t="str">
            <v>SI</v>
          </cell>
          <cell r="AG20">
            <v>42081</v>
          </cell>
          <cell r="AH20" t="str">
            <v>MARZO</v>
          </cell>
          <cell r="AJ20" t="str">
            <v>MAYO</v>
          </cell>
        </row>
        <row r="21">
          <cell r="C21">
            <v>77</v>
          </cell>
          <cell r="D21" t="str">
            <v>SISTEMAS</v>
          </cell>
          <cell r="E21">
            <v>3</v>
          </cell>
          <cell r="F21">
            <v>80</v>
          </cell>
          <cell r="G21" t="str">
            <v>INICIAL</v>
          </cell>
          <cell r="H21" t="str">
            <v>RECURSOS PROPIOS</v>
          </cell>
          <cell r="I21">
            <v>120000</v>
          </cell>
          <cell r="J21">
            <v>4</v>
          </cell>
          <cell r="K21" t="str">
            <v>NA</v>
          </cell>
          <cell r="L21" t="str">
            <v>3-3-1-14-03-31-0728-235235 - Fortalecimiento a la gestión institucional del Concejo de Bogotá</v>
          </cell>
          <cell r="M21">
            <v>1</v>
          </cell>
          <cell r="N21" t="str">
            <v>Actualizar el 100% de la infraestructura física, tecnológica y transporte</v>
          </cell>
          <cell r="O21" t="str">
            <v>Actualizar la plataforma tecnológica del Concejo de Bogotá</v>
          </cell>
          <cell r="P21" t="str">
            <v>S</v>
          </cell>
          <cell r="Q21" t="str">
            <v>NA</v>
          </cell>
          <cell r="R21" t="str">
            <v>Adquisición de la librería HP LTO de respaldo para el Concejo de Bogotá</v>
          </cell>
          <cell r="S21">
            <v>1</v>
          </cell>
          <cell r="T21" t="str">
            <v>NA</v>
          </cell>
          <cell r="U21" t="str">
            <v>NA</v>
          </cell>
          <cell r="V21" t="str">
            <v>MINIMA CUANTIA</v>
          </cell>
          <cell r="W21" t="str">
            <v>PRINCIPAL</v>
          </cell>
          <cell r="X21" t="str">
            <v>NA</v>
          </cell>
          <cell r="Y21" t="str">
            <v>COMPRAVENTA</v>
          </cell>
          <cell r="Z21">
            <v>20000000</v>
          </cell>
          <cell r="AA21">
            <v>20000000</v>
          </cell>
          <cell r="AB21" t="str">
            <v>4 mes(es)</v>
          </cell>
          <cell r="AC21" t="str">
            <v>SEMANA 03</v>
          </cell>
          <cell r="AD21">
            <v>4</v>
          </cell>
          <cell r="AE21" t="str">
            <v>Se requiere la librería o unidad para tener un respaldo y ser instalada y ubicada en el centro alterno del Concejo en la sede principal</v>
          </cell>
          <cell r="AH21" t="str">
            <v>MARZO</v>
          </cell>
          <cell r="AJ21" t="str">
            <v>ABRIL</v>
          </cell>
        </row>
        <row r="22">
          <cell r="C22">
            <v>122</v>
          </cell>
          <cell r="D22" t="str">
            <v>CORPORATIVA</v>
          </cell>
          <cell r="E22">
            <v>3</v>
          </cell>
          <cell r="F22">
            <v>80</v>
          </cell>
          <cell r="G22" t="str">
            <v>INICIAL</v>
          </cell>
          <cell r="H22" t="str">
            <v>RECURSOS PROPIOS</v>
          </cell>
          <cell r="I22">
            <v>120000</v>
          </cell>
          <cell r="J22">
            <v>4</v>
          </cell>
          <cell r="K22" t="str">
            <v>NA</v>
          </cell>
          <cell r="L22" t="str">
            <v>3-1-1-02-03-01 Honorarios Entidad</v>
          </cell>
          <cell r="M22">
            <v>1</v>
          </cell>
          <cell r="N22" t="str">
            <v>NA</v>
          </cell>
          <cell r="O22" t="str">
            <v>NA</v>
          </cell>
          <cell r="P22" t="str">
            <v>S</v>
          </cell>
          <cell r="Q22" t="str">
            <v>NA</v>
          </cell>
          <cell r="R22" t="str">
            <v>Realizar las auditorías de seguimiento a los Subsistemas de Gestión Ambiental y Seguridad y Salud Ocupacional bajo las normas ISO 14001:2004 y OHSAS 18001:2007</v>
          </cell>
          <cell r="S22">
            <v>1</v>
          </cell>
          <cell r="T22" t="str">
            <v>Relacionada con el objeto a contratar-</v>
          </cell>
          <cell r="U22" t="str">
            <v>NA-</v>
          </cell>
          <cell r="V22" t="str">
            <v>CONTRATACION DIRECTA</v>
          </cell>
          <cell r="W22" t="str">
            <v>PRINCIPAL</v>
          </cell>
          <cell r="X22" t="str">
            <v>NA</v>
          </cell>
          <cell r="Y22" t="str">
            <v>PRESTACION DE SERVICIOS</v>
          </cell>
          <cell r="Z22">
            <v>2575000</v>
          </cell>
          <cell r="AA22">
            <v>2575000</v>
          </cell>
          <cell r="AB22" t="str">
            <v>1 mes(es)</v>
          </cell>
          <cell r="AC22" t="str">
            <v>SEMANA 05</v>
          </cell>
          <cell r="AD22">
            <v>6</v>
          </cell>
          <cell r="AE22" t="str">
            <v>El Concejo de Bogotá obtuvo la certificación de los sistemas de Gestión Ambiental y Seguridad y Salud Ocupacional bajo las normas ISO 14001:2004 y OHSAS 18001:2007, a partir del 31 de mayo de 2013.  Teniendo en cuenta lo anterior, se requiere la realizaci</v>
          </cell>
          <cell r="AF22" t="str">
            <v>SI</v>
          </cell>
          <cell r="AG22">
            <v>42066</v>
          </cell>
          <cell r="AH22" t="str">
            <v>ABRIL</v>
          </cell>
          <cell r="AI22" t="str">
            <v>MAYO</v>
          </cell>
          <cell r="AJ22" t="str">
            <v>JUNIO</v>
          </cell>
        </row>
        <row r="23">
          <cell r="C23">
            <v>123</v>
          </cell>
          <cell r="D23" t="str">
            <v>CORPORATIVA</v>
          </cell>
          <cell r="E23">
            <v>3</v>
          </cell>
          <cell r="F23">
            <v>80</v>
          </cell>
          <cell r="G23" t="str">
            <v>INICIAL</v>
          </cell>
          <cell r="H23" t="str">
            <v>RECURSOS PROPIOS</v>
          </cell>
          <cell r="I23">
            <v>120000</v>
          </cell>
          <cell r="J23">
            <v>4</v>
          </cell>
          <cell r="K23" t="str">
            <v>NA</v>
          </cell>
          <cell r="L23" t="str">
            <v>3-1-1-02-03-01 Honorarios Entidad</v>
          </cell>
          <cell r="M23">
            <v>1</v>
          </cell>
          <cell r="N23" t="str">
            <v>NA</v>
          </cell>
          <cell r="O23" t="str">
            <v>NA</v>
          </cell>
          <cell r="P23" t="str">
            <v>S</v>
          </cell>
          <cell r="Q23" t="str">
            <v>NA</v>
          </cell>
          <cell r="R23" t="str">
            <v>Realizar las auditorías para la recertificación del Sistema de Gestión de Calidad del Concejo de Bogotá.</v>
          </cell>
          <cell r="S23">
            <v>1</v>
          </cell>
          <cell r="T23" t="str">
            <v>Relacionada con el objeto a contratar-</v>
          </cell>
          <cell r="U23" t="str">
            <v>NA-</v>
          </cell>
          <cell r="V23" t="str">
            <v>MINIMA CUANTIA</v>
          </cell>
          <cell r="W23" t="str">
            <v>PRINCIPAL</v>
          </cell>
          <cell r="X23" t="str">
            <v>NA</v>
          </cell>
          <cell r="Y23" t="str">
            <v>PRESTACION DE SERVICIOS</v>
          </cell>
          <cell r="Z23">
            <v>10000000</v>
          </cell>
          <cell r="AA23">
            <v>10000000</v>
          </cell>
          <cell r="AB23" t="str">
            <v>5 mes(es)</v>
          </cell>
          <cell r="AC23" t="str">
            <v>SEMANA 05</v>
          </cell>
          <cell r="AD23">
            <v>6</v>
          </cell>
          <cell r="AE23" t="str">
            <v>Teniendo en cuenta que el Concejo de Bogotá tiene certificado su sistema de gestiòn de calidad bajo la norma ISO 9001 NTCGP1000, se requiere para mantener la vigencia del certificado, desarrollar auditorías de seguimiento anual que permitan verificar la c</v>
          </cell>
          <cell r="AF23" t="str">
            <v>SI</v>
          </cell>
          <cell r="AG23">
            <v>42066</v>
          </cell>
          <cell r="AH23" t="str">
            <v>ABRIL</v>
          </cell>
          <cell r="AI23" t="str">
            <v>MAYO</v>
          </cell>
          <cell r="AJ23" t="str">
            <v>JUNIO</v>
          </cell>
        </row>
        <row r="24">
          <cell r="C24">
            <v>124</v>
          </cell>
          <cell r="D24" t="str">
            <v>CORPORATIVA</v>
          </cell>
          <cell r="E24">
            <v>3</v>
          </cell>
          <cell r="F24">
            <v>80</v>
          </cell>
          <cell r="G24" t="str">
            <v>INICIAL</v>
          </cell>
          <cell r="H24" t="str">
            <v>RECURSOS PROPIOS</v>
          </cell>
          <cell r="I24">
            <v>120000</v>
          </cell>
          <cell r="J24">
            <v>4</v>
          </cell>
          <cell r="K24" t="str">
            <v>NA</v>
          </cell>
          <cell r="L24" t="str">
            <v>3-1-1-02-03-01 Honorarios Entidad</v>
          </cell>
          <cell r="M24">
            <v>1</v>
          </cell>
          <cell r="N24" t="str">
            <v>NA</v>
          </cell>
          <cell r="O24" t="str">
            <v>NA</v>
          </cell>
          <cell r="P24" t="str">
            <v>S</v>
          </cell>
          <cell r="Q24" t="str">
            <v>NA</v>
          </cell>
          <cell r="R24" t="str">
            <v>Prestar los servicios profesionales para acompañar la definición, contratación y seguimiento a los temas de infraestructura física que requiera el Concejo de Bogotá.</v>
          </cell>
          <cell r="S24">
            <v>1</v>
          </cell>
          <cell r="T24" t="str">
            <v>4 años de experiencia profesional de los cuales por lo menos 1año en dirección o coordinación de proyectos arquitectónicos o de obra.</v>
          </cell>
          <cell r="U24" t="str">
            <v>Ingeniero civil o arquitecto</v>
          </cell>
          <cell r="V24" t="str">
            <v>CONTRATACION DIRECTA</v>
          </cell>
          <cell r="W24" t="str">
            <v>PRINCIPAL</v>
          </cell>
          <cell r="X24" t="str">
            <v>ROSA</v>
          </cell>
          <cell r="Y24" t="str">
            <v>PRESTACION DE SERVICIOS1</v>
          </cell>
          <cell r="Z24">
            <v>60000000</v>
          </cell>
          <cell r="AA24">
            <v>60000000</v>
          </cell>
          <cell r="AB24" t="str">
            <v>12 mes(es)</v>
          </cell>
          <cell r="AC24" t="str">
            <v>SEMANA 01</v>
          </cell>
          <cell r="AD24">
            <v>2</v>
          </cell>
          <cell r="AE24" t="str">
            <v>El Concejo de Bogotá requiere de los servicios de un profesional en arquitectura o ingeniería civil para realizar el acompañamiento permanente a los  temas de infraestructura física que se requiera en las obras civiles que se están desarrollando en el Con</v>
          </cell>
          <cell r="AF24" t="str">
            <v>SI</v>
          </cell>
          <cell r="AG24">
            <v>42013</v>
          </cell>
          <cell r="AH24" t="str">
            <v>ENERO</v>
          </cell>
          <cell r="AI24" t="str">
            <v>ENERO</v>
          </cell>
          <cell r="AJ24" t="str">
            <v>FEBRERO</v>
          </cell>
        </row>
        <row r="25">
          <cell r="C25">
            <v>125</v>
          </cell>
          <cell r="D25" t="str">
            <v>CORPORATIVA</v>
          </cell>
          <cell r="E25">
            <v>3</v>
          </cell>
          <cell r="F25">
            <v>80</v>
          </cell>
          <cell r="G25" t="str">
            <v>INICIAL</v>
          </cell>
          <cell r="H25" t="str">
            <v>RECURSOS PROPIOS</v>
          </cell>
          <cell r="I25">
            <v>120000</v>
          </cell>
          <cell r="J25">
            <v>4</v>
          </cell>
          <cell r="K25" t="str">
            <v>NA</v>
          </cell>
          <cell r="L25" t="str">
            <v>3-1-1-02-03-01 Honorarios Entidad</v>
          </cell>
          <cell r="M25">
            <v>1</v>
          </cell>
          <cell r="N25" t="str">
            <v>NA</v>
          </cell>
          <cell r="O25" t="str">
            <v>NA</v>
          </cell>
          <cell r="P25" t="str">
            <v>S</v>
          </cell>
          <cell r="Q25" t="str">
            <v>NA</v>
          </cell>
          <cell r="R25" t="str">
            <v xml:space="preserve">Prestar los servicios profesionales para apoyar  en la supervisión de los contratos que le sean asignadas al Concejo de Bogotá, implementando mecanismos que le permitan contribuir efectivamente al seguimiento técnico, administrativo, financiero, contable </v>
          </cell>
          <cell r="S25">
            <v>1</v>
          </cell>
          <cell r="T25" t="str">
            <v>5 años de experiencia profesional, un año en el sector público (podrá estar incluido en los 5 años de experiencia general)-</v>
          </cell>
          <cell r="U25" t="str">
            <v>Abogado o profesional en áreas administrativas o económicas</v>
          </cell>
          <cell r="V25" t="str">
            <v>CONTRATACION DIRECTA</v>
          </cell>
          <cell r="W25" t="str">
            <v>PRINCIPAL</v>
          </cell>
          <cell r="X25" t="str">
            <v>LUISA</v>
          </cell>
          <cell r="Y25" t="str">
            <v>PRESTACION DE SERVICIOS1</v>
          </cell>
          <cell r="Z25">
            <v>63654000</v>
          </cell>
          <cell r="AA25">
            <v>63654000</v>
          </cell>
          <cell r="AB25" t="str">
            <v>12 mes(es)</v>
          </cell>
          <cell r="AC25" t="str">
            <v>SEMANA 01</v>
          </cell>
          <cell r="AD25">
            <v>2</v>
          </cell>
          <cell r="AE25" t="str">
            <v>La Dirección Financiera del Concejo de Bogotá tiene bajo su responsabilidad el proceso precontractual y de seguimiento y supervisión incluyendo el proceso de pagos asi como la elaboración de los informes finales para la liquidación.  Actualmente esta Dire</v>
          </cell>
          <cell r="AF25" t="str">
            <v>SI</v>
          </cell>
          <cell r="AG25">
            <v>42025</v>
          </cell>
          <cell r="AH25" t="str">
            <v>ENERO</v>
          </cell>
          <cell r="AI25" t="str">
            <v>ENERO</v>
          </cell>
          <cell r="AJ25" t="str">
            <v>FEBRERO</v>
          </cell>
        </row>
        <row r="26">
          <cell r="C26">
            <v>126</v>
          </cell>
          <cell r="D26" t="str">
            <v>CORPORATIVA</v>
          </cell>
          <cell r="E26">
            <v>3</v>
          </cell>
          <cell r="F26">
            <v>80</v>
          </cell>
          <cell r="G26" t="str">
            <v>INICIAL</v>
          </cell>
          <cell r="H26" t="str">
            <v>RECURSOS PROPIOS</v>
          </cell>
          <cell r="I26">
            <v>120000</v>
          </cell>
          <cell r="J26">
            <v>4</v>
          </cell>
          <cell r="K26" t="str">
            <v>NA</v>
          </cell>
          <cell r="L26" t="str">
            <v>3-1-1-02-03-01 Honorarios Entidad</v>
          </cell>
          <cell r="M26">
            <v>1</v>
          </cell>
          <cell r="N26" t="str">
            <v>NA</v>
          </cell>
          <cell r="O26" t="str">
            <v>NA</v>
          </cell>
          <cell r="P26" t="str">
            <v>S</v>
          </cell>
          <cell r="Q26" t="str">
            <v>NA</v>
          </cell>
          <cell r="R26" t="str">
            <v>Prestar los servicios profesionales para la actualización, administración, publicación y salvaguarda de la información publicada en la página WEB oficial del Concejo de Bogotá D.C.</v>
          </cell>
          <cell r="S26">
            <v>1</v>
          </cell>
          <cell r="T26" t="str">
            <v>3 años de experiencia profesional</v>
          </cell>
          <cell r="U26" t="str">
            <v>Ingeniero de Sistemas</v>
          </cell>
          <cell r="V26" t="str">
            <v>CONTRATACION DIRECTA</v>
          </cell>
          <cell r="W26" t="str">
            <v>PRINCIPAL</v>
          </cell>
          <cell r="X26" t="str">
            <v>FABIAN</v>
          </cell>
          <cell r="Y26" t="str">
            <v>PRESTACION DE SERVICIOS1</v>
          </cell>
          <cell r="Z26">
            <v>48000000</v>
          </cell>
          <cell r="AA26">
            <v>48000000</v>
          </cell>
          <cell r="AB26" t="str">
            <v>12 mes(es)</v>
          </cell>
          <cell r="AC26" t="str">
            <v>SEMANA 01</v>
          </cell>
          <cell r="AD26">
            <v>2</v>
          </cell>
          <cell r="AE26" t="str">
            <v xml:space="preserve"> la Corporación requiere  llevar a cabo el mantenimiento de la intranet oficial del Concejo de Bogotá, D. C., teniendo en cuenta que este es el medio más eficiente para dar a conocer de primera mano la actualidad en las labores diarias, los eventos y acon</v>
          </cell>
          <cell r="AF26" t="str">
            <v>SI</v>
          </cell>
          <cell r="AG26">
            <v>42013</v>
          </cell>
          <cell r="AH26" t="str">
            <v>ENERO</v>
          </cell>
          <cell r="AI26" t="str">
            <v>ENERO</v>
          </cell>
          <cell r="AJ26" t="str">
            <v>FEBRERO</v>
          </cell>
        </row>
        <row r="27">
          <cell r="C27">
            <v>127</v>
          </cell>
          <cell r="D27" t="str">
            <v>CORPORATIVA</v>
          </cell>
          <cell r="E27">
            <v>3</v>
          </cell>
          <cell r="F27">
            <v>7</v>
          </cell>
          <cell r="G27" t="str">
            <v>MODIFICACION</v>
          </cell>
          <cell r="H27" t="str">
            <v>RECURSOS PROPIOS</v>
          </cell>
          <cell r="I27">
            <v>120000</v>
          </cell>
          <cell r="J27">
            <v>4</v>
          </cell>
          <cell r="K27" t="str">
            <v>NA</v>
          </cell>
          <cell r="L27" t="str">
            <v>3-1-1-02-03-01 Honorarios Entidad</v>
          </cell>
          <cell r="M27">
            <v>1</v>
          </cell>
          <cell r="N27" t="str">
            <v>NA</v>
          </cell>
          <cell r="O27" t="str">
            <v>NA</v>
          </cell>
          <cell r="P27" t="str">
            <v>S</v>
          </cell>
          <cell r="Q27" t="str">
            <v>NA</v>
          </cell>
          <cell r="R27" t="str">
            <v>Prestar los servicios profesionales para la consolidación y actualización de la estrategia de depuración normativa del Concejo de Bogotá D.C.</v>
          </cell>
          <cell r="S27">
            <v>1</v>
          </cell>
          <cell r="T27" t="str">
            <v>5 años de experiencia profesional incluidos dos años de experiencia específica en el sector publico.</v>
          </cell>
          <cell r="U27" t="str">
            <v>Abogado con Posgrado en Derecho Administrativo o Constitucional o Público o Gestión Jurídica Pública</v>
          </cell>
          <cell r="V27" t="str">
            <v>CONTRATACION DIRECTA</v>
          </cell>
          <cell r="W27" t="str">
            <v>PRINCIPAL</v>
          </cell>
          <cell r="X27" t="str">
            <v>CATALINA</v>
          </cell>
          <cell r="Y27" t="str">
            <v>PRESTACION DE SERVICIOS1</v>
          </cell>
          <cell r="Z27">
            <v>78000000</v>
          </cell>
          <cell r="AA27">
            <v>78000000</v>
          </cell>
          <cell r="AB27" t="str">
            <v>12 mes(es)</v>
          </cell>
          <cell r="AC27" t="str">
            <v>SEMANA 01</v>
          </cell>
          <cell r="AD27">
            <v>2</v>
          </cell>
          <cell r="AE27" t="str">
            <v>Inicialmente en esta linea se proyecto la contratacion de 2 profesionales para  continuar con la estrategia de depuracion normativa, sin embargo para esta ultima fase del proceso se requiere un solo profesional  con experiencia en el sector publico que re</v>
          </cell>
          <cell r="AF27" t="str">
            <v>SI</v>
          </cell>
          <cell r="AG27">
            <v>42033</v>
          </cell>
          <cell r="AH27" t="str">
            <v>ENERO</v>
          </cell>
          <cell r="AI27" t="str">
            <v>ENERO</v>
          </cell>
          <cell r="AJ27" t="str">
            <v>FEBRERO</v>
          </cell>
        </row>
        <row r="28">
          <cell r="C28">
            <v>128</v>
          </cell>
          <cell r="D28" t="str">
            <v>CORPORATIVA</v>
          </cell>
          <cell r="E28">
            <v>3</v>
          </cell>
          <cell r="F28">
            <v>7</v>
          </cell>
          <cell r="G28" t="str">
            <v>MODIFICACION</v>
          </cell>
          <cell r="H28" t="str">
            <v>RECURSOS PROPIOS</v>
          </cell>
          <cell r="I28">
            <v>120000</v>
          </cell>
          <cell r="J28">
            <v>4</v>
          </cell>
          <cell r="K28" t="str">
            <v>NA</v>
          </cell>
          <cell r="L28" t="str">
            <v>3-1-1-02-03-01 Honorarios Entidad</v>
          </cell>
          <cell r="M28">
            <v>1</v>
          </cell>
          <cell r="N28" t="str">
            <v>NA</v>
          </cell>
          <cell r="O28" t="str">
            <v>NA</v>
          </cell>
          <cell r="P28" t="str">
            <v>S</v>
          </cell>
          <cell r="Q28" t="str">
            <v>NA</v>
          </cell>
          <cell r="R28" t="str">
            <v>Prestar los servicios profesionales para apoyar el proceso de sistemas y seguridad informática del Concejo de Bogotá con especial énfasis en la identificación y mitigación de riesgos.</v>
          </cell>
          <cell r="S28">
            <v>1</v>
          </cell>
          <cell r="T28" t="str">
            <v>18 meses de experiencia profesional-</v>
          </cell>
          <cell r="U28" t="str">
            <v>Ingeniero de Sistemas, electrónico o afines-</v>
          </cell>
          <cell r="V28" t="str">
            <v>CONTRATACION DIRECTA</v>
          </cell>
          <cell r="W28" t="str">
            <v>PRINCIPAL</v>
          </cell>
          <cell r="X28" t="str">
            <v>KHAANKO</v>
          </cell>
          <cell r="Y28" t="str">
            <v>PRESTACION DE SERVICIOS1</v>
          </cell>
          <cell r="Z28">
            <v>38400000</v>
          </cell>
          <cell r="AA28">
            <v>38400000</v>
          </cell>
          <cell r="AB28" t="str">
            <v>12 mes(es)</v>
          </cell>
          <cell r="AC28" t="str">
            <v>SEMANA 01</v>
          </cell>
          <cell r="AD28">
            <v>2</v>
          </cell>
          <cell r="AE28" t="str">
            <v>Se requiere ajustar el plazo de ejecucion en 12 meses y el valor es aumentado en $ 4.900.000 ya que el Concejo  requiere contar con un profesional que desarrolle las siguientes actividades adicionales a la vigencia de 2014:  i) Diseñar protocolos, manuale</v>
          </cell>
          <cell r="AF28" t="str">
            <v>SI</v>
          </cell>
          <cell r="AG28">
            <v>42013</v>
          </cell>
          <cell r="AH28" t="str">
            <v>ENERO</v>
          </cell>
          <cell r="AI28" t="str">
            <v>ENERO</v>
          </cell>
          <cell r="AJ28" t="str">
            <v>FEBRERO</v>
          </cell>
        </row>
        <row r="29">
          <cell r="C29">
            <v>129</v>
          </cell>
          <cell r="D29" t="str">
            <v>CORPORATIVA</v>
          </cell>
          <cell r="E29">
            <v>3</v>
          </cell>
          <cell r="F29">
            <v>80</v>
          </cell>
          <cell r="G29" t="str">
            <v>INICIAL</v>
          </cell>
          <cell r="H29" t="str">
            <v>RECURSOS PROPIOS</v>
          </cell>
          <cell r="I29">
            <v>120000</v>
          </cell>
          <cell r="J29">
            <v>4</v>
          </cell>
          <cell r="K29" t="str">
            <v>NA</v>
          </cell>
          <cell r="L29" t="str">
            <v>3-1-1-02-03-01 Honorarios Entidad</v>
          </cell>
          <cell r="M29">
            <v>1</v>
          </cell>
          <cell r="N29" t="str">
            <v>NA</v>
          </cell>
          <cell r="O29" t="str">
            <v>NA</v>
          </cell>
          <cell r="P29" t="str">
            <v>S</v>
          </cell>
          <cell r="Q29" t="str">
            <v>NA</v>
          </cell>
          <cell r="R29" t="str">
            <v>Prestar los servicios profesionales para acompañar al Concejo de Bogotá D.C. en la revisión y estudio de las historias laborales de los funcionarios para la definición técnica y jurídica del cumplimiento de requisitos en los diferentes regímenes de pensió</v>
          </cell>
          <cell r="S29">
            <v>1</v>
          </cell>
          <cell r="T29" t="str">
            <v>2 años de experiencia profesional en el sector público con 1 año de experiencia especifica en temas de seguridad social-</v>
          </cell>
          <cell r="U29" t="str">
            <v>Economista, administrador de empresas oabogado, con  posgrado-</v>
          </cell>
          <cell r="V29" t="str">
            <v>CONTRATACION DIRECTA</v>
          </cell>
          <cell r="W29" t="str">
            <v>PRINCIPAL</v>
          </cell>
          <cell r="X29" t="str">
            <v>EDGAR</v>
          </cell>
          <cell r="Y29" t="str">
            <v>PRESTACION DE SERVICIOS1</v>
          </cell>
          <cell r="Z29">
            <v>46068000</v>
          </cell>
          <cell r="AA29">
            <v>46068000</v>
          </cell>
          <cell r="AB29" t="str">
            <v>12 mes(es)</v>
          </cell>
          <cell r="AC29" t="str">
            <v>SEMANA 01</v>
          </cell>
          <cell r="AD29">
            <v>2</v>
          </cell>
          <cell r="AE29" t="str">
            <v>El Concejo de Bogotá D.C., requiere con un análisis sobre la situación pensional de los funcionarios del Concejo de Bogotá D.C. que se encuentran próximos a cumplir con los requisitos legales para acceder a la pensión cualquiera que sea su régimen y de lo</v>
          </cell>
          <cell r="AF29" t="str">
            <v>SI</v>
          </cell>
          <cell r="AG29">
            <v>42013</v>
          </cell>
          <cell r="AH29" t="str">
            <v>ENERO</v>
          </cell>
          <cell r="AI29" t="str">
            <v>ENERO</v>
          </cell>
          <cell r="AJ29" t="str">
            <v>FEBRERO</v>
          </cell>
        </row>
        <row r="30">
          <cell r="C30">
            <v>130</v>
          </cell>
          <cell r="D30" t="str">
            <v>CORPORATIVA</v>
          </cell>
          <cell r="E30">
            <v>3</v>
          </cell>
          <cell r="F30">
            <v>80</v>
          </cell>
          <cell r="G30" t="str">
            <v>INICIAL</v>
          </cell>
          <cell r="H30" t="str">
            <v>RECURSOS PROPIOS</v>
          </cell>
          <cell r="I30">
            <v>120000</v>
          </cell>
          <cell r="J30">
            <v>4</v>
          </cell>
          <cell r="K30" t="str">
            <v>NA</v>
          </cell>
          <cell r="L30" t="str">
            <v>3-1-1-02-03-01 Honorarios Entidad</v>
          </cell>
          <cell r="M30">
            <v>1</v>
          </cell>
          <cell r="N30" t="str">
            <v>NA</v>
          </cell>
          <cell r="O30" t="str">
            <v>NA</v>
          </cell>
          <cell r="P30" t="str">
            <v>S</v>
          </cell>
          <cell r="Q30" t="str">
            <v>NA</v>
          </cell>
          <cell r="R30" t="str">
            <v>Prestar los servicios profesionales para elaborar las especificaciones y condiciones técnicas de los procesos para la adquisición de bienes y servicios y apoyar la funcion de supervision de los contratos</v>
          </cell>
          <cell r="S30">
            <v>1</v>
          </cell>
          <cell r="T30" t="str">
            <v>4 años de experiencia profesional, mínimo un año en en el sector público</v>
          </cell>
          <cell r="U30" t="str">
            <v>Abogado o profesional en áreas administrativas.</v>
          </cell>
          <cell r="V30" t="str">
            <v>CONTRATACION DIRECTA</v>
          </cell>
          <cell r="W30" t="str">
            <v>PRINCIPAL</v>
          </cell>
          <cell r="X30" t="str">
            <v>JAVIER</v>
          </cell>
          <cell r="Y30" t="str">
            <v>PRESTACION DE SERVICIOS1</v>
          </cell>
          <cell r="Z30">
            <v>60000000</v>
          </cell>
          <cell r="AA30">
            <v>60000000</v>
          </cell>
          <cell r="AB30" t="str">
            <v>12 mes(es)</v>
          </cell>
          <cell r="AC30" t="str">
            <v>SEMANA 01</v>
          </cell>
          <cell r="AD30">
            <v>2</v>
          </cell>
          <cell r="AE30" t="str">
            <v>Dado que el personal que apoya el proceso de adquisición de bienes y servicios para el Concejo de Bogota es insuficiente y que el volumen  de los contratos a supervisar es aproximadamente de 186 y, adicionalmente, como respuesta a los hallazgos de caracte</v>
          </cell>
          <cell r="AF30" t="str">
            <v>SI</v>
          </cell>
          <cell r="AG30">
            <v>42025</v>
          </cell>
          <cell r="AH30" t="str">
            <v>ENERO</v>
          </cell>
          <cell r="AI30" t="str">
            <v>ENERO</v>
          </cell>
          <cell r="AJ30" t="str">
            <v>FEBRERO</v>
          </cell>
        </row>
        <row r="31">
          <cell r="C31">
            <v>131</v>
          </cell>
          <cell r="D31" t="str">
            <v>CORPORATIVA</v>
          </cell>
          <cell r="E31">
            <v>3</v>
          </cell>
          <cell r="F31">
            <v>80</v>
          </cell>
          <cell r="G31" t="str">
            <v>INICIAL</v>
          </cell>
          <cell r="H31" t="str">
            <v>RECURSOS PROPIOS</v>
          </cell>
          <cell r="I31">
            <v>120000</v>
          </cell>
          <cell r="J31">
            <v>4</v>
          </cell>
          <cell r="K31" t="str">
            <v>NA</v>
          </cell>
          <cell r="L31" t="str">
            <v>3-1-1-02-03-01 Honorarios Entidad</v>
          </cell>
          <cell r="M31">
            <v>1</v>
          </cell>
          <cell r="N31" t="str">
            <v>NA</v>
          </cell>
          <cell r="O31" t="str">
            <v>NA</v>
          </cell>
          <cell r="P31" t="str">
            <v>S</v>
          </cell>
          <cell r="Q31" t="str">
            <v>NA</v>
          </cell>
          <cell r="R31" t="str">
            <v>Prestar los servicios profesionales para apoyar la gestión administrativa, documental y contractual en los asuntos de competencia del Concejo de Bogotá.</v>
          </cell>
          <cell r="S31">
            <v>1</v>
          </cell>
          <cell r="T31" t="str">
            <v>6 meses de experiencia profesional</v>
          </cell>
          <cell r="U31" t="str">
            <v>Abogado o áreas administrativas o relacionadas.</v>
          </cell>
          <cell r="V31" t="str">
            <v>CONTRATACION DIRECTA</v>
          </cell>
          <cell r="W31" t="str">
            <v>PRINCIPAL</v>
          </cell>
          <cell r="X31" t="str">
            <v>LINA</v>
          </cell>
          <cell r="Y31" t="str">
            <v>PRESTACION DE SERVICIOS1</v>
          </cell>
          <cell r="Z31">
            <v>30900000</v>
          </cell>
          <cell r="AA31">
            <v>30900000</v>
          </cell>
          <cell r="AB31" t="str">
            <v>12 mes(es)</v>
          </cell>
          <cell r="AC31" t="str">
            <v>SEMANA 01</v>
          </cell>
          <cell r="AD31">
            <v>2</v>
          </cell>
          <cell r="AE31" t="str">
            <v>Dado que el personal que apoya el proceso de adquisición de bienes y servicios para el Concejo de Bogota es insuficiente y adicionalmente, como respuesta a los hallazgos de caracter administrativo referidos por la Oficina de Control Interno del Concejo en</v>
          </cell>
          <cell r="AF31" t="str">
            <v>SI</v>
          </cell>
          <cell r="AG31">
            <v>42033</v>
          </cell>
          <cell r="AH31" t="str">
            <v>ENERO</v>
          </cell>
          <cell r="AI31" t="str">
            <v>ENERO</v>
          </cell>
          <cell r="AJ31" t="str">
            <v>FEBRERO</v>
          </cell>
        </row>
        <row r="32">
          <cell r="C32">
            <v>132</v>
          </cell>
          <cell r="D32" t="str">
            <v>CORPORATIVA</v>
          </cell>
          <cell r="E32">
            <v>3</v>
          </cell>
          <cell r="F32">
            <v>80</v>
          </cell>
          <cell r="G32" t="str">
            <v>INICIAL</v>
          </cell>
          <cell r="H32" t="str">
            <v>RECURSOS PROPIOS</v>
          </cell>
          <cell r="I32">
            <v>120000</v>
          </cell>
          <cell r="J32">
            <v>4</v>
          </cell>
          <cell r="K32" t="str">
            <v>NA</v>
          </cell>
          <cell r="L32" t="str">
            <v>3-1-1-02-03-01 Honorarios Entidad</v>
          </cell>
          <cell r="M32">
            <v>1</v>
          </cell>
          <cell r="N32" t="str">
            <v>NA</v>
          </cell>
          <cell r="O32" t="str">
            <v>NA</v>
          </cell>
          <cell r="P32" t="str">
            <v>S</v>
          </cell>
          <cell r="Q32" t="str">
            <v>NA</v>
          </cell>
          <cell r="R32" t="str">
            <v>Prestar los servicios profesionales para acompañar a la Oficina de Comunicaciones del Concejo de Bogotá en la implementación de estrategias comunicativas</v>
          </cell>
          <cell r="S32">
            <v>1</v>
          </cell>
          <cell r="T32" t="str">
            <v>6 meses de experiencia profesional</v>
          </cell>
          <cell r="U32" t="str">
            <v>Comunicador Social</v>
          </cell>
          <cell r="V32" t="str">
            <v>CONTRATACION DIRECTA</v>
          </cell>
          <cell r="W32" t="str">
            <v>PRINCIPAL</v>
          </cell>
          <cell r="X32" t="str">
            <v>DIANA</v>
          </cell>
          <cell r="Y32" t="str">
            <v>PRESTACION DE SERVICIOS1</v>
          </cell>
          <cell r="Z32">
            <v>30900000</v>
          </cell>
          <cell r="AA32">
            <v>30900000</v>
          </cell>
          <cell r="AB32" t="str">
            <v>12 mes(es)</v>
          </cell>
          <cell r="AC32" t="str">
            <v>SEMANA 01</v>
          </cell>
          <cell r="AD32">
            <v>2</v>
          </cell>
          <cell r="AE32" t="str">
            <v>Uno de los objetivos del programa de televisión y el plan de medios es posicionar la misión del Concejo de Bogotá D.C. El lanzamiento del informativo, el debate y la estrategia de comunicaciones requiere una persona  haga seguimiento en los medios de comu</v>
          </cell>
          <cell r="AF32" t="str">
            <v>SI</v>
          </cell>
          <cell r="AG32">
            <v>42025</v>
          </cell>
          <cell r="AH32" t="str">
            <v>ENERO</v>
          </cell>
          <cell r="AI32" t="str">
            <v>ENERO</v>
          </cell>
          <cell r="AJ32" t="str">
            <v>FEBRERO</v>
          </cell>
        </row>
        <row r="33">
          <cell r="C33">
            <v>133</v>
          </cell>
          <cell r="D33" t="str">
            <v>CORPORATIVA</v>
          </cell>
          <cell r="E33">
            <v>3</v>
          </cell>
          <cell r="F33">
            <v>80</v>
          </cell>
          <cell r="G33" t="str">
            <v>INICIAL</v>
          </cell>
          <cell r="H33" t="str">
            <v>RECURSOS PROPIOS</v>
          </cell>
          <cell r="I33">
            <v>120000</v>
          </cell>
          <cell r="J33">
            <v>4</v>
          </cell>
          <cell r="K33" t="str">
            <v>NA</v>
          </cell>
          <cell r="L33" t="str">
            <v>3-1-1-02-03-01 Honorarios Entidad</v>
          </cell>
          <cell r="M33">
            <v>1</v>
          </cell>
          <cell r="N33" t="str">
            <v>NA</v>
          </cell>
          <cell r="O33" t="str">
            <v>NA</v>
          </cell>
          <cell r="P33" t="str">
            <v>S</v>
          </cell>
          <cell r="Q33" t="str">
            <v>NA</v>
          </cell>
          <cell r="R33" t="str">
            <v>Prestar los servicios profesionales para  apoyar al Concejo de Bogotá en el enlace con la Unidad Ejecutora 04 de la Secretaría Distrital de Hacienda para la liquidación y cierre de los expedientes contractuales</v>
          </cell>
          <cell r="S33">
            <v>1</v>
          </cell>
          <cell r="T33" t="str">
            <v>5 años de experiencia profesional, de los cuales mínimo un año en gestión pública-</v>
          </cell>
          <cell r="U33" t="str">
            <v>Abogado o en áreas administrativas o economicas.</v>
          </cell>
          <cell r="V33" t="str">
            <v>CONTRATACION DIRECTA</v>
          </cell>
          <cell r="W33" t="str">
            <v>PRINCIPAL</v>
          </cell>
          <cell r="X33" t="str">
            <v>JUDITH</v>
          </cell>
          <cell r="Y33" t="str">
            <v>PRESTACION DE SERVICIOS1</v>
          </cell>
          <cell r="Z33">
            <v>63654000</v>
          </cell>
          <cell r="AA33">
            <v>63654000</v>
          </cell>
          <cell r="AB33" t="str">
            <v>12 mes(es)</v>
          </cell>
          <cell r="AC33" t="str">
            <v>SEMANA 01</v>
          </cell>
          <cell r="AD33">
            <v>2</v>
          </cell>
          <cell r="AE33" t="str">
            <v>Una vez implementada la estrategia para la organización y seguimiento de los contratos adelantados por el Fondo Cuenta en los últimos 3 años se identificó la necesidad de adelantar las actividades para llevar a cabo la liquidación de los mismos. Por lo ta</v>
          </cell>
          <cell r="AF33" t="str">
            <v>SI</v>
          </cell>
          <cell r="AG33">
            <v>42020</v>
          </cell>
          <cell r="AH33" t="str">
            <v>ENERO</v>
          </cell>
          <cell r="AI33" t="str">
            <v>ENERO</v>
          </cell>
          <cell r="AJ33" t="str">
            <v>FEBRERO</v>
          </cell>
        </row>
        <row r="34">
          <cell r="C34">
            <v>134</v>
          </cell>
          <cell r="D34" t="str">
            <v>CORPORATIVA</v>
          </cell>
          <cell r="E34">
            <v>3</v>
          </cell>
          <cell r="F34">
            <v>80</v>
          </cell>
          <cell r="G34" t="str">
            <v>INICIAL</v>
          </cell>
          <cell r="H34" t="str">
            <v>RECURSOS PROPIOS</v>
          </cell>
          <cell r="I34">
            <v>120000</v>
          </cell>
          <cell r="J34">
            <v>4</v>
          </cell>
          <cell r="K34" t="str">
            <v>NA</v>
          </cell>
          <cell r="L34" t="str">
            <v>3-1-1-02-03-01 Honorarios Entidad</v>
          </cell>
          <cell r="M34">
            <v>1</v>
          </cell>
          <cell r="N34" t="str">
            <v>NA</v>
          </cell>
          <cell r="O34" t="str">
            <v>NA</v>
          </cell>
          <cell r="P34" t="str">
            <v>S</v>
          </cell>
          <cell r="Q34" t="str">
            <v>NA</v>
          </cell>
          <cell r="R34" t="str">
            <v>Prestar los servicios para la elaboracion del retrato sobre lienzo al oleo del Presidente de la Mesa Directiva del Concejo de Bogota.</v>
          </cell>
          <cell r="S34">
            <v>1</v>
          </cell>
          <cell r="T34" t="str">
            <v>Relacionada con el objeto</v>
          </cell>
          <cell r="U34" t="str">
            <v>Estudios en dibujo y pintura</v>
          </cell>
          <cell r="V34" t="str">
            <v>CONTRATACION DIRECTA</v>
          </cell>
          <cell r="W34" t="str">
            <v>PRINCIPAL</v>
          </cell>
          <cell r="X34" t="str">
            <v>NA</v>
          </cell>
          <cell r="Y34" t="str">
            <v>PRESTACION DE SERVICIOS</v>
          </cell>
          <cell r="Z34">
            <v>7000000</v>
          </cell>
          <cell r="AA34">
            <v>7000000</v>
          </cell>
          <cell r="AB34" t="str">
            <v>2 mes(es)</v>
          </cell>
          <cell r="AC34" t="str">
            <v>SEMANA 10</v>
          </cell>
          <cell r="AD34">
            <v>11</v>
          </cell>
          <cell r="AE34" t="str">
            <v>El Concejo de Bogotá cuenta con  una Galería, abierta al público  que visita sus instalaciones, en la cual se exhiben los retratos de los Honorables Concejales de Bogotá D.C., que han ocupado la presidencia de la Corporación. Estos retratos, son la refere</v>
          </cell>
          <cell r="AH34" t="str">
            <v>OCTUBRE</v>
          </cell>
          <cell r="AI34" t="str">
            <v>OCTUBRE</v>
          </cell>
          <cell r="AJ34" t="str">
            <v>NOVIEMBRE</v>
          </cell>
        </row>
        <row r="35">
          <cell r="C35">
            <v>135</v>
          </cell>
          <cell r="D35" t="str">
            <v>CORPORATIVA</v>
          </cell>
          <cell r="E35">
            <v>3</v>
          </cell>
          <cell r="F35">
            <v>80</v>
          </cell>
          <cell r="G35" t="str">
            <v>INICIAL</v>
          </cell>
          <cell r="H35" t="str">
            <v>RECURSOS PROPIOS</v>
          </cell>
          <cell r="I35">
            <v>120000</v>
          </cell>
          <cell r="J35">
            <v>4</v>
          </cell>
          <cell r="K35" t="str">
            <v>NA</v>
          </cell>
          <cell r="L35" t="str">
            <v>3-1-1-02-03-01 Honorarios Entidad</v>
          </cell>
          <cell r="M35">
            <v>1</v>
          </cell>
          <cell r="N35" t="str">
            <v>NA</v>
          </cell>
          <cell r="O35" t="str">
            <v>NA</v>
          </cell>
          <cell r="P35" t="str">
            <v>S</v>
          </cell>
          <cell r="Q35" t="str">
            <v>NA</v>
          </cell>
          <cell r="R35" t="str">
            <v>Prestar los servicios profesionales para realizar acompañamiento y seguimiento a los procesos de adquisición de bienes y servicios y seguimiento a la ejecución de contratos para el Concejo de Bogotá D. C.</v>
          </cell>
          <cell r="S35">
            <v>1</v>
          </cell>
          <cell r="T35" t="str">
            <v>6 años de experiencia profesional de los cuales mínimo 2 años de experiencia especifica en contratacion estatal</v>
          </cell>
          <cell r="U35" t="str">
            <v>Abogado con especializaciónn en Derecho Administrativo o contractual</v>
          </cell>
          <cell r="V35" t="str">
            <v>CONTRATACION DIRECTA</v>
          </cell>
          <cell r="W35" t="str">
            <v>PRINCIPAL</v>
          </cell>
          <cell r="X35" t="str">
            <v>NAYIVE</v>
          </cell>
          <cell r="Y35" t="str">
            <v>PRESTACION DE SERVICIOS1</v>
          </cell>
          <cell r="Z35">
            <v>84000000</v>
          </cell>
          <cell r="AA35">
            <v>84000000</v>
          </cell>
          <cell r="AB35" t="str">
            <v>12 mes(es)</v>
          </cell>
          <cell r="AC35" t="str">
            <v>SEMANA 01</v>
          </cell>
          <cell r="AD35">
            <v>2</v>
          </cell>
          <cell r="AE35" t="str">
            <v>La Dirección Financiera del Concejo de Bogotá tiene bajo su responsabilidad el proceso precontractual y de seguimiento y supervisión incluyendo el proceso de pagos así como la elaboración de los informes finales para la liquidación.  Actualmente esta Dire</v>
          </cell>
          <cell r="AF35" t="str">
            <v>SI</v>
          </cell>
          <cell r="AG35">
            <v>42013</v>
          </cell>
          <cell r="AH35" t="str">
            <v>ENERO</v>
          </cell>
          <cell r="AI35" t="str">
            <v>ENERO</v>
          </cell>
          <cell r="AJ35" t="str">
            <v>FEBRERO</v>
          </cell>
        </row>
        <row r="36">
          <cell r="C36">
            <v>136</v>
          </cell>
          <cell r="D36" t="str">
            <v>CORPORATIVA</v>
          </cell>
          <cell r="E36">
            <v>3</v>
          </cell>
          <cell r="F36">
            <v>80</v>
          </cell>
          <cell r="G36" t="str">
            <v>INICIAL</v>
          </cell>
          <cell r="H36" t="str">
            <v>RECURSOS PROPIOS</v>
          </cell>
          <cell r="I36">
            <v>120000</v>
          </cell>
          <cell r="J36">
            <v>4</v>
          </cell>
          <cell r="K36" t="str">
            <v>NA</v>
          </cell>
          <cell r="L36" t="str">
            <v>3-1-1-02-03-01 Honorarios Entidad</v>
          </cell>
          <cell r="M36">
            <v>1</v>
          </cell>
          <cell r="N36" t="str">
            <v>NA</v>
          </cell>
          <cell r="O36" t="str">
            <v>NA</v>
          </cell>
          <cell r="P36" t="str">
            <v>S</v>
          </cell>
          <cell r="Q36" t="str">
            <v>NA</v>
          </cell>
          <cell r="R36" t="str">
            <v>Prestar los servicios profesionales para sistematizar y consolidar la informacion de los trámites contractuales a cargo del proceso administrativo y finanaciero del Concejo de Bogotá</v>
          </cell>
          <cell r="S36">
            <v>1</v>
          </cell>
          <cell r="T36" t="str">
            <v>2 años  de experiencia profesional</v>
          </cell>
          <cell r="U36" t="str">
            <v>Profesional en areas administrativas</v>
          </cell>
          <cell r="V36" t="str">
            <v>CONTRATACION DIRECTA</v>
          </cell>
          <cell r="W36" t="str">
            <v>PRINCIPAL</v>
          </cell>
          <cell r="X36" t="str">
            <v>LIZETH</v>
          </cell>
          <cell r="Y36" t="str">
            <v>PRESTACION DE SERVICIOS1</v>
          </cell>
          <cell r="Z36">
            <v>43260000</v>
          </cell>
          <cell r="AA36">
            <v>43260000</v>
          </cell>
          <cell r="AB36" t="str">
            <v>12 mes(es)</v>
          </cell>
          <cell r="AC36" t="str">
            <v>SEMANA 01</v>
          </cell>
          <cell r="AD36">
            <v>2</v>
          </cell>
          <cell r="AE36" t="str">
            <v>Dado que el personal que apoya el proceso de adquisición de bienes y servicios para el Concejo de Bogota es insuficiente y que el volumen  de los contratos a supervisar es aproximadamente de 186 y, adicionalmente, como respuesta a los hallazgos de caracte</v>
          </cell>
          <cell r="AF36" t="str">
            <v>SI</v>
          </cell>
          <cell r="AG36">
            <v>42025</v>
          </cell>
          <cell r="AH36" t="str">
            <v>ENERO</v>
          </cell>
          <cell r="AI36" t="str">
            <v>ENERO</v>
          </cell>
          <cell r="AJ36" t="str">
            <v>FEBRERO</v>
          </cell>
        </row>
        <row r="37">
          <cell r="C37">
            <v>137</v>
          </cell>
          <cell r="D37" t="str">
            <v>CORPORATIVA</v>
          </cell>
          <cell r="E37">
            <v>3</v>
          </cell>
          <cell r="F37">
            <v>80</v>
          </cell>
          <cell r="G37" t="str">
            <v>INICIAL</v>
          </cell>
          <cell r="H37" t="str">
            <v>RECURSOS PROPIOS</v>
          </cell>
          <cell r="I37">
            <v>120000</v>
          </cell>
          <cell r="J37">
            <v>4</v>
          </cell>
          <cell r="K37" t="str">
            <v>NA</v>
          </cell>
          <cell r="L37" t="str">
            <v>3-1-1-02-03-01 Honorarios Entidad</v>
          </cell>
          <cell r="M37">
            <v>1</v>
          </cell>
          <cell r="N37" t="str">
            <v>NA</v>
          </cell>
          <cell r="O37" t="str">
            <v>NA</v>
          </cell>
          <cell r="P37" t="str">
            <v>S</v>
          </cell>
          <cell r="Q37" t="str">
            <v>NA</v>
          </cell>
          <cell r="R37" t="str">
            <v>Prestar los servicios profesionales para acompañar la definición de especificaciones y condiciones técnicas para la adquisición de bienes y servicios relacionadas con tecnología e informática</v>
          </cell>
          <cell r="S37">
            <v>1</v>
          </cell>
          <cell r="T37" t="str">
            <v>5 años de experiencia profesional, de los cuales 1 año de experiencia en contratación estatal</v>
          </cell>
          <cell r="U37" t="str">
            <v>Profesional en Derecho, Ingeniería de Sistemas o en áreas administrativas</v>
          </cell>
          <cell r="V37" t="str">
            <v>CONTRATACION DIRECTA</v>
          </cell>
          <cell r="W37" t="str">
            <v>PRINCIPAL</v>
          </cell>
          <cell r="X37" t="str">
            <v>J. PAUL</v>
          </cell>
          <cell r="Y37" t="str">
            <v>PRESTACION DE SERVICIOS1</v>
          </cell>
          <cell r="Z37">
            <v>63654000</v>
          </cell>
          <cell r="AA37">
            <v>63654000</v>
          </cell>
          <cell r="AB37" t="str">
            <v>12 mes(es)</v>
          </cell>
          <cell r="AC37" t="str">
            <v>SEMANA 01</v>
          </cell>
          <cell r="AD37">
            <v>2</v>
          </cell>
          <cell r="AE37" t="str">
            <v>Uno de los puntos a mejorar  identificados en el proceso Fondo Cuenta de la Dirección Financiera del Concejo es el seguimiento a los procesos de adquisición de bienes y servicios del área de Sistemas debido a la ausencia del personal con conocimientos téc</v>
          </cell>
          <cell r="AF37" t="str">
            <v>SI</v>
          </cell>
          <cell r="AG37">
            <v>42025</v>
          </cell>
          <cell r="AH37" t="str">
            <v>ENERO</v>
          </cell>
          <cell r="AI37" t="str">
            <v>ENERO</v>
          </cell>
          <cell r="AJ37" t="str">
            <v>FEBRERO</v>
          </cell>
        </row>
        <row r="38">
          <cell r="C38">
            <v>138</v>
          </cell>
          <cell r="D38" t="str">
            <v>CORPORATIVA</v>
          </cell>
          <cell r="E38">
            <v>3</v>
          </cell>
          <cell r="F38">
            <v>80</v>
          </cell>
          <cell r="G38" t="str">
            <v>INICIAL</v>
          </cell>
          <cell r="H38" t="str">
            <v>RECURSOS PROPIOS</v>
          </cell>
          <cell r="I38">
            <v>120000</v>
          </cell>
          <cell r="J38">
            <v>4</v>
          </cell>
          <cell r="K38" t="str">
            <v>NA</v>
          </cell>
          <cell r="L38" t="str">
            <v>3-1-2-02-03 Gastos de Transporte y Comunicación</v>
          </cell>
          <cell r="M38">
            <v>1</v>
          </cell>
          <cell r="N38" t="str">
            <v>NA</v>
          </cell>
          <cell r="O38" t="str">
            <v>NA</v>
          </cell>
          <cell r="P38" t="str">
            <v>S</v>
          </cell>
          <cell r="Q38" t="str">
            <v>NA</v>
          </cell>
          <cell r="R38" t="str">
            <v>Adición y prórroga al contrato 140197 suscrito con A&amp;V EXPRESS S A cuyo objeto es  la prestación del servicio de  correspondencia  para el Concejo  de Bogotá</v>
          </cell>
          <cell r="S38">
            <v>1</v>
          </cell>
          <cell r="T38" t="str">
            <v>NA</v>
          </cell>
          <cell r="U38" t="str">
            <v>NA</v>
          </cell>
          <cell r="V38" t="str">
            <v>NA</v>
          </cell>
          <cell r="W38" t="str">
            <v>MODIFICACION</v>
          </cell>
          <cell r="X38" t="str">
            <v>AP</v>
          </cell>
          <cell r="Y38" t="str">
            <v>PRESTACION DE SERVICIOS</v>
          </cell>
          <cell r="Z38">
            <v>8500000</v>
          </cell>
          <cell r="AA38">
            <v>8500000</v>
          </cell>
          <cell r="AB38" t="str">
            <v>2 mes(es)</v>
          </cell>
          <cell r="AC38" t="str">
            <v>SEMANA 01</v>
          </cell>
          <cell r="AD38">
            <v>2</v>
          </cell>
          <cell r="AE38" t="str">
            <v>Con el fin de  unificar la vigencia del contrato con el de la SDH y adelantar un solo proceso de contratación se requiere adicionar y prorrogar el contrato del Concejo de Bogotá   Se calculó el promedio de ejecución mensual y se proyectó a dos meses.</v>
          </cell>
          <cell r="AF38" t="str">
            <v>SI</v>
          </cell>
          <cell r="AG38">
            <v>0</v>
          </cell>
          <cell r="AH38" t="str">
            <v>ENERO</v>
          </cell>
          <cell r="AI38" t="str">
            <v>ENERO</v>
          </cell>
          <cell r="AJ38" t="str">
            <v>FEBRERO</v>
          </cell>
        </row>
        <row r="39">
          <cell r="C39">
            <v>139</v>
          </cell>
          <cell r="D39" t="str">
            <v>CORPORATIVA</v>
          </cell>
          <cell r="E39">
            <v>3</v>
          </cell>
          <cell r="F39">
            <v>80</v>
          </cell>
          <cell r="G39" t="str">
            <v>INICIAL</v>
          </cell>
          <cell r="H39" t="str">
            <v>RECURSOS PROPIOS</v>
          </cell>
          <cell r="I39">
            <v>120000</v>
          </cell>
          <cell r="J39">
            <v>4</v>
          </cell>
          <cell r="K39" t="str">
            <v>NA</v>
          </cell>
          <cell r="L39" t="str">
            <v>3-1-2-02-03 Gastos de Transporte y Comunicación</v>
          </cell>
          <cell r="M39">
            <v>1</v>
          </cell>
          <cell r="N39" t="str">
            <v>NA</v>
          </cell>
          <cell r="O39" t="str">
            <v>NA</v>
          </cell>
          <cell r="P39" t="str">
            <v>S</v>
          </cell>
          <cell r="Q39" t="str">
            <v>NA</v>
          </cell>
          <cell r="R39" t="str">
            <v>Suscripción al sistema de televisión satelital para ser instalados en la sede del Concejo de Bogotá</v>
          </cell>
          <cell r="S39">
            <v>1</v>
          </cell>
          <cell r="T39" t="str">
            <v>NA</v>
          </cell>
          <cell r="U39" t="str">
            <v>NA</v>
          </cell>
          <cell r="V39" t="str">
            <v>MINIMA CUANTIA</v>
          </cell>
          <cell r="W39" t="str">
            <v>PRINCIPAL</v>
          </cell>
          <cell r="X39" t="str">
            <v>NA</v>
          </cell>
          <cell r="Y39" t="str">
            <v>SUSCRIPCION</v>
          </cell>
          <cell r="Z39">
            <v>1700000</v>
          </cell>
          <cell r="AA39">
            <v>1700000</v>
          </cell>
          <cell r="AB39" t="str">
            <v>12 mes(es)</v>
          </cell>
          <cell r="AC39" t="str">
            <v>SEMANA 02</v>
          </cell>
          <cell r="AD39">
            <v>4</v>
          </cell>
          <cell r="AE39" t="str">
            <v>Se requiere contar con este servicio para la información de los medios de televisión que necesite el Concejo de Bogotá  El presupuesto para la vigencia 2015 se calculo con base en valor del estudio de mercado realizado en la vigencia 2014 con un increment</v>
          </cell>
          <cell r="AF39" t="str">
            <v>SI</v>
          </cell>
          <cell r="AG39">
            <v>42054</v>
          </cell>
          <cell r="AH39" t="str">
            <v>FEBRERO</v>
          </cell>
          <cell r="AI39" t="str">
            <v>FEBRERO</v>
          </cell>
          <cell r="AJ39" t="str">
            <v>ABRIL</v>
          </cell>
        </row>
        <row r="40">
          <cell r="C40">
            <v>140</v>
          </cell>
          <cell r="D40" t="str">
            <v>CORPORATIVA</v>
          </cell>
          <cell r="E40">
            <v>3</v>
          </cell>
          <cell r="F40">
            <v>80</v>
          </cell>
          <cell r="G40" t="str">
            <v>INICIAL</v>
          </cell>
          <cell r="H40" t="str">
            <v>RECURSOS PROPIOS</v>
          </cell>
          <cell r="I40">
            <v>120000</v>
          </cell>
          <cell r="J40">
            <v>4</v>
          </cell>
          <cell r="K40" t="str">
            <v>NA</v>
          </cell>
          <cell r="L40" t="str">
            <v>3-1-2-02-04 Impresos y  Publicaciones</v>
          </cell>
          <cell r="M40">
            <v>1</v>
          </cell>
          <cell r="N40" t="str">
            <v>NA</v>
          </cell>
          <cell r="O40" t="str">
            <v>NA</v>
          </cell>
          <cell r="P40" t="str">
            <v>S</v>
          </cell>
          <cell r="Q40" t="str">
            <v>NA</v>
          </cell>
          <cell r="R40" t="str">
            <v>Suscripción al servicio de información jurídica a través de un boletín informativo por correo electrónico, consulta web y bibilioteca digital de legislación colombiana actualizada.</v>
          </cell>
          <cell r="S40">
            <v>1</v>
          </cell>
          <cell r="T40" t="str">
            <v>Relacionada con el objeto a contratar-</v>
          </cell>
          <cell r="U40" t="str">
            <v>NA</v>
          </cell>
          <cell r="V40" t="str">
            <v>MINIMA CUANTIA</v>
          </cell>
          <cell r="W40" t="str">
            <v>PRINCIPAL</v>
          </cell>
          <cell r="X40" t="str">
            <v>NA</v>
          </cell>
          <cell r="Y40" t="str">
            <v>SUSCRIPCION</v>
          </cell>
          <cell r="Z40">
            <v>715000</v>
          </cell>
          <cell r="AA40">
            <v>715000</v>
          </cell>
          <cell r="AB40" t="str">
            <v>12 mes(es)</v>
          </cell>
          <cell r="AC40" t="str">
            <v>SEMANA 05</v>
          </cell>
          <cell r="AD40">
            <v>7</v>
          </cell>
          <cell r="AE40" t="str">
            <v>Se requiere contar con información jurídica  actualizada y oportuna  para  el desarrollo de las funciones de los servidores del Concejo de Bogotá.   El presupuesto para la vigencia 2015 se calculo con base en valor del estudio de mercado realizado en la v</v>
          </cell>
          <cell r="AH40" t="str">
            <v>MAYO</v>
          </cell>
          <cell r="AI40" t="str">
            <v>MAYO</v>
          </cell>
          <cell r="AJ40" t="str">
            <v>JULIO</v>
          </cell>
        </row>
        <row r="41">
          <cell r="C41">
            <v>141</v>
          </cell>
          <cell r="D41" t="str">
            <v>CORPORATIVA</v>
          </cell>
          <cell r="E41">
            <v>3</v>
          </cell>
          <cell r="F41">
            <v>80</v>
          </cell>
          <cell r="G41" t="str">
            <v>INICIAL</v>
          </cell>
          <cell r="H41" t="str">
            <v>RECURSOS PROPIOS</v>
          </cell>
          <cell r="I41">
            <v>120000</v>
          </cell>
          <cell r="J41">
            <v>4</v>
          </cell>
          <cell r="K41" t="str">
            <v>NA</v>
          </cell>
          <cell r="L41" t="str">
            <v>3-1-2-02-04 Impresos y  Publicaciones</v>
          </cell>
          <cell r="M41">
            <v>1</v>
          </cell>
          <cell r="N41" t="str">
            <v>NA</v>
          </cell>
          <cell r="O41" t="str">
            <v>NA</v>
          </cell>
          <cell r="P41" t="str">
            <v>S</v>
          </cell>
          <cell r="Q41" t="str">
            <v>NA</v>
          </cell>
          <cell r="R41" t="str">
            <v>Suscripción al períodico El Tiempo y Portafolio para el Concejo de Bogotá.</v>
          </cell>
          <cell r="S41">
            <v>1</v>
          </cell>
          <cell r="T41" t="str">
            <v>NA</v>
          </cell>
          <cell r="U41" t="str">
            <v>NA</v>
          </cell>
          <cell r="V41" t="str">
            <v>CONTRATACION DIRECTA</v>
          </cell>
          <cell r="W41" t="str">
            <v>PRINCIPAL</v>
          </cell>
          <cell r="X41" t="str">
            <v>NA</v>
          </cell>
          <cell r="Y41" t="str">
            <v>SUSCRIPCION</v>
          </cell>
          <cell r="Z41">
            <v>1233000</v>
          </cell>
          <cell r="AA41">
            <v>1233000</v>
          </cell>
          <cell r="AB41" t="str">
            <v>12 mes(es)</v>
          </cell>
          <cell r="AC41" t="str">
            <v>SEMANA 02</v>
          </cell>
          <cell r="AD41">
            <v>3</v>
          </cell>
          <cell r="AE41" t="str">
            <v xml:space="preserve">El concejo de Bogota requiere obtener informacion oportuna de carácter nacional e internacional, la cual es publicada por los diferentes medios impresos, asi como recopilar y conservar documentos que registran hechos de actualidad. El presupuesto para la </v>
          </cell>
          <cell r="AF41" t="str">
            <v>SI</v>
          </cell>
          <cell r="AG41">
            <v>42020</v>
          </cell>
          <cell r="AH41" t="str">
            <v>FEBRERO</v>
          </cell>
          <cell r="AI41" t="str">
            <v>FEBRERO</v>
          </cell>
          <cell r="AJ41" t="str">
            <v>MARZO</v>
          </cell>
        </row>
        <row r="42">
          <cell r="C42">
            <v>142</v>
          </cell>
          <cell r="D42" t="str">
            <v>CORPORATIVA</v>
          </cell>
          <cell r="E42">
            <v>3</v>
          </cell>
          <cell r="F42">
            <v>80</v>
          </cell>
          <cell r="G42" t="str">
            <v>INICIAL</v>
          </cell>
          <cell r="H42" t="str">
            <v>RECURSOS PROPIOS</v>
          </cell>
          <cell r="I42">
            <v>120000</v>
          </cell>
          <cell r="J42">
            <v>4</v>
          </cell>
          <cell r="K42" t="str">
            <v>NA</v>
          </cell>
          <cell r="L42" t="str">
            <v>3-1-2-02-04 Impresos y  Publicaciones</v>
          </cell>
          <cell r="M42">
            <v>1</v>
          </cell>
          <cell r="N42" t="str">
            <v>NA</v>
          </cell>
          <cell r="O42" t="str">
            <v>NA</v>
          </cell>
          <cell r="P42" t="str">
            <v>S</v>
          </cell>
          <cell r="Q42" t="str">
            <v>NA</v>
          </cell>
          <cell r="R42" t="str">
            <v>Suscripción a la Revista del Congreso para el Concejo de Bogotá.-</v>
          </cell>
          <cell r="S42">
            <v>1</v>
          </cell>
          <cell r="T42" t="str">
            <v>NA</v>
          </cell>
          <cell r="U42" t="str">
            <v>NA</v>
          </cell>
          <cell r="V42" t="str">
            <v>CONTRATACION DIRECTA</v>
          </cell>
          <cell r="W42" t="str">
            <v>PRINCIPAL</v>
          </cell>
          <cell r="X42" t="str">
            <v>NA</v>
          </cell>
          <cell r="Y42" t="str">
            <v>SUSCRIPCION</v>
          </cell>
          <cell r="Z42">
            <v>7800000</v>
          </cell>
          <cell r="AA42">
            <v>7800000</v>
          </cell>
          <cell r="AB42" t="str">
            <v>12 mes(es)</v>
          </cell>
          <cell r="AC42" t="str">
            <v>SEMANA 03</v>
          </cell>
          <cell r="AD42">
            <v>4</v>
          </cell>
          <cell r="AE42" t="str">
            <v xml:space="preserve">El concejo de Bogota requiere obtener informacion oportuna de carácter nacional e internacional, la cual es publicada por los diferentes medios impresos, asi como recopilar y conservar documentos que registran hechos de actualidad.         El presupuesto </v>
          </cell>
          <cell r="AF42" t="str">
            <v>SI</v>
          </cell>
          <cell r="AG42">
            <v>42058</v>
          </cell>
          <cell r="AH42" t="str">
            <v>MARZO</v>
          </cell>
          <cell r="AI42" t="str">
            <v>MARZO</v>
          </cell>
          <cell r="AJ42" t="str">
            <v>ABRIL</v>
          </cell>
        </row>
        <row r="43">
          <cell r="C43">
            <v>143</v>
          </cell>
          <cell r="D43" t="str">
            <v>CORPORATIVA</v>
          </cell>
          <cell r="E43">
            <v>3</v>
          </cell>
          <cell r="F43">
            <v>80</v>
          </cell>
          <cell r="G43" t="str">
            <v>INICIAL</v>
          </cell>
          <cell r="H43" t="str">
            <v>RECURSOS PROPIOS</v>
          </cell>
          <cell r="I43">
            <v>120000</v>
          </cell>
          <cell r="J43">
            <v>4</v>
          </cell>
          <cell r="K43" t="str">
            <v>NA</v>
          </cell>
          <cell r="L43" t="str">
            <v>3-1-2-02-04 Impresos y  Publicaciones</v>
          </cell>
          <cell r="M43">
            <v>1</v>
          </cell>
          <cell r="N43" t="str">
            <v>NA</v>
          </cell>
          <cell r="O43" t="str">
            <v>NA</v>
          </cell>
          <cell r="P43" t="str">
            <v>S</v>
          </cell>
          <cell r="Q43" t="str">
            <v>NA</v>
          </cell>
          <cell r="R43" t="str">
            <v>Suscripción al Directorio de Despachos Públicos para el Concejo de Bogotá.-</v>
          </cell>
          <cell r="S43">
            <v>1</v>
          </cell>
          <cell r="T43" t="str">
            <v>NA</v>
          </cell>
          <cell r="U43" t="str">
            <v>NA</v>
          </cell>
          <cell r="V43" t="str">
            <v>CONTRATACION DIRECTA</v>
          </cell>
          <cell r="W43" t="str">
            <v>PRINCIPAL</v>
          </cell>
          <cell r="X43" t="str">
            <v>NA</v>
          </cell>
          <cell r="Y43" t="str">
            <v>SUSCRIPCION</v>
          </cell>
          <cell r="Z43">
            <v>4120000</v>
          </cell>
          <cell r="AA43">
            <v>4120000</v>
          </cell>
          <cell r="AB43" t="str">
            <v>12 mes(es)</v>
          </cell>
          <cell r="AC43" t="str">
            <v>SEMANA 03</v>
          </cell>
          <cell r="AD43">
            <v>4</v>
          </cell>
          <cell r="AE43" t="str">
            <v>El concejo de Bogota requiere obtener informacion oportuna de carácter nacional e internacional, la cual es publicada por los diferentes medios impresos, asi como recopilar y conservar documentos que registran hechos de actualidad.     El presupuesto para</v>
          </cell>
          <cell r="AH43" t="str">
            <v>MARZO</v>
          </cell>
          <cell r="AI43" t="str">
            <v>MARZO</v>
          </cell>
          <cell r="AJ43" t="str">
            <v>ABRIL</v>
          </cell>
        </row>
        <row r="44">
          <cell r="C44">
            <v>144</v>
          </cell>
          <cell r="D44" t="str">
            <v>CORPORATIVA</v>
          </cell>
          <cell r="E44">
            <v>3</v>
          </cell>
          <cell r="F44">
            <v>80</v>
          </cell>
          <cell r="G44" t="str">
            <v>INICIAL</v>
          </cell>
          <cell r="H44" t="str">
            <v>RECURSOS PROPIOS</v>
          </cell>
          <cell r="I44">
            <v>120000</v>
          </cell>
          <cell r="J44">
            <v>4</v>
          </cell>
          <cell r="K44" t="str">
            <v>NA</v>
          </cell>
          <cell r="L44" t="str">
            <v>3-1-2-02-04 Impresos y  Publicaciones</v>
          </cell>
          <cell r="M44">
            <v>1</v>
          </cell>
          <cell r="N44" t="str">
            <v>NA</v>
          </cell>
          <cell r="O44" t="str">
            <v>NA</v>
          </cell>
          <cell r="P44" t="str">
            <v>S</v>
          </cell>
          <cell r="Q44" t="str">
            <v>NA</v>
          </cell>
          <cell r="R44" t="str">
            <v>Suscripción al diario el Espectador para el Concejo de Bogotá</v>
          </cell>
          <cell r="S44">
            <v>1</v>
          </cell>
          <cell r="T44" t="str">
            <v>NA</v>
          </cell>
          <cell r="U44" t="str">
            <v>NA</v>
          </cell>
          <cell r="V44" t="str">
            <v>CONTRATACION DIRECTA</v>
          </cell>
          <cell r="W44" t="str">
            <v>PRINCIPAL</v>
          </cell>
          <cell r="X44" t="str">
            <v>NA</v>
          </cell>
          <cell r="Y44" t="str">
            <v>SUSCRIPCION</v>
          </cell>
          <cell r="Z44">
            <v>965000</v>
          </cell>
          <cell r="AA44">
            <v>965000</v>
          </cell>
          <cell r="AB44" t="str">
            <v>12 mes(es)</v>
          </cell>
          <cell r="AC44" t="str">
            <v>SEMANA 05</v>
          </cell>
          <cell r="AD44">
            <v>9</v>
          </cell>
          <cell r="AE44" t="str">
            <v xml:space="preserve">El concejo de Bogota requiere obtener informacion oportuna de carácter nacional e internacional, la cual es publicada por los diferentes medios impresos, asi como recopilar y conservar documentos que registran hechos de actualidad.    El presupuesto para </v>
          </cell>
          <cell r="AH44" t="str">
            <v>MAYO</v>
          </cell>
          <cell r="AI44" t="str">
            <v>MAYO</v>
          </cell>
          <cell r="AJ44" t="str">
            <v>SEPTIEMBRE</v>
          </cell>
        </row>
        <row r="45">
          <cell r="C45">
            <v>145</v>
          </cell>
          <cell r="D45" t="str">
            <v>CORPORATIVA</v>
          </cell>
          <cell r="E45">
            <v>3</v>
          </cell>
          <cell r="F45">
            <v>80</v>
          </cell>
          <cell r="G45" t="str">
            <v>INICIAL</v>
          </cell>
          <cell r="H45" t="str">
            <v>RECURSOS PROPIOS</v>
          </cell>
          <cell r="I45">
            <v>120000</v>
          </cell>
          <cell r="J45">
            <v>4</v>
          </cell>
          <cell r="K45" t="str">
            <v>NA</v>
          </cell>
          <cell r="L45" t="str">
            <v>3-1-2-02-04 Impresos y  Publicaciones</v>
          </cell>
          <cell r="M45">
            <v>1</v>
          </cell>
          <cell r="N45" t="str">
            <v>NA</v>
          </cell>
          <cell r="O45" t="str">
            <v>NA</v>
          </cell>
          <cell r="P45" t="str">
            <v>S</v>
          </cell>
          <cell r="Q45" t="str">
            <v>NA</v>
          </cell>
          <cell r="R45" t="str">
            <v>Suscripción al diario La República para el Concejo de Bogotá.-</v>
          </cell>
          <cell r="S45">
            <v>1</v>
          </cell>
          <cell r="T45" t="str">
            <v>NA</v>
          </cell>
          <cell r="U45" t="str">
            <v>NA</v>
          </cell>
          <cell r="V45" t="str">
            <v>CONTRATACION DIRECTA</v>
          </cell>
          <cell r="W45" t="str">
            <v>PRINCIPAL</v>
          </cell>
          <cell r="X45" t="str">
            <v>NA</v>
          </cell>
          <cell r="Y45" t="str">
            <v>SUSCRIPCION</v>
          </cell>
          <cell r="Z45">
            <v>787000</v>
          </cell>
          <cell r="AA45">
            <v>787000</v>
          </cell>
          <cell r="AB45" t="str">
            <v>12 mes(es)</v>
          </cell>
          <cell r="AC45" t="str">
            <v>SEMANA 10</v>
          </cell>
          <cell r="AD45">
            <v>11</v>
          </cell>
          <cell r="AE45" t="str">
            <v>El concejo de Bogota requiere obtener informacion oportuna de carácter nacional e internacional, la cual es publicada por los diferentes medios impresos, asi como recopilar y conservar documentos que registran hechos de actualidad.       El presupuesto pa</v>
          </cell>
          <cell r="AH45" t="str">
            <v>OCTUBRE</v>
          </cell>
          <cell r="AI45" t="str">
            <v>OCTUBRE</v>
          </cell>
          <cell r="AJ45" t="str">
            <v>NOVIEMBRE</v>
          </cell>
        </row>
        <row r="46">
          <cell r="C46">
            <v>146</v>
          </cell>
          <cell r="D46" t="str">
            <v>CORPORATIVA</v>
          </cell>
          <cell r="E46">
            <v>3</v>
          </cell>
          <cell r="F46">
            <v>80</v>
          </cell>
          <cell r="G46" t="str">
            <v>INICIAL</v>
          </cell>
          <cell r="H46" t="str">
            <v>RECURSOS PROPIOS</v>
          </cell>
          <cell r="I46">
            <v>120000</v>
          </cell>
          <cell r="J46">
            <v>4</v>
          </cell>
          <cell r="K46" t="str">
            <v>NA</v>
          </cell>
          <cell r="L46" t="str">
            <v>3-1-2-02-04 Impresos y  Publicaciones</v>
          </cell>
          <cell r="M46">
            <v>1</v>
          </cell>
          <cell r="N46" t="str">
            <v>NA</v>
          </cell>
          <cell r="O46" t="str">
            <v>NA</v>
          </cell>
          <cell r="P46" t="str">
            <v>S</v>
          </cell>
          <cell r="Q46" t="str">
            <v>NA</v>
          </cell>
          <cell r="R46" t="str">
            <v>Suscripción a la Revista Semana para el Concejo de Bogotá</v>
          </cell>
          <cell r="S46">
            <v>1</v>
          </cell>
          <cell r="T46" t="str">
            <v>NA</v>
          </cell>
          <cell r="U46" t="str">
            <v>NA</v>
          </cell>
          <cell r="V46" t="str">
            <v>CONTRATACION DIRECTA</v>
          </cell>
          <cell r="W46" t="str">
            <v>PRINCIPAL</v>
          </cell>
          <cell r="X46" t="str">
            <v>NA</v>
          </cell>
          <cell r="Y46" t="str">
            <v>SUSCRIPCION</v>
          </cell>
          <cell r="Z46">
            <v>832000</v>
          </cell>
          <cell r="AA46">
            <v>832000</v>
          </cell>
          <cell r="AB46" t="str">
            <v>10 mes(es)</v>
          </cell>
          <cell r="AC46" t="str">
            <v>SEMANA 05</v>
          </cell>
          <cell r="AD46">
            <v>9</v>
          </cell>
          <cell r="AE46" t="str">
            <v>El concejo de Bogota requiere obtener informacion oportuna de carácter nacional e internacional, la cual es publicada por los diferentes medios impresos, asi como recopilar y conservar documentos que registran hechos de actualidad.</v>
          </cell>
          <cell r="AH46" t="str">
            <v>MAYO</v>
          </cell>
          <cell r="AI46" t="str">
            <v>MAYO</v>
          </cell>
          <cell r="AJ46" t="str">
            <v>SEPTIEMBRE</v>
          </cell>
        </row>
        <row r="47">
          <cell r="C47">
            <v>147</v>
          </cell>
          <cell r="D47" t="str">
            <v>CORPORATIVA</v>
          </cell>
          <cell r="E47">
            <v>3</v>
          </cell>
          <cell r="F47">
            <v>80</v>
          </cell>
          <cell r="G47" t="str">
            <v>INICIAL</v>
          </cell>
          <cell r="H47" t="str">
            <v>RECURSOS PROPIOS</v>
          </cell>
          <cell r="I47">
            <v>120000</v>
          </cell>
          <cell r="J47">
            <v>4</v>
          </cell>
          <cell r="K47" t="str">
            <v>NA</v>
          </cell>
          <cell r="L47" t="str">
            <v>3-1-2-02-04 Impresos y  Publicaciones</v>
          </cell>
          <cell r="M47">
            <v>1</v>
          </cell>
          <cell r="N47" t="str">
            <v>NA</v>
          </cell>
          <cell r="O47" t="str">
            <v>NA</v>
          </cell>
          <cell r="P47" t="str">
            <v>S</v>
          </cell>
          <cell r="Q47" t="str">
            <v>NA</v>
          </cell>
          <cell r="R47" t="str">
            <v>Suscripción al diario Periódico de Bogotá para el Concejo de Bogotá</v>
          </cell>
          <cell r="S47">
            <v>1</v>
          </cell>
          <cell r="T47" t="str">
            <v>NA</v>
          </cell>
          <cell r="U47" t="str">
            <v>NA</v>
          </cell>
          <cell r="V47" t="str">
            <v>CONTRATACION DIRECTA</v>
          </cell>
          <cell r="W47" t="str">
            <v>PRINCIPAL</v>
          </cell>
          <cell r="X47" t="str">
            <v>NA</v>
          </cell>
          <cell r="Y47" t="str">
            <v>SUSCRIPCION</v>
          </cell>
          <cell r="Z47">
            <v>834000</v>
          </cell>
          <cell r="AA47">
            <v>834000</v>
          </cell>
          <cell r="AB47" t="str">
            <v>12 mes(es)</v>
          </cell>
          <cell r="AC47" t="str">
            <v>SEMANA 05</v>
          </cell>
          <cell r="AD47">
            <v>5</v>
          </cell>
          <cell r="AE47" t="str">
            <v>El concejo de Bogota requiere obtener informacion oportuna de carácter nacional e internacional, la cual es publicada por los diferentes medios impresos, asi como recopilar y conservar documentos que registran hechos de actualidad.</v>
          </cell>
          <cell r="AH47" t="str">
            <v>MAYO</v>
          </cell>
          <cell r="AI47" t="str">
            <v>MAYO</v>
          </cell>
          <cell r="AJ47" t="str">
            <v>MAYO</v>
          </cell>
        </row>
        <row r="48">
          <cell r="C48">
            <v>148</v>
          </cell>
          <cell r="D48" t="str">
            <v>CORPORATIVA</v>
          </cell>
          <cell r="E48">
            <v>3</v>
          </cell>
          <cell r="F48">
            <v>80</v>
          </cell>
          <cell r="G48" t="str">
            <v>INICIAL</v>
          </cell>
          <cell r="H48" t="str">
            <v>RECURSOS PROPIOS</v>
          </cell>
          <cell r="I48">
            <v>120000</v>
          </cell>
          <cell r="J48">
            <v>4</v>
          </cell>
          <cell r="K48" t="str">
            <v>NA</v>
          </cell>
          <cell r="L48" t="str">
            <v>3-1-2-02-04 Impresos y  Publicaciones</v>
          </cell>
          <cell r="M48">
            <v>1</v>
          </cell>
          <cell r="N48" t="str">
            <v>NA</v>
          </cell>
          <cell r="O48" t="str">
            <v>NA</v>
          </cell>
          <cell r="P48" t="str">
            <v>S</v>
          </cell>
          <cell r="Q48" t="str">
            <v>NA</v>
          </cell>
          <cell r="R48" t="str">
            <v>Suscripción al diario El Nuevo Siglo para el Concejo de Bogotá</v>
          </cell>
          <cell r="S48">
            <v>1</v>
          </cell>
          <cell r="T48" t="str">
            <v>NA</v>
          </cell>
          <cell r="U48" t="str">
            <v>NA</v>
          </cell>
          <cell r="V48" t="str">
            <v>CONTRATACION DIRECTA</v>
          </cell>
          <cell r="W48" t="str">
            <v>PRINCIPAL</v>
          </cell>
          <cell r="X48" t="str">
            <v>NA</v>
          </cell>
          <cell r="Y48" t="str">
            <v>SUSCRIPCION</v>
          </cell>
          <cell r="Z48">
            <v>881000</v>
          </cell>
          <cell r="AA48">
            <v>881000</v>
          </cell>
          <cell r="AB48" t="str">
            <v>12 mes(es)</v>
          </cell>
          <cell r="AC48" t="str">
            <v>SEMANA 05</v>
          </cell>
          <cell r="AD48">
            <v>10</v>
          </cell>
          <cell r="AE48" t="str">
            <v>El concejo de Bogota requiere obtener informacion oportuna de carácter nacional e internacional, la cual es publicada por los diferentes medios impresos, asi como recopilar y conservar documentos que registran hechos de actualidad.</v>
          </cell>
          <cell r="AH48" t="str">
            <v>MAYO</v>
          </cell>
          <cell r="AI48" t="str">
            <v>MAYO</v>
          </cell>
          <cell r="AJ48" t="str">
            <v>OCTUBRE</v>
          </cell>
        </row>
        <row r="49">
          <cell r="C49">
            <v>149</v>
          </cell>
          <cell r="D49" t="str">
            <v>CORPORATIVA</v>
          </cell>
          <cell r="E49">
            <v>3</v>
          </cell>
          <cell r="F49">
            <v>80</v>
          </cell>
          <cell r="G49" t="str">
            <v>INICIAL</v>
          </cell>
          <cell r="H49" t="str">
            <v>RECURSOS PROPIOS</v>
          </cell>
          <cell r="I49">
            <v>120000</v>
          </cell>
          <cell r="J49">
            <v>4</v>
          </cell>
          <cell r="K49" t="str">
            <v>NA</v>
          </cell>
          <cell r="L49" t="str">
            <v>3-1-2-02-05-01 Mantenimiento Entidad</v>
          </cell>
          <cell r="M49">
            <v>1</v>
          </cell>
          <cell r="N49" t="str">
            <v>NA</v>
          </cell>
          <cell r="O49" t="str">
            <v>NA</v>
          </cell>
          <cell r="P49" t="str">
            <v>S</v>
          </cell>
          <cell r="Q49" t="str">
            <v>NA</v>
          </cell>
          <cell r="R49" t="str">
            <v>Prestar los servicios de mantenimiento preventivo y correctivo de las alarmas de emergencia ubicadas en la sede principal del Concejo de Bogotá-</v>
          </cell>
          <cell r="S49">
            <v>1</v>
          </cell>
          <cell r="T49" t="str">
            <v>Relacionada con el objeto a contratar-</v>
          </cell>
          <cell r="U49" t="str">
            <v>NA-</v>
          </cell>
          <cell r="V49" t="str">
            <v>MINIMA CUANTIA</v>
          </cell>
          <cell r="W49" t="str">
            <v>PRINCIPAL</v>
          </cell>
          <cell r="X49" t="str">
            <v>NA</v>
          </cell>
          <cell r="Y49" t="str">
            <v>PRESTACION DE SERVICIOS</v>
          </cell>
          <cell r="Z49">
            <v>2000000</v>
          </cell>
          <cell r="AA49">
            <v>2000000</v>
          </cell>
          <cell r="AB49" t="str">
            <v>10 mes(es)</v>
          </cell>
          <cell r="AC49" t="str">
            <v>SEMANA 03</v>
          </cell>
          <cell r="AD49">
            <v>4</v>
          </cell>
          <cell r="AE49" t="str">
            <v>Se requiere contar con un sistema de alarmas de emergencia en optimas condiciones de funcionamiento con el fin de prestar el optimo y oportuno servicio a los servidores publicos y visitantes del Concejo de Bogota en caso de requerirse una evacuacion o pre</v>
          </cell>
          <cell r="AF49" t="str">
            <v>SI</v>
          </cell>
          <cell r="AG49">
            <v>42080</v>
          </cell>
          <cell r="AH49" t="str">
            <v>FEBRERO</v>
          </cell>
          <cell r="AI49" t="str">
            <v>MARZO</v>
          </cell>
          <cell r="AJ49" t="str">
            <v>ABRIL</v>
          </cell>
        </row>
        <row r="50">
          <cell r="C50">
            <v>150</v>
          </cell>
          <cell r="D50" t="str">
            <v>CORPORATIVA</v>
          </cell>
          <cell r="E50">
            <v>3</v>
          </cell>
          <cell r="F50">
            <v>80</v>
          </cell>
          <cell r="G50" t="str">
            <v>INICIAL</v>
          </cell>
          <cell r="H50" t="str">
            <v>RECURSOS PROPIOS</v>
          </cell>
          <cell r="I50">
            <v>120000</v>
          </cell>
          <cell r="J50">
            <v>4</v>
          </cell>
          <cell r="K50" t="str">
            <v>NA</v>
          </cell>
          <cell r="L50" t="str">
            <v>3-1-2-02-05-01 Mantenimiento Entidad</v>
          </cell>
          <cell r="M50">
            <v>1</v>
          </cell>
          <cell r="N50" t="str">
            <v>NA</v>
          </cell>
          <cell r="O50" t="str">
            <v>NA</v>
          </cell>
          <cell r="P50" t="str">
            <v>S</v>
          </cell>
          <cell r="Q50" t="str">
            <v>NA</v>
          </cell>
          <cell r="R50" t="str">
            <v>Prestar los servicios de mantenimiento correctivo y preventivo para las máquinas: Impresoras litográfica Multilith, compaginadora, guillotina y cizalla manual, ubicadas en la oficina de anales y publicaciones del Concejo de Bogotá</v>
          </cell>
          <cell r="S50">
            <v>1</v>
          </cell>
          <cell r="T50" t="str">
            <v>Relacionada con el objeto a contratar</v>
          </cell>
          <cell r="U50" t="str">
            <v>NA</v>
          </cell>
          <cell r="V50" t="str">
            <v>MINIMA CUANTIA</v>
          </cell>
          <cell r="W50" t="str">
            <v>PRINCIPAL</v>
          </cell>
          <cell r="X50" t="str">
            <v>NA</v>
          </cell>
          <cell r="Y50" t="str">
            <v>PRESTACION DE SERVICIOS</v>
          </cell>
          <cell r="Z50">
            <v>7000000</v>
          </cell>
          <cell r="AA50">
            <v>7000000</v>
          </cell>
          <cell r="AB50" t="str">
            <v>11 mes(es)</v>
          </cell>
          <cell r="AC50" t="str">
            <v>SEMANA 02</v>
          </cell>
          <cell r="AD50">
            <v>3</v>
          </cell>
          <cell r="AE50" t="str">
            <v>El Concejo de Bogota D.C. requiere el mantenimiento de las maquinas impresoras de las oficinas de anales y publicaciones para garantizar su adecuado funcionamiento en los  procesos de publicar, recortar, refilar y compaginar libros, textos , acuerdos y do</v>
          </cell>
          <cell r="AF50" t="str">
            <v>SI</v>
          </cell>
          <cell r="AG50">
            <v>42030</v>
          </cell>
          <cell r="AH50" t="str">
            <v>ENERO</v>
          </cell>
          <cell r="AI50" t="str">
            <v>FEBRERO</v>
          </cell>
          <cell r="AJ50" t="str">
            <v>MARZO</v>
          </cell>
        </row>
        <row r="51">
          <cell r="C51">
            <v>151</v>
          </cell>
          <cell r="D51" t="str">
            <v>CORPORATIVA</v>
          </cell>
          <cell r="E51">
            <v>3</v>
          </cell>
          <cell r="F51">
            <v>80</v>
          </cell>
          <cell r="G51" t="str">
            <v>INICIAL</v>
          </cell>
          <cell r="H51" t="str">
            <v>RECURSOS PROPIOS</v>
          </cell>
          <cell r="I51">
            <v>120000</v>
          </cell>
          <cell r="J51">
            <v>4</v>
          </cell>
          <cell r="K51" t="str">
            <v>NA</v>
          </cell>
          <cell r="L51" t="str">
            <v>3-1-2-02-05-01 Mantenimiento Entidad</v>
          </cell>
          <cell r="M51">
            <v>1</v>
          </cell>
          <cell r="N51" t="str">
            <v>NA</v>
          </cell>
          <cell r="O51" t="str">
            <v>NA</v>
          </cell>
          <cell r="P51" t="str">
            <v>S</v>
          </cell>
          <cell r="Q51" t="str">
            <v>NA</v>
          </cell>
          <cell r="R51" t="str">
            <v>Realizar la interventoría al contrato de mantenimiento integral locativo del Concejo de Bogotá.</v>
          </cell>
          <cell r="S51">
            <v>1</v>
          </cell>
          <cell r="T51" t="str">
            <v>Relacionada con el objeto a contratar</v>
          </cell>
          <cell r="U51" t="str">
            <v>NA</v>
          </cell>
          <cell r="V51" t="str">
            <v>MINIMA CUANTIA</v>
          </cell>
          <cell r="W51" t="str">
            <v>PRINCIPAL</v>
          </cell>
          <cell r="X51" t="str">
            <v>NA</v>
          </cell>
          <cell r="Y51" t="str">
            <v>CONSULTORIA</v>
          </cell>
          <cell r="Z51">
            <v>22144000</v>
          </cell>
          <cell r="AA51">
            <v>22144000</v>
          </cell>
          <cell r="AB51" t="str">
            <v>10 mes(es)</v>
          </cell>
          <cell r="AC51" t="str">
            <v>SEMANA 05</v>
          </cell>
          <cell r="AD51">
            <v>6</v>
          </cell>
          <cell r="AE51" t="str">
            <v>Para la interventoria del Contrato de mantenimiento locativo el Concejo de Bogota requiere un profesional encargado de velar porque el objeto y las obligaciones de dicho contrato se cumplan en las condiciones de tiempo, modo y lugar establecidasy que tamb</v>
          </cell>
          <cell r="AH51" t="str">
            <v>MAYO</v>
          </cell>
          <cell r="AI51" t="str">
            <v>MAYO</v>
          </cell>
          <cell r="AJ51" t="str">
            <v>JUNIO</v>
          </cell>
        </row>
        <row r="52">
          <cell r="C52">
            <v>152</v>
          </cell>
          <cell r="D52" t="str">
            <v>CORPORATIVA</v>
          </cell>
          <cell r="E52">
            <v>3</v>
          </cell>
          <cell r="F52">
            <v>80</v>
          </cell>
          <cell r="G52" t="str">
            <v>INICIAL</v>
          </cell>
          <cell r="H52" t="str">
            <v>RECURSOS PROPIOS</v>
          </cell>
          <cell r="I52">
            <v>120000</v>
          </cell>
          <cell r="J52">
            <v>4</v>
          </cell>
          <cell r="K52" t="str">
            <v>NA</v>
          </cell>
          <cell r="L52" t="str">
            <v>3-1-2-02-05-01 Mantenimiento Entidad</v>
          </cell>
          <cell r="M52">
            <v>1</v>
          </cell>
          <cell r="N52" t="str">
            <v>NA</v>
          </cell>
          <cell r="O52" t="str">
            <v>NA</v>
          </cell>
          <cell r="P52" t="str">
            <v>S</v>
          </cell>
          <cell r="Q52" t="str">
            <v>NA</v>
          </cell>
          <cell r="R52" t="str">
            <v>Prestar los servicios de mantenimiento correctivo y preventivo de la puerta eléctrica y talanqueras de acceso vehicular del Concejo de Bogota</v>
          </cell>
          <cell r="S52">
            <v>1</v>
          </cell>
          <cell r="T52" t="str">
            <v>Relacionada con el objeto a contratar</v>
          </cell>
          <cell r="U52" t="str">
            <v>NA</v>
          </cell>
          <cell r="V52" t="str">
            <v>MINIMA CUANTIA</v>
          </cell>
          <cell r="W52" t="str">
            <v>PRINCIPAL</v>
          </cell>
          <cell r="X52" t="str">
            <v>NA</v>
          </cell>
          <cell r="Y52" t="str">
            <v>PRESTACION DE SERVICIOS</v>
          </cell>
          <cell r="Z52">
            <v>15000000</v>
          </cell>
          <cell r="AA52">
            <v>15000000</v>
          </cell>
          <cell r="AB52" t="str">
            <v>12 mes(es)</v>
          </cell>
          <cell r="AC52" t="str">
            <v>SEMANA 02</v>
          </cell>
          <cell r="AD52">
            <v>3</v>
          </cell>
          <cell r="AE52" t="str">
            <v>Se requiere contar con un sistema de alarmas de emergencia en optimas condiciones de funcionamiento con el fin de prestar el optimo y oportuno servicio a los servidores publicos y visitantes del Concejo de Bogota en caso de requerirse una evacuacion o pre</v>
          </cell>
          <cell r="AF52" t="str">
            <v>SI</v>
          </cell>
          <cell r="AG52">
            <v>41991</v>
          </cell>
          <cell r="AH52" t="str">
            <v>ENERO</v>
          </cell>
          <cell r="AI52" t="str">
            <v>FEBRERO</v>
          </cell>
          <cell r="AJ52" t="str">
            <v>MARZO</v>
          </cell>
        </row>
        <row r="53">
          <cell r="C53">
            <v>153</v>
          </cell>
          <cell r="D53" t="str">
            <v>CORPORATIVA</v>
          </cell>
          <cell r="E53">
            <v>3</v>
          </cell>
          <cell r="F53">
            <v>80</v>
          </cell>
          <cell r="G53" t="str">
            <v>INICIAL</v>
          </cell>
          <cell r="H53" t="str">
            <v>RECURSOS PROPIOS</v>
          </cell>
          <cell r="I53">
            <v>120000</v>
          </cell>
          <cell r="J53">
            <v>4</v>
          </cell>
          <cell r="K53" t="str">
            <v>NA</v>
          </cell>
          <cell r="L53" t="str">
            <v>3-1-2-02-05-01 Mantenimiento Entidad</v>
          </cell>
          <cell r="M53">
            <v>1</v>
          </cell>
          <cell r="N53" t="str">
            <v>NA</v>
          </cell>
          <cell r="O53" t="str">
            <v>NA</v>
          </cell>
          <cell r="P53" t="str">
            <v>S</v>
          </cell>
          <cell r="Q53" t="str">
            <v>NA</v>
          </cell>
          <cell r="R53" t="str">
            <v>Prestar el servicio de manejo integral de los residuos peligrosos existentes en la sede del Concejo de Bogotá.</v>
          </cell>
          <cell r="S53">
            <v>1</v>
          </cell>
          <cell r="T53" t="str">
            <v>Relacionada con el objeto a contratar</v>
          </cell>
          <cell r="U53" t="str">
            <v>NA</v>
          </cell>
          <cell r="V53" t="str">
            <v>MINIMA CUANTIA</v>
          </cell>
          <cell r="W53" t="str">
            <v>PRINCIPAL</v>
          </cell>
          <cell r="X53" t="str">
            <v>NA</v>
          </cell>
          <cell r="Y53" t="str">
            <v>PRESTACION DE SERVICIOS</v>
          </cell>
          <cell r="Z53">
            <v>2000000</v>
          </cell>
          <cell r="AA53">
            <v>2000000</v>
          </cell>
          <cell r="AB53" t="str">
            <v>2 mes(es)</v>
          </cell>
          <cell r="AC53" t="str">
            <v>SEMANA 04</v>
          </cell>
          <cell r="AD53">
            <v>5</v>
          </cell>
          <cell r="AE53" t="str">
            <v>El Concejo de Bogota requiere contratar el servico de manejo de los residuos peligrosos que se derivan de la operacion de la corporacion para garantizar el cumplimiento de las normas ambientales. El presupuesto para la vigencia 2015 se calculo con base en</v>
          </cell>
          <cell r="AH53" t="str">
            <v>ABRIL</v>
          </cell>
          <cell r="AI53" t="str">
            <v>ABRIL</v>
          </cell>
          <cell r="AJ53" t="str">
            <v>MAYO</v>
          </cell>
        </row>
        <row r="54">
          <cell r="C54">
            <v>154</v>
          </cell>
          <cell r="D54" t="str">
            <v>CORPORATIVA</v>
          </cell>
          <cell r="E54">
            <v>3</v>
          </cell>
          <cell r="F54">
            <v>80</v>
          </cell>
          <cell r="G54" t="str">
            <v>INICIAL</v>
          </cell>
          <cell r="H54" t="str">
            <v>RECURSOS PROPIOS</v>
          </cell>
          <cell r="I54">
            <v>120000</v>
          </cell>
          <cell r="J54">
            <v>4</v>
          </cell>
          <cell r="K54" t="str">
            <v>NA</v>
          </cell>
          <cell r="L54" t="str">
            <v>3-1-2-02-05-01 Mantenimiento Entidad</v>
          </cell>
          <cell r="M54">
            <v>1</v>
          </cell>
          <cell r="N54" t="str">
            <v>NA</v>
          </cell>
          <cell r="O54" t="str">
            <v>NA</v>
          </cell>
          <cell r="P54" t="str">
            <v>S</v>
          </cell>
          <cell r="Q54" t="str">
            <v>NA</v>
          </cell>
          <cell r="R54" t="str">
            <v>Prestar los servicios de mantenimiento correctivo con suministro de repuestos para los vehículos marca Mitsubishi al servicio del Concejo de Bogotá.</v>
          </cell>
          <cell r="S54">
            <v>1</v>
          </cell>
          <cell r="T54" t="str">
            <v>Relacionada con el objeto a contratar</v>
          </cell>
          <cell r="U54" t="str">
            <v>NA</v>
          </cell>
          <cell r="V54" t="str">
            <v>MINIMA CUANTIA</v>
          </cell>
          <cell r="W54" t="str">
            <v>PRINCIPAL</v>
          </cell>
          <cell r="X54" t="str">
            <v>NA</v>
          </cell>
          <cell r="Y54" t="str">
            <v>PRESTACION DE SERVICIOS</v>
          </cell>
          <cell r="Z54">
            <v>28000000</v>
          </cell>
          <cell r="AA54">
            <v>28000000</v>
          </cell>
          <cell r="AB54" t="str">
            <v>11 mes(es)</v>
          </cell>
          <cell r="AC54" t="str">
            <v>SEMANA 03</v>
          </cell>
          <cell r="AD54">
            <v>4</v>
          </cell>
          <cell r="AE54" t="str">
            <v>Para el Concejo de Bogota D.C. es necesario realizar el mantenimiento correctivo de los vehiculos  al servicio de la Corporacion garantizando la movilidad del parque automotor en optimas condiciones, cumpliendo los estandares de seguridad en el rodamiento</v>
          </cell>
          <cell r="AF54" t="str">
            <v>SI</v>
          </cell>
          <cell r="AG54">
            <v>42065</v>
          </cell>
          <cell r="AH54" t="str">
            <v>ENERO</v>
          </cell>
          <cell r="AI54" t="str">
            <v>MARZO</v>
          </cell>
          <cell r="AJ54" t="str">
            <v>ABRIL</v>
          </cell>
        </row>
        <row r="55">
          <cell r="C55">
            <v>155</v>
          </cell>
          <cell r="D55" t="str">
            <v>CORPORATIVA</v>
          </cell>
          <cell r="E55">
            <v>3</v>
          </cell>
          <cell r="F55">
            <v>80</v>
          </cell>
          <cell r="G55" t="str">
            <v>INICIAL</v>
          </cell>
          <cell r="H55" t="str">
            <v>RECURSOS PROPIOS</v>
          </cell>
          <cell r="I55">
            <v>120000</v>
          </cell>
          <cell r="J55">
            <v>4</v>
          </cell>
          <cell r="K55" t="str">
            <v>NA</v>
          </cell>
          <cell r="L55" t="str">
            <v>3-1-2-02-05-01 Mantenimiento Entidad</v>
          </cell>
          <cell r="M55">
            <v>1</v>
          </cell>
          <cell r="N55" t="str">
            <v>NA</v>
          </cell>
          <cell r="O55" t="str">
            <v>NA</v>
          </cell>
          <cell r="P55" t="str">
            <v>S</v>
          </cell>
          <cell r="Q55" t="str">
            <v>NA</v>
          </cell>
          <cell r="R55" t="str">
            <v>Prestar el servicio de mantenimiento preventivo y correctivo para los tanques de almacenamiento y equipos de bombeo hidráulicos de agua potable, residual y aguas negras del Concejo de Bogotá.</v>
          </cell>
          <cell r="S55">
            <v>1</v>
          </cell>
          <cell r="T55" t="str">
            <v>Relacionada con el objeto a contratar</v>
          </cell>
          <cell r="U55" t="str">
            <v>NA</v>
          </cell>
          <cell r="V55" t="str">
            <v>MINIMA CUANTIA</v>
          </cell>
          <cell r="W55" t="str">
            <v>PRINCIPAL</v>
          </cell>
          <cell r="X55" t="str">
            <v>NA</v>
          </cell>
          <cell r="Y55" t="str">
            <v>PRESTACION DE SERVICIOS</v>
          </cell>
          <cell r="Z55">
            <v>5000000</v>
          </cell>
          <cell r="AA55">
            <v>5000000</v>
          </cell>
          <cell r="AB55" t="str">
            <v>9 mes(es)</v>
          </cell>
          <cell r="AC55" t="str">
            <v>SEMANA 06</v>
          </cell>
          <cell r="AD55">
            <v>7</v>
          </cell>
          <cell r="AE55" t="str">
            <v>Se requiere mantener en óptimas condiciones de funcionamiento el sistema de bombeo hidráulico y los tanques de almacenamiento de agua potable, residual y aguas negras, proporcionando de esta manera las condiciones de salubridad, sanidad e higiene en el su</v>
          </cell>
          <cell r="AH55" t="str">
            <v>MAYO</v>
          </cell>
          <cell r="AI55" t="str">
            <v>JUNIO</v>
          </cell>
          <cell r="AJ55" t="str">
            <v>JULIO</v>
          </cell>
        </row>
        <row r="56">
          <cell r="C56">
            <v>156</v>
          </cell>
          <cell r="D56" t="str">
            <v>CORPORATIVA</v>
          </cell>
          <cell r="E56">
            <v>3</v>
          </cell>
          <cell r="F56">
            <v>80</v>
          </cell>
          <cell r="G56" t="str">
            <v>INICIAL</v>
          </cell>
          <cell r="H56" t="str">
            <v>RECURSOS PROPIOS</v>
          </cell>
          <cell r="I56">
            <v>120000</v>
          </cell>
          <cell r="J56">
            <v>4</v>
          </cell>
          <cell r="K56" t="str">
            <v>NA</v>
          </cell>
          <cell r="L56" t="str">
            <v>3-1-2-02-06-02 Seguros de Vida Concejales</v>
          </cell>
          <cell r="M56">
            <v>1</v>
          </cell>
          <cell r="N56" t="str">
            <v>NA</v>
          </cell>
          <cell r="O56" t="str">
            <v>NA</v>
          </cell>
          <cell r="P56" t="str">
            <v>S</v>
          </cell>
          <cell r="Q56" t="str">
            <v>NA</v>
          </cell>
          <cell r="R56" t="str">
            <v>Adición y prorroga al contrato 130342-0-2013 suscrito con POSITIVA COMPAÑIA DE SEGUROS S A para la expedición de la póliza de seguro vida de los  Concejales de Bogotá.</v>
          </cell>
          <cell r="S56">
            <v>1</v>
          </cell>
          <cell r="T56" t="str">
            <v>N/A</v>
          </cell>
          <cell r="U56" t="str">
            <v>NA</v>
          </cell>
          <cell r="V56" t="str">
            <v>NA</v>
          </cell>
          <cell r="W56" t="str">
            <v>MODIFICACION</v>
          </cell>
          <cell r="X56" t="str">
            <v>NA</v>
          </cell>
          <cell r="Y56" t="str">
            <v>PRESTACION DE SERVICIOS</v>
          </cell>
          <cell r="Z56">
            <v>25824000</v>
          </cell>
          <cell r="AA56">
            <v>25824000</v>
          </cell>
          <cell r="AB56" t="str">
            <v>2 mes(es)</v>
          </cell>
          <cell r="AC56" t="str">
            <v>SEMANA 03</v>
          </cell>
          <cell r="AD56">
            <v>4</v>
          </cell>
          <cell r="AE56" t="str">
            <v>La actual póliza de seguro de Vida para los Concejales de Bogotá vence el 15 de abril de 2015, por lo cual es necesario prorrogarla y adicionarla para unificar las fechas con las demás pólizas del programa de seguros de las Entidades   De acuerdo con la c</v>
          </cell>
          <cell r="AH56" t="str">
            <v>FEBRERO</v>
          </cell>
          <cell r="AI56" t="str">
            <v>MARZO</v>
          </cell>
          <cell r="AJ56" t="str">
            <v>ABRIL</v>
          </cell>
        </row>
        <row r="57">
          <cell r="C57">
            <v>157</v>
          </cell>
          <cell r="D57" t="str">
            <v>CORPORATIVA</v>
          </cell>
          <cell r="E57">
            <v>3</v>
          </cell>
          <cell r="F57">
            <v>80</v>
          </cell>
          <cell r="G57" t="str">
            <v>INICIAL</v>
          </cell>
          <cell r="H57" t="str">
            <v>RECURSOS PROPIOS</v>
          </cell>
          <cell r="I57">
            <v>120000</v>
          </cell>
          <cell r="J57">
            <v>4</v>
          </cell>
          <cell r="K57" t="str">
            <v>NA</v>
          </cell>
          <cell r="L57" t="str">
            <v>3-1-2-02-11 Promoción Institucional</v>
          </cell>
          <cell r="M57">
            <v>1</v>
          </cell>
          <cell r="N57" t="str">
            <v>NA</v>
          </cell>
          <cell r="O57" t="str">
            <v>NA</v>
          </cell>
          <cell r="P57" t="str">
            <v>S</v>
          </cell>
          <cell r="Q57" t="str">
            <v>NA</v>
          </cell>
          <cell r="R57" t="str">
            <v>Suministro de elementos de promoción institucional y actos protocolarios del Concejo de Bogotá.-</v>
          </cell>
          <cell r="S57">
            <v>1</v>
          </cell>
          <cell r="T57" t="str">
            <v>Relacionada con el objeto a contratar-</v>
          </cell>
          <cell r="U57" t="str">
            <v>NA-</v>
          </cell>
          <cell r="V57" t="str">
            <v>MINIMA CUANTIA</v>
          </cell>
          <cell r="W57" t="str">
            <v>PRINCIPAL</v>
          </cell>
          <cell r="X57" t="str">
            <v>NA</v>
          </cell>
          <cell r="Y57" t="str">
            <v>SUMINISTRO</v>
          </cell>
          <cell r="Z57">
            <v>29000000</v>
          </cell>
          <cell r="AA57">
            <v>29000000</v>
          </cell>
          <cell r="AB57" t="str">
            <v>10 mes(es)</v>
          </cell>
          <cell r="AC57" t="str">
            <v>SEMANA 04</v>
          </cell>
          <cell r="AD57">
            <v>5</v>
          </cell>
          <cell r="AE57" t="str">
            <v>De acuerdo a los acuerdos 141 de 2005, 156 de 2005 , 45 de 1999  y 23 de 1998 el Concejo de Bogota exalta  a personalidades de la ciudad, representantes del estado y empresas distinguidas por sus cualidades y meritos, para lo cual requiere adquirir de sim</v>
          </cell>
          <cell r="AF57" t="str">
            <v>SI</v>
          </cell>
          <cell r="AG57">
            <v>0</v>
          </cell>
          <cell r="AH57" t="str">
            <v>FEBRERO</v>
          </cell>
          <cell r="AI57" t="str">
            <v>ABRIL</v>
          </cell>
          <cell r="AJ57" t="str">
            <v>MAYO</v>
          </cell>
        </row>
        <row r="58">
          <cell r="C58">
            <v>158</v>
          </cell>
          <cell r="D58" t="str">
            <v>CORPORATIVA</v>
          </cell>
          <cell r="E58">
            <v>3</v>
          </cell>
          <cell r="F58">
            <v>80</v>
          </cell>
          <cell r="G58" t="str">
            <v>INICIAL</v>
          </cell>
          <cell r="H58" t="str">
            <v>RECURSOS PROPIOS</v>
          </cell>
          <cell r="I58">
            <v>120000</v>
          </cell>
          <cell r="J58">
            <v>4</v>
          </cell>
          <cell r="K58" t="str">
            <v>NA</v>
          </cell>
          <cell r="L58" t="str">
            <v>3-1-2-02-11 Promoción Institucional</v>
          </cell>
          <cell r="M58">
            <v>1</v>
          </cell>
          <cell r="N58" t="str">
            <v>NA</v>
          </cell>
          <cell r="O58" t="str">
            <v>NA</v>
          </cell>
          <cell r="P58" t="str">
            <v>S</v>
          </cell>
          <cell r="Q58" t="str">
            <v>NA</v>
          </cell>
          <cell r="R58" t="str">
            <v>Aunar esfuerzos y recursos humanos, financieros y técnicos para realizar las actividades asociadas a la intervención de los bienes muebles de carácter patrimonial del Concejo de Bogotá D.C.</v>
          </cell>
          <cell r="S58">
            <v>1</v>
          </cell>
          <cell r="T58" t="str">
            <v>Relacionada con el objeto a contratar-</v>
          </cell>
          <cell r="U58" t="str">
            <v>NA-</v>
          </cell>
          <cell r="V58" t="str">
            <v>CONTRATACION DIRECTA</v>
          </cell>
          <cell r="W58" t="str">
            <v>PRINCIPAL</v>
          </cell>
          <cell r="X58" t="str">
            <v>NA</v>
          </cell>
          <cell r="Y58" t="str">
            <v>CONVENIO INTERADMINISTRATIVO</v>
          </cell>
          <cell r="Z58">
            <v>300000000</v>
          </cell>
          <cell r="AA58">
            <v>300000000</v>
          </cell>
          <cell r="AB58" t="str">
            <v>4 mes(es)</v>
          </cell>
          <cell r="AC58" t="str">
            <v>SEMANA 04</v>
          </cell>
          <cell r="AD58">
            <v>5</v>
          </cell>
          <cell r="AE58" t="str">
            <v xml:space="preserve">El Concejo de Bogota en cumplimiento de su plan de accion cuatrienal requiere celebrar el convenio interadministrativo con el IDPC para completar la tercera fase de restauracion de las obras pictoricas de la corporacion.  </v>
          </cell>
          <cell r="AH58" t="str">
            <v>MARZO</v>
          </cell>
          <cell r="AI58" t="str">
            <v>ABRIL</v>
          </cell>
          <cell r="AJ58" t="str">
            <v>MAYO</v>
          </cell>
        </row>
        <row r="59">
          <cell r="C59">
            <v>160</v>
          </cell>
          <cell r="D59" t="str">
            <v>CORPORATIVA</v>
          </cell>
          <cell r="E59">
            <v>3</v>
          </cell>
          <cell r="F59">
            <v>80</v>
          </cell>
          <cell r="G59" t="str">
            <v>INICIAL</v>
          </cell>
          <cell r="H59" t="str">
            <v>RECURSOS PROPIOS</v>
          </cell>
          <cell r="I59">
            <v>120000</v>
          </cell>
          <cell r="J59">
            <v>4</v>
          </cell>
          <cell r="K59" t="str">
            <v>NA</v>
          </cell>
          <cell r="L59" t="str">
            <v>3-1-2-02-17 Información</v>
          </cell>
          <cell r="M59">
            <v>1</v>
          </cell>
          <cell r="N59" t="str">
            <v>NA</v>
          </cell>
          <cell r="O59" t="str">
            <v>NA</v>
          </cell>
          <cell r="P59" t="str">
            <v>S</v>
          </cell>
          <cell r="Q59" t="str">
            <v>NA</v>
          </cell>
          <cell r="R59" t="str">
            <v>Presar los servicios de diseño, producción y ejecución de estrategias de divulgación en medios de comunicación de carácter masivo y alternativo para el Concejo de Bogotá.</v>
          </cell>
          <cell r="S59">
            <v>1</v>
          </cell>
          <cell r="T59" t="str">
            <v>NA</v>
          </cell>
          <cell r="U59" t="str">
            <v>NA</v>
          </cell>
          <cell r="V59" t="str">
            <v>CONTRATACION DIRECTA</v>
          </cell>
          <cell r="W59" t="str">
            <v>PRINCIPAL</v>
          </cell>
          <cell r="X59" t="str">
            <v>NA</v>
          </cell>
          <cell r="Y59" t="str">
            <v>CONTRATO INTERADMINISTRATIVO</v>
          </cell>
          <cell r="Z59">
            <v>496000000</v>
          </cell>
          <cell r="AA59">
            <v>496000000</v>
          </cell>
          <cell r="AB59" t="str">
            <v>9 mes(es)</v>
          </cell>
          <cell r="AC59" t="str">
            <v>SEMANA 04</v>
          </cell>
          <cell r="AD59">
            <v>6</v>
          </cell>
          <cell r="AE59" t="str">
            <v xml:space="preserve">El Concejo de Bogota requiere la divulgacion de las actividades realizadas  por la  Corporacion que permita a los bogotanos conocer el diario transcurrir de la entidad, asi como las opiniones de los Honorables Concejales de la Ciudad, que representan los </v>
          </cell>
          <cell r="AF59" t="str">
            <v>SI</v>
          </cell>
          <cell r="AG59">
            <v>42075</v>
          </cell>
          <cell r="AH59" t="str">
            <v>FEBRERO</v>
          </cell>
          <cell r="AI59" t="str">
            <v>ABRIL</v>
          </cell>
          <cell r="AJ59" t="str">
            <v>JUNIO</v>
          </cell>
        </row>
        <row r="60">
          <cell r="C60">
            <v>161</v>
          </cell>
          <cell r="D60" t="str">
            <v>CORPORATIVA</v>
          </cell>
          <cell r="E60">
            <v>3</v>
          </cell>
          <cell r="F60">
            <v>80</v>
          </cell>
          <cell r="G60" t="str">
            <v>INICIAL</v>
          </cell>
          <cell r="H60" t="str">
            <v>RECURSOS PROPIOS</v>
          </cell>
          <cell r="I60">
            <v>120000</v>
          </cell>
          <cell r="J60">
            <v>4</v>
          </cell>
          <cell r="K60" t="str">
            <v>NA</v>
          </cell>
          <cell r="L60" t="str">
            <v>3-1-2-02-17 Información</v>
          </cell>
          <cell r="M60">
            <v>1</v>
          </cell>
          <cell r="N60" t="str">
            <v>NA</v>
          </cell>
          <cell r="O60" t="str">
            <v>NA</v>
          </cell>
          <cell r="P60" t="str">
            <v>S</v>
          </cell>
          <cell r="Q60" t="str">
            <v>NA</v>
          </cell>
          <cell r="R60" t="str">
            <v>Prestar los servicios de producción y transmisión de  programas de televisión para el Concejo de Bogotá-</v>
          </cell>
          <cell r="S60">
            <v>1</v>
          </cell>
          <cell r="T60" t="str">
            <v>NA</v>
          </cell>
          <cell r="U60" t="str">
            <v>NA</v>
          </cell>
          <cell r="V60" t="str">
            <v>CONTRATACION DIRECTA</v>
          </cell>
          <cell r="W60" t="str">
            <v>PRINCIPAL</v>
          </cell>
          <cell r="X60" t="str">
            <v>NA</v>
          </cell>
          <cell r="Y60" t="str">
            <v>CONTRATO INTERADMINISTRATIVO</v>
          </cell>
          <cell r="Z60">
            <v>1304000000</v>
          </cell>
          <cell r="AA60">
            <v>1304000000</v>
          </cell>
          <cell r="AB60" t="str">
            <v>10 mes(es)</v>
          </cell>
          <cell r="AC60" t="str">
            <v>SEMANA 04</v>
          </cell>
          <cell r="AD60">
            <v>5</v>
          </cell>
          <cell r="AE60" t="str">
            <v>El Concejo de Bogota requiere la realizacion de la preproduccion, produccion, emision y postproduccion de programas de television de la Corporacion que permita a los bogotanos conocer el diario transcurrir de la entidad, asi como las opiniones de los Hono</v>
          </cell>
          <cell r="AF60" t="str">
            <v>SI</v>
          </cell>
          <cell r="AG60">
            <v>42066</v>
          </cell>
          <cell r="AH60" t="str">
            <v>ENERO</v>
          </cell>
          <cell r="AI60" t="str">
            <v>ABRIL</v>
          </cell>
          <cell r="AJ60" t="str">
            <v>MAYO</v>
          </cell>
        </row>
        <row r="61">
          <cell r="C61">
            <v>162</v>
          </cell>
          <cell r="D61" t="str">
            <v>CORPORATIVA</v>
          </cell>
          <cell r="E61">
            <v>3</v>
          </cell>
          <cell r="F61">
            <v>80</v>
          </cell>
          <cell r="G61" t="str">
            <v>INICIAL</v>
          </cell>
          <cell r="H61" t="str">
            <v>RECURSOS PROPIOS</v>
          </cell>
          <cell r="I61">
            <v>120000</v>
          </cell>
          <cell r="J61">
            <v>4</v>
          </cell>
          <cell r="K61" t="str">
            <v>NA</v>
          </cell>
          <cell r="L61" t="str">
            <v>3-1-2-01-03 Combustibles, Lubricantes y Llantas</v>
          </cell>
          <cell r="M61">
            <v>1</v>
          </cell>
          <cell r="N61" t="str">
            <v>NA</v>
          </cell>
          <cell r="O61" t="str">
            <v>NA</v>
          </cell>
          <cell r="P61" t="str">
            <v>S</v>
          </cell>
          <cell r="Q61" t="str">
            <v>NA</v>
          </cell>
          <cell r="R61" t="str">
            <v>Suministro de combustible para la Secretaría Distrital de Hacienda y Concejo de Bogotá</v>
          </cell>
          <cell r="S61">
            <v>2</v>
          </cell>
          <cell r="T61" t="str">
            <v>NA</v>
          </cell>
          <cell r="U61" t="str">
            <v>NA</v>
          </cell>
          <cell r="V61" t="str">
            <v>ACUERDO MARCO</v>
          </cell>
          <cell r="W61" t="str">
            <v>PRINCIPAL</v>
          </cell>
          <cell r="X61" t="str">
            <v>NA</v>
          </cell>
          <cell r="Y61" t="str">
            <v>SUMINISTRO</v>
          </cell>
          <cell r="Z61">
            <v>504486000</v>
          </cell>
          <cell r="AA61">
            <v>446306000</v>
          </cell>
          <cell r="AB61" t="str">
            <v>12 mes(es)</v>
          </cell>
          <cell r="AC61" t="str">
            <v>SEMANA 02</v>
          </cell>
          <cell r="AD61">
            <v>3</v>
          </cell>
          <cell r="AE61" t="str">
            <v>La Secretaría Distrital de Hacienda y el Concejo de Bogotá cuentan con un parque automotor, el cual es utilizado para prestar el servicio de transporte de los funcionarios Directivos de las Entidades, así como para brindar apoyo logístico y desplazamiento</v>
          </cell>
          <cell r="AF61" t="str">
            <v>SI</v>
          </cell>
          <cell r="AG61">
            <v>41991</v>
          </cell>
          <cell r="AH61" t="str">
            <v>ENERO</v>
          </cell>
          <cell r="AI61" t="str">
            <v>FEBRERO</v>
          </cell>
          <cell r="AJ61" t="str">
            <v>MARZO</v>
          </cell>
        </row>
        <row r="62">
          <cell r="C62">
            <v>163</v>
          </cell>
          <cell r="D62" t="str">
            <v>CORPORATIVA</v>
          </cell>
          <cell r="E62">
            <v>3</v>
          </cell>
          <cell r="F62">
            <v>80</v>
          </cell>
          <cell r="G62" t="str">
            <v>INICIAL</v>
          </cell>
          <cell r="H62" t="str">
            <v>RECURSOS PROPIOS</v>
          </cell>
          <cell r="I62">
            <v>120000</v>
          </cell>
          <cell r="J62">
            <v>4</v>
          </cell>
          <cell r="K62" t="str">
            <v>NA</v>
          </cell>
          <cell r="L62" t="str">
            <v>3-1-2-01-03 Combustibles, Lubricantes y Llantas</v>
          </cell>
          <cell r="M62">
            <v>1</v>
          </cell>
          <cell r="N62" t="str">
            <v>NA</v>
          </cell>
          <cell r="O62" t="str">
            <v>NA</v>
          </cell>
          <cell r="P62" t="str">
            <v>S</v>
          </cell>
          <cell r="Q62" t="str">
            <v>NA</v>
          </cell>
          <cell r="R62" t="str">
            <v>Suministro de ACPM para la Secretaría Distrital de Hacienda y el Concejo de Bogotá</v>
          </cell>
          <cell r="S62">
            <v>2</v>
          </cell>
          <cell r="T62" t="str">
            <v>NA</v>
          </cell>
          <cell r="U62" t="str">
            <v>NA</v>
          </cell>
          <cell r="V62" t="str">
            <v>MINIMA CUANTIA</v>
          </cell>
          <cell r="W62" t="str">
            <v>PRINCIPAL</v>
          </cell>
          <cell r="X62" t="str">
            <v>NA</v>
          </cell>
          <cell r="Y62" t="str">
            <v>SUMINISTRO</v>
          </cell>
          <cell r="Z62">
            <v>10000000</v>
          </cell>
          <cell r="AA62">
            <v>2000000</v>
          </cell>
          <cell r="AB62" t="str">
            <v>2 mes(es)</v>
          </cell>
          <cell r="AC62" t="str">
            <v>SEMANA 05</v>
          </cell>
          <cell r="AD62">
            <v>6</v>
          </cell>
          <cell r="AE62" t="str">
            <v>Para el funcionamiento de las plantas eléctricas del SDH  y del Concejo de Bogotá se requiere combustible -ACPM-   CALCULO DE PRESUPUESTO  Se establece la cantidad de ACPM con base en la capacidad de las plantas y en el consumo para un periodo de 12 meses</v>
          </cell>
          <cell r="AH62" t="str">
            <v>ABRIL</v>
          </cell>
          <cell r="AI62" t="str">
            <v>MAYO</v>
          </cell>
          <cell r="AJ62" t="str">
            <v>JUNIO</v>
          </cell>
        </row>
        <row r="63">
          <cell r="C63">
            <v>164</v>
          </cell>
          <cell r="D63" t="str">
            <v>CORPORATIVA</v>
          </cell>
          <cell r="E63">
            <v>3</v>
          </cell>
          <cell r="F63">
            <v>13</v>
          </cell>
          <cell r="G63" t="str">
            <v>MODIFICACION</v>
          </cell>
          <cell r="H63" t="str">
            <v>RECURSOS PROPIOS</v>
          </cell>
          <cell r="I63">
            <v>120000</v>
          </cell>
          <cell r="J63">
            <v>4</v>
          </cell>
          <cell r="K63" t="str">
            <v>NA</v>
          </cell>
          <cell r="L63" t="str">
            <v>3-1-2-01-03 Combustibles, Lubricantes y Llantas</v>
          </cell>
          <cell r="M63">
            <v>1</v>
          </cell>
          <cell r="N63" t="str">
            <v>NA</v>
          </cell>
          <cell r="O63" t="str">
            <v>NA</v>
          </cell>
          <cell r="P63" t="str">
            <v>S</v>
          </cell>
          <cell r="Q63" t="str">
            <v>NA</v>
          </cell>
          <cell r="R63" t="str">
            <v>Prestar los servicios de mantenimiento preventivo para los vehículos de la Secretaría de Hacienda y del Concejo de Bogotá.-</v>
          </cell>
          <cell r="S63">
            <v>2</v>
          </cell>
          <cell r="T63" t="str">
            <v>NA</v>
          </cell>
          <cell r="U63" t="str">
            <v>NA</v>
          </cell>
          <cell r="V63" t="str">
            <v>MINIMA CUANTIA</v>
          </cell>
          <cell r="W63" t="str">
            <v>PRINCIPAL</v>
          </cell>
          <cell r="X63" t="str">
            <v>NA</v>
          </cell>
          <cell r="Y63" t="str">
            <v>PRESTACION DE SERVICIOS</v>
          </cell>
          <cell r="Z63">
            <v>50140000</v>
          </cell>
          <cell r="AA63">
            <v>3415000</v>
          </cell>
          <cell r="AB63" t="str">
            <v>12 mes(es)</v>
          </cell>
          <cell r="AC63" t="str">
            <v>SEMANA 01</v>
          </cell>
          <cell r="AD63">
            <v>2</v>
          </cell>
          <cell r="AE63" t="str">
            <v>Teniendo en cuenta que a la fecha se encuentran en operación las 44 camionetas del esquema de seguridad de los Concejales las cuales requieren el servicio de lavado y los 8 vehículos de propiedad del Concejo que requieren la totalidad de los servicios, se</v>
          </cell>
          <cell r="AF63" t="str">
            <v>SI</v>
          </cell>
          <cell r="AG63">
            <v>42025</v>
          </cell>
          <cell r="AH63" t="str">
            <v>ENERO</v>
          </cell>
          <cell r="AI63" t="str">
            <v>ENERO</v>
          </cell>
          <cell r="AJ63" t="str">
            <v>FEBRERO</v>
          </cell>
        </row>
        <row r="64">
          <cell r="C64">
            <v>164</v>
          </cell>
          <cell r="D64" t="str">
            <v>CORPORATIVA</v>
          </cell>
          <cell r="E64">
            <v>3</v>
          </cell>
          <cell r="F64">
            <v>13</v>
          </cell>
          <cell r="G64" t="str">
            <v>MODIFICACION</v>
          </cell>
          <cell r="H64" t="str">
            <v>RECURSOS PROPIOS</v>
          </cell>
          <cell r="I64">
            <v>120000</v>
          </cell>
          <cell r="J64">
            <v>4</v>
          </cell>
          <cell r="K64" t="str">
            <v>NA</v>
          </cell>
          <cell r="L64" t="str">
            <v>3-1-2-02-05-01 Mantenimiento Entidad</v>
          </cell>
          <cell r="M64">
            <v>1</v>
          </cell>
          <cell r="N64" t="str">
            <v>NA</v>
          </cell>
          <cell r="O64" t="str">
            <v>NA</v>
          </cell>
          <cell r="P64" t="str">
            <v>S</v>
          </cell>
          <cell r="Q64" t="str">
            <v>NA</v>
          </cell>
          <cell r="R64" t="str">
            <v>Prestar los servicios de mantenimiento preventivo para los vehículos de la Secretaría de Hacienda y del Concejo de Bogotá.-</v>
          </cell>
          <cell r="S64">
            <v>2</v>
          </cell>
          <cell r="T64" t="str">
            <v>NA</v>
          </cell>
          <cell r="U64" t="str">
            <v>NA</v>
          </cell>
          <cell r="V64" t="str">
            <v>MINIMA CUANTIA</v>
          </cell>
          <cell r="W64" t="str">
            <v>PRINCIPAL</v>
          </cell>
          <cell r="X64" t="str">
            <v>NA</v>
          </cell>
          <cell r="Y64" t="str">
            <v>PRESTACION DE SERVICIOS</v>
          </cell>
          <cell r="Z64">
            <v>50140000</v>
          </cell>
          <cell r="AA64">
            <v>25390000</v>
          </cell>
          <cell r="AB64" t="str">
            <v>12 mes(es)</v>
          </cell>
          <cell r="AC64" t="str">
            <v>SEMANA 01</v>
          </cell>
          <cell r="AD64">
            <v>2</v>
          </cell>
          <cell r="AE64" t="str">
            <v>Teniendo en cuenta que a la fecha se encuentran en operación las 44 camionetas del esquema de seguridad de los Concejales las cuales requieren el servicio de lavado y los 8 vehículos de propiedad del Concejo que requieren la totalidad de los servicios, se</v>
          </cell>
          <cell r="AF64" t="str">
            <v>SI</v>
          </cell>
          <cell r="AG64">
            <v>42025</v>
          </cell>
          <cell r="AH64" t="str">
            <v>ENERO</v>
          </cell>
          <cell r="AI64" t="str">
            <v>ENERO</v>
          </cell>
          <cell r="AJ64" t="str">
            <v>FEBRERO</v>
          </cell>
        </row>
        <row r="65">
          <cell r="C65">
            <v>165</v>
          </cell>
          <cell r="D65" t="str">
            <v>CORPORATIVA</v>
          </cell>
          <cell r="E65">
            <v>3</v>
          </cell>
          <cell r="F65">
            <v>80</v>
          </cell>
          <cell r="G65" t="str">
            <v>INICIAL</v>
          </cell>
          <cell r="H65" t="str">
            <v>RECURSOS PROPIOS</v>
          </cell>
          <cell r="I65">
            <v>120000</v>
          </cell>
          <cell r="J65">
            <v>4</v>
          </cell>
          <cell r="K65" t="str">
            <v>NA</v>
          </cell>
          <cell r="L65" t="str">
            <v>3-1-2-01-04 Materiales y Suministros</v>
          </cell>
          <cell r="M65">
            <v>1</v>
          </cell>
          <cell r="N65" t="str">
            <v>NA</v>
          </cell>
          <cell r="O65" t="str">
            <v>NA</v>
          </cell>
          <cell r="P65" t="str">
            <v>S</v>
          </cell>
          <cell r="Q65" t="str">
            <v>NA</v>
          </cell>
          <cell r="R65" t="str">
            <v>Prestar los servicios integrales de aseo y cafetería y servicio de fumigación para las instalaciones de la Secretaría Distrital de Hacienda de Bogotá, D.C., zonas comunes del Centro Administrativo Distrital - CAD y del Concejo de Bogotá D.C</v>
          </cell>
          <cell r="S65">
            <v>2</v>
          </cell>
          <cell r="T65" t="str">
            <v>Relacionada con el objeto a contratar-</v>
          </cell>
          <cell r="U65" t="str">
            <v>NA-</v>
          </cell>
          <cell r="V65" t="str">
            <v>SEL. ABREVIADA SUB.INVERSA</v>
          </cell>
          <cell r="W65" t="str">
            <v>PRINCIPAL</v>
          </cell>
          <cell r="X65" t="str">
            <v>NA</v>
          </cell>
          <cell r="Y65" t="str">
            <v>PRESTACION DE SERVICIOS</v>
          </cell>
          <cell r="Z65">
            <v>1787711000</v>
          </cell>
          <cell r="AA65">
            <v>138000000</v>
          </cell>
          <cell r="AB65" t="str">
            <v>10 mes(es)</v>
          </cell>
          <cell r="AC65" t="str">
            <v>SEMANA 01</v>
          </cell>
          <cell r="AD65">
            <v>4</v>
          </cell>
          <cell r="AE65" t="str">
            <v>La SDH y el Concejo deben adelantar acciones dirigidas a garantizar las condiciones de salubridad y el control de los factores ambientales que se originen en los lugares de trabajo y que puedan afectar la salud de los trabajadores.  Así, las Entidades  ti</v>
          </cell>
          <cell r="AF65" t="str">
            <v>SI</v>
          </cell>
          <cell r="AG65">
            <v>42009</v>
          </cell>
          <cell r="AH65" t="str">
            <v>ENERO</v>
          </cell>
          <cell r="AI65" t="str">
            <v>ENERO</v>
          </cell>
          <cell r="AJ65" t="str">
            <v>ABRIL</v>
          </cell>
        </row>
        <row r="66">
          <cell r="C66">
            <v>165</v>
          </cell>
          <cell r="D66" t="str">
            <v>CORPORATIVA</v>
          </cell>
          <cell r="E66">
            <v>3</v>
          </cell>
          <cell r="F66">
            <v>80</v>
          </cell>
          <cell r="G66" t="str">
            <v>INICIAL</v>
          </cell>
          <cell r="H66" t="str">
            <v>RECURSOS PROPIOS</v>
          </cell>
          <cell r="I66">
            <v>120000</v>
          </cell>
          <cell r="J66">
            <v>4</v>
          </cell>
          <cell r="K66" t="str">
            <v>NA</v>
          </cell>
          <cell r="L66" t="str">
            <v>3-1-2-02-05-01 Mantenimiento Entidad</v>
          </cell>
          <cell r="M66">
            <v>1</v>
          </cell>
          <cell r="N66" t="str">
            <v>NA</v>
          </cell>
          <cell r="O66" t="str">
            <v>NA</v>
          </cell>
          <cell r="P66" t="str">
            <v>S</v>
          </cell>
          <cell r="Q66" t="str">
            <v>NA</v>
          </cell>
          <cell r="R66" t="str">
            <v>Prestar los servicios integrales de aseo y cafetería y servicio de fumigación para las instalaciones de la Secretaría Distrital de Hacienda de Bogotá, D.C., zonas comunes del Centro Administrativo Distrital - CAD y del Concejo de Bogotá D.C</v>
          </cell>
          <cell r="S66">
            <v>2</v>
          </cell>
          <cell r="T66" t="str">
            <v>Relacionada con el objeto a contratar-</v>
          </cell>
          <cell r="U66" t="str">
            <v>NA-</v>
          </cell>
          <cell r="V66" t="str">
            <v>SEL. ABREVIADA SUB.INVERSA</v>
          </cell>
          <cell r="W66" t="str">
            <v>PRINCIPAL</v>
          </cell>
          <cell r="X66" t="str">
            <v>NA</v>
          </cell>
          <cell r="Y66" t="str">
            <v>PRESTACION DE SERVICIOS</v>
          </cell>
          <cell r="Z66">
            <v>1787711000</v>
          </cell>
          <cell r="AA66">
            <v>209000000</v>
          </cell>
          <cell r="AB66" t="str">
            <v>10 mes(es)</v>
          </cell>
          <cell r="AC66" t="str">
            <v>SEMANA 01</v>
          </cell>
          <cell r="AD66">
            <v>4</v>
          </cell>
          <cell r="AE66" t="str">
            <v>La SDH y el Concejo deben adelantar acciones dirigidas a garantizar las condiciones de salubridad y el control de los factores ambientales que se originen en los lugares de trabajo y que puedan afectar la salud de los trabajadores.  Así, las Entidades  ti</v>
          </cell>
          <cell r="AF66" t="str">
            <v>SI</v>
          </cell>
          <cell r="AG66">
            <v>42009</v>
          </cell>
          <cell r="AH66" t="str">
            <v>ENERO</v>
          </cell>
          <cell r="AI66" t="str">
            <v>ENERO</v>
          </cell>
          <cell r="AJ66" t="str">
            <v>ABRIL</v>
          </cell>
        </row>
        <row r="67">
          <cell r="C67">
            <v>166</v>
          </cell>
          <cell r="D67" t="str">
            <v>CORPORATIVA</v>
          </cell>
          <cell r="E67">
            <v>3</v>
          </cell>
          <cell r="F67">
            <v>80</v>
          </cell>
          <cell r="G67" t="str">
            <v>INICIAL</v>
          </cell>
          <cell r="H67" t="str">
            <v>RECURSOS PROPIOS</v>
          </cell>
          <cell r="I67">
            <v>120000</v>
          </cell>
          <cell r="J67">
            <v>4</v>
          </cell>
          <cell r="K67" t="str">
            <v>NA</v>
          </cell>
          <cell r="L67" t="str">
            <v>3-1-2-01-04 Materiales y Suministros</v>
          </cell>
          <cell r="M67">
            <v>1</v>
          </cell>
          <cell r="N67" t="str">
            <v>NA</v>
          </cell>
          <cell r="O67" t="str">
            <v>NA</v>
          </cell>
          <cell r="P67" t="str">
            <v>S</v>
          </cell>
          <cell r="Q67" t="str">
            <v>NA</v>
          </cell>
          <cell r="R67" t="str">
            <v>Suministro de elementos para protección y embalaje de documentos para la Secretaria Distrital de Hacienda y del Concejo de Bogotá</v>
          </cell>
          <cell r="S67">
            <v>2</v>
          </cell>
          <cell r="T67" t="str">
            <v>Relacionada con el objeto a contratar-</v>
          </cell>
          <cell r="U67" t="str">
            <v>NA-</v>
          </cell>
          <cell r="V67" t="str">
            <v>MINIMA CUANTIA</v>
          </cell>
          <cell r="W67" t="str">
            <v>PRINCIPAL</v>
          </cell>
          <cell r="X67" t="str">
            <v>NA</v>
          </cell>
          <cell r="Y67" t="str">
            <v>SUMINISTRO</v>
          </cell>
          <cell r="Z67">
            <v>37600000</v>
          </cell>
          <cell r="AA67">
            <v>5000000</v>
          </cell>
          <cell r="AB67" t="str">
            <v>8 mes(es)</v>
          </cell>
          <cell r="AC67" t="str">
            <v>SEMANA 02</v>
          </cell>
          <cell r="AD67">
            <v>3</v>
          </cell>
          <cell r="AE67" t="str">
            <v>Es necesario proteger del deterioro físico causado por el almacenamiento y la manipulación de la documentación que se genera en las entidades, para lo cual  se requieren  elementos como cajas, carpetas y protectores plásticos  CALCULO DE PRESUPUESTO  La c</v>
          </cell>
          <cell r="AF67" t="str">
            <v>SI</v>
          </cell>
          <cell r="AG67">
            <v>42065</v>
          </cell>
          <cell r="AH67" t="str">
            <v>ENERO</v>
          </cell>
          <cell r="AI67" t="str">
            <v>FEBRERO</v>
          </cell>
          <cell r="AJ67" t="str">
            <v>MARZO</v>
          </cell>
        </row>
        <row r="68">
          <cell r="C68">
            <v>167</v>
          </cell>
          <cell r="D68" t="str">
            <v>CORPORATIVA</v>
          </cell>
          <cell r="E68">
            <v>3</v>
          </cell>
          <cell r="F68">
            <v>80</v>
          </cell>
          <cell r="G68" t="str">
            <v>INICIAL</v>
          </cell>
          <cell r="H68" t="str">
            <v>RECURSOS PROPIOS</v>
          </cell>
          <cell r="I68">
            <v>120000</v>
          </cell>
          <cell r="J68">
            <v>4</v>
          </cell>
          <cell r="K68" t="str">
            <v>NA</v>
          </cell>
          <cell r="L68" t="str">
            <v>3-1-2-01-04 Materiales y Suministros</v>
          </cell>
          <cell r="M68">
            <v>1</v>
          </cell>
          <cell r="N68" t="str">
            <v>NA</v>
          </cell>
          <cell r="O68" t="str">
            <v>NA</v>
          </cell>
          <cell r="P68" t="str">
            <v>S</v>
          </cell>
          <cell r="Q68" t="str">
            <v>NA</v>
          </cell>
          <cell r="R68" t="str">
            <v>Suministro de papelería, útiles de escritorio para la Secretaría Distrital de Hacienda y el Concejo de Bogotá--</v>
          </cell>
          <cell r="S68">
            <v>2</v>
          </cell>
          <cell r="T68" t="str">
            <v>NA</v>
          </cell>
          <cell r="U68" t="str">
            <v>NA</v>
          </cell>
          <cell r="V68" t="str">
            <v>SEL. ABREVIADA SUB.INVERSA</v>
          </cell>
          <cell r="W68" t="str">
            <v>PRINCIPAL</v>
          </cell>
          <cell r="X68" t="str">
            <v>NA</v>
          </cell>
          <cell r="Y68" t="str">
            <v>SUMINISTRO</v>
          </cell>
          <cell r="Z68">
            <v>130580000</v>
          </cell>
          <cell r="AA68">
            <v>70780000</v>
          </cell>
          <cell r="AB68" t="str">
            <v>12 mes(es)</v>
          </cell>
          <cell r="AC68" t="str">
            <v>SEMANA 02</v>
          </cell>
          <cell r="AD68">
            <v>4</v>
          </cell>
          <cell r="AE68" t="str">
            <v>La Secretaria Distrital de Hacienda requiere el suministro de papeleria y utiles de oficina con el objeto de atender los diferentes requerimientos y necesidades de las dependencias y dar cumplimiento al plan de consumo.  La Secretaria Distrital de Haciend</v>
          </cell>
          <cell r="AF68" t="str">
            <v>SI</v>
          </cell>
          <cell r="AG68">
            <v>0</v>
          </cell>
          <cell r="AH68" t="str">
            <v>ENERO</v>
          </cell>
          <cell r="AI68" t="str">
            <v>FEBRERO</v>
          </cell>
          <cell r="AJ68" t="str">
            <v>ABRIL</v>
          </cell>
        </row>
        <row r="69">
          <cell r="C69">
            <v>168</v>
          </cell>
          <cell r="D69" t="str">
            <v>CORPORATIVA</v>
          </cell>
          <cell r="E69">
            <v>3</v>
          </cell>
          <cell r="F69">
            <v>80</v>
          </cell>
          <cell r="G69" t="str">
            <v>INICIAL</v>
          </cell>
          <cell r="H69" t="str">
            <v>RECURSOS PROPIOS</v>
          </cell>
          <cell r="I69">
            <v>120000</v>
          </cell>
          <cell r="J69">
            <v>4</v>
          </cell>
          <cell r="K69" t="str">
            <v>NA</v>
          </cell>
          <cell r="L69" t="str">
            <v>3-1-2-02-03 Gastos de Transporte y Comunicación</v>
          </cell>
          <cell r="M69">
            <v>1</v>
          </cell>
          <cell r="N69" t="str">
            <v>NA</v>
          </cell>
          <cell r="O69" t="str">
            <v>NA</v>
          </cell>
          <cell r="P69" t="str">
            <v>S</v>
          </cell>
          <cell r="Q69" t="str">
            <v>NA</v>
          </cell>
          <cell r="R69" t="str">
            <v>Prestar el servicio de correspondencia para la Secretaría de Hacienda  y de mensajería expresa masiva para la Secretaria Distrital de Hacienda y el Concejo de Bogotá</v>
          </cell>
          <cell r="S69">
            <v>2</v>
          </cell>
          <cell r="T69" t="str">
            <v>Relacionada con el objeto a contratar</v>
          </cell>
          <cell r="U69" t="str">
            <v>NA</v>
          </cell>
          <cell r="V69" t="str">
            <v>SEL. ABREVIADA SUB.INVERSA</v>
          </cell>
          <cell r="W69" t="str">
            <v>PRINCIPAL</v>
          </cell>
          <cell r="X69" t="str">
            <v>NA</v>
          </cell>
          <cell r="Y69" t="str">
            <v>PRESTACION DE SERVICIOS</v>
          </cell>
          <cell r="Z69">
            <v>1010050000</v>
          </cell>
          <cell r="AA69">
            <v>56639000</v>
          </cell>
          <cell r="AB69" t="str">
            <v>12 mes(es)</v>
          </cell>
          <cell r="AC69" t="str">
            <v>SEMANA 01</v>
          </cell>
          <cell r="AD69">
            <v>4</v>
          </cell>
          <cell r="AE69" t="str">
            <v>La SDH y el Concejo de Bogotá  requieren gestionar la correspondencia interna y externa, enviada y recibida, incluyendo la recepción, radicación, escaneo, alistamiento, distribución y entrega oportuna, para cada una de sus dependencias, con el fin de perm</v>
          </cell>
          <cell r="AF69" t="str">
            <v>SI</v>
          </cell>
          <cell r="AG69">
            <v>42349</v>
          </cell>
          <cell r="AH69" t="str">
            <v>ENERO</v>
          </cell>
          <cell r="AI69" t="str">
            <v>ENERO</v>
          </cell>
          <cell r="AJ69" t="str">
            <v>ABRIL</v>
          </cell>
        </row>
        <row r="70">
          <cell r="C70">
            <v>169</v>
          </cell>
          <cell r="D70" t="str">
            <v>CORPORATIVA</v>
          </cell>
          <cell r="E70">
            <v>3</v>
          </cell>
          <cell r="F70">
            <v>80</v>
          </cell>
          <cell r="G70" t="str">
            <v>INICIAL</v>
          </cell>
          <cell r="H70" t="str">
            <v>RECURSOS PROPIOS</v>
          </cell>
          <cell r="I70">
            <v>120000</v>
          </cell>
          <cell r="J70">
            <v>4</v>
          </cell>
          <cell r="K70" t="str">
            <v>NA</v>
          </cell>
          <cell r="L70" t="str">
            <v>3-1-2-02-03 Gastos de Transporte y Comunicación</v>
          </cell>
          <cell r="M70">
            <v>1</v>
          </cell>
          <cell r="N70" t="str">
            <v>NA</v>
          </cell>
          <cell r="O70" t="str">
            <v>NA</v>
          </cell>
          <cell r="P70" t="str">
            <v>S</v>
          </cell>
          <cell r="Q70" t="str">
            <v>NA</v>
          </cell>
          <cell r="R70" t="str">
            <v>Prestar el servicio de transporte  de bienes muebles, equipos de oficina y cajas de archivo documental para la Secretaria Distrital de Hacienda y el Concejo de Bogotá.</v>
          </cell>
          <cell r="S70">
            <v>2</v>
          </cell>
          <cell r="T70" t="str">
            <v>NA</v>
          </cell>
          <cell r="U70" t="str">
            <v>NA</v>
          </cell>
          <cell r="V70" t="str">
            <v>MINIMA CUANTIA</v>
          </cell>
          <cell r="W70" t="str">
            <v>PRINCIPAL</v>
          </cell>
          <cell r="X70" t="str">
            <v>NA</v>
          </cell>
          <cell r="Y70" t="str">
            <v>TRANSPORTE</v>
          </cell>
          <cell r="Z70">
            <v>27800000</v>
          </cell>
          <cell r="AA70">
            <v>11000000</v>
          </cell>
          <cell r="AB70" t="str">
            <v>12 mes(es)</v>
          </cell>
          <cell r="AC70" t="str">
            <v>SEMANA 02</v>
          </cell>
          <cell r="AD70">
            <v>3</v>
          </cell>
          <cell r="AE70" t="str">
            <v>Es necesario el servicio de transporte  de bienes muebles, equipos de oficina y cajas de archivo documental, entre las sedes de la Secretaria Distrital de Hacienda de Bogotá    Se calculó con base en el histórico de ejecución mensual y tomando los valores</v>
          </cell>
          <cell r="AF70" t="str">
            <v>SI</v>
          </cell>
          <cell r="AG70">
            <v>42053</v>
          </cell>
          <cell r="AH70" t="str">
            <v>FEBRERO</v>
          </cell>
          <cell r="AI70" t="str">
            <v>FEBRERO</v>
          </cell>
          <cell r="AJ70" t="str">
            <v>MARZO</v>
          </cell>
        </row>
        <row r="71">
          <cell r="C71">
            <v>170</v>
          </cell>
          <cell r="D71" t="str">
            <v>CORPORATIVA</v>
          </cell>
          <cell r="E71">
            <v>3</v>
          </cell>
          <cell r="F71">
            <v>12</v>
          </cell>
          <cell r="G71" t="str">
            <v>MODIFICACION</v>
          </cell>
          <cell r="H71" t="str">
            <v>RECURSOS PROPIOS</v>
          </cell>
          <cell r="I71">
            <v>120000</v>
          </cell>
          <cell r="J71">
            <v>4</v>
          </cell>
          <cell r="K71" t="str">
            <v>NA</v>
          </cell>
          <cell r="L71" t="str">
            <v>3-1-2-02-04 Impresos y  Publicaciones</v>
          </cell>
          <cell r="M71">
            <v>1</v>
          </cell>
          <cell r="N71" t="str">
            <v>NA</v>
          </cell>
          <cell r="O71" t="str">
            <v>NA</v>
          </cell>
          <cell r="P71" t="str">
            <v>S</v>
          </cell>
          <cell r="Q71" t="str">
            <v>NA</v>
          </cell>
          <cell r="R71" t="str">
            <v>Prestar el servicio Integral de fotocopiado y servicios afines para la Secretaría Distrital de Hacienda y del Concejo de Bogotá</v>
          </cell>
          <cell r="S71">
            <v>2</v>
          </cell>
          <cell r="T71" t="str">
            <v>Relacionada con el objeto a contratar</v>
          </cell>
          <cell r="U71" t="str">
            <v>NA-</v>
          </cell>
          <cell r="V71" t="str">
            <v>SEL. ABREVIADA SUB.INVERSA</v>
          </cell>
          <cell r="W71" t="str">
            <v>PRINCIPAL</v>
          </cell>
          <cell r="X71" t="str">
            <v>NA</v>
          </cell>
          <cell r="Y71" t="str">
            <v>PRESTACION DE SERVICIOS</v>
          </cell>
          <cell r="Z71">
            <v>178790000</v>
          </cell>
          <cell r="AA71">
            <v>30790000</v>
          </cell>
          <cell r="AB71" t="str">
            <v>10 mes(es)</v>
          </cell>
          <cell r="AC71" t="str">
            <v>SEMANA 02</v>
          </cell>
          <cell r="AD71">
            <v>4</v>
          </cell>
          <cell r="AE71" t="str">
            <v xml:space="preserve">De acuerdo conel resultado del estudio de presupuesto y teniendo en cuanta que el volumen de copias se incrementa con relación a la vigencia anterior y se adiciona un ítem de servicios afines, es necesario aumentar el valor de lalínea en $31.000.000 para </v>
          </cell>
          <cell r="AF71" t="str">
            <v>SI</v>
          </cell>
          <cell r="AG71">
            <v>42025</v>
          </cell>
          <cell r="AH71" t="str">
            <v>ENERO</v>
          </cell>
          <cell r="AI71" t="str">
            <v>FEBRERO</v>
          </cell>
          <cell r="AJ71" t="str">
            <v>ABRIL</v>
          </cell>
        </row>
        <row r="72">
          <cell r="C72">
            <v>171</v>
          </cell>
          <cell r="D72" t="str">
            <v>CORPORATIVA</v>
          </cell>
          <cell r="E72">
            <v>3</v>
          </cell>
          <cell r="F72">
            <v>80</v>
          </cell>
          <cell r="G72" t="str">
            <v>INICIAL</v>
          </cell>
          <cell r="H72" t="str">
            <v>RECURSOS PROPIOS</v>
          </cell>
          <cell r="I72">
            <v>120000</v>
          </cell>
          <cell r="J72">
            <v>4</v>
          </cell>
          <cell r="K72" t="str">
            <v>NA</v>
          </cell>
          <cell r="L72" t="str">
            <v>3-1-2-02-05-01 Mantenimiento Entidad</v>
          </cell>
          <cell r="M72">
            <v>1</v>
          </cell>
          <cell r="N72" t="str">
            <v>NA</v>
          </cell>
          <cell r="O72" t="str">
            <v>NA</v>
          </cell>
          <cell r="P72" t="str">
            <v>S</v>
          </cell>
          <cell r="Q72" t="str">
            <v>NA</v>
          </cell>
          <cell r="R72" t="str">
            <v>Prestar los servicios de mantenimiento preventivo y correctivo a los ascensores marca Mitsubishi del CAD y del Concejo de Bogotá y de la Plataforma para discapacitados ubicada en el CAD.-</v>
          </cell>
          <cell r="S72">
            <v>2</v>
          </cell>
          <cell r="T72" t="str">
            <v>Relacionada con el objeto a contratar</v>
          </cell>
          <cell r="U72" t="str">
            <v>NA</v>
          </cell>
          <cell r="V72" t="str">
            <v>CONTRATACION DIRECTA</v>
          </cell>
          <cell r="W72" t="str">
            <v>PRINCIPAL</v>
          </cell>
          <cell r="X72" t="str">
            <v>NA</v>
          </cell>
          <cell r="Y72" t="str">
            <v>PRESTACION DE SERVICIOS</v>
          </cell>
          <cell r="Z72">
            <v>51956000</v>
          </cell>
          <cell r="AA72">
            <v>14210000</v>
          </cell>
          <cell r="AB72" t="str">
            <v>10 mes(es)</v>
          </cell>
          <cell r="AC72" t="str">
            <v>SEMANA 03</v>
          </cell>
          <cell r="AD72">
            <v>4</v>
          </cell>
          <cell r="AE72" t="str">
            <v>Se requiere realizar periódicamente el mantenimiento preventivo y correctivo de los ascensores de pasajeros y de carga  y la plataforma para personas en condición de discapacidad ubicados en el CAD, con el fin de mantenerlos en óptimas condiciones de func</v>
          </cell>
          <cell r="AF72" t="str">
            <v>SI</v>
          </cell>
          <cell r="AG72">
            <v>42061</v>
          </cell>
          <cell r="AH72" t="str">
            <v>FEBRERO</v>
          </cell>
          <cell r="AI72" t="str">
            <v>MARZO</v>
          </cell>
          <cell r="AJ72" t="str">
            <v>ABRIL</v>
          </cell>
        </row>
        <row r="73">
          <cell r="C73">
            <v>172</v>
          </cell>
          <cell r="D73" t="str">
            <v>CORPORATIVA</v>
          </cell>
          <cell r="E73">
            <v>3</v>
          </cell>
          <cell r="F73">
            <v>80</v>
          </cell>
          <cell r="G73" t="str">
            <v>INICIAL</v>
          </cell>
          <cell r="H73" t="str">
            <v>RECURSOS PROPIOS</v>
          </cell>
          <cell r="I73">
            <v>120000</v>
          </cell>
          <cell r="J73">
            <v>4</v>
          </cell>
          <cell r="K73" t="str">
            <v>NA</v>
          </cell>
          <cell r="L73" t="str">
            <v>3-1-2-02-05-01 Mantenimiento Entidad</v>
          </cell>
          <cell r="M73">
            <v>1</v>
          </cell>
          <cell r="N73" t="str">
            <v>NA</v>
          </cell>
          <cell r="O73" t="str">
            <v>NA</v>
          </cell>
          <cell r="P73" t="str">
            <v>S</v>
          </cell>
          <cell r="Q73" t="str">
            <v>NA</v>
          </cell>
          <cell r="R73" t="str">
            <v>Prestar los servicios de mantenimiento correctivo y suministro de repuestos para los sistemas de archivos rodantes de la Secretaría Distrital de Hacienda y del Concejo de Bogotá-</v>
          </cell>
          <cell r="S73">
            <v>2</v>
          </cell>
          <cell r="T73" t="str">
            <v>Relacionada con el objeto a contratar-</v>
          </cell>
          <cell r="U73" t="str">
            <v>NA-</v>
          </cell>
          <cell r="V73" t="str">
            <v>MINIMA CUANTIA</v>
          </cell>
          <cell r="W73" t="str">
            <v>PRINCIPAL</v>
          </cell>
          <cell r="X73" t="str">
            <v>NA</v>
          </cell>
          <cell r="Y73" t="str">
            <v>PRESTACION DE SERVICIOS</v>
          </cell>
          <cell r="Z73">
            <v>15644000</v>
          </cell>
          <cell r="AA73">
            <v>8000000</v>
          </cell>
          <cell r="AB73" t="str">
            <v>12 mes(es)</v>
          </cell>
          <cell r="AC73" t="str">
            <v>SEMANA 02</v>
          </cell>
          <cell r="AD73">
            <v>3</v>
          </cell>
          <cell r="AE73" t="str">
            <v>Se requiere mantener en óptimas condiciones de operación los sistemas de archivo rodante  existentes en las diferentes dependencias de la Secretaría Distrital de Hacienda de Bogotá y del Concejo de Bogotá  CALCULO DEL PRESUPUESTO  De a cuerdo con las esta</v>
          </cell>
          <cell r="AF73" t="str">
            <v>SI</v>
          </cell>
          <cell r="AG73">
            <v>42037</v>
          </cell>
          <cell r="AH73" t="str">
            <v>ENERO</v>
          </cell>
          <cell r="AI73" t="str">
            <v>FEBRERO</v>
          </cell>
          <cell r="AJ73" t="str">
            <v>MARZO</v>
          </cell>
        </row>
        <row r="74">
          <cell r="C74">
            <v>173</v>
          </cell>
          <cell r="D74" t="str">
            <v>CORPORATIVA</v>
          </cell>
          <cell r="E74">
            <v>3</v>
          </cell>
          <cell r="F74">
            <v>80</v>
          </cell>
          <cell r="G74" t="str">
            <v>INICIAL</v>
          </cell>
          <cell r="H74" t="str">
            <v>RECURSOS PROPIOS</v>
          </cell>
          <cell r="I74">
            <v>120000</v>
          </cell>
          <cell r="J74">
            <v>4</v>
          </cell>
          <cell r="K74" t="str">
            <v>NA</v>
          </cell>
          <cell r="L74" t="str">
            <v>3-1-2-02-05-01 Mantenimiento Entidad</v>
          </cell>
          <cell r="M74">
            <v>1</v>
          </cell>
          <cell r="N74" t="str">
            <v>NA</v>
          </cell>
          <cell r="O74" t="str">
            <v>NA</v>
          </cell>
          <cell r="P74" t="str">
            <v>S</v>
          </cell>
          <cell r="Q74" t="str">
            <v>NA</v>
          </cell>
          <cell r="R74" t="str">
            <v>Prestar los servicios de mantenimiento integral locativo con el suministro de personal, equipo y repuestos en las instalaciones físicas de la Secretaría Distrital de Hacienda y del Concejo de Bogotá.</v>
          </cell>
          <cell r="S74">
            <v>2</v>
          </cell>
          <cell r="T74" t="str">
            <v>Relacionada con el objeto a contratar</v>
          </cell>
          <cell r="U74" t="str">
            <v>NA</v>
          </cell>
          <cell r="V74" t="str">
            <v>SEL. ABREVIADA MENOR CUANTIA</v>
          </cell>
          <cell r="W74" t="str">
            <v>PRINCIPAL</v>
          </cell>
          <cell r="X74" t="str">
            <v>NA</v>
          </cell>
          <cell r="Y74" t="str">
            <v>OBRA</v>
          </cell>
          <cell r="Z74">
            <v>502932000</v>
          </cell>
          <cell r="AA74">
            <v>214932000</v>
          </cell>
          <cell r="AB74" t="str">
            <v>9 mes(es)</v>
          </cell>
          <cell r="AC74" t="str">
            <v>SEMANA 03</v>
          </cell>
          <cell r="AD74">
            <v>6</v>
          </cell>
          <cell r="AE74" t="str">
            <v>Las Entidades tienen el compromiso de conservar en perfecto estado las instalaciones del Centro Administrativo Distrital CAD, para lo cual debe evitar su deterioro y menoscabo, condición que asegura que se salvaguarde el patrimonio institucional y por end</v>
          </cell>
          <cell r="AF74" t="str">
            <v>SI</v>
          </cell>
          <cell r="AG74">
            <v>42069</v>
          </cell>
          <cell r="AH74" t="str">
            <v>FEBRERO</v>
          </cell>
          <cell r="AI74" t="str">
            <v>MARZO</v>
          </cell>
          <cell r="AJ74" t="str">
            <v>JUNIO</v>
          </cell>
        </row>
        <row r="75">
          <cell r="C75">
            <v>174</v>
          </cell>
          <cell r="D75" t="str">
            <v>CORPORATIVA</v>
          </cell>
          <cell r="E75">
            <v>3</v>
          </cell>
          <cell r="F75">
            <v>7</v>
          </cell>
          <cell r="G75" t="str">
            <v>MODIFICACION</v>
          </cell>
          <cell r="H75" t="str">
            <v>RECURSOS PROPIOS</v>
          </cell>
          <cell r="I75">
            <v>120000</v>
          </cell>
          <cell r="J75">
            <v>4</v>
          </cell>
          <cell r="K75" t="str">
            <v>NA</v>
          </cell>
          <cell r="L75" t="str">
            <v>3-1-2-02-05-01 Mantenimiento Entidad</v>
          </cell>
          <cell r="M75">
            <v>1</v>
          </cell>
          <cell r="N75" t="str">
            <v>NA</v>
          </cell>
          <cell r="O75" t="str">
            <v>NA</v>
          </cell>
          <cell r="P75" t="str">
            <v>S</v>
          </cell>
          <cell r="Q75" t="str">
            <v>NA</v>
          </cell>
          <cell r="R75" t="str">
            <v xml:space="preserve">Prestar el servicio de vigilancia y seguridad privada en las instalaciones de la Secretaria de Hacienda y del Concejo de Bogotá., con el fin de asegurar la protección y custodia de las personas y bienes muebles e inmuebles de propiedad de la entidad y de </v>
          </cell>
          <cell r="S75">
            <v>2</v>
          </cell>
          <cell r="T75" t="str">
            <v>Relacionada con el objeto a contratar-</v>
          </cell>
          <cell r="U75" t="str">
            <v>NA</v>
          </cell>
          <cell r="V75" t="str">
            <v>SEL. ABREVIADA SUB.INVERSA</v>
          </cell>
          <cell r="W75" t="str">
            <v>PRINCIPAL</v>
          </cell>
          <cell r="X75" t="str">
            <v>NA</v>
          </cell>
          <cell r="Y75" t="str">
            <v>PRESTACION DE SERVICIOS</v>
          </cell>
          <cell r="Z75">
            <v>2743000000</v>
          </cell>
          <cell r="AA75">
            <v>566000000</v>
          </cell>
          <cell r="AB75" t="str">
            <v>12 mes(es)</v>
          </cell>
          <cell r="AC75" t="str">
            <v>SEMANA 01</v>
          </cell>
          <cell r="AD75">
            <v>5</v>
          </cell>
          <cell r="AE75" t="str">
            <v>Una vez realizado el estudio de presupuesto y con el fin de adelantar el proceso para la contratación por 12 meses del servicio de vigilancia para la Secretaría Distrital de Hacienda y la zonas comunes del CAD, es necesario adicionar los rubros correspond</v>
          </cell>
          <cell r="AF75" t="str">
            <v>SI</v>
          </cell>
          <cell r="AG75">
            <v>42020</v>
          </cell>
          <cell r="AH75" t="str">
            <v>ENERO</v>
          </cell>
          <cell r="AI75" t="str">
            <v>ENERO</v>
          </cell>
          <cell r="AJ75" t="str">
            <v>MAYO</v>
          </cell>
        </row>
        <row r="76">
          <cell r="C76">
            <v>175</v>
          </cell>
          <cell r="D76" t="str">
            <v>CORPORATIVA</v>
          </cell>
          <cell r="E76">
            <v>3</v>
          </cell>
          <cell r="F76">
            <v>80</v>
          </cell>
          <cell r="G76" t="str">
            <v>INICIAL</v>
          </cell>
          <cell r="H76" t="str">
            <v>RECURSOS PROPIOS</v>
          </cell>
          <cell r="I76">
            <v>120000</v>
          </cell>
          <cell r="J76">
            <v>4</v>
          </cell>
          <cell r="K76" t="str">
            <v>NA</v>
          </cell>
          <cell r="L76" t="str">
            <v>3-1-2-02-05-01 Mantenimiento Entidad</v>
          </cell>
          <cell r="M76">
            <v>1</v>
          </cell>
          <cell r="N76" t="str">
            <v>NA</v>
          </cell>
          <cell r="O76" t="str">
            <v>NA</v>
          </cell>
          <cell r="P76" t="str">
            <v>S</v>
          </cell>
          <cell r="Q76" t="str">
            <v>NA</v>
          </cell>
          <cell r="R76" t="str">
            <v>Prestar los servicios de mantenimiento preventivo y correctivo con suministro de repuestos de los automotores marca Chevrolet al servicio de la Secretaría Distrital de Hacienda y del Concejo de Bogotá</v>
          </cell>
          <cell r="S76">
            <v>2</v>
          </cell>
          <cell r="T76" t="str">
            <v>Relacionada con el objeto a contratar</v>
          </cell>
          <cell r="U76" t="str">
            <v>NA</v>
          </cell>
          <cell r="V76" t="str">
            <v>MINIMA CUANTIA</v>
          </cell>
          <cell r="W76" t="str">
            <v>PRINCIPAL</v>
          </cell>
          <cell r="X76" t="str">
            <v>NA</v>
          </cell>
          <cell r="Y76" t="str">
            <v>PRESTACION DE SERVICIOS</v>
          </cell>
          <cell r="Z76">
            <v>34525000</v>
          </cell>
          <cell r="AA76">
            <v>17220000</v>
          </cell>
          <cell r="AB76" t="str">
            <v>12 mes(es)</v>
          </cell>
          <cell r="AC76" t="str">
            <v>SEMANA 03</v>
          </cell>
          <cell r="AD76">
            <v>4</v>
          </cell>
          <cell r="AE76" t="str">
            <v>Es necesario  mantener en correcto y buen funcionamiento de los vehículos que integran el parque automotor, requerido para el desarrollo de las funciones a cargo de las diferentes dependencias que requieren el servicio de transporte, máxime cuando estos h</v>
          </cell>
          <cell r="AF76" t="str">
            <v>SI</v>
          </cell>
          <cell r="AG76">
            <v>42010</v>
          </cell>
          <cell r="AH76" t="str">
            <v>FEBRERO</v>
          </cell>
          <cell r="AI76" t="str">
            <v>MARZO</v>
          </cell>
          <cell r="AJ76" t="str">
            <v>ABRIL</v>
          </cell>
        </row>
        <row r="77">
          <cell r="C77">
            <v>176</v>
          </cell>
          <cell r="D77" t="str">
            <v>CORPORATIVA</v>
          </cell>
          <cell r="E77">
            <v>3</v>
          </cell>
          <cell r="F77">
            <v>80</v>
          </cell>
          <cell r="G77" t="str">
            <v>INICIAL</v>
          </cell>
          <cell r="H77" t="str">
            <v>RECURSOS PROPIOS</v>
          </cell>
          <cell r="I77">
            <v>120000</v>
          </cell>
          <cell r="J77">
            <v>4</v>
          </cell>
          <cell r="K77" t="str">
            <v>NA</v>
          </cell>
          <cell r="L77" t="str">
            <v>3-1-2-02-05-01 Mantenimiento Entidad</v>
          </cell>
          <cell r="M77">
            <v>1</v>
          </cell>
          <cell r="N77" t="str">
            <v>NA</v>
          </cell>
          <cell r="O77" t="str">
            <v>NA</v>
          </cell>
          <cell r="P77" t="str">
            <v>S</v>
          </cell>
          <cell r="Q77" t="str">
            <v>NA</v>
          </cell>
          <cell r="R77" t="str">
            <v xml:space="preserve">Prestar los servicios de mantenimiento correctivo correspondiente a la reparación y corrección de las sillas existentes en la Secretaría de Distrital de Hacienda y del Concejo de Bogotá, con el suministro de repuestos y/o elementos nuevos necesarios para </v>
          </cell>
          <cell r="S77">
            <v>2</v>
          </cell>
          <cell r="T77" t="str">
            <v>Relacionada con el objeto a contratar</v>
          </cell>
          <cell r="U77" t="str">
            <v>NA</v>
          </cell>
          <cell r="V77" t="str">
            <v>SEL. ABREVIADA SUB.INVERSA</v>
          </cell>
          <cell r="W77" t="str">
            <v>PRINCIPAL</v>
          </cell>
          <cell r="X77" t="str">
            <v>NA</v>
          </cell>
          <cell r="Y77" t="str">
            <v>PRESTACION DE SERVICIOS</v>
          </cell>
          <cell r="Z77">
            <v>58216000</v>
          </cell>
          <cell r="AA77">
            <v>30000000</v>
          </cell>
          <cell r="AB77" t="str">
            <v>12 mes(es)</v>
          </cell>
          <cell r="AC77" t="str">
            <v>SEMANA 02</v>
          </cell>
          <cell r="AD77">
            <v>2</v>
          </cell>
          <cell r="AE77" t="str">
            <v>Se requiere el servicio de mantenimiento correctivo correspondiente a la reparación y corrección de las sillas existentes en la Secretaría de Distrital de Hacienda, suministrando los repuestos y/o elementos nuevos necesarios para su correcto funcionamient</v>
          </cell>
          <cell r="AF77" t="str">
            <v>SI</v>
          </cell>
          <cell r="AG77">
            <v>42031</v>
          </cell>
          <cell r="AH77" t="str">
            <v>ENERO</v>
          </cell>
          <cell r="AI77" t="str">
            <v>FEBRERO</v>
          </cell>
          <cell r="AJ77" t="str">
            <v>FEBRERO</v>
          </cell>
        </row>
        <row r="78">
          <cell r="C78">
            <v>177</v>
          </cell>
          <cell r="D78" t="str">
            <v>CORPORATIVA</v>
          </cell>
          <cell r="E78">
            <v>3</v>
          </cell>
          <cell r="F78">
            <v>80</v>
          </cell>
          <cell r="G78" t="str">
            <v>INICIAL</v>
          </cell>
          <cell r="H78" t="str">
            <v>RECURSOS PROPIOS</v>
          </cell>
          <cell r="I78">
            <v>120000</v>
          </cell>
          <cell r="J78">
            <v>4</v>
          </cell>
          <cell r="K78" t="str">
            <v>NA</v>
          </cell>
          <cell r="L78" t="str">
            <v>3-1-2-02-05-01 Mantenimiento Entidad</v>
          </cell>
          <cell r="M78">
            <v>1</v>
          </cell>
          <cell r="N78" t="str">
            <v>NA</v>
          </cell>
          <cell r="O78" t="str">
            <v>NA</v>
          </cell>
          <cell r="P78" t="str">
            <v>S</v>
          </cell>
          <cell r="Q78" t="str">
            <v>NA</v>
          </cell>
          <cell r="R78" t="str">
            <v>Prestar los servicios de mantenimiento preventivo y correctivo al sistema eléctrico del  Centro Administrativo Distrital CAD y al sistema de generación y transferencia eléctrica de emergencia  del Concejo de Bogotá, DC.</v>
          </cell>
          <cell r="S78">
            <v>2</v>
          </cell>
          <cell r="T78" t="str">
            <v>Relacionada con el objeto a contratar</v>
          </cell>
          <cell r="U78" t="str">
            <v>NA</v>
          </cell>
          <cell r="V78" t="str">
            <v>SEL. ABREVIADA MENOR CUANTIA</v>
          </cell>
          <cell r="W78" t="str">
            <v>PRINCIPAL</v>
          </cell>
          <cell r="X78" t="str">
            <v>NA</v>
          </cell>
          <cell r="Y78" t="str">
            <v>PRESTACION DE SERVICIOS</v>
          </cell>
          <cell r="Z78">
            <v>72013000</v>
          </cell>
          <cell r="AA78">
            <v>11000000</v>
          </cell>
          <cell r="AB78" t="str">
            <v>12 mes(es)</v>
          </cell>
          <cell r="AC78" t="str">
            <v>SEMANA 01</v>
          </cell>
          <cell r="AD78">
            <v>4</v>
          </cell>
          <cell r="AE78" t="str">
            <v>Es necesario realizar el mantenimiento preventivo y correctivo a las subestaciones eléctricas y demás elementos de generación eléctrica  con el fin de que se encuentren en óptimas condiciones para suplir la energía en el evento que falle el suministro por</v>
          </cell>
          <cell r="AF78" t="str">
            <v>SI</v>
          </cell>
          <cell r="AG78">
            <v>42033</v>
          </cell>
          <cell r="AH78" t="str">
            <v>ENERO</v>
          </cell>
          <cell r="AI78" t="str">
            <v>ENERO</v>
          </cell>
          <cell r="AJ78" t="str">
            <v>ABRIL</v>
          </cell>
        </row>
        <row r="79">
          <cell r="C79">
            <v>178</v>
          </cell>
          <cell r="D79" t="str">
            <v>CORPORATIVA</v>
          </cell>
          <cell r="E79">
            <v>3</v>
          </cell>
          <cell r="F79">
            <v>80</v>
          </cell>
          <cell r="G79" t="str">
            <v>INICIAL</v>
          </cell>
          <cell r="H79" t="str">
            <v>RECURSOS PROPIOS</v>
          </cell>
          <cell r="I79">
            <v>120000</v>
          </cell>
          <cell r="J79">
            <v>4</v>
          </cell>
          <cell r="K79" t="str">
            <v>NA</v>
          </cell>
          <cell r="L79" t="str">
            <v>3-1-2-02-05-01 Mantenimiento Entidad</v>
          </cell>
          <cell r="M79">
            <v>1</v>
          </cell>
          <cell r="N79" t="str">
            <v>NA</v>
          </cell>
          <cell r="O79" t="str">
            <v>NA</v>
          </cell>
          <cell r="P79" t="str">
            <v>S</v>
          </cell>
          <cell r="Q79" t="str">
            <v>NA</v>
          </cell>
          <cell r="R79" t="str">
            <v>Prestar los servicios de mantenimiento con suministro de repuestos para plantas purificadoras de agua semi-industriales de la Secretaría Distrital de Hacienda</v>
          </cell>
          <cell r="S79">
            <v>1</v>
          </cell>
          <cell r="T79" t="str">
            <v>Relacionada con el objeto a contratar</v>
          </cell>
          <cell r="U79" t="str">
            <v>NA</v>
          </cell>
          <cell r="V79" t="str">
            <v>MINIMA CUANTIA</v>
          </cell>
          <cell r="W79" t="str">
            <v>PRINCIPAL</v>
          </cell>
          <cell r="X79" t="str">
            <v>NA</v>
          </cell>
          <cell r="Y79" t="str">
            <v>PRESTACION DE SERVICIOS</v>
          </cell>
          <cell r="Z79">
            <v>10500000</v>
          </cell>
          <cell r="AA79">
            <v>4500000</v>
          </cell>
          <cell r="AB79" t="str">
            <v>12 mes(es)</v>
          </cell>
          <cell r="AC79" t="str">
            <v>SEMANA 02</v>
          </cell>
          <cell r="AD79">
            <v>3</v>
          </cell>
          <cell r="AE79" t="str">
            <v xml:space="preserve">Garantizar que el agua se encuentre en condiciones óptimas para el consumo  Humano  Se tomo como base la cotización presentada por el proveedor de los equipos  teniendo en cuanta que el mantenimiento y el reemplazo de los consumibles debe efectuarse cada </v>
          </cell>
          <cell r="AF79" t="str">
            <v>SI</v>
          </cell>
          <cell r="AG79">
            <v>42020</v>
          </cell>
          <cell r="AH79" t="str">
            <v>ENERO</v>
          </cell>
          <cell r="AI79" t="str">
            <v>FEBRERO</v>
          </cell>
          <cell r="AJ79" t="str">
            <v>MARZO</v>
          </cell>
        </row>
        <row r="80">
          <cell r="C80">
            <v>179</v>
          </cell>
          <cell r="D80" t="str">
            <v>CORPORATIVA</v>
          </cell>
          <cell r="E80">
            <v>3</v>
          </cell>
          <cell r="F80">
            <v>7</v>
          </cell>
          <cell r="G80" t="str">
            <v>MODIFICACION</v>
          </cell>
          <cell r="H80" t="str">
            <v>RECURSOS PROPIOS</v>
          </cell>
          <cell r="I80">
            <v>120000</v>
          </cell>
          <cell r="J80">
            <v>4</v>
          </cell>
          <cell r="K80" t="str">
            <v>NA</v>
          </cell>
          <cell r="L80" t="str">
            <v>3-1-2-02-06-01 Seguros Entidad</v>
          </cell>
          <cell r="M80">
            <v>1</v>
          </cell>
          <cell r="N80" t="str">
            <v>NA</v>
          </cell>
          <cell r="O80" t="str">
            <v>NA</v>
          </cell>
          <cell r="P80" t="str">
            <v>S</v>
          </cell>
          <cell r="Q80" t="str">
            <v>NA</v>
          </cell>
          <cell r="R80" t="str">
            <v>Expedir la pólizas de seguros requeridas para adecuada protección de los bienes de la Secretaría Distrital de Hacienda y del Concejo de Bogotá D.C., así como el seguro de Grupo Vida de los Concejales de Bogotá D.C.</v>
          </cell>
          <cell r="S80">
            <v>3</v>
          </cell>
          <cell r="T80" t="str">
            <v>NA</v>
          </cell>
          <cell r="U80" t="str">
            <v>NA</v>
          </cell>
          <cell r="V80" t="str">
            <v>LICITACION PUBLICA</v>
          </cell>
          <cell r="W80" t="str">
            <v>PRINCIPAL</v>
          </cell>
          <cell r="X80" t="str">
            <v>NA</v>
          </cell>
          <cell r="Y80" t="str">
            <v>PRESTACION DE SERVICIOS</v>
          </cell>
          <cell r="Z80">
            <v>2474624000</v>
          </cell>
          <cell r="AA80">
            <v>206798000</v>
          </cell>
          <cell r="AB80" t="str">
            <v>12 mes(es)</v>
          </cell>
          <cell r="AC80" t="str">
            <v>SEMANA 02</v>
          </cell>
          <cell r="AD80">
            <v>6</v>
          </cell>
          <cell r="AE80" t="str">
            <v>Se disminuye el valor correspondiente al rubro seguros entidad UE 04 en $$202.000, para trasladar a la línea 180 del SOAT</v>
          </cell>
          <cell r="AH80" t="str">
            <v>ENERO</v>
          </cell>
          <cell r="AI80" t="str">
            <v>FEBRERO</v>
          </cell>
          <cell r="AJ80" t="str">
            <v>JUNIO</v>
          </cell>
        </row>
        <row r="81">
          <cell r="C81">
            <v>179</v>
          </cell>
          <cell r="D81" t="str">
            <v>CORPORATIVA</v>
          </cell>
          <cell r="E81">
            <v>3</v>
          </cell>
          <cell r="F81">
            <v>7</v>
          </cell>
          <cell r="G81" t="str">
            <v>MODIFICACION</v>
          </cell>
          <cell r="H81" t="str">
            <v>RECURSOS PROPIOS</v>
          </cell>
          <cell r="I81">
            <v>120000</v>
          </cell>
          <cell r="J81">
            <v>4</v>
          </cell>
          <cell r="K81" t="str">
            <v>NA</v>
          </cell>
          <cell r="L81" t="str">
            <v>3-1-2-02-06-02 Seguros de Vida Concejales</v>
          </cell>
          <cell r="M81">
            <v>1</v>
          </cell>
          <cell r="N81" t="str">
            <v>NA</v>
          </cell>
          <cell r="O81" t="str">
            <v>NA</v>
          </cell>
          <cell r="P81" t="str">
            <v>S</v>
          </cell>
          <cell r="Q81" t="str">
            <v>NA</v>
          </cell>
          <cell r="R81" t="str">
            <v>Expedir la pólizas de seguros requeridas para adecuada protección de los bienes de la Secretaría Distrital de Hacienda y del Concejo de Bogotá D.C., así como el seguro de Grupo Vida de los Concejales de Bogotá D.C.</v>
          </cell>
          <cell r="S81">
            <v>3</v>
          </cell>
          <cell r="T81" t="str">
            <v>NA</v>
          </cell>
          <cell r="U81" t="str">
            <v>NA</v>
          </cell>
          <cell r="V81" t="str">
            <v>LICITACION PUBLICA</v>
          </cell>
          <cell r="W81" t="str">
            <v>PRINCIPAL</v>
          </cell>
          <cell r="X81" t="str">
            <v>NA</v>
          </cell>
          <cell r="Y81" t="str">
            <v>PRESTACION DE SERVICIOS</v>
          </cell>
          <cell r="Z81">
            <v>2474624000</v>
          </cell>
          <cell r="AA81">
            <v>62176000</v>
          </cell>
          <cell r="AB81" t="str">
            <v>12 mes(es)</v>
          </cell>
          <cell r="AC81" t="str">
            <v>SEMANA 02</v>
          </cell>
          <cell r="AD81">
            <v>6</v>
          </cell>
          <cell r="AE81" t="str">
            <v>Se disminuye el valor correspondiente al rubro seguros entidad UE 04 en $$202.000, para trasladar a la línea 180 del SOAT</v>
          </cell>
          <cell r="AH81" t="str">
            <v>ENERO</v>
          </cell>
          <cell r="AI81" t="str">
            <v>FEBRERO</v>
          </cell>
          <cell r="AJ81" t="str">
            <v>JUNIO</v>
          </cell>
        </row>
        <row r="82">
          <cell r="C82">
            <v>180</v>
          </cell>
          <cell r="D82" t="str">
            <v>CORPORATIVA</v>
          </cell>
          <cell r="E82">
            <v>3</v>
          </cell>
          <cell r="F82">
            <v>7</v>
          </cell>
          <cell r="G82" t="str">
            <v>MODIFICACION</v>
          </cell>
          <cell r="H82" t="str">
            <v>RECURSOS PROPIOS</v>
          </cell>
          <cell r="I82">
            <v>120000</v>
          </cell>
          <cell r="J82">
            <v>4</v>
          </cell>
          <cell r="K82" t="str">
            <v>NA</v>
          </cell>
          <cell r="L82" t="str">
            <v>3-1-2-02-06-01 Seguros Entidad</v>
          </cell>
          <cell r="M82">
            <v>1</v>
          </cell>
          <cell r="N82" t="str">
            <v>NA</v>
          </cell>
          <cell r="O82" t="str">
            <v>NA</v>
          </cell>
          <cell r="P82" t="str">
            <v>S</v>
          </cell>
          <cell r="Q82" t="str">
            <v>NA</v>
          </cell>
          <cell r="R82" t="str">
            <v>Expedir las polizas de seguro obligatorio SOAT para los vehículos de la Secretaría Distrital de Hacienda y del Concejo de Bogotá</v>
          </cell>
          <cell r="S82">
            <v>2</v>
          </cell>
          <cell r="T82" t="str">
            <v>NA</v>
          </cell>
          <cell r="U82" t="str">
            <v>NA</v>
          </cell>
          <cell r="V82" t="str">
            <v>ACUERDO MARCO</v>
          </cell>
          <cell r="W82" t="str">
            <v>PRINCIPAL</v>
          </cell>
          <cell r="X82" t="str">
            <v>NA</v>
          </cell>
          <cell r="Y82" t="str">
            <v>PRESTACION DE SERVICIOS</v>
          </cell>
          <cell r="Z82">
            <v>8552000</v>
          </cell>
          <cell r="AA82">
            <v>4202000</v>
          </cell>
          <cell r="AB82" t="str">
            <v>12 mes(es)</v>
          </cell>
          <cell r="AC82" t="str">
            <v>SEMANA 02</v>
          </cell>
          <cell r="AD82">
            <v>7</v>
          </cell>
          <cell r="AE82" t="str">
            <v>Recibidas las cotizaciones de las aseguradoras, de conformidad con los valores establecidos para el presente año y teniendo en cuenta se pretende unificar las vigencias  de los SOAT de todos los vehículos a 31 de Julio de 2016.  se evidencia que para el C</v>
          </cell>
          <cell r="AH82" t="str">
            <v>ENERO</v>
          </cell>
          <cell r="AI82" t="str">
            <v>FEBRERO</v>
          </cell>
          <cell r="AJ82" t="str">
            <v>JULIO</v>
          </cell>
        </row>
        <row r="83">
          <cell r="C83">
            <v>181</v>
          </cell>
          <cell r="D83" t="str">
            <v>CORPORATIVA</v>
          </cell>
          <cell r="E83">
            <v>3</v>
          </cell>
          <cell r="F83">
            <v>80</v>
          </cell>
          <cell r="G83" t="str">
            <v>INICIAL</v>
          </cell>
          <cell r="H83" t="str">
            <v>RECURSOS PROPIOS</v>
          </cell>
          <cell r="I83">
            <v>120000</v>
          </cell>
          <cell r="J83">
            <v>4</v>
          </cell>
          <cell r="K83" t="str">
            <v>NA</v>
          </cell>
          <cell r="L83" t="str">
            <v>3-1-2-02-09-01 Capacitación Interna</v>
          </cell>
          <cell r="M83">
            <v>1</v>
          </cell>
          <cell r="N83" t="str">
            <v>NA</v>
          </cell>
          <cell r="O83" t="str">
            <v>NA</v>
          </cell>
          <cell r="P83" t="str">
            <v>S</v>
          </cell>
          <cell r="Q83" t="str">
            <v>NA</v>
          </cell>
          <cell r="R83" t="str">
            <v>Realizar las actividades de capacitación previstas en el Plan Institucional de Capacitación para los funcionarios de la SDH y del Concejo de Bogotá.</v>
          </cell>
          <cell r="S83">
            <v>2</v>
          </cell>
          <cell r="T83" t="str">
            <v>Relacionada con el objeto a contratar-</v>
          </cell>
          <cell r="U83" t="str">
            <v>NA-</v>
          </cell>
          <cell r="V83" t="str">
            <v>LICITACION PUBLICA</v>
          </cell>
          <cell r="W83" t="str">
            <v>PRINCIPAL</v>
          </cell>
          <cell r="X83" t="str">
            <v>NA</v>
          </cell>
          <cell r="Y83" t="str">
            <v>PRESTACION DE SERVICIOS</v>
          </cell>
          <cell r="Z83">
            <v>865713000</v>
          </cell>
          <cell r="AA83">
            <v>478000000</v>
          </cell>
          <cell r="AB83" t="str">
            <v>9 mes(es)</v>
          </cell>
          <cell r="AC83" t="str">
            <v>SEMANA 04</v>
          </cell>
          <cell r="AD83">
            <v>7</v>
          </cell>
          <cell r="AE83" t="str">
            <v xml:space="preserve">  Para el año 2015 se requiere capacitación en los temas fijados en el Plan Institucional de Capacitación de las Entidades, con el objetivo de fortalecer y desarrollar las competencias comportamentales y funcionales de los servidores públicos de la Secret</v>
          </cell>
          <cell r="AH83" t="str">
            <v>MARZO</v>
          </cell>
          <cell r="AI83" t="str">
            <v>ABRIL</v>
          </cell>
          <cell r="AJ83" t="str">
            <v>JULIO</v>
          </cell>
        </row>
        <row r="84">
          <cell r="C84">
            <v>182</v>
          </cell>
          <cell r="D84" t="str">
            <v>CORPORATIVA</v>
          </cell>
          <cell r="E84">
            <v>3</v>
          </cell>
          <cell r="F84">
            <v>12</v>
          </cell>
          <cell r="G84" t="str">
            <v>MODIFICACION</v>
          </cell>
          <cell r="H84" t="str">
            <v>RECURSOS PROPIOS</v>
          </cell>
          <cell r="I84">
            <v>120000</v>
          </cell>
          <cell r="J84">
            <v>4</v>
          </cell>
          <cell r="K84" t="str">
            <v>NA</v>
          </cell>
          <cell r="L84" t="str">
            <v>3-1-2-02-11 Promoción Institucional</v>
          </cell>
          <cell r="M84">
            <v>1</v>
          </cell>
          <cell r="N84" t="str">
            <v>NA</v>
          </cell>
          <cell r="O84" t="str">
            <v>NA</v>
          </cell>
          <cell r="P84" t="str">
            <v>S</v>
          </cell>
          <cell r="Q84" t="str">
            <v>NA</v>
          </cell>
          <cell r="R84" t="str">
            <v>Presar el servicio de alquiler de escenarios como salones, auditorios y espacios abiertos, apoyo logístico y servicio de catering para el desarrollo de eventos que requieran la Secretaría Distrital de Hacienda y el Concejo de Bogotá.</v>
          </cell>
          <cell r="S84">
            <v>2</v>
          </cell>
          <cell r="T84" t="str">
            <v>Relacionada con el objeto a contratar</v>
          </cell>
          <cell r="U84" t="str">
            <v>NA</v>
          </cell>
          <cell r="V84" t="str">
            <v>SEL. ABREVIADA MENOR CUANTIA</v>
          </cell>
          <cell r="W84" t="str">
            <v>PRINCIPAL</v>
          </cell>
          <cell r="X84" t="str">
            <v>NA</v>
          </cell>
          <cell r="Y84" t="str">
            <v>PRESTACION DE SERVICIOS</v>
          </cell>
          <cell r="Z84">
            <v>246987000</v>
          </cell>
          <cell r="AA84">
            <v>111400000</v>
          </cell>
          <cell r="AB84" t="str">
            <v>10 mes(es)</v>
          </cell>
          <cell r="AC84" t="str">
            <v>SEMANA 01</v>
          </cell>
          <cell r="AD84">
            <v>3</v>
          </cell>
          <cell r="AE84" t="str">
            <v>Se reduce el valor de la linea en $ 32.600.000 con el fin de abrir una nueva linea de contratacion  para adicionar el contrato 140238-0-2014 que tiene por objeto: Prestar el servicio de alquiler de escenarios como salones, auditorios y espacios  abiertos,</v>
          </cell>
          <cell r="AF84" t="str">
            <v>SI</v>
          </cell>
          <cell r="AG84">
            <v>42025</v>
          </cell>
          <cell r="AH84" t="str">
            <v>ENERO</v>
          </cell>
          <cell r="AI84" t="str">
            <v>ENERO</v>
          </cell>
          <cell r="AJ84" t="str">
            <v>MARZO</v>
          </cell>
        </row>
        <row r="85">
          <cell r="C85">
            <v>184</v>
          </cell>
          <cell r="D85" t="str">
            <v>CORPORATIVA</v>
          </cell>
          <cell r="E85">
            <v>3</v>
          </cell>
          <cell r="F85">
            <v>80</v>
          </cell>
          <cell r="G85" t="str">
            <v>INICIAL</v>
          </cell>
          <cell r="H85" t="str">
            <v>RECURSOS PROPIOS</v>
          </cell>
          <cell r="I85">
            <v>120000</v>
          </cell>
          <cell r="J85">
            <v>4</v>
          </cell>
          <cell r="K85" t="str">
            <v>NA</v>
          </cell>
          <cell r="L85" t="str">
            <v>3-1-2-02-10 Bienestar e Incentivos</v>
          </cell>
          <cell r="M85">
            <v>1</v>
          </cell>
          <cell r="N85" t="str">
            <v>NA</v>
          </cell>
          <cell r="O85" t="str">
            <v>NA</v>
          </cell>
          <cell r="P85" t="str">
            <v>S</v>
          </cell>
          <cell r="Q85" t="str">
            <v>NA</v>
          </cell>
          <cell r="R85" t="str">
            <v>Adquisición de bonos navideños para los hijos de los funcionarios de la Secretaría de Hacienda y el Concejo de Bogotá</v>
          </cell>
          <cell r="S85">
            <v>2</v>
          </cell>
          <cell r="T85" t="str">
            <v>Relacionada con el objeto a contratar-</v>
          </cell>
          <cell r="U85" t="str">
            <v>NA-</v>
          </cell>
          <cell r="V85" t="str">
            <v>SEL. ABREVIADA MENOR CUANTIA</v>
          </cell>
          <cell r="W85" t="str">
            <v>PRINCIPAL</v>
          </cell>
          <cell r="X85" t="str">
            <v>NA</v>
          </cell>
          <cell r="Y85" t="str">
            <v>COMPRAVENTA</v>
          </cell>
          <cell r="Z85">
            <v>117300000</v>
          </cell>
          <cell r="AA85">
            <v>40000000</v>
          </cell>
          <cell r="AB85" t="str">
            <v>1 mes(es)</v>
          </cell>
          <cell r="AC85" t="str">
            <v>SEMANA 08</v>
          </cell>
          <cell r="AD85">
            <v>10</v>
          </cell>
          <cell r="AE85" t="str">
            <v>Dentro del Plan de incentivos de las entidades se contemplan los bonos navideños para los hijos de los funcionarios entre 0 y 12 años, 11 meses   CALCULO DEL PRESUPUESTO  El presupuesto por entidad se determina de conformidad con la Circular N°. 054 de 20</v>
          </cell>
          <cell r="AH85" t="str">
            <v>JULIO</v>
          </cell>
          <cell r="AI85" t="str">
            <v>AGOSTO</v>
          </cell>
          <cell r="AJ85" t="str">
            <v>OCTUBRE</v>
          </cell>
        </row>
        <row r="86">
          <cell r="C86">
            <v>185</v>
          </cell>
          <cell r="D86" t="str">
            <v>CORPORATIVA</v>
          </cell>
          <cell r="E86">
            <v>3</v>
          </cell>
          <cell r="F86">
            <v>80</v>
          </cell>
          <cell r="G86" t="str">
            <v>INICIAL</v>
          </cell>
          <cell r="H86" t="str">
            <v>RECURSOS PROPIOS</v>
          </cell>
          <cell r="I86">
            <v>120000</v>
          </cell>
          <cell r="J86">
            <v>4</v>
          </cell>
          <cell r="K86" t="str">
            <v>NA</v>
          </cell>
          <cell r="L86" t="str">
            <v>3-1-2-02-10 Bienestar e Incentivos</v>
          </cell>
          <cell r="M86">
            <v>1</v>
          </cell>
          <cell r="N86" t="str">
            <v>NA</v>
          </cell>
          <cell r="O86" t="str">
            <v>NA</v>
          </cell>
          <cell r="P86" t="str">
            <v>S</v>
          </cell>
          <cell r="Q86" t="str">
            <v>NA</v>
          </cell>
          <cell r="R86" t="str">
            <v>Desarrollar las actividades contenidas en los Planes de Bienestar e Incentivos y Mejoramiento del Clima Laboral para la Secretaría de Hacienda y el Concejo de Bogota.</v>
          </cell>
          <cell r="S86">
            <v>2</v>
          </cell>
          <cell r="T86" t="str">
            <v>Relacionada con el objeto a contratar</v>
          </cell>
          <cell r="U86" t="str">
            <v>NA</v>
          </cell>
          <cell r="V86" t="str">
            <v>LICITACION PUBLICA</v>
          </cell>
          <cell r="W86" t="str">
            <v>PRINCIPAL</v>
          </cell>
          <cell r="X86" t="str">
            <v>NA</v>
          </cell>
          <cell r="Y86" t="str">
            <v>PRESTACION DE SERVICIOS</v>
          </cell>
          <cell r="Z86">
            <v>1696500000</v>
          </cell>
          <cell r="AA86">
            <v>697000000</v>
          </cell>
          <cell r="AB86" t="str">
            <v>9 mes(es)</v>
          </cell>
          <cell r="AC86" t="str">
            <v>SEMANA 03</v>
          </cell>
          <cell r="AD86">
            <v>7</v>
          </cell>
          <cell r="AE86" t="str">
            <v>Las Entidades deben realizar actividades aque sirvan como base al desarrollo de procesos de mejoramiento del clima organizacional, reorientación de la cultura, capacitación y de Bienestar e Incentivos para mejoramiento de la Calidad de Vida Laboral, en cu</v>
          </cell>
          <cell r="AF86" t="str">
            <v>SI</v>
          </cell>
          <cell r="AG86">
            <v>42069</v>
          </cell>
          <cell r="AH86" t="str">
            <v>FEBRERO</v>
          </cell>
          <cell r="AI86" t="str">
            <v>MARZO</v>
          </cell>
          <cell r="AJ86" t="str">
            <v>JULIO</v>
          </cell>
        </row>
        <row r="87">
          <cell r="C87">
            <v>186</v>
          </cell>
          <cell r="D87" t="str">
            <v>CORPORATIVA</v>
          </cell>
          <cell r="E87">
            <v>3</v>
          </cell>
          <cell r="F87">
            <v>80</v>
          </cell>
          <cell r="G87" t="str">
            <v>INICIAL</v>
          </cell>
          <cell r="H87" t="str">
            <v>RECURSOS PROPIOS</v>
          </cell>
          <cell r="I87">
            <v>120000</v>
          </cell>
          <cell r="J87">
            <v>4</v>
          </cell>
          <cell r="K87" t="str">
            <v>NA</v>
          </cell>
          <cell r="L87" t="str">
            <v>3-1-2-02-12 Salud Ocupacional</v>
          </cell>
          <cell r="M87">
            <v>1</v>
          </cell>
          <cell r="N87" t="str">
            <v>NA</v>
          </cell>
          <cell r="O87" t="str">
            <v>NA</v>
          </cell>
          <cell r="P87" t="str">
            <v>S</v>
          </cell>
          <cell r="Q87" t="str">
            <v>NA</v>
          </cell>
          <cell r="R87" t="str">
            <v>Adquisición de elementos e insumos necesarios para atender los primeros auxilios y dotar los botiquines de la Secretaría de Hacienda</v>
          </cell>
          <cell r="S87">
            <v>2</v>
          </cell>
          <cell r="T87" t="str">
            <v>Relacionada con el objeto a contratar-</v>
          </cell>
          <cell r="U87" t="str">
            <v>NA-</v>
          </cell>
          <cell r="V87" t="str">
            <v>MINIMA CUANTIA</v>
          </cell>
          <cell r="W87" t="str">
            <v>PRINCIPAL</v>
          </cell>
          <cell r="X87" t="str">
            <v>NA</v>
          </cell>
          <cell r="Y87" t="str">
            <v>COMPRAVENTA</v>
          </cell>
          <cell r="Z87">
            <v>11000000</v>
          </cell>
          <cell r="AA87">
            <v>6000000</v>
          </cell>
          <cell r="AB87" t="str">
            <v>2 mes(es)</v>
          </cell>
          <cell r="AC87" t="str">
            <v>SEMANA 05</v>
          </cell>
          <cell r="AD87">
            <v>6</v>
          </cell>
          <cell r="AE87" t="str">
            <v>La Secretaría Distrital de Hacienda y el Concejo de Bogotá requieren realizar la compra de elementos e insumos para dotar los botiquines de la dependencias y de los brigadistas  y realizar la atención de primeros auxilios en atención al programa se Seguri</v>
          </cell>
          <cell r="AF87" t="str">
            <v>SI</v>
          </cell>
          <cell r="AG87">
            <v>42020</v>
          </cell>
          <cell r="AH87" t="str">
            <v>ENERO</v>
          </cell>
          <cell r="AI87" t="str">
            <v>FEBRERO</v>
          </cell>
          <cell r="AJ87" t="str">
            <v>MARZO</v>
          </cell>
        </row>
        <row r="88">
          <cell r="C88">
            <v>187</v>
          </cell>
          <cell r="D88" t="str">
            <v>CORPORATIVA</v>
          </cell>
          <cell r="E88">
            <v>3</v>
          </cell>
          <cell r="F88">
            <v>13</v>
          </cell>
          <cell r="G88" t="str">
            <v>MODIFICACION</v>
          </cell>
          <cell r="H88" t="str">
            <v>RECURSOS PROPIOS</v>
          </cell>
          <cell r="I88">
            <v>120000</v>
          </cell>
          <cell r="J88">
            <v>4</v>
          </cell>
          <cell r="K88" t="str">
            <v>NA</v>
          </cell>
          <cell r="L88" t="str">
            <v>3-1-2-02-12 Salud Ocupacional</v>
          </cell>
          <cell r="M88">
            <v>1</v>
          </cell>
          <cell r="N88" t="str">
            <v>NA</v>
          </cell>
          <cell r="O88" t="str">
            <v>NA</v>
          </cell>
          <cell r="P88" t="str">
            <v>S</v>
          </cell>
          <cell r="Q88" t="str">
            <v>NA</v>
          </cell>
          <cell r="R88" t="str">
            <v>Adquisición de elementos de protección personal para los servidores de la Secretaría de Hacienda</v>
          </cell>
          <cell r="S88">
            <v>1</v>
          </cell>
          <cell r="T88" t="str">
            <v>Relacionada con el objeto a contratar-</v>
          </cell>
          <cell r="U88" t="str">
            <v>NA-</v>
          </cell>
          <cell r="V88" t="str">
            <v>MINIMA CUANTIA</v>
          </cell>
          <cell r="W88" t="str">
            <v>PRINCIPAL</v>
          </cell>
          <cell r="X88" t="str">
            <v>NA</v>
          </cell>
          <cell r="Y88" t="str">
            <v>COMPRAVENTA</v>
          </cell>
          <cell r="Z88">
            <v>27997000</v>
          </cell>
          <cell r="AA88">
            <v>20200000</v>
          </cell>
          <cell r="AB88" t="str">
            <v>4 mes(es)</v>
          </cell>
          <cell r="AC88" t="str">
            <v>SEMANA 06</v>
          </cell>
          <cell r="AD88">
            <v>7</v>
          </cell>
          <cell r="AE88" t="str">
            <v>Se modifica el monto de la línea, ya que se trasladarán, por la unidad ejecutora 01, $14.280.000 a la línea 159.</v>
          </cell>
          <cell r="AF88" t="str">
            <v>SI</v>
          </cell>
          <cell r="AG88">
            <v>42020</v>
          </cell>
          <cell r="AH88" t="str">
            <v>MAYO</v>
          </cell>
          <cell r="AI88" t="str">
            <v>JUNIO</v>
          </cell>
          <cell r="AJ88" t="str">
            <v>JULIO</v>
          </cell>
        </row>
        <row r="89">
          <cell r="C89">
            <v>188</v>
          </cell>
          <cell r="D89" t="str">
            <v>CORPORATIVA</v>
          </cell>
          <cell r="E89">
            <v>3</v>
          </cell>
          <cell r="F89">
            <v>13</v>
          </cell>
          <cell r="G89" t="str">
            <v>MODIFICACION</v>
          </cell>
          <cell r="H89" t="str">
            <v>RECURSOS PROPIOS</v>
          </cell>
          <cell r="I89">
            <v>120000</v>
          </cell>
          <cell r="J89">
            <v>4</v>
          </cell>
          <cell r="K89" t="str">
            <v>NA</v>
          </cell>
          <cell r="L89" t="str">
            <v>3-1-2-02-12 Salud Ocupacional</v>
          </cell>
          <cell r="M89">
            <v>1</v>
          </cell>
          <cell r="N89" t="str">
            <v>NA</v>
          </cell>
          <cell r="O89" t="str">
            <v>NA</v>
          </cell>
          <cell r="P89" t="str">
            <v>S</v>
          </cell>
          <cell r="Q89" t="str">
            <v>NA</v>
          </cell>
          <cell r="R89" t="str">
            <v>Realizar exámenes médicos ocupacionales y complementarios y aplicación de vacunas para los funcionarios de la Secretaría Distrital de Hacienda y del Concejo de Bogotá</v>
          </cell>
          <cell r="S89">
            <v>2</v>
          </cell>
          <cell r="T89" t="str">
            <v>Relacionada con el objeto a contratar</v>
          </cell>
          <cell r="U89" t="str">
            <v>NA</v>
          </cell>
          <cell r="V89" t="str">
            <v>SEL. ABREVIADA MENOR CUANTIA</v>
          </cell>
          <cell r="W89" t="str">
            <v>PRINCIPAL</v>
          </cell>
          <cell r="X89" t="str">
            <v>NA</v>
          </cell>
          <cell r="Y89" t="str">
            <v>PRESTACION DE SERVICIOS</v>
          </cell>
          <cell r="Z89">
            <v>138673000</v>
          </cell>
          <cell r="AA89">
            <v>74000000</v>
          </cell>
          <cell r="AB89" t="str">
            <v>9 mes(es)</v>
          </cell>
          <cell r="AC89" t="str">
            <v>SEMANA 03</v>
          </cell>
          <cell r="AD89">
            <v>5</v>
          </cell>
          <cell r="AE89" t="str">
            <v>Se modifica el monto de la línea, ya que de acuerdo con la proyección realizada con base en las cantidades estimadas de servicios y el plazo del contrato, se pueden liberar $20.000.000, por la unidad ejecutora 01, los cuales se trasladan a la línea 159.</v>
          </cell>
          <cell r="AF89" t="str">
            <v>SI</v>
          </cell>
          <cell r="AG89">
            <v>42036</v>
          </cell>
          <cell r="AH89" t="str">
            <v>FEBRERO</v>
          </cell>
          <cell r="AI89" t="str">
            <v>MARZO</v>
          </cell>
          <cell r="AJ89" t="str">
            <v>MAYO</v>
          </cell>
        </row>
        <row r="90">
          <cell r="C90">
            <v>208</v>
          </cell>
          <cell r="D90" t="str">
            <v>CORPORATIVA</v>
          </cell>
          <cell r="E90">
            <v>3</v>
          </cell>
          <cell r="F90">
            <v>1</v>
          </cell>
          <cell r="G90" t="str">
            <v>MODIFICACION</v>
          </cell>
          <cell r="H90" t="str">
            <v>RECURSOS PROPIOS</v>
          </cell>
          <cell r="I90">
            <v>120000</v>
          </cell>
          <cell r="J90">
            <v>4</v>
          </cell>
          <cell r="K90" t="str">
            <v>NA</v>
          </cell>
          <cell r="L90" t="str">
            <v>3-3-1-14-03-31-0728-235235 - Fortalecimiento a la gestión institucional del Concejo de Bogotá</v>
          </cell>
          <cell r="M90">
            <v>1</v>
          </cell>
          <cell r="N90" t="str">
            <v>Actualizar el 100% de la infraestructura física, tecnológica y transporte</v>
          </cell>
          <cell r="O90" t="str">
            <v>Arrendamiento de instalaciones y bodegas para almacenamiento de materiales y objetos</v>
          </cell>
          <cell r="P90" t="str">
            <v>S</v>
          </cell>
          <cell r="Q90" t="str">
            <v>NA</v>
          </cell>
          <cell r="R90" t="str">
            <v>Arriendo de un inmueble para uso de parqueadero de vehÍculos y motocicletas del Concejo de Bogotá.</v>
          </cell>
          <cell r="S90">
            <v>1</v>
          </cell>
          <cell r="T90" t="str">
            <v>NA</v>
          </cell>
          <cell r="U90" t="str">
            <v>NA</v>
          </cell>
          <cell r="V90" t="str">
            <v>CONTRATACION DIRECTA</v>
          </cell>
          <cell r="W90" t="str">
            <v>PRINCIPAL</v>
          </cell>
          <cell r="X90" t="str">
            <v>NA</v>
          </cell>
          <cell r="Y90" t="str">
            <v>ARRENDAMIENTO</v>
          </cell>
          <cell r="Z90">
            <v>389910657</v>
          </cell>
          <cell r="AA90">
            <v>389910657</v>
          </cell>
          <cell r="AB90" t="str">
            <v>12 mes(es)</v>
          </cell>
          <cell r="AC90" t="str">
            <v>SEMANA 01</v>
          </cell>
          <cell r="AD90">
            <v>1</v>
          </cell>
          <cell r="AE90" t="str">
            <v>Se reduce el valor de esta línea  en $ 101.489.343, recursos que serán trasladados a una nueva línea para amparar la adicion y prorroga del contrato 140249-2014 suscrito con Inversiones Matay cuyo objeto es: Contratar a título de arrendamiento un inmueble</v>
          </cell>
          <cell r="AF90" t="str">
            <v>SI</v>
          </cell>
          <cell r="AG90">
            <v>42024</v>
          </cell>
          <cell r="AH90" t="str">
            <v>ENERO</v>
          </cell>
          <cell r="AI90" t="str">
            <v>ENERO</v>
          </cell>
          <cell r="AJ90" t="str">
            <v>ENERO</v>
          </cell>
        </row>
        <row r="91">
          <cell r="C91">
            <v>209</v>
          </cell>
          <cell r="D91" t="str">
            <v>CORPORATIVA</v>
          </cell>
          <cell r="E91">
            <v>3</v>
          </cell>
          <cell r="F91">
            <v>80</v>
          </cell>
          <cell r="G91" t="str">
            <v>INICIAL</v>
          </cell>
          <cell r="H91" t="str">
            <v>RECURSOS PROPIOS</v>
          </cell>
          <cell r="I91">
            <v>120000</v>
          </cell>
          <cell r="J91">
            <v>4</v>
          </cell>
          <cell r="K91" t="str">
            <v>NA</v>
          </cell>
          <cell r="L91" t="str">
            <v>3-3-1-14-03-31-0728-235235 - Fortalecimiento a la gestión institucional del Concejo de Bogotá</v>
          </cell>
          <cell r="M91">
            <v>1</v>
          </cell>
          <cell r="N91" t="str">
            <v>Actualizar el 100% de la infraestructura física, tecnológica y transporte</v>
          </cell>
          <cell r="O91" t="str">
            <v>Arrendamiento de instalaciones y bodegas para almacenamiento de materiales y objetos</v>
          </cell>
          <cell r="P91" t="str">
            <v>S</v>
          </cell>
          <cell r="Q91" t="str">
            <v>NA</v>
          </cell>
          <cell r="R91" t="str">
            <v>Arriendo de instalaciones para acondicionamiento de áreas  requeridas por el Concejo Distrital</v>
          </cell>
          <cell r="S91">
            <v>1</v>
          </cell>
          <cell r="T91" t="str">
            <v>NA</v>
          </cell>
          <cell r="U91" t="str">
            <v>NA</v>
          </cell>
          <cell r="V91" t="str">
            <v>CONTRATACION DIRECTA</v>
          </cell>
          <cell r="W91" t="str">
            <v>PRINCIPAL</v>
          </cell>
          <cell r="X91" t="str">
            <v>NA</v>
          </cell>
          <cell r="Y91" t="str">
            <v>ARRENDAMIENTO</v>
          </cell>
          <cell r="Z91">
            <v>24000000</v>
          </cell>
          <cell r="AA91">
            <v>24000000</v>
          </cell>
          <cell r="AB91" t="str">
            <v>12 mes(es)</v>
          </cell>
          <cell r="AC91" t="str">
            <v>SEMANA 01</v>
          </cell>
          <cell r="AD91">
            <v>2</v>
          </cell>
          <cell r="AE91" t="str">
            <v>Para el Concejo de Bogota es necesario contar con diferentes áreas, por el lapso de tiempo que dure la obra de reforzamiento estructural de la sede del Claustro que se prolongara durante la vigencia 2015.</v>
          </cell>
          <cell r="AH91" t="str">
            <v>ENERO</v>
          </cell>
          <cell r="AI91" t="str">
            <v>ENERO</v>
          </cell>
          <cell r="AJ91" t="str">
            <v>FEBRERO</v>
          </cell>
        </row>
        <row r="92">
          <cell r="C92">
            <v>210</v>
          </cell>
          <cell r="D92" t="str">
            <v>CORPORATIVA</v>
          </cell>
          <cell r="E92">
            <v>3</v>
          </cell>
          <cell r="F92">
            <v>80</v>
          </cell>
          <cell r="G92" t="str">
            <v>INICIAL</v>
          </cell>
          <cell r="H92" t="str">
            <v>RECURSOS PROPIOS</v>
          </cell>
          <cell r="I92">
            <v>120000</v>
          </cell>
          <cell r="J92">
            <v>4</v>
          </cell>
          <cell r="K92" t="str">
            <v>NA</v>
          </cell>
          <cell r="L92" t="str">
            <v>3-3-1-14-03-31-0728-235235 - Fortalecimiento a la gestión institucional del Concejo de Bogotá</v>
          </cell>
          <cell r="M92">
            <v>1</v>
          </cell>
          <cell r="N92" t="str">
            <v>Actualizar el 100% de la infraestructura física, tecnológica y transporte</v>
          </cell>
          <cell r="O92" t="str">
            <v>Desarrollar la implementacion del esquema de seguridad de los Concejales del Distrito Capital que se encuentran en situacion de riesgo extraordinario o extremo.</v>
          </cell>
          <cell r="P92" t="str">
            <v>S</v>
          </cell>
          <cell r="Q92" t="str">
            <v>NA</v>
          </cell>
          <cell r="R92" t="str">
            <v>Aunar esfuerzos humanos, tecnicos, logisticos y administrativos para garantizar el esquema de seguridad requerido por los Concejales del Distrito Capital que se encuentren en situacion de riesgo extraordinario o extremo como consecuencia directa del ejerc</v>
          </cell>
          <cell r="S92">
            <v>1</v>
          </cell>
          <cell r="T92" t="str">
            <v>NA</v>
          </cell>
          <cell r="U92" t="str">
            <v>NA</v>
          </cell>
          <cell r="V92" t="str">
            <v>CONTRATACION DIRECTA</v>
          </cell>
          <cell r="W92" t="str">
            <v>PRINCIPAL</v>
          </cell>
          <cell r="X92" t="str">
            <v>NA</v>
          </cell>
          <cell r="Y92" t="str">
            <v>CONTRATO INTERADMINISTRATIVO</v>
          </cell>
          <cell r="Z92">
            <v>4320000000</v>
          </cell>
          <cell r="AA92">
            <v>4320000000</v>
          </cell>
          <cell r="AB92" t="str">
            <v>12 mes(es)</v>
          </cell>
          <cell r="AC92" t="str">
            <v>SEMANA 02</v>
          </cell>
          <cell r="AD92">
            <v>4</v>
          </cell>
          <cell r="AE92" t="str">
            <v xml:space="preserve">Es obligación del estado en cabeza de la Unidad Nacional de protección, la Policía Nacional y el Ministerio del Interior, la protección integral de los derechos a la vida, la libertad, la integridad y la seguridad de personas, grupos y comunidades que se </v>
          </cell>
          <cell r="AF92" t="str">
            <v>SI</v>
          </cell>
          <cell r="AG92">
            <v>42087</v>
          </cell>
          <cell r="AH92" t="str">
            <v>ENERO</v>
          </cell>
          <cell r="AI92" t="str">
            <v>FEBRERO</v>
          </cell>
          <cell r="AJ92" t="str">
            <v>ABRIL</v>
          </cell>
        </row>
        <row r="93">
          <cell r="C93">
            <v>211</v>
          </cell>
          <cell r="D93" t="str">
            <v>CORPORATIVA</v>
          </cell>
          <cell r="E93">
            <v>3</v>
          </cell>
          <cell r="F93">
            <v>80</v>
          </cell>
          <cell r="G93" t="str">
            <v>INICIAL</v>
          </cell>
          <cell r="H93" t="str">
            <v>RECURSOS PROPIOS</v>
          </cell>
          <cell r="I93">
            <v>120000</v>
          </cell>
          <cell r="J93">
            <v>4</v>
          </cell>
          <cell r="K93" t="str">
            <v>NA</v>
          </cell>
          <cell r="L93" t="str">
            <v>3-3-1-14-03-31-0728-235235 - Fortalecimiento a la gestión institucional del Concejo de Bogotá</v>
          </cell>
          <cell r="M93">
            <v>1</v>
          </cell>
          <cell r="N93" t="str">
            <v>Actualizar el 100% de la infraestructura física, tecnológica y transporte</v>
          </cell>
          <cell r="O93" t="str">
            <v>Arrendamiento de instalaciones y bodegas para almacenamiento de materiales y objetos</v>
          </cell>
          <cell r="P93" t="str">
            <v>S</v>
          </cell>
          <cell r="Q93" t="str">
            <v>NA</v>
          </cell>
          <cell r="R93" t="str">
            <v>Arriendo de un inmueble para la sede del Concejo de Bogotá.</v>
          </cell>
          <cell r="S93">
            <v>1</v>
          </cell>
          <cell r="T93" t="str">
            <v>NA</v>
          </cell>
          <cell r="U93" t="str">
            <v>NA</v>
          </cell>
          <cell r="V93" t="str">
            <v>CONTRATACION DIRECTA</v>
          </cell>
          <cell r="W93" t="str">
            <v>PRINCIPAL</v>
          </cell>
          <cell r="X93" t="str">
            <v>NA</v>
          </cell>
          <cell r="Y93" t="str">
            <v>ARRENDAMIENTO</v>
          </cell>
          <cell r="Z93">
            <v>1260000000</v>
          </cell>
          <cell r="AA93">
            <v>1260000000</v>
          </cell>
          <cell r="AB93" t="str">
            <v>12 mes(es)</v>
          </cell>
          <cell r="AC93" t="str">
            <v>SEMANA 03</v>
          </cell>
          <cell r="AD93">
            <v>4</v>
          </cell>
          <cell r="AE93" t="str">
            <v>Para el Concejo de Bogota es necesario contar con los inmuebles necesarios para el desarrollo de sus actividades, por el lapso de tiempo que dure la obra de reforzamiento estructural de la sede del Claustro que se prolongara durante la vigencia 2015.</v>
          </cell>
          <cell r="AH93" t="str">
            <v>FEBRERO</v>
          </cell>
          <cell r="AI93" t="str">
            <v>MARZO</v>
          </cell>
          <cell r="AJ93" t="str">
            <v>ABRIL</v>
          </cell>
        </row>
        <row r="94">
          <cell r="C94">
            <v>212</v>
          </cell>
          <cell r="D94" t="str">
            <v>CORPORATIVA</v>
          </cell>
          <cell r="E94">
            <v>3</v>
          </cell>
          <cell r="F94">
            <v>80</v>
          </cell>
          <cell r="G94" t="str">
            <v>INICIAL</v>
          </cell>
          <cell r="H94" t="str">
            <v>RECURSOS PROPIOS</v>
          </cell>
          <cell r="I94">
            <v>120000</v>
          </cell>
          <cell r="J94">
            <v>4</v>
          </cell>
          <cell r="K94" t="str">
            <v>NA</v>
          </cell>
          <cell r="L94" t="str">
            <v>3-3-1-14-03-31-0728-235235 - Fortalecimiento a la gestión institucional del Concejo de Bogotá</v>
          </cell>
          <cell r="M94">
            <v>1</v>
          </cell>
          <cell r="N94" t="str">
            <v>Actualizar el 100% de la infraestructura física, tecnológica y transporte</v>
          </cell>
          <cell r="O94" t="str">
            <v>Efectuar los estudios de viabilidad tecnica y presupuestal para compra o construccion de la sede Administrativa del Concejo de Bogotá</v>
          </cell>
          <cell r="P94" t="str">
            <v>S</v>
          </cell>
          <cell r="Q94" t="str">
            <v>NA</v>
          </cell>
          <cell r="R94" t="str">
            <v>Efectuar los estudios de viabilidad técnica y presupuestal para la compra o construcción de la sede Administrativa del Concejo de Bogotá</v>
          </cell>
          <cell r="S94">
            <v>1</v>
          </cell>
          <cell r="T94" t="str">
            <v>NA</v>
          </cell>
          <cell r="U94" t="str">
            <v>NA</v>
          </cell>
          <cell r="V94" t="str">
            <v>CONCURSO DE MERITOS</v>
          </cell>
          <cell r="W94" t="str">
            <v>PRINCIPAL</v>
          </cell>
          <cell r="X94" t="str">
            <v>NA</v>
          </cell>
          <cell r="Y94" t="str">
            <v>CONSULTORIA</v>
          </cell>
          <cell r="Z94">
            <v>90000000</v>
          </cell>
          <cell r="AA94">
            <v>90000000</v>
          </cell>
          <cell r="AB94" t="str">
            <v>6 mes(es)</v>
          </cell>
          <cell r="AC94" t="str">
            <v>SEMANA 03</v>
          </cell>
          <cell r="AD94">
            <v>6</v>
          </cell>
          <cell r="AE94" t="str">
            <v>El Concejo de Bogota requiere realizar un estdio  tecnico y presupuestal para estimar los costos necesarios para compra o construccion de una sede propia para albergar a los funcionarios del area Administrativa de la Corporacion.</v>
          </cell>
          <cell r="AH94" t="str">
            <v>ENERO</v>
          </cell>
          <cell r="AI94" t="str">
            <v>MARZO</v>
          </cell>
          <cell r="AJ94" t="str">
            <v>JUNIO</v>
          </cell>
        </row>
        <row r="95">
          <cell r="C95">
            <v>213</v>
          </cell>
          <cell r="D95" t="str">
            <v>CORPORATIVA</v>
          </cell>
          <cell r="E95">
            <v>3</v>
          </cell>
          <cell r="F95">
            <v>80</v>
          </cell>
          <cell r="G95" t="str">
            <v>INICIAL</v>
          </cell>
          <cell r="H95" t="str">
            <v>RECURSOS PROPIOS</v>
          </cell>
          <cell r="I95">
            <v>120000</v>
          </cell>
          <cell r="J95">
            <v>4</v>
          </cell>
          <cell r="K95" t="str">
            <v>NA</v>
          </cell>
          <cell r="L95" t="str">
            <v>3-3-1-14-03-31-0728-235235 - Fortalecimiento a la gestión institucional del Concejo de Bogotá</v>
          </cell>
          <cell r="M95">
            <v>1</v>
          </cell>
          <cell r="N95" t="str">
            <v>Actualizar el 100% de la infraestructura física, tecnológica y transporte</v>
          </cell>
          <cell r="O95" t="str">
            <v>Adquisición de mobiliario y equipo de oficina</v>
          </cell>
          <cell r="P95" t="str">
            <v>S</v>
          </cell>
          <cell r="Q95" t="str">
            <v>NA</v>
          </cell>
          <cell r="R95" t="str">
            <v>Adquisición, entrega y montaje de mobiliario y equipo de oficina para la sede del Concejo de Bogotá</v>
          </cell>
          <cell r="S95">
            <v>1</v>
          </cell>
          <cell r="T95" t="str">
            <v>NA</v>
          </cell>
          <cell r="U95" t="str">
            <v>NA</v>
          </cell>
          <cell r="V95" t="str">
            <v>SEL. ABREVIADA SUB.INVERSA</v>
          </cell>
          <cell r="W95" t="str">
            <v>PRINCIPAL</v>
          </cell>
          <cell r="X95" t="str">
            <v>NA</v>
          </cell>
          <cell r="Y95" t="str">
            <v>COMPRAVENTA</v>
          </cell>
          <cell r="Z95">
            <v>450477000</v>
          </cell>
          <cell r="AA95">
            <v>450477000</v>
          </cell>
          <cell r="AB95" t="str">
            <v>2 mes(es)</v>
          </cell>
          <cell r="AC95" t="str">
            <v>SEMANA 02</v>
          </cell>
          <cell r="AD95">
            <v>4</v>
          </cell>
          <cell r="AE95" t="str">
            <v>El Concejo de Bogota requiere del suministro y montaje  del mobiliario y equipo de oficina  necesario para adecuar las instalaciones de la sede administrativa que se arrendara durante la vigencia 2015.</v>
          </cell>
          <cell r="AH95" t="str">
            <v>ENERO</v>
          </cell>
          <cell r="AI95" t="str">
            <v>FEBRERO</v>
          </cell>
          <cell r="AJ95" t="str">
            <v>ABRIL</v>
          </cell>
        </row>
        <row r="96">
          <cell r="C96">
            <v>214</v>
          </cell>
          <cell r="D96" t="str">
            <v>CORPORATIVA</v>
          </cell>
          <cell r="E96">
            <v>3</v>
          </cell>
          <cell r="F96">
            <v>80</v>
          </cell>
          <cell r="G96" t="str">
            <v>INICIAL</v>
          </cell>
          <cell r="H96" t="str">
            <v>RECURSOS PROPIOS</v>
          </cell>
          <cell r="I96">
            <v>120000</v>
          </cell>
          <cell r="J96">
            <v>4</v>
          </cell>
          <cell r="K96" t="str">
            <v>NA</v>
          </cell>
          <cell r="L96" t="str">
            <v>3-3-1-14-03-31-0728-235235 - Fortalecimiento a la gestión institucional del Concejo de Bogotá</v>
          </cell>
          <cell r="M96">
            <v>1</v>
          </cell>
          <cell r="N96" t="str">
            <v>Implementar el 100% de los sistemas de gestión institucional</v>
          </cell>
          <cell r="O96" t="str">
            <v>Desarrollar actividades para fortalecer los Sistemas de Gestión Institucional del Concejo de Bogotá.</v>
          </cell>
          <cell r="P96" t="str">
            <v>S</v>
          </cell>
          <cell r="Q96" t="str">
            <v>NA</v>
          </cell>
          <cell r="R96" t="str">
            <v>Desarrollar actividades para fortalecer los Sistemas de Gestión Institucional del Concejo de Bogotá- Subsistema Responsabilidad Social.</v>
          </cell>
          <cell r="S96">
            <v>1</v>
          </cell>
          <cell r="T96" t="str">
            <v>NA</v>
          </cell>
          <cell r="U96" t="str">
            <v>NA</v>
          </cell>
          <cell r="V96" t="str">
            <v>MINIMA CUANTIA</v>
          </cell>
          <cell r="W96" t="str">
            <v>PRINCIPAL</v>
          </cell>
          <cell r="X96" t="str">
            <v>NA</v>
          </cell>
          <cell r="Y96" t="str">
            <v>PRESTACION DE SERVICIOS</v>
          </cell>
          <cell r="Z96">
            <v>65040000</v>
          </cell>
          <cell r="AA96">
            <v>65040000</v>
          </cell>
          <cell r="AB96" t="str">
            <v>9 mes(es)</v>
          </cell>
          <cell r="AC96" t="str">
            <v>SEMANA 02</v>
          </cell>
          <cell r="AD96">
            <v>5</v>
          </cell>
          <cell r="AE96" t="str">
            <v>La entidad debe continuar con la contratacion de actividades encaminadas a desarrollar el  fortalecimiento de los Sistemas de Gestión Institucional del Concejo de Bogotá, en la entidad ya se adelantaron acciones encaminadas a la implementación de 6 de los</v>
          </cell>
          <cell r="AH96" t="str">
            <v>ENERO</v>
          </cell>
          <cell r="AI96" t="str">
            <v>FEBRERO</v>
          </cell>
          <cell r="AJ96" t="str">
            <v>MAYO</v>
          </cell>
        </row>
        <row r="97">
          <cell r="C97">
            <v>263</v>
          </cell>
          <cell r="D97" t="str">
            <v>CORPORATIVA</v>
          </cell>
          <cell r="E97">
            <v>3</v>
          </cell>
          <cell r="F97">
            <v>1</v>
          </cell>
          <cell r="G97" t="str">
            <v>NUEVA</v>
          </cell>
          <cell r="H97" t="str">
            <v>RECURSOS PROPIOS</v>
          </cell>
          <cell r="I97">
            <v>120000</v>
          </cell>
          <cell r="J97">
            <v>4</v>
          </cell>
          <cell r="K97" t="str">
            <v>NA</v>
          </cell>
          <cell r="L97" t="str">
            <v>3-3-1-14-03-31-0728-235235 - Fortalecimiento a la gestión institucional del Concejo de Bogotá</v>
          </cell>
          <cell r="M97">
            <v>1</v>
          </cell>
          <cell r="N97" t="str">
            <v>2. ¿Actualizar el 100% de la infraestructura física, tecnológica y de transporte¿.</v>
          </cell>
          <cell r="O97" t="str">
            <v>2.5. Arrendamiento de instalaciones y bodegas para almacenamiento de materiales y objetos</v>
          </cell>
          <cell r="P97" t="str">
            <v>S</v>
          </cell>
          <cell r="Q97" t="str">
            <v>NA</v>
          </cell>
          <cell r="R97" t="str">
            <v>Adicion y Prorroga al contrato 140249-0-2014 suscrito con Inversiones Matay cuyo objeto es: Contratar a título de arrendamiento un inmueble para uso de parqueadero, por parte del Concejo de Bogotá D.C.</v>
          </cell>
          <cell r="S97">
            <v>1</v>
          </cell>
          <cell r="T97" t="str">
            <v>N.A</v>
          </cell>
          <cell r="U97" t="str">
            <v>N.A</v>
          </cell>
          <cell r="V97" t="str">
            <v>CONTRATACION DIRECTA</v>
          </cell>
          <cell r="W97" t="str">
            <v>MODIFICACION</v>
          </cell>
          <cell r="X97" t="str">
            <v>AP</v>
          </cell>
          <cell r="Y97" t="str">
            <v>ARRENDAMIENTO</v>
          </cell>
          <cell r="Z97">
            <v>101489343</v>
          </cell>
          <cell r="AA97">
            <v>101489343</v>
          </cell>
          <cell r="AB97" t="str">
            <v xml:space="preserve"> </v>
          </cell>
          <cell r="AC97" t="str">
            <v>SEMANA 01</v>
          </cell>
          <cell r="AD97">
            <v>1</v>
          </cell>
          <cell r="AE97" t="str">
            <v>Se requiere una adicion y  prórroga por 3 meses para garantizar el servicio de parqueadero de los vehículos al servicio del Concejo de Bogotá y de las motos de la Policía Metropolitana que se encargan de la seguridad del Cabildo Distrital. Teniendo en cue</v>
          </cell>
          <cell r="AF97" t="str">
            <v>SI</v>
          </cell>
          <cell r="AH97" t="str">
            <v>ENERO</v>
          </cell>
        </row>
        <row r="98">
          <cell r="C98">
            <v>266</v>
          </cell>
          <cell r="D98" t="str">
            <v>CORPORATIVA</v>
          </cell>
          <cell r="E98">
            <v>3</v>
          </cell>
          <cell r="F98">
            <v>5</v>
          </cell>
          <cell r="G98" t="str">
            <v>NUEVA</v>
          </cell>
          <cell r="H98" t="str">
            <v>RECURSOS PROPIOS</v>
          </cell>
          <cell r="I98">
            <v>120000</v>
          </cell>
          <cell r="J98">
            <v>4</v>
          </cell>
          <cell r="K98" t="str">
            <v>NA</v>
          </cell>
          <cell r="L98" t="str">
            <v>3-1-2-01-04 Materiales y Suministros</v>
          </cell>
          <cell r="M98">
            <v>1</v>
          </cell>
          <cell r="N98" t="str">
            <v>NA</v>
          </cell>
          <cell r="O98" t="str">
            <v>NA</v>
          </cell>
          <cell r="P98" t="str">
            <v>S</v>
          </cell>
          <cell r="Q98" t="str">
            <v>NA</v>
          </cell>
          <cell r="R98" t="str">
            <v>Adquisicion de diademas biauriculares para el  Concejo de Bogotá D.C.</v>
          </cell>
          <cell r="S98">
            <v>1</v>
          </cell>
          <cell r="T98" t="str">
            <v>N.A</v>
          </cell>
          <cell r="U98" t="str">
            <v>N.A</v>
          </cell>
          <cell r="V98" t="str">
            <v>MINIMA CUANTIA</v>
          </cell>
          <cell r="W98" t="str">
            <v>PRINCIPAL</v>
          </cell>
          <cell r="X98" t="str">
            <v>NA</v>
          </cell>
          <cell r="Y98" t="str">
            <v>COMPRAVENTA</v>
          </cell>
          <cell r="Z98">
            <v>800000</v>
          </cell>
          <cell r="AA98">
            <v>800000</v>
          </cell>
          <cell r="AB98" t="str">
            <v>1 mes(es)</v>
          </cell>
          <cell r="AC98" t="str">
            <v>SEMANA 02</v>
          </cell>
          <cell r="AD98">
            <v>2</v>
          </cell>
          <cell r="AE98" t="str">
            <v>El Concejo de Bogotá  en cumplimiento del programa de Seguridad y Salud en el Trabajo, específicamente en el subprograma de Higiene y Seguridad Industrial, ha identificado la necesidad de adquirir los elementos de protección personal para las sedes del Co</v>
          </cell>
          <cell r="AF98" t="str">
            <v>SI</v>
          </cell>
          <cell r="AH98" t="str">
            <v>FEBRERO</v>
          </cell>
        </row>
        <row r="99">
          <cell r="C99">
            <v>267</v>
          </cell>
          <cell r="D99" t="str">
            <v>CORPORATIVA</v>
          </cell>
          <cell r="E99">
            <v>3</v>
          </cell>
          <cell r="F99">
            <v>7</v>
          </cell>
          <cell r="G99" t="str">
            <v>NUEVA</v>
          </cell>
          <cell r="H99" t="str">
            <v>RECURSOS PROPIOS</v>
          </cell>
          <cell r="I99">
            <v>120000</v>
          </cell>
          <cell r="J99">
            <v>4</v>
          </cell>
          <cell r="K99" t="str">
            <v>NA</v>
          </cell>
          <cell r="L99" t="str">
            <v>3-1-2-02-04 Impresos y  Publicaciones</v>
          </cell>
          <cell r="M99">
            <v>1</v>
          </cell>
          <cell r="N99" t="str">
            <v>NA</v>
          </cell>
          <cell r="O99" t="str">
            <v>NA</v>
          </cell>
          <cell r="P99" t="str">
            <v>S</v>
          </cell>
          <cell r="Q99" t="str">
            <v>NA</v>
          </cell>
          <cell r="R99" t="str">
            <v>Adicion al contrato 140342-2014 que tiene por objeto: Prestar el  servicio de empaste y/o encuadernación de documentos del concejo de Bogotá D.C.</v>
          </cell>
          <cell r="S99" t="str">
            <v>NA</v>
          </cell>
          <cell r="T99" t="str">
            <v>N/A</v>
          </cell>
          <cell r="U99" t="str">
            <v>N/A</v>
          </cell>
          <cell r="V99" t="str">
            <v>NA</v>
          </cell>
          <cell r="W99" t="str">
            <v>MODIFICACION</v>
          </cell>
          <cell r="X99" t="str">
            <v>A</v>
          </cell>
          <cell r="Y99" t="str">
            <v>NA</v>
          </cell>
          <cell r="Z99">
            <v>800000</v>
          </cell>
          <cell r="AA99">
            <v>800000</v>
          </cell>
          <cell r="AB99" t="str">
            <v xml:space="preserve"> </v>
          </cell>
          <cell r="AC99" t="str">
            <v>SEMANA 02</v>
          </cell>
          <cell r="AD99">
            <v>2</v>
          </cell>
          <cell r="AE99" t="str">
            <v>El Concejo de Bogotá D.C. publicará el ¿Manual de Urbanismo¿ elaborado en 1954. Dicha publicación se viene realizando con la imprenta nacional, y comprende la impresión de 1.000 ejemplares.   Para culminar esta actividad de la actual Mesa Directiva se req</v>
          </cell>
          <cell r="AF99" t="str">
            <v>SI</v>
          </cell>
          <cell r="AH99" t="str">
            <v>FEBRERO</v>
          </cell>
        </row>
        <row r="100">
          <cell r="C100">
            <v>274</v>
          </cell>
          <cell r="D100" t="str">
            <v>CORPORATIVA</v>
          </cell>
          <cell r="E100">
            <v>3</v>
          </cell>
          <cell r="F100">
            <v>12</v>
          </cell>
          <cell r="G100" t="str">
            <v>NUEVA</v>
          </cell>
          <cell r="H100" t="str">
            <v>RECURSOS PROPIOS</v>
          </cell>
          <cell r="I100">
            <v>120000</v>
          </cell>
          <cell r="J100">
            <v>4</v>
          </cell>
          <cell r="K100" t="str">
            <v>NA</v>
          </cell>
          <cell r="L100" t="str">
            <v>3-1-1-02-04 Remuneración Servicios Técnicos</v>
          </cell>
          <cell r="M100">
            <v>1</v>
          </cell>
          <cell r="N100" t="str">
            <v>NA</v>
          </cell>
          <cell r="O100" t="str">
            <v>NA</v>
          </cell>
          <cell r="P100" t="str">
            <v>S</v>
          </cell>
          <cell r="Q100" t="str">
            <v>NA</v>
          </cell>
          <cell r="R100" t="str">
            <v>Prestar los servicios de apoyo al Concejo de Bogota D.C., en la elaboracion y actualizacion  para el control en el proceso de depuracion y actualizacion de la normativa de los acuerdos Distritales.</v>
          </cell>
          <cell r="S100">
            <v>1</v>
          </cell>
          <cell r="T100" t="str">
            <v>Seis meses en manejo documental de contenido juridico.</v>
          </cell>
          <cell r="U100" t="str">
            <v>Estudiante de derecho con minimo 5to semestre.</v>
          </cell>
          <cell r="V100" t="str">
            <v>CONTRATACION DIRECTA</v>
          </cell>
          <cell r="W100" t="str">
            <v>MODIFICACION</v>
          </cell>
          <cell r="X100" t="str">
            <v>NA</v>
          </cell>
          <cell r="Y100" t="str">
            <v>PRESTACION DE SERVICIOS</v>
          </cell>
          <cell r="Z100">
            <v>18150000</v>
          </cell>
          <cell r="AA100">
            <v>18150000</v>
          </cell>
          <cell r="AB100" t="str">
            <v>11 mes(es)</v>
          </cell>
          <cell r="AC100" t="str">
            <v>SEMANA 02</v>
          </cell>
          <cell r="AD100">
            <v>3</v>
          </cell>
          <cell r="AE100" t="str">
            <v xml:space="preserve">El Concejo de Bogota requiere contratarun estudiante de derecho para apoyar el proceso de depuracion y actualizacion de la normatividad en lo referente a los acuerdos emitidos por la Corporacion , con el fin de  hacer mas eficiente y eficaz la función de </v>
          </cell>
          <cell r="AF100" t="str">
            <v>SI</v>
          </cell>
          <cell r="AH100" t="str">
            <v>FEBRERO</v>
          </cell>
        </row>
        <row r="101">
          <cell r="C101">
            <v>275</v>
          </cell>
          <cell r="D101" t="str">
            <v>CORPORATIVA</v>
          </cell>
          <cell r="E101">
            <v>3</v>
          </cell>
          <cell r="F101">
            <v>12</v>
          </cell>
          <cell r="G101" t="str">
            <v>NUEVA</v>
          </cell>
          <cell r="H101" t="str">
            <v>RECURSOS PROPIOS</v>
          </cell>
          <cell r="I101">
            <v>120000</v>
          </cell>
          <cell r="J101">
            <v>4</v>
          </cell>
          <cell r="K101" t="str">
            <v>NA</v>
          </cell>
          <cell r="L101" t="str">
            <v>3-1-2-02-11 Promoción Institucional</v>
          </cell>
          <cell r="M101">
            <v>1</v>
          </cell>
          <cell r="N101" t="str">
            <v>NA</v>
          </cell>
          <cell r="O101" t="str">
            <v>NA</v>
          </cell>
          <cell r="P101" t="str">
            <v>S</v>
          </cell>
          <cell r="Q101" t="str">
            <v>NA</v>
          </cell>
          <cell r="R101" t="str">
            <v xml:space="preserve">Adicion y prorroga al contrato 140238-0-2014 que tiene por objeto: Prestar el servicio de alquiler de escenarios como salones, auditorios y espacios abiertos, apoyo logístico y servicio de catering para el desarrollo de eventos que requiera el Concejo de </v>
          </cell>
          <cell r="S101">
            <v>1</v>
          </cell>
          <cell r="T101" t="str">
            <v>N.A</v>
          </cell>
          <cell r="U101" t="str">
            <v>N.A</v>
          </cell>
          <cell r="V101" t="str">
            <v>NA</v>
          </cell>
          <cell r="W101" t="str">
            <v>MODIFICACION</v>
          </cell>
          <cell r="X101" t="str">
            <v>AP</v>
          </cell>
          <cell r="Y101" t="str">
            <v>PRESTACION DE SERVICIOS</v>
          </cell>
          <cell r="Z101">
            <v>32600000</v>
          </cell>
          <cell r="AA101">
            <v>32600000</v>
          </cell>
          <cell r="AB101" t="str">
            <v>2 mes(es)</v>
          </cell>
          <cell r="AC101" t="str">
            <v>SEMANA 03</v>
          </cell>
          <cell r="AD101">
            <v>3</v>
          </cell>
          <cell r="AE101" t="str">
            <v xml:space="preserve">El Concejo de Bogotá D.C., en su condición de entidad de servicio requiere realizar diversas acciones de trabajo de carácter institucional con el fin estratégico de mejorar y actualizar el proceso de formación de sus funcionarios, compartir experiencias, </v>
          </cell>
          <cell r="AF101" t="str">
            <v>SI</v>
          </cell>
          <cell r="AH101" t="str">
            <v>MARZO</v>
          </cell>
        </row>
      </sheetData>
      <sheetData sheetId="6" refreshError="1"/>
      <sheetData sheetId="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Tiempo de ejecución"/>
      <sheetName val="Estado de Giros"/>
      <sheetName val="Giros Vs Tiempo"/>
      <sheetName val="Base de Datos"/>
      <sheetName val="Hoja1"/>
      <sheetName val="Instructivo"/>
      <sheetName val="Modificaciones"/>
      <sheetName val="Gráficos"/>
      <sheetName val="Hoja2"/>
      <sheetName val="Tablero de Control"/>
      <sheetName val="Seguimiento Plan de Contratació"/>
      <sheetName val="Presupuest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de contratacion Ene 2-2015"/>
      <sheetName val="Hoja1"/>
      <sheetName val="Feb 27-2015"/>
      <sheetName val="Hoja2"/>
      <sheetName val="Mar 9-2015"/>
      <sheetName val="Abr 24-2015"/>
    </sheetNames>
    <sheetDataSet>
      <sheetData sheetId="0" refreshError="1"/>
      <sheetData sheetId="1" refreshError="1"/>
      <sheetData sheetId="2" refreshError="1"/>
      <sheetData sheetId="3" refreshError="1"/>
      <sheetData sheetId="4" refreshError="1"/>
      <sheetData sheetId="5" refreshError="1">
        <row r="53">
          <cell r="C53">
            <v>54</v>
          </cell>
          <cell r="D53">
            <v>3</v>
          </cell>
          <cell r="E53">
            <v>80</v>
          </cell>
          <cell r="F53" t="str">
            <v>INICIAL</v>
          </cell>
          <cell r="G53" t="str">
            <v>RECURSOS PROPIOS</v>
          </cell>
          <cell r="H53">
            <v>120000</v>
          </cell>
          <cell r="I53">
            <v>4</v>
          </cell>
          <cell r="J53" t="str">
            <v>NA</v>
          </cell>
          <cell r="K53" t="str">
            <v>3-1-2-01-02 Gastos de Computador</v>
          </cell>
          <cell r="L53">
            <v>1</v>
          </cell>
          <cell r="M53" t="str">
            <v>NA</v>
          </cell>
          <cell r="N53" t="str">
            <v>NA</v>
          </cell>
          <cell r="O53" t="str">
            <v>S</v>
          </cell>
          <cell r="P53" t="str">
            <v>NA</v>
          </cell>
          <cell r="Q53" t="str">
            <v>Prestar los servicios de mantenimientos, soporte y actualización con el suministro de repuestos para la infraestructura de telecomunicaciones, cableado estructurado (voz y datos), fibra óptica, energía normal y regulada de la Secretaría Distrital de Hacie</v>
          </cell>
          <cell r="R53">
            <v>1</v>
          </cell>
          <cell r="S53" t="str">
            <v>Relacionada con el objeto a contratar</v>
          </cell>
          <cell r="T53" t="str">
            <v>NA</v>
          </cell>
          <cell r="U53" t="str">
            <v>SEL. ABREVIADA SUB.INVERSA</v>
          </cell>
          <cell r="V53" t="str">
            <v>PRINCIPAL</v>
          </cell>
          <cell r="W53" t="str">
            <v>NA</v>
          </cell>
          <cell r="X53" t="str">
            <v>PRESTACION DE SERVICIOS</v>
          </cell>
          <cell r="Y53">
            <v>140000000</v>
          </cell>
          <cell r="Z53">
            <v>60000000</v>
          </cell>
          <cell r="AA53" t="str">
            <v>12 mes(es)</v>
          </cell>
        </row>
        <row r="54">
          <cell r="C54">
            <v>54</v>
          </cell>
          <cell r="D54">
            <v>3</v>
          </cell>
          <cell r="E54">
            <v>80</v>
          </cell>
          <cell r="F54" t="str">
            <v>INICIAL</v>
          </cell>
          <cell r="G54" t="str">
            <v>RECURSOS PROPIOS</v>
          </cell>
          <cell r="H54">
            <v>41000</v>
          </cell>
          <cell r="I54">
            <v>1</v>
          </cell>
          <cell r="J54" t="str">
            <v>NA</v>
          </cell>
          <cell r="K54" t="str">
            <v>3-1-2-01-02 Gastos de Computador</v>
          </cell>
          <cell r="L54">
            <v>1</v>
          </cell>
          <cell r="M54" t="str">
            <v>NA</v>
          </cell>
          <cell r="N54" t="str">
            <v>NA</v>
          </cell>
          <cell r="O54" t="str">
            <v>S</v>
          </cell>
          <cell r="P54" t="str">
            <v>NA</v>
          </cell>
          <cell r="Q54" t="str">
            <v>Prestar los servicios de mantenimientos, soporte y actualización con el suministro de repuestos para la infraestructura de telecomunicaciones, cableado estructurado (voz y datos), fibra óptica, energía normal y regulada de la Secretaría Distrital de Hacie</v>
          </cell>
          <cell r="R54">
            <v>1</v>
          </cell>
          <cell r="S54" t="str">
            <v>Relacionada con el objeto a contratar</v>
          </cell>
          <cell r="T54" t="str">
            <v>NA</v>
          </cell>
          <cell r="U54" t="str">
            <v>SEL. ABREVIADA SUB.INVERSA</v>
          </cell>
          <cell r="V54" t="str">
            <v>PRINCIPAL</v>
          </cell>
          <cell r="W54" t="str">
            <v>NA</v>
          </cell>
          <cell r="X54" t="str">
            <v>PRESTACION DE SERVICIOS</v>
          </cell>
          <cell r="Y54">
            <v>140000000</v>
          </cell>
          <cell r="Z54">
            <v>80000000</v>
          </cell>
          <cell r="AA54" t="str">
            <v>12 mes(es)</v>
          </cell>
        </row>
        <row r="55">
          <cell r="C55">
            <v>55</v>
          </cell>
          <cell r="D55">
            <v>3</v>
          </cell>
          <cell r="E55">
            <v>80</v>
          </cell>
          <cell r="F55" t="str">
            <v>INICIAL</v>
          </cell>
          <cell r="G55" t="str">
            <v>RECURSOS PROPIOS</v>
          </cell>
          <cell r="H55">
            <v>41000</v>
          </cell>
          <cell r="I55">
            <v>1</v>
          </cell>
          <cell r="J55" t="str">
            <v>NA</v>
          </cell>
          <cell r="K55" t="str">
            <v>3-1-2-01-02 Gastos de Computador</v>
          </cell>
          <cell r="L55">
            <v>1</v>
          </cell>
          <cell r="M55" t="str">
            <v>NA</v>
          </cell>
          <cell r="N55" t="str">
            <v>NA</v>
          </cell>
          <cell r="O55" t="str">
            <v>S</v>
          </cell>
          <cell r="P55" t="str">
            <v>NA</v>
          </cell>
          <cell r="Q55" t="str">
            <v>Adquisición de medios magnéticos para copias de respaldo para la Secretaría Distrital de Hacienda y el Concejo de Bogotá.</v>
          </cell>
          <cell r="R55">
            <v>1</v>
          </cell>
          <cell r="S55" t="str">
            <v>Relacionada con el objeto a contratar</v>
          </cell>
          <cell r="T55" t="str">
            <v>NA</v>
          </cell>
          <cell r="U55" t="str">
            <v>MINIMA CUANTIA</v>
          </cell>
          <cell r="V55" t="str">
            <v>PRINCIPAL</v>
          </cell>
          <cell r="W55" t="str">
            <v>NA</v>
          </cell>
          <cell r="X55" t="str">
            <v>COMPRAVENTA</v>
          </cell>
          <cell r="Y55">
            <v>20900000</v>
          </cell>
          <cell r="Z55">
            <v>10300000</v>
          </cell>
          <cell r="AA55" t="str">
            <v>2 mes(es)</v>
          </cell>
        </row>
        <row r="56">
          <cell r="C56">
            <v>55</v>
          </cell>
          <cell r="D56">
            <v>3</v>
          </cell>
          <cell r="E56">
            <v>80</v>
          </cell>
          <cell r="F56" t="str">
            <v>INICIAL</v>
          </cell>
          <cell r="G56" t="str">
            <v>RECURSOS PROPIOS</v>
          </cell>
          <cell r="H56">
            <v>120000</v>
          </cell>
          <cell r="I56">
            <v>4</v>
          </cell>
          <cell r="J56" t="str">
            <v>NA</v>
          </cell>
          <cell r="K56" t="str">
            <v>3-1-2-01-02 Gastos de Computador</v>
          </cell>
          <cell r="L56">
            <v>1</v>
          </cell>
          <cell r="M56" t="str">
            <v>NA</v>
          </cell>
          <cell r="N56" t="str">
            <v>NA</v>
          </cell>
          <cell r="O56" t="str">
            <v>S</v>
          </cell>
          <cell r="P56" t="str">
            <v>NA</v>
          </cell>
          <cell r="Q56" t="str">
            <v>Adquisición de medios magnéticos para copias de respaldo para la Secretaría Distrital de Hacienda y el Concejo de Bogotá.</v>
          </cell>
          <cell r="R56">
            <v>1</v>
          </cell>
          <cell r="S56" t="str">
            <v>Relacionada con el objeto a contratar</v>
          </cell>
          <cell r="T56" t="str">
            <v>NA</v>
          </cell>
          <cell r="U56" t="str">
            <v>MINIMA CUANTIA</v>
          </cell>
          <cell r="V56" t="str">
            <v>PRINCIPAL</v>
          </cell>
          <cell r="W56" t="str">
            <v>NA</v>
          </cell>
          <cell r="X56" t="str">
            <v>COMPRAVENTA</v>
          </cell>
          <cell r="Y56">
            <v>20900000</v>
          </cell>
          <cell r="Z56">
            <v>10600000</v>
          </cell>
          <cell r="AA56" t="str">
            <v>2 mes(es)</v>
          </cell>
        </row>
        <row r="57">
          <cell r="C57">
            <v>57</v>
          </cell>
          <cell r="D57">
            <v>3</v>
          </cell>
          <cell r="E57">
            <v>17</v>
          </cell>
          <cell r="F57" t="str">
            <v>MODIFICACION</v>
          </cell>
          <cell r="G57" t="str">
            <v>RECURSOS PROPIOS</v>
          </cell>
          <cell r="H57">
            <v>41000</v>
          </cell>
          <cell r="I57">
            <v>1</v>
          </cell>
          <cell r="J57" t="str">
            <v>NA</v>
          </cell>
          <cell r="K57" t="str">
            <v>3-1-2-01-02 Gastos de Computador</v>
          </cell>
          <cell r="L57">
            <v>1</v>
          </cell>
          <cell r="M57" t="str">
            <v>NA</v>
          </cell>
          <cell r="N57" t="str">
            <v>NA</v>
          </cell>
          <cell r="O57" t="str">
            <v>S</v>
          </cell>
          <cell r="P57" t="str">
            <v>NA</v>
          </cell>
          <cell r="Q57" t="str">
            <v>Prestar los servicios de mantenimiento preventivo, correctivo y soporte técnico especializado para los servidores y sus dispositivos de la Secretaría Distrital de Hacienda y el Concejo de Bogotá.</v>
          </cell>
          <cell r="R57">
            <v>1</v>
          </cell>
          <cell r="S57" t="str">
            <v>Relacionada con el objeto a contratar</v>
          </cell>
          <cell r="T57" t="str">
            <v>NA</v>
          </cell>
          <cell r="U57" t="str">
            <v>SEL. ABREVIADA SUB.INVERSA</v>
          </cell>
          <cell r="V57" t="str">
            <v>PRINCIPAL</v>
          </cell>
          <cell r="W57" t="str">
            <v>NA</v>
          </cell>
          <cell r="X57" t="str">
            <v>PRESTACION DE SERVICIOS</v>
          </cell>
          <cell r="Y57">
            <v>438000000</v>
          </cell>
          <cell r="Z57">
            <v>418000000</v>
          </cell>
          <cell r="AA57" t="str">
            <v>12 mes(es)</v>
          </cell>
        </row>
        <row r="58">
          <cell r="C58">
            <v>57</v>
          </cell>
          <cell r="D58">
            <v>3</v>
          </cell>
          <cell r="E58">
            <v>17</v>
          </cell>
          <cell r="F58" t="str">
            <v>MODIFICACION</v>
          </cell>
          <cell r="G58" t="str">
            <v>RECURSOS PROPIOS</v>
          </cell>
          <cell r="H58">
            <v>120000</v>
          </cell>
          <cell r="I58">
            <v>1</v>
          </cell>
          <cell r="J58" t="str">
            <v>NA</v>
          </cell>
          <cell r="K58" t="str">
            <v>3-1-2-01-02 Gastos de Computador</v>
          </cell>
          <cell r="L58">
            <v>1</v>
          </cell>
          <cell r="M58" t="str">
            <v>NA</v>
          </cell>
          <cell r="N58" t="str">
            <v>NA</v>
          </cell>
          <cell r="O58" t="str">
            <v>S</v>
          </cell>
          <cell r="P58" t="str">
            <v>NA</v>
          </cell>
          <cell r="Q58" t="str">
            <v>Prestar los servicios de mantenimiento preventivo, correctivo y soporte técnico especializado para los servidores y sus dispositivos de la Secretaría Distrital de Hacienda y el Concejo de Bogotá.</v>
          </cell>
          <cell r="R58">
            <v>1</v>
          </cell>
          <cell r="S58" t="str">
            <v>Relacionada con el objeto a contratar</v>
          </cell>
          <cell r="T58" t="str">
            <v>NA</v>
          </cell>
          <cell r="U58" t="str">
            <v>SEL. ABREVIADA SUB.INVERSA</v>
          </cell>
          <cell r="V58" t="str">
            <v>PRINCIPAL</v>
          </cell>
          <cell r="W58" t="str">
            <v>NA</v>
          </cell>
          <cell r="X58" t="str">
            <v>PRESTACION DE SERVICIOS</v>
          </cell>
          <cell r="Y58">
            <v>438000000</v>
          </cell>
          <cell r="Z58">
            <v>20000000</v>
          </cell>
          <cell r="AA58" t="str">
            <v>12 mes(es)</v>
          </cell>
        </row>
        <row r="59">
          <cell r="C59">
            <v>58</v>
          </cell>
          <cell r="D59">
            <v>3</v>
          </cell>
          <cell r="E59">
            <v>80</v>
          </cell>
          <cell r="F59" t="str">
            <v>INICIAL</v>
          </cell>
          <cell r="G59" t="str">
            <v>RECURSOS PROPIOS</v>
          </cell>
          <cell r="H59">
            <v>120000</v>
          </cell>
          <cell r="I59">
            <v>4</v>
          </cell>
          <cell r="J59" t="str">
            <v>NA</v>
          </cell>
          <cell r="K59" t="str">
            <v>3-1-2-01-02 Gastos de Computador</v>
          </cell>
          <cell r="L59">
            <v>1</v>
          </cell>
          <cell r="M59" t="str">
            <v>NA</v>
          </cell>
          <cell r="N59" t="str">
            <v>NA</v>
          </cell>
          <cell r="O59" t="str">
            <v>S</v>
          </cell>
          <cell r="P59" t="str">
            <v>NA</v>
          </cell>
          <cell r="Q59" t="str">
            <v>Prestar los servicios de mantenimiento y actualizacion  de módulo de contabilidad programa SIIGO.-</v>
          </cell>
          <cell r="R59">
            <v>1</v>
          </cell>
          <cell r="S59" t="str">
            <v>NA</v>
          </cell>
          <cell r="T59" t="str">
            <v>NA</v>
          </cell>
          <cell r="U59" t="str">
            <v>CONTRATACION DIRECTA</v>
          </cell>
          <cell r="V59" t="str">
            <v>PRINCIPAL</v>
          </cell>
          <cell r="W59" t="str">
            <v>NA</v>
          </cell>
          <cell r="X59" t="str">
            <v>PRESTACION DE SERVICIOS</v>
          </cell>
          <cell r="Y59">
            <v>850000</v>
          </cell>
          <cell r="Z59">
            <v>850000</v>
          </cell>
          <cell r="AA59" t="str">
            <v>12 mes(es)</v>
          </cell>
        </row>
        <row r="60">
          <cell r="C60">
            <v>59</v>
          </cell>
          <cell r="D60">
            <v>3</v>
          </cell>
          <cell r="E60">
            <v>15</v>
          </cell>
          <cell r="F60" t="str">
            <v>MODIFICACION</v>
          </cell>
          <cell r="G60" t="str">
            <v>RECURSOS PROPIOS</v>
          </cell>
          <cell r="H60">
            <v>120000</v>
          </cell>
          <cell r="I60">
            <v>4</v>
          </cell>
          <cell r="J60" t="str">
            <v>NA</v>
          </cell>
          <cell r="K60" t="str">
            <v>3-1-2-01-02 Gastos de Computador</v>
          </cell>
          <cell r="L60">
            <v>1</v>
          </cell>
          <cell r="M60" t="str">
            <v>NA</v>
          </cell>
          <cell r="N60" t="str">
            <v>NA</v>
          </cell>
          <cell r="O60" t="str">
            <v>S</v>
          </cell>
          <cell r="P60" t="str">
            <v>NA</v>
          </cell>
          <cell r="Q60" t="str">
            <v>Prestar los servicios de mantenimiento preventivo, correctivo y soporte técnico especializado para el sistema biométrico del Concejo de Bogotá.</v>
          </cell>
          <cell r="R60">
            <v>1</v>
          </cell>
          <cell r="S60" t="str">
            <v>Relacionada con el objeto a contratar</v>
          </cell>
          <cell r="T60" t="str">
            <v>NA</v>
          </cell>
          <cell r="U60" t="str">
            <v>MINIMA CUANTIA</v>
          </cell>
          <cell r="V60" t="str">
            <v>PRINCIPAL</v>
          </cell>
          <cell r="W60" t="str">
            <v>NA</v>
          </cell>
          <cell r="X60" t="str">
            <v>PRESTACION DE SERVICIOS</v>
          </cell>
          <cell r="Y60">
            <v>21000000</v>
          </cell>
          <cell r="Z60">
            <v>21000000</v>
          </cell>
          <cell r="AA60" t="str">
            <v>12 mes(es)</v>
          </cell>
        </row>
        <row r="61">
          <cell r="C61">
            <v>60</v>
          </cell>
          <cell r="D61">
            <v>3</v>
          </cell>
          <cell r="E61">
            <v>14</v>
          </cell>
          <cell r="F61" t="str">
            <v>MODIFICACION</v>
          </cell>
          <cell r="G61" t="str">
            <v>RECURSOS PROPIOS</v>
          </cell>
          <cell r="H61">
            <v>120000</v>
          </cell>
          <cell r="I61">
            <v>4</v>
          </cell>
          <cell r="J61" t="str">
            <v>NA</v>
          </cell>
          <cell r="K61" t="str">
            <v>3-1-2-01-02 Gastos de Computador</v>
          </cell>
          <cell r="L61">
            <v>1</v>
          </cell>
          <cell r="M61" t="str">
            <v>NA</v>
          </cell>
          <cell r="N61" t="str">
            <v>NA</v>
          </cell>
          <cell r="O61" t="str">
            <v>S</v>
          </cell>
          <cell r="P61" t="str">
            <v>NA</v>
          </cell>
          <cell r="Q61" t="str">
            <v>Prestar los servicios de mantenimiento preventivo, correctivo y soporte técnico especializado para los equipos de aire acondicionado y UPS  para el Concejo de Bogotá.</v>
          </cell>
          <cell r="R61">
            <v>1</v>
          </cell>
          <cell r="S61" t="str">
            <v>Relacionada con el objeto a contratar</v>
          </cell>
          <cell r="T61" t="str">
            <v>NA</v>
          </cell>
          <cell r="U61" t="str">
            <v>MINIMA CUANTIA</v>
          </cell>
          <cell r="V61" t="str">
            <v>PRINCIPAL</v>
          </cell>
          <cell r="W61" t="str">
            <v>NA</v>
          </cell>
          <cell r="X61" t="str">
            <v>PRESTACION DE SERVICIOS</v>
          </cell>
          <cell r="Y61">
            <v>90000000</v>
          </cell>
          <cell r="Z61">
            <v>90000000</v>
          </cell>
          <cell r="AA61" t="str">
            <v>12 mes(es)</v>
          </cell>
        </row>
        <row r="62">
          <cell r="C62">
            <v>61</v>
          </cell>
          <cell r="D62">
            <v>3</v>
          </cell>
          <cell r="E62">
            <v>80</v>
          </cell>
          <cell r="F62" t="str">
            <v>INICIAL</v>
          </cell>
          <cell r="G62" t="str">
            <v>RECURSOS PROPIOS</v>
          </cell>
          <cell r="H62">
            <v>120000</v>
          </cell>
          <cell r="I62">
            <v>4</v>
          </cell>
          <cell r="J62" t="str">
            <v>NA</v>
          </cell>
          <cell r="K62" t="str">
            <v>3-1-2-01-02 Gastos de Computador</v>
          </cell>
          <cell r="L62">
            <v>1</v>
          </cell>
          <cell r="M62" t="str">
            <v>NA</v>
          </cell>
          <cell r="N62" t="str">
            <v>NA</v>
          </cell>
          <cell r="O62" t="str">
            <v>S</v>
          </cell>
          <cell r="P62" t="str">
            <v>NA</v>
          </cell>
          <cell r="Q62" t="str">
            <v>Adición y prórroga al contrato 140317 -2014 que tiene por objeto:  Prestar el servicio de actualización, mantenimiento y soporte al sitio WEB e intranet del Concejo de Bogotá.</v>
          </cell>
          <cell r="R62">
            <v>1</v>
          </cell>
          <cell r="S62" t="str">
            <v>NA</v>
          </cell>
          <cell r="T62" t="str">
            <v>NA</v>
          </cell>
          <cell r="U62" t="str">
            <v>NA</v>
          </cell>
          <cell r="V62" t="str">
            <v>MODIFICACION</v>
          </cell>
          <cell r="W62" t="str">
            <v>NA</v>
          </cell>
          <cell r="X62" t="str">
            <v>PRESTACION DE SERVICIOS</v>
          </cell>
          <cell r="Y62">
            <v>40610000</v>
          </cell>
          <cell r="Z62">
            <v>40610000</v>
          </cell>
          <cell r="AA62" t="str">
            <v>5 mes(es)</v>
          </cell>
        </row>
        <row r="63">
          <cell r="C63">
            <v>62</v>
          </cell>
          <cell r="D63">
            <v>3</v>
          </cell>
          <cell r="E63">
            <v>80</v>
          </cell>
          <cell r="F63" t="str">
            <v>INICIAL</v>
          </cell>
          <cell r="G63" t="str">
            <v>RECURSOS PROPIOS</v>
          </cell>
          <cell r="H63">
            <v>120000</v>
          </cell>
          <cell r="I63">
            <v>4</v>
          </cell>
          <cell r="J63" t="str">
            <v>NA</v>
          </cell>
          <cell r="K63" t="str">
            <v>3-1-2-01-02 Gastos de Computador</v>
          </cell>
          <cell r="L63">
            <v>1</v>
          </cell>
          <cell r="M63" t="str">
            <v>NA</v>
          </cell>
          <cell r="N63" t="str">
            <v>NA</v>
          </cell>
          <cell r="O63" t="str">
            <v>S</v>
          </cell>
          <cell r="P63" t="str">
            <v>NA</v>
          </cell>
          <cell r="Q63" t="str">
            <v>Prestar los servicios de mantenimieto, actualización y soporte de licencias y plataforma del sistema de voto electrónico del Concejo de Bogotá D.C</v>
          </cell>
          <cell r="R63">
            <v>1</v>
          </cell>
          <cell r="S63" t="str">
            <v>Relacionada con el objeto a contratar-</v>
          </cell>
          <cell r="T63" t="str">
            <v>NA</v>
          </cell>
          <cell r="U63" t="str">
            <v>SEL. ABREVIADA MENOR CUANTIA</v>
          </cell>
          <cell r="V63" t="str">
            <v>PRINCIPAL</v>
          </cell>
          <cell r="W63" t="str">
            <v>NA</v>
          </cell>
          <cell r="X63" t="str">
            <v>PRESTACION DE SERVICIOS</v>
          </cell>
          <cell r="Y63">
            <v>95000000</v>
          </cell>
          <cell r="Z63">
            <v>95000000</v>
          </cell>
          <cell r="AA63" t="str">
            <v>10 mes(es)</v>
          </cell>
        </row>
        <row r="64">
          <cell r="C64">
            <v>63</v>
          </cell>
          <cell r="D64">
            <v>3</v>
          </cell>
          <cell r="E64">
            <v>20</v>
          </cell>
          <cell r="F64" t="str">
            <v>MODIFICACION</v>
          </cell>
          <cell r="G64" t="str">
            <v>RECURSOS PROPIOS</v>
          </cell>
          <cell r="H64">
            <v>120000</v>
          </cell>
          <cell r="I64">
            <v>4</v>
          </cell>
          <cell r="J64" t="str">
            <v>NA</v>
          </cell>
          <cell r="K64" t="str">
            <v>3-1-2-01-02 Gastos de Computador</v>
          </cell>
          <cell r="L64">
            <v>1</v>
          </cell>
          <cell r="M64" t="str">
            <v>NA</v>
          </cell>
          <cell r="N64" t="str">
            <v>NA</v>
          </cell>
          <cell r="O64" t="str">
            <v>S</v>
          </cell>
          <cell r="P64" t="str">
            <v>NA</v>
          </cell>
          <cell r="Q64" t="str">
            <v>Prestar los servicios de administración y soporte técnico para la plataforma Microsoft del Concejo de Bogotá</v>
          </cell>
          <cell r="R64">
            <v>1</v>
          </cell>
          <cell r="S64" t="str">
            <v>Relacionada con el objeto a contratar</v>
          </cell>
          <cell r="T64" t="str">
            <v>NA</v>
          </cell>
          <cell r="U64" t="str">
            <v>SEL. ABREVIADA MENOR CUANTIA</v>
          </cell>
          <cell r="V64" t="str">
            <v>PRINCIPAL</v>
          </cell>
          <cell r="W64" t="str">
            <v>NA</v>
          </cell>
          <cell r="X64" t="str">
            <v>PRESTACION DE SERVICIOS</v>
          </cell>
          <cell r="Y64">
            <v>215000000</v>
          </cell>
          <cell r="Z64">
            <v>215000000</v>
          </cell>
          <cell r="AA64" t="str">
            <v>12 mes(es)</v>
          </cell>
        </row>
        <row r="65">
          <cell r="C65">
            <v>64</v>
          </cell>
          <cell r="D65">
            <v>3</v>
          </cell>
          <cell r="E65">
            <v>80</v>
          </cell>
          <cell r="F65" t="str">
            <v>INICIAL</v>
          </cell>
          <cell r="G65" t="str">
            <v>RECURSOS PROPIOS</v>
          </cell>
          <cell r="H65">
            <v>120000</v>
          </cell>
          <cell r="I65">
            <v>4</v>
          </cell>
          <cell r="J65" t="str">
            <v>NA</v>
          </cell>
          <cell r="K65" t="str">
            <v>3-1-2-01-02 Gastos de Computador</v>
          </cell>
          <cell r="L65">
            <v>1</v>
          </cell>
          <cell r="M65" t="str">
            <v>NA</v>
          </cell>
          <cell r="N65" t="str">
            <v>NA</v>
          </cell>
          <cell r="O65" t="str">
            <v>S</v>
          </cell>
          <cell r="P65" t="str">
            <v>NA</v>
          </cell>
          <cell r="Q65" t="str">
            <v>Adición y prórroga al contrato 140252-2014 que tiene por objeto: Contratar la actualización, mantenimiento y soporte de licencias de software antivirus para la plataforma del Concejo de Bogotá.</v>
          </cell>
          <cell r="R65" t="str">
            <v>NA</v>
          </cell>
          <cell r="S65" t="str">
            <v>NA</v>
          </cell>
          <cell r="T65" t="str">
            <v>NA</v>
          </cell>
          <cell r="U65" t="str">
            <v>NA</v>
          </cell>
          <cell r="V65" t="str">
            <v>MODIFICACION</v>
          </cell>
          <cell r="W65" t="str">
            <v>AP</v>
          </cell>
          <cell r="X65" t="str">
            <v>PRESTACION DE SERVICIOS</v>
          </cell>
          <cell r="Y65">
            <v>8300000</v>
          </cell>
          <cell r="Z65">
            <v>8300000</v>
          </cell>
          <cell r="AA65" t="str">
            <v>5 mes(es)</v>
          </cell>
        </row>
        <row r="66">
          <cell r="C66">
            <v>65</v>
          </cell>
          <cell r="D66">
            <v>3</v>
          </cell>
          <cell r="E66">
            <v>80</v>
          </cell>
          <cell r="F66" t="str">
            <v>INICIAL</v>
          </cell>
          <cell r="G66" t="str">
            <v>RECURSOS PROPIOS</v>
          </cell>
          <cell r="H66">
            <v>120000</v>
          </cell>
          <cell r="I66">
            <v>4</v>
          </cell>
          <cell r="J66" t="str">
            <v>NA</v>
          </cell>
          <cell r="K66" t="str">
            <v>3-1-2-01-02 Gastos de Computador</v>
          </cell>
          <cell r="L66">
            <v>1</v>
          </cell>
          <cell r="M66" t="str">
            <v>NA</v>
          </cell>
          <cell r="N66" t="str">
            <v>NA</v>
          </cell>
          <cell r="O66" t="str">
            <v>S</v>
          </cell>
          <cell r="P66" t="str">
            <v>NA</v>
          </cell>
          <cell r="Q66" t="str">
            <v>Adición y prórroga al contrato 140317 suscrito con Factor Visual E A T cuyo objeto es: Prestar el servicio de actualización, mantenimiento y soporte al sitio web  e intranet"</v>
          </cell>
          <cell r="R66" t="str">
            <v>NA</v>
          </cell>
          <cell r="S66" t="str">
            <v>NA</v>
          </cell>
          <cell r="T66" t="str">
            <v>NA</v>
          </cell>
          <cell r="U66" t="str">
            <v>NA</v>
          </cell>
          <cell r="V66" t="str">
            <v>MODIFICACION</v>
          </cell>
          <cell r="W66" t="str">
            <v>AP</v>
          </cell>
          <cell r="X66" t="str">
            <v>PRESTACION DE SERVICIOS</v>
          </cell>
          <cell r="Y66">
            <v>22500000</v>
          </cell>
          <cell r="Z66">
            <v>22500000</v>
          </cell>
          <cell r="AA66" t="str">
            <v>6 mes(es)</v>
          </cell>
        </row>
        <row r="67">
          <cell r="C67">
            <v>66</v>
          </cell>
          <cell r="D67">
            <v>3</v>
          </cell>
          <cell r="E67">
            <v>80</v>
          </cell>
          <cell r="F67" t="str">
            <v>INICIAL</v>
          </cell>
          <cell r="G67" t="str">
            <v>RECURSOS PROPIOS</v>
          </cell>
          <cell r="H67">
            <v>43000</v>
          </cell>
          <cell r="I67">
            <v>1</v>
          </cell>
          <cell r="J67" t="str">
            <v>NA</v>
          </cell>
          <cell r="K67" t="str">
            <v>3-1-2-02-03 Gastos de Transporte y Comunicación</v>
          </cell>
          <cell r="L67">
            <v>1</v>
          </cell>
          <cell r="M67" t="str">
            <v>NA</v>
          </cell>
          <cell r="N67" t="str">
            <v>NA</v>
          </cell>
          <cell r="O67" t="str">
            <v>S</v>
          </cell>
          <cell r="P67" t="str">
            <v>NA</v>
          </cell>
          <cell r="Q67" t="str">
            <v>Prestar los servicios de enlace de comunicaciones para el acceso a los sistemas financieros  para la Secretaría Distrital de Hacienda.--</v>
          </cell>
          <cell r="R67">
            <v>1</v>
          </cell>
          <cell r="S67" t="str">
            <v>NA</v>
          </cell>
          <cell r="T67" t="str">
            <v>NA</v>
          </cell>
          <cell r="U67" t="str">
            <v>MINIMA CUANTIA</v>
          </cell>
          <cell r="V67" t="str">
            <v>PRINCIPAL</v>
          </cell>
          <cell r="W67" t="str">
            <v>NA</v>
          </cell>
          <cell r="X67" t="str">
            <v>PRESTACION DE SERVICIOS</v>
          </cell>
          <cell r="Y67">
            <v>20600000</v>
          </cell>
          <cell r="Z67">
            <v>20600000</v>
          </cell>
          <cell r="AA67" t="str">
            <v>12 mes(es)</v>
          </cell>
        </row>
        <row r="68">
          <cell r="C68">
            <v>67</v>
          </cell>
          <cell r="D68">
            <v>3</v>
          </cell>
          <cell r="E68">
            <v>80</v>
          </cell>
          <cell r="F68" t="str">
            <v>INICIAL</v>
          </cell>
          <cell r="G68" t="str">
            <v>RECURSOS PROPIOS</v>
          </cell>
          <cell r="H68">
            <v>43000</v>
          </cell>
          <cell r="I68">
            <v>1</v>
          </cell>
          <cell r="J68" t="str">
            <v>NA</v>
          </cell>
          <cell r="K68" t="str">
            <v>3-1-2-02-03 Gastos de Transporte y Comunicación</v>
          </cell>
          <cell r="L68">
            <v>1</v>
          </cell>
          <cell r="M68" t="str">
            <v>NA</v>
          </cell>
          <cell r="N68" t="str">
            <v>NA</v>
          </cell>
          <cell r="O68" t="str">
            <v>S</v>
          </cell>
          <cell r="P68" t="str">
            <v>NA</v>
          </cell>
          <cell r="Q68" t="str">
            <v>Prestar los servicios de enlace de comunicaciones para el acceso a la Bolsa de Valores de Colombia.</v>
          </cell>
          <cell r="R68">
            <v>1</v>
          </cell>
          <cell r="S68" t="str">
            <v>NA</v>
          </cell>
          <cell r="T68" t="str">
            <v>NA</v>
          </cell>
          <cell r="U68" t="str">
            <v>CONTRATACION DIRECTA</v>
          </cell>
          <cell r="V68" t="str">
            <v>PRINCIPAL</v>
          </cell>
          <cell r="W68" t="str">
            <v>NA</v>
          </cell>
          <cell r="X68" t="str">
            <v>PRESTACION DE SERVICIOS</v>
          </cell>
          <cell r="Y68">
            <v>47374000</v>
          </cell>
          <cell r="Z68">
            <v>47374000</v>
          </cell>
          <cell r="AA68" t="str">
            <v>12 mes(es)</v>
          </cell>
        </row>
        <row r="69">
          <cell r="C69">
            <v>68</v>
          </cell>
          <cell r="D69">
            <v>3</v>
          </cell>
          <cell r="E69">
            <v>80</v>
          </cell>
          <cell r="F69" t="str">
            <v>INICIAL</v>
          </cell>
          <cell r="G69" t="str">
            <v>RECURSOS PROPIOS</v>
          </cell>
          <cell r="H69">
            <v>43000</v>
          </cell>
          <cell r="I69">
            <v>1</v>
          </cell>
          <cell r="J69" t="str">
            <v>NA</v>
          </cell>
          <cell r="K69" t="str">
            <v>3-1-2-02-03 Gastos de Transporte y Comunicación</v>
          </cell>
          <cell r="L69">
            <v>1</v>
          </cell>
          <cell r="M69" t="str">
            <v>NA</v>
          </cell>
          <cell r="N69" t="str">
            <v>NA</v>
          </cell>
          <cell r="O69" t="str">
            <v>S</v>
          </cell>
          <cell r="P69" t="str">
            <v>NA</v>
          </cell>
          <cell r="Q69" t="str">
            <v>Prestar los servicios de conectividad de canales de comunicación dedicados e Internet y servicios complementarios para la Secretaría Distrital de Hacienda y el Concejo de Bogotá.</v>
          </cell>
          <cell r="R69">
            <v>1</v>
          </cell>
          <cell r="S69" t="str">
            <v>NA</v>
          </cell>
          <cell r="T69" t="str">
            <v>NA</v>
          </cell>
          <cell r="U69" t="str">
            <v>CONTRATACION DIRECTA</v>
          </cell>
          <cell r="V69" t="str">
            <v>PRINCIPAL</v>
          </cell>
          <cell r="W69" t="str">
            <v>NA</v>
          </cell>
          <cell r="X69" t="str">
            <v>PRESTACION DE SERVICIOS</v>
          </cell>
          <cell r="Y69">
            <v>793400000</v>
          </cell>
          <cell r="Z69">
            <v>643400000</v>
          </cell>
          <cell r="AA69" t="str">
            <v>12 mes(es)</v>
          </cell>
        </row>
        <row r="70">
          <cell r="C70">
            <v>68</v>
          </cell>
          <cell r="D70">
            <v>3</v>
          </cell>
          <cell r="E70">
            <v>80</v>
          </cell>
          <cell r="F70" t="str">
            <v>INICIAL</v>
          </cell>
          <cell r="G70" t="str">
            <v>RECURSOS PROPIOS</v>
          </cell>
          <cell r="H70">
            <v>120000</v>
          </cell>
          <cell r="I70">
            <v>4</v>
          </cell>
          <cell r="J70" t="str">
            <v>NA</v>
          </cell>
          <cell r="K70" t="str">
            <v>3-1-2-02-03 Gastos de Transporte y Comunicación</v>
          </cell>
          <cell r="L70">
            <v>1</v>
          </cell>
          <cell r="M70" t="str">
            <v>NA</v>
          </cell>
          <cell r="N70" t="str">
            <v>NA</v>
          </cell>
          <cell r="O70" t="str">
            <v>S</v>
          </cell>
          <cell r="P70" t="str">
            <v>NA</v>
          </cell>
          <cell r="Q70" t="str">
            <v>Prestar los servicios de conectividad de canales de comunicación dedicados e Internet y servicios complementarios para la Secretaría Distrital de Hacienda y el Concejo de Bogotá.</v>
          </cell>
          <cell r="R70">
            <v>1</v>
          </cell>
          <cell r="S70" t="str">
            <v>NA</v>
          </cell>
          <cell r="T70" t="str">
            <v>NA</v>
          </cell>
          <cell r="U70" t="str">
            <v>CONTRATACION DIRECTA</v>
          </cell>
          <cell r="V70" t="str">
            <v>PRINCIPAL</v>
          </cell>
          <cell r="W70" t="str">
            <v>NA</v>
          </cell>
          <cell r="X70" t="str">
            <v>PRESTACION DE SERVICIOS</v>
          </cell>
          <cell r="Y70">
            <v>793400000</v>
          </cell>
          <cell r="Z70">
            <v>150000000</v>
          </cell>
          <cell r="AA70" t="str">
            <v>12 mes(es)</v>
          </cell>
        </row>
        <row r="71">
          <cell r="C71">
            <v>69</v>
          </cell>
          <cell r="D71">
            <v>3</v>
          </cell>
          <cell r="E71">
            <v>80</v>
          </cell>
          <cell r="F71" t="str">
            <v>INICIAL</v>
          </cell>
          <cell r="G71" t="str">
            <v>RECURSOS PROPIOS</v>
          </cell>
          <cell r="H71">
            <v>42000</v>
          </cell>
          <cell r="I71">
            <v>1</v>
          </cell>
          <cell r="J71" t="str">
            <v>NA</v>
          </cell>
          <cell r="K71" t="str">
            <v>3-1-2-02-04 Impresos y  Publicaciones</v>
          </cell>
          <cell r="L71">
            <v>1</v>
          </cell>
          <cell r="M71" t="str">
            <v>NA</v>
          </cell>
          <cell r="N71" t="str">
            <v>NA</v>
          </cell>
          <cell r="O71" t="str">
            <v>S</v>
          </cell>
          <cell r="P71" t="str">
            <v>NA</v>
          </cell>
          <cell r="Q71" t="str">
            <v>Suscripción al derecho al uso de código de la empresa para la Secretaria Distrital de Hacienda ante GS1 -Colombia para el año 2016</v>
          </cell>
          <cell r="R71">
            <v>1</v>
          </cell>
          <cell r="S71" t="str">
            <v>NA</v>
          </cell>
          <cell r="T71" t="str">
            <v>NA</v>
          </cell>
          <cell r="U71" t="str">
            <v>CONTRATACION DIRECTA</v>
          </cell>
          <cell r="V71" t="str">
            <v>PRINCIPAL</v>
          </cell>
          <cell r="W71" t="str">
            <v>NA</v>
          </cell>
          <cell r="X71" t="str">
            <v>SUSCRIPCION</v>
          </cell>
          <cell r="Y71">
            <v>5443000</v>
          </cell>
          <cell r="Z71">
            <v>5443000</v>
          </cell>
          <cell r="AA71" t="str">
            <v>12 mes(es)</v>
          </cell>
        </row>
        <row r="72">
          <cell r="C72">
            <v>70</v>
          </cell>
          <cell r="D72">
            <v>3</v>
          </cell>
          <cell r="E72">
            <v>21</v>
          </cell>
          <cell r="F72" t="str">
            <v>MODIFICACION</v>
          </cell>
          <cell r="G72" t="str">
            <v>RECURSOS PROPIOS</v>
          </cell>
          <cell r="H72">
            <v>120000</v>
          </cell>
          <cell r="I72">
            <v>4</v>
          </cell>
          <cell r="J72" t="str">
            <v>NA</v>
          </cell>
          <cell r="K72" t="str">
            <v>3-3-1-14-03-31-0728-235235 - Fortalecimiento a la gestión institucional del Concejo de Bogotá</v>
          </cell>
          <cell r="L72">
            <v>1</v>
          </cell>
          <cell r="M72" t="str">
            <v>MActualizar el 100% de la infraestructura física, tecnológica y transporte</v>
          </cell>
          <cell r="N72" t="str">
            <v>Actualizar la plataforma tecnológica del Concejo de Bogotá</v>
          </cell>
          <cell r="O72" t="str">
            <v>S</v>
          </cell>
          <cell r="P72" t="str">
            <v>NA</v>
          </cell>
          <cell r="Q72" t="str">
            <v>Adquisición de la licencia TOAD para el Concejo de Bogotá.</v>
          </cell>
          <cell r="R72">
            <v>1</v>
          </cell>
          <cell r="S72" t="str">
            <v>NA</v>
          </cell>
          <cell r="T72" t="str">
            <v>NA</v>
          </cell>
          <cell r="U72" t="str">
            <v>MINIMA CUANTIA</v>
          </cell>
          <cell r="V72" t="str">
            <v>PRINCIPAL</v>
          </cell>
          <cell r="W72" t="str">
            <v>NA</v>
          </cell>
          <cell r="X72" t="str">
            <v>COMPRAVENTA</v>
          </cell>
          <cell r="Y72">
            <v>32000000</v>
          </cell>
          <cell r="Z72">
            <v>32000000</v>
          </cell>
          <cell r="AA72" t="str">
            <v>2 mes(es)</v>
          </cell>
        </row>
        <row r="73">
          <cell r="C73">
            <v>71</v>
          </cell>
          <cell r="D73">
            <v>3</v>
          </cell>
          <cell r="E73">
            <v>21</v>
          </cell>
          <cell r="F73" t="str">
            <v>MODIFICACION</v>
          </cell>
          <cell r="G73" t="str">
            <v>RECURSOS PROPIOS</v>
          </cell>
          <cell r="H73">
            <v>120000</v>
          </cell>
          <cell r="I73">
            <v>4</v>
          </cell>
          <cell r="J73" t="str">
            <v>NA</v>
          </cell>
          <cell r="K73" t="str">
            <v>3-3-1-14-03-31-0728-235235 - Fortalecimiento a la gestión institucional del Concejo de Bogotá</v>
          </cell>
          <cell r="L73">
            <v>1</v>
          </cell>
          <cell r="M73" t="str">
            <v>Actualizar el 100% de la infraestructura física, tecnológica y transporte</v>
          </cell>
          <cell r="N73" t="str">
            <v>Actualizar la plataforma tecnológica del Concejo de Bogotá</v>
          </cell>
          <cell r="O73" t="str">
            <v>S</v>
          </cell>
          <cell r="P73" t="str">
            <v>NA</v>
          </cell>
          <cell r="Q73" t="str">
            <v>Adquisición de licencias de servidores Windows Server 2012 para el Concejo de Bogotá.</v>
          </cell>
          <cell r="R73" t="str">
            <v>NA</v>
          </cell>
          <cell r="S73" t="str">
            <v>NA</v>
          </cell>
          <cell r="T73" t="str">
            <v>NA</v>
          </cell>
          <cell r="U73" t="str">
            <v>MINIMA CUANTIA</v>
          </cell>
          <cell r="V73" t="str">
            <v>PRINCIPAL</v>
          </cell>
          <cell r="W73" t="str">
            <v>NA</v>
          </cell>
          <cell r="X73" t="str">
            <v>COMPRAVENTA</v>
          </cell>
          <cell r="Y73">
            <v>13300000</v>
          </cell>
          <cell r="Z73">
            <v>13300000</v>
          </cell>
          <cell r="AA73" t="str">
            <v>2 mes(es)</v>
          </cell>
        </row>
        <row r="74">
          <cell r="C74">
            <v>73</v>
          </cell>
          <cell r="D74">
            <v>3</v>
          </cell>
          <cell r="E74">
            <v>80</v>
          </cell>
          <cell r="F74" t="str">
            <v>INICIAL</v>
          </cell>
          <cell r="G74" t="str">
            <v>RECURSOS PROPIOS</v>
          </cell>
          <cell r="H74">
            <v>120000</v>
          </cell>
          <cell r="I74">
            <v>4</v>
          </cell>
          <cell r="J74" t="str">
            <v>NA</v>
          </cell>
          <cell r="K74" t="str">
            <v>3-3-1-14-03-31-0728-235235 - Fortalecimiento a la gestión institucional del Concejo de Bogotá</v>
          </cell>
          <cell r="L74">
            <v>1</v>
          </cell>
          <cell r="M74" t="str">
            <v>Actualizar el 100% de la infraestructura física, tecnológica y transporte</v>
          </cell>
          <cell r="N74" t="str">
            <v>Actualizar la plataforma tecnológica del Concejo de Bogotá</v>
          </cell>
          <cell r="O74" t="str">
            <v>S</v>
          </cell>
          <cell r="P74" t="str">
            <v>NA</v>
          </cell>
          <cell r="Q74" t="str">
            <v>Adquisición de licencias Oracle  para el Concejo de Bogotá.</v>
          </cell>
          <cell r="R74">
            <v>1</v>
          </cell>
          <cell r="S74" t="str">
            <v>NA</v>
          </cell>
          <cell r="T74" t="str">
            <v>NA</v>
          </cell>
          <cell r="U74" t="str">
            <v>CONTRATACION DIRECTA</v>
          </cell>
          <cell r="V74" t="str">
            <v>PRINCIPAL</v>
          </cell>
          <cell r="W74" t="str">
            <v>NA</v>
          </cell>
          <cell r="X74" t="str">
            <v>COMPRAVENTA</v>
          </cell>
          <cell r="Y74">
            <v>201000000</v>
          </cell>
          <cell r="Z74">
            <v>201000000</v>
          </cell>
          <cell r="AA74" t="str">
            <v>12 mes(es)</v>
          </cell>
        </row>
        <row r="75">
          <cell r="C75">
            <v>74</v>
          </cell>
          <cell r="D75">
            <v>3</v>
          </cell>
          <cell r="E75">
            <v>80</v>
          </cell>
          <cell r="F75" t="str">
            <v>INICIAL</v>
          </cell>
          <cell r="G75" t="str">
            <v>RECURSOS PROPIOS</v>
          </cell>
          <cell r="H75">
            <v>120000</v>
          </cell>
          <cell r="I75">
            <v>4</v>
          </cell>
          <cell r="J75" t="str">
            <v>NA</v>
          </cell>
          <cell r="K75" t="str">
            <v>3-3-1-14-03-31-0728-235235 - Fortalecimiento a la gestión institucional del Concejo de Bogotá</v>
          </cell>
          <cell r="L75">
            <v>1</v>
          </cell>
          <cell r="M75" t="str">
            <v>Actualizar el 100% de la infraestructura física, tecnológica y transporte</v>
          </cell>
          <cell r="N75" t="str">
            <v>Actualizar la plataforma tecnológica del Concejo de Bogotá</v>
          </cell>
          <cell r="O75" t="str">
            <v>S</v>
          </cell>
          <cell r="P75" t="str">
            <v>NA</v>
          </cell>
          <cell r="Q75" t="str">
            <v>Adquisición de los equipos de red Switches para el Concejo de Bogotá.</v>
          </cell>
          <cell r="R75">
            <v>1</v>
          </cell>
          <cell r="S75" t="str">
            <v>NA</v>
          </cell>
          <cell r="T75" t="str">
            <v>NA</v>
          </cell>
          <cell r="U75" t="str">
            <v>SEL. ABREVIADA SUB.INVERSA</v>
          </cell>
          <cell r="V75" t="str">
            <v>PRINCIPAL</v>
          </cell>
          <cell r="W75" t="str">
            <v>NA</v>
          </cell>
          <cell r="X75" t="str">
            <v>COMPRAVENTA</v>
          </cell>
          <cell r="Y75">
            <v>130000000</v>
          </cell>
          <cell r="Z75">
            <v>130000000</v>
          </cell>
          <cell r="AA75" t="str">
            <v>5 mes(es)</v>
          </cell>
        </row>
        <row r="76">
          <cell r="C76">
            <v>75</v>
          </cell>
          <cell r="D76">
            <v>3</v>
          </cell>
          <cell r="E76">
            <v>18</v>
          </cell>
          <cell r="F76" t="str">
            <v>MODIFICACION</v>
          </cell>
          <cell r="G76" t="str">
            <v>RECURSOS PROPIOS</v>
          </cell>
          <cell r="H76">
            <v>120000</v>
          </cell>
          <cell r="I76">
            <v>4</v>
          </cell>
          <cell r="J76" t="str">
            <v>NA</v>
          </cell>
          <cell r="K76" t="str">
            <v>3-3-1-14-03-31-0728-235235 - Fortalecimiento a la gestión institucional del Concejo de Bogotá</v>
          </cell>
          <cell r="L76">
            <v>1</v>
          </cell>
          <cell r="M76" t="str">
            <v>Actualizar el 100% de la infraestructura física, tecnológica y transporte</v>
          </cell>
          <cell r="N76" t="str">
            <v>Actualizar la plataforma tecnológica del Concejo de Bogotá</v>
          </cell>
          <cell r="O76" t="str">
            <v>S</v>
          </cell>
          <cell r="P76" t="str">
            <v>NA</v>
          </cell>
          <cell r="Q76" t="str">
            <v>Adquisición de memorias para repotenciación de equipos de cómputo para el Concejo de Bogotá D.C.</v>
          </cell>
          <cell r="R76">
            <v>1</v>
          </cell>
          <cell r="S76" t="str">
            <v>NA</v>
          </cell>
          <cell r="T76" t="str">
            <v>NA</v>
          </cell>
          <cell r="U76" t="str">
            <v>MINIMA CUANTIA</v>
          </cell>
          <cell r="V76" t="str">
            <v>PRINCIPAL</v>
          </cell>
          <cell r="W76" t="str">
            <v>NA</v>
          </cell>
          <cell r="X76" t="str">
            <v>COMPRAVENTA</v>
          </cell>
          <cell r="Y76">
            <v>22000000</v>
          </cell>
          <cell r="Z76">
            <v>22000000</v>
          </cell>
          <cell r="AA76" t="str">
            <v>2 mes(es)</v>
          </cell>
        </row>
        <row r="77">
          <cell r="C77">
            <v>76</v>
          </cell>
          <cell r="D77">
            <v>3</v>
          </cell>
          <cell r="E77">
            <v>80</v>
          </cell>
          <cell r="F77" t="str">
            <v>INICIAL</v>
          </cell>
          <cell r="G77" t="str">
            <v>RECURSOS PROPIOS</v>
          </cell>
          <cell r="H77">
            <v>120000</v>
          </cell>
          <cell r="I77">
            <v>4</v>
          </cell>
          <cell r="J77" t="str">
            <v>NA</v>
          </cell>
          <cell r="K77" t="str">
            <v>3-3-1-14-03-31-0728-235235 - Fortalecimiento a la gestión institucional del Concejo de Bogotá</v>
          </cell>
          <cell r="L77">
            <v>1</v>
          </cell>
          <cell r="M77" t="str">
            <v>Actualizar el 100% de la infraestructura física, tecnológica y transporte</v>
          </cell>
          <cell r="N77" t="str">
            <v>Actualizar la plataforma tecnológica del Concejo de Bogotá</v>
          </cell>
          <cell r="O77" t="str">
            <v>S</v>
          </cell>
          <cell r="P77" t="str">
            <v>NA</v>
          </cell>
          <cell r="Q77" t="str">
            <v>Adquisición del sistema de aire acondicionado para el salón comuneros del Concejo de Bogotá.</v>
          </cell>
          <cell r="R77">
            <v>1</v>
          </cell>
          <cell r="S77" t="str">
            <v>NA</v>
          </cell>
          <cell r="T77" t="str">
            <v>NA</v>
          </cell>
          <cell r="U77" t="str">
            <v>SEL. ABREVIADA SUB.INVERSA</v>
          </cell>
          <cell r="V77" t="str">
            <v>PRINCIPAL</v>
          </cell>
          <cell r="W77" t="str">
            <v>NA</v>
          </cell>
          <cell r="X77" t="str">
            <v>COMPRAVENTA</v>
          </cell>
          <cell r="Y77">
            <v>65000000</v>
          </cell>
          <cell r="Z77">
            <v>65000000</v>
          </cell>
          <cell r="AA77" t="str">
            <v>4 mes(es)</v>
          </cell>
        </row>
        <row r="78">
          <cell r="C78">
            <v>77</v>
          </cell>
          <cell r="D78">
            <v>3</v>
          </cell>
          <cell r="E78">
            <v>80</v>
          </cell>
          <cell r="F78" t="str">
            <v>INICIAL</v>
          </cell>
          <cell r="G78" t="str">
            <v>RECURSOS PROPIOS</v>
          </cell>
          <cell r="H78">
            <v>120000</v>
          </cell>
          <cell r="I78">
            <v>4</v>
          </cell>
          <cell r="J78" t="str">
            <v>NA</v>
          </cell>
          <cell r="K78" t="str">
            <v>3-3-1-14-03-31-0728-235235 - Fortalecimiento a la gestión institucional del Concejo de Bogotá</v>
          </cell>
          <cell r="L78">
            <v>1</v>
          </cell>
          <cell r="M78" t="str">
            <v>Actualizar el 100% de la infraestructura física, tecnológica y transporte</v>
          </cell>
          <cell r="N78" t="str">
            <v>Actualizar la plataforma tecnológica del Concejo de Bogotá</v>
          </cell>
          <cell r="O78" t="str">
            <v>S</v>
          </cell>
          <cell r="P78" t="str">
            <v>NA</v>
          </cell>
          <cell r="Q78" t="str">
            <v>Adquisición de la librería HP LTO de respaldo para el Concejo de Bogotá</v>
          </cell>
          <cell r="R78">
            <v>1</v>
          </cell>
          <cell r="S78" t="str">
            <v>NA</v>
          </cell>
          <cell r="T78" t="str">
            <v>NA</v>
          </cell>
          <cell r="U78" t="str">
            <v>MINIMA CUANTIA</v>
          </cell>
          <cell r="V78" t="str">
            <v>PRINCIPAL</v>
          </cell>
          <cell r="W78" t="str">
            <v>NA</v>
          </cell>
          <cell r="X78" t="str">
            <v>COMPRAVENTA</v>
          </cell>
          <cell r="Y78">
            <v>20000000</v>
          </cell>
          <cell r="Z78">
            <v>20000000</v>
          </cell>
          <cell r="AA78" t="str">
            <v>4 mes(es)</v>
          </cell>
        </row>
        <row r="79">
          <cell r="C79">
            <v>78</v>
          </cell>
          <cell r="D79">
            <v>3</v>
          </cell>
          <cell r="E79">
            <v>80</v>
          </cell>
          <cell r="F79" t="str">
            <v>INICIAL</v>
          </cell>
          <cell r="G79" t="str">
            <v>RECURSOS PROPIOS</v>
          </cell>
          <cell r="H79">
            <v>42000</v>
          </cell>
          <cell r="I79">
            <v>1</v>
          </cell>
          <cell r="J79" t="str">
            <v>NA</v>
          </cell>
          <cell r="K79" t="str">
            <v>3-3-1-14-03-32-0705-241241 - Gestión integral de TIC - Bogotá Humana</v>
          </cell>
          <cell r="L79">
            <v>1</v>
          </cell>
          <cell r="M79" t="str">
            <v>Implementar 3 fases del nuevo sistema tributario, tendiente a fortalecer y modernizar el sistema tributario</v>
          </cell>
          <cell r="N79" t="str">
            <v>Apoyo a la gestión para la especificación funcional, diseño, desarrollo, pruebas e implementación de las fases del nuevo sistema tributario.</v>
          </cell>
          <cell r="O79" t="str">
            <v>S</v>
          </cell>
          <cell r="P79" t="str">
            <v>NA</v>
          </cell>
          <cell r="Q79" t="str">
            <v>Prestar los servicios profesionales para realizar la definición y gestión de pruebas a los desarrollos que enmarcan el  nuevo sistema tributario y su interacción con el componente tributario si capital</v>
          </cell>
          <cell r="R79">
            <v>1</v>
          </cell>
          <cell r="S79" t="str">
            <v>7 años de experiencia profesional, de los cuales 4 años de experiencia específica en el diseño de pruebas de software</v>
          </cell>
          <cell r="T79" t="str">
            <v>Ingeniero de sistemas o electrónico o eléctrico y/o a fines</v>
          </cell>
          <cell r="U79" t="str">
            <v>CONTRATACION DIRECTA</v>
          </cell>
          <cell r="V79" t="str">
            <v>PRINCIPAL</v>
          </cell>
          <cell r="W79" t="str">
            <v>NA</v>
          </cell>
          <cell r="X79" t="str">
            <v>PRESTACION DE SERVICIOS1</v>
          </cell>
          <cell r="Y79">
            <v>81686000</v>
          </cell>
          <cell r="Z79">
            <v>81686000</v>
          </cell>
          <cell r="AA79" t="str">
            <v>11 mes(es)</v>
          </cell>
        </row>
        <row r="80">
          <cell r="C80">
            <v>79</v>
          </cell>
          <cell r="D80">
            <v>3</v>
          </cell>
          <cell r="E80">
            <v>80</v>
          </cell>
          <cell r="F80" t="str">
            <v>INICIAL</v>
          </cell>
          <cell r="G80" t="str">
            <v>RECURSOS PROPIOS</v>
          </cell>
          <cell r="H80">
            <v>42000</v>
          </cell>
          <cell r="I80">
            <v>1</v>
          </cell>
          <cell r="J80" t="str">
            <v>NA</v>
          </cell>
          <cell r="K80" t="str">
            <v>3-3-1-14-03-32-0705-241241 - Gestión integral de TIC - Bogotá Humana</v>
          </cell>
          <cell r="L80">
            <v>1</v>
          </cell>
          <cell r="M80" t="str">
            <v>Implementar 3 fases del nuevo sistema tributario, tendiente a fortalecer y modernizar el sistema tributario</v>
          </cell>
          <cell r="N80" t="str">
            <v>Apoyo a la gestión para la especificación funcional, diseño, desarrollo, pruebas e implementación de las fases del nuevo sistema tributario.</v>
          </cell>
          <cell r="O80" t="str">
            <v>S</v>
          </cell>
          <cell r="P80" t="str">
            <v>NA</v>
          </cell>
          <cell r="Q80" t="str">
            <v>Prestar los servicios profesionales para realizar el análisis, diseño, construcción, pruebas e implementación y realizar controles en la aplicación de estándares y lineamientos  establecidos para la modernización del sistema tributario</v>
          </cell>
          <cell r="R80">
            <v>2</v>
          </cell>
          <cell r="S80" t="str">
            <v>7 años de experiencia profesional, de los cuales 4 años de experiencia específica en herramientas Oracle SQL - WS - Java</v>
          </cell>
          <cell r="T80" t="str">
            <v>Ingeniero de sistemas o electrónico o eléctrico y/o a fines</v>
          </cell>
          <cell r="U80" t="str">
            <v>CONTRATACION DIRECTA</v>
          </cell>
          <cell r="V80" t="str">
            <v>PRINCIPAL</v>
          </cell>
          <cell r="W80" t="str">
            <v>NA</v>
          </cell>
          <cell r="X80" t="str">
            <v>PRESTACION DE SERVICIOS1</v>
          </cell>
          <cell r="Y80">
            <v>163372000</v>
          </cell>
          <cell r="Z80">
            <v>163372000</v>
          </cell>
          <cell r="AA80" t="str">
            <v>11 mes(es)</v>
          </cell>
        </row>
        <row r="81">
          <cell r="C81">
            <v>80</v>
          </cell>
          <cell r="D81">
            <v>3</v>
          </cell>
          <cell r="E81">
            <v>80</v>
          </cell>
          <cell r="F81" t="str">
            <v>INICIAL</v>
          </cell>
          <cell r="G81" t="str">
            <v>RECURSOS PROPIOS</v>
          </cell>
          <cell r="H81">
            <v>42000</v>
          </cell>
          <cell r="I81">
            <v>1</v>
          </cell>
          <cell r="J81" t="str">
            <v>NA</v>
          </cell>
          <cell r="K81" t="str">
            <v>3-3-1-14-03-32-0705-241241 - Gestión integral de TIC - Bogotá Humana</v>
          </cell>
          <cell r="L81">
            <v>1</v>
          </cell>
          <cell r="M81" t="str">
            <v>Implementar 3 fases del nuevo sistema tributario, tendiente a fortalecer y modernizar el sistema tributario</v>
          </cell>
          <cell r="N81" t="str">
            <v>Apoyo a la gestión para la especificación funcional, diseño, desarrollo, pruebas e implementación de las fases del nuevo sistema tributario.</v>
          </cell>
          <cell r="O81" t="str">
            <v>S</v>
          </cell>
          <cell r="P81" t="str">
            <v>NA</v>
          </cell>
          <cell r="Q81" t="str">
            <v>Prestar los servicios profesionales para realizar la gestión de pruebas a los desarrollos que enmarcan la modernización del sistema tributario</v>
          </cell>
          <cell r="R81">
            <v>3</v>
          </cell>
          <cell r="S81" t="str">
            <v>2 años de experiencia profesional  de los cuales 1 año de  experiencia específica en pruebas de software.</v>
          </cell>
          <cell r="T81" t="str">
            <v>Ingeniería de sistemas o electrónico o eléctrico y/o a fines</v>
          </cell>
          <cell r="U81" t="str">
            <v>CONTRATACION DIRECTA</v>
          </cell>
          <cell r="V81" t="str">
            <v>PRINCIPAL</v>
          </cell>
          <cell r="W81" t="str">
            <v>NA</v>
          </cell>
          <cell r="X81" t="str">
            <v>PRESTACION DE SERVICIOS1</v>
          </cell>
          <cell r="Y81">
            <v>175065000</v>
          </cell>
          <cell r="Z81">
            <v>175065000</v>
          </cell>
          <cell r="AA81" t="str">
            <v>11 mes(es)</v>
          </cell>
        </row>
        <row r="82">
          <cell r="C82">
            <v>81</v>
          </cell>
          <cell r="D82">
            <v>3</v>
          </cell>
          <cell r="E82">
            <v>80</v>
          </cell>
          <cell r="F82" t="str">
            <v>INICIAL</v>
          </cell>
          <cell r="G82" t="str">
            <v>RECURSOS PROPIOS</v>
          </cell>
          <cell r="H82">
            <v>42000</v>
          </cell>
          <cell r="I82">
            <v>1</v>
          </cell>
          <cell r="J82" t="str">
            <v>NA</v>
          </cell>
          <cell r="K82" t="str">
            <v>3-3-1-14-03-32-0705-241241 - Gestión integral de TIC - Bogotá Humana</v>
          </cell>
          <cell r="L82">
            <v>1</v>
          </cell>
          <cell r="M82" t="str">
            <v>Implementar 3 fases del nuevo sistema tributario, tendiente a fortalecer y modernizar el sistema tributario</v>
          </cell>
          <cell r="N82" t="str">
            <v>Apoyo a la gestión para la especificación funcional, diseño, desarrollo, pruebas e implementación de las fases del nuevo sistema tributario.</v>
          </cell>
          <cell r="O82" t="str">
            <v>S</v>
          </cell>
          <cell r="P82" t="str">
            <v>NA</v>
          </cell>
          <cell r="Q82" t="str">
            <v>Prestar los servicios profesionales para realizar el diseño, construcción, pruebas e implementación para la modernización del sistema tributario</v>
          </cell>
          <cell r="R82">
            <v>4</v>
          </cell>
          <cell r="S82" t="str">
            <v>3 años de experiencia profesional de los cuales 1 año experiencia específica en herramientas Oracle JAVA.</v>
          </cell>
          <cell r="T82" t="str">
            <v>Ingeniero de Sistemas o Electrónico y/o afines</v>
          </cell>
          <cell r="U82" t="str">
            <v>CONTRATACION DIRECTA</v>
          </cell>
          <cell r="V82" t="str">
            <v>PRINCIPAL</v>
          </cell>
          <cell r="W82" t="str">
            <v>NA</v>
          </cell>
          <cell r="X82" t="str">
            <v>PRESTACION DE SERVICIOS1</v>
          </cell>
          <cell r="Y82">
            <v>252120000</v>
          </cell>
          <cell r="Z82">
            <v>252120000</v>
          </cell>
          <cell r="AA82" t="str">
            <v>11 mes(es)</v>
          </cell>
        </row>
        <row r="83">
          <cell r="C83">
            <v>82</v>
          </cell>
          <cell r="D83">
            <v>3</v>
          </cell>
          <cell r="E83">
            <v>20</v>
          </cell>
          <cell r="F83" t="str">
            <v>MODIFICACION</v>
          </cell>
          <cell r="G83" t="str">
            <v>RECURSOS PROPIOS</v>
          </cell>
          <cell r="H83">
            <v>42000</v>
          </cell>
          <cell r="I83">
            <v>1</v>
          </cell>
          <cell r="J83" t="str">
            <v>NA</v>
          </cell>
          <cell r="K83" t="str">
            <v>3-3-1-14-03-32-0705-241241 - Gestión integral de TIC - Bogotá Humana</v>
          </cell>
          <cell r="L83">
            <v>1</v>
          </cell>
          <cell r="M83" t="str">
            <v>Implementar 4 Fases para modernizar el componente Financiero de Si Capital</v>
          </cell>
          <cell r="N83" t="str">
            <v>Apoyo en la especificación funcional, diseño, desarrollo, pruebas e implementación para la modernización del componente de información financiera de Si Capital</v>
          </cell>
          <cell r="O83" t="str">
            <v>S</v>
          </cell>
          <cell r="P83" t="str">
            <v>NA</v>
          </cell>
          <cell r="Q83" t="str">
            <v>Prestar los servicios profesionales para realizar el análisis, diseño, construcción, pruebas e implementación para la modernización del sistema Financiero de Si Capital</v>
          </cell>
          <cell r="R83">
            <v>5</v>
          </cell>
          <cell r="S83" t="str">
            <v>5 años de experiencia general y 1 año de experiencia específica en herramientas Oracle PL/SQL - Forms - Reports o ADF</v>
          </cell>
          <cell r="T83" t="str">
            <v>Ingeniero de sistemas o electrónico o eléctrico y/o afines</v>
          </cell>
          <cell r="U83" t="str">
            <v>CONTRATACION DIRECTA</v>
          </cell>
          <cell r="V83" t="str">
            <v>PRINCIPAL</v>
          </cell>
          <cell r="W83" t="str">
            <v>NA</v>
          </cell>
          <cell r="X83" t="str">
            <v>PRESTACION DE SERVICIOS1</v>
          </cell>
          <cell r="Y83">
            <v>326755000</v>
          </cell>
          <cell r="Z83">
            <v>326755000</v>
          </cell>
          <cell r="AA83" t="str">
            <v>11 mes(es)</v>
          </cell>
        </row>
        <row r="84">
          <cell r="C84">
            <v>83</v>
          </cell>
          <cell r="D84">
            <v>3</v>
          </cell>
          <cell r="E84">
            <v>80</v>
          </cell>
          <cell r="F84" t="str">
            <v>INICIAL</v>
          </cell>
          <cell r="G84" t="str">
            <v>RECURSOS PROPIOS</v>
          </cell>
          <cell r="H84">
            <v>42000</v>
          </cell>
          <cell r="I84">
            <v>1</v>
          </cell>
          <cell r="J84" t="str">
            <v>NA</v>
          </cell>
          <cell r="K84" t="str">
            <v>3-3-1-14-03-32-0705-241241 - Gestión integral de TIC - Bogotá Humana</v>
          </cell>
          <cell r="L84">
            <v>1</v>
          </cell>
          <cell r="M84" t="str">
            <v>Mantener el 97% de disponibilidad de las TIC, optimizando la infraestructura tecnológica de la SDH de acuerdo con los estándares y niveles de servicio</v>
          </cell>
          <cell r="N84" t="str">
            <v>Fortalecer la infraestructura tecnológica de la Información de los procesos misionales y de apoyo.</v>
          </cell>
          <cell r="O84" t="str">
            <v>S</v>
          </cell>
          <cell r="P84" t="str">
            <v>NA</v>
          </cell>
          <cell r="Q84" t="str">
            <v>Adquisición de impresoras de oficina  de mediana producción para la Secretaría Distrital de Hacienda</v>
          </cell>
          <cell r="R84">
            <v>1</v>
          </cell>
          <cell r="S84" t="str">
            <v>NA</v>
          </cell>
          <cell r="T84" t="str">
            <v>NA</v>
          </cell>
          <cell r="U84" t="str">
            <v>MINIMA CUANTIA</v>
          </cell>
          <cell r="V84" t="str">
            <v>PRINCIPAL</v>
          </cell>
          <cell r="W84" t="str">
            <v>NA</v>
          </cell>
          <cell r="X84" t="str">
            <v>COMPRAVENTA</v>
          </cell>
          <cell r="Y84">
            <v>15000000</v>
          </cell>
          <cell r="Z84">
            <v>15000000</v>
          </cell>
          <cell r="AA84" t="str">
            <v>3 mes(es)</v>
          </cell>
        </row>
        <row r="85">
          <cell r="C85">
            <v>84</v>
          </cell>
          <cell r="D85">
            <v>3</v>
          </cell>
          <cell r="E85">
            <v>80</v>
          </cell>
          <cell r="F85" t="str">
            <v>INICIAL</v>
          </cell>
          <cell r="G85" t="str">
            <v>RECURSOS PROPIOS</v>
          </cell>
          <cell r="H85">
            <v>43000</v>
          </cell>
          <cell r="I85">
            <v>1</v>
          </cell>
          <cell r="J85" t="str">
            <v>NA</v>
          </cell>
          <cell r="K85" t="str">
            <v>3-3-1-14-03-32-0705-241241 - Gestión integral de TIC - Bogotá Humana</v>
          </cell>
          <cell r="L85">
            <v>1</v>
          </cell>
          <cell r="M85" t="str">
            <v>Mantener el 97% de disponibilidad de las TIC, optimizando la infraestructura tecnológica de la SDH de acuerdo con los estándares y niveles de servicio</v>
          </cell>
          <cell r="N85" t="str">
            <v>Fortalecer la infraestructura tecnológica de la Información de los procesos misionales y de apoyo.</v>
          </cell>
          <cell r="O85" t="str">
            <v>S</v>
          </cell>
          <cell r="P85" t="str">
            <v>NA</v>
          </cell>
          <cell r="Q85" t="str">
            <v>Adquisición de elementos para la adecuación tecnológica de sala de audiencias de la Secretaría Distrital de Hacienda-</v>
          </cell>
          <cell r="R85">
            <v>1</v>
          </cell>
          <cell r="S85" t="str">
            <v>NA</v>
          </cell>
          <cell r="T85" t="str">
            <v>NA</v>
          </cell>
          <cell r="U85" t="str">
            <v>MINIMA CUANTIA</v>
          </cell>
          <cell r="V85" t="str">
            <v>PRINCIPAL</v>
          </cell>
          <cell r="W85" t="str">
            <v>NA</v>
          </cell>
          <cell r="X85" t="str">
            <v>COMPRAVENTA</v>
          </cell>
          <cell r="Y85">
            <v>50000000</v>
          </cell>
          <cell r="Z85">
            <v>50000000</v>
          </cell>
          <cell r="AA85" t="str">
            <v>3 mes(es)</v>
          </cell>
        </row>
        <row r="86">
          <cell r="C86">
            <v>85</v>
          </cell>
          <cell r="D86">
            <v>3</v>
          </cell>
          <cell r="E86">
            <v>12</v>
          </cell>
          <cell r="F86" t="str">
            <v>MODIFICACION</v>
          </cell>
          <cell r="G86" t="str">
            <v>RECURSOS PROPIOS</v>
          </cell>
          <cell r="H86">
            <v>42000</v>
          </cell>
          <cell r="I86">
            <v>1</v>
          </cell>
          <cell r="J86" t="str">
            <v>NA</v>
          </cell>
          <cell r="K86" t="str">
            <v>3-3-1-14-03-32-0705-241241 - Gestión integral de TIC - Bogotá Humana</v>
          </cell>
          <cell r="L86">
            <v>1</v>
          </cell>
          <cell r="M86" t="str">
            <v>Mantener el 97% de disponibilidad de las TIC, optimizando la infraestructura tecnológica de la SDH de acuerdo con los estándares y niveles de servicio</v>
          </cell>
          <cell r="N86" t="str">
            <v>Fortalecer la infraestructura tecnológica de la Información de los procesos misionales y de apoyo.</v>
          </cell>
          <cell r="O86" t="str">
            <v>S</v>
          </cell>
          <cell r="P86" t="str">
            <v>NA</v>
          </cell>
          <cell r="Q86" t="str">
            <v>Prestar los servicios para realizar la migración de los módulos administrativos y financieros del aplicativo Si Capital de la Secretaría Distrital de Hacienda</v>
          </cell>
          <cell r="R86">
            <v>1</v>
          </cell>
          <cell r="S86" t="str">
            <v>NA</v>
          </cell>
          <cell r="T86" t="str">
            <v>NA</v>
          </cell>
          <cell r="U86" t="str">
            <v>SEL. ABREVIADA MENOR CUANTIA</v>
          </cell>
          <cell r="V86" t="str">
            <v>PRINCIPAL</v>
          </cell>
          <cell r="W86" t="str">
            <v>NA</v>
          </cell>
          <cell r="X86" t="str">
            <v>PRESTACION DE SERVICIOS1</v>
          </cell>
          <cell r="Y86">
            <v>350060000</v>
          </cell>
          <cell r="Z86">
            <v>350060000</v>
          </cell>
          <cell r="AA86" t="str">
            <v>6 mes(es)</v>
          </cell>
        </row>
        <row r="87">
          <cell r="C87">
            <v>86</v>
          </cell>
          <cell r="D87">
            <v>3</v>
          </cell>
          <cell r="E87">
            <v>80</v>
          </cell>
          <cell r="F87" t="str">
            <v>INICIAL</v>
          </cell>
          <cell r="G87" t="str">
            <v>RECURSOS PROPIOS</v>
          </cell>
          <cell r="H87">
            <v>42000</v>
          </cell>
          <cell r="I87">
            <v>1</v>
          </cell>
          <cell r="J87" t="str">
            <v>NA</v>
          </cell>
          <cell r="K87" t="str">
            <v>3-3-1-14-03-32-0705-241241 - Gestión integral de TIC - Bogotá Humana</v>
          </cell>
          <cell r="L87">
            <v>1</v>
          </cell>
          <cell r="M87" t="str">
            <v>Implementar 4 Fases para modernizar el componente Financiero de Si Capital</v>
          </cell>
          <cell r="N87" t="str">
            <v>Apoyo en la especificación funcional, diseño, desarrollo, pruebas e implementación para la modernización del componente de información financiera de Si Capital</v>
          </cell>
          <cell r="O87" t="str">
            <v>S</v>
          </cell>
          <cell r="P87" t="str">
            <v>NA</v>
          </cell>
          <cell r="Q87" t="str">
            <v>Prestar los servicios profesionales para realizar el análisis, diseño, construcción, pruebas e implementación para la modernización del sistema Financiero de Si Capital</v>
          </cell>
          <cell r="R87">
            <v>4</v>
          </cell>
          <cell r="S87" t="str">
            <v>4 años de experiencia general  y 1 año de experiencia específica en  herramientas Oracle Java</v>
          </cell>
          <cell r="T87" t="str">
            <v>Ingeniero de sistemas, electrónico, eléctrico y/o afines</v>
          </cell>
          <cell r="U87" t="str">
            <v>CONTRATACION DIRECTA</v>
          </cell>
          <cell r="V87" t="str">
            <v>PRINCIPAL</v>
          </cell>
          <cell r="W87" t="str">
            <v>NA</v>
          </cell>
          <cell r="X87" t="str">
            <v>PRESTACION DE SERVICIOS1</v>
          </cell>
          <cell r="Y87">
            <v>261404000</v>
          </cell>
          <cell r="Z87">
            <v>261404000</v>
          </cell>
          <cell r="AA87" t="str">
            <v>11 mes(es)</v>
          </cell>
        </row>
        <row r="88">
          <cell r="C88">
            <v>88</v>
          </cell>
          <cell r="D88">
            <v>3</v>
          </cell>
          <cell r="E88">
            <v>80</v>
          </cell>
          <cell r="F88" t="str">
            <v>INICIAL</v>
          </cell>
          <cell r="G88" t="str">
            <v>RECURSOS PROPIOS</v>
          </cell>
          <cell r="H88">
            <v>42000</v>
          </cell>
          <cell r="I88">
            <v>1</v>
          </cell>
          <cell r="J88" t="str">
            <v>NA</v>
          </cell>
          <cell r="K88" t="str">
            <v>3-3-1-14-03-32-0705-241241 - Gestión integral de TIC - Bogotá Humana</v>
          </cell>
          <cell r="L88">
            <v>1</v>
          </cell>
          <cell r="M88" t="str">
            <v>Mantener el 97% de disponibilidad de las TIC, optimizando la infraestructura tecnológica de la SDH de acuerdo con los estándares y niveles de servicio</v>
          </cell>
          <cell r="N88" t="str">
            <v>Apoyo a la gestión de los servicios de tecnologías de la información y comunicaciones</v>
          </cell>
          <cell r="O88" t="str">
            <v>S</v>
          </cell>
          <cell r="P88" t="str">
            <v>NA</v>
          </cell>
          <cell r="Q88" t="str">
            <v>Prestar los servicios profesionales para configurar e integrar las Plataformas con la herramienta Hewlett Packard Data Protector para los procesos de respaldo de la información de la Entidad.</v>
          </cell>
          <cell r="R88">
            <v>1</v>
          </cell>
          <cell r="S88" t="str">
            <v>8 años de experiencia profesional, de los cuales 5 años de experiencia específica en el Diseño, Instalación configuración y puesta en producción de estrategias de Backup con HP Data Protector. Certificaciones de Fabricantes en HP OpenView Storage Data Pro</v>
          </cell>
          <cell r="T88" t="str">
            <v>Ingeniero de sistemas o electrónico, eléctrico y/o afines.</v>
          </cell>
          <cell r="U88" t="str">
            <v>CONTRATACION DIRECTA</v>
          </cell>
          <cell r="V88" t="str">
            <v>PRINCIPAL</v>
          </cell>
          <cell r="W88" t="str">
            <v>NA</v>
          </cell>
          <cell r="X88" t="str">
            <v>PRESTACION DE SERVICIOS1</v>
          </cell>
          <cell r="Y88">
            <v>72000000</v>
          </cell>
          <cell r="Z88">
            <v>72000000</v>
          </cell>
          <cell r="AA88" t="str">
            <v>8 mes(es)</v>
          </cell>
        </row>
        <row r="89">
          <cell r="C89">
            <v>89</v>
          </cell>
          <cell r="D89">
            <v>3</v>
          </cell>
          <cell r="E89">
            <v>80</v>
          </cell>
          <cell r="F89" t="str">
            <v>INICIAL</v>
          </cell>
          <cell r="G89" t="str">
            <v>RECURSOS PROPIOS</v>
          </cell>
          <cell r="H89">
            <v>42000</v>
          </cell>
          <cell r="I89">
            <v>1</v>
          </cell>
          <cell r="J89" t="str">
            <v>NA</v>
          </cell>
          <cell r="K89" t="str">
            <v>3-3-1-14-03-32-0705-241241 - Gestión integral de TIC - Bogotá Humana</v>
          </cell>
          <cell r="L89">
            <v>1</v>
          </cell>
          <cell r="M89" t="str">
            <v>Mantener el 97% de disponibilidad de las TIC, optimizando la infraestructura tecnológica de la SDH de acuerdo con los estándares y niveles de servicio</v>
          </cell>
          <cell r="N89" t="str">
            <v>Apoyo a la gestión de los servicios de tecnologías de la información y comunicaciones</v>
          </cell>
          <cell r="O89" t="str">
            <v>S</v>
          </cell>
          <cell r="P89" t="str">
            <v>NA</v>
          </cell>
          <cell r="Q89" t="str">
            <v>Prestar los servicios profesionales para llevar a cabo el análisis, diseño,  desarrollo para la fase 2 de CRM bajo la plataforma Siebel - SOA</v>
          </cell>
          <cell r="R89">
            <v>1</v>
          </cell>
          <cell r="S89" t="str">
            <v>2 años de experiencia profesional, de los cuales 1 año de experiencia específica en desarrollos Java.</v>
          </cell>
          <cell r="T89" t="str">
            <v>Ingeniero de Sistemas y/o Electrónico y/o Ingeniero de Telecomunicaciones y/o afines</v>
          </cell>
          <cell r="U89" t="str">
            <v>CONTRATACION DIRECTA</v>
          </cell>
          <cell r="V89" t="str">
            <v>PRINCIPAL</v>
          </cell>
          <cell r="W89" t="str">
            <v>NA</v>
          </cell>
          <cell r="X89" t="str">
            <v>PRESTACION DE SERVICIOS1</v>
          </cell>
          <cell r="Y89">
            <v>57200000</v>
          </cell>
          <cell r="Z89">
            <v>57200000</v>
          </cell>
          <cell r="AA89" t="str">
            <v>11 mes(es)</v>
          </cell>
        </row>
        <row r="90">
          <cell r="C90">
            <v>90</v>
          </cell>
          <cell r="D90">
            <v>3</v>
          </cell>
          <cell r="E90">
            <v>21</v>
          </cell>
          <cell r="F90" t="str">
            <v>MODIFICACION</v>
          </cell>
          <cell r="G90" t="str">
            <v>RECURSOS PROPIOS</v>
          </cell>
          <cell r="H90">
            <v>42000</v>
          </cell>
          <cell r="I90">
            <v>1</v>
          </cell>
          <cell r="J90" t="str">
            <v>NA</v>
          </cell>
          <cell r="K90" t="str">
            <v>3-3-1-14-03-32-0705-241241 - Gestión integral de TIC - Bogotá Humana</v>
          </cell>
          <cell r="L90">
            <v>1</v>
          </cell>
          <cell r="M90" t="str">
            <v>Mantener el 97% de disponibilidad de las TIC, optimizando la infraestructura tecnológica de la SDH de acuerdo con los estándares y niveles de servicio</v>
          </cell>
          <cell r="N90" t="str">
            <v>Apoyo a la gestión de los servicios de tecnologías de la información y comunicaciones</v>
          </cell>
          <cell r="O90" t="str">
            <v>S</v>
          </cell>
          <cell r="P90" t="str">
            <v>NA</v>
          </cell>
          <cell r="Q90" t="str">
            <v>Prestar los servicios profesionales en la Implementación, configuración y parametrización de las herramientas CRM en su fase 2, adecuándolas a los sistemas de información de la Secretaría Distrital de Hacienda, tendientes a mejorar los procesos de atenció</v>
          </cell>
          <cell r="R90">
            <v>3</v>
          </cell>
          <cell r="S90" t="str">
            <v>8 años de experiencia profesional de los cuales 5 años de experiencia específica en Oracle Siebel</v>
          </cell>
          <cell r="T90" t="str">
            <v>Ingenieria de sistemas o industrial y/o afines</v>
          </cell>
          <cell r="U90" t="str">
            <v>CONTRATACION DIRECTA</v>
          </cell>
          <cell r="V90" t="str">
            <v>PRINCIPAL</v>
          </cell>
          <cell r="W90" t="str">
            <v>NA</v>
          </cell>
          <cell r="X90" t="str">
            <v>PRESTACION DE SERVICIOS1</v>
          </cell>
          <cell r="Y90">
            <v>269730000</v>
          </cell>
          <cell r="Z90">
            <v>269730000</v>
          </cell>
          <cell r="AA90" t="str">
            <v>7.5 mes(es)</v>
          </cell>
        </row>
        <row r="91">
          <cell r="C91">
            <v>91</v>
          </cell>
          <cell r="D91">
            <v>3</v>
          </cell>
          <cell r="E91">
            <v>80</v>
          </cell>
          <cell r="F91" t="str">
            <v>INICIAL</v>
          </cell>
          <cell r="G91" t="str">
            <v>RECURSOS PROPIOS</v>
          </cell>
          <cell r="H91">
            <v>42000</v>
          </cell>
          <cell r="I91">
            <v>1</v>
          </cell>
          <cell r="J91" t="str">
            <v>NA</v>
          </cell>
          <cell r="K91" t="str">
            <v>3-3-1-14-03-32-0705-241241 - Gestión integral de TIC - Bogotá Humana</v>
          </cell>
          <cell r="L91">
            <v>1</v>
          </cell>
          <cell r="M91" t="str">
            <v>Atender el 80% de los requerimientos para el componente Tributario del sistema Si Capital</v>
          </cell>
          <cell r="N91" t="str">
            <v>Apoyo en la especificación funcional, diseño, desarrollo, pruebas e implementación del componente tributario del sistema Si Capital</v>
          </cell>
          <cell r="O91" t="str">
            <v>S</v>
          </cell>
          <cell r="P91" t="str">
            <v>NA</v>
          </cell>
          <cell r="Q91" t="str">
            <v>Prestar los servicios profesionales para realizar el análisis, diseño, construcción, pruebas e implementación de los requerimientos del componente tributario de Si Capital.</v>
          </cell>
          <cell r="R91">
            <v>4</v>
          </cell>
          <cell r="S91" t="str">
            <v>5 años de experiencia general de los cuales 1 año de experiencia específica en herramientas Oracle PL/SQL - Forms - Reports</v>
          </cell>
          <cell r="T91" t="str">
            <v>Ingeniero de sistemas o electrónico o eléctrico y/o afines</v>
          </cell>
          <cell r="U91" t="str">
            <v>CONTRATACION DIRECTA</v>
          </cell>
          <cell r="V91" t="str">
            <v>PRINCIPAL</v>
          </cell>
          <cell r="W91" t="str">
            <v>NA</v>
          </cell>
          <cell r="X91" t="str">
            <v>PRESTACION DE SERVICIOS1</v>
          </cell>
          <cell r="Y91">
            <v>261404000</v>
          </cell>
          <cell r="Z91">
            <v>261404000</v>
          </cell>
          <cell r="AA91" t="str">
            <v>11 mes(es)</v>
          </cell>
        </row>
        <row r="92">
          <cell r="C92">
            <v>92</v>
          </cell>
          <cell r="D92">
            <v>3</v>
          </cell>
          <cell r="E92">
            <v>80</v>
          </cell>
          <cell r="F92" t="str">
            <v>INICIAL</v>
          </cell>
          <cell r="G92" t="str">
            <v>RECURSOS PROPIOS</v>
          </cell>
          <cell r="H92">
            <v>42000</v>
          </cell>
          <cell r="I92">
            <v>1</v>
          </cell>
          <cell r="J92" t="str">
            <v>NA</v>
          </cell>
          <cell r="K92" t="str">
            <v>3-3-1-14-03-32-0705-241241 - Gestión integral de TIC - Bogotá Humana</v>
          </cell>
          <cell r="L92">
            <v>1</v>
          </cell>
          <cell r="M92" t="str">
            <v>Atender el 80% de los requerimientos para el componente Tributario del sistema Si Capital</v>
          </cell>
          <cell r="N92" t="str">
            <v>Apoyo en la especificación funcional, diseño, desarrollo, pruebas e implementación del componente tributario del sistema Si Capital</v>
          </cell>
          <cell r="O92" t="str">
            <v>S</v>
          </cell>
          <cell r="P92" t="str">
            <v>NA</v>
          </cell>
          <cell r="Q92" t="str">
            <v>Prestar los servicios profesionales para realizar el análisis, diseño, construcción, pruebas e implementación de los requerimientos del componente tributario de Si Capital.</v>
          </cell>
          <cell r="R92">
            <v>1</v>
          </cell>
          <cell r="S92" t="str">
            <v>4 años de experiencia profesional de los cuales 1 año de experiencia específica en herramientas Oracle - SQL - JAVA.</v>
          </cell>
          <cell r="T92" t="str">
            <v>Ingeniería de sistemas o electrónico, eléctrico y/o afines</v>
          </cell>
          <cell r="U92" t="str">
            <v>CONTRATACION DIRECTA</v>
          </cell>
          <cell r="V92" t="str">
            <v>PRINCIPAL</v>
          </cell>
          <cell r="W92" t="str">
            <v>NA</v>
          </cell>
          <cell r="X92" t="str">
            <v>PRESTACION DE SERVICIOS1</v>
          </cell>
          <cell r="Y92">
            <v>65351000</v>
          </cell>
          <cell r="Z92">
            <v>65351000</v>
          </cell>
          <cell r="AA92" t="str">
            <v>11 mes(es)</v>
          </cell>
        </row>
        <row r="93">
          <cell r="C93">
            <v>93</v>
          </cell>
          <cell r="D93">
            <v>3</v>
          </cell>
          <cell r="E93">
            <v>80</v>
          </cell>
          <cell r="F93" t="str">
            <v>INICIAL</v>
          </cell>
          <cell r="G93" t="str">
            <v>RECURSOS PROPIOS</v>
          </cell>
          <cell r="H93">
            <v>42000</v>
          </cell>
          <cell r="I93">
            <v>1</v>
          </cell>
          <cell r="J93" t="str">
            <v>NA</v>
          </cell>
          <cell r="K93" t="str">
            <v>3-3-1-14-03-32-0705-241241 - Gestión integral de TIC - Bogotá Humana</v>
          </cell>
          <cell r="L93">
            <v>1</v>
          </cell>
          <cell r="M93" t="str">
            <v>Atender el 80% de los requerimientos para el componente Tributario del sistema Si Capital</v>
          </cell>
          <cell r="N93" t="str">
            <v>Apoyo en la especificación funcional, diseño, desarrollo, pruebas e implementación del componente tributario del sistema Si Capital</v>
          </cell>
          <cell r="O93" t="str">
            <v>S</v>
          </cell>
          <cell r="P93" t="str">
            <v>NA</v>
          </cell>
          <cell r="Q93" t="str">
            <v>Prestar los servicios profesionales para realizar el análisis, diseño, construcción, pruebas e implementación y apoyar la aplicación de estándares y lineamientos  establecidos para la construcción y mantenimiento de requerimientos de software del componen</v>
          </cell>
          <cell r="R93">
            <v>3</v>
          </cell>
          <cell r="S93" t="str">
            <v>6 años de experiencia profesional, de los cuales 3 años de experiencia específica en herramientas PL/SQL - Forms - Reports</v>
          </cell>
          <cell r="T93" t="str">
            <v>Ingeniero de sistemas o electrónico o eléctrico y/o afines</v>
          </cell>
          <cell r="U93" t="str">
            <v>CONTRATACION DIRECTA</v>
          </cell>
          <cell r="V93" t="str">
            <v>PRINCIPAL</v>
          </cell>
          <cell r="W93" t="str">
            <v>NA</v>
          </cell>
          <cell r="X93" t="str">
            <v>PRESTACION DE SERVICIOS1</v>
          </cell>
          <cell r="Y93">
            <v>210045000</v>
          </cell>
          <cell r="Z93">
            <v>210045000</v>
          </cell>
          <cell r="AA93" t="str">
            <v>11 mes(es)</v>
          </cell>
        </row>
        <row r="94">
          <cell r="C94">
            <v>94</v>
          </cell>
          <cell r="D94">
            <v>3</v>
          </cell>
          <cell r="E94">
            <v>80</v>
          </cell>
          <cell r="F94" t="str">
            <v>INICIAL</v>
          </cell>
          <cell r="G94" t="str">
            <v>RECURSOS PROPIOS</v>
          </cell>
          <cell r="H94">
            <v>42000</v>
          </cell>
          <cell r="I94">
            <v>1</v>
          </cell>
          <cell r="J94" t="str">
            <v>NA</v>
          </cell>
          <cell r="K94" t="str">
            <v>3-3-1-14-03-32-0705-241241 - Gestión integral de TIC - Bogotá Humana</v>
          </cell>
          <cell r="L94">
            <v>1</v>
          </cell>
          <cell r="M94" t="str">
            <v>Atender el 80% de los requerimientos para el componente Tributario del sistema Si Capital</v>
          </cell>
          <cell r="N94" t="str">
            <v>Apoyo en la especificación funcional, diseño, desarrollo, pruebas e implementación del componente tributario del sistema Si Capital</v>
          </cell>
          <cell r="O94" t="str">
            <v>S</v>
          </cell>
          <cell r="P94" t="str">
            <v>NA</v>
          </cell>
          <cell r="Q94" t="str">
            <v>Prestar los servicios profesionales para realizar el análisis, diseño, construcción, pruebas e implementación y realizar controles en la aplicación de estándares y lineamientos  establecidos para la construcción y mantenimiento de requerimientos de softwa</v>
          </cell>
          <cell r="R94">
            <v>1</v>
          </cell>
          <cell r="S94" t="str">
            <v>7 años de experiencia profesional, de los cuales 4 años de experiencia específica en herramientas Oracle PL/SQL - Forms - Reports</v>
          </cell>
          <cell r="T94" t="str">
            <v>Ingeniero de sistemas o ingeniero industrial y/o a fines y que acredite  conocimientos  en manejo de las herramientas Oracle-SQL, designer y Developer.</v>
          </cell>
          <cell r="U94" t="str">
            <v>CONTRATACION DIRECTA</v>
          </cell>
          <cell r="V94" t="str">
            <v>PRINCIPAL</v>
          </cell>
          <cell r="W94" t="str">
            <v>NA</v>
          </cell>
          <cell r="X94" t="str">
            <v>PRESTACION DE SERVICIOS1</v>
          </cell>
          <cell r="Y94">
            <v>74260000</v>
          </cell>
          <cell r="Z94">
            <v>74260000</v>
          </cell>
          <cell r="AA94" t="str">
            <v>10 mes(es)</v>
          </cell>
        </row>
        <row r="95">
          <cell r="C95">
            <v>95</v>
          </cell>
          <cell r="D95">
            <v>3</v>
          </cell>
          <cell r="E95">
            <v>80</v>
          </cell>
          <cell r="F95" t="str">
            <v>INICIAL</v>
          </cell>
          <cell r="G95" t="str">
            <v>RECURSOS PROPIOS</v>
          </cell>
          <cell r="H95">
            <v>42000</v>
          </cell>
          <cell r="I95">
            <v>1</v>
          </cell>
          <cell r="J95" t="str">
            <v>NA</v>
          </cell>
          <cell r="K95" t="str">
            <v>3-3-1-14-03-32-0705-241241 - Gestión integral de TIC - Bogotá Humana</v>
          </cell>
          <cell r="L95">
            <v>1</v>
          </cell>
          <cell r="M95" t="str">
            <v>Atender el 80% de los requerimientos para los componentes Administrativo y Financiero del sistema Si Capital</v>
          </cell>
          <cell r="N95" t="str">
            <v>Apoyo en la especificación funcional, diseño, desarrollo, pruebas e implementación de los componentes administrativos y financieros del sistema Si Capital</v>
          </cell>
          <cell r="O95" t="str">
            <v>S</v>
          </cell>
          <cell r="P95" t="str">
            <v>NA</v>
          </cell>
          <cell r="Q95" t="str">
            <v>Prestar los servicios profesionales para realizar el análisis, diseño, construcción, pruebas e implementación de los requerimientos del componente financiero de Si Capital</v>
          </cell>
          <cell r="R95">
            <v>13</v>
          </cell>
          <cell r="S95" t="str">
            <v>5 años de experiencia general  y 1 año de experiencia específica en  herramientas Oracle PL/SQL - Forms - Reports</v>
          </cell>
          <cell r="T95" t="str">
            <v>Ingeniero de Sistemas o Electrónico y/o afines</v>
          </cell>
          <cell r="U95" t="str">
            <v>CONTRATACION DIRECTA</v>
          </cell>
          <cell r="V95" t="str">
            <v>PRINCIPAL</v>
          </cell>
          <cell r="W95" t="str">
            <v>NA</v>
          </cell>
          <cell r="X95" t="str">
            <v>PRESTACION DE SERVICIOS1</v>
          </cell>
          <cell r="Y95">
            <v>849563000</v>
          </cell>
          <cell r="Z95">
            <v>849563000</v>
          </cell>
          <cell r="AA95" t="str">
            <v>11 mes(es)</v>
          </cell>
        </row>
        <row r="96">
          <cell r="C96">
            <v>96</v>
          </cell>
          <cell r="D96">
            <v>3</v>
          </cell>
          <cell r="E96">
            <v>80</v>
          </cell>
          <cell r="F96" t="str">
            <v>INICIAL</v>
          </cell>
          <cell r="G96" t="str">
            <v>RECURSOS PROPIOS</v>
          </cell>
          <cell r="H96">
            <v>42000</v>
          </cell>
          <cell r="I96">
            <v>1</v>
          </cell>
          <cell r="J96" t="str">
            <v>NA</v>
          </cell>
          <cell r="K96" t="str">
            <v>3-3-1-14-03-32-0705-241241 - Gestión integral de TIC - Bogotá Humana</v>
          </cell>
          <cell r="L96">
            <v>1</v>
          </cell>
          <cell r="M96" t="str">
            <v>Atender el 80% de los requerimientos para los componentes Administrativo y Financiero del sistema Si Capital</v>
          </cell>
          <cell r="N96" t="str">
            <v>Apoyo en la especificación funcional, diseño, desarrollo, pruebas e implementación de los componentes administrativos y financieros del sistema Si Capital</v>
          </cell>
          <cell r="O96" t="str">
            <v>S</v>
          </cell>
          <cell r="P96" t="str">
            <v>NA</v>
          </cell>
          <cell r="Q96" t="str">
            <v>Prestar los servicios profesionales para realizar el análisis, diseño, construcción, pruebas e implementación de los requerimientos del componente financiero de Si Capital</v>
          </cell>
          <cell r="R96">
            <v>3</v>
          </cell>
          <cell r="S96" t="str">
            <v>4 años de experiencia general  y 1 año de experiencia específica en  herramientas Oracle Java</v>
          </cell>
          <cell r="T96" t="str">
            <v>Ingeniero de sistemas o electrónico o eléctrico y/o afines</v>
          </cell>
          <cell r="U96" t="str">
            <v>CONTRATACION DIRECTA</v>
          </cell>
          <cell r="V96" t="str">
            <v>PRINCIPAL</v>
          </cell>
          <cell r="W96" t="str">
            <v>NA</v>
          </cell>
          <cell r="X96" t="str">
            <v>PRESTACION DE SERVICIOS1</v>
          </cell>
          <cell r="Y96">
            <v>196053000</v>
          </cell>
          <cell r="Z96">
            <v>196053000</v>
          </cell>
          <cell r="AA96" t="str">
            <v>11 mes(es)</v>
          </cell>
        </row>
        <row r="97">
          <cell r="C97">
            <v>97</v>
          </cell>
          <cell r="D97">
            <v>3</v>
          </cell>
          <cell r="E97">
            <v>80</v>
          </cell>
          <cell r="F97" t="str">
            <v>INICIAL</v>
          </cell>
          <cell r="G97" t="str">
            <v>RECURSOS PROPIOS</v>
          </cell>
          <cell r="H97">
            <v>40000</v>
          </cell>
          <cell r="I97">
            <v>1</v>
          </cell>
          <cell r="J97" t="str">
            <v>NA</v>
          </cell>
          <cell r="K97" t="str">
            <v>3-3-1-14-03-32-0705-241241 - Gestión integral de TIC - Bogotá Humana</v>
          </cell>
          <cell r="L97">
            <v>1</v>
          </cell>
          <cell r="M97" t="str">
            <v>Atender el 80% de los requerimientos para los componentes Administrativo y Financiero del sistema Si Capital</v>
          </cell>
          <cell r="N97" t="str">
            <v>Apoyo en la especificación funcional, diseño, desarrollo, pruebas e implementación de los componentes administrativos y financieros del sistema Si Capital</v>
          </cell>
          <cell r="O97" t="str">
            <v>S</v>
          </cell>
          <cell r="P97" t="str">
            <v>NA</v>
          </cell>
          <cell r="Q97" t="str">
            <v>Prestar los servicios profesionales para realizar el análisis, diseño, construcción, pruebas e implementación y apoyar la aplicación de estándares y lineamientos  establecidos para la construcción y mantenimiento de requerimientos de software del componen</v>
          </cell>
          <cell r="R97">
            <v>1</v>
          </cell>
          <cell r="S97" t="str">
            <v>6 años de experiencia profesional, de los cuales 3 años de experiencia específica en herramientas Oracle PL/SQL - Forms - Reports</v>
          </cell>
          <cell r="T97" t="str">
            <v>Ingeniero de sistemas o electrónico o eléctrico y/o afines</v>
          </cell>
          <cell r="U97" t="str">
            <v>CONTRATACION DIRECTA</v>
          </cell>
          <cell r="V97" t="str">
            <v>PRINCIPAL</v>
          </cell>
          <cell r="W97" t="str">
            <v>NA</v>
          </cell>
          <cell r="X97" t="str">
            <v>PRESTACION DE SERVICIOS1</v>
          </cell>
          <cell r="Y97">
            <v>70015000</v>
          </cell>
          <cell r="Z97">
            <v>70015000</v>
          </cell>
          <cell r="AA97" t="str">
            <v>11 mes(es)</v>
          </cell>
        </row>
        <row r="98">
          <cell r="C98">
            <v>98</v>
          </cell>
          <cell r="D98">
            <v>3</v>
          </cell>
          <cell r="E98">
            <v>80</v>
          </cell>
          <cell r="F98" t="str">
            <v>INICIAL</v>
          </cell>
          <cell r="G98" t="str">
            <v>RECURSOS PROPIOS</v>
          </cell>
          <cell r="H98">
            <v>42000</v>
          </cell>
          <cell r="I98">
            <v>1</v>
          </cell>
          <cell r="J98" t="str">
            <v>NA</v>
          </cell>
          <cell r="K98" t="str">
            <v>3-3-1-14-03-32-0705-241241 - Gestión integral de TIC - Bogotá Humana</v>
          </cell>
          <cell r="L98">
            <v>1</v>
          </cell>
          <cell r="M98" t="str">
            <v>Atender el 80% de los requerimientos para los componentes Administrativo y Financiero del sistema Si Capital</v>
          </cell>
          <cell r="N98" t="str">
            <v>Apoyo en la especificación funcional, diseño, desarrollo, pruebas e implementación de los componentes administrativos y financieros del sistema Si Capital</v>
          </cell>
          <cell r="O98" t="str">
            <v>S</v>
          </cell>
          <cell r="P98" t="str">
            <v>NA</v>
          </cell>
          <cell r="Q98" t="str">
            <v>Prestar los servicios profesionales para realizar el análisis, diseño, construcción, pruebas e implementación y apoyar la aplicación de estándares y lineamientos  establecidos para la construcción y mantenimiento de requerimientos de software del componen</v>
          </cell>
          <cell r="R98">
            <v>1</v>
          </cell>
          <cell r="S98" t="str">
            <v>6 años de experiencia profesional, de los cuales 3 años de experiencia específica en herramientas Java</v>
          </cell>
          <cell r="T98" t="str">
            <v>Ingeniero de sistemas o electrónico, eléctrico y/o afines</v>
          </cell>
          <cell r="U98" t="str">
            <v>CONTRATACION DIRECTA</v>
          </cell>
          <cell r="V98" t="str">
            <v>PRINCIPAL</v>
          </cell>
          <cell r="W98" t="str">
            <v>NA</v>
          </cell>
          <cell r="X98" t="str">
            <v>PRESTACION DE SERVICIOS1</v>
          </cell>
          <cell r="Y98">
            <v>70015000</v>
          </cell>
          <cell r="Z98">
            <v>70015000</v>
          </cell>
          <cell r="AA98" t="str">
            <v>11 mes(es)</v>
          </cell>
        </row>
        <row r="99">
          <cell r="C99">
            <v>99</v>
          </cell>
          <cell r="D99">
            <v>3</v>
          </cell>
          <cell r="E99">
            <v>80</v>
          </cell>
          <cell r="F99" t="str">
            <v>INICIAL</v>
          </cell>
          <cell r="G99" t="str">
            <v>RECURSOS PROPIOS</v>
          </cell>
          <cell r="H99">
            <v>42000</v>
          </cell>
          <cell r="I99">
            <v>1</v>
          </cell>
          <cell r="J99" t="str">
            <v>NA</v>
          </cell>
          <cell r="K99" t="str">
            <v>3-3-1-14-03-32-0705-241241 - Gestión integral de TIC - Bogotá Humana</v>
          </cell>
          <cell r="L99">
            <v>1</v>
          </cell>
          <cell r="M99" t="str">
            <v>Atender el 80% de los requerimientos para los componentes Administrativo y Financiero del sistema Si Capital</v>
          </cell>
          <cell r="N99" t="str">
            <v>Apoyo en la especificación funcional, diseño, desarrollo, pruebas e implementación de los componentes administrativos y financieros del sistema Si Capital</v>
          </cell>
          <cell r="O99" t="str">
            <v>S</v>
          </cell>
          <cell r="P99" t="str">
            <v>NA</v>
          </cell>
          <cell r="Q99" t="str">
            <v>Prestar los servicios profesionales para realizar el análisis, diseño, construcción, pruebas e implementación de requerimientos BI del componente Financiero y Administrativo de Si Capital.</v>
          </cell>
          <cell r="R99">
            <v>2</v>
          </cell>
          <cell r="S99" t="str">
            <v>4 años de experiencia general y 2 años de experiencia especifica en herramientas BI</v>
          </cell>
          <cell r="T99" t="str">
            <v>Ingeniero de sistemas, electrónico, eléctrico y/o afines.</v>
          </cell>
          <cell r="U99" t="str">
            <v>CONTRATACION DIRECTA</v>
          </cell>
          <cell r="V99" t="str">
            <v>PRINCIPAL</v>
          </cell>
          <cell r="W99" t="str">
            <v>NA</v>
          </cell>
          <cell r="X99" t="str">
            <v>PRESTACION DE SERVICIOS1</v>
          </cell>
          <cell r="Y99">
            <v>140030000</v>
          </cell>
          <cell r="Z99">
            <v>140030000</v>
          </cell>
          <cell r="AA99" t="str">
            <v>11 mes(es)</v>
          </cell>
        </row>
        <row r="100">
          <cell r="C100">
            <v>100</v>
          </cell>
          <cell r="D100">
            <v>3</v>
          </cell>
          <cell r="E100">
            <v>80</v>
          </cell>
          <cell r="F100" t="str">
            <v>INICIAL</v>
          </cell>
          <cell r="G100" t="str">
            <v>RECURSOS PROPIOS</v>
          </cell>
          <cell r="H100">
            <v>42000</v>
          </cell>
          <cell r="I100">
            <v>1</v>
          </cell>
          <cell r="J100" t="str">
            <v>NA</v>
          </cell>
          <cell r="K100" t="str">
            <v>3-3-1-14-03-32-0705-241241 - Gestión integral de TIC - Bogotá Humana</v>
          </cell>
          <cell r="L100">
            <v>1</v>
          </cell>
          <cell r="M100" t="str">
            <v>Atender el 80% de los requerimientos para los componentes Administrativo y Financiero del sistema Si Capital</v>
          </cell>
          <cell r="N100" t="str">
            <v>Apoyo en la especificación funcional, diseño, desarrollo, pruebas e implementación de los componentes administrativos y financieros del sistema Si Capital</v>
          </cell>
          <cell r="O100" t="str">
            <v>S</v>
          </cell>
          <cell r="P100" t="str">
            <v>NA</v>
          </cell>
          <cell r="Q100" t="str">
            <v>Prestar los servicios profesionales para realizar el análisis, diseño, construcción, pruebas e implementación y realizar controles en la aplicación de estándares y lineamientos  establecidos para la construcción y mantenimiento de requerimientos de softwa</v>
          </cell>
          <cell r="R100">
            <v>1</v>
          </cell>
          <cell r="S100" t="str">
            <v>7 años de experiencia profesional, de los cuales 4 años de experiencia específica en herramientas Oracle PL/SQL - Forms - Reports</v>
          </cell>
          <cell r="T100" t="str">
            <v>Ingeniero de sistemas, electrónico y/o afines</v>
          </cell>
          <cell r="U100" t="str">
            <v>CONTRATACION DIRECTA</v>
          </cell>
          <cell r="V100" t="str">
            <v>PRINCIPAL</v>
          </cell>
          <cell r="W100" t="str">
            <v>NA</v>
          </cell>
          <cell r="X100" t="str">
            <v>PRESTACION DE SERVICIOS1</v>
          </cell>
          <cell r="Y100">
            <v>81686000</v>
          </cell>
          <cell r="Z100">
            <v>81686000</v>
          </cell>
          <cell r="AA100" t="str">
            <v>11 mes(es)</v>
          </cell>
        </row>
        <row r="101">
          <cell r="C101">
            <v>101</v>
          </cell>
          <cell r="D101">
            <v>3</v>
          </cell>
          <cell r="E101">
            <v>80</v>
          </cell>
          <cell r="F101" t="str">
            <v>INICIAL</v>
          </cell>
          <cell r="G101" t="str">
            <v>RECURSOS PROPIOS</v>
          </cell>
          <cell r="H101">
            <v>42000</v>
          </cell>
          <cell r="I101">
            <v>1</v>
          </cell>
          <cell r="J101" t="str">
            <v>NA</v>
          </cell>
          <cell r="K101" t="str">
            <v>3-3-1-14-03-32-0705-241241 - Gestión integral de TIC - Bogotá Humana</v>
          </cell>
          <cell r="L101">
            <v>1</v>
          </cell>
          <cell r="M101" t="str">
            <v>Atender el 80% de los requerimientos para los componentes Administrativo y Financiero del sistema Si Capital</v>
          </cell>
          <cell r="N101" t="str">
            <v>Apoyo en la especificación funcional, diseño, desarrollo, pruebas e implementación de los componentes administrativos y financieros del sistema Si Capital</v>
          </cell>
          <cell r="O101" t="str">
            <v>S</v>
          </cell>
          <cell r="P101" t="str">
            <v>NA</v>
          </cell>
          <cell r="Q101" t="str">
            <v>Prestar los servicios profesionales para realizar el análisis, diseño, construcción, pruebas e implementación y realizar controles en la aplicación de estándares y lineamientos  establecidos para la construcción y/o mantenimiento de requerimientos de soft</v>
          </cell>
          <cell r="R101">
            <v>2</v>
          </cell>
          <cell r="S101" t="str">
            <v>8 años de experiencia profesional, de los cuales 5 años de experiencia específica en herramientas Oracle PL/SQL - Forms - Reports</v>
          </cell>
          <cell r="T101" t="str">
            <v>Ingeniero de sistemas o electrónico o eléctrico y/o afines</v>
          </cell>
          <cell r="U101" t="str">
            <v>CONTRATACION DIRECTA</v>
          </cell>
          <cell r="V101" t="str">
            <v>PRINCIPAL</v>
          </cell>
          <cell r="W101" t="str">
            <v>NA</v>
          </cell>
          <cell r="X101" t="str">
            <v>PRESTACION DE SERVICIOS1</v>
          </cell>
          <cell r="Y101">
            <v>186714000</v>
          </cell>
          <cell r="Z101">
            <v>186714000</v>
          </cell>
          <cell r="AA101" t="str">
            <v>11 mes(es)</v>
          </cell>
        </row>
        <row r="102">
          <cell r="C102">
            <v>102</v>
          </cell>
          <cell r="D102">
            <v>3</v>
          </cell>
          <cell r="E102">
            <v>80</v>
          </cell>
          <cell r="F102" t="str">
            <v>INICIAL</v>
          </cell>
          <cell r="G102" t="str">
            <v>RECURSOS PROPIOS</v>
          </cell>
          <cell r="H102">
            <v>42000</v>
          </cell>
          <cell r="I102">
            <v>1</v>
          </cell>
          <cell r="J102" t="str">
            <v>NA</v>
          </cell>
          <cell r="K102" t="str">
            <v>3-3-1-14-03-32-0705-241241 - Gestión integral de TIC - Bogotá Humana</v>
          </cell>
          <cell r="L102">
            <v>1</v>
          </cell>
          <cell r="M102" t="str">
            <v>Atender el 80% de los requerimientos para los componentes Administrativo y Financiero del sistema Si Capital</v>
          </cell>
          <cell r="N102" t="str">
            <v>Apoyo en la especificación funcional, diseño, desarrollo, pruebas e implementación de los componentes administrativos y financieros del sistema Si Capital</v>
          </cell>
          <cell r="O102" t="str">
            <v>S</v>
          </cell>
          <cell r="P102" t="str">
            <v>NA</v>
          </cell>
          <cell r="Q102" t="str">
            <v>Prestar los servicios profesionales para realizar el diseño, construcción, pruebas e implementación de los requerimientos del componente administrativo de Si Capital.</v>
          </cell>
          <cell r="R102">
            <v>1</v>
          </cell>
          <cell r="S102" t="str">
            <v>3 años de experiencia profesional, de los cuales 1 año de experiencia específica en herramientas Oracle PL/SQL - Forms - Reports</v>
          </cell>
          <cell r="T102" t="str">
            <v>Ingeniero de sistemas, electrónico, eléctrica y/o afines</v>
          </cell>
          <cell r="U102" t="str">
            <v>CONTRATACION DIRECTA</v>
          </cell>
          <cell r="V102" t="str">
            <v>PRINCIPAL</v>
          </cell>
          <cell r="W102" t="str">
            <v>NA</v>
          </cell>
          <cell r="X102" t="str">
            <v>PRESTACION DE SERVICIOS1</v>
          </cell>
          <cell r="Y102">
            <v>63030000</v>
          </cell>
          <cell r="Z102">
            <v>63030000</v>
          </cell>
          <cell r="AA102" t="str">
            <v>11 mes(es)</v>
          </cell>
        </row>
        <row r="103">
          <cell r="C103">
            <v>103</v>
          </cell>
          <cell r="D103">
            <v>3</v>
          </cell>
          <cell r="E103">
            <v>80</v>
          </cell>
          <cell r="F103" t="str">
            <v>INICIAL</v>
          </cell>
          <cell r="G103" t="str">
            <v>RECURSOS PROPIOS</v>
          </cell>
          <cell r="H103">
            <v>42000</v>
          </cell>
          <cell r="I103">
            <v>1</v>
          </cell>
          <cell r="J103" t="str">
            <v>NA</v>
          </cell>
          <cell r="K103" t="str">
            <v>3-3-1-14-03-32-0705-241241 - Gestión integral de TIC - Bogotá Humana</v>
          </cell>
          <cell r="L103">
            <v>1</v>
          </cell>
          <cell r="M103" t="str">
            <v>Atender el 80% de los requerimientos para los componentes Administrativo y Financiero del sistema Si Capital</v>
          </cell>
          <cell r="N103" t="str">
            <v>Apoyo en la especificación funcional, diseño, desarrollo, pruebas e implementación de los componentes administrativos y financieros del sistema Si Capital</v>
          </cell>
          <cell r="O103" t="str">
            <v>S</v>
          </cell>
          <cell r="P103" t="str">
            <v>NA</v>
          </cell>
          <cell r="Q103" t="str">
            <v>Prestar los servicios profesionales para realizar el diseño, construcción, pruebas e implementación de los requerimientos del componente administrativo de Si Capital.</v>
          </cell>
          <cell r="R103">
            <v>1</v>
          </cell>
          <cell r="S103" t="str">
            <v>3 años de experiencia general y 1 año de experiencia específica en herramientas Oracle Java</v>
          </cell>
          <cell r="T103" t="str">
            <v>Ingeniero de sistemas, electrónico, eléctrico y/o afines</v>
          </cell>
          <cell r="U103" t="str">
            <v>CONTRATACION DIRECTA</v>
          </cell>
          <cell r="V103" t="str">
            <v>PRINCIPAL</v>
          </cell>
          <cell r="W103" t="str">
            <v>NA</v>
          </cell>
          <cell r="X103" t="str">
            <v>PRESTACION DE SERVICIOS1</v>
          </cell>
          <cell r="Y103">
            <v>63030000</v>
          </cell>
          <cell r="Z103">
            <v>63030000</v>
          </cell>
          <cell r="AA103" t="str">
            <v>11 mes(es)</v>
          </cell>
        </row>
        <row r="104">
          <cell r="C104">
            <v>104</v>
          </cell>
          <cell r="D104">
            <v>3</v>
          </cell>
          <cell r="E104">
            <v>80</v>
          </cell>
          <cell r="F104" t="str">
            <v>INICIAL</v>
          </cell>
          <cell r="G104" t="str">
            <v>RECURSOS PROPIOS</v>
          </cell>
          <cell r="H104">
            <v>40000</v>
          </cell>
          <cell r="I104">
            <v>1</v>
          </cell>
          <cell r="J104" t="str">
            <v>NA</v>
          </cell>
          <cell r="K104" t="str">
            <v>3-3-1-14-03-32-0705-241241 - Gestión integral de TIC - Bogotá Humana</v>
          </cell>
          <cell r="L104">
            <v>1</v>
          </cell>
          <cell r="M104" t="str">
            <v>Atender el 80% de los requerimientos para los componentes Administrativo y Financiero del sistema Si Capital</v>
          </cell>
          <cell r="N104" t="str">
            <v>Apoyo en la especificación funcional, diseño, desarrollo, pruebas e implementación de los componentes administrativos y financieros del sistema Si Capital</v>
          </cell>
          <cell r="O104" t="str">
            <v>S</v>
          </cell>
          <cell r="P104" t="str">
            <v>NA</v>
          </cell>
          <cell r="Q104" t="str">
            <v>Prestar los servicios profesionales para realizar el análisis, diseño, construcción, pruebas e implementación de los requerimientos del componente administrativo de Si Capital.</v>
          </cell>
          <cell r="R104">
            <v>1</v>
          </cell>
          <cell r="S104" t="str">
            <v>5 años de experiencia profesional, de los cuales 1 año de experiencia específica en herramientas Oracle PL/SQL - Forms - Reports</v>
          </cell>
          <cell r="T104" t="str">
            <v>Ingeniero de sistemas, electrónico, eléctrico y/o afines</v>
          </cell>
          <cell r="U104" t="str">
            <v>CONTRATACION DIRECTA</v>
          </cell>
          <cell r="V104" t="str">
            <v>PRINCIPAL</v>
          </cell>
          <cell r="W104" t="str">
            <v>NA</v>
          </cell>
          <cell r="X104" t="str">
            <v>PRESTACION DE SERVICIOS1</v>
          </cell>
          <cell r="Y104">
            <v>65351000</v>
          </cell>
          <cell r="Z104">
            <v>65351000</v>
          </cell>
          <cell r="AA104" t="str">
            <v>11 mes(es)</v>
          </cell>
        </row>
        <row r="105">
          <cell r="C105">
            <v>105</v>
          </cell>
          <cell r="D105">
            <v>3</v>
          </cell>
          <cell r="E105">
            <v>80</v>
          </cell>
          <cell r="F105" t="str">
            <v>INICIAL</v>
          </cell>
          <cell r="G105" t="str">
            <v>RECURSOS PROPIOS</v>
          </cell>
          <cell r="H105">
            <v>42000</v>
          </cell>
          <cell r="I105">
            <v>1</v>
          </cell>
          <cell r="J105" t="str">
            <v>NA</v>
          </cell>
          <cell r="K105" t="str">
            <v>3-3-1-14-03-32-0705-241241 - Gestión integral de TIC - Bogotá Humana</v>
          </cell>
          <cell r="L105">
            <v>1</v>
          </cell>
          <cell r="M105" t="str">
            <v>Atender el 80% de los requerimientos para los componentes Administrativo y Financiero del sistema Si Capital</v>
          </cell>
          <cell r="N105" t="str">
            <v>Apoyo en la especificación funcional, diseño, desarrollo, pruebas e implementación de los componentes administrativos y financieros del sistema Si Capital</v>
          </cell>
          <cell r="O105" t="str">
            <v>S</v>
          </cell>
          <cell r="P105" t="str">
            <v>NA</v>
          </cell>
          <cell r="Q105" t="str">
            <v>Prestar los servicios profesionales para realizar el análisis, diseño, construcción, pruebas e implementación y apoyar la aplicación de estándares y lineamientos  establecidos para la construcción y mantenimiento de requerimientos de software del componen</v>
          </cell>
          <cell r="R105">
            <v>4</v>
          </cell>
          <cell r="S105" t="str">
            <v>6 años de experiencia profesional, de los cuales 3 años de experiencia específica en herramientas  Oracle PL/SQL - Forms - Reports</v>
          </cell>
          <cell r="T105" t="str">
            <v>Ingeniero de sistemas, electrónico, eléctrico y/o afines</v>
          </cell>
          <cell r="U105" t="str">
            <v>CONTRATACION DIRECTA</v>
          </cell>
          <cell r="V105" t="str">
            <v>PRINCIPAL</v>
          </cell>
          <cell r="W105" t="str">
            <v>NA</v>
          </cell>
          <cell r="X105" t="str">
            <v>PRESTACION DE SERVICIOS1</v>
          </cell>
          <cell r="Y105">
            <v>280060000</v>
          </cell>
          <cell r="Z105">
            <v>280060000</v>
          </cell>
          <cell r="AA105" t="str">
            <v>11 mes(es)</v>
          </cell>
        </row>
        <row r="106">
          <cell r="C106">
            <v>106</v>
          </cell>
          <cell r="D106">
            <v>3</v>
          </cell>
          <cell r="E106">
            <v>80</v>
          </cell>
          <cell r="F106" t="str">
            <v>INICIAL</v>
          </cell>
          <cell r="G106" t="str">
            <v>RECURSOS PROPIOS</v>
          </cell>
          <cell r="H106">
            <v>40000</v>
          </cell>
          <cell r="I106">
            <v>1</v>
          </cell>
          <cell r="J106" t="str">
            <v>NA</v>
          </cell>
          <cell r="K106" t="str">
            <v>3-3-1-14-03-32-0705-241241 - Gestión integral de TIC - Bogotá Humana</v>
          </cell>
          <cell r="L106">
            <v>1</v>
          </cell>
          <cell r="M106" t="str">
            <v>Mantener el 97% de disponibilidad de las TIC, optimizando la infraestructura tecnológica de la SDH de acuerdo con los estándares y niveles de servicio</v>
          </cell>
          <cell r="N106" t="str">
            <v>Apoyo a la gestión de los servicios de tecnologías de la información y comunicaciones</v>
          </cell>
          <cell r="O106" t="str">
            <v>S</v>
          </cell>
          <cell r="P106" t="str">
            <v>NA</v>
          </cell>
          <cell r="Q106" t="str">
            <v>Prestar los servicios profesionales para realizar la fase 2 de CRM bajo la plataforma SOA, Siebel</v>
          </cell>
          <cell r="R106">
            <v>1</v>
          </cell>
          <cell r="S106" t="str">
            <v>6 años de experiencia profesional, de los cuales 3 años de experiencia específica en herramientas Oracle PL/SQL - Forms - Reports y/o Java</v>
          </cell>
          <cell r="T106" t="str">
            <v>Ingeniero de Sistemas, electrónico y/o afines</v>
          </cell>
          <cell r="U106" t="str">
            <v>CONTRATACION DIRECTA</v>
          </cell>
          <cell r="V106" t="str">
            <v>PRINCIPAL</v>
          </cell>
          <cell r="W106" t="str">
            <v>NA</v>
          </cell>
          <cell r="X106" t="str">
            <v>PRESTACION DE SERVICIOS1</v>
          </cell>
          <cell r="Y106">
            <v>70015000</v>
          </cell>
          <cell r="Z106">
            <v>70015000</v>
          </cell>
          <cell r="AA106" t="str">
            <v>11 mes(es)</v>
          </cell>
        </row>
        <row r="107">
          <cell r="C107">
            <v>107</v>
          </cell>
          <cell r="D107">
            <v>3</v>
          </cell>
          <cell r="E107">
            <v>14</v>
          </cell>
          <cell r="F107" t="str">
            <v>MODIFICACION</v>
          </cell>
          <cell r="G107" t="str">
            <v>RECURSOS PROPIOS</v>
          </cell>
          <cell r="H107">
            <v>40000</v>
          </cell>
          <cell r="I107">
            <v>1</v>
          </cell>
          <cell r="J107" t="str">
            <v>NA</v>
          </cell>
          <cell r="K107" t="str">
            <v>3-3-1-14-03-32-0705-241241 - Gestión integral de TIC - Bogotá Humana</v>
          </cell>
          <cell r="L107">
            <v>1</v>
          </cell>
          <cell r="M107" t="str">
            <v>Implementar 6 fases de modelo de gestión de TIC</v>
          </cell>
          <cell r="N107" t="str">
            <v>Apoyo a la gestión para mejorar la gobernabilidad, seguridad y arquitectura  de TIC</v>
          </cell>
          <cell r="O107" t="str">
            <v>S</v>
          </cell>
          <cell r="P107" t="str">
            <v>NA</v>
          </cell>
          <cell r="Q107" t="str">
            <v>Prestar los servicios profesionales y realizar el acompañamiento en la planeación, estructuración, control y ejecución de las actividades referentes a definición de condiciones y lineamientos de la Secretaria Distrital de Hacienda para la actualización de</v>
          </cell>
          <cell r="R107">
            <v>1</v>
          </cell>
          <cell r="S107" t="str">
            <v>7 años de experiencia profesional.Tres (3) de experiencia en actividades de sistemas de seguridad de información y/o en análisis, diseño, construcción y pruebas de software.</v>
          </cell>
          <cell r="T107" t="str">
            <v>Ingeniero de Sistemas, Ingeniería Electrónica, Ingeniería de Telecomunicaciones y/o afines. Especialista en Seguridad de la información o Especialista en administración de seguridad-</v>
          </cell>
          <cell r="U107" t="str">
            <v>CONTRATACION DIRECTA</v>
          </cell>
          <cell r="V107" t="str">
            <v>PRINCIPAL</v>
          </cell>
          <cell r="W107" t="str">
            <v>NA</v>
          </cell>
          <cell r="X107" t="str">
            <v>PRESTACION DE SERVICIOS1</v>
          </cell>
          <cell r="Y107">
            <v>69624000</v>
          </cell>
          <cell r="Z107">
            <v>69624000</v>
          </cell>
          <cell r="AA107" t="str">
            <v>9 mes(es)</v>
          </cell>
        </row>
        <row r="108">
          <cell r="C108">
            <v>108</v>
          </cell>
          <cell r="D108">
            <v>3</v>
          </cell>
          <cell r="E108">
            <v>14</v>
          </cell>
          <cell r="F108" t="str">
            <v>MODIFICACION</v>
          </cell>
          <cell r="G108" t="str">
            <v>RECURSOS PROPIOS</v>
          </cell>
          <cell r="H108">
            <v>40000</v>
          </cell>
          <cell r="I108">
            <v>1</v>
          </cell>
          <cell r="J108" t="str">
            <v>NA</v>
          </cell>
          <cell r="K108" t="str">
            <v>3-3-1-14-03-32-0705-241241 - Gestión integral de TIC - Bogotá Humana</v>
          </cell>
          <cell r="L108">
            <v>1</v>
          </cell>
          <cell r="M108" t="str">
            <v>Implementar 6 fases de modelo de gestión de TIC</v>
          </cell>
          <cell r="N108" t="str">
            <v>Apoyo a la gestión para mejorar la gobernabilidad, seguridad y arquitectura  de TIC</v>
          </cell>
          <cell r="O108" t="str">
            <v>S</v>
          </cell>
          <cell r="P108" t="str">
            <v>NA</v>
          </cell>
          <cell r="Q108" t="str">
            <v>Prestar los servicios profesionales y realizar el acompañamiento en la planeación, estructuración, control y ejecución de las actividades referentes a definición de condiciones y lineamientos de la Secretaria Distrital de Hacienda para la actualización de</v>
          </cell>
          <cell r="R108">
            <v>1</v>
          </cell>
          <cell r="S108" t="str">
            <v>7 años de experiencia profesional. Tres (3) de experiencia en actividades de análisis de riesgos de información y/o en análisis, diseño, construcción y pruebas de software.</v>
          </cell>
          <cell r="T108" t="str">
            <v>Ingeniero de Sistemas, Ingeniería Electrónica o Ingeniería de Telecomunicaciones y/o afines. Especialista en riesgos de la información o Administrador de seguridad</v>
          </cell>
          <cell r="U108" t="str">
            <v>CONTRATACION DIRECTA</v>
          </cell>
          <cell r="V108" t="str">
            <v>PRINCIPAL</v>
          </cell>
          <cell r="W108" t="str">
            <v>NA</v>
          </cell>
          <cell r="X108" t="str">
            <v>PRESTACION DE SERVICIOS1</v>
          </cell>
          <cell r="Y108">
            <v>69624000</v>
          </cell>
          <cell r="Z108">
            <v>69624000</v>
          </cell>
          <cell r="AA108" t="str">
            <v>9 mes(es)</v>
          </cell>
        </row>
        <row r="109">
          <cell r="C109">
            <v>109</v>
          </cell>
          <cell r="D109">
            <v>3</v>
          </cell>
          <cell r="E109">
            <v>80</v>
          </cell>
          <cell r="F109" t="str">
            <v>INICIAL</v>
          </cell>
          <cell r="G109" t="str">
            <v>RECURSOS PROPIOS</v>
          </cell>
          <cell r="H109">
            <v>40000</v>
          </cell>
          <cell r="I109">
            <v>1</v>
          </cell>
          <cell r="J109" t="str">
            <v>NA</v>
          </cell>
          <cell r="K109" t="str">
            <v>3-3-1-14-03-32-0705-241241 - Gestión integral de TIC - Bogotá Humana</v>
          </cell>
          <cell r="L109">
            <v>1</v>
          </cell>
          <cell r="M109" t="str">
            <v>Implementar 6 fases de modelo de gestión de TIC</v>
          </cell>
          <cell r="N109" t="str">
            <v>Apoyo a la gestión para mejorar la gobernabilidad, seguridad y arquitectura  de TIC</v>
          </cell>
          <cell r="O109" t="str">
            <v>S</v>
          </cell>
          <cell r="P109" t="str">
            <v>NA</v>
          </cell>
          <cell r="Q109" t="str">
            <v>Prestar los servicios profesionales para  implementar la metodología y los lineamientos de mantenimiento y construcción de software</v>
          </cell>
          <cell r="R109">
            <v>1</v>
          </cell>
          <cell r="S109" t="str">
            <v>2 años de experiencia profesional, como mínimo  1 año con experiencia específica en implementación de metodologías ágiles preferiblemente certificado en algunas o varias de las siguientes  metodologías:  SCRUM , Agile UP, XP, Agile Modeling, RUP.</v>
          </cell>
          <cell r="T109" t="str">
            <v>Ingeniero de Sistemas, Electrónica,  Telecomunicaciones y/o afines</v>
          </cell>
          <cell r="U109" t="str">
            <v>CONTRATACION DIRECTA</v>
          </cell>
          <cell r="V109" t="str">
            <v>PRINCIPAL</v>
          </cell>
          <cell r="W109" t="str">
            <v>NA</v>
          </cell>
          <cell r="X109" t="str">
            <v>PRESTACION DE SERVICIOS1</v>
          </cell>
          <cell r="Y109">
            <v>58355000</v>
          </cell>
          <cell r="Z109">
            <v>58355000</v>
          </cell>
          <cell r="AA109" t="str">
            <v>11 mes(es)</v>
          </cell>
        </row>
        <row r="110">
          <cell r="C110">
            <v>110</v>
          </cell>
          <cell r="D110">
            <v>3</v>
          </cell>
          <cell r="E110">
            <v>80</v>
          </cell>
          <cell r="F110" t="str">
            <v>INICIAL</v>
          </cell>
          <cell r="G110" t="str">
            <v>RECURSOS PROPIOS</v>
          </cell>
          <cell r="H110">
            <v>44000</v>
          </cell>
          <cell r="I110">
            <v>1</v>
          </cell>
          <cell r="J110" t="str">
            <v>NA</v>
          </cell>
          <cell r="K110" t="str">
            <v>3-3-1-14-03-32-0705-241241 - Gestión integral de TIC - Bogotá Humana</v>
          </cell>
          <cell r="L110">
            <v>1</v>
          </cell>
          <cell r="M110" t="str">
            <v>Mantener el 97% de disponibilidad de las TIC, optimizando la infraestructura tecnológica de la SDH de acuerdo con los estándares y niveles de servicio</v>
          </cell>
          <cell r="N110" t="str">
            <v>Fortalecer la infraestructura tecnológica de la Información de los procesos misionales y de apoyo.</v>
          </cell>
          <cell r="O110" t="str">
            <v>S</v>
          </cell>
          <cell r="P110" t="str">
            <v>NA</v>
          </cell>
          <cell r="Q110" t="str">
            <v>Adquisición de un sistema  de control de llamadas para la Mesa de Servicios</v>
          </cell>
          <cell r="R110">
            <v>1</v>
          </cell>
          <cell r="S110" t="str">
            <v>NA</v>
          </cell>
          <cell r="T110" t="str">
            <v>NA</v>
          </cell>
          <cell r="U110" t="str">
            <v>MINIMA CUANTIA</v>
          </cell>
          <cell r="V110" t="str">
            <v>PRINCIPAL</v>
          </cell>
          <cell r="W110" t="str">
            <v>NA</v>
          </cell>
          <cell r="X110" t="str">
            <v>COMPRAVENTA</v>
          </cell>
          <cell r="Y110">
            <v>56000000</v>
          </cell>
          <cell r="Z110">
            <v>56000000</v>
          </cell>
          <cell r="AA110" t="str">
            <v>3 mes(es)</v>
          </cell>
        </row>
        <row r="111">
          <cell r="C111">
            <v>111</v>
          </cell>
          <cell r="D111">
            <v>3</v>
          </cell>
          <cell r="E111">
            <v>80</v>
          </cell>
          <cell r="F111" t="str">
            <v>INICIAL</v>
          </cell>
          <cell r="G111" t="str">
            <v>RECURSOS PROPIOS</v>
          </cell>
          <cell r="H111">
            <v>42000</v>
          </cell>
          <cell r="I111">
            <v>1</v>
          </cell>
          <cell r="J111" t="str">
            <v>NA</v>
          </cell>
          <cell r="K111" t="str">
            <v>3-3-1-14-03-32-0705-241241 - Gestión integral de TIC - Bogotá Humana</v>
          </cell>
          <cell r="L111">
            <v>1</v>
          </cell>
          <cell r="M111" t="str">
            <v>Atender el 80% de los requerimientos para los componentes Administrativo y Financiero del sistema Si Capital</v>
          </cell>
          <cell r="N111" t="str">
            <v>Apoyo en la especificación funcional, diseño, desarrollo, pruebas e implementación de los componentes administrativos y financieros del sistema Si Capital</v>
          </cell>
          <cell r="O111" t="str">
            <v>S</v>
          </cell>
          <cell r="P111" t="str">
            <v>NA</v>
          </cell>
          <cell r="Q111" t="str">
            <v>Prestar los servicios profesionales para realizar el análisis, diseño, construcción, pruebas e implementación de los requerimientos del componente administrativo de Si Capital.</v>
          </cell>
          <cell r="R111">
            <v>1</v>
          </cell>
          <cell r="S111" t="str">
            <v>5 años de experiencia profesional, de los cuales 1 año de experiencia específica en herramientas Oracle PL/SQL - Forms - Reports</v>
          </cell>
          <cell r="T111" t="str">
            <v>Ingeniero de sistemas, electrónico, eléctrico y/o afines</v>
          </cell>
          <cell r="U111" t="str">
            <v>CONTRATACION DIRECTA</v>
          </cell>
          <cell r="V111" t="str">
            <v>PRINCIPAL</v>
          </cell>
          <cell r="W111" t="str">
            <v>NA</v>
          </cell>
          <cell r="X111" t="str">
            <v>PRESTACION DE SERVICIOS1</v>
          </cell>
          <cell r="Y111">
            <v>47528000</v>
          </cell>
          <cell r="Z111">
            <v>47528000</v>
          </cell>
          <cell r="AA111" t="str">
            <v>8 mes(es)</v>
          </cell>
        </row>
        <row r="112">
          <cell r="C112">
            <v>112</v>
          </cell>
          <cell r="D112">
            <v>3</v>
          </cell>
          <cell r="E112">
            <v>17</v>
          </cell>
          <cell r="F112" t="str">
            <v>MODIFICACION</v>
          </cell>
          <cell r="G112" t="str">
            <v>RECURSOS PROPIOS</v>
          </cell>
          <cell r="H112">
            <v>52000</v>
          </cell>
          <cell r="I112">
            <v>1</v>
          </cell>
          <cell r="J112" t="str">
            <v>NA</v>
          </cell>
          <cell r="K112" t="str">
            <v>3-1-2-01-01 Dotación</v>
          </cell>
          <cell r="L112">
            <v>1</v>
          </cell>
          <cell r="M112" t="str">
            <v>NA</v>
          </cell>
          <cell r="N112" t="str">
            <v>NA</v>
          </cell>
          <cell r="O112" t="str">
            <v>S</v>
          </cell>
          <cell r="P112" t="str">
            <v>NA</v>
          </cell>
          <cell r="Q112" t="str">
            <v>Suministro de la dotación para los funcionarios de la SDH.</v>
          </cell>
          <cell r="R112">
            <v>2</v>
          </cell>
          <cell r="S112" t="str">
            <v>Relacionada con el objeto a contratar</v>
          </cell>
          <cell r="T112" t="str">
            <v>NA</v>
          </cell>
          <cell r="U112" t="str">
            <v>ACUERDO MARCO</v>
          </cell>
          <cell r="V112" t="str">
            <v>PRINCIPAL</v>
          </cell>
          <cell r="W112" t="str">
            <v>NA</v>
          </cell>
          <cell r="X112" t="str">
            <v>SUMINISTRO</v>
          </cell>
          <cell r="Y112">
            <v>116000000</v>
          </cell>
          <cell r="Z112">
            <v>116000000</v>
          </cell>
          <cell r="AA112" t="str">
            <v>5 mes(es)</v>
          </cell>
        </row>
        <row r="113">
          <cell r="C113">
            <v>113</v>
          </cell>
          <cell r="D113">
            <v>3</v>
          </cell>
          <cell r="E113">
            <v>80</v>
          </cell>
          <cell r="F113" t="str">
            <v>INICIAL</v>
          </cell>
          <cell r="G113" t="str">
            <v>RECURSOS PROPIOS</v>
          </cell>
          <cell r="H113">
            <v>52000</v>
          </cell>
          <cell r="I113">
            <v>1</v>
          </cell>
          <cell r="J113" t="str">
            <v>NA</v>
          </cell>
          <cell r="K113" t="str">
            <v>3-1-2-02-02 Viáticos y Gastos de Viaje</v>
          </cell>
          <cell r="L113">
            <v>1</v>
          </cell>
          <cell r="M113" t="str">
            <v>NA</v>
          </cell>
          <cell r="N113" t="str">
            <v>NA</v>
          </cell>
          <cell r="O113" t="str">
            <v>S</v>
          </cell>
          <cell r="P113" t="str">
            <v>NA</v>
          </cell>
          <cell r="Q113" t="str">
            <v>Suministro de tiquetes aereos para la Secretaría de Hacienda.-</v>
          </cell>
          <cell r="R113">
            <v>1</v>
          </cell>
          <cell r="S113" t="str">
            <v>NA</v>
          </cell>
          <cell r="T113" t="str">
            <v>NA</v>
          </cell>
          <cell r="U113" t="str">
            <v>MINIMA CUANTIA</v>
          </cell>
          <cell r="V113" t="str">
            <v>PRINCIPAL</v>
          </cell>
          <cell r="W113" t="str">
            <v>NA</v>
          </cell>
          <cell r="X113" t="str">
            <v>SUMINISTRO</v>
          </cell>
          <cell r="Y113">
            <v>25000000</v>
          </cell>
          <cell r="Z113">
            <v>25000000</v>
          </cell>
          <cell r="AA113" t="str">
            <v>10 mes(es)</v>
          </cell>
        </row>
        <row r="114">
          <cell r="C114">
            <v>114</v>
          </cell>
          <cell r="D114">
            <v>3</v>
          </cell>
          <cell r="E114">
            <v>80</v>
          </cell>
          <cell r="F114" t="str">
            <v>INICIAL</v>
          </cell>
          <cell r="G114" t="str">
            <v>RECURSOS PROPIOS</v>
          </cell>
          <cell r="H114">
            <v>51000</v>
          </cell>
          <cell r="I114">
            <v>1</v>
          </cell>
          <cell r="J114" t="str">
            <v>NA</v>
          </cell>
          <cell r="K114" t="str">
            <v>3-1-2-02-05-01 Mantenimiento Entidad</v>
          </cell>
          <cell r="L114">
            <v>1</v>
          </cell>
          <cell r="M114" t="str">
            <v>NA</v>
          </cell>
          <cell r="N114" t="str">
            <v>NA</v>
          </cell>
          <cell r="O114" t="str">
            <v>S</v>
          </cell>
          <cell r="P114" t="str">
            <v>NA</v>
          </cell>
          <cell r="Q114" t="str">
            <v>Prestar los servicios de mantenimiento preventivo y correctivo de los vehículos marca Renault al servicio de la Secretaría Distrital de Hacienda.</v>
          </cell>
          <cell r="R114">
            <v>1</v>
          </cell>
          <cell r="S114" t="str">
            <v>Relacionada con el objeto a contratar</v>
          </cell>
          <cell r="T114" t="str">
            <v>NA</v>
          </cell>
          <cell r="U114" t="str">
            <v>MINIMA CUANTIA</v>
          </cell>
          <cell r="V114" t="str">
            <v>PRINCIPAL</v>
          </cell>
          <cell r="W114" t="str">
            <v>NA</v>
          </cell>
          <cell r="X114" t="str">
            <v>PRESTACION DE SERVICIOS</v>
          </cell>
          <cell r="Y114">
            <v>36300000</v>
          </cell>
          <cell r="Z114">
            <v>36300000</v>
          </cell>
          <cell r="AA114" t="str">
            <v>10 mes(es)</v>
          </cell>
        </row>
        <row r="115">
          <cell r="C115">
            <v>115</v>
          </cell>
          <cell r="D115">
            <v>3</v>
          </cell>
          <cell r="E115">
            <v>80</v>
          </cell>
          <cell r="F115" t="str">
            <v>INICIAL</v>
          </cell>
          <cell r="G115" t="str">
            <v>RECURSOS PROPIOS</v>
          </cell>
          <cell r="H115">
            <v>54000</v>
          </cell>
          <cell r="I115">
            <v>1</v>
          </cell>
          <cell r="J115" t="str">
            <v>NA</v>
          </cell>
          <cell r="K115" t="str">
            <v>3-1-2-02-05-01 Mantenimiento Entidad</v>
          </cell>
          <cell r="L115">
            <v>1</v>
          </cell>
          <cell r="M115" t="str">
            <v>NA</v>
          </cell>
          <cell r="N115" t="str">
            <v>NA</v>
          </cell>
          <cell r="O115" t="str">
            <v>S</v>
          </cell>
          <cell r="P115" t="str">
            <v>NA</v>
          </cell>
          <cell r="Q115" t="str">
            <v>Prestar los servicios de mantenimiento preventivo y correctivo con suministro de repuestos para los relojes radicadores de correspondencia de la Secretaría Distrital de Hacienda</v>
          </cell>
          <cell r="R115">
            <v>1</v>
          </cell>
          <cell r="S115" t="str">
            <v>NA</v>
          </cell>
          <cell r="T115" t="str">
            <v>NA</v>
          </cell>
          <cell r="U115" t="str">
            <v>MINIMA CUANTIA</v>
          </cell>
          <cell r="V115" t="str">
            <v>PRINCIPAL</v>
          </cell>
          <cell r="W115" t="str">
            <v>NA</v>
          </cell>
          <cell r="X115" t="str">
            <v>PRESTACION DE SERVICIOS</v>
          </cell>
          <cell r="Y115">
            <v>2200000</v>
          </cell>
          <cell r="Z115">
            <v>2200000</v>
          </cell>
          <cell r="AA115" t="str">
            <v>12 mes(es)</v>
          </cell>
        </row>
        <row r="116">
          <cell r="C116">
            <v>116</v>
          </cell>
          <cell r="D116">
            <v>3</v>
          </cell>
          <cell r="E116">
            <v>80</v>
          </cell>
          <cell r="F116" t="str">
            <v>INICIAL</v>
          </cell>
          <cell r="G116" t="str">
            <v>RECURSOS PROPIOS</v>
          </cell>
          <cell r="H116">
            <v>51000</v>
          </cell>
          <cell r="I116">
            <v>1</v>
          </cell>
          <cell r="J116" t="str">
            <v>NA</v>
          </cell>
          <cell r="K116" t="str">
            <v>3-1-2-02-05-02 Mantenimiento C.A.D.</v>
          </cell>
          <cell r="L116">
            <v>1</v>
          </cell>
          <cell r="M116" t="str">
            <v>NA</v>
          </cell>
          <cell r="N116" t="str">
            <v>NA</v>
          </cell>
          <cell r="O116" t="str">
            <v>S</v>
          </cell>
          <cell r="P116" t="str">
            <v>NA</v>
          </cell>
          <cell r="Q116" t="str">
            <v>Prestar los servicios de mantenimiento preventivo y correctivo a los ascensores marca Schindler ubicados en la Torre A del Centro Administrativo Distrital (CAD)-</v>
          </cell>
          <cell r="R116">
            <v>1</v>
          </cell>
          <cell r="S116" t="str">
            <v>Relacionada con el objeto a contratar</v>
          </cell>
          <cell r="T116" t="str">
            <v>NA</v>
          </cell>
          <cell r="U116" t="str">
            <v>CONTRATACION DIRECTA</v>
          </cell>
          <cell r="V116" t="str">
            <v>PRINCIPAL</v>
          </cell>
          <cell r="W116" t="str">
            <v>NA</v>
          </cell>
          <cell r="X116" t="str">
            <v>PRESTACION DE SERVICIOS</v>
          </cell>
          <cell r="Y116">
            <v>85833000</v>
          </cell>
          <cell r="Z116">
            <v>85833000</v>
          </cell>
          <cell r="AA116" t="str">
            <v>10 mes(es)</v>
          </cell>
        </row>
        <row r="117">
          <cell r="C117">
            <v>117</v>
          </cell>
          <cell r="D117">
            <v>3</v>
          </cell>
          <cell r="E117">
            <v>4</v>
          </cell>
          <cell r="F117" t="str">
            <v>MODIFICACION</v>
          </cell>
          <cell r="G117" t="str">
            <v>RECURSOS PROPIOS</v>
          </cell>
          <cell r="H117">
            <v>51000</v>
          </cell>
          <cell r="I117">
            <v>1</v>
          </cell>
          <cell r="J117" t="str">
            <v>NA</v>
          </cell>
          <cell r="K117" t="str">
            <v>3-1-2-02-05-02 Mantenimiento C.A.D.</v>
          </cell>
          <cell r="L117">
            <v>1</v>
          </cell>
          <cell r="M117" t="str">
            <v>NA</v>
          </cell>
          <cell r="N117" t="str">
            <v>NA</v>
          </cell>
          <cell r="O117" t="str">
            <v>S</v>
          </cell>
          <cell r="P117" t="str">
            <v>NA</v>
          </cell>
          <cell r="Q117" t="str">
            <v>Adición y prórroga al contrato 140183 cuyo objeto consiste en: "Prestar el servicio de mantenimiento preventivo y correctivo al sistema eléctrico del  Centro Administrativo Distrital CAD"</v>
          </cell>
          <cell r="R117">
            <v>1</v>
          </cell>
          <cell r="S117" t="str">
            <v>NA</v>
          </cell>
          <cell r="T117" t="str">
            <v>NA</v>
          </cell>
          <cell r="U117" t="str">
            <v>NA</v>
          </cell>
          <cell r="V117" t="str">
            <v>MODIFICACION</v>
          </cell>
          <cell r="W117" t="str">
            <v>AP</v>
          </cell>
          <cell r="X117" t="str">
            <v>PRESTACION DE SERVICIOS</v>
          </cell>
          <cell r="Y117">
            <v>8000000</v>
          </cell>
          <cell r="Z117">
            <v>8000000</v>
          </cell>
          <cell r="AA117" t="str">
            <v>2 mes(es)</v>
          </cell>
        </row>
        <row r="118">
          <cell r="C118">
            <v>118</v>
          </cell>
          <cell r="D118">
            <v>3</v>
          </cell>
          <cell r="E118">
            <v>80</v>
          </cell>
          <cell r="F118" t="str">
            <v>INICIAL</v>
          </cell>
          <cell r="G118" t="str">
            <v>RECURSOS PROPIOS</v>
          </cell>
          <cell r="H118">
            <v>51000</v>
          </cell>
          <cell r="I118">
            <v>1</v>
          </cell>
          <cell r="J118" t="str">
            <v>NA</v>
          </cell>
          <cell r="K118" t="str">
            <v>3-1-2-02-06-01 Seguros Entidad</v>
          </cell>
          <cell r="L118">
            <v>1</v>
          </cell>
          <cell r="M118" t="str">
            <v>NA</v>
          </cell>
          <cell r="N118" t="str">
            <v>NA</v>
          </cell>
          <cell r="O118" t="str">
            <v>S</v>
          </cell>
          <cell r="P118" t="str">
            <v>NA</v>
          </cell>
          <cell r="Q118" t="str">
            <v>Prestar los servicios profesionales de intermediación y asesoría en la formulación y manejo de los programas de seguros requeridos por la Secretaría Distrital de Hacienda y el Concejo de Bogotá</v>
          </cell>
          <cell r="R118">
            <v>1</v>
          </cell>
          <cell r="S118" t="str">
            <v>NA</v>
          </cell>
          <cell r="T118" t="str">
            <v>NA</v>
          </cell>
          <cell r="U118" t="str">
            <v>LICITACION PUBLICA</v>
          </cell>
          <cell r="V118" t="str">
            <v>PRINCIPAL</v>
          </cell>
          <cell r="W118" t="str">
            <v>NA</v>
          </cell>
          <cell r="X118" t="str">
            <v>PRESTACION DE SERVICIOS</v>
          </cell>
          <cell r="Y118">
            <v>0</v>
          </cell>
          <cell r="Z118">
            <v>0</v>
          </cell>
          <cell r="AA118" t="str">
            <v>12 mes(es)</v>
          </cell>
        </row>
        <row r="119">
          <cell r="C119">
            <v>119</v>
          </cell>
          <cell r="D119">
            <v>3</v>
          </cell>
          <cell r="E119">
            <v>17</v>
          </cell>
          <cell r="F119" t="str">
            <v>MODIFICACION</v>
          </cell>
          <cell r="G119" t="str">
            <v>RECURSOS PROPIOS</v>
          </cell>
          <cell r="H119">
            <v>52000</v>
          </cell>
          <cell r="I119">
            <v>1</v>
          </cell>
          <cell r="J119" t="str">
            <v>NA</v>
          </cell>
          <cell r="K119" t="str">
            <v>3-1-2-02-09-01 Capacitación Interna</v>
          </cell>
          <cell r="L119">
            <v>1</v>
          </cell>
          <cell r="M119" t="str">
            <v>NA</v>
          </cell>
          <cell r="N119" t="str">
            <v>NA</v>
          </cell>
          <cell r="O119" t="str">
            <v>S</v>
          </cell>
          <cell r="P119" t="str">
            <v>NA</v>
          </cell>
          <cell r="Q119" t="str">
            <v>Realizar la evaluación de las competencias comportamentales propias de los funcionarios de la SDH</v>
          </cell>
          <cell r="R119">
            <v>1</v>
          </cell>
          <cell r="S119" t="str">
            <v>Relacionada con el objeto a contratar-</v>
          </cell>
          <cell r="T119" t="str">
            <v>NA-</v>
          </cell>
          <cell r="U119" t="str">
            <v>SEL. ABREVIADA MENOR CUANTIA</v>
          </cell>
          <cell r="V119" t="str">
            <v>PRINCIPAL</v>
          </cell>
          <cell r="W119" t="str">
            <v>NA</v>
          </cell>
          <cell r="X119" t="str">
            <v>PRESTACION DE SERVICIOS</v>
          </cell>
          <cell r="Y119">
            <v>132488000</v>
          </cell>
          <cell r="Z119">
            <v>132488000</v>
          </cell>
          <cell r="AA119" t="str">
            <v>5 mes(es)</v>
          </cell>
        </row>
        <row r="120">
          <cell r="C120">
            <v>120</v>
          </cell>
          <cell r="D120">
            <v>3</v>
          </cell>
          <cell r="E120">
            <v>80</v>
          </cell>
          <cell r="F120" t="str">
            <v>INICIAL</v>
          </cell>
          <cell r="G120" t="str">
            <v>RECURSOS PROPIOS</v>
          </cell>
          <cell r="H120">
            <v>52000</v>
          </cell>
          <cell r="I120">
            <v>1</v>
          </cell>
          <cell r="J120" t="str">
            <v>NA</v>
          </cell>
          <cell r="K120" t="str">
            <v>3-1-2-02-12 Salud Ocupacional</v>
          </cell>
          <cell r="L120">
            <v>1</v>
          </cell>
          <cell r="M120" t="str">
            <v>NA</v>
          </cell>
          <cell r="N120" t="str">
            <v>NA</v>
          </cell>
          <cell r="O120" t="str">
            <v>S</v>
          </cell>
          <cell r="P120" t="str">
            <v>NA</v>
          </cell>
          <cell r="Q120" t="str">
            <v>Adquisición de elementos ergonómicos  para los puestos de trabajo de  los servidores públicos de la SDH.</v>
          </cell>
          <cell r="R120">
            <v>1</v>
          </cell>
          <cell r="S120" t="str">
            <v>Relacionada con el objeto a contratar-</v>
          </cell>
          <cell r="T120" t="str">
            <v>NA-</v>
          </cell>
          <cell r="U120" t="str">
            <v>MINIMA CUANTIA</v>
          </cell>
          <cell r="V120" t="str">
            <v>PRINCIPAL</v>
          </cell>
          <cell r="W120" t="str">
            <v>NA</v>
          </cell>
          <cell r="X120" t="str">
            <v>COMPRAVENTA</v>
          </cell>
          <cell r="Y120">
            <v>60000000</v>
          </cell>
          <cell r="Z120">
            <v>60000000</v>
          </cell>
          <cell r="AA120" t="str">
            <v>5 mes(es)</v>
          </cell>
        </row>
        <row r="121">
          <cell r="C121">
            <v>122</v>
          </cell>
          <cell r="D121">
            <v>3</v>
          </cell>
          <cell r="E121">
            <v>80</v>
          </cell>
          <cell r="F121" t="str">
            <v>INICIAL</v>
          </cell>
          <cell r="G121" t="str">
            <v>RECURSOS PROPIOS</v>
          </cell>
          <cell r="H121">
            <v>120000</v>
          </cell>
          <cell r="I121">
            <v>4</v>
          </cell>
          <cell r="J121" t="str">
            <v>NA</v>
          </cell>
          <cell r="K121" t="str">
            <v>3-1-1-02-03-01 Honorarios Entidad</v>
          </cell>
          <cell r="L121">
            <v>1</v>
          </cell>
          <cell r="M121" t="str">
            <v>NA</v>
          </cell>
          <cell r="N121" t="str">
            <v>NA</v>
          </cell>
          <cell r="O121" t="str">
            <v>S</v>
          </cell>
          <cell r="P121" t="str">
            <v>NA</v>
          </cell>
          <cell r="Q121" t="str">
            <v>Realizar las auditorías de seguimiento a los Subsistemas de Gestión Ambiental y Seguridad y Salud Ocupacional bajo las normas ISO 14001:2004 y OHSAS 18001:2007</v>
          </cell>
          <cell r="R121">
            <v>1</v>
          </cell>
          <cell r="S121" t="str">
            <v>Relacionada con el objeto a contratar-</v>
          </cell>
          <cell r="T121" t="str">
            <v>NA-</v>
          </cell>
          <cell r="U121" t="str">
            <v>CONTRATACION DIRECTA</v>
          </cell>
          <cell r="V121" t="str">
            <v>PRINCIPAL</v>
          </cell>
          <cell r="W121" t="str">
            <v>NA</v>
          </cell>
          <cell r="X121" t="str">
            <v>PRESTACION DE SERVICIOS</v>
          </cell>
          <cell r="Y121">
            <v>2575000</v>
          </cell>
          <cell r="Z121">
            <v>2575000</v>
          </cell>
          <cell r="AA121" t="str">
            <v>1 mes(es)</v>
          </cell>
        </row>
        <row r="122">
          <cell r="C122">
            <v>123</v>
          </cell>
          <cell r="D122">
            <v>3</v>
          </cell>
          <cell r="E122">
            <v>24</v>
          </cell>
          <cell r="F122" t="str">
            <v>MODIFICACION</v>
          </cell>
          <cell r="G122" t="str">
            <v>RECURSOS PROPIOS</v>
          </cell>
          <cell r="H122">
            <v>120000</v>
          </cell>
          <cell r="I122">
            <v>4</v>
          </cell>
          <cell r="J122" t="str">
            <v>NA</v>
          </cell>
          <cell r="K122" t="str">
            <v>3-1-1-02-03-01 Honorarios Entidad</v>
          </cell>
          <cell r="L122">
            <v>1</v>
          </cell>
          <cell r="M122" t="str">
            <v>NA</v>
          </cell>
          <cell r="N122" t="str">
            <v>NA</v>
          </cell>
          <cell r="O122" t="str">
            <v>S</v>
          </cell>
          <cell r="P122" t="str">
            <v>NA</v>
          </cell>
          <cell r="Q122" t="str">
            <v>Realizar las auditorías para la recertificación del Sistema de Gestión de Calidad del Concejo de Bogotá.</v>
          </cell>
          <cell r="R122">
            <v>1</v>
          </cell>
          <cell r="S122" t="str">
            <v>Relacionada con el objeto a contratar-</v>
          </cell>
          <cell r="T122" t="str">
            <v>NA-</v>
          </cell>
          <cell r="U122" t="str">
            <v>MINIMA CUANTIA</v>
          </cell>
          <cell r="V122" t="str">
            <v>PRINCIPAL</v>
          </cell>
          <cell r="W122" t="str">
            <v>NA</v>
          </cell>
          <cell r="X122" t="str">
            <v>PRESTACION DE SERVICIOS</v>
          </cell>
          <cell r="Y122">
            <v>14000000</v>
          </cell>
          <cell r="Z122">
            <v>14000000</v>
          </cell>
          <cell r="AA122" t="str">
            <v>5 mes(es)</v>
          </cell>
        </row>
        <row r="123">
          <cell r="C123">
            <v>124</v>
          </cell>
          <cell r="D123">
            <v>3</v>
          </cell>
          <cell r="E123">
            <v>80</v>
          </cell>
          <cell r="F123" t="str">
            <v>INICIAL</v>
          </cell>
          <cell r="G123" t="str">
            <v>RECURSOS PROPIOS</v>
          </cell>
          <cell r="H123">
            <v>120000</v>
          </cell>
          <cell r="I123">
            <v>4</v>
          </cell>
          <cell r="J123" t="str">
            <v>NA</v>
          </cell>
          <cell r="K123" t="str">
            <v>3-1-1-02-03-01 Honorarios Entidad</v>
          </cell>
          <cell r="L123">
            <v>1</v>
          </cell>
          <cell r="M123" t="str">
            <v>NA</v>
          </cell>
          <cell r="N123" t="str">
            <v>NA</v>
          </cell>
          <cell r="O123" t="str">
            <v>S</v>
          </cell>
          <cell r="P123" t="str">
            <v>NA</v>
          </cell>
          <cell r="Q123" t="str">
            <v>Prestar los servicios profesionales para acompañar la definición, contratación y seguimiento a los temas de infraestructura física que requiera el Concejo de Bogotá.</v>
          </cell>
          <cell r="R123">
            <v>1</v>
          </cell>
          <cell r="S123" t="str">
            <v>4 años de experiencia profesional de los cuales por lo menos 1año en dirección o coordinación de proyectos arquitectónicos o de obra.</v>
          </cell>
          <cell r="T123" t="str">
            <v>Ingeniero civil o arquitecto</v>
          </cell>
          <cell r="U123" t="str">
            <v>CONTRATACION DIRECTA</v>
          </cell>
          <cell r="V123" t="str">
            <v>PRINCIPAL</v>
          </cell>
          <cell r="W123" t="str">
            <v>NA</v>
          </cell>
          <cell r="X123" t="str">
            <v>PRESTACION DE SERVICIOS1</v>
          </cell>
          <cell r="Y123">
            <v>60000000</v>
          </cell>
          <cell r="Z123">
            <v>60000000</v>
          </cell>
          <cell r="AA123" t="str">
            <v>12 mes(es)</v>
          </cell>
        </row>
        <row r="124">
          <cell r="C124">
            <v>125</v>
          </cell>
          <cell r="D124">
            <v>3</v>
          </cell>
          <cell r="E124">
            <v>80</v>
          </cell>
          <cell r="F124" t="str">
            <v>INICIAL</v>
          </cell>
          <cell r="G124" t="str">
            <v>RECURSOS PROPIOS</v>
          </cell>
          <cell r="H124">
            <v>120000</v>
          </cell>
          <cell r="I124">
            <v>4</v>
          </cell>
          <cell r="J124" t="str">
            <v>NA</v>
          </cell>
          <cell r="K124" t="str">
            <v>3-1-1-02-03-01 Honorarios Entidad</v>
          </cell>
          <cell r="L124">
            <v>1</v>
          </cell>
          <cell r="M124" t="str">
            <v>NA</v>
          </cell>
          <cell r="N124" t="str">
            <v>NA</v>
          </cell>
          <cell r="O124" t="str">
            <v>S</v>
          </cell>
          <cell r="P124" t="str">
            <v>NA</v>
          </cell>
          <cell r="Q124" t="str">
            <v xml:space="preserve">Prestar los servicios profesionales para apoyar  en la supervisión de los contratos que le sean asignadas al Concejo de Bogotá, implementando mecanismos que le permitan contribuir efectivamente al seguimiento técnico, administrativo, financiero, contable </v>
          </cell>
          <cell r="R124">
            <v>1</v>
          </cell>
          <cell r="S124" t="str">
            <v>5 años de experiencia profesional, un año en el sector público (podrá estar incluido en los 5 años de experiencia general)-</v>
          </cell>
          <cell r="T124" t="str">
            <v>Abogado o profesional en áreas administrativas o económicas</v>
          </cell>
          <cell r="U124" t="str">
            <v>CONTRATACION DIRECTA</v>
          </cell>
          <cell r="V124" t="str">
            <v>PRINCIPAL</v>
          </cell>
          <cell r="W124" t="str">
            <v>NA</v>
          </cell>
          <cell r="X124" t="str">
            <v>PRESTACION DE SERVICIOS1</v>
          </cell>
          <cell r="Y124">
            <v>63654000</v>
          </cell>
          <cell r="Z124">
            <v>63654000</v>
          </cell>
          <cell r="AA124" t="str">
            <v>12 mes(es)</v>
          </cell>
        </row>
        <row r="125">
          <cell r="C125">
            <v>126</v>
          </cell>
          <cell r="D125">
            <v>3</v>
          </cell>
          <cell r="E125">
            <v>80</v>
          </cell>
          <cell r="F125" t="str">
            <v>INICIAL</v>
          </cell>
          <cell r="G125" t="str">
            <v>RECURSOS PROPIOS</v>
          </cell>
          <cell r="H125">
            <v>120000</v>
          </cell>
          <cell r="I125">
            <v>4</v>
          </cell>
          <cell r="J125" t="str">
            <v>NA</v>
          </cell>
          <cell r="K125" t="str">
            <v>3-1-1-02-03-01 Honorarios Entidad</v>
          </cell>
          <cell r="L125">
            <v>1</v>
          </cell>
          <cell r="M125" t="str">
            <v>NA</v>
          </cell>
          <cell r="N125" t="str">
            <v>NA</v>
          </cell>
          <cell r="O125" t="str">
            <v>S</v>
          </cell>
          <cell r="P125" t="str">
            <v>NA</v>
          </cell>
          <cell r="Q125" t="str">
            <v>Prestar los servicios profesionales para la actualización, administración, publicación y salvaguarda de la información publicada en la página WEB oficial del Concejo de Bogotá D.C.</v>
          </cell>
          <cell r="R125">
            <v>1</v>
          </cell>
          <cell r="S125" t="str">
            <v>3 años de experiencia profesional</v>
          </cell>
          <cell r="T125" t="str">
            <v>Ingeniero de Sistemas</v>
          </cell>
          <cell r="U125" t="str">
            <v>CONTRATACION DIRECTA</v>
          </cell>
          <cell r="V125" t="str">
            <v>PRINCIPAL</v>
          </cell>
          <cell r="W125" t="str">
            <v>NA</v>
          </cell>
          <cell r="X125" t="str">
            <v>PRESTACION DE SERVICIOS1</v>
          </cell>
          <cell r="Y125">
            <v>48000000</v>
          </cell>
          <cell r="Z125">
            <v>48000000</v>
          </cell>
          <cell r="AA125" t="str">
            <v>12 mes(es)</v>
          </cell>
        </row>
        <row r="126">
          <cell r="C126">
            <v>127</v>
          </cell>
          <cell r="D126">
            <v>3</v>
          </cell>
          <cell r="E126">
            <v>7</v>
          </cell>
          <cell r="F126" t="str">
            <v>MODIFICACION</v>
          </cell>
          <cell r="G126" t="str">
            <v>RECURSOS PROPIOS</v>
          </cell>
          <cell r="H126">
            <v>120000</v>
          </cell>
          <cell r="I126">
            <v>4</v>
          </cell>
          <cell r="J126" t="str">
            <v>NA</v>
          </cell>
          <cell r="K126" t="str">
            <v>3-1-1-02-03-01 Honorarios Entidad</v>
          </cell>
          <cell r="L126">
            <v>1</v>
          </cell>
          <cell r="M126" t="str">
            <v>NA</v>
          </cell>
          <cell r="N126" t="str">
            <v>NA</v>
          </cell>
          <cell r="O126" t="str">
            <v>S</v>
          </cell>
          <cell r="P126" t="str">
            <v>NA</v>
          </cell>
          <cell r="Q126" t="str">
            <v>Prestar los servicios profesionales para la consolidación y actualización de la estrategia de depuración normativa del Concejo de Bogotá D.C.</v>
          </cell>
          <cell r="R126">
            <v>1</v>
          </cell>
          <cell r="S126" t="str">
            <v>5 años de experiencia profesional incluidos dos años de experiencia específica en el sector publico.</v>
          </cell>
          <cell r="T126" t="str">
            <v>Abogado con Posgrado en Derecho Administrativo o Constitucional o Público o Gestión Jurídica Pública</v>
          </cell>
          <cell r="U126" t="str">
            <v>CONTRATACION DIRECTA</v>
          </cell>
          <cell r="V126" t="str">
            <v>PRINCIPAL</v>
          </cell>
          <cell r="W126" t="str">
            <v>NA</v>
          </cell>
          <cell r="X126" t="str">
            <v>PRESTACION DE SERVICIOS1</v>
          </cell>
          <cell r="Y126">
            <v>78000000</v>
          </cell>
          <cell r="Z126">
            <v>78000000</v>
          </cell>
          <cell r="AA126" t="str">
            <v>12 mes(es)</v>
          </cell>
        </row>
        <row r="127">
          <cell r="C127">
            <v>128</v>
          </cell>
          <cell r="D127">
            <v>3</v>
          </cell>
          <cell r="E127">
            <v>7</v>
          </cell>
          <cell r="F127" t="str">
            <v>MODIFICACION</v>
          </cell>
          <cell r="G127" t="str">
            <v>RECURSOS PROPIOS</v>
          </cell>
          <cell r="H127">
            <v>120000</v>
          </cell>
          <cell r="I127">
            <v>4</v>
          </cell>
          <cell r="J127" t="str">
            <v>NA</v>
          </cell>
          <cell r="K127" t="str">
            <v>3-1-1-02-03-01 Honorarios Entidad</v>
          </cell>
          <cell r="L127">
            <v>1</v>
          </cell>
          <cell r="M127" t="str">
            <v>NA</v>
          </cell>
          <cell r="N127" t="str">
            <v>NA</v>
          </cell>
          <cell r="O127" t="str">
            <v>S</v>
          </cell>
          <cell r="P127" t="str">
            <v>NA</v>
          </cell>
          <cell r="Q127" t="str">
            <v>Prestar los servicios profesionales para apoyar el proceso de sistemas y seguridad informática del Concejo de Bogotá con especial énfasis en la identificación y mitigación de riesgos.</v>
          </cell>
          <cell r="R127">
            <v>1</v>
          </cell>
          <cell r="S127" t="str">
            <v>18 meses de experiencia profesional-</v>
          </cell>
          <cell r="T127" t="str">
            <v>Ingeniero de Sistemas, electrónico o afines-</v>
          </cell>
          <cell r="U127" t="str">
            <v>CONTRATACION DIRECTA</v>
          </cell>
          <cell r="V127" t="str">
            <v>PRINCIPAL</v>
          </cell>
          <cell r="W127" t="str">
            <v>NA</v>
          </cell>
          <cell r="X127" t="str">
            <v>PRESTACION DE SERVICIOS1</v>
          </cell>
          <cell r="Y127">
            <v>38400000</v>
          </cell>
          <cell r="Z127">
            <v>38400000</v>
          </cell>
          <cell r="AA127" t="str">
            <v>12 mes(es)</v>
          </cell>
        </row>
        <row r="128">
          <cell r="C128">
            <v>129</v>
          </cell>
          <cell r="D128">
            <v>3</v>
          </cell>
          <cell r="E128">
            <v>80</v>
          </cell>
          <cell r="F128" t="str">
            <v>INICIAL</v>
          </cell>
          <cell r="G128" t="str">
            <v>RECURSOS PROPIOS</v>
          </cell>
          <cell r="H128">
            <v>120000</v>
          </cell>
          <cell r="I128">
            <v>4</v>
          </cell>
          <cell r="J128" t="str">
            <v>NA</v>
          </cell>
          <cell r="K128" t="str">
            <v>3-1-1-02-03-01 Honorarios Entidad</v>
          </cell>
          <cell r="L128">
            <v>1</v>
          </cell>
          <cell r="M128" t="str">
            <v>NA</v>
          </cell>
          <cell r="N128" t="str">
            <v>NA</v>
          </cell>
          <cell r="O128" t="str">
            <v>S</v>
          </cell>
          <cell r="P128" t="str">
            <v>NA</v>
          </cell>
          <cell r="Q128" t="str">
            <v>Prestar los servicios profesionales para acompañar al Concejo de Bogotá D.C. en la revisión y estudio de las historias laborales de los funcionarios para la definición técnica y jurídica del cumplimiento de requisitos en los diferentes regímenes de pensió</v>
          </cell>
          <cell r="R128">
            <v>1</v>
          </cell>
          <cell r="S128" t="str">
            <v>2 años de experiencia profesional en el sector público con 1 año de experiencia especifica en temas de seguridad social-</v>
          </cell>
          <cell r="T128" t="str">
            <v>Economista, administrador de empresas oabogado, con  posgrado-</v>
          </cell>
          <cell r="U128" t="str">
            <v>CONTRATACION DIRECTA</v>
          </cell>
          <cell r="V128" t="str">
            <v>PRINCIPAL</v>
          </cell>
          <cell r="W128" t="str">
            <v>NA</v>
          </cell>
          <cell r="X128" t="str">
            <v>PRESTACION DE SERVICIOS1</v>
          </cell>
          <cell r="Y128">
            <v>46068000</v>
          </cell>
          <cell r="Z128">
            <v>46068000</v>
          </cell>
          <cell r="AA128" t="str">
            <v>12 mes(es)</v>
          </cell>
        </row>
        <row r="129">
          <cell r="C129">
            <v>130</v>
          </cell>
          <cell r="D129">
            <v>3</v>
          </cell>
          <cell r="E129">
            <v>80</v>
          </cell>
          <cell r="F129" t="str">
            <v>INICIAL</v>
          </cell>
          <cell r="G129" t="str">
            <v>RECURSOS PROPIOS</v>
          </cell>
          <cell r="H129">
            <v>120000</v>
          </cell>
          <cell r="I129">
            <v>4</v>
          </cell>
          <cell r="J129" t="str">
            <v>NA</v>
          </cell>
          <cell r="K129" t="str">
            <v>3-1-1-02-03-01 Honorarios Entidad</v>
          </cell>
          <cell r="L129">
            <v>1</v>
          </cell>
          <cell r="M129" t="str">
            <v>NA</v>
          </cell>
          <cell r="N129" t="str">
            <v>NA</v>
          </cell>
          <cell r="O129" t="str">
            <v>S</v>
          </cell>
          <cell r="P129" t="str">
            <v>NA</v>
          </cell>
          <cell r="Q129" t="str">
            <v>Prestar los servicios profesionales para elaborar las especificaciones y condiciones técnicas de los procesos para la adquisición de bienes y servicios y apoyar la funcion de supervision de los contratos</v>
          </cell>
          <cell r="R129">
            <v>1</v>
          </cell>
          <cell r="S129" t="str">
            <v>4 años de experiencia profesional, mínimo un año en en el sector público</v>
          </cell>
          <cell r="T129" t="str">
            <v>Abogado o profesional en áreas administrativas.</v>
          </cell>
          <cell r="U129" t="str">
            <v>CONTRATACION DIRECTA</v>
          </cell>
          <cell r="V129" t="str">
            <v>PRINCIPAL</v>
          </cell>
          <cell r="W129" t="str">
            <v>NA</v>
          </cell>
          <cell r="X129" t="str">
            <v>PRESTACION DE SERVICIOS1</v>
          </cell>
          <cell r="Y129">
            <v>60000000</v>
          </cell>
          <cell r="Z129">
            <v>60000000</v>
          </cell>
          <cell r="AA129" t="str">
            <v>12 mes(es)</v>
          </cell>
        </row>
        <row r="130">
          <cell r="C130">
            <v>131</v>
          </cell>
          <cell r="D130">
            <v>3</v>
          </cell>
          <cell r="E130">
            <v>80</v>
          </cell>
          <cell r="F130" t="str">
            <v>INICIAL</v>
          </cell>
          <cell r="G130" t="str">
            <v>RECURSOS PROPIOS</v>
          </cell>
          <cell r="H130">
            <v>120000</v>
          </cell>
          <cell r="I130">
            <v>4</v>
          </cell>
          <cell r="J130" t="str">
            <v>NA</v>
          </cell>
          <cell r="K130" t="str">
            <v>3-1-1-02-03-01 Honorarios Entidad</v>
          </cell>
          <cell r="L130">
            <v>1</v>
          </cell>
          <cell r="M130" t="str">
            <v>NA</v>
          </cell>
          <cell r="N130" t="str">
            <v>NA</v>
          </cell>
          <cell r="O130" t="str">
            <v>S</v>
          </cell>
          <cell r="P130" t="str">
            <v>NA</v>
          </cell>
          <cell r="Q130" t="str">
            <v>Prestar los servicios profesionales para apoyar la gestión administrativa, documental y contractual en los asuntos de competencia del Concejo de Bogotá.</v>
          </cell>
          <cell r="R130">
            <v>1</v>
          </cell>
          <cell r="S130" t="str">
            <v>6 meses de experiencia profesional</v>
          </cell>
          <cell r="T130" t="str">
            <v>Abogado o áreas administrativas o relacionadas.</v>
          </cell>
          <cell r="U130" t="str">
            <v>CONTRATACION DIRECTA</v>
          </cell>
          <cell r="V130" t="str">
            <v>PRINCIPAL</v>
          </cell>
          <cell r="W130" t="str">
            <v>NA</v>
          </cell>
          <cell r="X130" t="str">
            <v>PRESTACION DE SERVICIOS1</v>
          </cell>
          <cell r="Y130">
            <v>30900000</v>
          </cell>
          <cell r="Z130">
            <v>30900000</v>
          </cell>
          <cell r="AA130" t="str">
            <v>12 mes(es)</v>
          </cell>
        </row>
        <row r="131">
          <cell r="C131">
            <v>132</v>
          </cell>
          <cell r="D131">
            <v>3</v>
          </cell>
          <cell r="E131">
            <v>80</v>
          </cell>
          <cell r="F131" t="str">
            <v>INICIAL</v>
          </cell>
          <cell r="G131" t="str">
            <v>RECURSOS PROPIOS</v>
          </cell>
          <cell r="H131">
            <v>120000</v>
          </cell>
          <cell r="I131">
            <v>4</v>
          </cell>
          <cell r="J131" t="str">
            <v>NA</v>
          </cell>
          <cell r="K131" t="str">
            <v>3-1-1-02-03-01 Honorarios Entidad</v>
          </cell>
          <cell r="L131">
            <v>1</v>
          </cell>
          <cell r="M131" t="str">
            <v>NA</v>
          </cell>
          <cell r="N131" t="str">
            <v>NA</v>
          </cell>
          <cell r="O131" t="str">
            <v>S</v>
          </cell>
          <cell r="P131" t="str">
            <v>NA</v>
          </cell>
          <cell r="Q131" t="str">
            <v>Prestar los servicios profesionales para acompañar a la Oficina de Comunicaciones del Concejo de Bogotá en la implementación de estrategias comunicativas</v>
          </cell>
          <cell r="R131">
            <v>1</v>
          </cell>
          <cell r="S131" t="str">
            <v>6 meses de experiencia profesional</v>
          </cell>
          <cell r="T131" t="str">
            <v>Comunicador Social</v>
          </cell>
          <cell r="U131" t="str">
            <v>CONTRATACION DIRECTA</v>
          </cell>
          <cell r="V131" t="str">
            <v>PRINCIPAL</v>
          </cell>
          <cell r="W131" t="str">
            <v>NA</v>
          </cell>
          <cell r="X131" t="str">
            <v>PRESTACION DE SERVICIOS1</v>
          </cell>
          <cell r="Y131">
            <v>30900000</v>
          </cell>
          <cell r="Z131">
            <v>30900000</v>
          </cell>
          <cell r="AA131" t="str">
            <v>12 mes(es)</v>
          </cell>
        </row>
        <row r="132">
          <cell r="C132">
            <v>133</v>
          </cell>
          <cell r="D132">
            <v>3</v>
          </cell>
          <cell r="E132">
            <v>80</v>
          </cell>
          <cell r="F132" t="str">
            <v>INICIAL</v>
          </cell>
          <cell r="G132" t="str">
            <v>RECURSOS PROPIOS</v>
          </cell>
          <cell r="H132">
            <v>120000</v>
          </cell>
          <cell r="I132">
            <v>4</v>
          </cell>
          <cell r="J132" t="str">
            <v>NA</v>
          </cell>
          <cell r="K132" t="str">
            <v>3-1-1-02-03-01 Honorarios Entidad</v>
          </cell>
          <cell r="L132">
            <v>1</v>
          </cell>
          <cell r="M132" t="str">
            <v>NA</v>
          </cell>
          <cell r="N132" t="str">
            <v>NA</v>
          </cell>
          <cell r="O132" t="str">
            <v>S</v>
          </cell>
          <cell r="P132" t="str">
            <v>NA</v>
          </cell>
          <cell r="Q132" t="str">
            <v>Prestar los servicios profesionales para  apoyar al Concejo de Bogotá en el enlace con la Unidad Ejecutora 04 de la Secretaría Distrital de Hacienda para la liquidación y cierre de los expedientes contractuales</v>
          </cell>
          <cell r="R132">
            <v>1</v>
          </cell>
          <cell r="S132" t="str">
            <v>5 años de experiencia profesional, de los cuales mínimo un año en gestión pública-</v>
          </cell>
          <cell r="T132" t="str">
            <v>Abogado o en áreas administrativas o economicas.</v>
          </cell>
          <cell r="U132" t="str">
            <v>CONTRATACION DIRECTA</v>
          </cell>
          <cell r="V132" t="str">
            <v>PRINCIPAL</v>
          </cell>
          <cell r="W132" t="str">
            <v>NA</v>
          </cell>
          <cell r="X132" t="str">
            <v>PRESTACION DE SERVICIOS1</v>
          </cell>
          <cell r="Y132">
            <v>63654000</v>
          </cell>
          <cell r="Z132">
            <v>63654000</v>
          </cell>
          <cell r="AA132" t="str">
            <v>12 mes(es)</v>
          </cell>
        </row>
        <row r="133">
          <cell r="C133">
            <v>134</v>
          </cell>
          <cell r="D133">
            <v>3</v>
          </cell>
          <cell r="E133">
            <v>80</v>
          </cell>
          <cell r="F133" t="str">
            <v>INICIAL</v>
          </cell>
          <cell r="G133" t="str">
            <v>RECURSOS PROPIOS</v>
          </cell>
          <cell r="H133">
            <v>120000</v>
          </cell>
          <cell r="I133">
            <v>4</v>
          </cell>
          <cell r="J133" t="str">
            <v>NA</v>
          </cell>
          <cell r="K133" t="str">
            <v>3-1-1-02-03-01 Honorarios Entidad</v>
          </cell>
          <cell r="L133">
            <v>1</v>
          </cell>
          <cell r="M133" t="str">
            <v>NA</v>
          </cell>
          <cell r="N133" t="str">
            <v>NA</v>
          </cell>
          <cell r="O133" t="str">
            <v>S</v>
          </cell>
          <cell r="P133" t="str">
            <v>NA</v>
          </cell>
          <cell r="Q133" t="str">
            <v>Prestar los servicios para la elaboracion del retrato sobre lienzo al oleo del Presidente de la Mesa Directiva del Concejo de Bogota.</v>
          </cell>
          <cell r="R133">
            <v>1</v>
          </cell>
          <cell r="S133" t="str">
            <v>Relacionada con el objeto</v>
          </cell>
          <cell r="T133" t="str">
            <v>Estudios en dibujo y pintura</v>
          </cell>
          <cell r="U133" t="str">
            <v>CONTRATACION DIRECTA</v>
          </cell>
          <cell r="V133" t="str">
            <v>PRINCIPAL</v>
          </cell>
          <cell r="W133" t="str">
            <v>NA</v>
          </cell>
          <cell r="X133" t="str">
            <v>PRESTACION DE SERVICIOS</v>
          </cell>
          <cell r="Y133">
            <v>7000000</v>
          </cell>
          <cell r="Z133">
            <v>7000000</v>
          </cell>
          <cell r="AA133" t="str">
            <v>2 mes(es)</v>
          </cell>
        </row>
        <row r="134">
          <cell r="C134">
            <v>135</v>
          </cell>
          <cell r="D134">
            <v>3</v>
          </cell>
          <cell r="E134">
            <v>80</v>
          </cell>
          <cell r="F134" t="str">
            <v>INICIAL</v>
          </cell>
          <cell r="G134" t="str">
            <v>RECURSOS PROPIOS</v>
          </cell>
          <cell r="H134">
            <v>120000</v>
          </cell>
          <cell r="I134">
            <v>4</v>
          </cell>
          <cell r="J134" t="str">
            <v>NA</v>
          </cell>
          <cell r="K134" t="str">
            <v>3-1-1-02-03-01 Honorarios Entidad</v>
          </cell>
          <cell r="L134">
            <v>1</v>
          </cell>
          <cell r="M134" t="str">
            <v>NA</v>
          </cell>
          <cell r="N134" t="str">
            <v>NA</v>
          </cell>
          <cell r="O134" t="str">
            <v>S</v>
          </cell>
          <cell r="P134" t="str">
            <v>NA</v>
          </cell>
          <cell r="Q134" t="str">
            <v>Prestar los servicios profesionales para realizar acompañamiento y seguimiento a los procesos de adquisición de bienes y servicios y seguimiento a la ejecución de contratos para el Concejo de Bogotá D. C.</v>
          </cell>
          <cell r="R134">
            <v>1</v>
          </cell>
          <cell r="S134" t="str">
            <v>6 años de experiencia profesional de los cuales mínimo 2 años de experiencia especifica en contratacion estatal</v>
          </cell>
          <cell r="T134" t="str">
            <v>Abogado con especializaciónn en Derecho Administrativo o contractual</v>
          </cell>
          <cell r="U134" t="str">
            <v>CONTRATACION DIRECTA</v>
          </cell>
          <cell r="V134" t="str">
            <v>PRINCIPAL</v>
          </cell>
          <cell r="W134" t="str">
            <v>NA</v>
          </cell>
          <cell r="X134" t="str">
            <v>PRESTACION DE SERVICIOS1</v>
          </cell>
          <cell r="Y134">
            <v>84000000</v>
          </cell>
          <cell r="Z134">
            <v>84000000</v>
          </cell>
          <cell r="AA134" t="str">
            <v>12 mes(es)</v>
          </cell>
        </row>
        <row r="135">
          <cell r="C135">
            <v>136</v>
          </cell>
          <cell r="D135">
            <v>3</v>
          </cell>
          <cell r="E135">
            <v>80</v>
          </cell>
          <cell r="F135" t="str">
            <v>INICIAL</v>
          </cell>
          <cell r="G135" t="str">
            <v>RECURSOS PROPIOS</v>
          </cell>
          <cell r="H135">
            <v>120000</v>
          </cell>
          <cell r="I135">
            <v>4</v>
          </cell>
          <cell r="J135" t="str">
            <v>NA</v>
          </cell>
          <cell r="K135" t="str">
            <v>3-1-1-02-03-01 Honorarios Entidad</v>
          </cell>
          <cell r="L135">
            <v>1</v>
          </cell>
          <cell r="M135" t="str">
            <v>NA</v>
          </cell>
          <cell r="N135" t="str">
            <v>NA</v>
          </cell>
          <cell r="O135" t="str">
            <v>S</v>
          </cell>
          <cell r="P135" t="str">
            <v>NA</v>
          </cell>
          <cell r="Q135" t="str">
            <v>Prestar los servicios profesionales para sistematizar y consolidar la informacion de los trámites contractuales a cargo del proceso administrativo y finanaciero del Concejo de Bogotá</v>
          </cell>
          <cell r="R135">
            <v>1</v>
          </cell>
          <cell r="S135" t="str">
            <v>2 años  de experiencia profesional</v>
          </cell>
          <cell r="T135" t="str">
            <v>Profesional en areas administrativas</v>
          </cell>
          <cell r="U135" t="str">
            <v>CONTRATACION DIRECTA</v>
          </cell>
          <cell r="V135" t="str">
            <v>PRINCIPAL</v>
          </cell>
          <cell r="W135" t="str">
            <v>NA</v>
          </cell>
          <cell r="X135" t="str">
            <v>PRESTACION DE SERVICIOS1</v>
          </cell>
          <cell r="Y135">
            <v>43260000</v>
          </cell>
          <cell r="Z135">
            <v>43260000</v>
          </cell>
          <cell r="AA135" t="str">
            <v>12 mes(es)</v>
          </cell>
        </row>
        <row r="136">
          <cell r="C136">
            <v>137</v>
          </cell>
          <cell r="D136">
            <v>3</v>
          </cell>
          <cell r="E136">
            <v>80</v>
          </cell>
          <cell r="F136" t="str">
            <v>INICIAL</v>
          </cell>
          <cell r="G136" t="str">
            <v>RECURSOS PROPIOS</v>
          </cell>
          <cell r="H136">
            <v>120000</v>
          </cell>
          <cell r="I136">
            <v>4</v>
          </cell>
          <cell r="J136" t="str">
            <v>NA</v>
          </cell>
          <cell r="K136" t="str">
            <v>3-1-1-02-03-01 Honorarios Entidad</v>
          </cell>
          <cell r="L136">
            <v>1</v>
          </cell>
          <cell r="M136" t="str">
            <v>NA</v>
          </cell>
          <cell r="N136" t="str">
            <v>NA</v>
          </cell>
          <cell r="O136" t="str">
            <v>S</v>
          </cell>
          <cell r="P136" t="str">
            <v>NA</v>
          </cell>
          <cell r="Q136" t="str">
            <v>Prestar los servicios profesionales para acompañar la definición de especificaciones y condiciones técnicas para la adquisición de bienes y servicios relacionadas con tecnología e informática</v>
          </cell>
          <cell r="R136">
            <v>1</v>
          </cell>
          <cell r="S136" t="str">
            <v>5 años de experiencia profesional, de los cuales 1 año de experiencia en contratación estatal</v>
          </cell>
          <cell r="T136" t="str">
            <v>Profesional en Derecho, Ingeniería de Sistemas o en áreas administrativas</v>
          </cell>
          <cell r="U136" t="str">
            <v>CONTRATACION DIRECTA</v>
          </cell>
          <cell r="V136" t="str">
            <v>PRINCIPAL</v>
          </cell>
          <cell r="W136" t="str">
            <v>NA</v>
          </cell>
          <cell r="X136" t="str">
            <v>PRESTACION DE SERVICIOS1</v>
          </cell>
          <cell r="Y136">
            <v>63654000</v>
          </cell>
          <cell r="Z136">
            <v>63654000</v>
          </cell>
          <cell r="AA136" t="str">
            <v>12 mes(es)</v>
          </cell>
        </row>
        <row r="137">
          <cell r="C137">
            <v>138</v>
          </cell>
          <cell r="D137">
            <v>3</v>
          </cell>
          <cell r="E137">
            <v>14</v>
          </cell>
          <cell r="F137" t="str">
            <v>MODIFICACION</v>
          </cell>
          <cell r="G137" t="str">
            <v>RECURSOS PROPIOS</v>
          </cell>
          <cell r="H137">
            <v>120000</v>
          </cell>
          <cell r="I137">
            <v>4</v>
          </cell>
          <cell r="J137" t="str">
            <v>NA</v>
          </cell>
          <cell r="K137" t="str">
            <v>3-1-2-02-03 Gastos de Transporte y Comunicación</v>
          </cell>
          <cell r="L137">
            <v>1</v>
          </cell>
          <cell r="M137" t="str">
            <v>NA</v>
          </cell>
          <cell r="N137" t="str">
            <v>NA</v>
          </cell>
          <cell r="O137" t="str">
            <v>S</v>
          </cell>
          <cell r="P137" t="str">
            <v>NA</v>
          </cell>
          <cell r="Q137" t="str">
            <v>Adición y prórroga al contrato 140198 suscrito con A&amp;V EXPRESS S A cuyo objeto es  la prestación del servicio de  correspondencia  para el Concejo  de Bogotá</v>
          </cell>
          <cell r="R137">
            <v>1</v>
          </cell>
          <cell r="S137" t="str">
            <v>NA</v>
          </cell>
          <cell r="T137" t="str">
            <v>NA</v>
          </cell>
          <cell r="U137" t="str">
            <v>NA</v>
          </cell>
          <cell r="V137" t="str">
            <v>MODIFICACION</v>
          </cell>
          <cell r="W137" t="str">
            <v>AP</v>
          </cell>
          <cell r="X137" t="str">
            <v>PRESTACION DE SERVICIOS</v>
          </cell>
          <cell r="Y137">
            <v>8500000</v>
          </cell>
          <cell r="Z137">
            <v>8500000</v>
          </cell>
          <cell r="AA137" t="str">
            <v>2 mes(es)</v>
          </cell>
        </row>
        <row r="138">
          <cell r="C138">
            <v>139</v>
          </cell>
          <cell r="D138">
            <v>3</v>
          </cell>
          <cell r="E138">
            <v>80</v>
          </cell>
          <cell r="F138" t="str">
            <v>INICIAL</v>
          </cell>
          <cell r="G138" t="str">
            <v>RECURSOS PROPIOS</v>
          </cell>
          <cell r="H138">
            <v>120000</v>
          </cell>
          <cell r="I138">
            <v>4</v>
          </cell>
          <cell r="J138" t="str">
            <v>NA</v>
          </cell>
          <cell r="K138" t="str">
            <v>3-1-2-02-03 Gastos de Transporte y Comunicación</v>
          </cell>
          <cell r="L138">
            <v>1</v>
          </cell>
          <cell r="M138" t="str">
            <v>NA</v>
          </cell>
          <cell r="N138" t="str">
            <v>NA</v>
          </cell>
          <cell r="O138" t="str">
            <v>S</v>
          </cell>
          <cell r="P138" t="str">
            <v>NA</v>
          </cell>
          <cell r="Q138" t="str">
            <v>Suscripción al sistema de televisión satelital para ser instalados en la sede del Concejo de Bogotá</v>
          </cell>
          <cell r="R138">
            <v>1</v>
          </cell>
          <cell r="S138" t="str">
            <v>NA</v>
          </cell>
          <cell r="T138" t="str">
            <v>NA</v>
          </cell>
          <cell r="U138" t="str">
            <v>MINIMA CUANTIA</v>
          </cell>
          <cell r="V138" t="str">
            <v>PRINCIPAL</v>
          </cell>
          <cell r="W138" t="str">
            <v>NA</v>
          </cell>
          <cell r="X138" t="str">
            <v>SUSCRIPCION</v>
          </cell>
          <cell r="Y138">
            <v>1700000</v>
          </cell>
          <cell r="Z138">
            <v>1700000</v>
          </cell>
          <cell r="AA138" t="str">
            <v>12 mes(es)</v>
          </cell>
        </row>
        <row r="139">
          <cell r="C139">
            <v>140</v>
          </cell>
          <cell r="D139">
            <v>3</v>
          </cell>
          <cell r="E139">
            <v>80</v>
          </cell>
          <cell r="F139" t="str">
            <v>INICIAL</v>
          </cell>
          <cell r="G139" t="str">
            <v>RECURSOS PROPIOS</v>
          </cell>
          <cell r="H139">
            <v>120000</v>
          </cell>
          <cell r="I139">
            <v>4</v>
          </cell>
          <cell r="J139" t="str">
            <v>NA</v>
          </cell>
          <cell r="K139" t="str">
            <v>3-1-2-02-04 Impresos y  Publicaciones</v>
          </cell>
          <cell r="L139">
            <v>1</v>
          </cell>
          <cell r="M139" t="str">
            <v>NA</v>
          </cell>
          <cell r="N139" t="str">
            <v>NA</v>
          </cell>
          <cell r="O139" t="str">
            <v>S</v>
          </cell>
          <cell r="P139" t="str">
            <v>NA</v>
          </cell>
          <cell r="Q139" t="str">
            <v>Suscripción al servicio de información jurídica a través de un boletín informativo por correo electrónico, consulta web y bibilioteca digital de legislación colombiana actualizada.</v>
          </cell>
          <cell r="R139">
            <v>1</v>
          </cell>
          <cell r="S139" t="str">
            <v>Relacionada con el objeto a contratar-</v>
          </cell>
          <cell r="T139" t="str">
            <v>NA</v>
          </cell>
          <cell r="U139" t="str">
            <v>MINIMA CUANTIA</v>
          </cell>
          <cell r="V139" t="str">
            <v>PRINCIPAL</v>
          </cell>
          <cell r="W139" t="str">
            <v>NA</v>
          </cell>
          <cell r="X139" t="str">
            <v>SUSCRIPCION</v>
          </cell>
          <cell r="Y139">
            <v>715000</v>
          </cell>
          <cell r="Z139">
            <v>715000</v>
          </cell>
          <cell r="AA139" t="str">
            <v>12 mes(es)</v>
          </cell>
        </row>
        <row r="140">
          <cell r="C140">
            <v>141</v>
          </cell>
          <cell r="D140">
            <v>3</v>
          </cell>
          <cell r="E140">
            <v>80</v>
          </cell>
          <cell r="F140" t="str">
            <v>INICIAL</v>
          </cell>
          <cell r="G140" t="str">
            <v>RECURSOS PROPIOS</v>
          </cell>
          <cell r="H140">
            <v>120000</v>
          </cell>
          <cell r="I140">
            <v>4</v>
          </cell>
          <cell r="J140" t="str">
            <v>NA</v>
          </cell>
          <cell r="K140" t="str">
            <v>3-1-2-02-04 Impresos y  Publicaciones</v>
          </cell>
          <cell r="L140">
            <v>1</v>
          </cell>
          <cell r="M140" t="str">
            <v>NA</v>
          </cell>
          <cell r="N140" t="str">
            <v>NA</v>
          </cell>
          <cell r="O140" t="str">
            <v>S</v>
          </cell>
          <cell r="P140" t="str">
            <v>NA</v>
          </cell>
          <cell r="Q140" t="str">
            <v>Suscripción al períodico El Tiempo y Portafolio para el Concejo de Bogotá.</v>
          </cell>
          <cell r="R140">
            <v>1</v>
          </cell>
          <cell r="S140" t="str">
            <v>NA</v>
          </cell>
          <cell r="T140" t="str">
            <v>NA</v>
          </cell>
          <cell r="U140" t="str">
            <v>CONTRATACION DIRECTA</v>
          </cell>
          <cell r="V140" t="str">
            <v>PRINCIPAL</v>
          </cell>
          <cell r="W140" t="str">
            <v>NA</v>
          </cell>
          <cell r="X140" t="str">
            <v>SUSCRIPCION</v>
          </cell>
          <cell r="Y140">
            <v>1233000</v>
          </cell>
          <cell r="Z140">
            <v>1233000</v>
          </cell>
          <cell r="AA140" t="str">
            <v>12 mes(es)</v>
          </cell>
        </row>
        <row r="141">
          <cell r="C141">
            <v>142</v>
          </cell>
          <cell r="D141">
            <v>3</v>
          </cell>
          <cell r="E141">
            <v>80</v>
          </cell>
          <cell r="F141" t="str">
            <v>INICIAL</v>
          </cell>
          <cell r="G141" t="str">
            <v>RECURSOS PROPIOS</v>
          </cell>
          <cell r="H141">
            <v>120000</v>
          </cell>
          <cell r="I141">
            <v>4</v>
          </cell>
          <cell r="J141" t="str">
            <v>NA</v>
          </cell>
          <cell r="K141" t="str">
            <v>3-1-2-02-04 Impresos y  Publicaciones</v>
          </cell>
          <cell r="L141">
            <v>1</v>
          </cell>
          <cell r="M141" t="str">
            <v>NA</v>
          </cell>
          <cell r="N141" t="str">
            <v>NA</v>
          </cell>
          <cell r="O141" t="str">
            <v>S</v>
          </cell>
          <cell r="P141" t="str">
            <v>NA</v>
          </cell>
          <cell r="Q141" t="str">
            <v>Suscripción a la Revista del Congreso para el Concejo de Bogotá.-</v>
          </cell>
          <cell r="R141">
            <v>1</v>
          </cell>
          <cell r="S141" t="str">
            <v>NA</v>
          </cell>
          <cell r="T141" t="str">
            <v>NA</v>
          </cell>
          <cell r="U141" t="str">
            <v>CONTRATACION DIRECTA</v>
          </cell>
          <cell r="V141" t="str">
            <v>PRINCIPAL</v>
          </cell>
          <cell r="W141" t="str">
            <v>NA</v>
          </cell>
          <cell r="X141" t="str">
            <v>SUSCRIPCION</v>
          </cell>
          <cell r="Y141">
            <v>7800000</v>
          </cell>
          <cell r="Z141">
            <v>7800000</v>
          </cell>
          <cell r="AA141" t="str">
            <v>12 mes(es)</v>
          </cell>
        </row>
        <row r="142">
          <cell r="C142">
            <v>143</v>
          </cell>
          <cell r="D142">
            <v>3</v>
          </cell>
          <cell r="E142">
            <v>80</v>
          </cell>
          <cell r="F142" t="str">
            <v>INICIAL</v>
          </cell>
          <cell r="G142" t="str">
            <v>RECURSOS PROPIOS</v>
          </cell>
          <cell r="H142">
            <v>120000</v>
          </cell>
          <cell r="I142">
            <v>4</v>
          </cell>
          <cell r="J142" t="str">
            <v>NA</v>
          </cell>
          <cell r="K142" t="str">
            <v>3-1-2-02-04 Impresos y  Publicaciones</v>
          </cell>
          <cell r="L142">
            <v>1</v>
          </cell>
          <cell r="M142" t="str">
            <v>NA</v>
          </cell>
          <cell r="N142" t="str">
            <v>NA</v>
          </cell>
          <cell r="O142" t="str">
            <v>S</v>
          </cell>
          <cell r="P142" t="str">
            <v>NA</v>
          </cell>
          <cell r="Q142" t="str">
            <v>Suscripción al Directorio de Despachos Públicos para el Concejo de Bogotá.-</v>
          </cell>
          <cell r="R142">
            <v>1</v>
          </cell>
          <cell r="S142" t="str">
            <v>NA</v>
          </cell>
          <cell r="T142" t="str">
            <v>NA</v>
          </cell>
          <cell r="U142" t="str">
            <v>CONTRATACION DIRECTA</v>
          </cell>
          <cell r="V142" t="str">
            <v>PRINCIPAL</v>
          </cell>
          <cell r="W142" t="str">
            <v>NA</v>
          </cell>
          <cell r="X142" t="str">
            <v>SUSCRIPCION</v>
          </cell>
          <cell r="Y142">
            <v>4120000</v>
          </cell>
          <cell r="Z142">
            <v>4120000</v>
          </cell>
          <cell r="AA142" t="str">
            <v>12 mes(es)</v>
          </cell>
        </row>
        <row r="143">
          <cell r="C143">
            <v>144</v>
          </cell>
          <cell r="D143">
            <v>3</v>
          </cell>
          <cell r="E143">
            <v>80</v>
          </cell>
          <cell r="F143" t="str">
            <v>INICIAL</v>
          </cell>
          <cell r="G143" t="str">
            <v>RECURSOS PROPIOS</v>
          </cell>
          <cell r="H143">
            <v>120000</v>
          </cell>
          <cell r="I143">
            <v>4</v>
          </cell>
          <cell r="J143" t="str">
            <v>NA</v>
          </cell>
          <cell r="K143" t="str">
            <v>3-1-2-02-04 Impresos y  Publicaciones</v>
          </cell>
          <cell r="L143">
            <v>1</v>
          </cell>
          <cell r="M143" t="str">
            <v>NA</v>
          </cell>
          <cell r="N143" t="str">
            <v>NA</v>
          </cell>
          <cell r="O143" t="str">
            <v>S</v>
          </cell>
          <cell r="P143" t="str">
            <v>NA</v>
          </cell>
          <cell r="Q143" t="str">
            <v>Suscripción al diario el Espectador para el Concejo de Bogotá</v>
          </cell>
          <cell r="R143">
            <v>1</v>
          </cell>
          <cell r="S143" t="str">
            <v>NA</v>
          </cell>
          <cell r="T143" t="str">
            <v>NA</v>
          </cell>
          <cell r="U143" t="str">
            <v>CONTRATACION DIRECTA</v>
          </cell>
          <cell r="V143" t="str">
            <v>PRINCIPAL</v>
          </cell>
          <cell r="W143" t="str">
            <v>NA</v>
          </cell>
          <cell r="X143" t="str">
            <v>SUSCRIPCION</v>
          </cell>
          <cell r="Y143">
            <v>965000</v>
          </cell>
          <cell r="Z143">
            <v>965000</v>
          </cell>
          <cell r="AA143" t="str">
            <v>12 mes(es)</v>
          </cell>
        </row>
        <row r="144">
          <cell r="C144">
            <v>145</v>
          </cell>
          <cell r="D144">
            <v>3</v>
          </cell>
          <cell r="E144">
            <v>80</v>
          </cell>
          <cell r="F144" t="str">
            <v>INICIAL</v>
          </cell>
          <cell r="G144" t="str">
            <v>RECURSOS PROPIOS</v>
          </cell>
          <cell r="H144">
            <v>120000</v>
          </cell>
          <cell r="I144">
            <v>4</v>
          </cell>
          <cell r="J144" t="str">
            <v>NA</v>
          </cell>
          <cell r="K144" t="str">
            <v>3-1-2-02-04 Impresos y  Publicaciones</v>
          </cell>
          <cell r="L144">
            <v>1</v>
          </cell>
          <cell r="M144" t="str">
            <v>NA</v>
          </cell>
          <cell r="N144" t="str">
            <v>NA</v>
          </cell>
          <cell r="O144" t="str">
            <v>S</v>
          </cell>
          <cell r="P144" t="str">
            <v>NA</v>
          </cell>
          <cell r="Q144" t="str">
            <v>Suscripción al diario La República para el Concejo de Bogotá.-</v>
          </cell>
          <cell r="R144">
            <v>1</v>
          </cell>
          <cell r="S144" t="str">
            <v>NA</v>
          </cell>
          <cell r="T144" t="str">
            <v>NA</v>
          </cell>
          <cell r="U144" t="str">
            <v>CONTRATACION DIRECTA</v>
          </cell>
          <cell r="V144" t="str">
            <v>PRINCIPAL</v>
          </cell>
          <cell r="W144" t="str">
            <v>NA</v>
          </cell>
          <cell r="X144" t="str">
            <v>SUSCRIPCION</v>
          </cell>
          <cell r="Y144">
            <v>787000</v>
          </cell>
          <cell r="Z144">
            <v>787000</v>
          </cell>
          <cell r="AA144" t="str">
            <v>12 mes(es)</v>
          </cell>
        </row>
        <row r="145">
          <cell r="C145">
            <v>146</v>
          </cell>
          <cell r="D145">
            <v>3</v>
          </cell>
          <cell r="E145">
            <v>80</v>
          </cell>
          <cell r="F145" t="str">
            <v>INICIAL</v>
          </cell>
          <cell r="G145" t="str">
            <v>RECURSOS PROPIOS</v>
          </cell>
          <cell r="H145">
            <v>120000</v>
          </cell>
          <cell r="I145">
            <v>4</v>
          </cell>
          <cell r="J145" t="str">
            <v>NA</v>
          </cell>
          <cell r="K145" t="str">
            <v>3-1-2-02-04 Impresos y  Publicaciones</v>
          </cell>
          <cell r="L145">
            <v>1</v>
          </cell>
          <cell r="M145" t="str">
            <v>NA</v>
          </cell>
          <cell r="N145" t="str">
            <v>NA</v>
          </cell>
          <cell r="O145" t="str">
            <v>S</v>
          </cell>
          <cell r="P145" t="str">
            <v>NA</v>
          </cell>
          <cell r="Q145" t="str">
            <v>Suscripción a la Revista Semana para el Concejo de Bogotá</v>
          </cell>
          <cell r="R145">
            <v>1</v>
          </cell>
          <cell r="S145" t="str">
            <v>NA</v>
          </cell>
          <cell r="T145" t="str">
            <v>NA</v>
          </cell>
          <cell r="U145" t="str">
            <v>CONTRATACION DIRECTA</v>
          </cell>
          <cell r="V145" t="str">
            <v>PRINCIPAL</v>
          </cell>
          <cell r="W145" t="str">
            <v>NA</v>
          </cell>
          <cell r="X145" t="str">
            <v>SUSCRIPCION</v>
          </cell>
          <cell r="Y145">
            <v>832000</v>
          </cell>
          <cell r="Z145">
            <v>832000</v>
          </cell>
          <cell r="AA145" t="str">
            <v>10 mes(es)</v>
          </cell>
        </row>
        <row r="146">
          <cell r="C146">
            <v>147</v>
          </cell>
          <cell r="D146">
            <v>3</v>
          </cell>
          <cell r="E146">
            <v>80</v>
          </cell>
          <cell r="F146" t="str">
            <v>INICIAL</v>
          </cell>
          <cell r="G146" t="str">
            <v>RECURSOS PROPIOS</v>
          </cell>
          <cell r="H146">
            <v>120000</v>
          </cell>
          <cell r="I146">
            <v>4</v>
          </cell>
          <cell r="J146" t="str">
            <v>NA</v>
          </cell>
          <cell r="K146" t="str">
            <v>3-1-2-02-04 Impresos y  Publicaciones</v>
          </cell>
          <cell r="L146">
            <v>1</v>
          </cell>
          <cell r="M146" t="str">
            <v>NA</v>
          </cell>
          <cell r="N146" t="str">
            <v>NA</v>
          </cell>
          <cell r="O146" t="str">
            <v>S</v>
          </cell>
          <cell r="P146" t="str">
            <v>NA</v>
          </cell>
          <cell r="Q146" t="str">
            <v>Suscripción al diario Periódico de Bogotá para el Concejo de Bogotá</v>
          </cell>
          <cell r="R146">
            <v>1</v>
          </cell>
          <cell r="S146" t="str">
            <v>NA</v>
          </cell>
          <cell r="T146" t="str">
            <v>NA</v>
          </cell>
          <cell r="U146" t="str">
            <v>CONTRATACION DIRECTA</v>
          </cell>
          <cell r="V146" t="str">
            <v>PRINCIPAL</v>
          </cell>
          <cell r="W146" t="str">
            <v>NA</v>
          </cell>
          <cell r="X146" t="str">
            <v>SUSCRIPCION</v>
          </cell>
          <cell r="Y146">
            <v>834000</v>
          </cell>
          <cell r="Z146">
            <v>834000</v>
          </cell>
          <cell r="AA146" t="str">
            <v>12 mes(es)</v>
          </cell>
        </row>
        <row r="147">
          <cell r="C147">
            <v>148</v>
          </cell>
          <cell r="D147">
            <v>3</v>
          </cell>
          <cell r="E147">
            <v>80</v>
          </cell>
          <cell r="F147" t="str">
            <v>INICIAL</v>
          </cell>
          <cell r="G147" t="str">
            <v>RECURSOS PROPIOS</v>
          </cell>
          <cell r="H147">
            <v>120000</v>
          </cell>
          <cell r="I147">
            <v>4</v>
          </cell>
          <cell r="J147" t="str">
            <v>NA</v>
          </cell>
          <cell r="K147" t="str">
            <v>3-1-2-02-04 Impresos y  Publicaciones</v>
          </cell>
          <cell r="L147">
            <v>1</v>
          </cell>
          <cell r="M147" t="str">
            <v>NA</v>
          </cell>
          <cell r="N147" t="str">
            <v>NA</v>
          </cell>
          <cell r="O147" t="str">
            <v>S</v>
          </cell>
          <cell r="P147" t="str">
            <v>NA</v>
          </cell>
          <cell r="Q147" t="str">
            <v>Suscripción al diario El Nuevo Siglo para el Concejo de Bogotá</v>
          </cell>
          <cell r="R147">
            <v>1</v>
          </cell>
          <cell r="S147" t="str">
            <v>NA</v>
          </cell>
          <cell r="T147" t="str">
            <v>NA</v>
          </cell>
          <cell r="U147" t="str">
            <v>CONTRATACION DIRECTA</v>
          </cell>
          <cell r="V147" t="str">
            <v>PRINCIPAL</v>
          </cell>
          <cell r="W147" t="str">
            <v>NA</v>
          </cell>
          <cell r="X147" t="str">
            <v>SUSCRIPCION</v>
          </cell>
          <cell r="Y147">
            <v>881000</v>
          </cell>
          <cell r="Z147">
            <v>881000</v>
          </cell>
          <cell r="AA147" t="str">
            <v>12 mes(es)</v>
          </cell>
        </row>
        <row r="148">
          <cell r="C148">
            <v>149</v>
          </cell>
          <cell r="D148">
            <v>3</v>
          </cell>
          <cell r="E148">
            <v>80</v>
          </cell>
          <cell r="F148" t="str">
            <v>INICIAL</v>
          </cell>
          <cell r="G148" t="str">
            <v>RECURSOS PROPIOS</v>
          </cell>
          <cell r="H148">
            <v>120000</v>
          </cell>
          <cell r="I148">
            <v>4</v>
          </cell>
          <cell r="J148" t="str">
            <v>NA</v>
          </cell>
          <cell r="K148" t="str">
            <v>3-1-2-02-05-01 Mantenimiento Entidad</v>
          </cell>
          <cell r="L148">
            <v>1</v>
          </cell>
          <cell r="M148" t="str">
            <v>NA</v>
          </cell>
          <cell r="N148" t="str">
            <v>NA</v>
          </cell>
          <cell r="O148" t="str">
            <v>S</v>
          </cell>
          <cell r="P148" t="str">
            <v>NA</v>
          </cell>
          <cell r="Q148" t="str">
            <v>Prestar los servicios de mantenimiento preventivo y correctivo de las alarmas de emergencia ubicadas en la sede principal del Concejo de Bogotá-</v>
          </cell>
          <cell r="R148">
            <v>1</v>
          </cell>
          <cell r="S148" t="str">
            <v>Relacionada con el objeto a contratar-</v>
          </cell>
          <cell r="T148" t="str">
            <v>NA-</v>
          </cell>
          <cell r="U148" t="str">
            <v>MINIMA CUANTIA</v>
          </cell>
          <cell r="V148" t="str">
            <v>PRINCIPAL</v>
          </cell>
          <cell r="W148" t="str">
            <v>NA</v>
          </cell>
          <cell r="X148" t="str">
            <v>PRESTACION DE SERVICIOS</v>
          </cell>
          <cell r="Y148">
            <v>2000000</v>
          </cell>
          <cell r="Z148">
            <v>2000000</v>
          </cell>
          <cell r="AA148" t="str">
            <v>10 mes(es)</v>
          </cell>
        </row>
        <row r="149">
          <cell r="C149">
            <v>150</v>
          </cell>
          <cell r="D149">
            <v>3</v>
          </cell>
          <cell r="E149">
            <v>80</v>
          </cell>
          <cell r="F149" t="str">
            <v>INICIAL</v>
          </cell>
          <cell r="G149" t="str">
            <v>RECURSOS PROPIOS</v>
          </cell>
          <cell r="H149">
            <v>120000</v>
          </cell>
          <cell r="I149">
            <v>4</v>
          </cell>
          <cell r="J149" t="str">
            <v>NA</v>
          </cell>
          <cell r="K149" t="str">
            <v>3-1-2-02-05-01 Mantenimiento Entidad</v>
          </cell>
          <cell r="L149">
            <v>1</v>
          </cell>
          <cell r="M149" t="str">
            <v>NA</v>
          </cell>
          <cell r="N149" t="str">
            <v>NA</v>
          </cell>
          <cell r="O149" t="str">
            <v>S</v>
          </cell>
          <cell r="P149" t="str">
            <v>NA</v>
          </cell>
          <cell r="Q149" t="str">
            <v>Prestar los servicios de mantenimiento correctivo y preventivo para las máquinas: Impresoras litográfica Multilith, compaginadora, guillotina y cizalla manual, ubicadas en la oficina de anales y publicaciones del Concejo de Bogotá</v>
          </cell>
          <cell r="R149">
            <v>1</v>
          </cell>
          <cell r="S149" t="str">
            <v>Relacionada con el objeto a contratar</v>
          </cell>
          <cell r="T149" t="str">
            <v>NA</v>
          </cell>
          <cell r="U149" t="str">
            <v>MINIMA CUANTIA</v>
          </cell>
          <cell r="V149" t="str">
            <v>PRINCIPAL</v>
          </cell>
          <cell r="W149" t="str">
            <v>NA</v>
          </cell>
          <cell r="X149" t="str">
            <v>PRESTACION DE SERVICIOS</v>
          </cell>
          <cell r="Y149">
            <v>7000000</v>
          </cell>
          <cell r="Z149">
            <v>7000000</v>
          </cell>
          <cell r="AA149" t="str">
            <v>11 mes(es)</v>
          </cell>
        </row>
        <row r="150">
          <cell r="C150">
            <v>151</v>
          </cell>
          <cell r="D150">
            <v>3</v>
          </cell>
          <cell r="E150">
            <v>80</v>
          </cell>
          <cell r="F150" t="str">
            <v>INICIAL</v>
          </cell>
          <cell r="G150" t="str">
            <v>RECURSOS PROPIOS</v>
          </cell>
          <cell r="H150">
            <v>120000</v>
          </cell>
          <cell r="I150">
            <v>4</v>
          </cell>
          <cell r="J150" t="str">
            <v>NA</v>
          </cell>
          <cell r="K150" t="str">
            <v>3-1-2-02-05-01 Mantenimiento Entidad</v>
          </cell>
          <cell r="L150">
            <v>1</v>
          </cell>
          <cell r="M150" t="str">
            <v>NA</v>
          </cell>
          <cell r="N150" t="str">
            <v>NA</v>
          </cell>
          <cell r="O150" t="str">
            <v>S</v>
          </cell>
          <cell r="P150" t="str">
            <v>NA</v>
          </cell>
          <cell r="Q150" t="str">
            <v>Realizar la interventoría al contrato de mantenimiento integral locativo del Concejo de Bogotá.</v>
          </cell>
          <cell r="R150">
            <v>1</v>
          </cell>
          <cell r="S150" t="str">
            <v>Relacionada con el objeto a contratar</v>
          </cell>
          <cell r="T150" t="str">
            <v>NA</v>
          </cell>
          <cell r="U150" t="str">
            <v>MINIMA CUANTIA</v>
          </cell>
          <cell r="V150" t="str">
            <v>PRINCIPAL</v>
          </cell>
          <cell r="W150" t="str">
            <v>NA</v>
          </cell>
          <cell r="X150" t="str">
            <v>CONSULTORIA</v>
          </cell>
          <cell r="Y150">
            <v>22144000</v>
          </cell>
          <cell r="Z150">
            <v>22144000</v>
          </cell>
          <cell r="AA150" t="str">
            <v>10 mes(es)</v>
          </cell>
        </row>
        <row r="151">
          <cell r="C151">
            <v>152</v>
          </cell>
          <cell r="D151">
            <v>3</v>
          </cell>
          <cell r="E151">
            <v>80</v>
          </cell>
          <cell r="F151" t="str">
            <v>INICIAL</v>
          </cell>
          <cell r="G151" t="str">
            <v>RECURSOS PROPIOS</v>
          </cell>
          <cell r="H151">
            <v>120000</v>
          </cell>
          <cell r="I151">
            <v>4</v>
          </cell>
          <cell r="J151" t="str">
            <v>NA</v>
          </cell>
          <cell r="K151" t="str">
            <v>3-1-2-02-05-01 Mantenimiento Entidad</v>
          </cell>
          <cell r="L151">
            <v>1</v>
          </cell>
          <cell r="M151" t="str">
            <v>NA</v>
          </cell>
          <cell r="N151" t="str">
            <v>NA</v>
          </cell>
          <cell r="O151" t="str">
            <v>S</v>
          </cell>
          <cell r="P151" t="str">
            <v>NA</v>
          </cell>
          <cell r="Q151" t="str">
            <v>Prestar los servicios de mantenimiento correctivo y preventivo de la puerta eléctrica y talanqueras de acceso vehicular del Concejo de Bogota</v>
          </cell>
          <cell r="R151">
            <v>1</v>
          </cell>
          <cell r="S151" t="str">
            <v>Relacionada con el objeto a contratar</v>
          </cell>
          <cell r="T151" t="str">
            <v>NA</v>
          </cell>
          <cell r="U151" t="str">
            <v>MINIMA CUANTIA</v>
          </cell>
          <cell r="V151" t="str">
            <v>PRINCIPAL</v>
          </cell>
          <cell r="W151" t="str">
            <v>NA</v>
          </cell>
          <cell r="X151" t="str">
            <v>PRESTACION DE SERVICIOS</v>
          </cell>
          <cell r="Y151">
            <v>15000000</v>
          </cell>
          <cell r="Z151">
            <v>15000000</v>
          </cell>
          <cell r="AA151" t="str">
            <v>12 mes(es)</v>
          </cell>
        </row>
        <row r="152">
          <cell r="C152">
            <v>153</v>
          </cell>
          <cell r="D152">
            <v>3</v>
          </cell>
          <cell r="E152">
            <v>80</v>
          </cell>
          <cell r="F152" t="str">
            <v>INICIAL</v>
          </cell>
          <cell r="G152" t="str">
            <v>RECURSOS PROPIOS</v>
          </cell>
          <cell r="H152">
            <v>120000</v>
          </cell>
          <cell r="I152">
            <v>4</v>
          </cell>
          <cell r="J152" t="str">
            <v>NA</v>
          </cell>
          <cell r="K152" t="str">
            <v>3-1-2-02-05-01 Mantenimiento Entidad</v>
          </cell>
          <cell r="L152">
            <v>1</v>
          </cell>
          <cell r="M152" t="str">
            <v>NA</v>
          </cell>
          <cell r="N152" t="str">
            <v>NA</v>
          </cell>
          <cell r="O152" t="str">
            <v>S</v>
          </cell>
          <cell r="P152" t="str">
            <v>NA</v>
          </cell>
          <cell r="Q152" t="str">
            <v>Prestar el servicio de manejo integral de los residuos peligrosos existentes en la sede del Concejo de Bogotá.</v>
          </cell>
          <cell r="R152">
            <v>1</v>
          </cell>
          <cell r="S152" t="str">
            <v>Relacionada con el objeto a contratar</v>
          </cell>
          <cell r="T152" t="str">
            <v>NA</v>
          </cell>
          <cell r="U152" t="str">
            <v>MINIMA CUANTIA</v>
          </cell>
          <cell r="V152" t="str">
            <v>PRINCIPAL</v>
          </cell>
          <cell r="W152" t="str">
            <v>NA</v>
          </cell>
          <cell r="X152" t="str">
            <v>PRESTACION DE SERVICIOS</v>
          </cell>
          <cell r="Y152">
            <v>2000000</v>
          </cell>
          <cell r="Z152">
            <v>2000000</v>
          </cell>
          <cell r="AA152" t="str">
            <v>2 mes(es)</v>
          </cell>
        </row>
        <row r="153">
          <cell r="C153">
            <v>154</v>
          </cell>
          <cell r="D153">
            <v>3</v>
          </cell>
          <cell r="E153">
            <v>17</v>
          </cell>
          <cell r="F153" t="str">
            <v>MODIFICACION</v>
          </cell>
          <cell r="G153" t="str">
            <v>RECURSOS PROPIOS</v>
          </cell>
          <cell r="H153">
            <v>120000</v>
          </cell>
          <cell r="I153">
            <v>4</v>
          </cell>
          <cell r="J153" t="str">
            <v>NA</v>
          </cell>
          <cell r="K153" t="str">
            <v>3-1-2-02-05-01 Mantenimiento Entidad</v>
          </cell>
          <cell r="L153">
            <v>1</v>
          </cell>
          <cell r="M153" t="str">
            <v>NA</v>
          </cell>
          <cell r="N153" t="str">
            <v>NA</v>
          </cell>
          <cell r="O153" t="str">
            <v>S</v>
          </cell>
          <cell r="P153" t="str">
            <v>NA</v>
          </cell>
          <cell r="Q153" t="str">
            <v>Prestar los servicios de mantenimiento correctivo con suministro de repuestos para los vehículos marca Mitsubishi al servicio del Concejo de Bogotá.</v>
          </cell>
          <cell r="R153">
            <v>1</v>
          </cell>
          <cell r="S153" t="str">
            <v>Relacionada con el objeto a contratar</v>
          </cell>
          <cell r="T153" t="str">
            <v>NA</v>
          </cell>
          <cell r="U153" t="str">
            <v>CONTRATACION DIRECTA</v>
          </cell>
          <cell r="V153" t="str">
            <v>PRINCIPAL</v>
          </cell>
          <cell r="W153" t="str">
            <v>NA</v>
          </cell>
          <cell r="X153" t="str">
            <v>PRESTACION DE SERVICIOS</v>
          </cell>
          <cell r="Y153">
            <v>28000000</v>
          </cell>
          <cell r="Z153">
            <v>28000000</v>
          </cell>
          <cell r="AA153" t="str">
            <v>11 mes(es)</v>
          </cell>
        </row>
        <row r="154">
          <cell r="C154">
            <v>155</v>
          </cell>
          <cell r="D154">
            <v>3</v>
          </cell>
          <cell r="E154">
            <v>80</v>
          </cell>
          <cell r="F154" t="str">
            <v>INICIAL</v>
          </cell>
          <cell r="G154" t="str">
            <v>RECURSOS PROPIOS</v>
          </cell>
          <cell r="H154">
            <v>120000</v>
          </cell>
          <cell r="I154">
            <v>4</v>
          </cell>
          <cell r="J154" t="str">
            <v>NA</v>
          </cell>
          <cell r="K154" t="str">
            <v>3-1-2-02-05-01 Mantenimiento Entidad</v>
          </cell>
          <cell r="L154">
            <v>1</v>
          </cell>
          <cell r="M154" t="str">
            <v>NA</v>
          </cell>
          <cell r="N154" t="str">
            <v>NA</v>
          </cell>
          <cell r="O154" t="str">
            <v>S</v>
          </cell>
          <cell r="P154" t="str">
            <v>NA</v>
          </cell>
          <cell r="Q154" t="str">
            <v>Prestar el servicio de mantenimiento preventivo y correctivo para los tanques de almacenamiento y equipos de bombeo hidráulicos de agua potable, residual y aguas negras del Concejo de Bogotá.</v>
          </cell>
          <cell r="R154">
            <v>1</v>
          </cell>
          <cell r="S154" t="str">
            <v>Relacionada con el objeto a contratar</v>
          </cell>
          <cell r="T154" t="str">
            <v>NA</v>
          </cell>
          <cell r="U154" t="str">
            <v>MINIMA CUANTIA</v>
          </cell>
          <cell r="V154" t="str">
            <v>PRINCIPAL</v>
          </cell>
          <cell r="W154" t="str">
            <v>NA</v>
          </cell>
          <cell r="X154" t="str">
            <v>PRESTACION DE SERVICIOS</v>
          </cell>
          <cell r="Y154">
            <v>5000000</v>
          </cell>
          <cell r="Z154">
            <v>5000000</v>
          </cell>
          <cell r="AA154" t="str">
            <v>9 mes(es)</v>
          </cell>
        </row>
        <row r="155">
          <cell r="C155">
            <v>156</v>
          </cell>
          <cell r="D155">
            <v>3</v>
          </cell>
          <cell r="E155">
            <v>80</v>
          </cell>
          <cell r="F155" t="str">
            <v>INICIAL</v>
          </cell>
          <cell r="G155" t="str">
            <v>RECURSOS PROPIOS</v>
          </cell>
          <cell r="H155">
            <v>120000</v>
          </cell>
          <cell r="I155">
            <v>4</v>
          </cell>
          <cell r="J155" t="str">
            <v>NA</v>
          </cell>
          <cell r="K155" t="str">
            <v>3-1-2-02-06-02 Seguros de Vida Concejales</v>
          </cell>
          <cell r="L155">
            <v>1</v>
          </cell>
          <cell r="M155" t="str">
            <v>NA</v>
          </cell>
          <cell r="N155" t="str">
            <v>NA</v>
          </cell>
          <cell r="O155" t="str">
            <v>S</v>
          </cell>
          <cell r="P155" t="str">
            <v>NA</v>
          </cell>
          <cell r="Q155" t="str">
            <v>Adición y prorroga al contrato 130342-0-2013 suscrito con POSITIVA COMPAÑIA DE SEGUROS S A para la expedición de la póliza de seguro vida de los  Concejales de Bogotá.</v>
          </cell>
          <cell r="R155">
            <v>1</v>
          </cell>
          <cell r="S155" t="str">
            <v>N/A</v>
          </cell>
          <cell r="T155" t="str">
            <v>NA</v>
          </cell>
          <cell r="U155" t="str">
            <v>NA</v>
          </cell>
          <cell r="V155" t="str">
            <v>MODIFICACION</v>
          </cell>
          <cell r="W155" t="str">
            <v>NA</v>
          </cell>
          <cell r="X155" t="str">
            <v>PRESTACION DE SERVICIOS</v>
          </cell>
          <cell r="Y155">
            <v>25824000</v>
          </cell>
          <cell r="Z155">
            <v>25824000</v>
          </cell>
          <cell r="AA155" t="str">
            <v>2 mes(es)</v>
          </cell>
        </row>
        <row r="156">
          <cell r="C156">
            <v>157</v>
          </cell>
          <cell r="D156">
            <v>3</v>
          </cell>
          <cell r="E156">
            <v>80</v>
          </cell>
          <cell r="F156" t="str">
            <v>INICIAL</v>
          </cell>
          <cell r="G156" t="str">
            <v>RECURSOS PROPIOS</v>
          </cell>
          <cell r="H156">
            <v>120000</v>
          </cell>
          <cell r="I156">
            <v>4</v>
          </cell>
          <cell r="J156" t="str">
            <v>NA</v>
          </cell>
          <cell r="K156" t="str">
            <v>3-1-2-02-11 Promoción Institucional</v>
          </cell>
          <cell r="L156">
            <v>1</v>
          </cell>
          <cell r="M156" t="str">
            <v>NA</v>
          </cell>
          <cell r="N156" t="str">
            <v>NA</v>
          </cell>
          <cell r="O156" t="str">
            <v>S</v>
          </cell>
          <cell r="P156" t="str">
            <v>NA</v>
          </cell>
          <cell r="Q156" t="str">
            <v>Suministro de elementos de promoción institucional y actos protocolarios del Concejo de Bogotá.-</v>
          </cell>
          <cell r="R156">
            <v>1</v>
          </cell>
          <cell r="S156" t="str">
            <v>Relacionada con el objeto a contratar-</v>
          </cell>
          <cell r="T156" t="str">
            <v>NA-</v>
          </cell>
          <cell r="U156" t="str">
            <v>MINIMA CUANTIA</v>
          </cell>
          <cell r="V156" t="str">
            <v>PRINCIPAL</v>
          </cell>
          <cell r="W156" t="str">
            <v>NA</v>
          </cell>
          <cell r="X156" t="str">
            <v>SUMINISTRO</v>
          </cell>
          <cell r="Y156">
            <v>29000000</v>
          </cell>
          <cell r="Z156">
            <v>29000000</v>
          </cell>
          <cell r="AA156" t="str">
            <v>10 mes(es)</v>
          </cell>
        </row>
        <row r="157">
          <cell r="C157">
            <v>158</v>
          </cell>
          <cell r="D157">
            <v>3</v>
          </cell>
          <cell r="E157">
            <v>80</v>
          </cell>
          <cell r="F157" t="str">
            <v>INICIAL</v>
          </cell>
          <cell r="G157" t="str">
            <v>RECURSOS PROPIOS</v>
          </cell>
          <cell r="H157">
            <v>120000</v>
          </cell>
          <cell r="I157">
            <v>4</v>
          </cell>
          <cell r="J157" t="str">
            <v>NA</v>
          </cell>
          <cell r="K157" t="str">
            <v>3-1-2-02-11 Promoción Institucional</v>
          </cell>
          <cell r="L157">
            <v>1</v>
          </cell>
          <cell r="M157" t="str">
            <v>NA</v>
          </cell>
          <cell r="N157" t="str">
            <v>NA</v>
          </cell>
          <cell r="O157" t="str">
            <v>S</v>
          </cell>
          <cell r="P157" t="str">
            <v>NA</v>
          </cell>
          <cell r="Q157" t="str">
            <v>Aunar esfuerzos y recursos humanos, financieros y técnicos para realizar las actividades asociadas a la intervención de los bienes muebles de carácter patrimonial del Concejo de Bogotá D.C.</v>
          </cell>
          <cell r="R157">
            <v>1</v>
          </cell>
          <cell r="S157" t="str">
            <v>Relacionada con el objeto a contratar-</v>
          </cell>
          <cell r="T157" t="str">
            <v>NA-</v>
          </cell>
          <cell r="U157" t="str">
            <v>CONTRATACION DIRECTA</v>
          </cell>
          <cell r="V157" t="str">
            <v>PRINCIPAL</v>
          </cell>
          <cell r="W157" t="str">
            <v>NA</v>
          </cell>
          <cell r="X157" t="str">
            <v>CONVENIO INTERADMINISTRATIVO</v>
          </cell>
          <cell r="Y157">
            <v>300000000</v>
          </cell>
          <cell r="Z157">
            <v>300000000</v>
          </cell>
          <cell r="AA157" t="str">
            <v>4 mes(es)</v>
          </cell>
        </row>
        <row r="158">
          <cell r="C158">
            <v>159</v>
          </cell>
          <cell r="D158">
            <v>3</v>
          </cell>
          <cell r="E158">
            <v>14</v>
          </cell>
          <cell r="F158" t="str">
            <v>MODIFICACION</v>
          </cell>
          <cell r="G158" t="str">
            <v>RECURSOS PROPIOS</v>
          </cell>
          <cell r="H158">
            <v>52000</v>
          </cell>
          <cell r="I158">
            <v>1</v>
          </cell>
          <cell r="J158" t="str">
            <v>NA</v>
          </cell>
          <cell r="K158" t="str">
            <v>3-1-2-02-12 Salud Ocupacional</v>
          </cell>
          <cell r="L158">
            <v>1</v>
          </cell>
          <cell r="M158" t="str">
            <v>NA</v>
          </cell>
          <cell r="N158" t="str">
            <v>NA</v>
          </cell>
          <cell r="O158" t="str">
            <v>S</v>
          </cell>
          <cell r="P158" t="str">
            <v>NA</v>
          </cell>
          <cell r="Q158" t="str">
            <v>Prestar los servicios profesionales de intervención e implementación de actividades relacionadas con el Sistema de Gestión de Seguridad y Salud en el Trabajo de la Secretaria Distrital de Hacienda</v>
          </cell>
          <cell r="R158">
            <v>2</v>
          </cell>
          <cell r="S158" t="str">
            <v>4 años de experiencia profesional</v>
          </cell>
          <cell r="T158" t="str">
            <v>Psicologo, especialista en salud ocupacional.</v>
          </cell>
          <cell r="U158" t="str">
            <v>CONTRATACION DIRECTA</v>
          </cell>
          <cell r="V158" t="str">
            <v>PRINCIPAL</v>
          </cell>
          <cell r="W158" t="str">
            <v>NA</v>
          </cell>
          <cell r="X158" t="str">
            <v>PRESTACION DE SERVICIOS1</v>
          </cell>
          <cell r="Y158">
            <v>85700000</v>
          </cell>
          <cell r="Z158">
            <v>85700000</v>
          </cell>
          <cell r="AA158" t="str">
            <v>10 mes(es)</v>
          </cell>
        </row>
        <row r="159">
          <cell r="C159">
            <v>160</v>
          </cell>
          <cell r="D159">
            <v>3</v>
          </cell>
          <cell r="E159">
            <v>80</v>
          </cell>
          <cell r="F159" t="str">
            <v>INICIAL</v>
          </cell>
          <cell r="G159" t="str">
            <v>RECURSOS PROPIOS</v>
          </cell>
          <cell r="H159">
            <v>120000</v>
          </cell>
          <cell r="I159">
            <v>4</v>
          </cell>
          <cell r="J159" t="str">
            <v>NA</v>
          </cell>
          <cell r="K159" t="str">
            <v>3-1-2-02-17 Información</v>
          </cell>
          <cell r="L159">
            <v>1</v>
          </cell>
          <cell r="M159" t="str">
            <v>NA</v>
          </cell>
          <cell r="N159" t="str">
            <v>NA</v>
          </cell>
          <cell r="O159" t="str">
            <v>S</v>
          </cell>
          <cell r="P159" t="str">
            <v>NA</v>
          </cell>
          <cell r="Q159" t="str">
            <v>Presar los servicios de diseño, producción y ejecución de estrategias de divulgación en medios de comunicación de carácter masivo y alternativo para el Concejo de Bogotá.</v>
          </cell>
          <cell r="R159">
            <v>1</v>
          </cell>
          <cell r="S159" t="str">
            <v>NA</v>
          </cell>
          <cell r="T159" t="str">
            <v>NA</v>
          </cell>
          <cell r="U159" t="str">
            <v>CONTRATACION DIRECTA</v>
          </cell>
          <cell r="V159" t="str">
            <v>PRINCIPAL</v>
          </cell>
          <cell r="W159" t="str">
            <v>NA</v>
          </cell>
          <cell r="X159" t="str">
            <v>CONTRATO INTERADMINISTRATIVO</v>
          </cell>
          <cell r="Y159">
            <v>496000000</v>
          </cell>
          <cell r="Z159">
            <v>496000000</v>
          </cell>
          <cell r="AA159" t="str">
            <v>9 mes(es)</v>
          </cell>
        </row>
        <row r="160">
          <cell r="C160">
            <v>161</v>
          </cell>
          <cell r="D160">
            <v>3</v>
          </cell>
          <cell r="E160">
            <v>80</v>
          </cell>
          <cell r="F160" t="str">
            <v>INICIAL</v>
          </cell>
          <cell r="G160" t="str">
            <v>RECURSOS PROPIOS</v>
          </cell>
          <cell r="H160">
            <v>120000</v>
          </cell>
          <cell r="I160">
            <v>4</v>
          </cell>
          <cell r="J160" t="str">
            <v>NA</v>
          </cell>
          <cell r="K160" t="str">
            <v>3-1-2-02-17 Información</v>
          </cell>
          <cell r="L160">
            <v>1</v>
          </cell>
          <cell r="M160" t="str">
            <v>NA</v>
          </cell>
          <cell r="N160" t="str">
            <v>NA</v>
          </cell>
          <cell r="O160" t="str">
            <v>S</v>
          </cell>
          <cell r="P160" t="str">
            <v>NA</v>
          </cell>
          <cell r="Q160" t="str">
            <v>Prestar los servicios de producción y transmisión de  programas de televisión para el Concejo de Bogotá-</v>
          </cell>
          <cell r="R160">
            <v>1</v>
          </cell>
          <cell r="S160" t="str">
            <v>NA</v>
          </cell>
          <cell r="T160" t="str">
            <v>NA</v>
          </cell>
          <cell r="U160" t="str">
            <v>CONTRATACION DIRECTA</v>
          </cell>
          <cell r="V160" t="str">
            <v>PRINCIPAL</v>
          </cell>
          <cell r="W160" t="str">
            <v>NA</v>
          </cell>
          <cell r="X160" t="str">
            <v>CONTRATO INTERADMINISTRATIVO</v>
          </cell>
          <cell r="Y160">
            <v>1304000000</v>
          </cell>
          <cell r="Z160">
            <v>1304000000</v>
          </cell>
          <cell r="AA160" t="str">
            <v>10 mes(es)</v>
          </cell>
        </row>
        <row r="161">
          <cell r="C161">
            <v>162</v>
          </cell>
          <cell r="D161">
            <v>3</v>
          </cell>
          <cell r="E161">
            <v>80</v>
          </cell>
          <cell r="F161" t="str">
            <v>INICIAL</v>
          </cell>
          <cell r="G161" t="str">
            <v>RECURSOS PROPIOS</v>
          </cell>
          <cell r="H161">
            <v>51000</v>
          </cell>
          <cell r="I161">
            <v>1</v>
          </cell>
          <cell r="J161" t="str">
            <v>NA</v>
          </cell>
          <cell r="K161" t="str">
            <v>3-1-2-01-03 Combustibles, Lubricantes y Llantas</v>
          </cell>
          <cell r="L161">
            <v>1</v>
          </cell>
          <cell r="M161" t="str">
            <v>NA</v>
          </cell>
          <cell r="N161" t="str">
            <v>NA</v>
          </cell>
          <cell r="O161" t="str">
            <v>S</v>
          </cell>
          <cell r="P161" t="str">
            <v>NA</v>
          </cell>
          <cell r="Q161" t="str">
            <v>Suministro de combustible para la Secretaría Distrital de Hacienda y Concejo de Bogotá</v>
          </cell>
          <cell r="R161">
            <v>2</v>
          </cell>
          <cell r="S161" t="str">
            <v>NA</v>
          </cell>
          <cell r="T161" t="str">
            <v>NA</v>
          </cell>
          <cell r="U161" t="str">
            <v>ACUERDO MARCO</v>
          </cell>
          <cell r="V161" t="str">
            <v>PRINCIPAL</v>
          </cell>
          <cell r="W161" t="str">
            <v>NA</v>
          </cell>
          <cell r="X161" t="str">
            <v>SUMINISTRO</v>
          </cell>
          <cell r="Y161">
            <v>504486000</v>
          </cell>
          <cell r="Z161">
            <v>58180000</v>
          </cell>
          <cell r="AA161" t="str">
            <v>12 mes(es)</v>
          </cell>
        </row>
        <row r="162">
          <cell r="C162">
            <v>162</v>
          </cell>
          <cell r="D162">
            <v>3</v>
          </cell>
          <cell r="E162">
            <v>80</v>
          </cell>
          <cell r="F162" t="str">
            <v>INICIAL</v>
          </cell>
          <cell r="G162" t="str">
            <v>RECURSOS PROPIOS</v>
          </cell>
          <cell r="H162">
            <v>120000</v>
          </cell>
          <cell r="I162">
            <v>4</v>
          </cell>
          <cell r="J162" t="str">
            <v>NA</v>
          </cell>
          <cell r="K162" t="str">
            <v>3-1-2-01-03 Combustibles, Lubricantes y Llantas</v>
          </cell>
          <cell r="L162">
            <v>1</v>
          </cell>
          <cell r="M162" t="str">
            <v>NA</v>
          </cell>
          <cell r="N162" t="str">
            <v>NA</v>
          </cell>
          <cell r="O162" t="str">
            <v>S</v>
          </cell>
          <cell r="P162" t="str">
            <v>NA</v>
          </cell>
          <cell r="Q162" t="str">
            <v>Suministro de combustible para la Secretaría Distrital de Hacienda y Concejo de Bogotá</v>
          </cell>
          <cell r="R162">
            <v>2</v>
          </cell>
          <cell r="S162" t="str">
            <v>NA</v>
          </cell>
          <cell r="T162" t="str">
            <v>NA</v>
          </cell>
          <cell r="U162" t="str">
            <v>ACUERDO MARCO</v>
          </cell>
          <cell r="V162" t="str">
            <v>PRINCIPAL</v>
          </cell>
          <cell r="W162" t="str">
            <v>NA</v>
          </cell>
          <cell r="X162" t="str">
            <v>SUMINISTRO</v>
          </cell>
          <cell r="Y162">
            <v>504486000</v>
          </cell>
          <cell r="Z162">
            <v>446306000</v>
          </cell>
          <cell r="AA162" t="str">
            <v>12 mes(es)</v>
          </cell>
        </row>
        <row r="163">
          <cell r="C163">
            <v>163</v>
          </cell>
          <cell r="D163">
            <v>3</v>
          </cell>
          <cell r="E163">
            <v>80</v>
          </cell>
          <cell r="F163" t="str">
            <v>INICIAL</v>
          </cell>
          <cell r="G163" t="str">
            <v>RECURSOS PROPIOS</v>
          </cell>
          <cell r="H163">
            <v>51000</v>
          </cell>
          <cell r="I163">
            <v>1</v>
          </cell>
          <cell r="J163" t="str">
            <v>NA</v>
          </cell>
          <cell r="K163" t="str">
            <v>3-1-2-01-03 Combustibles, Lubricantes y Llantas</v>
          </cell>
          <cell r="L163">
            <v>1</v>
          </cell>
          <cell r="M163" t="str">
            <v>NA</v>
          </cell>
          <cell r="N163" t="str">
            <v>NA</v>
          </cell>
          <cell r="O163" t="str">
            <v>S</v>
          </cell>
          <cell r="P163" t="str">
            <v>NA</v>
          </cell>
          <cell r="Q163" t="str">
            <v>Suministro de ACPM para la Secretaría Distrital de Hacienda y el Concejo de Bogotá</v>
          </cell>
          <cell r="R163">
            <v>2</v>
          </cell>
          <cell r="S163" t="str">
            <v>NA</v>
          </cell>
          <cell r="T163" t="str">
            <v>NA</v>
          </cell>
          <cell r="U163" t="str">
            <v>MINIMA CUANTIA</v>
          </cell>
          <cell r="V163" t="str">
            <v>PRINCIPAL</v>
          </cell>
          <cell r="W163" t="str">
            <v>NA</v>
          </cell>
          <cell r="X163" t="str">
            <v>SUMINISTRO</v>
          </cell>
          <cell r="Y163">
            <v>10000000</v>
          </cell>
          <cell r="Z163">
            <v>8000000</v>
          </cell>
          <cell r="AA163" t="str">
            <v>2 mes(es)</v>
          </cell>
        </row>
        <row r="164">
          <cell r="C164">
            <v>163</v>
          </cell>
          <cell r="D164">
            <v>3</v>
          </cell>
          <cell r="E164">
            <v>80</v>
          </cell>
          <cell r="F164" t="str">
            <v>INICIAL</v>
          </cell>
          <cell r="G164" t="str">
            <v>RECURSOS PROPIOS</v>
          </cell>
          <cell r="H164">
            <v>120000</v>
          </cell>
          <cell r="I164">
            <v>4</v>
          </cell>
          <cell r="J164" t="str">
            <v>NA</v>
          </cell>
          <cell r="K164" t="str">
            <v>3-1-2-01-03 Combustibles, Lubricantes y Llantas</v>
          </cell>
          <cell r="L164">
            <v>1</v>
          </cell>
          <cell r="M164" t="str">
            <v>NA</v>
          </cell>
          <cell r="N164" t="str">
            <v>NA</v>
          </cell>
          <cell r="O164" t="str">
            <v>S</v>
          </cell>
          <cell r="P164" t="str">
            <v>NA</v>
          </cell>
          <cell r="Q164" t="str">
            <v>Suministro de ACPM para la Secretaría Distrital de Hacienda y el Concejo de Bogotá</v>
          </cell>
          <cell r="R164">
            <v>2</v>
          </cell>
          <cell r="S164" t="str">
            <v>NA</v>
          </cell>
          <cell r="T164" t="str">
            <v>NA</v>
          </cell>
          <cell r="U164" t="str">
            <v>MINIMA CUANTIA</v>
          </cell>
          <cell r="V164" t="str">
            <v>PRINCIPAL</v>
          </cell>
          <cell r="W164" t="str">
            <v>NA</v>
          </cell>
          <cell r="X164" t="str">
            <v>SUMINISTRO</v>
          </cell>
          <cell r="Y164">
            <v>10000000</v>
          </cell>
          <cell r="Z164">
            <v>2000000</v>
          </cell>
          <cell r="AA164" t="str">
            <v>2 mes(es)</v>
          </cell>
        </row>
        <row r="165">
          <cell r="C165">
            <v>164</v>
          </cell>
          <cell r="D165">
            <v>3</v>
          </cell>
          <cell r="E165">
            <v>13</v>
          </cell>
          <cell r="F165" t="str">
            <v>MODIFICACION</v>
          </cell>
          <cell r="G165" t="str">
            <v>RECURSOS PROPIOS</v>
          </cell>
          <cell r="H165">
            <v>51000</v>
          </cell>
          <cell r="I165">
            <v>1</v>
          </cell>
          <cell r="J165" t="str">
            <v>NA</v>
          </cell>
          <cell r="K165" t="str">
            <v>3-1-2-01-03 Combustibles, Lubricantes y Llantas</v>
          </cell>
          <cell r="L165">
            <v>1</v>
          </cell>
          <cell r="M165" t="str">
            <v>NA</v>
          </cell>
          <cell r="N165" t="str">
            <v>NA</v>
          </cell>
          <cell r="O165" t="str">
            <v>S</v>
          </cell>
          <cell r="P165" t="str">
            <v>NA</v>
          </cell>
          <cell r="Q165" t="str">
            <v>Prestar los servicios de mantenimiento preventivo para los vehículos de la Secretaría de Hacienda y del Concejo de Bogotá.-</v>
          </cell>
          <cell r="R165">
            <v>2</v>
          </cell>
          <cell r="S165" t="str">
            <v>NA</v>
          </cell>
          <cell r="T165" t="str">
            <v>NA</v>
          </cell>
          <cell r="U165" t="str">
            <v>MINIMA CUANTIA</v>
          </cell>
          <cell r="V165" t="str">
            <v>PRINCIPAL</v>
          </cell>
          <cell r="W165" t="str">
            <v>NA</v>
          </cell>
          <cell r="X165" t="str">
            <v>PRESTACION DE SERVICIOS</v>
          </cell>
          <cell r="Y165">
            <v>50140000</v>
          </cell>
          <cell r="Z165">
            <v>2120000</v>
          </cell>
          <cell r="AA165" t="str">
            <v>12 mes(es)</v>
          </cell>
        </row>
        <row r="166">
          <cell r="C166">
            <v>164</v>
          </cell>
          <cell r="D166">
            <v>3</v>
          </cell>
          <cell r="E166">
            <v>13</v>
          </cell>
          <cell r="F166" t="str">
            <v>MODIFICACION</v>
          </cell>
          <cell r="G166" t="str">
            <v>RECURSOS PROPIOS</v>
          </cell>
          <cell r="H166">
            <v>120000</v>
          </cell>
          <cell r="I166">
            <v>4</v>
          </cell>
          <cell r="J166" t="str">
            <v>NA</v>
          </cell>
          <cell r="K166" t="str">
            <v>3-1-2-01-03 Combustibles, Lubricantes y Llantas</v>
          </cell>
          <cell r="L166">
            <v>1</v>
          </cell>
          <cell r="M166" t="str">
            <v>NA</v>
          </cell>
          <cell r="N166" t="str">
            <v>NA</v>
          </cell>
          <cell r="O166" t="str">
            <v>S</v>
          </cell>
          <cell r="P166" t="str">
            <v>NA</v>
          </cell>
          <cell r="Q166" t="str">
            <v>Prestar los servicios de mantenimiento preventivo para los vehículos de la Secretaría de Hacienda y del Concejo de Bogotá.-</v>
          </cell>
          <cell r="R166">
            <v>2</v>
          </cell>
          <cell r="S166" t="str">
            <v>NA</v>
          </cell>
          <cell r="T166" t="str">
            <v>NA</v>
          </cell>
          <cell r="U166" t="str">
            <v>MINIMA CUANTIA</v>
          </cell>
          <cell r="V166" t="str">
            <v>PRINCIPAL</v>
          </cell>
          <cell r="W166" t="str">
            <v>NA</v>
          </cell>
          <cell r="X166" t="str">
            <v>PRESTACION DE SERVICIOS</v>
          </cell>
          <cell r="Y166">
            <v>50140000</v>
          </cell>
          <cell r="Z166">
            <v>3415000</v>
          </cell>
          <cell r="AA166" t="str">
            <v>12 mes(es)</v>
          </cell>
        </row>
        <row r="167">
          <cell r="C167">
            <v>164</v>
          </cell>
          <cell r="D167">
            <v>3</v>
          </cell>
          <cell r="E167">
            <v>13</v>
          </cell>
          <cell r="F167" t="str">
            <v>MODIFICACION</v>
          </cell>
          <cell r="G167" t="str">
            <v>RECURSOS PROPIOS</v>
          </cell>
          <cell r="H167">
            <v>51000</v>
          </cell>
          <cell r="I167">
            <v>1</v>
          </cell>
          <cell r="J167" t="str">
            <v>NA</v>
          </cell>
          <cell r="K167" t="str">
            <v>3-1-2-02-05-01 Mantenimiento Entidad</v>
          </cell>
          <cell r="L167">
            <v>1</v>
          </cell>
          <cell r="M167" t="str">
            <v>NA</v>
          </cell>
          <cell r="N167" t="str">
            <v>NA</v>
          </cell>
          <cell r="O167" t="str">
            <v>S</v>
          </cell>
          <cell r="P167" t="str">
            <v>NA</v>
          </cell>
          <cell r="Q167" t="str">
            <v>Prestar los servicios de mantenimiento preventivo para los vehículos de la Secretaría de Hacienda y del Concejo de Bogotá.-</v>
          </cell>
          <cell r="R167">
            <v>2</v>
          </cell>
          <cell r="S167" t="str">
            <v>NA</v>
          </cell>
          <cell r="T167" t="str">
            <v>NA</v>
          </cell>
          <cell r="U167" t="str">
            <v>MINIMA CUANTIA</v>
          </cell>
          <cell r="V167" t="str">
            <v>PRINCIPAL</v>
          </cell>
          <cell r="W167" t="str">
            <v>NA</v>
          </cell>
          <cell r="X167" t="str">
            <v>PRESTACION DE SERVICIOS</v>
          </cell>
          <cell r="Y167">
            <v>50140000</v>
          </cell>
          <cell r="Z167">
            <v>19215000</v>
          </cell>
          <cell r="AA167" t="str">
            <v>12 mes(es)</v>
          </cell>
        </row>
        <row r="168">
          <cell r="C168">
            <v>164</v>
          </cell>
          <cell r="D168">
            <v>3</v>
          </cell>
          <cell r="E168">
            <v>13</v>
          </cell>
          <cell r="F168" t="str">
            <v>MODIFICACION</v>
          </cell>
          <cell r="G168" t="str">
            <v>RECURSOS PROPIOS</v>
          </cell>
          <cell r="H168">
            <v>120000</v>
          </cell>
          <cell r="I168">
            <v>4</v>
          </cell>
          <cell r="J168" t="str">
            <v>NA</v>
          </cell>
          <cell r="K168" t="str">
            <v>3-1-2-02-05-01 Mantenimiento Entidad</v>
          </cell>
          <cell r="L168">
            <v>1</v>
          </cell>
          <cell r="M168" t="str">
            <v>NA</v>
          </cell>
          <cell r="N168" t="str">
            <v>NA</v>
          </cell>
          <cell r="O168" t="str">
            <v>S</v>
          </cell>
          <cell r="P168" t="str">
            <v>NA</v>
          </cell>
          <cell r="Q168" t="str">
            <v>Prestar los servicios de mantenimiento preventivo para los vehículos de la Secretaría de Hacienda y del Concejo de Bogotá.-</v>
          </cell>
          <cell r="R168">
            <v>2</v>
          </cell>
          <cell r="S168" t="str">
            <v>NA</v>
          </cell>
          <cell r="T168" t="str">
            <v>NA</v>
          </cell>
          <cell r="U168" t="str">
            <v>MINIMA CUANTIA</v>
          </cell>
          <cell r="V168" t="str">
            <v>PRINCIPAL</v>
          </cell>
          <cell r="W168" t="str">
            <v>NA</v>
          </cell>
          <cell r="X168" t="str">
            <v>PRESTACION DE SERVICIOS</v>
          </cell>
          <cell r="Y168">
            <v>50140000</v>
          </cell>
          <cell r="Z168">
            <v>25390000</v>
          </cell>
          <cell r="AA168" t="str">
            <v>12 mes(es)</v>
          </cell>
        </row>
        <row r="169">
          <cell r="C169">
            <v>165</v>
          </cell>
          <cell r="D169">
            <v>3</v>
          </cell>
          <cell r="E169">
            <v>15</v>
          </cell>
          <cell r="F169" t="str">
            <v>MODIFICACION</v>
          </cell>
          <cell r="G169" t="str">
            <v>RECURSOS PROPIOS</v>
          </cell>
          <cell r="H169">
            <v>51000</v>
          </cell>
          <cell r="I169">
            <v>1</v>
          </cell>
          <cell r="J169" t="str">
            <v>NA</v>
          </cell>
          <cell r="K169" t="str">
            <v>3-1-2-01-04 Materiales y Suministros</v>
          </cell>
          <cell r="L169">
            <v>1</v>
          </cell>
          <cell r="M169" t="str">
            <v>NA</v>
          </cell>
          <cell r="N169" t="str">
            <v>NA</v>
          </cell>
          <cell r="O169" t="str">
            <v>S</v>
          </cell>
          <cell r="P169" t="str">
            <v>NA</v>
          </cell>
          <cell r="Q169" t="str">
            <v>Prestar los servicios integrales de aseo y cafetería y servicio de fumigación para las instalaciones de la Secretaría Distrital de Hacienda de Bogotá, D.C., zonas comunes del Centro Administrativo Distrital - CAD y del Concejo de Bogotá D.C</v>
          </cell>
          <cell r="R169">
            <v>2</v>
          </cell>
          <cell r="S169" t="str">
            <v>Relacionada con el objeto a contratar-</v>
          </cell>
          <cell r="T169" t="str">
            <v>NA-</v>
          </cell>
          <cell r="U169" t="str">
            <v>SEL. ABREVIADA SUB.INVERSA</v>
          </cell>
          <cell r="V169" t="str">
            <v>PRINCIPAL</v>
          </cell>
          <cell r="W169" t="str">
            <v>NA</v>
          </cell>
          <cell r="X169" t="str">
            <v>PRESTACION DE SERVICIOS</v>
          </cell>
          <cell r="Y169">
            <v>1673000000</v>
          </cell>
          <cell r="Z169">
            <v>253000000</v>
          </cell>
          <cell r="AA169" t="str">
            <v>10 mes(es)</v>
          </cell>
        </row>
        <row r="170">
          <cell r="C170">
            <v>165</v>
          </cell>
          <cell r="D170">
            <v>3</v>
          </cell>
          <cell r="E170">
            <v>15</v>
          </cell>
          <cell r="F170" t="str">
            <v>MODIFICACION</v>
          </cell>
          <cell r="G170" t="str">
            <v>RECURSOS PROPIOS</v>
          </cell>
          <cell r="H170">
            <v>51000</v>
          </cell>
          <cell r="I170">
            <v>1</v>
          </cell>
          <cell r="J170" t="str">
            <v>NA</v>
          </cell>
          <cell r="K170" t="str">
            <v>3-1-2-02-05-01 Mantenimiento Entidad</v>
          </cell>
          <cell r="L170">
            <v>1</v>
          </cell>
          <cell r="M170" t="str">
            <v>NA</v>
          </cell>
          <cell r="N170" t="str">
            <v>NA</v>
          </cell>
          <cell r="O170" t="str">
            <v>S</v>
          </cell>
          <cell r="P170" t="str">
            <v>NA</v>
          </cell>
          <cell r="Q170" t="str">
            <v>Prestar los servicios integrales de aseo y cafetería y servicio de fumigación para las instalaciones de la Secretaría Distrital de Hacienda de Bogotá, D.C., zonas comunes del Centro Administrativo Distrital - CAD y del Concejo de Bogotá D.C</v>
          </cell>
          <cell r="R170">
            <v>2</v>
          </cell>
          <cell r="S170" t="str">
            <v>Relacionada con el objeto a contratar-</v>
          </cell>
          <cell r="T170" t="str">
            <v>NA-</v>
          </cell>
          <cell r="U170" t="str">
            <v>SEL. ABREVIADA SUB.INVERSA</v>
          </cell>
          <cell r="V170" t="str">
            <v>PRINCIPAL</v>
          </cell>
          <cell r="W170" t="str">
            <v>NA</v>
          </cell>
          <cell r="X170" t="str">
            <v>PRESTACION DE SERVICIOS</v>
          </cell>
          <cell r="Y170">
            <v>1673000000</v>
          </cell>
          <cell r="Z170">
            <v>900000000</v>
          </cell>
          <cell r="AA170" t="str">
            <v>10 mes(es)</v>
          </cell>
        </row>
        <row r="171">
          <cell r="C171">
            <v>165</v>
          </cell>
          <cell r="D171">
            <v>3</v>
          </cell>
          <cell r="E171">
            <v>15</v>
          </cell>
          <cell r="F171" t="str">
            <v>MODIFICACION</v>
          </cell>
          <cell r="G171" t="str">
            <v>RECURSOS PROPIOS</v>
          </cell>
          <cell r="H171">
            <v>51000</v>
          </cell>
          <cell r="I171">
            <v>1</v>
          </cell>
          <cell r="J171" t="str">
            <v>NA</v>
          </cell>
          <cell r="K171" t="str">
            <v>3-1-2-02-05-02 Mantenimiento C.A.D.</v>
          </cell>
          <cell r="L171">
            <v>1</v>
          </cell>
          <cell r="M171" t="str">
            <v>NA</v>
          </cell>
          <cell r="N171" t="str">
            <v>NA</v>
          </cell>
          <cell r="O171" t="str">
            <v>S</v>
          </cell>
          <cell r="P171" t="str">
            <v>NA</v>
          </cell>
          <cell r="Q171" t="str">
            <v>Prestar los servicios integrales de aseo y cafetería y servicio de fumigación para las instalaciones de la Secretaría Distrital de Hacienda de Bogotá, D.C., zonas comunes del Centro Administrativo Distrital - CAD y del Concejo de Bogotá D.C</v>
          </cell>
          <cell r="R171">
            <v>2</v>
          </cell>
          <cell r="S171" t="str">
            <v>Relacionada con el objeto a contratar-</v>
          </cell>
          <cell r="T171" t="str">
            <v>NA-</v>
          </cell>
          <cell r="U171" t="str">
            <v>SEL. ABREVIADA SUB.INVERSA</v>
          </cell>
          <cell r="V171" t="str">
            <v>PRINCIPAL</v>
          </cell>
          <cell r="W171" t="str">
            <v>NA</v>
          </cell>
          <cell r="X171" t="str">
            <v>PRESTACION DE SERVICIOS</v>
          </cell>
          <cell r="Y171">
            <v>1673000000</v>
          </cell>
          <cell r="Z171">
            <v>178000000</v>
          </cell>
          <cell r="AA171" t="str">
            <v>10 mes(es)</v>
          </cell>
        </row>
        <row r="172">
          <cell r="C172">
            <v>165</v>
          </cell>
          <cell r="D172">
            <v>3</v>
          </cell>
          <cell r="E172">
            <v>15</v>
          </cell>
          <cell r="F172" t="str">
            <v>MODIFICACION</v>
          </cell>
          <cell r="G172" t="str">
            <v>RECURSOS PROPIOS</v>
          </cell>
          <cell r="H172">
            <v>120000</v>
          </cell>
          <cell r="I172">
            <v>4</v>
          </cell>
          <cell r="J172" t="str">
            <v>NA</v>
          </cell>
          <cell r="K172" t="str">
            <v>3-1-2-01-04 Materiales y Suministros</v>
          </cell>
          <cell r="L172">
            <v>1</v>
          </cell>
          <cell r="M172" t="str">
            <v>NA</v>
          </cell>
          <cell r="N172" t="str">
            <v>NA</v>
          </cell>
          <cell r="O172" t="str">
            <v>S</v>
          </cell>
          <cell r="P172" t="str">
            <v>NA</v>
          </cell>
          <cell r="Q172" t="str">
            <v>Prestar los servicios integrales de aseo y cafetería y servicio de fumigación para las instalaciones de la Secretaría Distrital de Hacienda de Bogotá, D.C., zonas comunes del Centro Administrativo Distrital - CAD y del Concejo de Bogotá D.C</v>
          </cell>
          <cell r="R172">
            <v>2</v>
          </cell>
          <cell r="S172" t="str">
            <v>Relacionada con el objeto a contratar-</v>
          </cell>
          <cell r="T172" t="str">
            <v>NA-</v>
          </cell>
          <cell r="U172" t="str">
            <v>SEL. ABREVIADA SUB.INVERSA</v>
          </cell>
          <cell r="V172" t="str">
            <v>PRINCIPAL</v>
          </cell>
          <cell r="W172" t="str">
            <v>NA</v>
          </cell>
          <cell r="X172" t="str">
            <v>PRESTACION DE SERVICIOS</v>
          </cell>
          <cell r="Y172">
            <v>1673000000</v>
          </cell>
          <cell r="Z172">
            <v>133000000</v>
          </cell>
          <cell r="AA172" t="str">
            <v>10 mes(es)</v>
          </cell>
        </row>
        <row r="173">
          <cell r="C173">
            <v>165</v>
          </cell>
          <cell r="D173">
            <v>3</v>
          </cell>
          <cell r="E173">
            <v>15</v>
          </cell>
          <cell r="F173" t="str">
            <v>MODIFICACION</v>
          </cell>
          <cell r="G173" t="str">
            <v>RECURSOS PROPIOS</v>
          </cell>
          <cell r="H173">
            <v>120000</v>
          </cell>
          <cell r="I173">
            <v>4</v>
          </cell>
          <cell r="J173" t="str">
            <v>NA</v>
          </cell>
          <cell r="K173" t="str">
            <v>3-1-2-02-05-01 Mantenimiento Entidad</v>
          </cell>
          <cell r="L173">
            <v>1</v>
          </cell>
          <cell r="M173" t="str">
            <v>NA</v>
          </cell>
          <cell r="N173" t="str">
            <v>NA</v>
          </cell>
          <cell r="O173" t="str">
            <v>S</v>
          </cell>
          <cell r="P173" t="str">
            <v>NA</v>
          </cell>
          <cell r="Q173" t="str">
            <v>Prestar los servicios integrales de aseo y cafetería y servicio de fumigación para las instalaciones de la Secretaría Distrital de Hacienda de Bogotá, D.C., zonas comunes del Centro Administrativo Distrital - CAD y del Concejo de Bogotá D.C</v>
          </cell>
          <cell r="R173">
            <v>2</v>
          </cell>
          <cell r="S173" t="str">
            <v>Relacionada con el objeto a contratar-</v>
          </cell>
          <cell r="T173" t="str">
            <v>NA-</v>
          </cell>
          <cell r="U173" t="str">
            <v>SEL. ABREVIADA SUB.INVERSA</v>
          </cell>
          <cell r="V173" t="str">
            <v>PRINCIPAL</v>
          </cell>
          <cell r="W173" t="str">
            <v>NA</v>
          </cell>
          <cell r="X173" t="str">
            <v>PRESTACION DE SERVICIOS</v>
          </cell>
          <cell r="Y173">
            <v>1673000000</v>
          </cell>
          <cell r="Z173">
            <v>209000000</v>
          </cell>
          <cell r="AA173" t="str">
            <v>10 mes(es)</v>
          </cell>
        </row>
        <row r="174">
          <cell r="C174">
            <v>166</v>
          </cell>
          <cell r="D174">
            <v>3</v>
          </cell>
          <cell r="E174">
            <v>80</v>
          </cell>
          <cell r="F174" t="str">
            <v>INICIAL</v>
          </cell>
          <cell r="G174" t="str">
            <v>RECURSOS PROPIOS</v>
          </cell>
          <cell r="H174">
            <v>51000</v>
          </cell>
          <cell r="I174">
            <v>1</v>
          </cell>
          <cell r="J174" t="str">
            <v>NA</v>
          </cell>
          <cell r="K174" t="str">
            <v>3-1-2-01-04 Materiales y Suministros</v>
          </cell>
          <cell r="L174">
            <v>1</v>
          </cell>
          <cell r="M174" t="str">
            <v>NA</v>
          </cell>
          <cell r="N174" t="str">
            <v>NA</v>
          </cell>
          <cell r="O174" t="str">
            <v>S</v>
          </cell>
          <cell r="P174" t="str">
            <v>NA</v>
          </cell>
          <cell r="Q174" t="str">
            <v>Suministro de elementos para protección y embalaje de documentos para la Secretaria Distrital de Hacienda y del Concejo de Bogotá</v>
          </cell>
          <cell r="R174">
            <v>2</v>
          </cell>
          <cell r="S174" t="str">
            <v>Relacionada con el objeto a contratar-</v>
          </cell>
          <cell r="T174" t="str">
            <v>NA-</v>
          </cell>
          <cell r="U174" t="str">
            <v>MINIMA CUANTIA</v>
          </cell>
          <cell r="V174" t="str">
            <v>PRINCIPAL</v>
          </cell>
          <cell r="W174" t="str">
            <v>NA</v>
          </cell>
          <cell r="X174" t="str">
            <v>SUMINISTRO</v>
          </cell>
          <cell r="Y174">
            <v>37600000</v>
          </cell>
          <cell r="Z174">
            <v>32600000</v>
          </cell>
          <cell r="AA174" t="str">
            <v>8 mes(es)</v>
          </cell>
        </row>
        <row r="175">
          <cell r="C175">
            <v>166</v>
          </cell>
          <cell r="D175">
            <v>3</v>
          </cell>
          <cell r="E175">
            <v>80</v>
          </cell>
          <cell r="F175" t="str">
            <v>INICIAL</v>
          </cell>
          <cell r="G175" t="str">
            <v>RECURSOS PROPIOS</v>
          </cell>
          <cell r="H175">
            <v>120000</v>
          </cell>
          <cell r="I175">
            <v>4</v>
          </cell>
          <cell r="J175" t="str">
            <v>NA</v>
          </cell>
          <cell r="K175" t="str">
            <v>3-1-2-01-04 Materiales y Suministros</v>
          </cell>
          <cell r="L175">
            <v>1</v>
          </cell>
          <cell r="M175" t="str">
            <v>NA</v>
          </cell>
          <cell r="N175" t="str">
            <v>NA</v>
          </cell>
          <cell r="O175" t="str">
            <v>S</v>
          </cell>
          <cell r="P175" t="str">
            <v>NA</v>
          </cell>
          <cell r="Q175" t="str">
            <v>Suministro de elementos para protección y embalaje de documentos para la Secretaria Distrital de Hacienda y del Concejo de Bogotá</v>
          </cell>
          <cell r="R175">
            <v>2</v>
          </cell>
          <cell r="S175" t="str">
            <v>Relacionada con el objeto a contratar-</v>
          </cell>
          <cell r="T175" t="str">
            <v>NA-</v>
          </cell>
          <cell r="U175" t="str">
            <v>MINIMA CUANTIA</v>
          </cell>
          <cell r="V175" t="str">
            <v>PRINCIPAL</v>
          </cell>
          <cell r="W175" t="str">
            <v>NA</v>
          </cell>
          <cell r="X175" t="str">
            <v>SUMINISTRO</v>
          </cell>
          <cell r="Y175">
            <v>37600000</v>
          </cell>
          <cell r="Z175">
            <v>5000000</v>
          </cell>
          <cell r="AA175" t="str">
            <v>8 mes(es)</v>
          </cell>
        </row>
        <row r="176">
          <cell r="C176">
            <v>167</v>
          </cell>
          <cell r="D176">
            <v>3</v>
          </cell>
          <cell r="E176">
            <v>80</v>
          </cell>
          <cell r="F176" t="str">
            <v>INICIAL</v>
          </cell>
          <cell r="G176" t="str">
            <v>RECURSOS PROPIOS</v>
          </cell>
          <cell r="H176">
            <v>51000</v>
          </cell>
          <cell r="I176">
            <v>1</v>
          </cell>
          <cell r="J176" t="str">
            <v>NA</v>
          </cell>
          <cell r="K176" t="str">
            <v>3-1-2-01-04 Materiales y Suministros</v>
          </cell>
          <cell r="L176">
            <v>1</v>
          </cell>
          <cell r="M176" t="str">
            <v>NA</v>
          </cell>
          <cell r="N176" t="str">
            <v>NA</v>
          </cell>
          <cell r="O176" t="str">
            <v>S</v>
          </cell>
          <cell r="P176" t="str">
            <v>NA</v>
          </cell>
          <cell r="Q176" t="str">
            <v>Suministro de papelería, útiles de escritorio para la Secretaría Distrital de Hacienda y el Concejo de Bogotá--</v>
          </cell>
          <cell r="R176">
            <v>2</v>
          </cell>
          <cell r="S176" t="str">
            <v>NA</v>
          </cell>
          <cell r="T176" t="str">
            <v>NA</v>
          </cell>
          <cell r="U176" t="str">
            <v>SEL. ABREVIADA SUB.INVERSA</v>
          </cell>
          <cell r="V176" t="str">
            <v>PRINCIPAL</v>
          </cell>
          <cell r="W176" t="str">
            <v>NA</v>
          </cell>
          <cell r="X176" t="str">
            <v>SUMINISTRO</v>
          </cell>
          <cell r="Y176">
            <v>130580000</v>
          </cell>
          <cell r="Z176">
            <v>59800000</v>
          </cell>
          <cell r="AA176" t="str">
            <v>12 mes(es)</v>
          </cell>
        </row>
        <row r="177">
          <cell r="C177">
            <v>167</v>
          </cell>
          <cell r="D177">
            <v>3</v>
          </cell>
          <cell r="E177">
            <v>80</v>
          </cell>
          <cell r="F177" t="str">
            <v>INICIAL</v>
          </cell>
          <cell r="G177" t="str">
            <v>RECURSOS PROPIOS</v>
          </cell>
          <cell r="H177">
            <v>120000</v>
          </cell>
          <cell r="I177">
            <v>4</v>
          </cell>
          <cell r="J177" t="str">
            <v>NA</v>
          </cell>
          <cell r="K177" t="str">
            <v>3-1-2-01-04 Materiales y Suministros</v>
          </cell>
          <cell r="L177">
            <v>1</v>
          </cell>
          <cell r="M177" t="str">
            <v>NA</v>
          </cell>
          <cell r="N177" t="str">
            <v>NA</v>
          </cell>
          <cell r="O177" t="str">
            <v>S</v>
          </cell>
          <cell r="P177" t="str">
            <v>NA</v>
          </cell>
          <cell r="Q177" t="str">
            <v>Suministro de papelería, útiles de escritorio para la Secretaría Distrital de Hacienda y el Concejo de Bogotá--</v>
          </cell>
          <cell r="R177">
            <v>2</v>
          </cell>
          <cell r="S177" t="str">
            <v>NA</v>
          </cell>
          <cell r="T177" t="str">
            <v>NA</v>
          </cell>
          <cell r="U177" t="str">
            <v>SEL. ABREVIADA SUB.INVERSA</v>
          </cell>
          <cell r="V177" t="str">
            <v>PRINCIPAL</v>
          </cell>
          <cell r="W177" t="str">
            <v>NA</v>
          </cell>
          <cell r="X177" t="str">
            <v>SUMINISTRO</v>
          </cell>
          <cell r="Y177">
            <v>130580000</v>
          </cell>
          <cell r="Z177">
            <v>70780000</v>
          </cell>
          <cell r="AA177" t="str">
            <v>12 mes(es)</v>
          </cell>
        </row>
        <row r="178">
          <cell r="C178">
            <v>168</v>
          </cell>
          <cell r="D178">
            <v>3</v>
          </cell>
          <cell r="E178">
            <v>80</v>
          </cell>
          <cell r="F178" t="str">
            <v>INICIAL</v>
          </cell>
          <cell r="G178" t="str">
            <v>RECURSOS PROPIOS</v>
          </cell>
          <cell r="H178">
            <v>54000</v>
          </cell>
          <cell r="I178">
            <v>1</v>
          </cell>
          <cell r="J178" t="str">
            <v>NA</v>
          </cell>
          <cell r="K178" t="str">
            <v>3-1-2-02-03 Gastos de Transporte y Comunicación</v>
          </cell>
          <cell r="L178">
            <v>1</v>
          </cell>
          <cell r="M178" t="str">
            <v>NA</v>
          </cell>
          <cell r="N178" t="str">
            <v>NA</v>
          </cell>
          <cell r="O178" t="str">
            <v>S</v>
          </cell>
          <cell r="P178" t="str">
            <v>NA</v>
          </cell>
          <cell r="Q178" t="str">
            <v>Prestar el servicio de correspondencia para la Secretaría de Hacienda  y de mensajería expresa masiva para la Secretaria Distrital de Hacienda y el Concejo de Bogotá</v>
          </cell>
          <cell r="R178">
            <v>2</v>
          </cell>
          <cell r="S178" t="str">
            <v>Relacionada con el objeto a contratar</v>
          </cell>
          <cell r="T178" t="str">
            <v>NA</v>
          </cell>
          <cell r="U178" t="str">
            <v>SEL. ABREVIADA SUB.INVERSA</v>
          </cell>
          <cell r="V178" t="str">
            <v>PRINCIPAL</v>
          </cell>
          <cell r="W178" t="str">
            <v>NA</v>
          </cell>
          <cell r="X178" t="str">
            <v>PRESTACION DE SERVICIOS</v>
          </cell>
          <cell r="Y178">
            <v>1010050000</v>
          </cell>
          <cell r="Z178">
            <v>953411000</v>
          </cell>
          <cell r="AA178" t="str">
            <v>12 mes(es)</v>
          </cell>
        </row>
        <row r="179">
          <cell r="C179">
            <v>168</v>
          </cell>
          <cell r="D179">
            <v>3</v>
          </cell>
          <cell r="E179">
            <v>80</v>
          </cell>
          <cell r="F179" t="str">
            <v>INICIAL</v>
          </cell>
          <cell r="G179" t="str">
            <v>RECURSOS PROPIOS</v>
          </cell>
          <cell r="H179">
            <v>120000</v>
          </cell>
          <cell r="I179">
            <v>4</v>
          </cell>
          <cell r="J179" t="str">
            <v>NA</v>
          </cell>
          <cell r="K179" t="str">
            <v>3-1-2-02-03 Gastos de Transporte y Comunicación</v>
          </cell>
          <cell r="L179">
            <v>1</v>
          </cell>
          <cell r="M179" t="str">
            <v>NA</v>
          </cell>
          <cell r="N179" t="str">
            <v>NA</v>
          </cell>
          <cell r="O179" t="str">
            <v>S</v>
          </cell>
          <cell r="P179" t="str">
            <v>NA</v>
          </cell>
          <cell r="Q179" t="str">
            <v>Prestar el servicio de correspondencia para la Secretaría de Hacienda  y de mensajería expresa masiva para la Secretaria Distrital de Hacienda y el Concejo de Bogotá</v>
          </cell>
          <cell r="R179">
            <v>2</v>
          </cell>
          <cell r="S179" t="str">
            <v>Relacionada con el objeto a contratar</v>
          </cell>
          <cell r="T179" t="str">
            <v>NA</v>
          </cell>
          <cell r="U179" t="str">
            <v>SEL. ABREVIADA SUB.INVERSA</v>
          </cell>
          <cell r="V179" t="str">
            <v>PRINCIPAL</v>
          </cell>
          <cell r="W179" t="str">
            <v>NA</v>
          </cell>
          <cell r="X179" t="str">
            <v>PRESTACION DE SERVICIOS</v>
          </cell>
          <cell r="Y179">
            <v>1010050000</v>
          </cell>
          <cell r="Z179">
            <v>56639000</v>
          </cell>
          <cell r="AA179" t="str">
            <v>12 mes(es)</v>
          </cell>
        </row>
        <row r="180">
          <cell r="C180">
            <v>169</v>
          </cell>
          <cell r="D180">
            <v>3</v>
          </cell>
          <cell r="E180">
            <v>80</v>
          </cell>
          <cell r="F180" t="str">
            <v>INICIAL</v>
          </cell>
          <cell r="G180" t="str">
            <v>RECURSOS PROPIOS</v>
          </cell>
          <cell r="H180">
            <v>51000</v>
          </cell>
          <cell r="I180">
            <v>1</v>
          </cell>
          <cell r="J180" t="str">
            <v>NA</v>
          </cell>
          <cell r="K180" t="str">
            <v>3-1-2-02-03 Gastos de Transporte y Comunicación</v>
          </cell>
          <cell r="L180">
            <v>1</v>
          </cell>
          <cell r="M180" t="str">
            <v>NA</v>
          </cell>
          <cell r="N180" t="str">
            <v>NA</v>
          </cell>
          <cell r="O180" t="str">
            <v>S</v>
          </cell>
          <cell r="P180" t="str">
            <v>NA</v>
          </cell>
          <cell r="Q180" t="str">
            <v>Prestar el servicio de transporte  de bienes muebles, equipos de oficina y cajas de archivo documental para la Secretaria Distrital de Hacienda y el Concejo de Bogotá.</v>
          </cell>
          <cell r="R180">
            <v>2</v>
          </cell>
          <cell r="S180" t="str">
            <v>NA</v>
          </cell>
          <cell r="T180" t="str">
            <v>NA</v>
          </cell>
          <cell r="U180" t="str">
            <v>MINIMA CUANTIA</v>
          </cell>
          <cell r="V180" t="str">
            <v>PRINCIPAL</v>
          </cell>
          <cell r="W180" t="str">
            <v>NA</v>
          </cell>
          <cell r="X180" t="str">
            <v>TRANSPORTE</v>
          </cell>
          <cell r="Y180">
            <v>27800000</v>
          </cell>
          <cell r="Z180">
            <v>16800000</v>
          </cell>
          <cell r="AA180" t="str">
            <v>12 mes(es)</v>
          </cell>
        </row>
        <row r="181">
          <cell r="C181">
            <v>169</v>
          </cell>
          <cell r="D181">
            <v>3</v>
          </cell>
          <cell r="E181">
            <v>80</v>
          </cell>
          <cell r="F181" t="str">
            <v>INICIAL</v>
          </cell>
          <cell r="G181" t="str">
            <v>RECURSOS PROPIOS</v>
          </cell>
          <cell r="H181">
            <v>120000</v>
          </cell>
          <cell r="I181">
            <v>4</v>
          </cell>
          <cell r="J181" t="str">
            <v>NA</v>
          </cell>
          <cell r="K181" t="str">
            <v>3-1-2-02-03 Gastos de Transporte y Comunicación</v>
          </cell>
          <cell r="L181">
            <v>1</v>
          </cell>
          <cell r="M181" t="str">
            <v>NA</v>
          </cell>
          <cell r="N181" t="str">
            <v>NA</v>
          </cell>
          <cell r="O181" t="str">
            <v>S</v>
          </cell>
          <cell r="P181" t="str">
            <v>NA</v>
          </cell>
          <cell r="Q181" t="str">
            <v>Prestar el servicio de transporte  de bienes muebles, equipos de oficina y cajas de archivo documental para la Secretaria Distrital de Hacienda y el Concejo de Bogotá.</v>
          </cell>
          <cell r="R181">
            <v>2</v>
          </cell>
          <cell r="S181" t="str">
            <v>NA</v>
          </cell>
          <cell r="T181" t="str">
            <v>NA</v>
          </cell>
          <cell r="U181" t="str">
            <v>MINIMA CUANTIA</v>
          </cell>
          <cell r="V181" t="str">
            <v>PRINCIPAL</v>
          </cell>
          <cell r="W181" t="str">
            <v>NA</v>
          </cell>
          <cell r="X181" t="str">
            <v>TRANSPORTE</v>
          </cell>
          <cell r="Y181">
            <v>27800000</v>
          </cell>
          <cell r="Z181">
            <v>11000000</v>
          </cell>
          <cell r="AA181" t="str">
            <v>12 mes(es)</v>
          </cell>
        </row>
        <row r="182">
          <cell r="C182">
            <v>170</v>
          </cell>
          <cell r="D182">
            <v>3</v>
          </cell>
          <cell r="E182">
            <v>12</v>
          </cell>
          <cell r="F182" t="str">
            <v>MODIFICACION</v>
          </cell>
          <cell r="G182" t="str">
            <v>RECURSOS PROPIOS</v>
          </cell>
          <cell r="H182">
            <v>51000</v>
          </cell>
          <cell r="I182">
            <v>1</v>
          </cell>
          <cell r="J182" t="str">
            <v>NA</v>
          </cell>
          <cell r="K182" t="str">
            <v>3-1-2-02-04 Impresos y  Publicaciones</v>
          </cell>
          <cell r="L182">
            <v>1</v>
          </cell>
          <cell r="M182" t="str">
            <v>NA</v>
          </cell>
          <cell r="N182" t="str">
            <v>NA</v>
          </cell>
          <cell r="O182" t="str">
            <v>S</v>
          </cell>
          <cell r="P182" t="str">
            <v>NA</v>
          </cell>
          <cell r="Q182" t="str">
            <v>Prestar el servicio Integral de fotocopiado y servicios afines para la Secretaría Distrital de Hacienda y del Concejo de Bogotá</v>
          </cell>
          <cell r="R182">
            <v>2</v>
          </cell>
          <cell r="S182" t="str">
            <v>Relacionada con el objeto a contratar</v>
          </cell>
          <cell r="T182" t="str">
            <v>NA-</v>
          </cell>
          <cell r="U182" t="str">
            <v>SEL. ABREVIADA SUB.INVERSA</v>
          </cell>
          <cell r="V182" t="str">
            <v>PRINCIPAL</v>
          </cell>
          <cell r="W182" t="str">
            <v>NA</v>
          </cell>
          <cell r="X182" t="str">
            <v>PRESTACION DE SERVICIOS</v>
          </cell>
          <cell r="Y182">
            <v>178790000</v>
          </cell>
          <cell r="Z182">
            <v>148000000</v>
          </cell>
          <cell r="AA182" t="str">
            <v>10 mes(es)</v>
          </cell>
        </row>
        <row r="183">
          <cell r="C183">
            <v>170</v>
          </cell>
          <cell r="D183">
            <v>3</v>
          </cell>
          <cell r="E183">
            <v>12</v>
          </cell>
          <cell r="F183" t="str">
            <v>MODIFICACION</v>
          </cell>
          <cell r="G183" t="str">
            <v>RECURSOS PROPIOS</v>
          </cell>
          <cell r="H183">
            <v>120000</v>
          </cell>
          <cell r="I183">
            <v>4</v>
          </cell>
          <cell r="J183" t="str">
            <v>NA</v>
          </cell>
          <cell r="K183" t="str">
            <v>3-1-2-02-04 Impresos y  Publicaciones</v>
          </cell>
          <cell r="L183">
            <v>1</v>
          </cell>
          <cell r="M183" t="str">
            <v>NA</v>
          </cell>
          <cell r="N183" t="str">
            <v>NA</v>
          </cell>
          <cell r="O183" t="str">
            <v>S</v>
          </cell>
          <cell r="P183" t="str">
            <v>NA</v>
          </cell>
          <cell r="Q183" t="str">
            <v>Prestar el servicio Integral de fotocopiado y servicios afines para la Secretaría Distrital de Hacienda y del Concejo de Bogotá</v>
          </cell>
          <cell r="R183">
            <v>2</v>
          </cell>
          <cell r="S183" t="str">
            <v>Relacionada con el objeto a contratar</v>
          </cell>
          <cell r="T183" t="str">
            <v>NA-</v>
          </cell>
          <cell r="U183" t="str">
            <v>SEL. ABREVIADA SUB.INVERSA</v>
          </cell>
          <cell r="V183" t="str">
            <v>PRINCIPAL</v>
          </cell>
          <cell r="W183" t="str">
            <v>NA</v>
          </cell>
          <cell r="X183" t="str">
            <v>PRESTACION DE SERVICIOS</v>
          </cell>
          <cell r="Y183">
            <v>178790000</v>
          </cell>
          <cell r="Z183">
            <v>30790000</v>
          </cell>
          <cell r="AA183" t="str">
            <v>10 mes(es)</v>
          </cell>
        </row>
        <row r="184">
          <cell r="C184">
            <v>171</v>
          </cell>
          <cell r="D184">
            <v>3</v>
          </cell>
          <cell r="E184">
            <v>80</v>
          </cell>
          <cell r="F184" t="str">
            <v>INICIAL</v>
          </cell>
          <cell r="G184" t="str">
            <v>RECURSOS PROPIOS</v>
          </cell>
          <cell r="H184">
            <v>120000</v>
          </cell>
          <cell r="I184">
            <v>4</v>
          </cell>
          <cell r="J184" t="str">
            <v>NA</v>
          </cell>
          <cell r="K184" t="str">
            <v>3-1-2-02-05-01 Mantenimiento Entidad</v>
          </cell>
          <cell r="L184">
            <v>1</v>
          </cell>
          <cell r="M184" t="str">
            <v>NA</v>
          </cell>
          <cell r="N184" t="str">
            <v>NA</v>
          </cell>
          <cell r="O184" t="str">
            <v>S</v>
          </cell>
          <cell r="P184" t="str">
            <v>NA</v>
          </cell>
          <cell r="Q184" t="str">
            <v>Prestar los servicios de mantenimiento preventivo y correctivo a los ascensores marca Mitsubishi del CAD y del Concejo de Bogotá y de la Plataforma para discapacitados ubicada en el CAD.-</v>
          </cell>
          <cell r="R184">
            <v>2</v>
          </cell>
          <cell r="S184" t="str">
            <v>Relacionada con el objeto a contratar</v>
          </cell>
          <cell r="T184" t="str">
            <v>NA</v>
          </cell>
          <cell r="U184" t="str">
            <v>CONTRATACION DIRECTA</v>
          </cell>
          <cell r="V184" t="str">
            <v>PRINCIPAL</v>
          </cell>
          <cell r="W184" t="str">
            <v>NA</v>
          </cell>
          <cell r="X184" t="str">
            <v>PRESTACION DE SERVICIOS</v>
          </cell>
          <cell r="Y184">
            <v>51956000</v>
          </cell>
          <cell r="Z184">
            <v>14210000</v>
          </cell>
          <cell r="AA184" t="str">
            <v>10 mes(es)</v>
          </cell>
        </row>
        <row r="185">
          <cell r="C185">
            <v>171</v>
          </cell>
          <cell r="D185">
            <v>3</v>
          </cell>
          <cell r="E185">
            <v>80</v>
          </cell>
          <cell r="F185" t="str">
            <v>INICIAL</v>
          </cell>
          <cell r="G185" t="str">
            <v>RECURSOS PROPIOS</v>
          </cell>
          <cell r="H185">
            <v>51000</v>
          </cell>
          <cell r="I185">
            <v>1</v>
          </cell>
          <cell r="J185" t="str">
            <v>NA</v>
          </cell>
          <cell r="K185" t="str">
            <v>3-1-2-02-05-02 Mantenimiento C.A.D.</v>
          </cell>
          <cell r="L185">
            <v>1</v>
          </cell>
          <cell r="M185" t="str">
            <v>NA</v>
          </cell>
          <cell r="N185" t="str">
            <v>NA</v>
          </cell>
          <cell r="O185" t="str">
            <v>S</v>
          </cell>
          <cell r="P185" t="str">
            <v>NA</v>
          </cell>
          <cell r="Q185" t="str">
            <v>Prestar los servicios de mantenimiento preventivo y correctivo a los ascensores marca Mitsubishi del CAD y del Concejo de Bogotá y de la Plataforma para discapacitados ubicada en el CAD.-</v>
          </cell>
          <cell r="R185">
            <v>2</v>
          </cell>
          <cell r="S185" t="str">
            <v>Relacionada con el objeto a contratar</v>
          </cell>
          <cell r="T185" t="str">
            <v>NA</v>
          </cell>
          <cell r="U185" t="str">
            <v>CONTRATACION DIRECTA</v>
          </cell>
          <cell r="V185" t="str">
            <v>PRINCIPAL</v>
          </cell>
          <cell r="W185" t="str">
            <v>NA</v>
          </cell>
          <cell r="X185" t="str">
            <v>PRESTACION DE SERVICIOS</v>
          </cell>
          <cell r="Y185">
            <v>51956000</v>
          </cell>
          <cell r="Z185">
            <v>37746000</v>
          </cell>
          <cell r="AA185" t="str">
            <v>10 mes(es)</v>
          </cell>
        </row>
        <row r="186">
          <cell r="C186">
            <v>172</v>
          </cell>
          <cell r="D186">
            <v>3</v>
          </cell>
          <cell r="E186">
            <v>80</v>
          </cell>
          <cell r="F186" t="str">
            <v>INICIAL</v>
          </cell>
          <cell r="G186" t="str">
            <v>RECURSOS PROPIOS</v>
          </cell>
          <cell r="H186">
            <v>51000</v>
          </cell>
          <cell r="I186">
            <v>1</v>
          </cell>
          <cell r="J186" t="str">
            <v>NA</v>
          </cell>
          <cell r="K186" t="str">
            <v>3-1-2-02-05-01 Mantenimiento Entidad</v>
          </cell>
          <cell r="L186">
            <v>1</v>
          </cell>
          <cell r="M186" t="str">
            <v>NA</v>
          </cell>
          <cell r="N186" t="str">
            <v>NA</v>
          </cell>
          <cell r="O186" t="str">
            <v>S</v>
          </cell>
          <cell r="P186" t="str">
            <v>NA</v>
          </cell>
          <cell r="Q186" t="str">
            <v>Prestar los servicios de mantenimiento correctivo y suministro de repuestos para los sistemas de archivos rodantes de la Secretaría Distrital de Hacienda y del Concejo de Bogotá-</v>
          </cell>
          <cell r="R186">
            <v>2</v>
          </cell>
          <cell r="S186" t="str">
            <v>Relacionada con el objeto a contratar-</v>
          </cell>
          <cell r="T186" t="str">
            <v>NA-</v>
          </cell>
          <cell r="U186" t="str">
            <v>MINIMA CUANTIA</v>
          </cell>
          <cell r="V186" t="str">
            <v>PRINCIPAL</v>
          </cell>
          <cell r="W186" t="str">
            <v>NA</v>
          </cell>
          <cell r="X186" t="str">
            <v>PRESTACION DE SERVICIOS</v>
          </cell>
          <cell r="Y186">
            <v>15644000</v>
          </cell>
          <cell r="Z186">
            <v>7644000</v>
          </cell>
          <cell r="AA186" t="str">
            <v>12 mes(es)</v>
          </cell>
        </row>
        <row r="187">
          <cell r="C187">
            <v>172</v>
          </cell>
          <cell r="D187">
            <v>3</v>
          </cell>
          <cell r="E187">
            <v>80</v>
          </cell>
          <cell r="F187" t="str">
            <v>INICIAL</v>
          </cell>
          <cell r="G187" t="str">
            <v>RECURSOS PROPIOS</v>
          </cell>
          <cell r="H187">
            <v>120000</v>
          </cell>
          <cell r="I187">
            <v>4</v>
          </cell>
          <cell r="J187" t="str">
            <v>NA</v>
          </cell>
          <cell r="K187" t="str">
            <v>3-1-2-02-05-01 Mantenimiento Entidad</v>
          </cell>
          <cell r="L187">
            <v>1</v>
          </cell>
          <cell r="M187" t="str">
            <v>NA</v>
          </cell>
          <cell r="N187" t="str">
            <v>NA</v>
          </cell>
          <cell r="O187" t="str">
            <v>S</v>
          </cell>
          <cell r="P187" t="str">
            <v>NA</v>
          </cell>
          <cell r="Q187" t="str">
            <v>Prestar los servicios de mantenimiento correctivo y suministro de repuestos para los sistemas de archivos rodantes de la Secretaría Distrital de Hacienda y del Concejo de Bogotá-</v>
          </cell>
          <cell r="R187">
            <v>2</v>
          </cell>
          <cell r="S187" t="str">
            <v>Relacionada con el objeto a contratar-</v>
          </cell>
          <cell r="T187" t="str">
            <v>NA-</v>
          </cell>
          <cell r="U187" t="str">
            <v>MINIMA CUANTIA</v>
          </cell>
          <cell r="V187" t="str">
            <v>PRINCIPAL</v>
          </cell>
          <cell r="W187" t="str">
            <v>NA</v>
          </cell>
          <cell r="X187" t="str">
            <v>PRESTACION DE SERVICIOS</v>
          </cell>
          <cell r="Y187">
            <v>15644000</v>
          </cell>
          <cell r="Z187">
            <v>8000000</v>
          </cell>
          <cell r="AA187" t="str">
            <v>12 mes(es)</v>
          </cell>
        </row>
        <row r="188">
          <cell r="C188">
            <v>173</v>
          </cell>
          <cell r="D188">
            <v>3</v>
          </cell>
          <cell r="E188">
            <v>80</v>
          </cell>
          <cell r="F188" t="str">
            <v>INICIAL</v>
          </cell>
          <cell r="G188" t="str">
            <v>RECURSOS PROPIOS</v>
          </cell>
          <cell r="H188">
            <v>51000</v>
          </cell>
          <cell r="I188">
            <v>1</v>
          </cell>
          <cell r="J188" t="str">
            <v>NA</v>
          </cell>
          <cell r="K188" t="str">
            <v>3-1-2-02-05-01 Mantenimiento Entidad</v>
          </cell>
          <cell r="L188">
            <v>1</v>
          </cell>
          <cell r="M188" t="str">
            <v>NA</v>
          </cell>
          <cell r="N188" t="str">
            <v>NA</v>
          </cell>
          <cell r="O188" t="str">
            <v>S</v>
          </cell>
          <cell r="P188" t="str">
            <v>NA</v>
          </cell>
          <cell r="Q188" t="str">
            <v>Prestar los servicios de mantenimiento integral locativo con el suministro de personal, equipo y repuestos en las instalaciones físicas de la Secretaría Distrital de Hacienda y del Concejo de Bogotá.</v>
          </cell>
          <cell r="R188">
            <v>2</v>
          </cell>
          <cell r="S188" t="str">
            <v>Relacionada con el objeto a contratar</v>
          </cell>
          <cell r="T188" t="str">
            <v>NA</v>
          </cell>
          <cell r="U188" t="str">
            <v>SEL. ABREVIADA MENOR CUANTIA</v>
          </cell>
          <cell r="V188" t="str">
            <v>PRINCIPAL</v>
          </cell>
          <cell r="W188" t="str">
            <v>NA</v>
          </cell>
          <cell r="X188" t="str">
            <v>OBRA</v>
          </cell>
          <cell r="Y188">
            <v>502932000</v>
          </cell>
          <cell r="Z188">
            <v>189000000</v>
          </cell>
          <cell r="AA188" t="str">
            <v>9 mes(es)</v>
          </cell>
        </row>
        <row r="189">
          <cell r="C189">
            <v>173</v>
          </cell>
          <cell r="D189">
            <v>3</v>
          </cell>
          <cell r="E189">
            <v>80</v>
          </cell>
          <cell r="F189" t="str">
            <v>INICIAL</v>
          </cell>
          <cell r="G189" t="str">
            <v>RECURSOS PROPIOS</v>
          </cell>
          <cell r="H189">
            <v>120000</v>
          </cell>
          <cell r="I189">
            <v>4</v>
          </cell>
          <cell r="J189" t="str">
            <v>NA</v>
          </cell>
          <cell r="K189" t="str">
            <v>3-1-2-02-05-01 Mantenimiento Entidad</v>
          </cell>
          <cell r="L189">
            <v>1</v>
          </cell>
          <cell r="M189" t="str">
            <v>NA</v>
          </cell>
          <cell r="N189" t="str">
            <v>NA</v>
          </cell>
          <cell r="O189" t="str">
            <v>S</v>
          </cell>
          <cell r="P189" t="str">
            <v>NA</v>
          </cell>
          <cell r="Q189" t="str">
            <v>Prestar los servicios de mantenimiento integral locativo con el suministro de personal, equipo y repuestos en las instalaciones físicas de la Secretaría Distrital de Hacienda y del Concejo de Bogotá.</v>
          </cell>
          <cell r="R189">
            <v>2</v>
          </cell>
          <cell r="S189" t="str">
            <v>Relacionada con el objeto a contratar</v>
          </cell>
          <cell r="T189" t="str">
            <v>NA</v>
          </cell>
          <cell r="U189" t="str">
            <v>SEL. ABREVIADA MENOR CUANTIA</v>
          </cell>
          <cell r="V189" t="str">
            <v>PRINCIPAL</v>
          </cell>
          <cell r="W189" t="str">
            <v>NA</v>
          </cell>
          <cell r="X189" t="str">
            <v>OBRA</v>
          </cell>
          <cell r="Y189">
            <v>502932000</v>
          </cell>
          <cell r="Z189">
            <v>214932000</v>
          </cell>
          <cell r="AA189" t="str">
            <v>9 mes(es)</v>
          </cell>
        </row>
        <row r="190">
          <cell r="C190">
            <v>173</v>
          </cell>
          <cell r="D190">
            <v>3</v>
          </cell>
          <cell r="E190">
            <v>80</v>
          </cell>
          <cell r="F190" t="str">
            <v>INICIAL</v>
          </cell>
          <cell r="G190" t="str">
            <v>RECURSOS PROPIOS</v>
          </cell>
          <cell r="H190">
            <v>51000</v>
          </cell>
          <cell r="I190">
            <v>1</v>
          </cell>
          <cell r="J190" t="str">
            <v>NA</v>
          </cell>
          <cell r="K190" t="str">
            <v>3-1-2-02-05-02 Mantenimiento C.A.D.</v>
          </cell>
          <cell r="L190">
            <v>1</v>
          </cell>
          <cell r="M190" t="str">
            <v>NA</v>
          </cell>
          <cell r="N190" t="str">
            <v>NA</v>
          </cell>
          <cell r="O190" t="str">
            <v>S</v>
          </cell>
          <cell r="P190" t="str">
            <v>NA</v>
          </cell>
          <cell r="Q190" t="str">
            <v>Prestar los servicios de mantenimiento integral locativo con el suministro de personal, equipo y repuestos en las instalaciones físicas de la Secretaría Distrital de Hacienda y del Concejo de Bogotá.</v>
          </cell>
          <cell r="R190">
            <v>2</v>
          </cell>
          <cell r="S190" t="str">
            <v>Relacionada con el objeto a contratar</v>
          </cell>
          <cell r="T190" t="str">
            <v>NA</v>
          </cell>
          <cell r="U190" t="str">
            <v>SEL. ABREVIADA MENOR CUANTIA</v>
          </cell>
          <cell r="V190" t="str">
            <v>PRINCIPAL</v>
          </cell>
          <cell r="W190" t="str">
            <v>NA</v>
          </cell>
          <cell r="X190" t="str">
            <v>OBRA</v>
          </cell>
          <cell r="Y190">
            <v>502932000</v>
          </cell>
          <cell r="Z190">
            <v>99000000</v>
          </cell>
          <cell r="AA190" t="str">
            <v>9 mes(es)</v>
          </cell>
        </row>
        <row r="191">
          <cell r="C191">
            <v>174</v>
          </cell>
          <cell r="D191">
            <v>3</v>
          </cell>
          <cell r="E191">
            <v>7</v>
          </cell>
          <cell r="F191" t="str">
            <v>MODIFICACION</v>
          </cell>
          <cell r="G191" t="str">
            <v>RECURSOS PROPIOS</v>
          </cell>
          <cell r="H191">
            <v>51000</v>
          </cell>
          <cell r="I191">
            <v>1</v>
          </cell>
          <cell r="J191" t="str">
            <v>NA</v>
          </cell>
          <cell r="K191" t="str">
            <v>3-1-2-02-05-01 Mantenimiento Entidad</v>
          </cell>
          <cell r="L191">
            <v>1</v>
          </cell>
          <cell r="M191" t="str">
            <v>NA</v>
          </cell>
          <cell r="N191" t="str">
            <v>NA</v>
          </cell>
          <cell r="O191" t="str">
            <v>S</v>
          </cell>
          <cell r="P191" t="str">
            <v>NA</v>
          </cell>
          <cell r="Q191" t="str">
            <v xml:space="preserve">Prestar el servicio de vigilancia y seguridad privada en las instalaciones de la Secretaria de Hacienda y del Concejo de Bogotá., con el fin de asegurar la protección y custodia de las personas y bienes muebles e inmuebles de propiedad de la entidad y de </v>
          </cell>
          <cell r="R191">
            <v>2</v>
          </cell>
          <cell r="S191" t="str">
            <v>Relacionada con el objeto a contratar-</v>
          </cell>
          <cell r="T191" t="str">
            <v>NA</v>
          </cell>
          <cell r="U191" t="str">
            <v>SEL. ABREVIADA SUB.INVERSA</v>
          </cell>
          <cell r="V191" t="str">
            <v>PRINCIPAL</v>
          </cell>
          <cell r="W191" t="str">
            <v>NA</v>
          </cell>
          <cell r="X191" t="str">
            <v>PRESTACION DE SERVICIOS</v>
          </cell>
          <cell r="Y191">
            <v>2743000000</v>
          </cell>
          <cell r="Z191">
            <v>1237000000</v>
          </cell>
          <cell r="AA191" t="str">
            <v>12 mes(es)</v>
          </cell>
        </row>
        <row r="192">
          <cell r="C192">
            <v>174</v>
          </cell>
          <cell r="D192">
            <v>3</v>
          </cell>
          <cell r="E192">
            <v>7</v>
          </cell>
          <cell r="F192" t="str">
            <v>MODIFICACION</v>
          </cell>
          <cell r="G192" t="str">
            <v>RECURSOS PROPIOS</v>
          </cell>
          <cell r="H192">
            <v>51000</v>
          </cell>
          <cell r="I192">
            <v>1</v>
          </cell>
          <cell r="J192" t="str">
            <v>NA</v>
          </cell>
          <cell r="K192" t="str">
            <v>3-1-2-02-05-02 Mantenimiento C.A.D.</v>
          </cell>
          <cell r="L192">
            <v>1</v>
          </cell>
          <cell r="M192" t="str">
            <v>NA</v>
          </cell>
          <cell r="N192" t="str">
            <v>NA</v>
          </cell>
          <cell r="O192" t="str">
            <v>S</v>
          </cell>
          <cell r="P192" t="str">
            <v>NA</v>
          </cell>
          <cell r="Q192" t="str">
            <v xml:space="preserve">Prestar el servicio de vigilancia y seguridad privada en las instalaciones de la Secretaria de Hacienda y del Concejo de Bogotá., con el fin de asegurar la protección y custodia de las personas y bienes muebles e inmuebles de propiedad de la entidad y de </v>
          </cell>
          <cell r="R192">
            <v>2</v>
          </cell>
          <cell r="S192" t="str">
            <v>Relacionada con el objeto a contratar-</v>
          </cell>
          <cell r="T192" t="str">
            <v>NA</v>
          </cell>
          <cell r="U192" t="str">
            <v>SEL. ABREVIADA SUB.INVERSA</v>
          </cell>
          <cell r="V192" t="str">
            <v>PRINCIPAL</v>
          </cell>
          <cell r="W192" t="str">
            <v>NA</v>
          </cell>
          <cell r="X192" t="str">
            <v>PRESTACION DE SERVICIOS</v>
          </cell>
          <cell r="Y192">
            <v>2743000000</v>
          </cell>
          <cell r="Z192">
            <v>940000000</v>
          </cell>
          <cell r="AA192" t="str">
            <v>12 mes(es)</v>
          </cell>
        </row>
        <row r="193">
          <cell r="C193">
            <v>174</v>
          </cell>
          <cell r="D193">
            <v>3</v>
          </cell>
          <cell r="E193">
            <v>7</v>
          </cell>
          <cell r="F193" t="str">
            <v>MODIFICACION</v>
          </cell>
          <cell r="G193" t="str">
            <v>RECURSOS PROPIOS</v>
          </cell>
          <cell r="H193">
            <v>120000</v>
          </cell>
          <cell r="I193">
            <v>4</v>
          </cell>
          <cell r="J193" t="str">
            <v>NA</v>
          </cell>
          <cell r="K193" t="str">
            <v>3-1-2-02-05-01 Mantenimiento Entidad</v>
          </cell>
          <cell r="L193">
            <v>1</v>
          </cell>
          <cell r="M193" t="str">
            <v>NA</v>
          </cell>
          <cell r="N193" t="str">
            <v>NA</v>
          </cell>
          <cell r="O193" t="str">
            <v>S</v>
          </cell>
          <cell r="P193" t="str">
            <v>NA</v>
          </cell>
          <cell r="Q193" t="str">
            <v xml:space="preserve">Prestar el servicio de vigilancia y seguridad privada en las instalaciones de la Secretaria de Hacienda y del Concejo de Bogotá., con el fin de asegurar la protección y custodia de las personas y bienes muebles e inmuebles de propiedad de la entidad y de </v>
          </cell>
          <cell r="R193">
            <v>2</v>
          </cell>
          <cell r="S193" t="str">
            <v>Relacionada con el objeto a contratar-</v>
          </cell>
          <cell r="T193" t="str">
            <v>NA</v>
          </cell>
          <cell r="U193" t="str">
            <v>SEL. ABREVIADA SUB.INVERSA</v>
          </cell>
          <cell r="V193" t="str">
            <v>PRINCIPAL</v>
          </cell>
          <cell r="W193" t="str">
            <v>NA</v>
          </cell>
          <cell r="X193" t="str">
            <v>PRESTACION DE SERVICIOS</v>
          </cell>
          <cell r="Y193">
            <v>2743000000</v>
          </cell>
          <cell r="Z193">
            <v>566000000</v>
          </cell>
          <cell r="AA193" t="str">
            <v>12 mes(es)</v>
          </cell>
        </row>
        <row r="194">
          <cell r="C194">
            <v>175</v>
          </cell>
          <cell r="D194">
            <v>3</v>
          </cell>
          <cell r="E194">
            <v>13</v>
          </cell>
          <cell r="F194" t="str">
            <v>MODIFICACION</v>
          </cell>
          <cell r="G194" t="str">
            <v>RECURSOS PROPIOS</v>
          </cell>
          <cell r="H194">
            <v>51000</v>
          </cell>
          <cell r="I194">
            <v>1</v>
          </cell>
          <cell r="J194" t="str">
            <v>NA</v>
          </cell>
          <cell r="K194" t="str">
            <v>3-1-2-02-05-01 Mantenimiento Entidad</v>
          </cell>
          <cell r="L194">
            <v>1</v>
          </cell>
          <cell r="M194" t="str">
            <v>NA</v>
          </cell>
          <cell r="N194" t="str">
            <v>NA</v>
          </cell>
          <cell r="O194" t="str">
            <v>S</v>
          </cell>
          <cell r="P194" t="str">
            <v>NA</v>
          </cell>
          <cell r="Q194" t="str">
            <v>Prestar los servicios de mantenimiento preventivo y correctivo con suministro de repuestos de los automotores marca Chevrolet al servicio de la Secretaría Distrital de Hacienda y del Concejo de Bogotá</v>
          </cell>
          <cell r="R194">
            <v>2</v>
          </cell>
          <cell r="S194" t="str">
            <v>Relacionada con el objeto a contratar</v>
          </cell>
          <cell r="T194" t="str">
            <v>NA</v>
          </cell>
          <cell r="U194" t="str">
            <v>MINIMA CUANTIA</v>
          </cell>
          <cell r="V194" t="str">
            <v>PRINCIPAL</v>
          </cell>
          <cell r="W194" t="str">
            <v>NA</v>
          </cell>
          <cell r="X194" t="str">
            <v>PRESTACION DE SERVICIOS</v>
          </cell>
          <cell r="Y194">
            <v>44927000</v>
          </cell>
          <cell r="Z194">
            <v>17305000</v>
          </cell>
          <cell r="AA194" t="str">
            <v>12 mes(es)</v>
          </cell>
        </row>
        <row r="195">
          <cell r="C195">
            <v>175</v>
          </cell>
          <cell r="D195">
            <v>3</v>
          </cell>
          <cell r="E195">
            <v>13</v>
          </cell>
          <cell r="F195" t="str">
            <v>MODIFICACION</v>
          </cell>
          <cell r="G195" t="str">
            <v>RECURSOS PROPIOS</v>
          </cell>
          <cell r="H195">
            <v>120000</v>
          </cell>
          <cell r="I195">
            <v>4</v>
          </cell>
          <cell r="J195" t="str">
            <v>NA</v>
          </cell>
          <cell r="K195" t="str">
            <v>3-1-2-02-05-01 Mantenimiento Entidad</v>
          </cell>
          <cell r="L195">
            <v>1</v>
          </cell>
          <cell r="M195" t="str">
            <v>NA</v>
          </cell>
          <cell r="N195" t="str">
            <v>NA</v>
          </cell>
          <cell r="O195" t="str">
            <v>S</v>
          </cell>
          <cell r="P195" t="str">
            <v>NA</v>
          </cell>
          <cell r="Q195" t="str">
            <v>Prestar los servicios de mantenimiento preventivo y correctivo con suministro de repuestos de los automotores marca Chevrolet al servicio de la Secretaría Distrital de Hacienda y del Concejo de Bogotá</v>
          </cell>
          <cell r="R195">
            <v>2</v>
          </cell>
          <cell r="S195" t="str">
            <v>Relacionada con el objeto a contratar</v>
          </cell>
          <cell r="T195" t="str">
            <v>NA</v>
          </cell>
          <cell r="U195" t="str">
            <v>MINIMA CUANTIA</v>
          </cell>
          <cell r="V195" t="str">
            <v>PRINCIPAL</v>
          </cell>
          <cell r="W195" t="str">
            <v>NA</v>
          </cell>
          <cell r="X195" t="str">
            <v>PRESTACION DE SERVICIOS</v>
          </cell>
          <cell r="Y195">
            <v>44927000</v>
          </cell>
          <cell r="Z195">
            <v>27622000</v>
          </cell>
          <cell r="AA195" t="str">
            <v>12 mes(es)</v>
          </cell>
        </row>
        <row r="196">
          <cell r="C196">
            <v>176</v>
          </cell>
          <cell r="D196">
            <v>3</v>
          </cell>
          <cell r="E196">
            <v>80</v>
          </cell>
          <cell r="F196" t="str">
            <v>INICIAL</v>
          </cell>
          <cell r="G196" t="str">
            <v>RECURSOS PROPIOS</v>
          </cell>
          <cell r="H196">
            <v>51000</v>
          </cell>
          <cell r="I196">
            <v>1</v>
          </cell>
          <cell r="J196" t="str">
            <v>NA</v>
          </cell>
          <cell r="K196" t="str">
            <v>3-1-2-02-05-01 Mantenimiento Entidad</v>
          </cell>
          <cell r="L196">
            <v>1</v>
          </cell>
          <cell r="M196" t="str">
            <v>NA</v>
          </cell>
          <cell r="N196" t="str">
            <v>NA</v>
          </cell>
          <cell r="O196" t="str">
            <v>S</v>
          </cell>
          <cell r="P196" t="str">
            <v>NA</v>
          </cell>
          <cell r="Q196" t="str">
            <v xml:space="preserve">Prestar los servicios de mantenimiento correctivo correspondiente a la reparación y corrección de las sillas existentes en la Secretaría de Distrital de Hacienda y del Concejo de Bogotá, con el suministro de repuestos y/o elementos nuevos necesarios para </v>
          </cell>
          <cell r="R196">
            <v>2</v>
          </cell>
          <cell r="S196" t="str">
            <v>Relacionada con el objeto a contratar</v>
          </cell>
          <cell r="T196" t="str">
            <v>NA</v>
          </cell>
          <cell r="U196" t="str">
            <v>SEL. ABREVIADA SUB.INVERSA</v>
          </cell>
          <cell r="V196" t="str">
            <v>PRINCIPAL</v>
          </cell>
          <cell r="W196" t="str">
            <v>NA</v>
          </cell>
          <cell r="X196" t="str">
            <v>PRESTACION DE SERVICIOS</v>
          </cell>
          <cell r="Y196">
            <v>58216000</v>
          </cell>
          <cell r="Z196">
            <v>28216000</v>
          </cell>
          <cell r="AA196" t="str">
            <v>12 mes(es)</v>
          </cell>
        </row>
        <row r="197">
          <cell r="C197">
            <v>176</v>
          </cell>
          <cell r="D197">
            <v>3</v>
          </cell>
          <cell r="E197">
            <v>80</v>
          </cell>
          <cell r="F197" t="str">
            <v>INICIAL</v>
          </cell>
          <cell r="G197" t="str">
            <v>RECURSOS PROPIOS</v>
          </cell>
          <cell r="H197">
            <v>120000</v>
          </cell>
          <cell r="I197">
            <v>4</v>
          </cell>
          <cell r="J197" t="str">
            <v>NA</v>
          </cell>
          <cell r="K197" t="str">
            <v>3-1-2-02-05-01 Mantenimiento Entidad</v>
          </cell>
          <cell r="L197">
            <v>1</v>
          </cell>
          <cell r="M197" t="str">
            <v>NA</v>
          </cell>
          <cell r="N197" t="str">
            <v>NA</v>
          </cell>
          <cell r="O197" t="str">
            <v>S</v>
          </cell>
          <cell r="P197" t="str">
            <v>NA</v>
          </cell>
          <cell r="Q197" t="str">
            <v xml:space="preserve">Prestar los servicios de mantenimiento correctivo correspondiente a la reparación y corrección de las sillas existentes en la Secretaría de Distrital de Hacienda y del Concejo de Bogotá, con el suministro de repuestos y/o elementos nuevos necesarios para </v>
          </cell>
          <cell r="R197">
            <v>2</v>
          </cell>
          <cell r="S197" t="str">
            <v>Relacionada con el objeto a contratar</v>
          </cell>
          <cell r="T197" t="str">
            <v>NA</v>
          </cell>
          <cell r="U197" t="str">
            <v>SEL. ABREVIADA SUB.INVERSA</v>
          </cell>
          <cell r="V197" t="str">
            <v>PRINCIPAL</v>
          </cell>
          <cell r="W197" t="str">
            <v>NA</v>
          </cell>
          <cell r="X197" t="str">
            <v>PRESTACION DE SERVICIOS</v>
          </cell>
          <cell r="Y197">
            <v>58216000</v>
          </cell>
          <cell r="Z197">
            <v>30000000</v>
          </cell>
          <cell r="AA197" t="str">
            <v>12 mes(es)</v>
          </cell>
        </row>
        <row r="198">
          <cell r="C198">
            <v>177</v>
          </cell>
          <cell r="D198">
            <v>3</v>
          </cell>
          <cell r="E198">
            <v>80</v>
          </cell>
          <cell r="F198" t="str">
            <v>INICIAL</v>
          </cell>
          <cell r="G198" t="str">
            <v>RECURSOS PROPIOS</v>
          </cell>
          <cell r="H198">
            <v>51000</v>
          </cell>
          <cell r="I198">
            <v>1</v>
          </cell>
          <cell r="J198" t="str">
            <v>NA</v>
          </cell>
          <cell r="K198" t="str">
            <v>3-1-2-02-05-02 Mantenimiento C.A.D.</v>
          </cell>
          <cell r="L198">
            <v>1</v>
          </cell>
          <cell r="M198" t="str">
            <v>NA</v>
          </cell>
          <cell r="N198" t="str">
            <v>NA</v>
          </cell>
          <cell r="O198" t="str">
            <v>S</v>
          </cell>
          <cell r="P198" t="str">
            <v>NA</v>
          </cell>
          <cell r="Q198" t="str">
            <v>Prestar los servicios de mantenimiento preventivo y correctivo al sistema eléctrico del  Centro Administrativo Distrital CAD y al sistema de generación y transferencia eléctrica de emergencia  del Concejo de Bogotá, DC.</v>
          </cell>
          <cell r="R198">
            <v>2</v>
          </cell>
          <cell r="S198" t="str">
            <v>Relacionada con el objeto a contratar</v>
          </cell>
          <cell r="T198" t="str">
            <v>NA</v>
          </cell>
          <cell r="U198" t="str">
            <v>SEL. ABREVIADA MENOR CUANTIA</v>
          </cell>
          <cell r="V198" t="str">
            <v>PRINCIPAL</v>
          </cell>
          <cell r="W198" t="str">
            <v>NA</v>
          </cell>
          <cell r="X198" t="str">
            <v>PRESTACION DE SERVICIOS</v>
          </cell>
          <cell r="Y198">
            <v>72013000</v>
          </cell>
          <cell r="Z198">
            <v>61013000</v>
          </cell>
          <cell r="AA198" t="str">
            <v>12 mes(es)</v>
          </cell>
        </row>
        <row r="199">
          <cell r="C199">
            <v>177</v>
          </cell>
          <cell r="D199">
            <v>3</v>
          </cell>
          <cell r="E199">
            <v>80</v>
          </cell>
          <cell r="F199" t="str">
            <v>INICIAL</v>
          </cell>
          <cell r="G199" t="str">
            <v>RECURSOS PROPIOS</v>
          </cell>
          <cell r="H199">
            <v>120000</v>
          </cell>
          <cell r="I199">
            <v>4</v>
          </cell>
          <cell r="J199" t="str">
            <v>NA</v>
          </cell>
          <cell r="K199" t="str">
            <v>3-1-2-02-05-01 Mantenimiento Entidad</v>
          </cell>
          <cell r="L199">
            <v>1</v>
          </cell>
          <cell r="M199" t="str">
            <v>NA</v>
          </cell>
          <cell r="N199" t="str">
            <v>NA</v>
          </cell>
          <cell r="O199" t="str">
            <v>S</v>
          </cell>
          <cell r="P199" t="str">
            <v>NA</v>
          </cell>
          <cell r="Q199" t="str">
            <v>Prestar los servicios de mantenimiento preventivo y correctivo al sistema eléctrico del  Centro Administrativo Distrital CAD y al sistema de generación y transferencia eléctrica de emergencia  del Concejo de Bogotá, DC.</v>
          </cell>
          <cell r="R199">
            <v>2</v>
          </cell>
          <cell r="S199" t="str">
            <v>Relacionada con el objeto a contratar</v>
          </cell>
          <cell r="T199" t="str">
            <v>NA</v>
          </cell>
          <cell r="U199" t="str">
            <v>SEL. ABREVIADA MENOR CUANTIA</v>
          </cell>
          <cell r="V199" t="str">
            <v>PRINCIPAL</v>
          </cell>
          <cell r="W199" t="str">
            <v>NA</v>
          </cell>
          <cell r="X199" t="str">
            <v>PRESTACION DE SERVICIOS</v>
          </cell>
          <cell r="Y199">
            <v>72013000</v>
          </cell>
          <cell r="Z199">
            <v>11000000</v>
          </cell>
          <cell r="AA199" t="str">
            <v>12 mes(es)</v>
          </cell>
        </row>
        <row r="200">
          <cell r="C200">
            <v>178</v>
          </cell>
          <cell r="D200">
            <v>3</v>
          </cell>
          <cell r="E200">
            <v>80</v>
          </cell>
          <cell r="F200" t="str">
            <v>INICIAL</v>
          </cell>
          <cell r="G200" t="str">
            <v>RECURSOS PROPIOS</v>
          </cell>
          <cell r="H200">
            <v>51000</v>
          </cell>
          <cell r="I200">
            <v>1</v>
          </cell>
          <cell r="J200" t="str">
            <v>NA</v>
          </cell>
          <cell r="K200" t="str">
            <v>3-1-2-02-05-01 Mantenimiento Entidad</v>
          </cell>
          <cell r="L200">
            <v>1</v>
          </cell>
          <cell r="M200" t="str">
            <v>NA</v>
          </cell>
          <cell r="N200" t="str">
            <v>NA</v>
          </cell>
          <cell r="O200" t="str">
            <v>S</v>
          </cell>
          <cell r="P200" t="str">
            <v>NA</v>
          </cell>
          <cell r="Q200" t="str">
            <v>Prestar los servicios de mantenimiento con suministro de repuestos para plantas purificadoras de agua semi-industriales de la Secretaría Distrital de Hacienda</v>
          </cell>
          <cell r="R200">
            <v>1</v>
          </cell>
          <cell r="S200" t="str">
            <v>Relacionada con el objeto a contratar</v>
          </cell>
          <cell r="T200" t="str">
            <v>NA</v>
          </cell>
          <cell r="U200" t="str">
            <v>MINIMA CUANTIA</v>
          </cell>
          <cell r="V200" t="str">
            <v>PRINCIPAL</v>
          </cell>
          <cell r="W200" t="str">
            <v>NA</v>
          </cell>
          <cell r="X200" t="str">
            <v>PRESTACION DE SERVICIOS</v>
          </cell>
          <cell r="Y200">
            <v>10500000</v>
          </cell>
          <cell r="Z200">
            <v>6000000</v>
          </cell>
          <cell r="AA200" t="str">
            <v>12 mes(es)</v>
          </cell>
        </row>
        <row r="201">
          <cell r="C201">
            <v>178</v>
          </cell>
          <cell r="D201">
            <v>3</v>
          </cell>
          <cell r="E201">
            <v>80</v>
          </cell>
          <cell r="F201" t="str">
            <v>INICIAL</v>
          </cell>
          <cell r="G201" t="str">
            <v>RECURSOS PROPIOS</v>
          </cell>
          <cell r="H201">
            <v>120000</v>
          </cell>
          <cell r="I201">
            <v>4</v>
          </cell>
          <cell r="J201" t="str">
            <v>NA</v>
          </cell>
          <cell r="K201" t="str">
            <v>3-1-2-02-05-01 Mantenimiento Entidad</v>
          </cell>
          <cell r="L201">
            <v>1</v>
          </cell>
          <cell r="M201" t="str">
            <v>NA</v>
          </cell>
          <cell r="N201" t="str">
            <v>NA</v>
          </cell>
          <cell r="O201" t="str">
            <v>S</v>
          </cell>
          <cell r="P201" t="str">
            <v>NA</v>
          </cell>
          <cell r="Q201" t="str">
            <v>Prestar los servicios de mantenimiento con suministro de repuestos para plantas purificadoras de agua semi-industriales de la Secretaría Distrital de Hacienda</v>
          </cell>
          <cell r="R201">
            <v>1</v>
          </cell>
          <cell r="S201" t="str">
            <v>Relacionada con el objeto a contratar</v>
          </cell>
          <cell r="T201" t="str">
            <v>NA</v>
          </cell>
          <cell r="U201" t="str">
            <v>MINIMA CUANTIA</v>
          </cell>
          <cell r="V201" t="str">
            <v>PRINCIPAL</v>
          </cell>
          <cell r="W201" t="str">
            <v>NA</v>
          </cell>
          <cell r="X201" t="str">
            <v>PRESTACION DE SERVICIOS</v>
          </cell>
          <cell r="Y201">
            <v>10500000</v>
          </cell>
          <cell r="Z201">
            <v>4500000</v>
          </cell>
          <cell r="AA201" t="str">
            <v>12 mes(es)</v>
          </cell>
        </row>
        <row r="202">
          <cell r="C202">
            <v>179</v>
          </cell>
          <cell r="D202">
            <v>3</v>
          </cell>
          <cell r="E202">
            <v>15</v>
          </cell>
          <cell r="F202" t="str">
            <v>MODIFICACION</v>
          </cell>
          <cell r="G202" t="str">
            <v>RECURSOS PROPIOS</v>
          </cell>
          <cell r="H202">
            <v>51000</v>
          </cell>
          <cell r="I202">
            <v>1</v>
          </cell>
          <cell r="J202" t="str">
            <v>NA</v>
          </cell>
          <cell r="K202" t="str">
            <v>3-1-2-02-06-01 Seguros Entidad</v>
          </cell>
          <cell r="L202">
            <v>1</v>
          </cell>
          <cell r="M202" t="str">
            <v>NA</v>
          </cell>
          <cell r="N202" t="str">
            <v>NA</v>
          </cell>
          <cell r="O202" t="str">
            <v>S</v>
          </cell>
          <cell r="P202" t="str">
            <v>NA</v>
          </cell>
          <cell r="Q202" t="str">
            <v>Expedir la pólizas de seguros requeridas para adecuada protección de los bienes de la Secretaría Distrital de Hacienda y del Concejo de Bogotá D.C., así como el seguro de Grupo Vida de los Concejales de Bogotá D.C.</v>
          </cell>
          <cell r="R202">
            <v>3</v>
          </cell>
          <cell r="S202" t="str">
            <v>NA</v>
          </cell>
          <cell r="T202" t="str">
            <v>NA</v>
          </cell>
          <cell r="U202" t="str">
            <v>LICITACION PUBLICA</v>
          </cell>
          <cell r="V202" t="str">
            <v>PRINCIPAL</v>
          </cell>
          <cell r="W202" t="str">
            <v>NA</v>
          </cell>
          <cell r="X202" t="str">
            <v>PRESTACION DE SERVICIOS</v>
          </cell>
          <cell r="Y202">
            <v>2598931000</v>
          </cell>
          <cell r="Z202">
            <v>2205650000</v>
          </cell>
          <cell r="AA202" t="str">
            <v>12 mes(es)</v>
          </cell>
        </row>
        <row r="203">
          <cell r="C203">
            <v>179</v>
          </cell>
          <cell r="D203">
            <v>3</v>
          </cell>
          <cell r="E203">
            <v>15</v>
          </cell>
          <cell r="F203" t="str">
            <v>MODIFICACION</v>
          </cell>
          <cell r="G203" t="str">
            <v>RECURSOS PROPIOS</v>
          </cell>
          <cell r="H203">
            <v>120000</v>
          </cell>
          <cell r="I203">
            <v>4</v>
          </cell>
          <cell r="J203" t="str">
            <v>NA</v>
          </cell>
          <cell r="K203" t="str">
            <v>3-1-2-02-06-01 Seguros Entidad</v>
          </cell>
          <cell r="L203">
            <v>1</v>
          </cell>
          <cell r="M203" t="str">
            <v>NA</v>
          </cell>
          <cell r="N203" t="str">
            <v>NA</v>
          </cell>
          <cell r="O203" t="str">
            <v>S</v>
          </cell>
          <cell r="P203" t="str">
            <v>NA</v>
          </cell>
          <cell r="Q203" t="str">
            <v>Expedir la pólizas de seguros requeridas para adecuada protección de los bienes de la Secretaría Distrital de Hacienda y del Concejo de Bogotá D.C., así como el seguro de Grupo Vida de los Concejales de Bogotá D.C.</v>
          </cell>
          <cell r="R203">
            <v>3</v>
          </cell>
          <cell r="S203" t="str">
            <v>NA</v>
          </cell>
          <cell r="T203" t="str">
            <v>NA</v>
          </cell>
          <cell r="U203" t="str">
            <v>LICITACION PUBLICA</v>
          </cell>
          <cell r="V203" t="str">
            <v>PRINCIPAL</v>
          </cell>
          <cell r="W203" t="str">
            <v>NA</v>
          </cell>
          <cell r="X203" t="str">
            <v>PRESTACION DE SERVICIOS</v>
          </cell>
          <cell r="Y203">
            <v>2598931000</v>
          </cell>
          <cell r="Z203">
            <v>190491000</v>
          </cell>
          <cell r="AA203" t="str">
            <v>12 mes(es)</v>
          </cell>
        </row>
        <row r="204">
          <cell r="C204">
            <v>179</v>
          </cell>
          <cell r="D204">
            <v>3</v>
          </cell>
          <cell r="E204">
            <v>15</v>
          </cell>
          <cell r="F204" t="str">
            <v>MODIFICACION</v>
          </cell>
          <cell r="G204" t="str">
            <v>RECURSOS PROPIOS</v>
          </cell>
          <cell r="H204">
            <v>120000</v>
          </cell>
          <cell r="I204">
            <v>4</v>
          </cell>
          <cell r="J204" t="str">
            <v>NA</v>
          </cell>
          <cell r="K204" t="str">
            <v>3-1-2-02-06-02 Seguros de Vida Concejales</v>
          </cell>
          <cell r="L204">
            <v>1</v>
          </cell>
          <cell r="M204" t="str">
            <v>NA</v>
          </cell>
          <cell r="N204" t="str">
            <v>NA</v>
          </cell>
          <cell r="O204" t="str">
            <v>S</v>
          </cell>
          <cell r="P204" t="str">
            <v>NA</v>
          </cell>
          <cell r="Q204" t="str">
            <v>Expedir la pólizas de seguros requeridas para adecuada protección de los bienes de la Secretaría Distrital de Hacienda y del Concejo de Bogotá D.C., así como el seguro de Grupo Vida de los Concejales de Bogotá D.C.</v>
          </cell>
          <cell r="R204">
            <v>3</v>
          </cell>
          <cell r="S204" t="str">
            <v>NA</v>
          </cell>
          <cell r="T204" t="str">
            <v>NA</v>
          </cell>
          <cell r="U204" t="str">
            <v>LICITACION PUBLICA</v>
          </cell>
          <cell r="V204" t="str">
            <v>PRINCIPAL</v>
          </cell>
          <cell r="W204" t="str">
            <v>NA</v>
          </cell>
          <cell r="X204" t="str">
            <v>PRESTACION DE SERVICIOS</v>
          </cell>
          <cell r="Y204">
            <v>2598931000</v>
          </cell>
          <cell r="Z204">
            <v>186483000</v>
          </cell>
          <cell r="AA204" t="str">
            <v>12 mes(es)</v>
          </cell>
        </row>
        <row r="205">
          <cell r="C205">
            <v>180</v>
          </cell>
          <cell r="D205">
            <v>3</v>
          </cell>
          <cell r="E205">
            <v>7</v>
          </cell>
          <cell r="F205" t="str">
            <v>MODIFICACION</v>
          </cell>
          <cell r="G205" t="str">
            <v>RECURSOS PROPIOS</v>
          </cell>
          <cell r="H205">
            <v>51000</v>
          </cell>
          <cell r="I205">
            <v>1</v>
          </cell>
          <cell r="J205" t="str">
            <v>NA</v>
          </cell>
          <cell r="K205" t="str">
            <v>3-1-2-02-06-01 Seguros Entidad</v>
          </cell>
          <cell r="L205">
            <v>1</v>
          </cell>
          <cell r="M205" t="str">
            <v>NA</v>
          </cell>
          <cell r="N205" t="str">
            <v>NA</v>
          </cell>
          <cell r="O205" t="str">
            <v>S</v>
          </cell>
          <cell r="P205" t="str">
            <v>NA</v>
          </cell>
          <cell r="Q205" t="str">
            <v>Expedir las polizas de seguro obligatorio SOAT para los vehículos de la Secretaría Distrital de Hacienda y del Concejo de Bogotá</v>
          </cell>
          <cell r="R205">
            <v>2</v>
          </cell>
          <cell r="S205" t="str">
            <v>NA</v>
          </cell>
          <cell r="T205" t="str">
            <v>NA</v>
          </cell>
          <cell r="U205" t="str">
            <v>ACUERDO MARCO</v>
          </cell>
          <cell r="V205" t="str">
            <v>PRINCIPAL</v>
          </cell>
          <cell r="W205" t="str">
            <v>NA</v>
          </cell>
          <cell r="X205" t="str">
            <v>PRESTACION DE SERVICIOS</v>
          </cell>
          <cell r="Y205">
            <v>8552000</v>
          </cell>
          <cell r="Z205">
            <v>4350000</v>
          </cell>
          <cell r="AA205" t="str">
            <v>12 mes(es)</v>
          </cell>
        </row>
        <row r="206">
          <cell r="C206">
            <v>180</v>
          </cell>
          <cell r="D206">
            <v>3</v>
          </cell>
          <cell r="E206">
            <v>7</v>
          </cell>
          <cell r="F206" t="str">
            <v>MODIFICACION</v>
          </cell>
          <cell r="G206" t="str">
            <v>RECURSOS PROPIOS</v>
          </cell>
          <cell r="H206">
            <v>120000</v>
          </cell>
          <cell r="I206">
            <v>4</v>
          </cell>
          <cell r="J206" t="str">
            <v>NA</v>
          </cell>
          <cell r="K206" t="str">
            <v>3-1-2-02-06-01 Seguros Entidad</v>
          </cell>
          <cell r="L206">
            <v>1</v>
          </cell>
          <cell r="M206" t="str">
            <v>NA</v>
          </cell>
          <cell r="N206" t="str">
            <v>NA</v>
          </cell>
          <cell r="O206" t="str">
            <v>S</v>
          </cell>
          <cell r="P206" t="str">
            <v>NA</v>
          </cell>
          <cell r="Q206" t="str">
            <v>Expedir las polizas de seguro obligatorio SOAT para los vehículos de la Secretaría Distrital de Hacienda y del Concejo de Bogotá</v>
          </cell>
          <cell r="R206">
            <v>2</v>
          </cell>
          <cell r="S206" t="str">
            <v>NA</v>
          </cell>
          <cell r="T206" t="str">
            <v>NA</v>
          </cell>
          <cell r="U206" t="str">
            <v>ACUERDO MARCO</v>
          </cell>
          <cell r="V206" t="str">
            <v>PRINCIPAL</v>
          </cell>
          <cell r="W206" t="str">
            <v>NA</v>
          </cell>
          <cell r="X206" t="str">
            <v>PRESTACION DE SERVICIOS</v>
          </cell>
          <cell r="Y206">
            <v>8552000</v>
          </cell>
          <cell r="Z206">
            <v>4202000</v>
          </cell>
          <cell r="AA206" t="str">
            <v>12 mes(es)</v>
          </cell>
        </row>
        <row r="207">
          <cell r="C207">
            <v>181</v>
          </cell>
          <cell r="D207">
            <v>3</v>
          </cell>
          <cell r="E207">
            <v>17</v>
          </cell>
          <cell r="F207" t="str">
            <v>MODIFICACION</v>
          </cell>
          <cell r="G207" t="str">
            <v>RECURSOS PROPIOS</v>
          </cell>
          <cell r="H207">
            <v>52000</v>
          </cell>
          <cell r="I207">
            <v>1</v>
          </cell>
          <cell r="J207" t="str">
            <v>NA</v>
          </cell>
          <cell r="K207" t="str">
            <v>3-1-2-02-09-01 Capacitación Interna</v>
          </cell>
          <cell r="L207">
            <v>1</v>
          </cell>
          <cell r="M207" t="str">
            <v>NA</v>
          </cell>
          <cell r="N207" t="str">
            <v>NA</v>
          </cell>
          <cell r="O207" t="str">
            <v>S</v>
          </cell>
          <cell r="P207" t="str">
            <v>NA</v>
          </cell>
          <cell r="Q207" t="str">
            <v>Realizar las actividades de capacitación previstas en el Plan Institucional de Capacitación para los funcionarios de la SDH y del Concejo de Bogotá.</v>
          </cell>
          <cell r="R207">
            <v>2</v>
          </cell>
          <cell r="S207" t="str">
            <v>Relacionada con el objeto a contratar-</v>
          </cell>
          <cell r="T207" t="str">
            <v>NA-</v>
          </cell>
          <cell r="U207" t="str">
            <v>LICITACION PUBLICA</v>
          </cell>
          <cell r="V207" t="str">
            <v>PRINCIPAL</v>
          </cell>
          <cell r="W207" t="str">
            <v>NA</v>
          </cell>
          <cell r="X207" t="str">
            <v>PRESTACION DE SERVICIOS</v>
          </cell>
          <cell r="Y207">
            <v>853225000</v>
          </cell>
          <cell r="Z207">
            <v>375225000</v>
          </cell>
          <cell r="AA207" t="str">
            <v>9 mes(es)</v>
          </cell>
        </row>
        <row r="208">
          <cell r="C208">
            <v>181</v>
          </cell>
          <cell r="D208">
            <v>3</v>
          </cell>
          <cell r="E208">
            <v>17</v>
          </cell>
          <cell r="F208" t="str">
            <v>MODIFICACION</v>
          </cell>
          <cell r="G208" t="str">
            <v>RECURSOS PROPIOS</v>
          </cell>
          <cell r="H208">
            <v>120000</v>
          </cell>
          <cell r="I208">
            <v>4</v>
          </cell>
          <cell r="J208" t="str">
            <v>NA</v>
          </cell>
          <cell r="K208" t="str">
            <v>3-1-2-02-09-01 Capacitación Interna</v>
          </cell>
          <cell r="L208">
            <v>1</v>
          </cell>
          <cell r="M208" t="str">
            <v>NA</v>
          </cell>
          <cell r="N208" t="str">
            <v>NA</v>
          </cell>
          <cell r="O208" t="str">
            <v>S</v>
          </cell>
          <cell r="P208" t="str">
            <v>NA</v>
          </cell>
          <cell r="Q208" t="str">
            <v>Realizar las actividades de capacitación previstas en el Plan Institucional de Capacitación para los funcionarios de la SDH y del Concejo de Bogotá.</v>
          </cell>
          <cell r="R208">
            <v>2</v>
          </cell>
          <cell r="S208" t="str">
            <v>Relacionada con el objeto a contratar-</v>
          </cell>
          <cell r="T208" t="str">
            <v>NA-</v>
          </cell>
          <cell r="U208" t="str">
            <v>LICITACION PUBLICA</v>
          </cell>
          <cell r="V208" t="str">
            <v>PRINCIPAL</v>
          </cell>
          <cell r="W208" t="str">
            <v>NA</v>
          </cell>
          <cell r="X208" t="str">
            <v>PRESTACION DE SERVICIOS</v>
          </cell>
          <cell r="Y208">
            <v>853225000</v>
          </cell>
          <cell r="Z208">
            <v>478000000</v>
          </cell>
          <cell r="AA208" t="str">
            <v>9 mes(es)</v>
          </cell>
        </row>
        <row r="209">
          <cell r="C209">
            <v>182</v>
          </cell>
          <cell r="D209">
            <v>3</v>
          </cell>
          <cell r="E209">
            <v>12</v>
          </cell>
          <cell r="F209" t="str">
            <v>MODIFICACION</v>
          </cell>
          <cell r="G209" t="str">
            <v>RECURSOS PROPIOS</v>
          </cell>
          <cell r="H209">
            <v>52000</v>
          </cell>
          <cell r="I209">
            <v>1</v>
          </cell>
          <cell r="J209" t="str">
            <v>NA</v>
          </cell>
          <cell r="K209" t="str">
            <v>3-1-2-02-09-01 Capacitación Interna</v>
          </cell>
          <cell r="L209">
            <v>1</v>
          </cell>
          <cell r="M209" t="str">
            <v>NA</v>
          </cell>
          <cell r="N209" t="str">
            <v>NA</v>
          </cell>
          <cell r="O209" t="str">
            <v>S</v>
          </cell>
          <cell r="P209" t="str">
            <v>NA</v>
          </cell>
          <cell r="Q209" t="str">
            <v>Presar el servicio de alquiler de escenarios como salones, auditorios y espacios abiertos, apoyo logístico y servicio de catering para el desarrollo de eventos que requieran la Secretaría Distrital de Hacienda y el Concejo de Bogotá.</v>
          </cell>
          <cell r="R209">
            <v>2</v>
          </cell>
          <cell r="S209" t="str">
            <v>Relacionada con el objeto a contratar</v>
          </cell>
          <cell r="T209" t="str">
            <v>NA</v>
          </cell>
          <cell r="U209" t="str">
            <v>SEL. ABREVIADA MENOR CUANTIA</v>
          </cell>
          <cell r="V209" t="str">
            <v>PRINCIPAL</v>
          </cell>
          <cell r="W209" t="str">
            <v>NA</v>
          </cell>
          <cell r="X209" t="str">
            <v>PRESTACION DE SERVICIOS</v>
          </cell>
          <cell r="Y209">
            <v>246987000</v>
          </cell>
          <cell r="Z209">
            <v>52587000</v>
          </cell>
          <cell r="AA209" t="str">
            <v>10 mes(es)</v>
          </cell>
        </row>
        <row r="210">
          <cell r="C210">
            <v>182</v>
          </cell>
          <cell r="D210">
            <v>3</v>
          </cell>
          <cell r="E210">
            <v>12</v>
          </cell>
          <cell r="F210" t="str">
            <v>MODIFICACION</v>
          </cell>
          <cell r="G210" t="str">
            <v>RECURSOS PROPIOS</v>
          </cell>
          <cell r="H210">
            <v>52000</v>
          </cell>
          <cell r="I210">
            <v>1</v>
          </cell>
          <cell r="J210" t="str">
            <v>NA</v>
          </cell>
          <cell r="K210" t="str">
            <v>3-1-2-02-09-02 Capacitación Externa</v>
          </cell>
          <cell r="L210">
            <v>1</v>
          </cell>
          <cell r="M210" t="str">
            <v>NA</v>
          </cell>
          <cell r="N210" t="str">
            <v>NA</v>
          </cell>
          <cell r="O210" t="str">
            <v>S</v>
          </cell>
          <cell r="P210" t="str">
            <v>NA</v>
          </cell>
          <cell r="Q210" t="str">
            <v>Presar el servicio de alquiler de escenarios como salones, auditorios y espacios abiertos, apoyo logístico y servicio de catering para el desarrollo de eventos que requieran la Secretaría Distrital de Hacienda y el Concejo de Bogotá.</v>
          </cell>
          <cell r="R210">
            <v>2</v>
          </cell>
          <cell r="S210" t="str">
            <v>Relacionada con el objeto a contratar</v>
          </cell>
          <cell r="T210" t="str">
            <v>NA</v>
          </cell>
          <cell r="U210" t="str">
            <v>SEL. ABREVIADA MENOR CUANTIA</v>
          </cell>
          <cell r="V210" t="str">
            <v>PRINCIPAL</v>
          </cell>
          <cell r="W210" t="str">
            <v>NA</v>
          </cell>
          <cell r="X210" t="str">
            <v>PRESTACION DE SERVICIOS</v>
          </cell>
          <cell r="Y210">
            <v>246987000</v>
          </cell>
          <cell r="Z210">
            <v>50000000</v>
          </cell>
          <cell r="AA210" t="str">
            <v>10 mes(es)</v>
          </cell>
        </row>
        <row r="211">
          <cell r="C211">
            <v>182</v>
          </cell>
          <cell r="D211">
            <v>3</v>
          </cell>
          <cell r="E211">
            <v>12</v>
          </cell>
          <cell r="F211" t="str">
            <v>MODIFICACION</v>
          </cell>
          <cell r="G211" t="str">
            <v>RECURSOS PROPIOS</v>
          </cell>
          <cell r="H211">
            <v>52000</v>
          </cell>
          <cell r="I211">
            <v>1</v>
          </cell>
          <cell r="J211" t="str">
            <v>NA</v>
          </cell>
          <cell r="K211" t="str">
            <v>3-1-2-02-11 Promoción Institucional</v>
          </cell>
          <cell r="L211">
            <v>1</v>
          </cell>
          <cell r="M211" t="str">
            <v>NA</v>
          </cell>
          <cell r="N211" t="str">
            <v>NA</v>
          </cell>
          <cell r="O211" t="str">
            <v>S</v>
          </cell>
          <cell r="P211" t="str">
            <v>NA</v>
          </cell>
          <cell r="Q211" t="str">
            <v>Presar el servicio de alquiler de escenarios como salones, auditorios y espacios abiertos, apoyo logístico y servicio de catering para el desarrollo de eventos que requieran la Secretaría Distrital de Hacienda y el Concejo de Bogotá.</v>
          </cell>
          <cell r="R211">
            <v>2</v>
          </cell>
          <cell r="S211" t="str">
            <v>Relacionada con el objeto a contratar</v>
          </cell>
          <cell r="T211" t="str">
            <v>NA</v>
          </cell>
          <cell r="U211" t="str">
            <v>SEL. ABREVIADA MENOR CUANTIA</v>
          </cell>
          <cell r="V211" t="str">
            <v>PRINCIPAL</v>
          </cell>
          <cell r="W211" t="str">
            <v>NA</v>
          </cell>
          <cell r="X211" t="str">
            <v>PRESTACION DE SERVICIOS</v>
          </cell>
          <cell r="Y211">
            <v>246987000</v>
          </cell>
          <cell r="Z211">
            <v>33000000</v>
          </cell>
          <cell r="AA211" t="str">
            <v>10 mes(es)</v>
          </cell>
        </row>
        <row r="212">
          <cell r="C212">
            <v>182</v>
          </cell>
          <cell r="D212">
            <v>3</v>
          </cell>
          <cell r="E212">
            <v>12</v>
          </cell>
          <cell r="F212" t="str">
            <v>MODIFICACION</v>
          </cell>
          <cell r="G212" t="str">
            <v>RECURSOS PROPIOS</v>
          </cell>
          <cell r="H212">
            <v>120000</v>
          </cell>
          <cell r="I212">
            <v>4</v>
          </cell>
          <cell r="J212" t="str">
            <v>NA</v>
          </cell>
          <cell r="K212" t="str">
            <v>3-1-2-02-11 Promoción Institucional</v>
          </cell>
          <cell r="L212">
            <v>1</v>
          </cell>
          <cell r="M212" t="str">
            <v>NA</v>
          </cell>
          <cell r="N212" t="str">
            <v>NA</v>
          </cell>
          <cell r="O212" t="str">
            <v>S</v>
          </cell>
          <cell r="P212" t="str">
            <v>NA</v>
          </cell>
          <cell r="Q212" t="str">
            <v>Presar el servicio de alquiler de escenarios como salones, auditorios y espacios abiertos, apoyo logístico y servicio de catering para el desarrollo de eventos que requieran la Secretaría Distrital de Hacienda y el Concejo de Bogotá.</v>
          </cell>
          <cell r="R212">
            <v>2</v>
          </cell>
          <cell r="S212" t="str">
            <v>Relacionada con el objeto a contratar</v>
          </cell>
          <cell r="T212" t="str">
            <v>NA</v>
          </cell>
          <cell r="U212" t="str">
            <v>SEL. ABREVIADA MENOR CUANTIA</v>
          </cell>
          <cell r="V212" t="str">
            <v>PRINCIPAL</v>
          </cell>
          <cell r="W212" t="str">
            <v>NA</v>
          </cell>
          <cell r="X212" t="str">
            <v>PRESTACION DE SERVICIOS</v>
          </cell>
          <cell r="Y212">
            <v>246987000</v>
          </cell>
          <cell r="Z212">
            <v>111400000</v>
          </cell>
          <cell r="AA212" t="str">
            <v>10 mes(es)</v>
          </cell>
        </row>
        <row r="213">
          <cell r="C213">
            <v>183</v>
          </cell>
          <cell r="D213">
            <v>3</v>
          </cell>
          <cell r="E213">
            <v>80</v>
          </cell>
          <cell r="F213" t="str">
            <v>INICIAL</v>
          </cell>
          <cell r="G213" t="str">
            <v>RECURSOS PROPIOS</v>
          </cell>
          <cell r="H213">
            <v>52000</v>
          </cell>
          <cell r="I213">
            <v>1</v>
          </cell>
          <cell r="J213" t="str">
            <v>NA</v>
          </cell>
          <cell r="K213" t="str">
            <v>3-1-2-02-09-01 Capacitación Interna</v>
          </cell>
          <cell r="L213">
            <v>1</v>
          </cell>
          <cell r="M213" t="str">
            <v>NA</v>
          </cell>
          <cell r="N213" t="str">
            <v>NA</v>
          </cell>
          <cell r="O213" t="str">
            <v>S</v>
          </cell>
          <cell r="P213" t="str">
            <v>NA</v>
          </cell>
          <cell r="Q213" t="str">
            <v>Adición al contrato 140237, cuyo objeto es "Prestar el servicio de alquiler de escenarios como salones, auditorios y espacios abiertos, suscrito con Compensar</v>
          </cell>
          <cell r="R213" t="str">
            <v>NA</v>
          </cell>
          <cell r="S213" t="str">
            <v>NA</v>
          </cell>
          <cell r="T213" t="str">
            <v>NA</v>
          </cell>
          <cell r="U213" t="str">
            <v>NA</v>
          </cell>
          <cell r="V213" t="str">
            <v>MODIFICACION</v>
          </cell>
          <cell r="W213" t="str">
            <v>A</v>
          </cell>
          <cell r="X213" t="str">
            <v>PRESTACION DE SERVICIOS</v>
          </cell>
          <cell r="Y213">
            <v>32000000</v>
          </cell>
          <cell r="Z213">
            <v>15000000</v>
          </cell>
          <cell r="AA213" t="str">
            <v xml:space="preserve"> </v>
          </cell>
        </row>
        <row r="214">
          <cell r="C214">
            <v>183</v>
          </cell>
          <cell r="D214">
            <v>3</v>
          </cell>
          <cell r="E214">
            <v>80</v>
          </cell>
          <cell r="F214" t="str">
            <v>INICIAL</v>
          </cell>
          <cell r="G214" t="str">
            <v>RECURSOS PROPIOS</v>
          </cell>
          <cell r="H214">
            <v>52000</v>
          </cell>
          <cell r="I214">
            <v>1</v>
          </cell>
          <cell r="J214" t="str">
            <v>NA</v>
          </cell>
          <cell r="K214" t="str">
            <v>3-1-2-02-11 Promoción Institucional</v>
          </cell>
          <cell r="L214">
            <v>1</v>
          </cell>
          <cell r="M214" t="str">
            <v>NA</v>
          </cell>
          <cell r="N214" t="str">
            <v>NA</v>
          </cell>
          <cell r="O214" t="str">
            <v>S</v>
          </cell>
          <cell r="P214" t="str">
            <v>NA</v>
          </cell>
          <cell r="Q214" t="str">
            <v>Adición al contrato 140237, cuyo objeto es "Prestar el servicio de alquiler de escenarios como salones, auditorios y espacios abiertos, suscrito con Compensar</v>
          </cell>
          <cell r="R214" t="str">
            <v>NA</v>
          </cell>
          <cell r="S214" t="str">
            <v>NA</v>
          </cell>
          <cell r="T214" t="str">
            <v>NA</v>
          </cell>
          <cell r="U214" t="str">
            <v>NA</v>
          </cell>
          <cell r="V214" t="str">
            <v>MODIFICACION</v>
          </cell>
          <cell r="W214" t="str">
            <v>A</v>
          </cell>
          <cell r="X214" t="str">
            <v>PRESTACION DE SERVICIOS</v>
          </cell>
          <cell r="Y214">
            <v>32000000</v>
          </cell>
          <cell r="Z214">
            <v>17000000</v>
          </cell>
          <cell r="AA214" t="str">
            <v xml:space="preserve"> </v>
          </cell>
        </row>
        <row r="215">
          <cell r="C215">
            <v>184</v>
          </cell>
          <cell r="D215">
            <v>3</v>
          </cell>
          <cell r="E215">
            <v>80</v>
          </cell>
          <cell r="F215" t="str">
            <v>INICIAL</v>
          </cell>
          <cell r="G215" t="str">
            <v>RECURSOS PROPIOS</v>
          </cell>
          <cell r="H215">
            <v>52000</v>
          </cell>
          <cell r="I215">
            <v>1</v>
          </cell>
          <cell r="J215" t="str">
            <v>NA</v>
          </cell>
          <cell r="K215" t="str">
            <v>3-1-2-02-10 Bienestar e Incentivos</v>
          </cell>
          <cell r="L215">
            <v>1</v>
          </cell>
          <cell r="M215" t="str">
            <v>NA</v>
          </cell>
          <cell r="N215" t="str">
            <v>NA</v>
          </cell>
          <cell r="O215" t="str">
            <v>S</v>
          </cell>
          <cell r="P215" t="str">
            <v>NA</v>
          </cell>
          <cell r="Q215" t="str">
            <v>Adquisición de bonos navideños para los hijos de los funcionarios de la Secretaría de Hacienda y el Concejo de Bogotá</v>
          </cell>
          <cell r="R215">
            <v>2</v>
          </cell>
          <cell r="S215" t="str">
            <v>Relacionada con el objeto a contratar-</v>
          </cell>
          <cell r="T215" t="str">
            <v>NA-</v>
          </cell>
          <cell r="U215" t="str">
            <v>SEL. ABREVIADA MENOR CUANTIA</v>
          </cell>
          <cell r="V215" t="str">
            <v>PRINCIPAL</v>
          </cell>
          <cell r="W215" t="str">
            <v>NA</v>
          </cell>
          <cell r="X215" t="str">
            <v>COMPRAVENTA</v>
          </cell>
          <cell r="Y215">
            <v>117300000</v>
          </cell>
          <cell r="Z215">
            <v>77300000</v>
          </cell>
          <cell r="AA215" t="str">
            <v>1 mes(es)</v>
          </cell>
        </row>
        <row r="216">
          <cell r="C216">
            <v>184</v>
          </cell>
          <cell r="D216">
            <v>3</v>
          </cell>
          <cell r="E216">
            <v>80</v>
          </cell>
          <cell r="F216" t="str">
            <v>INICIAL</v>
          </cell>
          <cell r="G216" t="str">
            <v>RECURSOS PROPIOS</v>
          </cell>
          <cell r="H216">
            <v>120000</v>
          </cell>
          <cell r="I216">
            <v>4</v>
          </cell>
          <cell r="J216" t="str">
            <v>NA</v>
          </cell>
          <cell r="K216" t="str">
            <v>3-1-2-02-10 Bienestar e Incentivos</v>
          </cell>
          <cell r="L216">
            <v>1</v>
          </cell>
          <cell r="M216" t="str">
            <v>NA</v>
          </cell>
          <cell r="N216" t="str">
            <v>NA</v>
          </cell>
          <cell r="O216" t="str">
            <v>S</v>
          </cell>
          <cell r="P216" t="str">
            <v>NA</v>
          </cell>
          <cell r="Q216" t="str">
            <v>Adquisición de bonos navideños para los hijos de los funcionarios de la Secretaría de Hacienda y el Concejo de Bogotá</v>
          </cell>
          <cell r="R216">
            <v>2</v>
          </cell>
          <cell r="S216" t="str">
            <v>Relacionada con el objeto a contratar-</v>
          </cell>
          <cell r="T216" t="str">
            <v>NA-</v>
          </cell>
          <cell r="U216" t="str">
            <v>SEL. ABREVIADA MENOR CUANTIA</v>
          </cell>
          <cell r="V216" t="str">
            <v>PRINCIPAL</v>
          </cell>
          <cell r="W216" t="str">
            <v>NA</v>
          </cell>
          <cell r="X216" t="str">
            <v>COMPRAVENTA</v>
          </cell>
          <cell r="Y216">
            <v>117300000</v>
          </cell>
          <cell r="Z216">
            <v>40000000</v>
          </cell>
          <cell r="AA216" t="str">
            <v>1 mes(es)</v>
          </cell>
        </row>
        <row r="217">
          <cell r="C217">
            <v>185</v>
          </cell>
          <cell r="D217">
            <v>3</v>
          </cell>
          <cell r="E217">
            <v>80</v>
          </cell>
          <cell r="F217" t="str">
            <v>INICIAL</v>
          </cell>
          <cell r="G217" t="str">
            <v>RECURSOS PROPIOS</v>
          </cell>
          <cell r="H217">
            <v>52000</v>
          </cell>
          <cell r="I217">
            <v>1</v>
          </cell>
          <cell r="J217" t="str">
            <v>NA</v>
          </cell>
          <cell r="K217" t="str">
            <v>3-1-2-02-10 Bienestar e Incentivos</v>
          </cell>
          <cell r="L217">
            <v>1</v>
          </cell>
          <cell r="M217" t="str">
            <v>NA</v>
          </cell>
          <cell r="N217" t="str">
            <v>NA</v>
          </cell>
          <cell r="O217" t="str">
            <v>S</v>
          </cell>
          <cell r="P217" t="str">
            <v>NA</v>
          </cell>
          <cell r="Q217" t="str">
            <v>Desarrollar las actividades contenidas en los Planes de Bienestar e Incentivos y Mejoramiento del Clima Laboral para la Secretaría de Hacienda y el Concejo de Bogota.</v>
          </cell>
          <cell r="R217">
            <v>2</v>
          </cell>
          <cell r="S217" t="str">
            <v>Relacionada con el objeto a contratar</v>
          </cell>
          <cell r="T217" t="str">
            <v>NA</v>
          </cell>
          <cell r="U217" t="str">
            <v>LICITACION PUBLICA</v>
          </cell>
          <cell r="V217" t="str">
            <v>PRINCIPAL</v>
          </cell>
          <cell r="W217" t="str">
            <v>NA</v>
          </cell>
          <cell r="X217" t="str">
            <v>PRESTACION DE SERVICIOS</v>
          </cell>
          <cell r="Y217">
            <v>1696500000</v>
          </cell>
          <cell r="Z217">
            <v>999500000</v>
          </cell>
          <cell r="AA217" t="str">
            <v>9 mes(es)</v>
          </cell>
        </row>
        <row r="218">
          <cell r="C218">
            <v>185</v>
          </cell>
          <cell r="D218">
            <v>3</v>
          </cell>
          <cell r="E218">
            <v>80</v>
          </cell>
          <cell r="F218" t="str">
            <v>INICIAL</v>
          </cell>
          <cell r="G218" t="str">
            <v>RECURSOS PROPIOS</v>
          </cell>
          <cell r="H218">
            <v>120000</v>
          </cell>
          <cell r="I218">
            <v>4</v>
          </cell>
          <cell r="J218" t="str">
            <v>NA</v>
          </cell>
          <cell r="K218" t="str">
            <v>3-1-2-02-10 Bienestar e Incentivos</v>
          </cell>
          <cell r="L218">
            <v>1</v>
          </cell>
          <cell r="M218" t="str">
            <v>NA</v>
          </cell>
          <cell r="N218" t="str">
            <v>NA</v>
          </cell>
          <cell r="O218" t="str">
            <v>S</v>
          </cell>
          <cell r="P218" t="str">
            <v>NA</v>
          </cell>
          <cell r="Q218" t="str">
            <v>Desarrollar las actividades contenidas en los Planes de Bienestar e Incentivos y Mejoramiento del Clima Laboral para la Secretaría de Hacienda y el Concejo de Bogota.</v>
          </cell>
          <cell r="R218">
            <v>2</v>
          </cell>
          <cell r="S218" t="str">
            <v>Relacionada con el objeto a contratar</v>
          </cell>
          <cell r="T218" t="str">
            <v>NA</v>
          </cell>
          <cell r="U218" t="str">
            <v>LICITACION PUBLICA</v>
          </cell>
          <cell r="V218" t="str">
            <v>PRINCIPAL</v>
          </cell>
          <cell r="W218" t="str">
            <v>NA</v>
          </cell>
          <cell r="X218" t="str">
            <v>PRESTACION DE SERVICIOS</v>
          </cell>
          <cell r="Y218">
            <v>1696500000</v>
          </cell>
          <cell r="Z218">
            <v>697000000</v>
          </cell>
          <cell r="AA218" t="str">
            <v>9 mes(es)</v>
          </cell>
        </row>
        <row r="219">
          <cell r="C219">
            <v>186</v>
          </cell>
          <cell r="D219">
            <v>3</v>
          </cell>
          <cell r="E219">
            <v>80</v>
          </cell>
          <cell r="F219" t="str">
            <v>INICIAL</v>
          </cell>
          <cell r="G219" t="str">
            <v>RECURSOS PROPIOS</v>
          </cell>
          <cell r="H219">
            <v>52000</v>
          </cell>
          <cell r="I219">
            <v>1</v>
          </cell>
          <cell r="J219" t="str">
            <v>NA</v>
          </cell>
          <cell r="K219" t="str">
            <v>3-1-2-02-12 Salud Ocupacional</v>
          </cell>
          <cell r="L219">
            <v>1</v>
          </cell>
          <cell r="M219" t="str">
            <v>NA</v>
          </cell>
          <cell r="N219" t="str">
            <v>NA</v>
          </cell>
          <cell r="O219" t="str">
            <v>S</v>
          </cell>
          <cell r="P219" t="str">
            <v>NA</v>
          </cell>
          <cell r="Q219" t="str">
            <v>Adquisición de elementos e insumos necesarios para atender los primeros auxilios y dotar los botiquines de la Secretaría de Hacienda</v>
          </cell>
          <cell r="R219">
            <v>2</v>
          </cell>
          <cell r="S219" t="str">
            <v>Relacionada con el objeto a contratar-</v>
          </cell>
          <cell r="T219" t="str">
            <v>NA-</v>
          </cell>
          <cell r="U219" t="str">
            <v>MINIMA CUANTIA</v>
          </cell>
          <cell r="V219" t="str">
            <v>PRINCIPAL</v>
          </cell>
          <cell r="W219" t="str">
            <v>NA</v>
          </cell>
          <cell r="X219" t="str">
            <v>COMPRAVENTA</v>
          </cell>
          <cell r="Y219">
            <v>11000000</v>
          </cell>
          <cell r="Z219">
            <v>5000000</v>
          </cell>
          <cell r="AA219" t="str">
            <v>2 mes(es)</v>
          </cell>
        </row>
        <row r="220">
          <cell r="C220">
            <v>186</v>
          </cell>
          <cell r="D220">
            <v>3</v>
          </cell>
          <cell r="E220">
            <v>80</v>
          </cell>
          <cell r="F220" t="str">
            <v>INICIAL</v>
          </cell>
          <cell r="G220" t="str">
            <v>RECURSOS PROPIOS</v>
          </cell>
          <cell r="H220">
            <v>120000</v>
          </cell>
          <cell r="I220">
            <v>4</v>
          </cell>
          <cell r="J220" t="str">
            <v>NA</v>
          </cell>
          <cell r="K220" t="str">
            <v>3-1-2-02-12 Salud Ocupacional</v>
          </cell>
          <cell r="L220">
            <v>1</v>
          </cell>
          <cell r="M220" t="str">
            <v>NA</v>
          </cell>
          <cell r="N220" t="str">
            <v>NA</v>
          </cell>
          <cell r="O220" t="str">
            <v>S</v>
          </cell>
          <cell r="P220" t="str">
            <v>NA</v>
          </cell>
          <cell r="Q220" t="str">
            <v>Adquisición de elementos e insumos necesarios para atender los primeros auxilios y dotar los botiquines de la Secretaría de Hacienda</v>
          </cell>
          <cell r="R220">
            <v>2</v>
          </cell>
          <cell r="S220" t="str">
            <v>Relacionada con el objeto a contratar-</v>
          </cell>
          <cell r="T220" t="str">
            <v>NA-</v>
          </cell>
          <cell r="U220" t="str">
            <v>MINIMA CUANTIA</v>
          </cell>
          <cell r="V220" t="str">
            <v>PRINCIPAL</v>
          </cell>
          <cell r="W220" t="str">
            <v>NA</v>
          </cell>
          <cell r="X220" t="str">
            <v>COMPRAVENTA</v>
          </cell>
          <cell r="Y220">
            <v>11000000</v>
          </cell>
          <cell r="Z220">
            <v>6000000</v>
          </cell>
          <cell r="AA220" t="str">
            <v>2 mes(es)</v>
          </cell>
        </row>
        <row r="221">
          <cell r="C221">
            <v>187</v>
          </cell>
          <cell r="D221">
            <v>3</v>
          </cell>
          <cell r="E221">
            <v>13</v>
          </cell>
          <cell r="F221" t="str">
            <v>MODIFICACION</v>
          </cell>
          <cell r="G221" t="str">
            <v>RECURSOS PROPIOS</v>
          </cell>
          <cell r="H221">
            <v>52000</v>
          </cell>
          <cell r="I221">
            <v>1</v>
          </cell>
          <cell r="J221" t="str">
            <v>NA</v>
          </cell>
          <cell r="K221" t="str">
            <v>3-1-2-02-12 Salud Ocupacional</v>
          </cell>
          <cell r="L221">
            <v>1</v>
          </cell>
          <cell r="M221" t="str">
            <v>NA</v>
          </cell>
          <cell r="N221" t="str">
            <v>NA</v>
          </cell>
          <cell r="O221" t="str">
            <v>S</v>
          </cell>
          <cell r="P221" t="str">
            <v>NA</v>
          </cell>
          <cell r="Q221" t="str">
            <v>Adquisición de elementos de protección personal para los servidores de la Secretaría de Hacienda</v>
          </cell>
          <cell r="R221">
            <v>1</v>
          </cell>
          <cell r="S221" t="str">
            <v>Relacionada con el objeto a contratar-</v>
          </cell>
          <cell r="T221" t="str">
            <v>NA-</v>
          </cell>
          <cell r="U221" t="str">
            <v>MINIMA CUANTIA</v>
          </cell>
          <cell r="V221" t="str">
            <v>PRINCIPAL</v>
          </cell>
          <cell r="W221" t="str">
            <v>NA</v>
          </cell>
          <cell r="X221" t="str">
            <v>COMPRAVENTA</v>
          </cell>
          <cell r="Y221">
            <v>27997000</v>
          </cell>
          <cell r="Z221">
            <v>7797000</v>
          </cell>
          <cell r="AA221" t="str">
            <v>4 mes(es)</v>
          </cell>
        </row>
        <row r="222">
          <cell r="C222">
            <v>187</v>
          </cell>
          <cell r="D222">
            <v>3</v>
          </cell>
          <cell r="E222">
            <v>13</v>
          </cell>
          <cell r="F222" t="str">
            <v>MODIFICACION</v>
          </cell>
          <cell r="G222" t="str">
            <v>RECURSOS PROPIOS</v>
          </cell>
          <cell r="H222">
            <v>120000</v>
          </cell>
          <cell r="I222">
            <v>4</v>
          </cell>
          <cell r="J222" t="str">
            <v>NA</v>
          </cell>
          <cell r="K222" t="str">
            <v>3-1-2-02-12 Salud Ocupacional</v>
          </cell>
          <cell r="L222">
            <v>1</v>
          </cell>
          <cell r="M222" t="str">
            <v>NA</v>
          </cell>
          <cell r="N222" t="str">
            <v>NA</v>
          </cell>
          <cell r="O222" t="str">
            <v>S</v>
          </cell>
          <cell r="P222" t="str">
            <v>NA</v>
          </cell>
          <cell r="Q222" t="str">
            <v>Adquisición de elementos de protección personal para los servidores de la Secretaría de Hacienda</v>
          </cell>
          <cell r="R222">
            <v>1</v>
          </cell>
          <cell r="S222" t="str">
            <v>Relacionada con el objeto a contratar-</v>
          </cell>
          <cell r="T222" t="str">
            <v>NA-</v>
          </cell>
          <cell r="U222" t="str">
            <v>MINIMA CUANTIA</v>
          </cell>
          <cell r="V222" t="str">
            <v>PRINCIPAL</v>
          </cell>
          <cell r="W222" t="str">
            <v>NA</v>
          </cell>
          <cell r="X222" t="str">
            <v>COMPRAVENTA</v>
          </cell>
          <cell r="Y222">
            <v>27997000</v>
          </cell>
          <cell r="Z222">
            <v>20200000</v>
          </cell>
          <cell r="AA222" t="str">
            <v>4 mes(es)</v>
          </cell>
        </row>
        <row r="223">
          <cell r="C223">
            <v>188</v>
          </cell>
          <cell r="D223">
            <v>3</v>
          </cell>
          <cell r="E223">
            <v>13</v>
          </cell>
          <cell r="F223" t="str">
            <v>MODIFICACION</v>
          </cell>
          <cell r="G223" t="str">
            <v>RECURSOS PROPIOS</v>
          </cell>
          <cell r="H223">
            <v>52000</v>
          </cell>
          <cell r="I223">
            <v>1</v>
          </cell>
          <cell r="J223" t="str">
            <v>NA</v>
          </cell>
          <cell r="K223" t="str">
            <v>3-1-2-02-12 Salud Ocupacional</v>
          </cell>
          <cell r="L223">
            <v>1</v>
          </cell>
          <cell r="M223" t="str">
            <v>NA</v>
          </cell>
          <cell r="N223" t="str">
            <v>NA</v>
          </cell>
          <cell r="O223" t="str">
            <v>S</v>
          </cell>
          <cell r="P223" t="str">
            <v>NA</v>
          </cell>
          <cell r="Q223" t="str">
            <v>Realizar exámenes médicos ocupacionales y complementarios y aplicación de vacunas para los funcionarios de la Secretaría Distrital de Hacienda y del Concejo de Bogotá</v>
          </cell>
          <cell r="R223">
            <v>2</v>
          </cell>
          <cell r="S223" t="str">
            <v>Relacionada con el objeto a contratar</v>
          </cell>
          <cell r="T223" t="str">
            <v>NA</v>
          </cell>
          <cell r="U223" t="str">
            <v>SEL. ABREVIADA MENOR CUANTIA</v>
          </cell>
          <cell r="V223" t="str">
            <v>PRINCIPAL</v>
          </cell>
          <cell r="W223" t="str">
            <v>NA</v>
          </cell>
          <cell r="X223" t="str">
            <v>PRESTACION DE SERVICIOS</v>
          </cell>
          <cell r="Y223">
            <v>138673000</v>
          </cell>
          <cell r="Z223">
            <v>64673000</v>
          </cell>
          <cell r="AA223" t="str">
            <v>9 mes(es)</v>
          </cell>
        </row>
        <row r="224">
          <cell r="C224">
            <v>188</v>
          </cell>
          <cell r="D224">
            <v>3</v>
          </cell>
          <cell r="E224">
            <v>13</v>
          </cell>
          <cell r="F224" t="str">
            <v>MODIFICACION</v>
          </cell>
          <cell r="G224" t="str">
            <v>RECURSOS PROPIOS</v>
          </cell>
          <cell r="H224">
            <v>120000</v>
          </cell>
          <cell r="I224">
            <v>4</v>
          </cell>
          <cell r="J224" t="str">
            <v>NA</v>
          </cell>
          <cell r="K224" t="str">
            <v>3-1-2-02-12 Salud Ocupacional</v>
          </cell>
          <cell r="L224">
            <v>1</v>
          </cell>
          <cell r="M224" t="str">
            <v>NA</v>
          </cell>
          <cell r="N224" t="str">
            <v>NA</v>
          </cell>
          <cell r="O224" t="str">
            <v>S</v>
          </cell>
          <cell r="P224" t="str">
            <v>NA</v>
          </cell>
          <cell r="Q224" t="str">
            <v>Realizar exámenes médicos ocupacionales y complementarios y aplicación de vacunas para los funcionarios de la Secretaría Distrital de Hacienda y del Concejo de Bogotá</v>
          </cell>
          <cell r="R224">
            <v>2</v>
          </cell>
          <cell r="S224" t="str">
            <v>Relacionada con el objeto a contratar</v>
          </cell>
          <cell r="T224" t="str">
            <v>NA</v>
          </cell>
          <cell r="U224" t="str">
            <v>SEL. ABREVIADA MENOR CUANTIA</v>
          </cell>
          <cell r="V224" t="str">
            <v>PRINCIPAL</v>
          </cell>
          <cell r="W224" t="str">
            <v>NA</v>
          </cell>
          <cell r="X224" t="str">
            <v>PRESTACION DE SERVICIOS</v>
          </cell>
          <cell r="Y224">
            <v>138673000</v>
          </cell>
          <cell r="Z224">
            <v>74000000</v>
          </cell>
          <cell r="AA224" t="str">
            <v>9 mes(es)</v>
          </cell>
        </row>
        <row r="225">
          <cell r="C225">
            <v>189</v>
          </cell>
          <cell r="D225">
            <v>3</v>
          </cell>
          <cell r="E225">
            <v>80</v>
          </cell>
          <cell r="F225" t="str">
            <v>INICIAL</v>
          </cell>
          <cell r="G225" t="str">
            <v>RECURSOS PROPIOS</v>
          </cell>
          <cell r="H225">
            <v>51000</v>
          </cell>
          <cell r="I225">
            <v>1</v>
          </cell>
          <cell r="J225" t="str">
            <v>NA</v>
          </cell>
          <cell r="K225" t="str">
            <v>3-1-2-02-05-02 Mantenimiento C.A.D.</v>
          </cell>
          <cell r="L225">
            <v>1</v>
          </cell>
          <cell r="M225" t="str">
            <v>NA</v>
          </cell>
          <cell r="N225" t="str">
            <v>NA</v>
          </cell>
          <cell r="O225" t="str">
            <v>S</v>
          </cell>
          <cell r="P225" t="str">
            <v>NA</v>
          </cell>
          <cell r="Q225" t="str">
            <v>Prestar los servicios de revisión, mantenimiento y recarga de extintores y  gabinetes contra incendio con suministro de repuestos y otros elementos de seguridad para la Secretaría Distrital de Hacienda, el CAD y el Concejo de Bogotá.</v>
          </cell>
          <cell r="R225">
            <v>1</v>
          </cell>
          <cell r="S225" t="str">
            <v>Relacionada con el objeto a contratar</v>
          </cell>
          <cell r="T225" t="str">
            <v>NA</v>
          </cell>
          <cell r="U225" t="str">
            <v>MINIMA CUANTIA</v>
          </cell>
          <cell r="V225" t="str">
            <v>PRINCIPAL</v>
          </cell>
          <cell r="W225" t="str">
            <v>NA</v>
          </cell>
          <cell r="X225" t="str">
            <v>PRESTACION DE SERVICIOS</v>
          </cell>
          <cell r="Y225">
            <v>10966000</v>
          </cell>
          <cell r="Z225">
            <v>2898000</v>
          </cell>
          <cell r="AA225" t="str">
            <v>3 mes(es)</v>
          </cell>
        </row>
        <row r="226">
          <cell r="C226">
            <v>189</v>
          </cell>
          <cell r="D226">
            <v>3</v>
          </cell>
          <cell r="E226">
            <v>80</v>
          </cell>
          <cell r="F226" t="str">
            <v>INICIAL</v>
          </cell>
          <cell r="G226" t="str">
            <v>RECURSOS PROPIOS</v>
          </cell>
          <cell r="H226">
            <v>120000</v>
          </cell>
          <cell r="I226">
            <v>1</v>
          </cell>
          <cell r="J226" t="str">
            <v>NA</v>
          </cell>
          <cell r="K226" t="str">
            <v>3-1-2-02-12 Salud Ocupacional</v>
          </cell>
          <cell r="L226">
            <v>1</v>
          </cell>
          <cell r="M226" t="str">
            <v>NA</v>
          </cell>
          <cell r="N226" t="str">
            <v>NA</v>
          </cell>
          <cell r="O226" t="str">
            <v>S</v>
          </cell>
          <cell r="P226" t="str">
            <v>NA</v>
          </cell>
          <cell r="Q226" t="str">
            <v>Prestar los servicios de revisión, mantenimiento y recarga de extintores y  gabinetes contra incendio con suministro de repuestos y otros elementos de seguridad para la Secretaría Distrital de Hacienda, el CAD y el Concejo de Bogotá.</v>
          </cell>
          <cell r="R226">
            <v>1</v>
          </cell>
          <cell r="S226" t="str">
            <v>Relacionada con el objeto a contratar</v>
          </cell>
          <cell r="T226" t="str">
            <v>NA</v>
          </cell>
          <cell r="U226" t="str">
            <v>MINIMA CUANTIA</v>
          </cell>
          <cell r="V226" t="str">
            <v>PRINCIPAL</v>
          </cell>
          <cell r="W226" t="str">
            <v>NA</v>
          </cell>
          <cell r="X226" t="str">
            <v>PRESTACION DE SERVICIOS</v>
          </cell>
          <cell r="Y226">
            <v>10966000</v>
          </cell>
          <cell r="Z226">
            <v>4300000</v>
          </cell>
          <cell r="AA226" t="str">
            <v>3 mes(es)</v>
          </cell>
        </row>
        <row r="227">
          <cell r="C227">
            <v>189</v>
          </cell>
          <cell r="D227">
            <v>3</v>
          </cell>
          <cell r="E227">
            <v>80</v>
          </cell>
          <cell r="F227" t="str">
            <v>INICIAL</v>
          </cell>
          <cell r="G227" t="str">
            <v>RECURSOS PROPIOS</v>
          </cell>
          <cell r="H227">
            <v>51000</v>
          </cell>
          <cell r="I227">
            <v>1</v>
          </cell>
          <cell r="J227" t="str">
            <v>NA</v>
          </cell>
          <cell r="K227" t="str">
            <v>3-1-2-02-12 Salud Ocupacional</v>
          </cell>
          <cell r="L227">
            <v>1</v>
          </cell>
          <cell r="M227" t="str">
            <v>NA</v>
          </cell>
          <cell r="N227" t="str">
            <v>NA</v>
          </cell>
          <cell r="O227" t="str">
            <v>S</v>
          </cell>
          <cell r="P227" t="str">
            <v>NA</v>
          </cell>
          <cell r="Q227" t="str">
            <v>Prestar los servicios de revisión, mantenimiento y recarga de extintores y  gabinetes contra incendio con suministro de repuestos y otros elementos de seguridad para la Secretaría Distrital de Hacienda, el CAD y el Concejo de Bogotá.</v>
          </cell>
          <cell r="R227">
            <v>1</v>
          </cell>
          <cell r="S227" t="str">
            <v>Relacionada con el objeto a contratar</v>
          </cell>
          <cell r="T227" t="str">
            <v>NA</v>
          </cell>
          <cell r="U227" t="str">
            <v>MINIMA CUANTIA</v>
          </cell>
          <cell r="V227" t="str">
            <v>PRINCIPAL</v>
          </cell>
          <cell r="W227" t="str">
            <v>NA</v>
          </cell>
          <cell r="X227" t="str">
            <v>PRESTACION DE SERVICIOS</v>
          </cell>
          <cell r="Y227">
            <v>10966000</v>
          </cell>
          <cell r="Z227">
            <v>3768000</v>
          </cell>
          <cell r="AA227" t="str">
            <v>3 mes(es)</v>
          </cell>
        </row>
        <row r="228">
          <cell r="C228">
            <v>190</v>
          </cell>
          <cell r="D228">
            <v>3</v>
          </cell>
          <cell r="E228">
            <v>5</v>
          </cell>
          <cell r="F228" t="str">
            <v>MODIFICACION</v>
          </cell>
          <cell r="G228" t="str">
            <v>RECURSOS PROPIOS</v>
          </cell>
          <cell r="H228">
            <v>51000</v>
          </cell>
          <cell r="I228">
            <v>1</v>
          </cell>
          <cell r="J228" t="str">
            <v>NA</v>
          </cell>
          <cell r="K228" t="str">
            <v>3-3-1-14-03-31-0714-235235 - Fortalecimiento institucional de la Secretaria Distrital de Hacienda</v>
          </cell>
          <cell r="L228">
            <v>1</v>
          </cell>
          <cell r="M228" t="str">
            <v>1. Fortalecer la infraestructura física de la SDH y el CAD</v>
          </cell>
          <cell r="N228" t="str">
            <v>1.4. Apoyo profesional a la DGC en los aspectos relacionados con el Fortalecimiento de la Infraestructura Física de la SDH y el CAD</v>
          </cell>
          <cell r="O228" t="str">
            <v>S</v>
          </cell>
          <cell r="P228" t="str">
            <v>NA</v>
          </cell>
          <cell r="Q228" t="str">
            <v>Prestar apoyo a la Subdirección Administrativa de la Secretaría Distrital de Hacienda en la coordinación técnica de los proyectos relacionados con la  intervención de la infraestructura física de la Secretaría Distrital de Hacienda y el Centro Administrat</v>
          </cell>
          <cell r="R228">
            <v>1</v>
          </cell>
          <cell r="S228" t="str">
            <v>Experiencia general mínima de seis (6) años de experiencia relacionada con actividades de infraestructura mínimo dos (2) años.  Se acepta la acreditación de ocho (8) años de experiencia profesional en caso de no contar con título de especialización.</v>
          </cell>
          <cell r="T228" t="str">
            <v>profesional en Arquitectura o Ingeniería Civil, con título de especialización</v>
          </cell>
          <cell r="U228" t="str">
            <v>CONTRATACION DIRECTA</v>
          </cell>
          <cell r="V228" t="str">
            <v>PRINCIPAL</v>
          </cell>
          <cell r="W228" t="str">
            <v>NA</v>
          </cell>
          <cell r="X228" t="str">
            <v>PRESTACION DE SERVICIOS1</v>
          </cell>
          <cell r="Y228">
            <v>63036000</v>
          </cell>
          <cell r="Z228">
            <v>63036000</v>
          </cell>
          <cell r="AA228" t="str">
            <v>10 mes(es)</v>
          </cell>
        </row>
        <row r="229">
          <cell r="C229">
            <v>191</v>
          </cell>
          <cell r="D229">
            <v>3</v>
          </cell>
          <cell r="E229">
            <v>80</v>
          </cell>
          <cell r="F229" t="str">
            <v>INICIAL</v>
          </cell>
          <cell r="G229" t="str">
            <v>RECURSOS PROPIOS</v>
          </cell>
          <cell r="H229">
            <v>51000</v>
          </cell>
          <cell r="I229">
            <v>1</v>
          </cell>
          <cell r="J229" t="str">
            <v>NA</v>
          </cell>
          <cell r="K229" t="str">
            <v>3-3-1-14-03-31-0714-235235 - Fortalecimiento institucional de la Secretaria Distrital de Hacienda</v>
          </cell>
          <cell r="L229">
            <v>1</v>
          </cell>
          <cell r="M229" t="str">
            <v>1. Fortalecer la infraestructura física de la SDH y el CAD</v>
          </cell>
          <cell r="N229" t="str">
            <v>1.2. Arrendamiento de una sede para la operación de la DIB</v>
          </cell>
          <cell r="O229" t="str">
            <v>S</v>
          </cell>
          <cell r="P229" t="str">
            <v>NA</v>
          </cell>
          <cell r="Q229" t="str">
            <v>Arriendo de un inmueble en la ciudad de Bogotá, D.C., acorde con las áreas planteadas en el alcance del objeto; así como los bienes muebles, usos conexos y servicios, de conformidad con las condiciones esenciales previstas en los estudios previos, en el a</v>
          </cell>
          <cell r="R229">
            <v>1</v>
          </cell>
          <cell r="S229" t="str">
            <v>NA</v>
          </cell>
          <cell r="T229" t="str">
            <v>NA</v>
          </cell>
          <cell r="U229" t="str">
            <v>CONTRATACION DIRECTA</v>
          </cell>
          <cell r="V229" t="str">
            <v>PRINCIPAL</v>
          </cell>
          <cell r="W229" t="str">
            <v>NA</v>
          </cell>
          <cell r="X229" t="str">
            <v>ARRENDAMIENTO</v>
          </cell>
          <cell r="Y229">
            <v>4256600000</v>
          </cell>
          <cell r="Z229">
            <v>4256600000</v>
          </cell>
          <cell r="AA229" t="str">
            <v>12 mes(es)</v>
          </cell>
        </row>
        <row r="230">
          <cell r="C230">
            <v>192</v>
          </cell>
          <cell r="D230">
            <v>3</v>
          </cell>
          <cell r="E230">
            <v>80</v>
          </cell>
          <cell r="F230" t="str">
            <v>INICIAL</v>
          </cell>
          <cell r="G230" t="str">
            <v>RECURSOS PROPIOS</v>
          </cell>
          <cell r="H230">
            <v>51000</v>
          </cell>
          <cell r="I230">
            <v>1</v>
          </cell>
          <cell r="J230" t="str">
            <v>NA</v>
          </cell>
          <cell r="K230" t="str">
            <v>3-3-1-14-03-31-0714-235235 - Fortalecimiento institucional de la Secretaria Distrital de Hacienda</v>
          </cell>
          <cell r="L230">
            <v>1</v>
          </cell>
          <cell r="M230" t="str">
            <v>4. Fortalecer Competencias, Capacidades y Conocimientos del Personal de la SDH</v>
          </cell>
          <cell r="N230" t="str">
            <v>4.1. Fortalecimiento del Fondo para Administración de Recursos de Capacitación Institucional "Fondo SDH-ICETEX"</v>
          </cell>
          <cell r="O230" t="str">
            <v>S</v>
          </cell>
          <cell r="P230" t="str">
            <v>NA</v>
          </cell>
          <cell r="Q230" t="str">
            <v>Adición al Fondo para Administración de Recursos de Capacitación Institucional "Fondo SDH-ICETEX" constituido a través del Convenio 0552-2010 (SDH 050000-447-0-2010)-</v>
          </cell>
          <cell r="R230">
            <v>1</v>
          </cell>
          <cell r="S230" t="str">
            <v>NA</v>
          </cell>
          <cell r="T230" t="str">
            <v>NA</v>
          </cell>
          <cell r="U230" t="str">
            <v>NA</v>
          </cell>
          <cell r="V230" t="str">
            <v>MODIFICACION</v>
          </cell>
          <cell r="W230" t="str">
            <v>A</v>
          </cell>
          <cell r="X230" t="str">
            <v>CONVENIO</v>
          </cell>
          <cell r="Y230">
            <v>125000000</v>
          </cell>
          <cell r="Z230">
            <v>125000000</v>
          </cell>
          <cell r="AA230" t="str">
            <v xml:space="preserve"> </v>
          </cell>
        </row>
        <row r="231">
          <cell r="C231">
            <v>193</v>
          </cell>
          <cell r="D231">
            <v>3</v>
          </cell>
          <cell r="E231">
            <v>80</v>
          </cell>
          <cell r="F231" t="str">
            <v>INICIAL</v>
          </cell>
          <cell r="G231" t="str">
            <v>RECURSOS PROPIOS</v>
          </cell>
          <cell r="H231">
            <v>51000</v>
          </cell>
          <cell r="I231">
            <v>1</v>
          </cell>
          <cell r="J231" t="str">
            <v>NA</v>
          </cell>
          <cell r="K231" t="str">
            <v>3-3-1-14-03-31-0714-235235 - Fortalecimiento institucional de la Secretaria Distrital de Hacienda</v>
          </cell>
          <cell r="L231">
            <v>1</v>
          </cell>
          <cell r="M231" t="str">
            <v>2. Fortalecer el Sistema de Gestión Documental de la SDH</v>
          </cell>
          <cell r="N231" t="str">
            <v>2.2. Dotación de elementos para fortalecer el Sistema de Gestión Documental de la SDH</v>
          </cell>
          <cell r="O231" t="str">
            <v>S</v>
          </cell>
          <cell r="P231" t="str">
            <v>NA</v>
          </cell>
          <cell r="Q231" t="str">
            <v>Adquisición de datalogers para los depósitos de archivo de la SDH-</v>
          </cell>
          <cell r="R231">
            <v>1</v>
          </cell>
          <cell r="S231" t="str">
            <v>Relacionada con el objeto a contratar-</v>
          </cell>
          <cell r="T231" t="str">
            <v>NA-</v>
          </cell>
          <cell r="U231" t="str">
            <v>MINIMA CUANTIA</v>
          </cell>
          <cell r="V231" t="str">
            <v>PRINCIPAL</v>
          </cell>
          <cell r="W231" t="str">
            <v>NA</v>
          </cell>
          <cell r="X231" t="str">
            <v>COMPRAVENTA</v>
          </cell>
          <cell r="Y231">
            <v>35000000</v>
          </cell>
          <cell r="Z231">
            <v>35000000</v>
          </cell>
          <cell r="AA231" t="str">
            <v>2 mes(es)</v>
          </cell>
        </row>
        <row r="232">
          <cell r="C232">
            <v>194</v>
          </cell>
          <cell r="D232">
            <v>3</v>
          </cell>
          <cell r="E232">
            <v>80</v>
          </cell>
          <cell r="F232" t="str">
            <v>INICIAL</v>
          </cell>
          <cell r="G232" t="str">
            <v>RECURSOS PROPIOS</v>
          </cell>
          <cell r="H232">
            <v>51000</v>
          </cell>
          <cell r="I232">
            <v>1</v>
          </cell>
          <cell r="J232" t="str">
            <v>NA</v>
          </cell>
          <cell r="K232" t="str">
            <v>3-3-1-14-03-31-0714-235235 - Fortalecimiento institucional de la Secretaria Distrital de Hacienda</v>
          </cell>
          <cell r="L232">
            <v>1</v>
          </cell>
          <cell r="M232" t="str">
            <v>2. Fortalecer el Sistema de Gestión Documental de la SDH</v>
          </cell>
          <cell r="N232" t="str">
            <v>2.2. Dotación de elementos para fortalecer el Sistema de Gestión Documental de la SDH</v>
          </cell>
          <cell r="O232" t="str">
            <v>S</v>
          </cell>
          <cell r="P232" t="str">
            <v>NA</v>
          </cell>
          <cell r="Q232" t="str">
            <v>Adquisición de equipos de control de seguridad y acceso para los depósitos de archivo de la SDH-</v>
          </cell>
          <cell r="R232">
            <v>1</v>
          </cell>
          <cell r="S232" t="str">
            <v>Relacionada con el objeto a contratar-</v>
          </cell>
          <cell r="T232" t="str">
            <v>NA-</v>
          </cell>
          <cell r="U232" t="str">
            <v>MINIMA CUANTIA</v>
          </cell>
          <cell r="V232" t="str">
            <v>PRINCIPAL</v>
          </cell>
          <cell r="W232" t="str">
            <v>NA</v>
          </cell>
          <cell r="X232" t="str">
            <v>COMPRAVENTA</v>
          </cell>
          <cell r="Y232">
            <v>10000000</v>
          </cell>
          <cell r="Z232">
            <v>10000000</v>
          </cell>
          <cell r="AA232" t="str">
            <v>2 mes(es)</v>
          </cell>
        </row>
        <row r="233">
          <cell r="C233">
            <v>195</v>
          </cell>
          <cell r="D233">
            <v>3</v>
          </cell>
          <cell r="E233">
            <v>80</v>
          </cell>
          <cell r="F233" t="str">
            <v>INICIAL</v>
          </cell>
          <cell r="G233" t="str">
            <v>RECURSOS PROPIOS</v>
          </cell>
          <cell r="H233">
            <v>51000</v>
          </cell>
          <cell r="I233">
            <v>1</v>
          </cell>
          <cell r="J233" t="str">
            <v>NA</v>
          </cell>
          <cell r="K233" t="str">
            <v>3-3-1-14-03-31-0714-235235 - Fortalecimiento institucional de la Secretaria Distrital de Hacienda</v>
          </cell>
          <cell r="L233">
            <v>1</v>
          </cell>
          <cell r="M233" t="str">
            <v>2. Fortalecer el Sistema de Gestión Documental de la SDH</v>
          </cell>
          <cell r="N233" t="str">
            <v>2.1. Definición e Implementación del Modelo de Gestión Documental de la SDH</v>
          </cell>
          <cell r="O233" t="str">
            <v>S</v>
          </cell>
          <cell r="P233" t="str">
            <v>NA</v>
          </cell>
          <cell r="Q233" t="str">
            <v>Prestar los servicios para fortalecer capacidades en el manejo de herramientas fisicas y tecnologicas que permitan la implementacion del Programa de Gestión Documental de la Secretaría Distrital de Hacienda-</v>
          </cell>
          <cell r="R233">
            <v>1</v>
          </cell>
          <cell r="S233" t="str">
            <v>Relacionada con el objeto a contratar-</v>
          </cell>
          <cell r="T233" t="str">
            <v>NA-</v>
          </cell>
          <cell r="U233" t="str">
            <v>MINIMA CUANTIA</v>
          </cell>
          <cell r="V233" t="str">
            <v>PRINCIPAL</v>
          </cell>
          <cell r="W233" t="str">
            <v>NA</v>
          </cell>
          <cell r="X233" t="str">
            <v>PRESTACION DE SERVICIOS</v>
          </cell>
          <cell r="Y233">
            <v>50000000</v>
          </cell>
          <cell r="Z233">
            <v>50000000</v>
          </cell>
          <cell r="AA233" t="str">
            <v>4 mes(es)</v>
          </cell>
        </row>
        <row r="234">
          <cell r="C234">
            <v>196</v>
          </cell>
          <cell r="D234">
            <v>3</v>
          </cell>
          <cell r="E234">
            <v>80</v>
          </cell>
          <cell r="F234" t="str">
            <v>INICIAL</v>
          </cell>
          <cell r="G234" t="str">
            <v>RECURSOS PROPIOS</v>
          </cell>
          <cell r="H234">
            <v>51000</v>
          </cell>
          <cell r="I234">
            <v>1</v>
          </cell>
          <cell r="J234" t="str">
            <v>NA</v>
          </cell>
          <cell r="K234" t="str">
            <v>3-3-1-14-03-31-0714-235235 - Fortalecimiento institucional de la Secretaria Distrital de Hacienda</v>
          </cell>
          <cell r="L234">
            <v>1</v>
          </cell>
          <cell r="M234" t="str">
            <v>2. Fortalecer el Sistema de Gestión Documental de la SDH--</v>
          </cell>
          <cell r="N234" t="str">
            <v>2.1. Definición e Implementación del Modelo de Gestión Documental de la SDH-</v>
          </cell>
          <cell r="O234" t="str">
            <v>S</v>
          </cell>
          <cell r="P234" t="str">
            <v>NA</v>
          </cell>
          <cell r="Q234" t="str">
            <v>Prestar los servicios para la ampliación de la capacidad de almacenamiento del archivo de gestión de la Dirección Distrital de Impuestos de Bogotá</v>
          </cell>
          <cell r="R234">
            <v>1</v>
          </cell>
          <cell r="S234" t="str">
            <v>Relacionada con el objeto a contratar-</v>
          </cell>
          <cell r="T234" t="str">
            <v>NA-</v>
          </cell>
          <cell r="U234" t="str">
            <v>SEL. ABREVIADA SUB.INVERSA</v>
          </cell>
          <cell r="V234" t="str">
            <v>PRINCIPAL</v>
          </cell>
          <cell r="W234" t="str">
            <v>NA</v>
          </cell>
          <cell r="X234" t="str">
            <v>PRESTACION DE SERVICIOS</v>
          </cell>
          <cell r="Y234">
            <v>180000000</v>
          </cell>
          <cell r="Z234">
            <v>180000000</v>
          </cell>
          <cell r="AA234" t="str">
            <v>12 mes(es)</v>
          </cell>
        </row>
        <row r="235">
          <cell r="C235">
            <v>197</v>
          </cell>
          <cell r="D235">
            <v>3</v>
          </cell>
          <cell r="E235">
            <v>80</v>
          </cell>
          <cell r="F235" t="str">
            <v>INICIAL</v>
          </cell>
          <cell r="G235" t="str">
            <v>RECURSOS PROPIOS</v>
          </cell>
          <cell r="H235">
            <v>51000</v>
          </cell>
          <cell r="I235">
            <v>1</v>
          </cell>
          <cell r="J235" t="str">
            <v>NA</v>
          </cell>
          <cell r="K235" t="str">
            <v>3-3-1-14-03-31-0714-235235 - Fortalecimiento institucional de la Secretaria Distrital de Hacienda</v>
          </cell>
          <cell r="L235">
            <v>1</v>
          </cell>
          <cell r="M235" t="str">
            <v>2. Fortalecer el Sistema de Gestión Documental de la SDH</v>
          </cell>
          <cell r="N235" t="str">
            <v>2.1. Definición e Implementación del Modelo de Gestión Documental de la SDH</v>
          </cell>
          <cell r="O235" t="str">
            <v>S</v>
          </cell>
          <cell r="P235" t="str">
            <v>NA</v>
          </cell>
          <cell r="Q235" t="str">
            <v>Prestar los servicios para la migración de imágenes e índices a la plataforma de la herramienta Web Content Center (WCC)-</v>
          </cell>
          <cell r="R235">
            <v>5</v>
          </cell>
          <cell r="S235" t="str">
            <v>18 meses de experiencia  específica en procesos de Gestión Documental-</v>
          </cell>
          <cell r="T235" t="str">
            <v>Técnico o Tecnólogo en Gestión Documental, Sistemas de Información o estudiante de mínimo sexto semestre en Ingeniería de Sistemas, Ciencias de la Información, Sistemas de Información Archivística y Bibliotecología o carreras afines-</v>
          </cell>
          <cell r="U235" t="str">
            <v>CONTRATACION DIRECTA</v>
          </cell>
          <cell r="V235" t="str">
            <v>PRINCIPAL</v>
          </cell>
          <cell r="W235" t="str">
            <v>NA</v>
          </cell>
          <cell r="X235" t="str">
            <v>PRESTACION DE SERVICIOS</v>
          </cell>
          <cell r="Y235">
            <v>60000000</v>
          </cell>
          <cell r="Z235">
            <v>60000000</v>
          </cell>
          <cell r="AA235" t="str">
            <v>5 mes(es)</v>
          </cell>
        </row>
        <row r="236">
          <cell r="C236">
            <v>198</v>
          </cell>
          <cell r="D236">
            <v>3</v>
          </cell>
          <cell r="E236">
            <v>80</v>
          </cell>
          <cell r="F236" t="str">
            <v>INICIAL</v>
          </cell>
          <cell r="G236" t="str">
            <v>RECURSOS PROPIOS</v>
          </cell>
          <cell r="H236">
            <v>51000</v>
          </cell>
          <cell r="I236">
            <v>1</v>
          </cell>
          <cell r="J236" t="str">
            <v>NA</v>
          </cell>
          <cell r="K236" t="str">
            <v>3-3-1-14-03-31-0714-235235 - Fortalecimiento institucional de la Secretaria Distrital de Hacienda</v>
          </cell>
          <cell r="L236">
            <v>1</v>
          </cell>
          <cell r="M236" t="str">
            <v>2. Fortalecer el Sistema de Gestión Documental de la SDH</v>
          </cell>
          <cell r="N236" t="str">
            <v>2.3. Estandarización de los instrumentos archivísticos que normalizan la Gestión Documental de la SDH</v>
          </cell>
          <cell r="O236" t="str">
            <v>S</v>
          </cell>
          <cell r="P236" t="str">
            <v>NA</v>
          </cell>
          <cell r="Q236" t="str">
            <v>Prestar servicios para la actualización y consolidación de inventarios documentales de la SDH</v>
          </cell>
          <cell r="R236">
            <v>1</v>
          </cell>
          <cell r="S236" t="str">
            <v>Relacionada con el objeto a contratar-</v>
          </cell>
          <cell r="T236" t="str">
            <v>NA-</v>
          </cell>
          <cell r="U236" t="str">
            <v>SEL. ABREVIADA SUB.INVERSA</v>
          </cell>
          <cell r="V236" t="str">
            <v>PRINCIPAL</v>
          </cell>
          <cell r="W236" t="str">
            <v>NA</v>
          </cell>
          <cell r="X236" t="str">
            <v>PRESTACION DE SERVICIOS</v>
          </cell>
          <cell r="Y236">
            <v>325000000</v>
          </cell>
          <cell r="Z236">
            <v>325000000</v>
          </cell>
          <cell r="AA236" t="str">
            <v>6 mes(es)</v>
          </cell>
        </row>
        <row r="237">
          <cell r="C237">
            <v>199</v>
          </cell>
          <cell r="D237">
            <v>3</v>
          </cell>
          <cell r="E237">
            <v>80</v>
          </cell>
          <cell r="F237" t="str">
            <v>INICIAL</v>
          </cell>
          <cell r="G237" t="str">
            <v>RECURSOS PROPIOS</v>
          </cell>
          <cell r="H237">
            <v>51000</v>
          </cell>
          <cell r="I237">
            <v>1</v>
          </cell>
          <cell r="J237" t="str">
            <v>NA</v>
          </cell>
          <cell r="K237" t="str">
            <v>3-3-1-14-03-31-0714-235235 - Fortalecimiento institucional de la Secretaria Distrital de Hacienda</v>
          </cell>
          <cell r="L237">
            <v>1</v>
          </cell>
          <cell r="M237" t="str">
            <v>2. Fortalecer el Sistema de Gestión Documental de la SDH</v>
          </cell>
          <cell r="N237" t="str">
            <v>2.3. Estandarización de los instrumentos archivísticos que normalizan la Gestión Documental de la SDH</v>
          </cell>
          <cell r="O237" t="str">
            <v>S</v>
          </cell>
          <cell r="P237" t="str">
            <v>NA</v>
          </cell>
          <cell r="Q237" t="str">
            <v>Realizar la interventoría para la prestación de servicios para la actualización y consolidación de inventarios documentales de la SDH-</v>
          </cell>
          <cell r="R237">
            <v>1</v>
          </cell>
          <cell r="S237" t="str">
            <v>Relacionada con el objeto a contratar-</v>
          </cell>
          <cell r="T237" t="str">
            <v>NA-</v>
          </cell>
          <cell r="U237" t="str">
            <v>MINIMA CUANTIA</v>
          </cell>
          <cell r="V237" t="str">
            <v>PRINCIPAL</v>
          </cell>
          <cell r="W237" t="str">
            <v>NA</v>
          </cell>
          <cell r="X237" t="str">
            <v>CONSULTORIA</v>
          </cell>
          <cell r="Y237">
            <v>32500000</v>
          </cell>
          <cell r="Z237">
            <v>32500000</v>
          </cell>
          <cell r="AA237" t="str">
            <v>7 mes(es)</v>
          </cell>
        </row>
        <row r="238">
          <cell r="C238">
            <v>200</v>
          </cell>
          <cell r="D238">
            <v>3</v>
          </cell>
          <cell r="E238">
            <v>80</v>
          </cell>
          <cell r="F238" t="str">
            <v>INICIAL</v>
          </cell>
          <cell r="G238" t="str">
            <v>RECURSOS PROPIOS</v>
          </cell>
          <cell r="H238">
            <v>51000</v>
          </cell>
          <cell r="I238">
            <v>1</v>
          </cell>
          <cell r="J238" t="str">
            <v>NA</v>
          </cell>
          <cell r="K238" t="str">
            <v>3-3-1-14-03-31-0714-235235 - Fortalecimiento institucional de la Secretaria Distrital de Hacienda</v>
          </cell>
          <cell r="L238">
            <v>1</v>
          </cell>
          <cell r="M238" t="str">
            <v>1. Fortalecer la infraestructura física de la SDH y el CAD</v>
          </cell>
          <cell r="N238" t="str">
            <v>1.3 Adecuación de la áreas físicas de la SDH y el CAD</v>
          </cell>
          <cell r="O238" t="str">
            <v>S</v>
          </cell>
          <cell r="P238" t="str">
            <v>NA</v>
          </cell>
          <cell r="Q238" t="str">
            <v>Realizar la intervención del Sistema Eléctrico de las sedes de la Secretaría Distrital de Hacienda y del  Centro Administrativo Distrital-</v>
          </cell>
          <cell r="R238">
            <v>1</v>
          </cell>
          <cell r="S238" t="str">
            <v>Relacionada con el objeto a contratar</v>
          </cell>
          <cell r="T238" t="str">
            <v>NA-</v>
          </cell>
          <cell r="U238" t="str">
            <v>LICITACION PUBLICA</v>
          </cell>
          <cell r="V238" t="str">
            <v>PRINCIPAL</v>
          </cell>
          <cell r="W238" t="str">
            <v>NA</v>
          </cell>
          <cell r="X238" t="str">
            <v>OBRA</v>
          </cell>
          <cell r="Y238">
            <v>2018115900</v>
          </cell>
          <cell r="Z238">
            <v>2018115900</v>
          </cell>
          <cell r="AA238" t="str">
            <v>4 mes(es)</v>
          </cell>
        </row>
        <row r="239">
          <cell r="C239">
            <v>201</v>
          </cell>
          <cell r="D239">
            <v>3</v>
          </cell>
          <cell r="E239">
            <v>80</v>
          </cell>
          <cell r="F239" t="str">
            <v>INICIAL</v>
          </cell>
          <cell r="G239" t="str">
            <v>RECURSOS PROPIOS</v>
          </cell>
          <cell r="H239">
            <v>51000</v>
          </cell>
          <cell r="I239">
            <v>1</v>
          </cell>
          <cell r="J239" t="str">
            <v>NA</v>
          </cell>
          <cell r="K239" t="str">
            <v>3-3-1-14-03-31-0714-235235 - Fortalecimiento institucional de la Secretaria Distrital de Hacienda</v>
          </cell>
          <cell r="L239">
            <v>1</v>
          </cell>
          <cell r="M239" t="str">
            <v>1. Fortalecer la infraestructura física de la SDH y el CAD</v>
          </cell>
          <cell r="N239" t="str">
            <v>1.3. Adecuación de las áreas físicas de la SDH y el CAD</v>
          </cell>
          <cell r="O239" t="str">
            <v>S</v>
          </cell>
          <cell r="P239" t="str">
            <v>NA</v>
          </cell>
          <cell r="Q239" t="str">
            <v>Realizar la interventoría para la intervención del Sistema Eléctrico de las sedes de la Secretaría Distrital de Hacienda y del  Centro Administrativo Distrital</v>
          </cell>
          <cell r="R239">
            <v>1</v>
          </cell>
          <cell r="S239" t="str">
            <v>Relacionada con el objeto a contratar</v>
          </cell>
          <cell r="T239" t="str">
            <v>NA-</v>
          </cell>
          <cell r="U239" t="str">
            <v>CONCURSO DE MERITOS</v>
          </cell>
          <cell r="V239" t="str">
            <v>PRINCIPAL</v>
          </cell>
          <cell r="W239" t="str">
            <v>NA</v>
          </cell>
          <cell r="X239" t="str">
            <v>CONSULTORIA</v>
          </cell>
          <cell r="Y239">
            <v>201811600</v>
          </cell>
          <cell r="Z239">
            <v>201811600</v>
          </cell>
          <cell r="AA239" t="str">
            <v>5 mes(es)</v>
          </cell>
        </row>
        <row r="240">
          <cell r="C240">
            <v>202</v>
          </cell>
          <cell r="D240">
            <v>3</v>
          </cell>
          <cell r="E240">
            <v>80</v>
          </cell>
          <cell r="F240" t="str">
            <v>INICIAL</v>
          </cell>
          <cell r="G240" t="str">
            <v>RECURSOS PROPIOS</v>
          </cell>
          <cell r="H240">
            <v>51000</v>
          </cell>
          <cell r="I240">
            <v>1</v>
          </cell>
          <cell r="J240" t="str">
            <v>NA</v>
          </cell>
          <cell r="K240" t="str">
            <v>3-3-1-14-03-31-0714-235235 - Fortalecimiento institucional de la Secretaria Distrital de Hacienda</v>
          </cell>
          <cell r="L240">
            <v>1</v>
          </cell>
          <cell r="M240" t="str">
            <v>2. Fortalecer el Sistema de Gestión Documental de la SDH</v>
          </cell>
          <cell r="N240" t="str">
            <v>2.1. Definición e Implementación del Modelo de Gestión Documental de la SDH</v>
          </cell>
          <cell r="O240" t="str">
            <v>S</v>
          </cell>
          <cell r="P240" t="str">
            <v>NA</v>
          </cell>
          <cell r="Q240" t="str">
            <v>Prestar los servicios profesionales para realizar el acompañamiento de las acciones que la entidad adelante en relación con la implementación del Programa de Gestión Documental de la SDH</v>
          </cell>
          <cell r="R240">
            <v>1</v>
          </cell>
          <cell r="S240" t="str">
            <v>4 años de experiencia profesional, de los cuales debe acreditar 2 años de experiencia relacionada con procesos de gestión documental</v>
          </cell>
          <cell r="T240" t="str">
            <v>Profesional en Archivística, Sistemas de Información, Bibliotecología o carreras afines y Especialización en Proyectos, Sistemas de Información o afines-</v>
          </cell>
          <cell r="U240" t="str">
            <v>CONTRATACION DIRECTA</v>
          </cell>
          <cell r="V240" t="str">
            <v>PRINCIPAL</v>
          </cell>
          <cell r="W240" t="str">
            <v>NA</v>
          </cell>
          <cell r="X240" t="str">
            <v>PRESTACION DE SERVICIOS1</v>
          </cell>
          <cell r="Y240">
            <v>55000000</v>
          </cell>
          <cell r="Z240">
            <v>55000000</v>
          </cell>
          <cell r="AA240" t="str">
            <v>11 mes(es)</v>
          </cell>
        </row>
        <row r="241">
          <cell r="C241">
            <v>203</v>
          </cell>
          <cell r="D241">
            <v>3</v>
          </cell>
          <cell r="E241">
            <v>80</v>
          </cell>
          <cell r="F241" t="str">
            <v>INICIAL</v>
          </cell>
          <cell r="G241" t="str">
            <v>RECURSOS PROPIOS</v>
          </cell>
          <cell r="H241">
            <v>51000</v>
          </cell>
          <cell r="I241">
            <v>1</v>
          </cell>
          <cell r="J241" t="str">
            <v>NA</v>
          </cell>
          <cell r="K241" t="str">
            <v>3-3-1-14-03-31-0714-235235 - Fortalecimiento institucional de la Secretaria Distrital de Hacienda</v>
          </cell>
          <cell r="L241">
            <v>1</v>
          </cell>
          <cell r="M241" t="str">
            <v>2. Fortalecer el Sistema de Gestión Documental de la SDH</v>
          </cell>
          <cell r="N241" t="str">
            <v>2.2. Dotación de elementos para fortalecer el Sistema de Gestión Documental de la SDH</v>
          </cell>
          <cell r="O241" t="str">
            <v>S</v>
          </cell>
          <cell r="P241" t="str">
            <v>NA</v>
          </cell>
          <cell r="Q241" t="str">
            <v>Adquisición de extintores para los depósitos de archivo de la SDH</v>
          </cell>
          <cell r="R241">
            <v>1</v>
          </cell>
          <cell r="S241" t="str">
            <v>Relacionada con el objeto a contratar-</v>
          </cell>
          <cell r="T241" t="str">
            <v>NA-</v>
          </cell>
          <cell r="U241" t="str">
            <v>MINIMA CUANTIA</v>
          </cell>
          <cell r="V241" t="str">
            <v>PRINCIPAL</v>
          </cell>
          <cell r="W241" t="str">
            <v>NA</v>
          </cell>
          <cell r="X241" t="str">
            <v>COMPRAVENTA</v>
          </cell>
          <cell r="Y241">
            <v>5000000</v>
          </cell>
          <cell r="Z241">
            <v>5000000</v>
          </cell>
          <cell r="AA241" t="str">
            <v>1 mes(es)</v>
          </cell>
        </row>
        <row r="242">
          <cell r="C242">
            <v>204</v>
          </cell>
          <cell r="D242">
            <v>3</v>
          </cell>
          <cell r="E242">
            <v>80</v>
          </cell>
          <cell r="F242" t="str">
            <v>INICIAL</v>
          </cell>
          <cell r="G242" t="str">
            <v>RECURSOS PROPIOS</v>
          </cell>
          <cell r="H242">
            <v>51000</v>
          </cell>
          <cell r="I242">
            <v>1</v>
          </cell>
          <cell r="J242" t="str">
            <v>NA</v>
          </cell>
          <cell r="K242" t="str">
            <v>3-3-1-14-03-31-0714-235235 - Fortalecimiento institucional de la Secretaria Distrital de Hacienda</v>
          </cell>
          <cell r="L242">
            <v>1</v>
          </cell>
          <cell r="M242" t="str">
            <v>2. Fortalecer el Sistema de Gestión Documental de la SDH</v>
          </cell>
          <cell r="N242" t="str">
            <v>2.3. Estandarización de los instrumentos archivísticos que normalizan la Gestión Documental de la SDH</v>
          </cell>
          <cell r="O242" t="str">
            <v>S</v>
          </cell>
          <cell r="P242" t="str">
            <v>NA</v>
          </cell>
          <cell r="Q242" t="str">
            <v>Participar en la implementación de los instrumentos archivísticos que normalizan la Gestión Documental en la SDH de acuerdo con la Estrategia definida en el Programa de Gestión Documental</v>
          </cell>
          <cell r="R242">
            <v>4</v>
          </cell>
          <cell r="S242" t="str">
            <v>1 año de experiencia  específica en procesos de Gestión Documental, desarrollando alguna de las siguientes actividades: Transferencias documentales primarias, préstamo y consulta, Tablas de Retención, Tablas de Valoración Documental, organización, clasifi</v>
          </cell>
          <cell r="T242" t="str">
            <v>Técnico o tecnólogo en Gestión Documental o estudiante de mínimo sexto semestre en Sistemas de Información Archivística y Bibliotecología o carreras afines</v>
          </cell>
          <cell r="U242" t="str">
            <v>CONTRATACION DIRECTA</v>
          </cell>
          <cell r="V242" t="str">
            <v>PRINCIPAL</v>
          </cell>
          <cell r="W242" t="str">
            <v>NA</v>
          </cell>
          <cell r="X242" t="str">
            <v>PRESTACION DE SERVICIOS</v>
          </cell>
          <cell r="Y242">
            <v>95172000</v>
          </cell>
          <cell r="Z242">
            <v>95172000</v>
          </cell>
          <cell r="AA242" t="str">
            <v>11 mes(es)</v>
          </cell>
        </row>
        <row r="243">
          <cell r="C243">
            <v>205</v>
          </cell>
          <cell r="D243">
            <v>3</v>
          </cell>
          <cell r="E243">
            <v>21</v>
          </cell>
          <cell r="F243" t="str">
            <v>MODIFICACION</v>
          </cell>
          <cell r="G243" t="str">
            <v>RECURSOS PROPIOS</v>
          </cell>
          <cell r="H243">
            <v>51000</v>
          </cell>
          <cell r="I243">
            <v>1</v>
          </cell>
          <cell r="J243" t="str">
            <v>NA</v>
          </cell>
          <cell r="K243" t="str">
            <v>3-3-1-14-03-31-0714-235235 - Fortalecimiento institucional de la Secretaria Distrital de Hacienda</v>
          </cell>
          <cell r="L243">
            <v>1</v>
          </cell>
          <cell r="M243" t="str">
            <v>1. Fortalecer la infraestructura física de la SDH y el CAD</v>
          </cell>
          <cell r="N243" t="str">
            <v>1.3 Adecuación de la áreas físicas de la SDH y el CAD</v>
          </cell>
          <cell r="O243" t="str">
            <v>S</v>
          </cell>
          <cell r="P243" t="str">
            <v>NA</v>
          </cell>
          <cell r="Q243" t="str">
            <v>Realizar el diagnóstico del Sistema Eléctrico de las sedes de la Secretaría Distrital de Hacienda y del  Centro Administrativo Distrital</v>
          </cell>
          <cell r="R243">
            <v>1</v>
          </cell>
          <cell r="S243" t="str">
            <v>Relacionada con el objeto a contratar</v>
          </cell>
          <cell r="T243" t="str">
            <v>NA</v>
          </cell>
          <cell r="U243" t="str">
            <v>CONCURSO DE MERITOS</v>
          </cell>
          <cell r="V243" t="str">
            <v>PRINCIPAL</v>
          </cell>
          <cell r="W243" t="str">
            <v>NA</v>
          </cell>
          <cell r="X243" t="str">
            <v>CONSULTORIA</v>
          </cell>
          <cell r="Y243">
            <v>238000000</v>
          </cell>
          <cell r="Z243">
            <v>238000000</v>
          </cell>
          <cell r="AA243" t="str">
            <v>5 mes(es)</v>
          </cell>
        </row>
        <row r="244">
          <cell r="C244">
            <v>206</v>
          </cell>
          <cell r="D244">
            <v>3</v>
          </cell>
          <cell r="E244">
            <v>80</v>
          </cell>
          <cell r="F244" t="str">
            <v>INICIAL</v>
          </cell>
          <cell r="G244" t="str">
            <v>RECURSOS PROPIOS</v>
          </cell>
          <cell r="H244">
            <v>51000</v>
          </cell>
          <cell r="I244">
            <v>1</v>
          </cell>
          <cell r="J244" t="str">
            <v>NA</v>
          </cell>
          <cell r="K244" t="str">
            <v>3-3-1-14-03-31-0714-235235 - Fortalecimiento institucional de la Secretaria Distrital de Hacienda</v>
          </cell>
          <cell r="L244">
            <v>1</v>
          </cell>
          <cell r="M244" t="str">
            <v>1. Fortalecer la infraestructura física de la SDH y el CAD</v>
          </cell>
          <cell r="N244" t="str">
            <v>1.3 Adecuación de la áreas físicas de la SDH y el CAD</v>
          </cell>
          <cell r="O244" t="str">
            <v>S</v>
          </cell>
          <cell r="P244" t="str">
            <v>NA</v>
          </cell>
          <cell r="Q244" t="str">
            <v>Prestar los servicios profesionales para apoyar la supervisión del contrato suscrito para realizar el Diagnóstico del Sistema Eléctrico de las sedes de la Secretaría Distrital de Hacienda y del Centro Administrativo Distrital</v>
          </cell>
          <cell r="R244">
            <v>1</v>
          </cell>
          <cell r="S244" t="str">
            <v>5 años de experiencia profesional y haber realizado diseños  o interventoria de diseños de sistemas o redes eléctricas para edificaciones de carácter institucional</v>
          </cell>
          <cell r="T244" t="str">
            <v>Ingeniero eléctrico o ingeniero electricista-5 años de experiencia profesional y habe</v>
          </cell>
          <cell r="U244" t="str">
            <v>CONTRATACION DIRECTA</v>
          </cell>
          <cell r="V244" t="str">
            <v>PRINCIPAL</v>
          </cell>
          <cell r="W244" t="str">
            <v>NA</v>
          </cell>
          <cell r="X244" t="str">
            <v>PRESTACION DE SERVICIOS1</v>
          </cell>
          <cell r="Y244">
            <v>31518000</v>
          </cell>
          <cell r="Z244">
            <v>31518000</v>
          </cell>
          <cell r="AA244" t="str">
            <v>6 mes(es)</v>
          </cell>
        </row>
        <row r="245">
          <cell r="C245">
            <v>207</v>
          </cell>
          <cell r="D245">
            <v>3</v>
          </cell>
          <cell r="E245">
            <v>80</v>
          </cell>
          <cell r="F245" t="str">
            <v>INICIAL</v>
          </cell>
          <cell r="G245" t="str">
            <v>RECURSOS PROPIOS</v>
          </cell>
          <cell r="H245">
            <v>40000</v>
          </cell>
          <cell r="I245">
            <v>1</v>
          </cell>
          <cell r="J245" t="str">
            <v>NA</v>
          </cell>
          <cell r="K245" t="str">
            <v>3-3-1-14-03-32-0705-241241 - Gestión integral de TIC - Bogotá Humana</v>
          </cell>
          <cell r="L245">
            <v>1</v>
          </cell>
          <cell r="M245" t="str">
            <v>2. Fortalecer el Sistema de Gestión Documental de la SDH-Mantener el 97% de disponibilidad de las TIC, optimizando la infraestructura tecnológica de la SDH de acuerdo con los estándares y niveles de servicio</v>
          </cell>
          <cell r="N245" t="str">
            <v>714:2.3. Dotación de elementos para fortalecer el Sistema de Gestión Documental de la SDH-705 Fortalecer la infraestructura tecnológica de la Información de los procesos misionales y de apoyo.</v>
          </cell>
          <cell r="O245" t="str">
            <v>S</v>
          </cell>
          <cell r="P245" t="str">
            <v>NA</v>
          </cell>
          <cell r="Q245" t="str">
            <v>Adquisición de escáneres de alto rendimiento para la Secretaría Distrital de Hacienda-</v>
          </cell>
          <cell r="R245">
            <v>1</v>
          </cell>
          <cell r="S245" t="str">
            <v>Relacionada con el objeto a contratar-</v>
          </cell>
          <cell r="T245" t="str">
            <v>NA-</v>
          </cell>
          <cell r="U245" t="str">
            <v>SEL. ABREVIADA SUB.INVERSA</v>
          </cell>
          <cell r="V245" t="str">
            <v>PRINCIPAL</v>
          </cell>
          <cell r="W245" t="str">
            <v>NA</v>
          </cell>
          <cell r="X245" t="str">
            <v>COMPRAVENTA</v>
          </cell>
          <cell r="Y245">
            <v>379828000</v>
          </cell>
          <cell r="Z245">
            <v>180000000</v>
          </cell>
          <cell r="AA245" t="str">
            <v>4 mes(es)</v>
          </cell>
        </row>
        <row r="246">
          <cell r="C246">
            <v>207</v>
          </cell>
          <cell r="D246">
            <v>3</v>
          </cell>
          <cell r="E246">
            <v>80</v>
          </cell>
          <cell r="F246" t="str">
            <v>INICIAL</v>
          </cell>
          <cell r="G246" t="str">
            <v>RECURSOS PROPIOS</v>
          </cell>
          <cell r="H246">
            <v>51000</v>
          </cell>
          <cell r="I246">
            <v>1</v>
          </cell>
          <cell r="J246" t="str">
            <v>NA</v>
          </cell>
          <cell r="K246" t="str">
            <v>3-3-1-14-03-31-0714-235235 - Fortalecimiento institucional de la Secretaria Distrital de Hacienda</v>
          </cell>
          <cell r="L246">
            <v>1</v>
          </cell>
          <cell r="M246" t="str">
            <v>2. Fortalecer el Sistema de Gestión Documental de la SDH-Mantener el 97% de disponibilidad de las TIC, optimizando la infraestructura tecnológica de la SDH de acuerdo con los estándares y niveles de servicio</v>
          </cell>
          <cell r="N246" t="str">
            <v>714:2.3. Dotación de elementos para fortalecer el Sistema de Gestión Documental de la SDH-705 Fortalecer la infraestructura tecnológica de la Información de los procesos misionales y de apoyo.</v>
          </cell>
          <cell r="O246" t="str">
            <v>S</v>
          </cell>
          <cell r="P246" t="str">
            <v>NA</v>
          </cell>
          <cell r="Q246" t="str">
            <v>Adquisición de escáneres de alto rendimiento para la Secretaría Distrital de Hacienda-</v>
          </cell>
          <cell r="R246">
            <v>1</v>
          </cell>
          <cell r="S246" t="str">
            <v>Relacionada con el objeto a contratar-</v>
          </cell>
          <cell r="T246" t="str">
            <v>NA-</v>
          </cell>
          <cell r="U246" t="str">
            <v>SEL. ABREVIADA SUB.INVERSA</v>
          </cell>
          <cell r="V246" t="str">
            <v>PRINCIPAL</v>
          </cell>
          <cell r="W246" t="str">
            <v>NA</v>
          </cell>
          <cell r="X246" t="str">
            <v>COMPRAVENTA</v>
          </cell>
          <cell r="Y246">
            <v>379828000</v>
          </cell>
          <cell r="Z246">
            <v>199828000</v>
          </cell>
          <cell r="AA246" t="str">
            <v>4 mes(es)</v>
          </cell>
        </row>
        <row r="247">
          <cell r="C247">
            <v>208</v>
          </cell>
          <cell r="D247">
            <v>3</v>
          </cell>
          <cell r="E247">
            <v>1</v>
          </cell>
          <cell r="F247" t="str">
            <v>MODIFICACION</v>
          </cell>
          <cell r="G247" t="str">
            <v>RECURSOS PROPIOS</v>
          </cell>
          <cell r="H247">
            <v>120000</v>
          </cell>
          <cell r="I247">
            <v>4</v>
          </cell>
          <cell r="J247" t="str">
            <v>NA</v>
          </cell>
          <cell r="K247" t="str">
            <v>3-3-1-14-03-31-0728-235235 - Fortalecimiento a la gestión institucional del Concejo de Bogotá</v>
          </cell>
          <cell r="L247">
            <v>1</v>
          </cell>
          <cell r="M247" t="str">
            <v>Actualizar el 100% de la infraestructura física, tecnológica y transporte</v>
          </cell>
          <cell r="N247" t="str">
            <v>Arrendamiento de instalaciones y bodegas para almacenamiento de materiales y objetos</v>
          </cell>
          <cell r="O247" t="str">
            <v>S</v>
          </cell>
          <cell r="P247" t="str">
            <v>NA</v>
          </cell>
          <cell r="Q247" t="str">
            <v>Arriendo de un inmueble para uso de parqueadero de vehÍculos y motocicletas del Concejo de Bogotá.</v>
          </cell>
          <cell r="R247">
            <v>1</v>
          </cell>
          <cell r="S247" t="str">
            <v>NA</v>
          </cell>
          <cell r="T247" t="str">
            <v>NA</v>
          </cell>
          <cell r="U247" t="str">
            <v>CONTRATACION DIRECTA</v>
          </cell>
          <cell r="V247" t="str">
            <v>PRINCIPAL</v>
          </cell>
          <cell r="W247" t="str">
            <v>NA</v>
          </cell>
          <cell r="X247" t="str">
            <v>ARRENDAMIENTO</v>
          </cell>
          <cell r="Y247">
            <v>389910657</v>
          </cell>
          <cell r="Z247">
            <v>389910657</v>
          </cell>
          <cell r="AA247" t="str">
            <v>12 mes(es)</v>
          </cell>
        </row>
        <row r="248">
          <cell r="C248">
            <v>209</v>
          </cell>
          <cell r="D248">
            <v>3</v>
          </cell>
          <cell r="E248">
            <v>80</v>
          </cell>
          <cell r="F248" t="str">
            <v>INICIAL</v>
          </cell>
          <cell r="G248" t="str">
            <v>RECURSOS PROPIOS</v>
          </cell>
          <cell r="H248">
            <v>120000</v>
          </cell>
          <cell r="I248">
            <v>4</v>
          </cell>
          <cell r="J248" t="str">
            <v>NA</v>
          </cell>
          <cell r="K248" t="str">
            <v>3-3-1-14-03-31-0728-235235 - Fortalecimiento a la gestión institucional del Concejo de Bogotá</v>
          </cell>
          <cell r="L248">
            <v>1</v>
          </cell>
          <cell r="M248" t="str">
            <v>Actualizar el 100% de la infraestructura física, tecnológica y transporte</v>
          </cell>
          <cell r="N248" t="str">
            <v>Arrendamiento de instalaciones y bodegas para almacenamiento de materiales y objetos</v>
          </cell>
          <cell r="O248" t="str">
            <v>S</v>
          </cell>
          <cell r="P248" t="str">
            <v>NA</v>
          </cell>
          <cell r="Q248" t="str">
            <v>Arriendo de instalaciones para acondicionamiento de áreas  requeridas por el Concejo Distrital</v>
          </cell>
          <cell r="R248">
            <v>1</v>
          </cell>
          <cell r="S248" t="str">
            <v>NA</v>
          </cell>
          <cell r="T248" t="str">
            <v>NA</v>
          </cell>
          <cell r="U248" t="str">
            <v>CONTRATACION DIRECTA</v>
          </cell>
          <cell r="V248" t="str">
            <v>PRINCIPAL</v>
          </cell>
          <cell r="W248" t="str">
            <v>NA</v>
          </cell>
          <cell r="X248" t="str">
            <v>ARRENDAMIENTO</v>
          </cell>
          <cell r="Y248">
            <v>24000000</v>
          </cell>
          <cell r="Z248">
            <v>24000000</v>
          </cell>
          <cell r="AA248" t="str">
            <v>12 mes(es)</v>
          </cell>
        </row>
        <row r="249">
          <cell r="C249">
            <v>210</v>
          </cell>
          <cell r="D249">
            <v>3</v>
          </cell>
          <cell r="E249">
            <v>80</v>
          </cell>
          <cell r="F249" t="str">
            <v>INICIAL</v>
          </cell>
          <cell r="G249" t="str">
            <v>RECURSOS PROPIOS</v>
          </cell>
          <cell r="H249">
            <v>120000</v>
          </cell>
          <cell r="I249">
            <v>4</v>
          </cell>
          <cell r="J249" t="str">
            <v>NA</v>
          </cell>
          <cell r="K249" t="str">
            <v>3-3-1-14-03-31-0728-235235 - Fortalecimiento a la gestión institucional del Concejo de Bogotá</v>
          </cell>
          <cell r="L249">
            <v>1</v>
          </cell>
          <cell r="M249" t="str">
            <v>Actualizar el 100% de la infraestructura física, tecnológica y transporte</v>
          </cell>
          <cell r="N249" t="str">
            <v>Desarrollar la implementacion del esquema de seguridad de los Concejales del Distrito Capital que se encuentran en situacion de riesgo extraordinario o extremo.</v>
          </cell>
          <cell r="O249" t="str">
            <v>S</v>
          </cell>
          <cell r="P249" t="str">
            <v>NA</v>
          </cell>
          <cell r="Q249" t="str">
            <v>Aunar esfuerzos humanos, tecnicos, logisticos y administrativos para garantizar el esquema de seguridad requerido por los Concejales del Distrito Capital que se encuentren en situacion de riesgo extraordinario o extremo como consecuencia directa del ejerc</v>
          </cell>
          <cell r="R249">
            <v>1</v>
          </cell>
          <cell r="S249" t="str">
            <v>NA</v>
          </cell>
          <cell r="T249" t="str">
            <v>NA</v>
          </cell>
          <cell r="U249" t="str">
            <v>CONTRATACION DIRECTA</v>
          </cell>
          <cell r="V249" t="str">
            <v>PRINCIPAL</v>
          </cell>
          <cell r="W249" t="str">
            <v>NA</v>
          </cell>
          <cell r="X249" t="str">
            <v>CONTRATO INTERADMINISTRATIVO</v>
          </cell>
          <cell r="Y249">
            <v>4320000000</v>
          </cell>
          <cell r="Z249">
            <v>4320000000</v>
          </cell>
          <cell r="AA249" t="str">
            <v>12 mes(es)</v>
          </cell>
        </row>
        <row r="250">
          <cell r="C250">
            <v>211</v>
          </cell>
          <cell r="D250">
            <v>3</v>
          </cell>
          <cell r="E250">
            <v>80</v>
          </cell>
          <cell r="F250" t="str">
            <v>INICIAL</v>
          </cell>
          <cell r="G250" t="str">
            <v>RECURSOS PROPIOS</v>
          </cell>
          <cell r="H250">
            <v>120000</v>
          </cell>
          <cell r="I250">
            <v>4</v>
          </cell>
          <cell r="J250" t="str">
            <v>NA</v>
          </cell>
          <cell r="K250" t="str">
            <v>3-3-1-14-03-31-0728-235235 - Fortalecimiento a la gestión institucional del Concejo de Bogotá</v>
          </cell>
          <cell r="L250">
            <v>1</v>
          </cell>
          <cell r="M250" t="str">
            <v>Actualizar el 100% de la infraestructura física, tecnológica y transporte</v>
          </cell>
          <cell r="N250" t="str">
            <v>Arrendamiento de instalaciones y bodegas para almacenamiento de materiales y objetos</v>
          </cell>
          <cell r="O250" t="str">
            <v>S</v>
          </cell>
          <cell r="P250" t="str">
            <v>NA</v>
          </cell>
          <cell r="Q250" t="str">
            <v>Arriendo de un inmueble para la sede del Concejo de Bogotá.</v>
          </cell>
          <cell r="R250">
            <v>1</v>
          </cell>
          <cell r="S250" t="str">
            <v>NA</v>
          </cell>
          <cell r="T250" t="str">
            <v>NA</v>
          </cell>
          <cell r="U250" t="str">
            <v>CONTRATACION DIRECTA</v>
          </cell>
          <cell r="V250" t="str">
            <v>PRINCIPAL</v>
          </cell>
          <cell r="W250" t="str">
            <v>NA</v>
          </cell>
          <cell r="X250" t="str">
            <v>ARRENDAMIENTO</v>
          </cell>
          <cell r="Y250">
            <v>1260000000</v>
          </cell>
          <cell r="Z250">
            <v>1260000000</v>
          </cell>
          <cell r="AA250" t="str">
            <v>12 mes(es)</v>
          </cell>
        </row>
        <row r="251">
          <cell r="C251">
            <v>212</v>
          </cell>
          <cell r="D251">
            <v>3</v>
          </cell>
          <cell r="E251">
            <v>80</v>
          </cell>
          <cell r="F251" t="str">
            <v>INICIAL</v>
          </cell>
          <cell r="G251" t="str">
            <v>RECURSOS PROPIOS</v>
          </cell>
          <cell r="H251">
            <v>120000</v>
          </cell>
          <cell r="I251">
            <v>4</v>
          </cell>
          <cell r="J251" t="str">
            <v>NA</v>
          </cell>
          <cell r="K251" t="str">
            <v>3-3-1-14-03-31-0728-235235 - Fortalecimiento a la gestión institucional del Concejo de Bogotá</v>
          </cell>
          <cell r="L251">
            <v>1</v>
          </cell>
          <cell r="M251" t="str">
            <v>Actualizar el 100% de la infraestructura física, tecnológica y transporte</v>
          </cell>
          <cell r="N251" t="str">
            <v>Efectuar los estudios de viabilidad tecnica y presupuestal para compra o construccion de la sede Administrativa del Concejo de Bogotá</v>
          </cell>
          <cell r="O251" t="str">
            <v>S</v>
          </cell>
          <cell r="P251" t="str">
            <v>NA</v>
          </cell>
          <cell r="Q251" t="str">
            <v>Efectuar los estudios de viabilidad técnica y presupuestal para la compra o construcción de la sede Administrativa del Concejo de Bogotá</v>
          </cell>
          <cell r="R251">
            <v>1</v>
          </cell>
          <cell r="S251" t="str">
            <v>NA</v>
          </cell>
          <cell r="T251" t="str">
            <v>NA</v>
          </cell>
          <cell r="U251" t="str">
            <v>CONCURSO DE MERITOS</v>
          </cell>
          <cell r="V251" t="str">
            <v>PRINCIPAL</v>
          </cell>
          <cell r="W251" t="str">
            <v>NA</v>
          </cell>
          <cell r="X251" t="str">
            <v>CONSULTORIA</v>
          </cell>
          <cell r="Y251">
            <v>90000000</v>
          </cell>
          <cell r="Z251">
            <v>90000000</v>
          </cell>
          <cell r="AA251" t="str">
            <v>6 mes(es)</v>
          </cell>
        </row>
        <row r="252">
          <cell r="C252">
            <v>213</v>
          </cell>
          <cell r="D252">
            <v>3</v>
          </cell>
          <cell r="E252">
            <v>80</v>
          </cell>
          <cell r="F252" t="str">
            <v>INICIAL</v>
          </cell>
          <cell r="G252" t="str">
            <v>RECURSOS PROPIOS</v>
          </cell>
          <cell r="H252">
            <v>120000</v>
          </cell>
          <cell r="I252">
            <v>4</v>
          </cell>
          <cell r="J252" t="str">
            <v>NA</v>
          </cell>
          <cell r="K252" t="str">
            <v>3-3-1-14-03-31-0728-235235 - Fortalecimiento a la gestión institucional del Concejo de Bogotá</v>
          </cell>
          <cell r="L252">
            <v>1</v>
          </cell>
          <cell r="M252" t="str">
            <v>Actualizar el 100% de la infraestructura física, tecnológica y transporte</v>
          </cell>
          <cell r="N252" t="str">
            <v>Adquisición de mobiliario y equipo de oficina</v>
          </cell>
          <cell r="O252" t="str">
            <v>S</v>
          </cell>
          <cell r="P252" t="str">
            <v>NA</v>
          </cell>
          <cell r="Q252" t="str">
            <v>Adquisición, entrega y montaje de mobiliario y equipo de oficina para la sede del Concejo de Bogotá</v>
          </cell>
          <cell r="R252">
            <v>1</v>
          </cell>
          <cell r="S252" t="str">
            <v>NA</v>
          </cell>
          <cell r="T252" t="str">
            <v>NA</v>
          </cell>
          <cell r="U252" t="str">
            <v>SEL. ABREVIADA SUB.INVERSA</v>
          </cell>
          <cell r="V252" t="str">
            <v>PRINCIPAL</v>
          </cell>
          <cell r="W252" t="str">
            <v>NA</v>
          </cell>
          <cell r="X252" t="str">
            <v>COMPRAVENTA</v>
          </cell>
          <cell r="Y252">
            <v>450477000</v>
          </cell>
          <cell r="Z252">
            <v>450477000</v>
          </cell>
          <cell r="AA252" t="str">
            <v>2 mes(es)</v>
          </cell>
        </row>
        <row r="253">
          <cell r="C253">
            <v>214</v>
          </cell>
          <cell r="D253">
            <v>3</v>
          </cell>
          <cell r="E253">
            <v>80</v>
          </cell>
          <cell r="F253" t="str">
            <v>INICIAL</v>
          </cell>
          <cell r="G253" t="str">
            <v>RECURSOS PROPIOS</v>
          </cell>
          <cell r="H253">
            <v>120000</v>
          </cell>
          <cell r="I253">
            <v>4</v>
          </cell>
          <cell r="J253" t="str">
            <v>NA</v>
          </cell>
          <cell r="K253" t="str">
            <v>3-3-1-14-03-31-0728-235235 - Fortalecimiento a la gestión institucional del Concejo de Bogotá</v>
          </cell>
          <cell r="L253">
            <v>1</v>
          </cell>
          <cell r="M253" t="str">
            <v>Implementar el 100% de los sistemas de gestión institucional</v>
          </cell>
          <cell r="N253" t="str">
            <v>Desarrollar actividades para fortalecer los Sistemas de Gestión Institucional del Concejo de Bogotá.</v>
          </cell>
          <cell r="O253" t="str">
            <v>S</v>
          </cell>
          <cell r="P253" t="str">
            <v>NA</v>
          </cell>
          <cell r="Q253" t="str">
            <v>Desarrollar actividades para fortalecer los Sistemas de Gestión Institucional del Concejo de Bogotá- Subsistema Responsabilidad Social.</v>
          </cell>
          <cell r="R253">
            <v>1</v>
          </cell>
          <cell r="S253" t="str">
            <v>NA</v>
          </cell>
          <cell r="T253" t="str">
            <v>NA</v>
          </cell>
          <cell r="U253" t="str">
            <v>MINIMA CUANTIA</v>
          </cell>
          <cell r="V253" t="str">
            <v>PRINCIPAL</v>
          </cell>
          <cell r="W253" t="str">
            <v>NA</v>
          </cell>
          <cell r="X253" t="str">
            <v>PRESTACION DE SERVICIOS</v>
          </cell>
          <cell r="Y253">
            <v>65040000</v>
          </cell>
          <cell r="Z253">
            <v>65040000</v>
          </cell>
          <cell r="AA253" t="str">
            <v>9 mes(es)</v>
          </cell>
        </row>
        <row r="254">
          <cell r="C254">
            <v>215</v>
          </cell>
          <cell r="D254">
            <v>3</v>
          </cell>
          <cell r="E254">
            <v>80</v>
          </cell>
          <cell r="F254" t="str">
            <v>INICIAL</v>
          </cell>
          <cell r="G254" t="str">
            <v>RECURSOS PROPIOS</v>
          </cell>
          <cell r="H254">
            <v>61000</v>
          </cell>
          <cell r="I254">
            <v>1</v>
          </cell>
          <cell r="J254" t="str">
            <v>NA</v>
          </cell>
          <cell r="K254" t="str">
            <v>3-1-1-02-03-01 Honorarios Entidad</v>
          </cell>
          <cell r="L254">
            <v>1</v>
          </cell>
          <cell r="M254" t="str">
            <v>NA</v>
          </cell>
          <cell r="N254" t="str">
            <v>NA</v>
          </cell>
          <cell r="O254" t="str">
            <v>S</v>
          </cell>
          <cell r="P254" t="str">
            <v>NA</v>
          </cell>
          <cell r="Q254" t="str">
            <v>Prestar los servicios profesionales especializados en los asuntos contractuales que por su complejidad requieran de una experticia para su atención, de acuerdo con el marco normativo vigente.-</v>
          </cell>
          <cell r="R254">
            <v>1</v>
          </cell>
          <cell r="S254" t="str">
            <v>5 años en temas contractuales, en los que acredite haber realizado asesoría jurídica a entidades públicas o privadas y haber desarrollado actividades docentes. -Experiencia Específica:-Experiencia mínima de tres (3) años en asesoría juridica en materia co</v>
          </cell>
          <cell r="T254" t="str">
            <v>Abogado con especialización en Derecho Administrativo o Derecho Contractual o Derecho Público.</v>
          </cell>
          <cell r="U254" t="str">
            <v>CONTRATACION DIRECTA</v>
          </cell>
          <cell r="V254" t="str">
            <v>PRINCIPAL</v>
          </cell>
          <cell r="W254" t="str">
            <v>NA</v>
          </cell>
          <cell r="X254" t="str">
            <v>PRESTACION DE SERVICIOS1</v>
          </cell>
          <cell r="Y254">
            <v>79310000</v>
          </cell>
          <cell r="Z254">
            <v>79310000</v>
          </cell>
          <cell r="AA254" t="str">
            <v>11 mes(es)</v>
          </cell>
        </row>
        <row r="255">
          <cell r="C255">
            <v>216</v>
          </cell>
          <cell r="D255">
            <v>3</v>
          </cell>
          <cell r="E255">
            <v>80</v>
          </cell>
          <cell r="F255" t="str">
            <v>INICIAL</v>
          </cell>
          <cell r="G255" t="str">
            <v>RECURSOS PROPIOS</v>
          </cell>
          <cell r="H255">
            <v>61000</v>
          </cell>
          <cell r="I255">
            <v>1</v>
          </cell>
          <cell r="J255" t="str">
            <v>NA</v>
          </cell>
          <cell r="K255" t="str">
            <v>3-1-1-02-03-01 Honorarios Entidad</v>
          </cell>
          <cell r="L255">
            <v>1</v>
          </cell>
          <cell r="M255" t="str">
            <v>NA</v>
          </cell>
          <cell r="N255" t="str">
            <v>NA</v>
          </cell>
          <cell r="O255" t="str">
            <v>S</v>
          </cell>
          <cell r="P255" t="str">
            <v>NA</v>
          </cell>
          <cell r="Q255" t="str">
            <v>Prestar los servicios profesionales especializados en los procesos administrativos sancionatorios que se deriven de actuaciones contractuales.</v>
          </cell>
          <cell r="R255">
            <v>1</v>
          </cell>
          <cell r="S255" t="str">
            <v>5 años en derecho administrativo.-Experiencia especifica: 2 años en materia contractual.</v>
          </cell>
          <cell r="T255" t="str">
            <v>Abogado con especialización en Derecho Administrativo o Derecho Constitucional o Derecho Contractual o Derecho Público.</v>
          </cell>
          <cell r="U255" t="str">
            <v>CONTRATACION DIRECTA</v>
          </cell>
          <cell r="V255" t="str">
            <v>PRINCIPAL</v>
          </cell>
          <cell r="W255" t="str">
            <v>NA</v>
          </cell>
          <cell r="X255" t="str">
            <v>PRESTACION DE SERVICIOS1</v>
          </cell>
          <cell r="Y255">
            <v>18000000</v>
          </cell>
          <cell r="Z255">
            <v>18000000</v>
          </cell>
          <cell r="AA255" t="str">
            <v>6 mes(es)</v>
          </cell>
        </row>
        <row r="256">
          <cell r="C256">
            <v>217</v>
          </cell>
          <cell r="D256">
            <v>3</v>
          </cell>
          <cell r="E256">
            <v>80</v>
          </cell>
          <cell r="F256" t="str">
            <v>INICIAL</v>
          </cell>
          <cell r="G256" t="str">
            <v>RECURSOS PROPIOS</v>
          </cell>
          <cell r="H256">
            <v>61000</v>
          </cell>
          <cell r="I256">
            <v>1</v>
          </cell>
          <cell r="J256" t="str">
            <v>NA</v>
          </cell>
          <cell r="K256" t="str">
            <v>3-1-1-02-03-01 Honorarios Entidad</v>
          </cell>
          <cell r="L256">
            <v>1</v>
          </cell>
          <cell r="M256" t="str">
            <v>NA</v>
          </cell>
          <cell r="N256" t="str">
            <v>NA</v>
          </cell>
          <cell r="O256" t="str">
            <v>S</v>
          </cell>
          <cell r="P256" t="str">
            <v>NA</v>
          </cell>
          <cell r="Q256" t="str">
            <v>Prestar los servicios profesionales en la definición de los requerimientos funcionales necesarios para la actualización y mejoramiento del sistema de contratación de la Secretaria Distrital de Hacienda que impactan en los procedimientos de la función cont</v>
          </cell>
          <cell r="R256">
            <v>1</v>
          </cell>
          <cell r="S256" t="str">
            <v>3 años de experiencia profesional, dentro de la cual debe acreditar experiencia en contratación estatal.</v>
          </cell>
          <cell r="T256" t="str">
            <v>Profesional en Ingenieria de Sistemas o Ingenieria Industrial.-Acreditar formación o capacitación en Sistemas de Gestión de Calidad</v>
          </cell>
          <cell r="U256" t="str">
            <v>CONTRATACION DIRECTA</v>
          </cell>
          <cell r="V256" t="str">
            <v>PRINCIPAL</v>
          </cell>
          <cell r="W256" t="str">
            <v>NA</v>
          </cell>
          <cell r="X256" t="str">
            <v>PRESTACION DE SERVICIOS1</v>
          </cell>
          <cell r="Y256">
            <v>37396000</v>
          </cell>
          <cell r="Z256">
            <v>37396000</v>
          </cell>
          <cell r="AA256" t="str">
            <v>9 mes(es)</v>
          </cell>
        </row>
        <row r="257">
          <cell r="C257">
            <v>218</v>
          </cell>
          <cell r="D257">
            <v>3</v>
          </cell>
          <cell r="E257">
            <v>80</v>
          </cell>
          <cell r="F257" t="str">
            <v>INICIAL</v>
          </cell>
          <cell r="G257" t="str">
            <v>RECURSOS PROPIOS</v>
          </cell>
          <cell r="H257">
            <v>63000</v>
          </cell>
          <cell r="I257">
            <v>1</v>
          </cell>
          <cell r="J257" t="str">
            <v>NA</v>
          </cell>
          <cell r="K257" t="str">
            <v>3-1-1-02-03-01 Honorarios Entidad</v>
          </cell>
          <cell r="L257">
            <v>1</v>
          </cell>
          <cell r="M257" t="str">
            <v>NA</v>
          </cell>
          <cell r="N257" t="str">
            <v>NA</v>
          </cell>
          <cell r="O257" t="str">
            <v>S</v>
          </cell>
          <cell r="P257" t="str">
            <v>NA</v>
          </cell>
          <cell r="Q257" t="str">
            <v>Representar y asesorar judicial, extrajudicial y/o administrativamente a la Secretaría Distrital de Hacienda en la atención  de procesos.</v>
          </cell>
          <cell r="R257">
            <v>4</v>
          </cell>
          <cell r="S257" t="str">
            <v>5 años en la profesión de abogado y específica de 2 años como abogado litigante de entidades públicas o  3 años en el sector privado, en temas laborales, administrativos, civiles, comerciales, tributarios, contractuales o procesales-</v>
          </cell>
          <cell r="T257" t="str">
            <v>Abogado con especialización en áreas del Derecho. La especialización podrá ser homologada con un (1) año de experiencia adicional a la experiencia general.</v>
          </cell>
          <cell r="U257" t="str">
            <v>CONTRATACION DIRECTA</v>
          </cell>
          <cell r="V257" t="str">
            <v>PRINCIPAL</v>
          </cell>
          <cell r="W257" t="str">
            <v>NA</v>
          </cell>
          <cell r="X257" t="str">
            <v>PRESTACION DE SERVICIOS1</v>
          </cell>
          <cell r="Y257">
            <v>271920000</v>
          </cell>
          <cell r="Z257">
            <v>271920000</v>
          </cell>
          <cell r="AA257" t="str">
            <v>12 mes(es)</v>
          </cell>
        </row>
        <row r="258">
          <cell r="C258">
            <v>219</v>
          </cell>
          <cell r="D258">
            <v>3</v>
          </cell>
          <cell r="E258">
            <v>80</v>
          </cell>
          <cell r="F258" t="str">
            <v>INICIAL</v>
          </cell>
          <cell r="G258" t="str">
            <v>RECURSOS PROPIOS</v>
          </cell>
          <cell r="H258">
            <v>63000</v>
          </cell>
          <cell r="I258">
            <v>1</v>
          </cell>
          <cell r="J258" t="str">
            <v>NA</v>
          </cell>
          <cell r="K258" t="str">
            <v>3-1-1-02-03-01 Honorarios Entidad</v>
          </cell>
          <cell r="L258">
            <v>1</v>
          </cell>
          <cell r="M258" t="str">
            <v>NA</v>
          </cell>
          <cell r="N258" t="str">
            <v>NA</v>
          </cell>
          <cell r="O258" t="str">
            <v>S</v>
          </cell>
          <cell r="P258" t="str">
            <v>NA</v>
          </cell>
          <cell r="Q258" t="str">
            <v>Representar y asesorar judicial, extrajudicial y/o administrativamente a la Secretaría Distrital de Hacienda en la atención  de procesos.</v>
          </cell>
          <cell r="R258">
            <v>3</v>
          </cell>
          <cell r="S258" t="str">
            <v>5 años en la profesión de abogado y específica de 2 años como abogado litigante de entidades públicas o  3 años en el sector privado, en temas laborales, administrativos, civiles, comerciales, tributarios, contractuales o procesales.</v>
          </cell>
          <cell r="T258" t="str">
            <v>Abogado con especialización en áreas del Derecho. La especialización podrá ser homologada con un (1) año de experiencia adicional a la experiencia general. --</v>
          </cell>
          <cell r="U258" t="str">
            <v>CONTRATACION DIRECTA</v>
          </cell>
          <cell r="V258" t="str">
            <v>PRINCIPAL</v>
          </cell>
          <cell r="W258" t="str">
            <v>NA</v>
          </cell>
          <cell r="X258" t="str">
            <v>PRESTACION DE SERVICIOS1</v>
          </cell>
          <cell r="Y258">
            <v>189778000</v>
          </cell>
          <cell r="Z258">
            <v>189778000</v>
          </cell>
          <cell r="AA258" t="str">
            <v>11 mes(es)</v>
          </cell>
        </row>
        <row r="259">
          <cell r="C259">
            <v>220</v>
          </cell>
          <cell r="D259">
            <v>3</v>
          </cell>
          <cell r="E259">
            <v>80</v>
          </cell>
          <cell r="F259" t="str">
            <v>INICIAL</v>
          </cell>
          <cell r="G259" t="str">
            <v>RECURSOS PROPIOS</v>
          </cell>
          <cell r="H259">
            <v>62000</v>
          </cell>
          <cell r="I259">
            <v>1</v>
          </cell>
          <cell r="J259" t="str">
            <v>NA</v>
          </cell>
          <cell r="K259" t="str">
            <v>3-1-1-02-03-01 Honorarios Entidad</v>
          </cell>
          <cell r="L259">
            <v>1</v>
          </cell>
          <cell r="M259" t="str">
            <v>NA</v>
          </cell>
          <cell r="N259" t="str">
            <v>NA</v>
          </cell>
          <cell r="O259" t="str">
            <v>S</v>
          </cell>
          <cell r="P259" t="str">
            <v>NA</v>
          </cell>
          <cell r="Q259" t="str">
            <v xml:space="preserve">Prestar asesoría jurídica en materia penal y representar judicial, extrajudicial y/o administrativamente a Bogotá D.C. Secretaría Distrital de Hacienda, en la audiencia de formulación de acusación, audiencia preparatoria, el juicio oral e inclusive hasta </v>
          </cell>
          <cell r="R259">
            <v>1</v>
          </cell>
          <cell r="S259" t="str">
            <v>5 años en la profesión de abogado y específica de 2 años como abogado litigante de entidades públicas o 3 años en el sector privado, en derecho penal.</v>
          </cell>
          <cell r="T259" t="str">
            <v>Abogado  con especialización en áreas del Derecho. La especialización podrá ser homologada con un (1) año de experiencia adicional a la experiencia general. -</v>
          </cell>
          <cell r="U259" t="str">
            <v>CONTRATACION DIRECTA</v>
          </cell>
          <cell r="V259" t="str">
            <v>PRINCIPAL</v>
          </cell>
          <cell r="W259" t="str">
            <v>NA</v>
          </cell>
          <cell r="X259" t="str">
            <v>PRESTACION DE SERVICIOS1</v>
          </cell>
          <cell r="Y259">
            <v>100000000</v>
          </cell>
          <cell r="Z259">
            <v>100000000</v>
          </cell>
          <cell r="AA259" t="str">
            <v>12 mes(es)</v>
          </cell>
        </row>
        <row r="260">
          <cell r="C260">
            <v>221</v>
          </cell>
          <cell r="D260">
            <v>3</v>
          </cell>
          <cell r="E260">
            <v>80</v>
          </cell>
          <cell r="F260" t="str">
            <v>INICIAL</v>
          </cell>
          <cell r="G260" t="str">
            <v>RECURSOS PROPIOS</v>
          </cell>
          <cell r="H260">
            <v>62000</v>
          </cell>
          <cell r="I260">
            <v>1</v>
          </cell>
          <cell r="J260" t="str">
            <v>NA</v>
          </cell>
          <cell r="K260" t="str">
            <v>3-1-1-02-03-01 Honorarios Entidad</v>
          </cell>
          <cell r="L260">
            <v>1</v>
          </cell>
          <cell r="M260" t="str">
            <v>NA</v>
          </cell>
          <cell r="N260" t="str">
            <v>NA</v>
          </cell>
          <cell r="O260" t="str">
            <v>S</v>
          </cell>
          <cell r="P260" t="str">
            <v>NA</v>
          </cell>
          <cell r="Q260" t="str">
            <v>Prestar los servicios de asesoría jurídica y representación prejudicial, judicial y administrativamente en materia penal.</v>
          </cell>
          <cell r="R260">
            <v>1</v>
          </cell>
          <cell r="S260" t="str">
            <v>5 años en la profesión de abogado y específica de 2 años como abogado litigante de entidades públicas o 3 años en el sector privado, en derecho penal. -</v>
          </cell>
          <cell r="T260" t="str">
            <v>Abogado  con especialización en áreas del Derecho. La especialización podrá ser homologada con un (1) año de experiencia adicional a la experiencia general.-</v>
          </cell>
          <cell r="U260" t="str">
            <v>CONTRATACION DIRECTA</v>
          </cell>
          <cell r="V260" t="str">
            <v>PRINCIPAL</v>
          </cell>
          <cell r="W260" t="str">
            <v>NA</v>
          </cell>
          <cell r="X260" t="str">
            <v>PRESTACION DE SERVICIOS1</v>
          </cell>
          <cell r="Y260">
            <v>63634000</v>
          </cell>
          <cell r="Z260">
            <v>63634000</v>
          </cell>
          <cell r="AA260" t="str">
            <v>11 mes(es)</v>
          </cell>
        </row>
        <row r="261">
          <cell r="C261">
            <v>222</v>
          </cell>
          <cell r="D261">
            <v>3</v>
          </cell>
          <cell r="E261">
            <v>80</v>
          </cell>
          <cell r="F261" t="str">
            <v>INICIAL</v>
          </cell>
          <cell r="G261" t="str">
            <v>RECURSOS PROPIOS</v>
          </cell>
          <cell r="H261">
            <v>60000</v>
          </cell>
          <cell r="I261">
            <v>1</v>
          </cell>
          <cell r="J261" t="str">
            <v>NA</v>
          </cell>
          <cell r="K261" t="str">
            <v>3-1-2-02-04 Impresos y  Publicaciones</v>
          </cell>
          <cell r="L261">
            <v>1</v>
          </cell>
          <cell r="M261" t="str">
            <v>NA</v>
          </cell>
          <cell r="N261" t="str">
            <v>NA</v>
          </cell>
          <cell r="O261" t="str">
            <v>S</v>
          </cell>
          <cell r="P261" t="str">
            <v>NA</v>
          </cell>
          <cell r="Q261" t="str">
            <v>Suscripción al servicio de información jurídica actualizada vía internet que permita el acceso a normatividad, jurisprudencia, conceptos y proyectos normativos</v>
          </cell>
          <cell r="R261">
            <v>1</v>
          </cell>
          <cell r="S261" t="str">
            <v>NA</v>
          </cell>
          <cell r="T261" t="str">
            <v>NA</v>
          </cell>
          <cell r="U261" t="str">
            <v>MINIMA CUANTIA</v>
          </cell>
          <cell r="V261" t="str">
            <v>PRINCIPAL</v>
          </cell>
          <cell r="W261" t="str">
            <v>NA</v>
          </cell>
          <cell r="X261" t="str">
            <v>SUSCRIPCION</v>
          </cell>
          <cell r="Y261">
            <v>1700000</v>
          </cell>
          <cell r="Z261">
            <v>1700000</v>
          </cell>
          <cell r="AA261" t="str">
            <v>12 mes(es)</v>
          </cell>
        </row>
        <row r="262">
          <cell r="C262">
            <v>223</v>
          </cell>
          <cell r="D262">
            <v>3</v>
          </cell>
          <cell r="E262">
            <v>80</v>
          </cell>
          <cell r="F262" t="str">
            <v>INICIAL</v>
          </cell>
          <cell r="G262" t="str">
            <v>RECURSOS PROPIOS</v>
          </cell>
          <cell r="H262">
            <v>70000</v>
          </cell>
          <cell r="I262">
            <v>1</v>
          </cell>
          <cell r="J262" t="str">
            <v>NA</v>
          </cell>
          <cell r="K262" t="str">
            <v>3-1-2-01-02 Gastos de Computador</v>
          </cell>
          <cell r="L262">
            <v>1</v>
          </cell>
          <cell r="M262" t="str">
            <v>NA</v>
          </cell>
          <cell r="N262" t="str">
            <v>NA</v>
          </cell>
          <cell r="O262" t="str">
            <v>S</v>
          </cell>
          <cell r="P262" t="str">
            <v>NA</v>
          </cell>
          <cell r="Q262" t="str">
            <v>Prestar los servicios de outsourcing de sistematización y automatización para el control integral del impuesto al consumo de la cerveza, sifones, mezclas y refajos de procedencia nacional y extranjera, y de cigarrillos y tabaco elaborado de procedencia ex</v>
          </cell>
          <cell r="R262">
            <v>1</v>
          </cell>
          <cell r="S262" t="str">
            <v>Relacionada con el objeto a contratar</v>
          </cell>
          <cell r="T262" t="str">
            <v>NA</v>
          </cell>
          <cell r="U262" t="str">
            <v>CONTRATACION DIRECTA</v>
          </cell>
          <cell r="V262" t="str">
            <v>PRINCIPAL</v>
          </cell>
          <cell r="W262" t="str">
            <v>NA</v>
          </cell>
          <cell r="X262" t="str">
            <v>PRESTACION DE SERVICIOS</v>
          </cell>
          <cell r="Y262">
            <v>393000000</v>
          </cell>
          <cell r="Z262">
            <v>393000000</v>
          </cell>
          <cell r="AA262" t="str">
            <v>12 mes(es)</v>
          </cell>
        </row>
        <row r="263">
          <cell r="C263">
            <v>224</v>
          </cell>
          <cell r="D263">
            <v>3</v>
          </cell>
          <cell r="E263">
            <v>80</v>
          </cell>
          <cell r="F263" t="str">
            <v>INICIAL</v>
          </cell>
          <cell r="G263" t="str">
            <v>RECURSOS PROPIOS</v>
          </cell>
          <cell r="H263">
            <v>70000</v>
          </cell>
          <cell r="I263">
            <v>1</v>
          </cell>
          <cell r="J263" t="str">
            <v>NA</v>
          </cell>
          <cell r="K263" t="str">
            <v>3-1-2-02-03 Gastos de Transporte y Comunicación</v>
          </cell>
          <cell r="L263">
            <v>1</v>
          </cell>
          <cell r="M263" t="str">
            <v>NA</v>
          </cell>
          <cell r="N263" t="str">
            <v>NA</v>
          </cell>
          <cell r="O263" t="str">
            <v>S</v>
          </cell>
          <cell r="P263" t="str">
            <v>NA</v>
          </cell>
          <cell r="Q263" t="str">
            <v>Adición y prórroga al contrato 140378, cuyo objeto es: "Contratar servicio de call center con el propósito de ejecutar las campañas de fidelización, control extensivo, control persuasivo y control intensivo que se adelantaran en desarrollo del plan de con</v>
          </cell>
          <cell r="R263" t="str">
            <v>NA</v>
          </cell>
          <cell r="S263" t="str">
            <v>NA</v>
          </cell>
          <cell r="T263" t="str">
            <v>NA</v>
          </cell>
          <cell r="U263" t="str">
            <v>NA</v>
          </cell>
          <cell r="V263" t="str">
            <v>MODIFICACION</v>
          </cell>
          <cell r="W263" t="str">
            <v>AP</v>
          </cell>
          <cell r="X263" t="str">
            <v>PRESTACION DE SERVICIOS</v>
          </cell>
          <cell r="Y263">
            <v>150000000</v>
          </cell>
          <cell r="Z263">
            <v>150000000</v>
          </cell>
          <cell r="AA263" t="str">
            <v>5 mes(es)</v>
          </cell>
        </row>
        <row r="264">
          <cell r="C264">
            <v>225</v>
          </cell>
          <cell r="D264">
            <v>3</v>
          </cell>
          <cell r="E264">
            <v>80</v>
          </cell>
          <cell r="F264" t="str">
            <v>INICIAL</v>
          </cell>
          <cell r="G264" t="str">
            <v>RECURSOS PROPIOS</v>
          </cell>
          <cell r="H264">
            <v>70000</v>
          </cell>
          <cell r="I264">
            <v>1</v>
          </cell>
          <cell r="J264" t="str">
            <v>NA</v>
          </cell>
          <cell r="K264" t="str">
            <v>3-1-2-02-03 Gastos de Transporte y Comunicación</v>
          </cell>
          <cell r="L264">
            <v>1</v>
          </cell>
          <cell r="M264" t="str">
            <v>NA</v>
          </cell>
          <cell r="N264" t="str">
            <v>NA</v>
          </cell>
          <cell r="O264" t="str">
            <v>S</v>
          </cell>
          <cell r="P264" t="str">
            <v>NA</v>
          </cell>
          <cell r="Q264" t="str">
            <v>Obtener acceso a mensajes de texto con el fin de lograr una comunicación directa y efectiva con los usuarios de este dispositivo.--</v>
          </cell>
          <cell r="R264">
            <v>1</v>
          </cell>
          <cell r="S264" t="str">
            <v>Relacionada con el objeto a contratar</v>
          </cell>
          <cell r="T264" t="str">
            <v>NA</v>
          </cell>
          <cell r="U264" t="str">
            <v>MINIMA CUANTIA</v>
          </cell>
          <cell r="V264" t="str">
            <v>PRINCIPAL</v>
          </cell>
          <cell r="W264" t="str">
            <v>NA</v>
          </cell>
          <cell r="X264" t="str">
            <v>PRESTACION DE SERVICIOS</v>
          </cell>
          <cell r="Y264">
            <v>209000000</v>
          </cell>
          <cell r="Z264">
            <v>209000000</v>
          </cell>
          <cell r="AA264" t="str">
            <v>9 mes(es)</v>
          </cell>
        </row>
        <row r="265">
          <cell r="C265">
            <v>226</v>
          </cell>
          <cell r="D265">
            <v>3</v>
          </cell>
          <cell r="E265">
            <v>80</v>
          </cell>
          <cell r="F265" t="str">
            <v>INICIAL</v>
          </cell>
          <cell r="G265" t="str">
            <v>RECURSOS PROPIOS</v>
          </cell>
          <cell r="H265">
            <v>70000</v>
          </cell>
          <cell r="I265">
            <v>1</v>
          </cell>
          <cell r="J265" t="str">
            <v>NA</v>
          </cell>
          <cell r="K265" t="str">
            <v>3-1-2-02-03 Gastos de Transporte y Comunicación</v>
          </cell>
          <cell r="L265">
            <v>1</v>
          </cell>
          <cell r="M265" t="str">
            <v>NA</v>
          </cell>
          <cell r="N265" t="str">
            <v>NA</v>
          </cell>
          <cell r="O265" t="str">
            <v>S</v>
          </cell>
          <cell r="P265" t="str">
            <v>NA</v>
          </cell>
          <cell r="Q265" t="str">
            <v>Adición y prórroga al contrato cuyo objeto consiste en "impresión elaboración, impresión (fija y variable), empaque, alistamiento de los formularios para las declaraciones tributarias distritales, para el pago de las vigencias correspondientes de programa</v>
          </cell>
          <cell r="R265">
            <v>1</v>
          </cell>
          <cell r="S265" t="str">
            <v>NA</v>
          </cell>
          <cell r="T265" t="str">
            <v>NA</v>
          </cell>
          <cell r="U265" t="str">
            <v>NA</v>
          </cell>
          <cell r="V265" t="str">
            <v>MODIFICACION</v>
          </cell>
          <cell r="W265" t="str">
            <v>AP</v>
          </cell>
          <cell r="X265" t="str">
            <v>PRESTACION DE SERVICIOS</v>
          </cell>
          <cell r="Y265">
            <v>369250000</v>
          </cell>
          <cell r="Z265">
            <v>325250000</v>
          </cell>
          <cell r="AA265" t="str">
            <v>4 mes(es)</v>
          </cell>
        </row>
        <row r="266">
          <cell r="C266">
            <v>226</v>
          </cell>
          <cell r="D266">
            <v>3</v>
          </cell>
          <cell r="E266">
            <v>80</v>
          </cell>
          <cell r="F266" t="str">
            <v>INICIAL</v>
          </cell>
          <cell r="G266" t="str">
            <v>RECURSOS PROPIOS</v>
          </cell>
          <cell r="H266">
            <v>70000</v>
          </cell>
          <cell r="I266">
            <v>1</v>
          </cell>
          <cell r="J266" t="str">
            <v>NA</v>
          </cell>
          <cell r="K266" t="str">
            <v>3-1-2-02-04 Impresos y  Publicaciones</v>
          </cell>
          <cell r="L266">
            <v>1</v>
          </cell>
          <cell r="M266" t="str">
            <v>NA</v>
          </cell>
          <cell r="N266" t="str">
            <v>NA</v>
          </cell>
          <cell r="O266" t="str">
            <v>S</v>
          </cell>
          <cell r="P266" t="str">
            <v>NA</v>
          </cell>
          <cell r="Q266" t="str">
            <v>Adición y prórroga al contrato cuyo objeto consiste en "impresión elaboración, impresión (fija y variable), empaque, alistamiento de los formularios para las declaraciones tributarias distritales, para el pago de las vigencias correspondientes de programa</v>
          </cell>
          <cell r="R266">
            <v>1</v>
          </cell>
          <cell r="S266" t="str">
            <v>NA</v>
          </cell>
          <cell r="T266" t="str">
            <v>NA</v>
          </cell>
          <cell r="U266" t="str">
            <v>NA</v>
          </cell>
          <cell r="V266" t="str">
            <v>MODIFICACION</v>
          </cell>
          <cell r="W266" t="str">
            <v>AP</v>
          </cell>
          <cell r="X266" t="str">
            <v>PRESTACION DE SERVICIOS</v>
          </cell>
          <cell r="Y266">
            <v>369250000</v>
          </cell>
          <cell r="Z266">
            <v>44000000</v>
          </cell>
          <cell r="AA266" t="str">
            <v>4 mes(es)</v>
          </cell>
        </row>
        <row r="267">
          <cell r="C267">
            <v>227</v>
          </cell>
          <cell r="D267">
            <v>3</v>
          </cell>
          <cell r="E267">
            <v>14</v>
          </cell>
          <cell r="F267" t="str">
            <v>MODIFICACION</v>
          </cell>
          <cell r="G267" t="str">
            <v>RECURSOS PROPIOS</v>
          </cell>
          <cell r="H267">
            <v>70000</v>
          </cell>
          <cell r="I267">
            <v>1</v>
          </cell>
          <cell r="J267" t="str">
            <v>NA</v>
          </cell>
          <cell r="K267" t="str">
            <v>3-3-1-14-03-31-0703-239239 - Control y servicios tributarios</v>
          </cell>
          <cell r="L267">
            <v>1</v>
          </cell>
          <cell r="M267" t="str">
            <v>2. Recaudar $652,988  millones  producto de acciones  de cobro  e intervención de comportamientos irregulares-</v>
          </cell>
          <cell r="N267" t="str">
            <v>2.3. Desarrollar programas de lucha y control de la evasión-</v>
          </cell>
          <cell r="O267" t="str">
            <v>S</v>
          </cell>
          <cell r="P267" t="str">
            <v>NA</v>
          </cell>
          <cell r="Q267" t="str">
            <v xml:space="preserve">Realizar instrucción técnica en la detección de prácticas de contrabando en materia de cervezas, sifones refajos mezclas de bebidas fermentadas con bebidas no alcohólicas, licores cigarrillos y tabascos elaborados de procedencia extranjera en el Distrito </v>
          </cell>
          <cell r="R267">
            <v>1</v>
          </cell>
          <cell r="S267" t="str">
            <v>NA</v>
          </cell>
          <cell r="T267" t="str">
            <v>NA</v>
          </cell>
          <cell r="U267" t="str">
            <v>CONTRATACION DIRECTA</v>
          </cell>
          <cell r="V267" t="str">
            <v>PRINCIPAL</v>
          </cell>
          <cell r="W267" t="str">
            <v>NA</v>
          </cell>
          <cell r="X267" t="str">
            <v>CONTRATO INTERADMINISTRATIVO</v>
          </cell>
          <cell r="Y267">
            <v>96700000</v>
          </cell>
          <cell r="Z267">
            <v>96700000</v>
          </cell>
          <cell r="AA267" t="str">
            <v>11 mes(es)</v>
          </cell>
        </row>
        <row r="268">
          <cell r="C268">
            <v>228</v>
          </cell>
          <cell r="D268">
            <v>3</v>
          </cell>
          <cell r="E268">
            <v>14</v>
          </cell>
          <cell r="F268" t="str">
            <v>MODIFICACION</v>
          </cell>
          <cell r="G268" t="str">
            <v>RECURSOS PROPIOS</v>
          </cell>
          <cell r="H268">
            <v>70000</v>
          </cell>
          <cell r="I268">
            <v>1</v>
          </cell>
          <cell r="J268" t="str">
            <v>NA</v>
          </cell>
          <cell r="K268" t="str">
            <v>3-3-1-14-03-31-0703-239239 - Control y servicios tributarios</v>
          </cell>
          <cell r="L268">
            <v>1</v>
          </cell>
          <cell r="M268" t="str">
            <v>1.Perfilar al 90%  de los contribuyentes bogotanos a través del aseguramiento de la información tributaria y el uso inteligente de los datos</v>
          </cell>
          <cell r="N268" t="str">
            <v>1.11. Aplicar modelos estadisiticos predictivos sobre los contribuyentes de Bogotá.--</v>
          </cell>
          <cell r="O268" t="str">
            <v>S</v>
          </cell>
          <cell r="P268" t="str">
            <v>NA</v>
          </cell>
          <cell r="Q268" t="str">
            <v>Realizar el estudio económico  y jurídico del sector de la construcción en la ciudad de Bogotá que detalle el comportamiento de este sector en la cadena productiva de tal manera que se identifique la estructura del negocio y su vinculación con los diferen</v>
          </cell>
          <cell r="R268">
            <v>1</v>
          </cell>
          <cell r="S268" t="str">
            <v>5 años en el objeto del contrato-</v>
          </cell>
          <cell r="T268" t="str">
            <v>Persona Natural o jurídica-</v>
          </cell>
          <cell r="U268" t="str">
            <v>CONCURSO DE MERITOS</v>
          </cell>
          <cell r="V268" t="str">
            <v>PRINCIPAL</v>
          </cell>
          <cell r="W268" t="str">
            <v>NA</v>
          </cell>
          <cell r="X268" t="str">
            <v>CONSULTORIA</v>
          </cell>
          <cell r="Y268">
            <v>700000000</v>
          </cell>
          <cell r="Z268">
            <v>700000000</v>
          </cell>
          <cell r="AA268" t="str">
            <v>7 mes(es)</v>
          </cell>
        </row>
        <row r="269">
          <cell r="C269">
            <v>229</v>
          </cell>
          <cell r="D269">
            <v>3</v>
          </cell>
          <cell r="E269">
            <v>80</v>
          </cell>
          <cell r="F269" t="str">
            <v>INICIAL</v>
          </cell>
          <cell r="G269" t="str">
            <v>RECURSOS PROPIOS</v>
          </cell>
          <cell r="H269">
            <v>70000</v>
          </cell>
          <cell r="I269">
            <v>1</v>
          </cell>
          <cell r="J269" t="str">
            <v>NA</v>
          </cell>
          <cell r="K269" t="str">
            <v>3-3-1-14-03-31-0703-239239 - Control y servicios tributarios</v>
          </cell>
          <cell r="L269">
            <v>1</v>
          </cell>
          <cell r="M269" t="str">
            <v>2. Recaudar $652,988  millones  producto de acciones  de cobro  e intervención de comportamientos irregulares.</v>
          </cell>
          <cell r="N269" t="str">
            <v>2.3.Desarrollar programas de lucha y control de la evasión</v>
          </cell>
          <cell r="O269" t="str">
            <v>S</v>
          </cell>
          <cell r="P269" t="str">
            <v>NA</v>
          </cell>
          <cell r="Q269" t="str">
            <v>Prestar los servicios profesionales especializados para apoyar la planeación, implementación y seguimiento del plan anticontrabando en Bogotá</v>
          </cell>
          <cell r="R269">
            <v>1</v>
          </cell>
          <cell r="S269" t="str">
            <v>Experiencia de 10 años en procesos de planeación y ejecución de auditorías, manejo de personal, liderazgo, confidencialidad de la información y/o manejo y solución o situaciones de conflictos.</v>
          </cell>
          <cell r="T269" t="str">
            <v>Profesional  en administración de empresas,  economía o Ingeniería Industrial, con título de postgrado en  Gerencia de negocios, Investigación de operaciones, Administración de proyectos o Derecho Tributario y aduanero</v>
          </cell>
          <cell r="U269" t="str">
            <v>CONTRATACION DIRECTA</v>
          </cell>
          <cell r="V269" t="str">
            <v>PRINCIPAL</v>
          </cell>
          <cell r="W269" t="str">
            <v>NA</v>
          </cell>
          <cell r="X269" t="str">
            <v>PRESTACION DE SERVICIOS</v>
          </cell>
          <cell r="Y269">
            <v>72100000</v>
          </cell>
          <cell r="Z269">
            <v>72100000</v>
          </cell>
          <cell r="AA269" t="str">
            <v>7 mes(es)</v>
          </cell>
        </row>
        <row r="270">
          <cell r="C270">
            <v>231</v>
          </cell>
          <cell r="D270">
            <v>3</v>
          </cell>
          <cell r="E270">
            <v>5</v>
          </cell>
          <cell r="F270" t="str">
            <v>MODIFICACION</v>
          </cell>
          <cell r="G270" t="str">
            <v>RECURSOS PROPIOS</v>
          </cell>
          <cell r="H270">
            <v>70000</v>
          </cell>
          <cell r="I270">
            <v>1</v>
          </cell>
          <cell r="J270" t="str">
            <v>NA</v>
          </cell>
          <cell r="K270" t="str">
            <v>3-3-1-14-03-31-0703-239239 - Control y servicios tributarios</v>
          </cell>
          <cell r="L270">
            <v>1</v>
          </cell>
          <cell r="M270" t="str">
            <v>3. Incrementar a 92% el cumplimiento oportuno de las obligaciones tributarias-2. Recaudar $652,988  millones  producto de acciones  de cobro  e intervención de comportamientos irregulares</v>
          </cell>
          <cell r="N270" t="str">
            <v>3.1. Intervenir comportamientos detectados en los diferentes estudios realizados con respecto a la cultura tributaria en Bogotá y los resultados del perfilamiento de los contribuyentes,  desarrollando programas de cultura tributaria que atiendan a la foca</v>
          </cell>
          <cell r="O270" t="str">
            <v>S</v>
          </cell>
          <cell r="P270" t="str">
            <v>NA</v>
          </cell>
          <cell r="Q270" t="str">
            <v>Aunar esfuerzos humanos, tecnicos, logisticos y administrativos  según sus competencias,  para el diseño y realización de representaciones y actividades de contenido lúdico y pedagógico con los propósitos de formar, informar e incentivar a los contribuyen</v>
          </cell>
          <cell r="R270">
            <v>1</v>
          </cell>
          <cell r="S270" t="str">
            <v>2 años en el objeto del contrato-</v>
          </cell>
          <cell r="T270" t="str">
            <v>Persona Natural o jurídica</v>
          </cell>
          <cell r="U270" t="str">
            <v>CONTRATACION DIRECTA</v>
          </cell>
          <cell r="V270" t="str">
            <v>PRINCIPAL</v>
          </cell>
          <cell r="W270" t="str">
            <v>NA</v>
          </cell>
          <cell r="X270" t="str">
            <v>CONVENIO INTERADMINISTRATIVO</v>
          </cell>
          <cell r="Y270">
            <v>386000000</v>
          </cell>
          <cell r="Z270">
            <v>386000000</v>
          </cell>
          <cell r="AA270" t="str">
            <v>8 mes(es)</v>
          </cell>
        </row>
        <row r="271">
          <cell r="C271">
            <v>232</v>
          </cell>
          <cell r="D271">
            <v>3</v>
          </cell>
          <cell r="E271">
            <v>80</v>
          </cell>
          <cell r="F271" t="str">
            <v>INICIAL</v>
          </cell>
          <cell r="G271" t="str">
            <v>RECURSOS PROPIOS</v>
          </cell>
          <cell r="H271">
            <v>70000</v>
          </cell>
          <cell r="I271">
            <v>1</v>
          </cell>
          <cell r="J271" t="str">
            <v>NA</v>
          </cell>
          <cell r="K271" t="str">
            <v>3-3-1-14-03-31-0703-239239 - Control y servicios tributarios</v>
          </cell>
          <cell r="L271">
            <v>1</v>
          </cell>
          <cell r="M271" t="str">
            <v>3. Incrementar a 92% el cumplimiento oportuno de las obligaciones tributarias.-</v>
          </cell>
          <cell r="N271" t="str">
            <v>3.1. Intervenir comportamientos detectados en los diferentes estudios realizados con respecto a la cultura tributaria en Bogotá y los resultados del perfilamiento de los contribuyentes,  desarrollando programas de cultura tributaria que atiendan a la foca</v>
          </cell>
        </row>
        <row r="272">
          <cell r="C272">
            <v>233</v>
          </cell>
          <cell r="D272">
            <v>3</v>
          </cell>
          <cell r="E272">
            <v>14</v>
          </cell>
          <cell r="F272" t="str">
            <v>MODIFICACION</v>
          </cell>
          <cell r="G272" t="str">
            <v>RECURSOS PROPIOS</v>
          </cell>
          <cell r="H272">
            <v>70000</v>
          </cell>
          <cell r="I272">
            <v>1</v>
          </cell>
          <cell r="J272" t="str">
            <v>NA</v>
          </cell>
          <cell r="K272" t="str">
            <v>3-3-1-14-03-31-0703-239239 - Control y servicios tributarios</v>
          </cell>
          <cell r="L272">
            <v>1</v>
          </cell>
          <cell r="M272" t="str">
            <v>3. Incrementar a 92% el cumplimiento oportuno de las obligaciones tributarias.-</v>
          </cell>
          <cell r="N272" t="str">
            <v>3.4. Adelantar  el Registro maestro de información del contribuyente, a través de la autenticación, enrolamiento y revisión de datos bajo los principios de ciudadano único,  autoatención y actualización permanente.|S|NA|Prestar los servicios integrales pa</v>
          </cell>
        </row>
        <row r="273">
          <cell r="C273">
            <v>237</v>
          </cell>
          <cell r="D273">
            <v>3</v>
          </cell>
          <cell r="E273">
            <v>21</v>
          </cell>
          <cell r="F273" t="str">
            <v>MODIFICACION</v>
          </cell>
          <cell r="G273" t="str">
            <v>RECURSOS PROPIOS</v>
          </cell>
          <cell r="H273">
            <v>70000</v>
          </cell>
          <cell r="I273">
            <v>1</v>
          </cell>
          <cell r="J273" t="str">
            <v>NA</v>
          </cell>
          <cell r="K273" t="str">
            <v>3-3-1-14-03-31-0703-239239 - Control y servicios tributarios</v>
          </cell>
          <cell r="L273">
            <v>1</v>
          </cell>
          <cell r="M273" t="str">
            <v>2. Recaudar $652,988  millones  producto de acciones  de cobro  e intervención de comportamientos irregulares</v>
          </cell>
          <cell r="N273" t="str">
            <v>2.3.Desarrollar programas de lucha y control de la evasión</v>
          </cell>
          <cell r="O273" t="str">
            <v>S</v>
          </cell>
          <cell r="P273" t="str">
            <v>NA</v>
          </cell>
          <cell r="Q273" t="str">
            <v>Apoyar a la Secretaría Distrital de Hacienda en la aplicación de los instrumentos de recolección de información para la identificación, caracterización, georeferenciación, cuantificación y el efecto fiscal del mercado ilegal (contrabando) de cervezas, sif</v>
          </cell>
          <cell r="R273">
            <v>5</v>
          </cell>
          <cell r="S273" t="str">
            <v>Tres meses de experiencia-</v>
          </cell>
          <cell r="T273" t="str">
            <v>Persona natural, Bachiller-</v>
          </cell>
          <cell r="U273" t="str">
            <v>CONTRATACION DIRECTA</v>
          </cell>
          <cell r="V273" t="str">
            <v>PRINCIPAL</v>
          </cell>
          <cell r="W273" t="str">
            <v>NA</v>
          </cell>
          <cell r="X273" t="str">
            <v>PRESTACION DE SERVICIOS</v>
          </cell>
          <cell r="Y273">
            <v>23000000</v>
          </cell>
          <cell r="Z273">
            <v>23000000</v>
          </cell>
          <cell r="AA273" t="str">
            <v>4 mes(es)</v>
          </cell>
        </row>
        <row r="274">
          <cell r="C274">
            <v>241</v>
          </cell>
          <cell r="D274">
            <v>3</v>
          </cell>
          <cell r="E274">
            <v>4</v>
          </cell>
          <cell r="F274" t="str">
            <v>MODIFICACION</v>
          </cell>
          <cell r="G274" t="str">
            <v>RECURSOS PROPIOS</v>
          </cell>
          <cell r="H274">
            <v>90000</v>
          </cell>
          <cell r="I274">
            <v>1</v>
          </cell>
          <cell r="J274" t="str">
            <v>NA</v>
          </cell>
          <cell r="K274" t="str">
            <v>3-1-1-02-04 Remuneración Servicios Técnicos</v>
          </cell>
          <cell r="L274">
            <v>1</v>
          </cell>
          <cell r="M274" t="str">
            <v>NA</v>
          </cell>
          <cell r="N274" t="str">
            <v>NA</v>
          </cell>
          <cell r="O274" t="str">
            <v>S</v>
          </cell>
          <cell r="P274" t="str">
            <v>NA</v>
          </cell>
          <cell r="Q274" t="str">
            <v>Prestar los servicios para la custodia y administración de los valores que le sean confiados en depósito por la Secretaría Distrital de Hacienda-Dirección Distrital de Tesorería y los que le sean transferidos como resultado de transacciones realizadas con</v>
          </cell>
          <cell r="R274">
            <v>1</v>
          </cell>
          <cell r="S274" t="str">
            <v>Relacionada con el objeto a contratar</v>
          </cell>
          <cell r="T274" t="str">
            <v>NA</v>
          </cell>
          <cell r="U274" t="str">
            <v>CONTRATACION DIRECTA</v>
          </cell>
          <cell r="V274" t="str">
            <v>PRINCIPAL</v>
          </cell>
          <cell r="W274" t="str">
            <v>NA</v>
          </cell>
          <cell r="X274" t="str">
            <v>PRESTACION DE SERVICIOS</v>
          </cell>
          <cell r="Y274">
            <v>953000000</v>
          </cell>
          <cell r="Z274">
            <v>953000000</v>
          </cell>
          <cell r="AA274" t="str">
            <v>12 mes(es)</v>
          </cell>
        </row>
        <row r="275">
          <cell r="C275">
            <v>242</v>
          </cell>
          <cell r="D275">
            <v>3</v>
          </cell>
          <cell r="E275">
            <v>80</v>
          </cell>
          <cell r="F275" t="str">
            <v>INICIAL</v>
          </cell>
          <cell r="G275" t="str">
            <v>RECURSOS PROPIOS</v>
          </cell>
          <cell r="H275">
            <v>92000</v>
          </cell>
          <cell r="I275">
            <v>1</v>
          </cell>
          <cell r="J275" t="str">
            <v>NA</v>
          </cell>
          <cell r="K275" t="str">
            <v>3-1-2-01-02 Gastos de Computador</v>
          </cell>
          <cell r="L275">
            <v>1</v>
          </cell>
          <cell r="M275" t="str">
            <v>NA</v>
          </cell>
          <cell r="N275" t="str">
            <v>NA</v>
          </cell>
          <cell r="O275" t="str">
            <v>S</v>
          </cell>
          <cell r="P275" t="str">
            <v>NA</v>
          </cell>
          <cell r="Q275" t="str">
            <v xml:space="preserve">Prestar los servicios para contar con un sistema de negociación y registro para celebrar operaciones, contratos y transacciones sobre valores de deuda pública y privada, inscritos en el Registro Nacional de Valores y Emisores; así como el registro de las </v>
          </cell>
          <cell r="R275">
            <v>1</v>
          </cell>
          <cell r="S275" t="str">
            <v>Relacionada con el objeto a contratar</v>
          </cell>
          <cell r="T275" t="str">
            <v>NA-NA</v>
          </cell>
          <cell r="U275" t="str">
            <v>CONTRATACION DIRECTA</v>
          </cell>
          <cell r="V275" t="str">
            <v>PRINCIPAL</v>
          </cell>
          <cell r="W275" t="str">
            <v>NA</v>
          </cell>
          <cell r="X275" t="str">
            <v>PRESTACION DE SERVICIOS</v>
          </cell>
          <cell r="Y275">
            <v>67000000</v>
          </cell>
          <cell r="Z275">
            <v>67000000</v>
          </cell>
          <cell r="AA275" t="str">
            <v>12 mes(es)</v>
          </cell>
        </row>
        <row r="276">
          <cell r="C276">
            <v>243</v>
          </cell>
          <cell r="D276">
            <v>3</v>
          </cell>
          <cell r="E276">
            <v>7</v>
          </cell>
          <cell r="F276" t="str">
            <v>MODIFICACION</v>
          </cell>
          <cell r="G276" t="str">
            <v>RECURSOS PROPIOS</v>
          </cell>
          <cell r="H276">
            <v>92000</v>
          </cell>
          <cell r="I276">
            <v>1</v>
          </cell>
          <cell r="J276" t="str">
            <v>NA</v>
          </cell>
          <cell r="K276" t="str">
            <v>3-1-2-01-02 Gastos de Computador</v>
          </cell>
          <cell r="L276">
            <v>1</v>
          </cell>
          <cell r="M276" t="str">
            <v>NA</v>
          </cell>
          <cell r="N276" t="str">
            <v>NA</v>
          </cell>
          <cell r="O276" t="str">
            <v>S</v>
          </cell>
          <cell r="P276" t="str">
            <v>NA</v>
          </cell>
          <cell r="Q276" t="str">
            <v>Prestar los servicios para obtener un derecho no exclusivo e intransferible de usar los servicios de información, los datos y software del sistema de información financiero.</v>
          </cell>
          <cell r="R276">
            <v>1</v>
          </cell>
          <cell r="S276" t="str">
            <v>Relacionada con el objeto a contratar</v>
          </cell>
          <cell r="T276" t="str">
            <v>NA</v>
          </cell>
          <cell r="U276" t="str">
            <v>CONTRATACION DIRECTA</v>
          </cell>
          <cell r="V276" t="str">
            <v>PRINCIPAL</v>
          </cell>
          <cell r="W276" t="str">
            <v>NA</v>
          </cell>
          <cell r="X276" t="str">
            <v>PRESTACION DE SERVICIOS</v>
          </cell>
          <cell r="Y276">
            <v>185328000</v>
          </cell>
          <cell r="Z276">
            <v>185328000</v>
          </cell>
          <cell r="AA276" t="str">
            <v>12 mes(es)</v>
          </cell>
        </row>
        <row r="277">
          <cell r="C277">
            <v>244</v>
          </cell>
          <cell r="D277">
            <v>3</v>
          </cell>
          <cell r="E277">
            <v>80</v>
          </cell>
          <cell r="F277" t="str">
            <v>INICIAL</v>
          </cell>
          <cell r="G277" t="str">
            <v>RECURSOS PROPIOS</v>
          </cell>
          <cell r="H277">
            <v>90000</v>
          </cell>
          <cell r="I277">
            <v>1</v>
          </cell>
          <cell r="J277" t="str">
            <v>NA</v>
          </cell>
          <cell r="K277" t="str">
            <v>3-1-2-01-02 Gastos de Computador</v>
          </cell>
          <cell r="L277">
            <v>1</v>
          </cell>
          <cell r="M277" t="str">
            <v>NA</v>
          </cell>
          <cell r="N277" t="str">
            <v>NA</v>
          </cell>
          <cell r="O277" t="str">
            <v>S</v>
          </cell>
          <cell r="P277" t="str">
            <v>NA</v>
          </cell>
          <cell r="Q277" t="str">
            <v>Prestar el servicio de mantenimiento, asesoría, soporte y actualización del software Aplicación para la Administración de Inversiones de Renta Fija, cuya propiedad intelectual es de ALFYN LTDA, y existe en la Dirección Distrital de Tesorería desde 1994, a</v>
          </cell>
          <cell r="R277">
            <v>1</v>
          </cell>
          <cell r="S277" t="str">
            <v>Relacionada con el objeto a contratar</v>
          </cell>
          <cell r="T277" t="str">
            <v>NA</v>
          </cell>
          <cell r="U277" t="str">
            <v>CONTRATACION DIRECTA</v>
          </cell>
          <cell r="V277" t="str">
            <v>PRINCIPAL</v>
          </cell>
          <cell r="W277" t="str">
            <v>NA</v>
          </cell>
          <cell r="X277" t="str">
            <v>PRESTACION DE SERVICIOS</v>
          </cell>
          <cell r="Y277">
            <v>35329700</v>
          </cell>
          <cell r="Z277">
            <v>35329700</v>
          </cell>
          <cell r="AA277" t="str">
            <v>10 mes(es)</v>
          </cell>
        </row>
        <row r="278">
          <cell r="C278">
            <v>245</v>
          </cell>
          <cell r="D278">
            <v>3</v>
          </cell>
          <cell r="E278">
            <v>80</v>
          </cell>
          <cell r="F278" t="str">
            <v>INICIAL</v>
          </cell>
          <cell r="G278" t="str">
            <v>RECURSOS PROPIOS</v>
          </cell>
          <cell r="H278">
            <v>90000</v>
          </cell>
          <cell r="I278">
            <v>1</v>
          </cell>
          <cell r="J278" t="str">
            <v>NA</v>
          </cell>
          <cell r="K278" t="str">
            <v>3-1-2-01-02 Gastos de Computador</v>
          </cell>
          <cell r="L278">
            <v>1</v>
          </cell>
          <cell r="M278" t="str">
            <v>NA</v>
          </cell>
          <cell r="N278" t="str">
            <v>NA</v>
          </cell>
          <cell r="O278" t="str">
            <v>S</v>
          </cell>
          <cell r="P278" t="str">
            <v>NA</v>
          </cell>
          <cell r="Q278" t="str">
            <v>Prestar los servicios para permitir el acceso a la información de los productos publicados a través de Internet con el fin de utilizar la misma  para realizar valoraciones, simulaciones, anàlisis, càlculos u otros.-</v>
          </cell>
          <cell r="R278">
            <v>1</v>
          </cell>
          <cell r="S278" t="str">
            <v>Relacionado con el objeto a contratar</v>
          </cell>
          <cell r="T278" t="str">
            <v>NA</v>
          </cell>
          <cell r="U278" t="str">
            <v>MINIMA CUANTIA</v>
          </cell>
          <cell r="V278" t="str">
            <v>PRINCIPAL</v>
          </cell>
          <cell r="W278" t="str">
            <v>NA</v>
          </cell>
          <cell r="X278" t="str">
            <v>PRESTACION DE SERVICIOS</v>
          </cell>
          <cell r="Y278">
            <v>13847732</v>
          </cell>
          <cell r="Z278">
            <v>13847732</v>
          </cell>
          <cell r="AA278" t="str">
            <v>9.5 mes(es)</v>
          </cell>
        </row>
        <row r="279">
          <cell r="C279">
            <v>246</v>
          </cell>
          <cell r="D279">
            <v>3</v>
          </cell>
          <cell r="E279">
            <v>80</v>
          </cell>
          <cell r="F279" t="str">
            <v>INICIAL</v>
          </cell>
          <cell r="G279" t="str">
            <v>RECURSOS PROPIOS</v>
          </cell>
          <cell r="H279">
            <v>92000</v>
          </cell>
          <cell r="I279">
            <v>1</v>
          </cell>
          <cell r="J279" t="str">
            <v>NA</v>
          </cell>
          <cell r="K279" t="str">
            <v>3-1-2-02-04 Impresos y  Publicaciones</v>
          </cell>
          <cell r="L279">
            <v>1</v>
          </cell>
          <cell r="M279" t="str">
            <v>NA</v>
          </cell>
          <cell r="N279" t="str">
            <v>NA</v>
          </cell>
          <cell r="O279" t="str">
            <v>S</v>
          </cell>
          <cell r="P279" t="str">
            <v>NA</v>
          </cell>
          <cell r="Q279" t="str">
            <v>Suscripción a un servicio periodístico por internet, especializado en el sector financiero y económico de actualización permanente.</v>
          </cell>
          <cell r="R279">
            <v>1</v>
          </cell>
          <cell r="S279" t="str">
            <v>Relacionada con el objeto a contratar</v>
          </cell>
          <cell r="T279" t="str">
            <v>NA</v>
          </cell>
          <cell r="U279" t="str">
            <v>CONTRATACION DIRECTA</v>
          </cell>
          <cell r="V279" t="str">
            <v>PRINCIPAL</v>
          </cell>
          <cell r="W279" t="str">
            <v>NA</v>
          </cell>
          <cell r="X279" t="str">
            <v>SUSCRIPCION</v>
          </cell>
          <cell r="Y279">
            <v>8776000</v>
          </cell>
          <cell r="Z279">
            <v>8776000</v>
          </cell>
          <cell r="AA279" t="str">
            <v>12 mes(es)</v>
          </cell>
        </row>
        <row r="280">
          <cell r="C280">
            <v>247</v>
          </cell>
          <cell r="D280">
            <v>3</v>
          </cell>
          <cell r="E280">
            <v>80</v>
          </cell>
          <cell r="F280" t="str">
            <v>INICIAL</v>
          </cell>
          <cell r="G280" t="str">
            <v>RECURSOS PROPIOS</v>
          </cell>
          <cell r="H280">
            <v>100000</v>
          </cell>
          <cell r="I280">
            <v>1</v>
          </cell>
          <cell r="J280" t="str">
            <v>NA</v>
          </cell>
          <cell r="K280" t="str">
            <v>3-1-1-02-03-01 Honorarios Entidad</v>
          </cell>
          <cell r="L280">
            <v>1</v>
          </cell>
          <cell r="M280" t="str">
            <v>NA</v>
          </cell>
          <cell r="N280" t="str">
            <v>NA</v>
          </cell>
          <cell r="O280" t="str">
            <v>S</v>
          </cell>
          <cell r="P280" t="str">
            <v>NA</v>
          </cell>
          <cell r="Q280" t="str">
            <v>Realizar y asesorar en el análisis del impacto de la implementación de las Normas Internacionales de Contabilidad aplicables al Sector Público en las diferentes situaciones que caracterizan los hechos económicos de los entes públicos del Distrito Capital</v>
          </cell>
          <cell r="R280">
            <v>1</v>
          </cell>
          <cell r="S280" t="str">
            <v>Relacionada con el objeto a contratar</v>
          </cell>
          <cell r="T280" t="str">
            <v>NA</v>
          </cell>
          <cell r="U280" t="str">
            <v>CONCURSO DE MERITOS</v>
          </cell>
          <cell r="V280" t="str">
            <v>PRINCIPAL</v>
          </cell>
          <cell r="W280" t="str">
            <v>NA</v>
          </cell>
          <cell r="X280" t="str">
            <v>CONSULTORIA</v>
          </cell>
          <cell r="Y280">
            <v>250000000</v>
          </cell>
          <cell r="Z280">
            <v>250000000</v>
          </cell>
          <cell r="AA280" t="str">
            <v>6 mes(es)</v>
          </cell>
        </row>
        <row r="281">
          <cell r="C281">
            <v>248</v>
          </cell>
          <cell r="D281">
            <v>3</v>
          </cell>
          <cell r="E281">
            <v>80</v>
          </cell>
          <cell r="F281" t="str">
            <v>INICIAL</v>
          </cell>
          <cell r="G281" t="str">
            <v>RECURSOS PROPIOS</v>
          </cell>
          <cell r="H281">
            <v>100000</v>
          </cell>
          <cell r="I281">
            <v>1</v>
          </cell>
          <cell r="J281" t="str">
            <v>NA</v>
          </cell>
          <cell r="K281" t="str">
            <v>3-3-1-14-03-31-0704-239239 - Fortalecimiento de la gestión y depuración de la cartera distrital</v>
          </cell>
          <cell r="L281">
            <v>1</v>
          </cell>
          <cell r="M281" t="str">
            <v>Meta 3. Depurar el 100% de las bases de datos de la  cartera que se refleja en la información contable (1,9 billones), que permitan determinar la cartera cobrable a corto y mediano plazo y la que se requiere depurar</v>
          </cell>
          <cell r="N281" t="str">
            <v>3.1. Establecer procedimiento para la depuración de la cartera. 3.2. Revisión y aprobación de las partidas a depurar.</v>
          </cell>
          <cell r="O281" t="str">
            <v>S</v>
          </cell>
          <cell r="P281" t="str">
            <v>NA</v>
          </cell>
          <cell r="Q281" t="str">
            <v>Prestar los servicios profesionales en el proceso de revisión para la aprobación por parte de cada una de las entidades de las partidas a depurar; así como, apoyar técnicamente a la gerencia en la ejecución del proyecto.</v>
          </cell>
          <cell r="R281">
            <v>1</v>
          </cell>
          <cell r="S281" t="str">
            <v>6 años de experiencia profesional dos de los cuales deben ser relacionados con el manejo de temas financieros</v>
          </cell>
          <cell r="T281" t="str">
            <v>Contador P/ Economista /Administrador P/Administrador de Empresas/ Ingeniero Industrial / Estadístico.-Especialización o dos años de experiencia adicional</v>
          </cell>
          <cell r="U281" t="str">
            <v>CONTRATACION DIRECTA</v>
          </cell>
          <cell r="V281" t="str">
            <v>PRINCIPAL</v>
          </cell>
          <cell r="W281" t="str">
            <v>NA</v>
          </cell>
          <cell r="X281" t="str">
            <v>PRESTACION DE SERVICIOS1</v>
          </cell>
          <cell r="Y281">
            <v>96151000</v>
          </cell>
          <cell r="Z281">
            <v>96151000</v>
          </cell>
          <cell r="AA281" t="str">
            <v>11 mes(es)</v>
          </cell>
        </row>
        <row r="282">
          <cell r="C282">
            <v>249</v>
          </cell>
          <cell r="D282">
            <v>3</v>
          </cell>
          <cell r="E282">
            <v>80</v>
          </cell>
          <cell r="F282" t="str">
            <v>INICIAL</v>
          </cell>
          <cell r="G282" t="str">
            <v>RECURSOS PROPIOS</v>
          </cell>
          <cell r="H282">
            <v>100000</v>
          </cell>
          <cell r="I282">
            <v>1</v>
          </cell>
          <cell r="J282" t="str">
            <v>NA</v>
          </cell>
          <cell r="K282" t="str">
            <v>3-3-1-14-03-31-0704-239239 - Fortalecimiento de la gestión y depuración de la cartera distrital</v>
          </cell>
          <cell r="L282">
            <v>1</v>
          </cell>
          <cell r="M282" t="str">
            <v>Meta 3. Depurar el 100% de las bases de datos de la  cartera que se refleja en la información contable (1,9 billones), que permitan determinar la cartera cobrable a corto y mediano plazo y la que se requiere depurar</v>
          </cell>
          <cell r="N282" t="str">
            <v>3.3. Reflejar la depuración en los sistemas de información y en los registros contables. 3.4. Preparar protocolo para hacer auditorias para verificar la idoneidad y transparencia del ejercicio.</v>
          </cell>
          <cell r="O282" t="str">
            <v>S</v>
          </cell>
          <cell r="P282" t="str">
            <v>NA</v>
          </cell>
          <cell r="Q282" t="str">
            <v>Prestar los servicios profesionales para realizar acompañamiento a las entidades en el proceso de afectación de las cifras contables y realizar  el seguimiento e implementación de diferentes criterios de depuración de la cartera.</v>
          </cell>
          <cell r="R282">
            <v>1</v>
          </cell>
          <cell r="S282" t="str">
            <v>5 años de experiencia profesional dos de los cuales deben ser relacionados con el manejo de temas financieros.</v>
          </cell>
          <cell r="T282" t="str">
            <v>Contador P/ Economista /Administrador P/Administrador de Empresas/ Ingeniero Industrial / Estadístico.-Especialización o dos años de experiencia adicional.</v>
          </cell>
          <cell r="U282" t="str">
            <v>CONTRATACION DIRECTA</v>
          </cell>
          <cell r="V282" t="str">
            <v>PRINCIPAL</v>
          </cell>
          <cell r="W282" t="str">
            <v>NA</v>
          </cell>
          <cell r="X282" t="str">
            <v>PRESTACION DE SERVICIOS1</v>
          </cell>
          <cell r="Y282">
            <v>49162500</v>
          </cell>
          <cell r="Z282">
            <v>49162500</v>
          </cell>
          <cell r="AA282" t="str">
            <v>7.5 mes(es)</v>
          </cell>
        </row>
        <row r="283">
          <cell r="C283">
            <v>250</v>
          </cell>
          <cell r="D283">
            <v>3</v>
          </cell>
          <cell r="E283">
            <v>80</v>
          </cell>
          <cell r="F283" t="str">
            <v>INICIAL</v>
          </cell>
          <cell r="G283" t="str">
            <v>RECURSOS PROPIOS</v>
          </cell>
          <cell r="H283">
            <v>100000</v>
          </cell>
          <cell r="I283">
            <v>1</v>
          </cell>
          <cell r="J283" t="str">
            <v>NA</v>
          </cell>
          <cell r="K283" t="str">
            <v>3-3-1-14-03-31-0704-239239 - Fortalecimiento de la gestión y depuración de la cartera distrital</v>
          </cell>
          <cell r="L283">
            <v>1</v>
          </cell>
          <cell r="M283" t="str">
            <v>Meta 3: Depurar el 100% de las bases de datos de la  cartera que se refleja en la información contable (1,9 billones), que permitan determinar la cartera cobrable a corto y mediano plazo y la que se requiere depurar.</v>
          </cell>
          <cell r="N283" t="str">
            <v>3.5 Asesorar y capacitar jurídicamente el proceso de depuración en cada una de las entidades objeto del proyecto.</v>
          </cell>
          <cell r="O283" t="str">
            <v>S</v>
          </cell>
          <cell r="P283" t="str">
            <v>NA</v>
          </cell>
          <cell r="Q283" t="str">
            <v>Prestar los servicios profesionales para realizar acompañamiento jurídico a las entidades objeto del proyecto en el proceso de depuración de cartera.</v>
          </cell>
          <cell r="R283">
            <v>1</v>
          </cell>
          <cell r="S283" t="str">
            <v>5 años de experiencia profesional dos de los cuales deben ser relacionados con el manejo de temas jurídicos.</v>
          </cell>
          <cell r="T283" t="str">
            <v>Derecho-Especialización o dos años de experiencia adicional</v>
          </cell>
          <cell r="U283" t="str">
            <v>CONTRATACION DIRECTA</v>
          </cell>
          <cell r="V283" t="str">
            <v>PRINCIPAL</v>
          </cell>
          <cell r="W283" t="str">
            <v>NA</v>
          </cell>
          <cell r="X283" t="str">
            <v>PRESTACION DE SERVICIOS1</v>
          </cell>
          <cell r="Y283">
            <v>65550000</v>
          </cell>
          <cell r="Z283">
            <v>65550000</v>
          </cell>
          <cell r="AA283" t="str">
            <v>10 mes(es)</v>
          </cell>
        </row>
        <row r="284">
          <cell r="C284">
            <v>251</v>
          </cell>
          <cell r="D284">
            <v>3</v>
          </cell>
          <cell r="E284">
            <v>80</v>
          </cell>
          <cell r="F284" t="str">
            <v>INICIAL</v>
          </cell>
          <cell r="G284" t="str">
            <v>RECURSOS PROPIOS</v>
          </cell>
          <cell r="H284">
            <v>100000</v>
          </cell>
          <cell r="I284">
            <v>1</v>
          </cell>
          <cell r="J284" t="str">
            <v>NA</v>
          </cell>
          <cell r="K284" t="str">
            <v>3-3-1-14-03-31-0704-239239 - Fortalecimiento de la gestión y depuración de la cartera distrital</v>
          </cell>
          <cell r="L284">
            <v>1</v>
          </cell>
          <cell r="M284" t="str">
            <v>Meta 4: Implementar el 100% del Plan de Gestión unificado de Cartera referido a las actividades administrativas requeridas para lograr la recuperación de los derechos pendientes de cobro, incluyendo todas las actividades jurídicas, administrativas y técni</v>
          </cell>
          <cell r="N284" t="str">
            <v>4.1 Elaboración de tipologías de clasificación y calificación de cartera para el Distrito Capital.  4.2 Capacitación y alistamientos de los equipos de trabajo en las entidades.</v>
          </cell>
          <cell r="O284" t="str">
            <v>S</v>
          </cell>
          <cell r="P284" t="str">
            <v>NA</v>
          </cell>
          <cell r="Q284" t="str">
            <v>Prestar los servicios profesionales para divulgar y socializar a los funcionarios de las  entidades objeto del proyecto que realizan la gestión de la cartera temas relacionados con la clasificación, calificación y los documentos que soportan las cuentas p</v>
          </cell>
          <cell r="R284">
            <v>2</v>
          </cell>
          <cell r="S284" t="str">
            <v>5 años de experiencia profesional dos de los cuales deben ser relacionados con el manejo de temas financieros</v>
          </cell>
          <cell r="T284" t="str">
            <v>Contador P/ Economista /Administrador P/Administrador de Empresas/ Ingeniero Industrial  / Estadístico.-Especialización o dos años de experiencia adicional</v>
          </cell>
          <cell r="U284" t="str">
            <v>CONTRATACION DIRECTA</v>
          </cell>
          <cell r="V284" t="str">
            <v>PRINCIPAL</v>
          </cell>
          <cell r="W284" t="str">
            <v>NA</v>
          </cell>
          <cell r="X284" t="str">
            <v>PRESTACION DE SERVICIOS1</v>
          </cell>
          <cell r="Y284">
            <v>91770000</v>
          </cell>
          <cell r="Z284">
            <v>91770000</v>
          </cell>
          <cell r="AA284" t="str">
            <v>7 mes(es)</v>
          </cell>
        </row>
        <row r="285">
          <cell r="C285">
            <v>252</v>
          </cell>
          <cell r="D285">
            <v>3</v>
          </cell>
          <cell r="E285">
            <v>80</v>
          </cell>
          <cell r="F285" t="str">
            <v>INICIAL</v>
          </cell>
          <cell r="G285" t="str">
            <v>RECURSOS PROPIOS</v>
          </cell>
          <cell r="H285">
            <v>100000</v>
          </cell>
          <cell r="I285">
            <v>1</v>
          </cell>
          <cell r="J285" t="str">
            <v>NA</v>
          </cell>
          <cell r="K285" t="str">
            <v>3-3-1-14-03-31-0704-239239 - Fortalecimiento de la gestión y depuración de la cartera distrital</v>
          </cell>
          <cell r="L285">
            <v>1</v>
          </cell>
          <cell r="M285" t="str">
            <v>Meta 4: Implementar el 100% del Plan de Gestión unificado de Cartera referido a las actividades administrativas requeridas para lograr la recuperación de los derechos pendientes de cobro, incluyendo todas las actividades jurídicas, administrativas y técni</v>
          </cell>
          <cell r="N285" t="str">
            <v>4.3. Revisión de los soportes documentales de la cartera cobrable y completar lo que haga falta.  4.4 Hacer seguimiento al cronograma de trabajo</v>
          </cell>
          <cell r="O285" t="str">
            <v>S</v>
          </cell>
          <cell r="P285" t="str">
            <v>NA</v>
          </cell>
          <cell r="Q285" t="str">
            <v>Elaborar y divulgar un documento guía que contenga la relación de soportes documentales para determinar los faltantes y  la cartera cobrable en las entidades objeto del proyecto.</v>
          </cell>
          <cell r="R285">
            <v>2</v>
          </cell>
          <cell r="S285" t="str">
            <v>5 años de experiencia profesional dos de los cuales deben ser relacionados con el manejo de temas financieros</v>
          </cell>
          <cell r="T285" t="str">
            <v>Contador P/ Economista /Administrador P/Administrador de Empresas/ Ingeniero Industrial  / Estadístico.-Especialización o dos años de experiencia adicional</v>
          </cell>
          <cell r="U285" t="str">
            <v>CONTRATACION DIRECTA</v>
          </cell>
          <cell r="V285" t="str">
            <v>PRINCIPAL</v>
          </cell>
          <cell r="W285" t="str">
            <v>NA</v>
          </cell>
          <cell r="X285" t="str">
            <v>PRESTACION DE SERVICIOS1</v>
          </cell>
          <cell r="Y285">
            <v>91770000</v>
          </cell>
          <cell r="Z285">
            <v>91770000</v>
          </cell>
          <cell r="AA285" t="str">
            <v>7 mes(es)</v>
          </cell>
        </row>
        <row r="286">
          <cell r="C286">
            <v>253</v>
          </cell>
          <cell r="D286">
            <v>3</v>
          </cell>
          <cell r="E286">
            <v>80</v>
          </cell>
          <cell r="F286" t="str">
            <v>INICIAL</v>
          </cell>
          <cell r="G286" t="str">
            <v>RECURSOS PROPIOS</v>
          </cell>
          <cell r="H286">
            <v>100000</v>
          </cell>
          <cell r="I286">
            <v>1</v>
          </cell>
          <cell r="J286" t="str">
            <v>NA</v>
          </cell>
          <cell r="K286" t="str">
            <v>3-3-1-14-03-31-0704-239239 - Fortalecimiento de la gestión y depuración de la cartera distrital</v>
          </cell>
          <cell r="L286">
            <v>1</v>
          </cell>
          <cell r="M286" t="str">
            <v>Meta 4: Implementar el 100% del Plan de Gestión unificado de Cartera referido a las actividades administrativas requeridas para lograr la recuperación de los derechos pendientes de cobro, incluyendo todas las actividades jurídicas, administrativas y técni</v>
          </cell>
          <cell r="N286" t="str">
            <v>4.5 Asesorar y capacitar jurídicamente el proceso de gestión de cobro en cada una de las entidades objeto del proyecto.</v>
          </cell>
          <cell r="O286" t="str">
            <v>S</v>
          </cell>
          <cell r="P286" t="str">
            <v>NA</v>
          </cell>
          <cell r="Q286" t="str">
            <v>Prestar los servicios profesionales para realizar acompañamiento jurídico para mejorar el proceso de gestión de cobro en cada una de las entidades objeto del proyecto.</v>
          </cell>
          <cell r="R286">
            <v>1</v>
          </cell>
          <cell r="S286" t="str">
            <v>5 años de experiencia profesional dos de los cuales deben ser relacionados con el manejo de temas jurídicos.</v>
          </cell>
          <cell r="T286" t="str">
            <v>Derecho -Especialización o dos años de experiencia adicional</v>
          </cell>
          <cell r="U286" t="str">
            <v>CONTRATACION DIRECTA</v>
          </cell>
          <cell r="V286" t="str">
            <v>PRINCIPAL</v>
          </cell>
          <cell r="W286" t="str">
            <v>NA</v>
          </cell>
          <cell r="X286" t="str">
            <v>PRESTACION DE SERVICIOS1</v>
          </cell>
          <cell r="Y286">
            <v>58995000</v>
          </cell>
          <cell r="Z286">
            <v>58995000</v>
          </cell>
          <cell r="AA286" t="str">
            <v>9 mes(es)</v>
          </cell>
        </row>
        <row r="287">
          <cell r="C287">
            <v>254</v>
          </cell>
          <cell r="D287">
            <v>3</v>
          </cell>
          <cell r="E287">
            <v>80</v>
          </cell>
          <cell r="F287" t="str">
            <v>INICIAL</v>
          </cell>
          <cell r="G287" t="str">
            <v>RECURSOS PROPIOS</v>
          </cell>
          <cell r="H287">
            <v>100000</v>
          </cell>
          <cell r="I287">
            <v>1</v>
          </cell>
          <cell r="J287" t="str">
            <v>NA</v>
          </cell>
          <cell r="K287" t="str">
            <v>3-3-1-14-03-31-0704-239239 - Fortalecimiento de la gestión y depuración de la cartera distrital</v>
          </cell>
          <cell r="L287">
            <v>1</v>
          </cell>
          <cell r="M287" t="str">
            <v>Meta 5: Implementar el 100% del plan de seguimiento expost que garantice la adopción de buenas prácticas de gestión de cartera en las entidades</v>
          </cell>
          <cell r="N287" t="str">
            <v>5.1 Formular el plan de seguimiento expost.  5.2 Diseñar el reporte de seguimiento.  5.3 Enviar retroalimentación a cada entidad</v>
          </cell>
          <cell r="O287" t="str">
            <v>S</v>
          </cell>
          <cell r="P287" t="str">
            <v>NA</v>
          </cell>
          <cell r="Q287" t="str">
            <v>Diseñar el plan y el reporte de seguimiento expost que garantice la adopción de buenas prácticas de gestión de cartera en las entidades.</v>
          </cell>
          <cell r="R287">
            <v>1</v>
          </cell>
          <cell r="S287" t="str">
            <v>3 años de experiencia profesional dos de los cuales deben ser relacionados con el manejo de temas financieros</v>
          </cell>
          <cell r="T287" t="str">
            <v>Contador P/ Economista /Administrador P/Administrador de Empresas/ Ingeniero Industrial  Estadístico con  Especialización o dos años de experiencia adicional</v>
          </cell>
          <cell r="U287" t="str">
            <v>CONTRATACION DIRECTA</v>
          </cell>
          <cell r="V287" t="str">
            <v>PRINCIPAL</v>
          </cell>
          <cell r="W287" t="str">
            <v>NA</v>
          </cell>
          <cell r="X287" t="str">
            <v>PRESTACION DE SERVICIOS1</v>
          </cell>
          <cell r="Y287">
            <v>46601500</v>
          </cell>
          <cell r="Z287">
            <v>46601500</v>
          </cell>
          <cell r="AA287" t="str">
            <v>7.5 mes(es)</v>
          </cell>
        </row>
        <row r="288">
          <cell r="C288">
            <v>255</v>
          </cell>
          <cell r="D288">
            <v>3</v>
          </cell>
          <cell r="E288">
            <v>80</v>
          </cell>
          <cell r="F288" t="str">
            <v>INICIAL</v>
          </cell>
          <cell r="G288" t="str">
            <v>RECURSOS PROPIOS</v>
          </cell>
          <cell r="H288">
            <v>50000</v>
          </cell>
          <cell r="I288">
            <v>1</v>
          </cell>
          <cell r="J288" t="str">
            <v>NA</v>
          </cell>
          <cell r="K288" t="str">
            <v>3-3-1-14-03-31-0698-239239 - Coordinación de inversiones de Banca Multilateral</v>
          </cell>
          <cell r="L288">
            <v>1</v>
          </cell>
          <cell r="M288" t="str">
            <v>Realizar el 100% de las actividades de seguimiento y asesoria técnica requeridas para el desarrollo de los proyectos financiados con recursos de Banca Multilateral</v>
          </cell>
          <cell r="N288" t="str">
            <v>Asistencia técnica, contable. financiera, social, ambiental, presupuestal y de contratación dirigidas a las entidades distritales ejecutoras de los proyectos financiados con recursos de banca multilateral - Gestion de seguimiento y supervisión de la ejecu</v>
          </cell>
          <cell r="O288" t="str">
            <v>S</v>
          </cell>
          <cell r="P288" t="str">
            <v>NA</v>
          </cell>
          <cell r="Q288" t="str">
            <v>Adición y prorroga al contrato No. 140025-0-2014, cuyo objeto es " Asesorar a la Dirección Distrital de Crédito Público - Subdirección de Banca Multilateral y Operaciones de la Secretaría Distrital de Hacienda y a las entidades ejecutoras, en los procesos</v>
          </cell>
          <cell r="R288" t="str">
            <v>NA</v>
          </cell>
          <cell r="S288" t="str">
            <v>NA</v>
          </cell>
          <cell r="T288" t="str">
            <v>NA</v>
          </cell>
          <cell r="U288" t="str">
            <v>NA</v>
          </cell>
          <cell r="V288" t="str">
            <v>MODIFICACION</v>
          </cell>
          <cell r="W288" t="str">
            <v>AP</v>
          </cell>
          <cell r="X288" t="str">
            <v>CONSULTORIA</v>
          </cell>
          <cell r="Y288">
            <v>32077085</v>
          </cell>
          <cell r="Z288">
            <v>32077085</v>
          </cell>
          <cell r="AA288" t="str">
            <v>5 mes(es)</v>
          </cell>
        </row>
        <row r="289">
          <cell r="C289">
            <v>256</v>
          </cell>
          <cell r="D289">
            <v>3</v>
          </cell>
          <cell r="E289">
            <v>80</v>
          </cell>
          <cell r="F289" t="str">
            <v>INICIAL</v>
          </cell>
          <cell r="G289" t="str">
            <v>RECURSOS PROPIOS</v>
          </cell>
          <cell r="H289">
            <v>110000</v>
          </cell>
          <cell r="I289">
            <v>3</v>
          </cell>
          <cell r="J289" t="str">
            <v>NA</v>
          </cell>
          <cell r="K289" t="str">
            <v>3-2-1-03Comisiones y Otros</v>
          </cell>
          <cell r="L289">
            <v>1</v>
          </cell>
          <cell r="M289" t="str">
            <v>NA</v>
          </cell>
          <cell r="N289" t="str">
            <v>NA</v>
          </cell>
          <cell r="O289" t="str">
            <v>S</v>
          </cell>
          <cell r="P289" t="str">
            <v>NA</v>
          </cell>
          <cell r="Q289" t="str">
            <v>Administración de los títulos del Programa de Emisión y Colocación de Bogotá D.C.</v>
          </cell>
          <cell r="R289">
            <v>1</v>
          </cell>
          <cell r="S289" t="str">
            <v>Relacionada con el objeto a contratar</v>
          </cell>
          <cell r="T289" t="str">
            <v>NA</v>
          </cell>
          <cell r="U289" t="str">
            <v>CONTRATACION DIRECTA</v>
          </cell>
          <cell r="V289" t="str">
            <v>PRINCIPAL</v>
          </cell>
          <cell r="W289" t="str">
            <v>NA</v>
          </cell>
          <cell r="X289" t="str">
            <v>PRESTACION DE SERVICIOS</v>
          </cell>
          <cell r="Y289">
            <v>70400000</v>
          </cell>
          <cell r="Z289">
            <v>70400000</v>
          </cell>
          <cell r="AA289" t="str">
            <v>12 mes(es)</v>
          </cell>
        </row>
        <row r="290">
          <cell r="C290">
            <v>257</v>
          </cell>
          <cell r="D290">
            <v>3</v>
          </cell>
          <cell r="E290">
            <v>80</v>
          </cell>
          <cell r="F290" t="str">
            <v>INICIAL</v>
          </cell>
          <cell r="G290" t="str">
            <v>RECURSOS PROPIOS</v>
          </cell>
          <cell r="H290">
            <v>110000</v>
          </cell>
          <cell r="I290">
            <v>3</v>
          </cell>
          <cell r="J290" t="str">
            <v>NA</v>
          </cell>
          <cell r="K290" t="str">
            <v>3-2-1-03Comisiones y Otros</v>
          </cell>
          <cell r="L290">
            <v>1</v>
          </cell>
          <cell r="M290" t="str">
            <v>NA</v>
          </cell>
          <cell r="N290" t="str">
            <v>NA</v>
          </cell>
          <cell r="O290" t="str">
            <v>S</v>
          </cell>
          <cell r="P290" t="str">
            <v>NA</v>
          </cell>
          <cell r="Q290" t="str">
            <v>Prestar el servicio como representante de los tenedores de los bonos de deuda pùblica interna del Programa de Emisiòn y Colocación.</v>
          </cell>
          <cell r="R290">
            <v>1</v>
          </cell>
          <cell r="S290" t="str">
            <v>Relacionada con el objeto a contratar-</v>
          </cell>
          <cell r="T290" t="str">
            <v>NA</v>
          </cell>
          <cell r="U290" t="str">
            <v>CONTRATACION DIRECTA</v>
          </cell>
          <cell r="V290" t="str">
            <v>PRINCIPAL</v>
          </cell>
          <cell r="W290" t="str">
            <v>NA</v>
          </cell>
          <cell r="X290" t="str">
            <v>PRESTACION DE SERVICIOS</v>
          </cell>
          <cell r="Y290">
            <v>45019253</v>
          </cell>
          <cell r="Z290">
            <v>45019253</v>
          </cell>
          <cell r="AA290" t="str">
            <v>12 mes(es)</v>
          </cell>
        </row>
        <row r="291">
          <cell r="C291">
            <v>258</v>
          </cell>
          <cell r="D291">
            <v>3</v>
          </cell>
          <cell r="E291">
            <v>80</v>
          </cell>
          <cell r="F291" t="str">
            <v>INICIAL</v>
          </cell>
          <cell r="G291" t="str">
            <v>RECURSOS PROPIOS</v>
          </cell>
          <cell r="H291">
            <v>110000</v>
          </cell>
          <cell r="I291">
            <v>3</v>
          </cell>
          <cell r="J291" t="str">
            <v>NA</v>
          </cell>
          <cell r="K291" t="str">
            <v>3-2-1-03Comisiones y Otros</v>
          </cell>
          <cell r="L291">
            <v>1</v>
          </cell>
          <cell r="M291" t="str">
            <v>NA</v>
          </cell>
          <cell r="N291" t="str">
            <v>NA</v>
          </cell>
          <cell r="O291" t="str">
            <v>S</v>
          </cell>
          <cell r="P291" t="str">
            <v>NA</v>
          </cell>
          <cell r="Q291" t="str">
            <v>Calificar la emisión de bonos de deuda pública interna a través del programa de emisión y Colocación de bonos, asi como calificar al Distrito capital como sujeto de crédito conforme a lo establecido en la normatividad vigente, la Ley 819 de 2003 y todas a</v>
          </cell>
          <cell r="R291">
            <v>2</v>
          </cell>
          <cell r="S291" t="str">
            <v>Relacionada con el objeto a contratar-</v>
          </cell>
          <cell r="T291" t="str">
            <v>NA</v>
          </cell>
          <cell r="U291" t="str">
            <v>CONTRATACION DIRECTA</v>
          </cell>
          <cell r="V291" t="str">
            <v>PRINCIPAL</v>
          </cell>
          <cell r="W291" t="str">
            <v>NA</v>
          </cell>
          <cell r="X291" t="str">
            <v>PRESTACION DE SERVICIOS</v>
          </cell>
          <cell r="Y291">
            <v>121100000</v>
          </cell>
          <cell r="Z291">
            <v>121100000</v>
          </cell>
          <cell r="AA291" t="str">
            <v>12 mes(es)</v>
          </cell>
        </row>
        <row r="292">
          <cell r="C292">
            <v>259</v>
          </cell>
          <cell r="D292">
            <v>3</v>
          </cell>
          <cell r="E292">
            <v>80</v>
          </cell>
          <cell r="F292" t="str">
            <v>INICIAL</v>
          </cell>
          <cell r="G292" t="str">
            <v>RECURSOS PROPIOS</v>
          </cell>
          <cell r="H292">
            <v>110000</v>
          </cell>
          <cell r="I292">
            <v>3</v>
          </cell>
          <cell r="J292" t="str">
            <v>NA</v>
          </cell>
          <cell r="K292" t="str">
            <v>3-2-2-03Comisiones y Otros</v>
          </cell>
          <cell r="L292">
            <v>1</v>
          </cell>
          <cell r="M292" t="str">
            <v>NA</v>
          </cell>
          <cell r="N292" t="str">
            <v>NA</v>
          </cell>
          <cell r="O292" t="str">
            <v>S</v>
          </cell>
          <cell r="P292" t="str">
            <v>NA</v>
          </cell>
          <cell r="Q292" t="str">
            <v>Calificar a Bogotá D.C. como emisor y a las emisiones externas que éste lleve a cabo.</v>
          </cell>
          <cell r="R292">
            <v>3</v>
          </cell>
          <cell r="S292" t="str">
            <v>Relacionada con el objeto a contratar-</v>
          </cell>
          <cell r="T292" t="str">
            <v>NA</v>
          </cell>
          <cell r="U292" t="str">
            <v>CONTRATACION DIRECTA</v>
          </cell>
          <cell r="V292" t="str">
            <v>PRINCIPAL</v>
          </cell>
          <cell r="W292" t="str">
            <v>NA</v>
          </cell>
          <cell r="X292" t="str">
            <v>PRESTACION DE SERVICIOS</v>
          </cell>
          <cell r="Y292">
            <v>373400000</v>
          </cell>
          <cell r="Z292">
            <v>373400000</v>
          </cell>
          <cell r="AA292" t="str">
            <v>12 mes(es)</v>
          </cell>
        </row>
        <row r="293">
          <cell r="C293">
            <v>260</v>
          </cell>
          <cell r="D293">
            <v>3</v>
          </cell>
          <cell r="E293">
            <v>80</v>
          </cell>
          <cell r="F293" t="str">
            <v>INICIAL</v>
          </cell>
          <cell r="G293" t="str">
            <v>RECURSOS PROPIOS</v>
          </cell>
          <cell r="H293">
            <v>110000</v>
          </cell>
          <cell r="I293">
            <v>3</v>
          </cell>
          <cell r="J293" t="str">
            <v>NA</v>
          </cell>
          <cell r="K293" t="str">
            <v>3-2-1-03Comisiones y Otros</v>
          </cell>
          <cell r="L293">
            <v>1</v>
          </cell>
          <cell r="M293" t="str">
            <v>NA</v>
          </cell>
          <cell r="N293" t="str">
            <v>N/A</v>
          </cell>
          <cell r="O293" t="str">
            <v>S</v>
          </cell>
          <cell r="P293" t="str">
            <v>NA</v>
          </cell>
          <cell r="Q293" t="str">
            <v xml:space="preserve">Asesorar a Bogotá D.C. en los procesos de estructuración financiera asi como en la negociación y cierre de las operaciones de crédito público, operaciones asimiladas a operaciones de crédito público, operaciones de manejo de la deuda pública, operaciones </v>
          </cell>
          <cell r="R293">
            <v>1</v>
          </cell>
          <cell r="S293" t="str">
            <v>Relacionada con el objeto a contratar-</v>
          </cell>
          <cell r="T293" t="str">
            <v>NA</v>
          </cell>
          <cell r="U293" t="str">
            <v>CONTRATACION DIRECTA</v>
          </cell>
          <cell r="V293" t="str">
            <v>PRINCIPAL</v>
          </cell>
          <cell r="W293" t="str">
            <v>NA</v>
          </cell>
          <cell r="X293" t="str">
            <v>PRESTACION DE SERVICIOS</v>
          </cell>
          <cell r="Y293">
            <v>807117000</v>
          </cell>
          <cell r="Z293">
            <v>807117000</v>
          </cell>
          <cell r="AA293" t="str">
            <v>8 mes(es)</v>
          </cell>
        </row>
        <row r="294">
          <cell r="C294">
            <v>261</v>
          </cell>
          <cell r="D294">
            <v>3</v>
          </cell>
          <cell r="E294">
            <v>80</v>
          </cell>
          <cell r="F294" t="str">
            <v>INICIAL</v>
          </cell>
          <cell r="G294" t="str">
            <v>RECURSOS PROPIOS</v>
          </cell>
          <cell r="H294">
            <v>110000</v>
          </cell>
          <cell r="I294">
            <v>3</v>
          </cell>
          <cell r="J294" t="str">
            <v>NA</v>
          </cell>
          <cell r="K294" t="str">
            <v>3-2-1-03Comisiones y Otros</v>
          </cell>
          <cell r="L294">
            <v>1</v>
          </cell>
          <cell r="M294" t="str">
            <v>NA</v>
          </cell>
          <cell r="N294" t="str">
            <v>NA</v>
          </cell>
          <cell r="O294" t="str">
            <v>S</v>
          </cell>
          <cell r="P294" t="str">
            <v>NA</v>
          </cell>
          <cell r="Q294" t="str">
            <v>Contratar los servicios de una(s) entidad(es) para actuar como Agente Colocador para el Programa de Emisión y Colocación de acuerdo con lo estipulado en el Prospecto de Emisión y Colocación así como sus respectivos adendas y el Reglamento de Colocación de</v>
          </cell>
          <cell r="R294">
            <v>1</v>
          </cell>
          <cell r="S294" t="str">
            <v>Relacionada con el objeto a contratar-</v>
          </cell>
          <cell r="T294" t="str">
            <v>NA</v>
          </cell>
          <cell r="U294" t="str">
            <v>CONTRATACION DIRECTA</v>
          </cell>
          <cell r="V294" t="str">
            <v>PRINCIPAL</v>
          </cell>
          <cell r="W294" t="str">
            <v>NA</v>
          </cell>
          <cell r="X294" t="str">
            <v>PRESTACION DE SERVICIOS</v>
          </cell>
          <cell r="Y294">
            <v>4877596000</v>
          </cell>
          <cell r="Z294">
            <v>4877596000</v>
          </cell>
          <cell r="AA294" t="str">
            <v>8 mes(es)</v>
          </cell>
        </row>
        <row r="295">
          <cell r="C295">
            <v>262</v>
          </cell>
          <cell r="D295">
            <v>3</v>
          </cell>
          <cell r="E295">
            <v>80</v>
          </cell>
          <cell r="F295" t="str">
            <v>INICIAL</v>
          </cell>
          <cell r="G295" t="str">
            <v>RECURSOS PROPIOS</v>
          </cell>
          <cell r="H295">
            <v>110000</v>
          </cell>
          <cell r="I295">
            <v>3</v>
          </cell>
          <cell r="J295" t="str">
            <v>NA</v>
          </cell>
          <cell r="K295" t="str">
            <v>3-2-2-03Comisiones y Otros</v>
          </cell>
          <cell r="L295">
            <v>1</v>
          </cell>
          <cell r="M295" t="str">
            <v>NA</v>
          </cell>
          <cell r="N295" t="str">
            <v>NA</v>
          </cell>
          <cell r="O295" t="str">
            <v>S</v>
          </cell>
          <cell r="P295" t="str">
            <v>NA</v>
          </cell>
          <cell r="Q295" t="str">
            <v xml:space="preserve">Asesorar legalmente a Bogotá D.C. en los procesos de estructuración, negociación y cierre de las operaciones de crédito público, operaciones asimiladas a operaciones de crédito público, operaciones de manejo de la deuda pública, operaciones conexas a las </v>
          </cell>
          <cell r="R295">
            <v>1</v>
          </cell>
          <cell r="S295" t="str">
            <v>Relacionada con el objeto a contratar.</v>
          </cell>
          <cell r="T295" t="str">
            <v>NA</v>
          </cell>
          <cell r="U295" t="str">
            <v>CONTRATACION DIRECTA</v>
          </cell>
          <cell r="V295" t="str">
            <v>PRINCIPAL</v>
          </cell>
          <cell r="W295" t="str">
            <v>NA</v>
          </cell>
          <cell r="X295" t="str">
            <v>PRESTACION DE SERVICIOS</v>
          </cell>
          <cell r="Y295">
            <v>1806026000</v>
          </cell>
          <cell r="Z295">
            <v>1806026000</v>
          </cell>
          <cell r="AA295" t="str">
            <v>8 mes(es)</v>
          </cell>
        </row>
        <row r="296">
          <cell r="C296">
            <v>263</v>
          </cell>
          <cell r="D296">
            <v>3</v>
          </cell>
          <cell r="E296">
            <v>1</v>
          </cell>
          <cell r="F296" t="str">
            <v>NUEVA</v>
          </cell>
          <cell r="G296" t="str">
            <v>RECURSOS PROPIOS</v>
          </cell>
          <cell r="H296">
            <v>120000</v>
          </cell>
          <cell r="I296">
            <v>4</v>
          </cell>
          <cell r="J296" t="str">
            <v>NA</v>
          </cell>
          <cell r="K296" t="str">
            <v>3-3-1-14-03-31-0728-235235 - Fortalecimiento a la gestión institucional del Concejo de Bogotá</v>
          </cell>
          <cell r="L296">
            <v>1</v>
          </cell>
          <cell r="M296" t="str">
            <v>2. ¿Actualizar el 100% de la infraestructura física, tecnológica y de transporte¿.</v>
          </cell>
          <cell r="N296" t="str">
            <v>2.5. Arrendamiento de instalaciones y bodegas para almacenamiento de materiales y objetos</v>
          </cell>
          <cell r="O296" t="str">
            <v>S</v>
          </cell>
          <cell r="P296" t="str">
            <v>NA</v>
          </cell>
          <cell r="Q296" t="str">
            <v>Adicion y Prorroga al contrato 140249-0-2014 suscrito con Inversiones Matay cuyo objeto es: Contratar a título de arrendamiento un inmueble para uso de parqueadero, por parte del Concejo de Bogotá D.C.</v>
          </cell>
          <cell r="R296">
            <v>1</v>
          </cell>
          <cell r="S296" t="str">
            <v>N.A</v>
          </cell>
          <cell r="T296" t="str">
            <v>N.A</v>
          </cell>
          <cell r="U296" t="str">
            <v>CONTRATACION DIRECTA</v>
          </cell>
          <cell r="V296" t="str">
            <v>MODIFICACION</v>
          </cell>
          <cell r="W296" t="str">
            <v>AP</v>
          </cell>
          <cell r="X296" t="str">
            <v>ARRENDAMIENTO</v>
          </cell>
          <cell r="Y296">
            <v>101489343</v>
          </cell>
          <cell r="Z296">
            <v>101489343</v>
          </cell>
          <cell r="AA296" t="str">
            <v xml:space="preserve"> </v>
          </cell>
        </row>
        <row r="297">
          <cell r="C297">
            <v>264</v>
          </cell>
          <cell r="D297">
            <v>3</v>
          </cell>
          <cell r="E297">
            <v>4</v>
          </cell>
          <cell r="F297" t="str">
            <v>NUEVA</v>
          </cell>
          <cell r="G297" t="str">
            <v>RECURSOS PROPIOS</v>
          </cell>
          <cell r="H297">
            <v>90000</v>
          </cell>
          <cell r="I297">
            <v>1</v>
          </cell>
          <cell r="J297" t="str">
            <v>NA</v>
          </cell>
          <cell r="K297" t="str">
            <v>3-1-1-02-04 Remuneración Servicios Técnicos</v>
          </cell>
          <cell r="L297">
            <v>1</v>
          </cell>
          <cell r="M297" t="str">
            <v>NA</v>
          </cell>
          <cell r="N297" t="str">
            <v>NA</v>
          </cell>
          <cell r="O297" t="str">
            <v>S</v>
          </cell>
          <cell r="P297" t="str">
            <v>NA</v>
          </cell>
          <cell r="Q297" t="str">
            <v xml:space="preserve">Adición al Contrato 140055-0-2014  suscrito con DECEVAL; para custodiar y administrar los valores que le sean confiados en depósito por la Secretaría Distrital de Hacienda-Dirección Distrital de Tesorería y los que le sean transferidos. Como resultado de </v>
          </cell>
          <cell r="R297">
            <v>1</v>
          </cell>
          <cell r="S297" t="str">
            <v>NA</v>
          </cell>
          <cell r="T297" t="str">
            <v>NA</v>
          </cell>
          <cell r="U297" t="str">
            <v>NA</v>
          </cell>
          <cell r="V297" t="str">
            <v>MODIFICACION</v>
          </cell>
          <cell r="W297" t="str">
            <v>A</v>
          </cell>
          <cell r="X297" t="str">
            <v>PRESTACION DE SERVICIOS</v>
          </cell>
          <cell r="Y297">
            <v>60000000</v>
          </cell>
          <cell r="Z297">
            <v>60000000</v>
          </cell>
          <cell r="AA297" t="str">
            <v xml:space="preserve"> </v>
          </cell>
        </row>
        <row r="298">
          <cell r="C298">
            <v>265</v>
          </cell>
          <cell r="D298">
            <v>3</v>
          </cell>
          <cell r="E298">
            <v>4</v>
          </cell>
          <cell r="F298" t="str">
            <v>NUEVA</v>
          </cell>
          <cell r="G298" t="str">
            <v>RECURSOS PROPIOS</v>
          </cell>
          <cell r="H298">
            <v>44000</v>
          </cell>
          <cell r="I298">
            <v>1</v>
          </cell>
          <cell r="J298" t="str">
            <v>NA</v>
          </cell>
          <cell r="K298" t="str">
            <v>3-1-1-02-04 Remuneración Servicios Técnicos</v>
          </cell>
          <cell r="L298">
            <v>1</v>
          </cell>
          <cell r="M298" t="str">
            <v>NA</v>
          </cell>
          <cell r="N298" t="str">
            <v>NA</v>
          </cell>
          <cell r="O298" t="str">
            <v>S</v>
          </cell>
          <cell r="P298" t="str">
            <v>NA</v>
          </cell>
          <cell r="Q298" t="str">
            <v>Contratar la prestación de servicios técnicos  para llevar a cabo  el soporte y control al servicio de impresión de la Secretaría Distrital de Hacienda</v>
          </cell>
          <cell r="R298">
            <v>4</v>
          </cell>
          <cell r="S298" t="str">
            <v>Experiencia general de doce (12) meses en soporte técnico y/o soporte a usuarios y/o soporte a servicios de sistemas e informática</v>
          </cell>
          <cell r="T298" t="str">
            <v>5 semestres en algunas de las siguientes profesiones y/o profesiones auxiliares y/o profesiones afines:- Ingeniero de sistemas y/o ingeniero electrónico y/o informática y/o sistematización y/o sistemas y computación y/o electrónica y/o electrónica industr</v>
          </cell>
          <cell r="U298" t="str">
            <v>CONTRATACION DIRECTA</v>
          </cell>
          <cell r="V298" t="str">
            <v>PRINCIPAL</v>
          </cell>
          <cell r="W298" t="str">
            <v>NA</v>
          </cell>
          <cell r="X298" t="str">
            <v>PRESTACION DE SERVICIOS2</v>
          </cell>
          <cell r="Y298">
            <v>18000000</v>
          </cell>
          <cell r="Z298">
            <v>18000000</v>
          </cell>
          <cell r="AA298" t="str">
            <v>3 mes(es)</v>
          </cell>
        </row>
        <row r="299">
          <cell r="C299">
            <v>266</v>
          </cell>
          <cell r="D299">
            <v>3</v>
          </cell>
          <cell r="E299">
            <v>20</v>
          </cell>
          <cell r="F299" t="str">
            <v>MODIFICACION</v>
          </cell>
          <cell r="G299" t="str">
            <v>RECURSOS PROPIOS</v>
          </cell>
          <cell r="H299">
            <v>120000</v>
          </cell>
          <cell r="I299">
            <v>4</v>
          </cell>
          <cell r="J299" t="str">
            <v>NA</v>
          </cell>
          <cell r="K299" t="str">
            <v>3-1-2-01-04 Materiales y Suministros</v>
          </cell>
          <cell r="L299">
            <v>1</v>
          </cell>
          <cell r="M299" t="str">
            <v>NA</v>
          </cell>
          <cell r="N299" t="str">
            <v>NA</v>
          </cell>
          <cell r="O299" t="str">
            <v>S</v>
          </cell>
          <cell r="P299" t="str">
            <v>NA</v>
          </cell>
          <cell r="Q299" t="str">
            <v>Adquisicion de audifonos biauriculares para el  Concejo de Bogotá D.C.</v>
          </cell>
          <cell r="R299">
            <v>1</v>
          </cell>
          <cell r="S299" t="str">
            <v>N.A</v>
          </cell>
          <cell r="T299" t="str">
            <v>N.A</v>
          </cell>
          <cell r="U299" t="str">
            <v>MINIMA CUANTIA</v>
          </cell>
          <cell r="V299" t="str">
            <v>PRINCIPAL</v>
          </cell>
          <cell r="W299" t="str">
            <v>NA</v>
          </cell>
          <cell r="X299" t="str">
            <v>COMPRAVENTA</v>
          </cell>
          <cell r="Y299">
            <v>800000</v>
          </cell>
          <cell r="Z299">
            <v>800000</v>
          </cell>
          <cell r="AA299" t="str">
            <v>1 mes(es)</v>
          </cell>
        </row>
        <row r="300">
          <cell r="C300">
            <v>267</v>
          </cell>
          <cell r="D300">
            <v>3</v>
          </cell>
          <cell r="E300">
            <v>7</v>
          </cell>
          <cell r="F300" t="str">
            <v>NUEVA</v>
          </cell>
          <cell r="G300" t="str">
            <v>RECURSOS PROPIOS</v>
          </cell>
          <cell r="H300">
            <v>120000</v>
          </cell>
          <cell r="I300">
            <v>4</v>
          </cell>
          <cell r="J300" t="str">
            <v>NA</v>
          </cell>
          <cell r="K300" t="str">
            <v>3-1-2-02-04 Impresos y  Publicaciones</v>
          </cell>
          <cell r="L300">
            <v>1</v>
          </cell>
          <cell r="M300" t="str">
            <v>NA</v>
          </cell>
          <cell r="N300" t="str">
            <v>NA</v>
          </cell>
          <cell r="O300" t="str">
            <v>S</v>
          </cell>
          <cell r="P300" t="str">
            <v>NA</v>
          </cell>
          <cell r="Q300" t="str">
            <v>Adicion al contrato 140342-2014 que tiene por objeto: Prestar el  servicio de empaste y/o encuadernación de documentos del concejo de Bogotá D.C.</v>
          </cell>
          <cell r="R300" t="str">
            <v>NA</v>
          </cell>
          <cell r="S300" t="str">
            <v>N/A</v>
          </cell>
          <cell r="T300" t="str">
            <v>N/A</v>
          </cell>
          <cell r="U300" t="str">
            <v>NA</v>
          </cell>
          <cell r="V300" t="str">
            <v>MODIFICACION</v>
          </cell>
          <cell r="W300" t="str">
            <v>A</v>
          </cell>
          <cell r="X300" t="str">
            <v>NA</v>
          </cell>
          <cell r="Y300">
            <v>800000</v>
          </cell>
          <cell r="Z300">
            <v>800000</v>
          </cell>
          <cell r="AA300" t="str">
            <v xml:space="preserve"> </v>
          </cell>
        </row>
        <row r="301">
          <cell r="C301">
            <v>268</v>
          </cell>
          <cell r="D301">
            <v>3</v>
          </cell>
          <cell r="E301">
            <v>12</v>
          </cell>
          <cell r="F301" t="str">
            <v>NUEVA</v>
          </cell>
          <cell r="G301" t="str">
            <v>RECURSOS PROPIOS</v>
          </cell>
          <cell r="H301">
            <v>21000</v>
          </cell>
          <cell r="I301">
            <v>1</v>
          </cell>
          <cell r="J301" t="str">
            <v>01-12-0-0-0</v>
          </cell>
          <cell r="K301" t="str">
            <v>3-1-1-02-04 Remuneración Servicios Técnicos</v>
          </cell>
          <cell r="L301">
            <v>1</v>
          </cell>
          <cell r="M301" t="str">
            <v>NA</v>
          </cell>
          <cell r="N301" t="str">
            <v>NA</v>
          </cell>
          <cell r="O301" t="str">
            <v>S</v>
          </cell>
          <cell r="P301" t="str">
            <v>NA</v>
          </cell>
          <cell r="Q301" t="str">
            <v>Prestar el Servicio de Apoyo, Control y seguimiento a las actividades relacionadas con la digitación de información de carácter laboral a través de medios ofimáticos.</v>
          </cell>
          <cell r="R301">
            <v>3</v>
          </cell>
          <cell r="S301" t="str">
            <v>12  meses de experiencia general. 6 meses de experiencia específica en dirección, coordinación, seguimiento, control y/o manejo de actividades, que se entienden incorporados en los doce (12) meses de experiencia general.</v>
          </cell>
          <cell r="T301" t="str">
            <v>Haber cursado y aprobado 5° semestre o su equivalente en créditos académicos (mínimo 30% del total de los créditos de la carrera) de formación superior.</v>
          </cell>
          <cell r="U301" t="str">
            <v>CONTRATACION DIRECTA</v>
          </cell>
          <cell r="V301" t="str">
            <v>PRINCIPAL</v>
          </cell>
          <cell r="W301" t="str">
            <v>NA</v>
          </cell>
          <cell r="X301" t="str">
            <v>PRESTACION DE SERVICIOS</v>
          </cell>
          <cell r="Y301">
            <v>54758100</v>
          </cell>
          <cell r="Z301">
            <v>54758100</v>
          </cell>
          <cell r="AA301" t="str">
            <v>10 mes(es)</v>
          </cell>
        </row>
        <row r="302">
          <cell r="C302">
            <v>269</v>
          </cell>
          <cell r="D302">
            <v>3</v>
          </cell>
          <cell r="E302">
            <v>12</v>
          </cell>
          <cell r="F302" t="str">
            <v>NUEVA</v>
          </cell>
          <cell r="G302" t="str">
            <v>RECURSOS PROPIOS</v>
          </cell>
          <cell r="H302">
            <v>21000</v>
          </cell>
          <cell r="I302">
            <v>1</v>
          </cell>
          <cell r="J302" t="str">
            <v>01-12-0-0-0</v>
          </cell>
          <cell r="K302" t="str">
            <v>3-1-1-02-04 Remuneración Servicios Técnicos</v>
          </cell>
          <cell r="L302">
            <v>1</v>
          </cell>
          <cell r="M302" t="str">
            <v>NA</v>
          </cell>
          <cell r="N302" t="str">
            <v>NA</v>
          </cell>
          <cell r="O302" t="str">
            <v>S</v>
          </cell>
          <cell r="P302" t="str">
            <v>NA</v>
          </cell>
          <cell r="Q302" t="str">
            <v>Prestacion de Servicios para la Digitaciòn, Consolidaciòn y Registro de Informaciòn de Carácter Laboral a travès de medios ofimaticos.</v>
          </cell>
          <cell r="R302">
            <v>23</v>
          </cell>
          <cell r="S302" t="str">
            <v>12 meses de experiencia general. 6 meses de experiencia específica en Digitación, incorporación, ingreso o captura de información, que se entienden incorporados en los doce (12) meses de experiencia general.</v>
          </cell>
          <cell r="T302" t="str">
            <v>Bachiller</v>
          </cell>
          <cell r="U302" t="str">
            <v>CONTRATACION DIRECTA</v>
          </cell>
          <cell r="V302" t="str">
            <v>PRINCIPAL</v>
          </cell>
          <cell r="W302" t="str">
            <v>NA</v>
          </cell>
          <cell r="X302" t="str">
            <v>PRESTACION DE SERVICIOS</v>
          </cell>
          <cell r="Y302">
            <v>351968540</v>
          </cell>
          <cell r="Z302">
            <v>351968540</v>
          </cell>
          <cell r="AA302" t="str">
            <v>10 mes(es)</v>
          </cell>
        </row>
        <row r="303">
          <cell r="C303">
            <v>270</v>
          </cell>
          <cell r="D303">
            <v>3</v>
          </cell>
          <cell r="E303">
            <v>12</v>
          </cell>
          <cell r="F303" t="str">
            <v>NUEVA</v>
          </cell>
          <cell r="G303" t="str">
            <v>RECURSOS PROPIOS</v>
          </cell>
          <cell r="H303">
            <v>21000</v>
          </cell>
          <cell r="I303">
            <v>1</v>
          </cell>
          <cell r="J303" t="str">
            <v>01-12-0-0-0</v>
          </cell>
          <cell r="K303" t="str">
            <v>3-1-1-02-04 Remuneración Servicios Técnicos</v>
          </cell>
          <cell r="L303">
            <v>1</v>
          </cell>
          <cell r="M303" t="str">
            <v>NA</v>
          </cell>
          <cell r="N303" t="str">
            <v>NA</v>
          </cell>
          <cell r="O303" t="str">
            <v>S</v>
          </cell>
          <cell r="P303" t="str">
            <v>NA</v>
          </cell>
          <cell r="Q303" t="str">
            <v>Prestacion de Servicios para la Digitaciòn, Consolidaciòn y Registro de Informaciòn de Carácter Laboral a travès de medios ofimaticos.</v>
          </cell>
          <cell r="R303">
            <v>3</v>
          </cell>
          <cell r="S303" t="str">
            <v>12 meses de experiencia general. 6 meses de experiencia específica en Digitación, incorporación, ingreso o captura de información, que se entienden incorporados en los doce (12) meses de experiencia general.-</v>
          </cell>
          <cell r="T303" t="str">
            <v>Bachiller</v>
          </cell>
          <cell r="U303" t="str">
            <v>CONTRATACION DIRECTA</v>
          </cell>
          <cell r="V303" t="str">
            <v>PRINCIPAL</v>
          </cell>
          <cell r="W303" t="str">
            <v>NA</v>
          </cell>
          <cell r="X303" t="str">
            <v>PRESTACION DE SERVICIOS</v>
          </cell>
          <cell r="Y303">
            <v>36727152</v>
          </cell>
          <cell r="Z303">
            <v>36727152</v>
          </cell>
          <cell r="AA303" t="str">
            <v>8 mes(es)</v>
          </cell>
        </row>
        <row r="304">
          <cell r="C304">
            <v>271</v>
          </cell>
          <cell r="D304">
            <v>3</v>
          </cell>
          <cell r="E304">
            <v>12</v>
          </cell>
          <cell r="F304" t="str">
            <v>NUEVA</v>
          </cell>
          <cell r="G304" t="str">
            <v>RECURSOS PROPIOS</v>
          </cell>
          <cell r="H304">
            <v>21000</v>
          </cell>
          <cell r="I304">
            <v>1</v>
          </cell>
          <cell r="J304" t="str">
            <v>01-12-0-0-0</v>
          </cell>
          <cell r="K304" t="str">
            <v>3-1-1-02-04 Remuneración Servicios Técnicos</v>
          </cell>
          <cell r="L304">
            <v>1</v>
          </cell>
          <cell r="M304" t="str">
            <v>NA</v>
          </cell>
          <cell r="N304" t="str">
            <v>NA</v>
          </cell>
          <cell r="O304" t="str">
            <v>S</v>
          </cell>
          <cell r="P304" t="str">
            <v>NA</v>
          </cell>
          <cell r="Q304" t="str">
            <v>Prestacion de Servicios para la Digitaciòn, Consolidaciòn y Registro de Informaciòn de Carácter Laboral a travès de medios ofimaticos.</v>
          </cell>
          <cell r="R304">
            <v>1</v>
          </cell>
          <cell r="S304" t="str">
            <v>12 meses de experiencia general. 6 meses de experiencia específica en Digitación, incorporación, ingreso o captura de información, que se entienden incorporados en los doce (12) meses de experiencia general.</v>
          </cell>
          <cell r="T304" t="str">
            <v>Bachiller</v>
          </cell>
          <cell r="U304" t="str">
            <v>CONTRATACION DIRECTA</v>
          </cell>
          <cell r="V304" t="str">
            <v>PRINCIPAL</v>
          </cell>
          <cell r="W304" t="str">
            <v>NA</v>
          </cell>
          <cell r="X304" t="str">
            <v>PRESTACION DE SERVICIOS</v>
          </cell>
          <cell r="Y304">
            <v>6121192</v>
          </cell>
          <cell r="Z304">
            <v>6121192</v>
          </cell>
          <cell r="AA304" t="str">
            <v>4 mes(es)</v>
          </cell>
        </row>
        <row r="305">
          <cell r="C305">
            <v>272</v>
          </cell>
          <cell r="D305">
            <v>3</v>
          </cell>
          <cell r="E305">
            <v>12</v>
          </cell>
          <cell r="F305" t="str">
            <v>NUEVA</v>
          </cell>
          <cell r="G305" t="str">
            <v>RECURSOS PROPIOS</v>
          </cell>
          <cell r="H305">
            <v>21000</v>
          </cell>
          <cell r="I305">
            <v>1</v>
          </cell>
          <cell r="J305" t="str">
            <v>01-12-0-0-0</v>
          </cell>
          <cell r="K305" t="str">
            <v>3-1-1-02-04 Remuneración Servicios Técnicos</v>
          </cell>
          <cell r="L305">
            <v>1</v>
          </cell>
          <cell r="M305" t="str">
            <v>NA</v>
          </cell>
          <cell r="N305" t="str">
            <v>NA</v>
          </cell>
          <cell r="O305" t="str">
            <v>S</v>
          </cell>
          <cell r="P305" t="str">
            <v>NA</v>
          </cell>
          <cell r="Q305" t="str">
            <v>Prestacion de Servicios  en Gestion Documental para el Alistamiento y Control de los Expedientes, Soportes de Nòminas y Registros de informaciòn de Carácter Laboral a travès de medios ofimaticos.</v>
          </cell>
          <cell r="R305">
            <v>1</v>
          </cell>
          <cell r="S305" t="str">
            <v>12 meses de experiencia general. 6 meses de experiencia específica en manejo de gestiòn documental, que se entienden incorporados en los doce (12) meses de experiencia general.</v>
          </cell>
          <cell r="T305" t="str">
            <v>Bachiller.</v>
          </cell>
          <cell r="U305" t="str">
            <v>CONTRATACION DIRECTA</v>
          </cell>
          <cell r="V305" t="str">
            <v>PRINCIPAL</v>
          </cell>
          <cell r="W305" t="str">
            <v>NA</v>
          </cell>
          <cell r="X305" t="str">
            <v>PRESTACION DE SERVICIOS</v>
          </cell>
          <cell r="Y305">
            <v>12389870</v>
          </cell>
          <cell r="Z305">
            <v>12389870</v>
          </cell>
          <cell r="AA305" t="str">
            <v>10 mes(es)</v>
          </cell>
        </row>
        <row r="306">
          <cell r="C306">
            <v>273</v>
          </cell>
          <cell r="D306">
            <v>3</v>
          </cell>
          <cell r="E306">
            <v>12</v>
          </cell>
          <cell r="F306" t="str">
            <v>NUEVA</v>
          </cell>
          <cell r="G306" t="str">
            <v>RECURSOS PROPIOS</v>
          </cell>
          <cell r="H306">
            <v>40000</v>
          </cell>
          <cell r="I306">
            <v>1</v>
          </cell>
          <cell r="J306" t="str">
            <v>NA</v>
          </cell>
          <cell r="K306" t="str">
            <v>3-3-1-14-03-32-0705-241241 - Gestión integral de TIC - Bogotá Humana</v>
          </cell>
          <cell r="L306">
            <v>1</v>
          </cell>
          <cell r="M306" t="str">
            <v>Mantener el 97% de disponibilidad de las TIC, optimizando la infraestructura tecnológica de la SDH de acuerdo con los estándares y niveles de servicio</v>
          </cell>
          <cell r="N306" t="str">
            <v>Apoyo a la gestión de los servicios de tecnologías de la información y comunicaciones</v>
          </cell>
          <cell r="O306" t="str">
            <v>S</v>
          </cell>
          <cell r="P306" t="str">
            <v>NA</v>
          </cell>
          <cell r="Q306" t="str">
            <v>Prestar los servicios profesionales para ejecutar actividades de apoyo para la articulación técnica, operativa, logística y administrativa de los proyectos de tecnología relacionados con el fortalecimiento y consolidación de la infraestructura y los servi</v>
          </cell>
          <cell r="R306">
            <v>1</v>
          </cell>
          <cell r="S306" t="str">
            <v xml:space="preserve">5 años de experiencia profesional general. - Dentro de los cuales debe contar con Idoneidad en proyectos relacionados con centros de cómputo, equipos activos, redes eléctricas y redes de cableado de voz y datos y con experiencia mínima de cuatro (4) años </v>
          </cell>
          <cell r="T306" t="str">
            <v>Ingeniero Eléctrico y/o Ingeniero Electrónico y/o Ingeniero de Sistemas y/o Ingeniero Industrial y/o administrador de empresas con estudios certificados de gerencia de proyectos</v>
          </cell>
          <cell r="U306" t="str">
            <v>CONTRATACION DIRECTA</v>
          </cell>
          <cell r="V306" t="str">
            <v>PRINCIPAL</v>
          </cell>
          <cell r="W306" t="str">
            <v>NA</v>
          </cell>
          <cell r="X306" t="str">
            <v>PRESTACION DE SERVICIOS2</v>
          </cell>
          <cell r="Y306">
            <v>58200000</v>
          </cell>
          <cell r="Z306">
            <v>58200000</v>
          </cell>
          <cell r="AA306" t="str">
            <v>6 mes(es)</v>
          </cell>
        </row>
        <row r="307">
          <cell r="C307">
            <v>274</v>
          </cell>
          <cell r="D307">
            <v>3</v>
          </cell>
          <cell r="E307">
            <v>12</v>
          </cell>
          <cell r="F307" t="str">
            <v>NUEVA</v>
          </cell>
          <cell r="G307" t="str">
            <v>RECURSOS PROPIOS</v>
          </cell>
          <cell r="H307">
            <v>120000</v>
          </cell>
          <cell r="I307">
            <v>4</v>
          </cell>
          <cell r="J307" t="str">
            <v>NA</v>
          </cell>
          <cell r="K307" t="str">
            <v>3-1-1-02-04 Remuneración Servicios Técnicos</v>
          </cell>
          <cell r="L307">
            <v>1</v>
          </cell>
          <cell r="M307" t="str">
            <v>NA</v>
          </cell>
          <cell r="N307" t="str">
            <v>NA</v>
          </cell>
          <cell r="O307" t="str">
            <v>S</v>
          </cell>
          <cell r="P307" t="str">
            <v>NA</v>
          </cell>
          <cell r="Q307" t="str">
            <v>Prestar los servicios de apoyo al Concejo de Bogota D.C., en la elaboracion y actualizacion  para el control en el proceso de depuracion y actualizacion de la normativa de los acuerdos Distritales.</v>
          </cell>
          <cell r="R307">
            <v>1</v>
          </cell>
          <cell r="S307" t="str">
            <v>Seis meses en manejo documental de contenido juridico.</v>
          </cell>
          <cell r="T307" t="str">
            <v>Estudiante de derecho con minimo 5to semestre.</v>
          </cell>
          <cell r="U307" t="str">
            <v>CONTRATACION DIRECTA</v>
          </cell>
          <cell r="V307" t="str">
            <v>MODIFICACION</v>
          </cell>
          <cell r="W307" t="str">
            <v>NA</v>
          </cell>
          <cell r="X307" t="str">
            <v>PRESTACION DE SERVICIOS</v>
          </cell>
          <cell r="Y307">
            <v>18150000</v>
          </cell>
          <cell r="Z307">
            <v>18150000</v>
          </cell>
          <cell r="AA307" t="str">
            <v>11 mes(es)</v>
          </cell>
        </row>
        <row r="308">
          <cell r="C308">
            <v>275</v>
          </cell>
          <cell r="D308">
            <v>3</v>
          </cell>
          <cell r="E308">
            <v>12</v>
          </cell>
          <cell r="F308" t="str">
            <v>NUEVA</v>
          </cell>
          <cell r="G308" t="str">
            <v>RECURSOS PROPIOS</v>
          </cell>
          <cell r="H308">
            <v>120000</v>
          </cell>
          <cell r="I308">
            <v>4</v>
          </cell>
          <cell r="J308" t="str">
            <v>NA</v>
          </cell>
          <cell r="K308" t="str">
            <v>3-1-2-02-11 Promoción Institucional</v>
          </cell>
          <cell r="L308">
            <v>1</v>
          </cell>
          <cell r="M308" t="str">
            <v>NA</v>
          </cell>
          <cell r="N308" t="str">
            <v>NA</v>
          </cell>
          <cell r="O308" t="str">
            <v>S</v>
          </cell>
          <cell r="P308" t="str">
            <v>NA</v>
          </cell>
          <cell r="Q308" t="str">
            <v xml:space="preserve">Adicion y prorroga al contrato 140238-0-2014 que tiene por objeto: Prestar el servicio de alquiler de escenarios como salones, auditorios y espacios abiertos, apoyo logístico y servicio de catering para el desarrollo de eventos que requiera el Concejo de </v>
          </cell>
          <cell r="R308">
            <v>1</v>
          </cell>
          <cell r="S308" t="str">
            <v>N.A</v>
          </cell>
          <cell r="T308" t="str">
            <v>N.A</v>
          </cell>
          <cell r="U308" t="str">
            <v>NA</v>
          </cell>
          <cell r="V308" t="str">
            <v>MODIFICACION</v>
          </cell>
          <cell r="W308" t="str">
            <v>AP</v>
          </cell>
          <cell r="X308" t="str">
            <v>PRESTACION DE SERVICIOS</v>
          </cell>
          <cell r="Y308">
            <v>32600000</v>
          </cell>
          <cell r="Z308">
            <v>32600000</v>
          </cell>
          <cell r="AA308" t="str">
            <v>2 mes(es)</v>
          </cell>
        </row>
        <row r="309">
          <cell r="C309">
            <v>276</v>
          </cell>
          <cell r="D309">
            <v>3</v>
          </cell>
          <cell r="E309">
            <v>13</v>
          </cell>
          <cell r="F309" t="str">
            <v>NUEVA</v>
          </cell>
          <cell r="G309" t="str">
            <v>RECURSOS PROPIOS</v>
          </cell>
          <cell r="H309">
            <v>70000</v>
          </cell>
          <cell r="I309">
            <v>1</v>
          </cell>
          <cell r="J309" t="str">
            <v>NA</v>
          </cell>
          <cell r="K309" t="str">
            <v>3-3-1-14-03-31-0703-239239 - Control y servicios tributarios</v>
          </cell>
          <cell r="L309">
            <v>1</v>
          </cell>
          <cell r="M309" t="str">
            <v>2. Recaudar $652,988  millones  producto de acciones  de cobro  e intervención de comportamientos irregulares</v>
          </cell>
          <cell r="N309" t="str">
            <v>2.3.Desarrollar programas de lucha y control de la evasión</v>
          </cell>
          <cell r="O309" t="str">
            <v>S</v>
          </cell>
          <cell r="P309" t="str">
            <v>NA</v>
          </cell>
          <cell r="Q309" t="str">
            <v>Prestar servicios profesionales a la Secretaría Distrital de Hacienda para analizar la información que ha sido recolectada en las localidades de la ciudad de Bogotá e interpretar las dinámicas que se presenta el mercado ilegal (contrabando) de cervezas, s</v>
          </cell>
          <cell r="R309">
            <v>1</v>
          </cell>
          <cell r="S309" t="str">
            <v>Mínimo dos años de experiencia profesional.</v>
          </cell>
          <cell r="T309" t="str">
            <v>Persona natural, Profesional en Ciencia Política, Administración Pública o Derecho con especialización.-</v>
          </cell>
          <cell r="U309" t="str">
            <v>CONTRATACION DIRECTA</v>
          </cell>
          <cell r="V309" t="str">
            <v>PRINCIPAL</v>
          </cell>
          <cell r="W309" t="str">
            <v>NA</v>
          </cell>
          <cell r="X309" t="str">
            <v>PRESTACION DE SERVICIOS</v>
          </cell>
          <cell r="Y309">
            <v>15000000</v>
          </cell>
          <cell r="Z309">
            <v>15000000</v>
          </cell>
          <cell r="AA309" t="str">
            <v>3 mes(es)</v>
          </cell>
        </row>
        <row r="310">
          <cell r="C310">
            <v>277</v>
          </cell>
          <cell r="D310">
            <v>3</v>
          </cell>
          <cell r="E310">
            <v>13</v>
          </cell>
          <cell r="F310" t="str">
            <v>NUEVA</v>
          </cell>
          <cell r="G310" t="str">
            <v>RECURSOS PROPIOS</v>
          </cell>
          <cell r="H310">
            <v>120000</v>
          </cell>
          <cell r="I310">
            <v>4</v>
          </cell>
          <cell r="J310" t="str">
            <v>NA</v>
          </cell>
          <cell r="K310" t="str">
            <v>3-1-2-01-02 Gastos de Computador</v>
          </cell>
          <cell r="L310">
            <v>1</v>
          </cell>
          <cell r="M310" t="str">
            <v>NA</v>
          </cell>
          <cell r="N310" t="str">
            <v>NA</v>
          </cell>
          <cell r="O310" t="str">
            <v>S</v>
          </cell>
          <cell r="P310" t="str">
            <v>NA</v>
          </cell>
          <cell r="Q310" t="str">
            <v>Adquirir elementos de hardware para el sistema de voto electrónico del Concejo de Bogotá.</v>
          </cell>
          <cell r="R310">
            <v>1</v>
          </cell>
          <cell r="S310" t="str">
            <v>N/A</v>
          </cell>
          <cell r="T310" t="str">
            <v>N/A</v>
          </cell>
          <cell r="U310" t="str">
            <v>MINIMA CUANTIA</v>
          </cell>
          <cell r="V310" t="str">
            <v>PRINCIPAL</v>
          </cell>
          <cell r="W310" t="str">
            <v>NA</v>
          </cell>
          <cell r="X310" t="str">
            <v>PRESTACION DE SERVICIOS</v>
          </cell>
          <cell r="Y310">
            <v>20000000</v>
          </cell>
          <cell r="Z310">
            <v>20000000</v>
          </cell>
          <cell r="AA310" t="str">
            <v>4 mes(es)</v>
          </cell>
        </row>
        <row r="311">
          <cell r="C311">
            <v>278</v>
          </cell>
          <cell r="D311">
            <v>3</v>
          </cell>
          <cell r="E311">
            <v>14</v>
          </cell>
          <cell r="F311" t="str">
            <v>MODIFICACION</v>
          </cell>
          <cell r="G311" t="str">
            <v>RECURSOS PROPIOS</v>
          </cell>
          <cell r="H311">
            <v>70000</v>
          </cell>
          <cell r="I311">
            <v>1</v>
          </cell>
          <cell r="J311" t="str">
            <v>NA</v>
          </cell>
          <cell r="K311" t="str">
            <v>3-3-1-14-03-31-0703-239239 - Control y servicios tributarios</v>
          </cell>
          <cell r="L311">
            <v>1</v>
          </cell>
          <cell r="M311" t="str">
            <v>3. Incrementar a 92% el cumplimiento oportuno de las obligaciones tributarias</v>
          </cell>
          <cell r="N311" t="str">
            <v>3.1. Intervenir comportamientos detectados en los diferentes estudios realizados con respecto a la cultura tributaria en Bogotá y los resultados del perfilamiento de los contribuyentes,  desarrollando programas de cultura tributaria que atiendan a la foca</v>
          </cell>
          <cell r="O311" t="str">
            <v>S</v>
          </cell>
          <cell r="P311" t="str">
            <v>NA</v>
          </cell>
          <cell r="Q311" t="str">
            <v>Adición y prórroga al contrato 140374-0-2014 cuyo objeto es: Adquirir  soluciones tecnológicas  para  mejorar el servicio y la autoatención a los  contribuyentee en los Supercades y demás puntos de atención dispuestos en la ciudad.</v>
          </cell>
          <cell r="R311" t="str">
            <v>NA</v>
          </cell>
          <cell r="S311" t="str">
            <v>NA</v>
          </cell>
          <cell r="T311" t="str">
            <v>NA</v>
          </cell>
          <cell r="U311" t="str">
            <v>NA</v>
          </cell>
          <cell r="V311" t="str">
            <v>MODIFICACION</v>
          </cell>
          <cell r="W311" t="str">
            <v>AP</v>
          </cell>
          <cell r="X311" t="str">
            <v>PRESTACION DE SERVICIOS</v>
          </cell>
          <cell r="Y311">
            <v>100000000</v>
          </cell>
          <cell r="Z311">
            <v>100000000</v>
          </cell>
          <cell r="AA311" t="str">
            <v>3 mes(es)</v>
          </cell>
        </row>
        <row r="312">
          <cell r="C312">
            <v>279</v>
          </cell>
          <cell r="D312">
            <v>3</v>
          </cell>
          <cell r="E312">
            <v>14</v>
          </cell>
          <cell r="F312" t="str">
            <v>NUEVA</v>
          </cell>
          <cell r="G312" t="str">
            <v>RECURSOS PROPIOS</v>
          </cell>
          <cell r="H312">
            <v>70000</v>
          </cell>
          <cell r="I312">
            <v>1</v>
          </cell>
          <cell r="J312" t="str">
            <v>NA</v>
          </cell>
          <cell r="K312" t="str">
            <v>3-3-1-14-03-31-0703-239239 - Control y servicios tributarios</v>
          </cell>
          <cell r="L312">
            <v>1</v>
          </cell>
          <cell r="M312" t="str">
            <v>2. Recaudar $652,988  millones  producto de acciones  de cobro  e intervención de comportamientos irregulares</v>
          </cell>
          <cell r="N312" t="str">
            <v>2.3.Desarrollar programas de lucha y control de la evasión</v>
          </cell>
          <cell r="O312" t="str">
            <v>S</v>
          </cell>
          <cell r="P312" t="str">
            <v>NA</v>
          </cell>
          <cell r="Q312" t="str">
            <v>Prestar los servicios de instructor o facilitador como perito experto en el reconocimiento de cervezas y/o cigarrillos ilegales, en el marco de la ejecución del plan anticontrabando en Bogotá.</v>
          </cell>
          <cell r="R312">
            <v>1</v>
          </cell>
          <cell r="S312" t="str">
            <v>Certificado en peritaje de cigarrillos y/o licores con mínimo un año de experiencia en el sector público o privado afín al objeto contractual</v>
          </cell>
          <cell r="T312" t="str">
            <v>Profesional en las áreas de Economía, Contaduría, Administración, Derecho y afines.</v>
          </cell>
          <cell r="U312" t="str">
            <v>CONTRATACION DIRECTA</v>
          </cell>
          <cell r="V312" t="str">
            <v>PRINCIPAL</v>
          </cell>
          <cell r="W312" t="str">
            <v>NA</v>
          </cell>
          <cell r="X312" t="str">
            <v>PRESTACION DE SERVICIOS</v>
          </cell>
          <cell r="Y312">
            <v>10000000</v>
          </cell>
          <cell r="Z312">
            <v>10000000</v>
          </cell>
          <cell r="AA312" t="str">
            <v>7 mes(es)</v>
          </cell>
        </row>
        <row r="313">
          <cell r="C313">
            <v>280</v>
          </cell>
          <cell r="D313">
            <v>3</v>
          </cell>
          <cell r="E313">
            <v>14</v>
          </cell>
          <cell r="F313" t="str">
            <v>NUEVA</v>
          </cell>
          <cell r="G313" t="str">
            <v>RECURSOS PROPIOS</v>
          </cell>
          <cell r="H313">
            <v>54000</v>
          </cell>
          <cell r="I313">
            <v>1</v>
          </cell>
          <cell r="J313" t="str">
            <v>NA</v>
          </cell>
          <cell r="K313" t="str">
            <v>3-1-2-02-03 Gastos de Transporte y Comunicación</v>
          </cell>
          <cell r="L313">
            <v>1</v>
          </cell>
          <cell r="M313" t="str">
            <v>NA</v>
          </cell>
          <cell r="N313" t="str">
            <v>NA</v>
          </cell>
          <cell r="O313" t="str">
            <v>S</v>
          </cell>
          <cell r="P313" t="str">
            <v>NA</v>
          </cell>
          <cell r="Q313" t="str">
            <v>Adición y prórroga al contrato 140197-0-2014, cuyo objeto es: La prestación del servicio de  correspondencia  para la Secretaría Distrital de Hacienda</v>
          </cell>
          <cell r="R313">
            <v>1</v>
          </cell>
          <cell r="S313" t="str">
            <v>NA</v>
          </cell>
          <cell r="T313" t="str">
            <v>NA</v>
          </cell>
          <cell r="U313" t="str">
            <v>NA</v>
          </cell>
          <cell r="V313" t="str">
            <v>MODIFICACION</v>
          </cell>
          <cell r="W313" t="str">
            <v>AP</v>
          </cell>
          <cell r="X313" t="str">
            <v>PRESTACION DE SERVICIOS</v>
          </cell>
          <cell r="Y313">
            <v>15000000</v>
          </cell>
          <cell r="Z313">
            <v>15000000</v>
          </cell>
          <cell r="AA313" t="str">
            <v>27 Días Calendario</v>
          </cell>
        </row>
        <row r="314">
          <cell r="C314">
            <v>281</v>
          </cell>
          <cell r="D314">
            <v>3</v>
          </cell>
          <cell r="E314">
            <v>15</v>
          </cell>
          <cell r="F314" t="str">
            <v>NUEVA</v>
          </cell>
          <cell r="G314" t="str">
            <v>RECURSOS PROPIOS</v>
          </cell>
          <cell r="H314">
            <v>51000</v>
          </cell>
          <cell r="I314">
            <v>1</v>
          </cell>
          <cell r="J314" t="str">
            <v>NA</v>
          </cell>
          <cell r="K314" t="str">
            <v>3-3-1-14-03-31-0714-235235 - Fortalecimiento institucional de la Secretaria Distrital de Hacienda</v>
          </cell>
          <cell r="L314">
            <v>1</v>
          </cell>
          <cell r="M314" t="str">
            <v>1. Fortalecer la infraestructura física de la SDH y el CAD</v>
          </cell>
          <cell r="N314" t="str">
            <v>1.3 Adecuación de la áreas físicas de la SDH y el CAD</v>
          </cell>
          <cell r="O314" t="str">
            <v>S</v>
          </cell>
          <cell r="P314" t="str">
            <v>NA</v>
          </cell>
          <cell r="Q314" t="str">
            <v>Adición y prórroga al contrato 130381-0-2013 suscrito con 2C INGENIEROS S.A. para : Realizar la Interventoría técnica, administrativa, financiera, legal y ambiental para la adecuación de los sistemas de redes hidrosanitarias y de protección de incendios d</v>
          </cell>
          <cell r="R314" t="str">
            <v>NA</v>
          </cell>
          <cell r="S314" t="str">
            <v>N/A</v>
          </cell>
          <cell r="T314" t="str">
            <v>N/A</v>
          </cell>
          <cell r="U314" t="str">
            <v>NA</v>
          </cell>
          <cell r="V314" t="str">
            <v>MODIFICACION</v>
          </cell>
          <cell r="W314" t="str">
            <v>AP</v>
          </cell>
          <cell r="X314" t="str">
            <v>CONSULTORIA</v>
          </cell>
          <cell r="Y314">
            <v>119673334</v>
          </cell>
          <cell r="Z314">
            <v>119673334</v>
          </cell>
          <cell r="AA314" t="str">
            <v>100 día(s)</v>
          </cell>
        </row>
        <row r="315">
          <cell r="C315">
            <v>282</v>
          </cell>
          <cell r="D315">
            <v>3</v>
          </cell>
          <cell r="E315">
            <v>20</v>
          </cell>
          <cell r="F315" t="str">
            <v>MODIFICACION</v>
          </cell>
          <cell r="G315" t="str">
            <v>RECURSOS PROPIOS</v>
          </cell>
          <cell r="H315">
            <v>44000</v>
          </cell>
          <cell r="I315">
            <v>1</v>
          </cell>
          <cell r="J315" t="str">
            <v>NA</v>
          </cell>
          <cell r="K315" t="str">
            <v>3-1-2-01-02 Gastos de Computador</v>
          </cell>
          <cell r="L315">
            <v>1</v>
          </cell>
          <cell r="M315" t="str">
            <v>NA</v>
          </cell>
          <cell r="N315" t="str">
            <v>NA</v>
          </cell>
          <cell r="O315" t="str">
            <v>S</v>
          </cell>
          <cell r="P315" t="str">
            <v>NA</v>
          </cell>
          <cell r="Q315" t="str">
            <v>Contratar el Outsourcing Integral para los Servicios de Gestión de Mesa de Ayuda, Gestión de Impresión, para la SDH,  el Concejo de Bogotá y el servicio de monitoreo y operación del Data Center en modalidad BPO 7x24 para la SDH.</v>
          </cell>
          <cell r="R315">
            <v>2</v>
          </cell>
          <cell r="S315" t="str">
            <v>N/A</v>
          </cell>
          <cell r="T315" t="str">
            <v>N/A</v>
          </cell>
          <cell r="U315" t="str">
            <v>LICITACION PUBLICA</v>
          </cell>
          <cell r="V315" t="str">
            <v>PRINCIPAL</v>
          </cell>
          <cell r="W315" t="str">
            <v>NA</v>
          </cell>
          <cell r="X315" t="str">
            <v>PRESTACION DE SERVICIOS</v>
          </cell>
          <cell r="Y315">
            <v>2916000000</v>
          </cell>
          <cell r="Z315">
            <v>2480000000</v>
          </cell>
          <cell r="AA315" t="str">
            <v>10 mes(es)</v>
          </cell>
        </row>
        <row r="316">
          <cell r="C316">
            <v>282</v>
          </cell>
          <cell r="D316">
            <v>3</v>
          </cell>
          <cell r="E316">
            <v>20</v>
          </cell>
          <cell r="F316" t="str">
            <v>MODIFICACION</v>
          </cell>
          <cell r="G316" t="str">
            <v>RECURSOS PROPIOS</v>
          </cell>
          <cell r="H316">
            <v>120000</v>
          </cell>
          <cell r="I316">
            <v>4</v>
          </cell>
          <cell r="J316" t="str">
            <v>NA</v>
          </cell>
          <cell r="K316" t="str">
            <v>3-1-2-01-02 Gastos de Computador</v>
          </cell>
          <cell r="L316">
            <v>1</v>
          </cell>
          <cell r="M316" t="str">
            <v>NA</v>
          </cell>
          <cell r="N316" t="str">
            <v>NA</v>
          </cell>
          <cell r="O316" t="str">
            <v>S</v>
          </cell>
          <cell r="P316" t="str">
            <v>NA</v>
          </cell>
          <cell r="Q316" t="str">
            <v>Contratar el Outsourcing Integral para los Servicios de Gestión de Mesa de Ayuda, Gestión de Impresión, para la SDH,  el Concejo de Bogotá y el servicio de monitoreo y operación del Data Center en modalidad BPO 7x24 para la SDH.</v>
          </cell>
          <cell r="R316">
            <v>2</v>
          </cell>
          <cell r="S316" t="str">
            <v>N/A</v>
          </cell>
          <cell r="T316" t="str">
            <v>N/A</v>
          </cell>
          <cell r="U316" t="str">
            <v>LICITACION PUBLICA</v>
          </cell>
          <cell r="V316" t="str">
            <v>PRINCIPAL</v>
          </cell>
          <cell r="W316" t="str">
            <v>NA</v>
          </cell>
          <cell r="X316" t="str">
            <v>PRESTACION DE SERVICIOS</v>
          </cell>
          <cell r="Y316">
            <v>2916000000</v>
          </cell>
          <cell r="Z316">
            <v>436000000</v>
          </cell>
          <cell r="AA316" t="str">
            <v>10 mes(es)</v>
          </cell>
        </row>
        <row r="317">
          <cell r="C317">
            <v>283</v>
          </cell>
          <cell r="D317">
            <v>3</v>
          </cell>
          <cell r="E317">
            <v>15</v>
          </cell>
          <cell r="F317" t="str">
            <v>NUEVA</v>
          </cell>
          <cell r="G317" t="str">
            <v>RECURSOS PROPIOS</v>
          </cell>
          <cell r="H317">
            <v>70000</v>
          </cell>
          <cell r="I317">
            <v>1</v>
          </cell>
          <cell r="J317" t="str">
            <v>NA</v>
          </cell>
          <cell r="K317" t="str">
            <v>3-3-1-14-03-31-0703-239239 - Control y servicios tributarios</v>
          </cell>
          <cell r="L317">
            <v>1</v>
          </cell>
          <cell r="M317" t="str">
            <v>3. Incrementar a 92% el cumplimiento oportuno de las obligaciones tributarias</v>
          </cell>
          <cell r="N317" t="str">
            <v>3.4. Adelantar  el Registro maestro de información del contribuyente, a través de la autenticación, enrolamiento y revisión de datos bajo los principios de ciudadano único,  autoatención y actualización permanente.</v>
          </cell>
          <cell r="O317" t="str">
            <v>S</v>
          </cell>
          <cell r="P317" t="str">
            <v>NA</v>
          </cell>
          <cell r="Q317" t="str">
            <v>ADICION Y PRORROGA AL CONTRATO 140353-0-2014 cuyo objeto es el de "Contratar el soporte logístico para apoyar a la Dirección de Impuestos de Bogotá en el desarrollo de las acciones tendientes a formar, informar e incentivar a los contribuyentes y ciudadan</v>
          </cell>
          <cell r="R317">
            <v>1</v>
          </cell>
          <cell r="S317" t="str">
            <v>N/A</v>
          </cell>
          <cell r="T317" t="str">
            <v>N/A</v>
          </cell>
          <cell r="U317" t="str">
            <v>MODIFICACION</v>
          </cell>
          <cell r="V317" t="str">
            <v>MODIFICACION</v>
          </cell>
          <cell r="W317" t="str">
            <v>AP</v>
          </cell>
          <cell r="X317" t="str">
            <v>PRESTACION DE SERVICIOS</v>
          </cell>
          <cell r="Y317">
            <v>236158000</v>
          </cell>
          <cell r="Z317">
            <v>236158000</v>
          </cell>
          <cell r="AA317" t="str">
            <v>5 mes(es)</v>
          </cell>
        </row>
        <row r="318">
          <cell r="C318">
            <v>284</v>
          </cell>
          <cell r="D318">
            <v>3</v>
          </cell>
          <cell r="E318">
            <v>19</v>
          </cell>
          <cell r="F318" t="str">
            <v>MODIFICACION</v>
          </cell>
          <cell r="G318" t="str">
            <v>RECURSOS PROPIOS</v>
          </cell>
          <cell r="H318">
            <v>44000</v>
          </cell>
          <cell r="I318">
            <v>1</v>
          </cell>
          <cell r="J318" t="str">
            <v>NA</v>
          </cell>
          <cell r="K318" t="str">
            <v>3-1-2-01-02 Gastos de Computador</v>
          </cell>
          <cell r="L318">
            <v>1</v>
          </cell>
          <cell r="M318" t="str">
            <v>NA</v>
          </cell>
          <cell r="N318" t="str">
            <v>NA</v>
          </cell>
          <cell r="O318" t="str">
            <v>S</v>
          </cell>
          <cell r="P318" t="str">
            <v>NA</v>
          </cell>
          <cell r="Q318" t="str">
            <v>Adición y pórroga a los contrato No. 140309-0-2014 y 140310-0-2014 cuyo objeto es contratar la gestión integral de servicios de mesa de ayuda, soporte informático, mantenimiento preventivo y correctivo de la infraestructura tecnológica con suministro de r</v>
          </cell>
          <cell r="R318">
            <v>2</v>
          </cell>
          <cell r="S318" t="str">
            <v>N/A</v>
          </cell>
          <cell r="T318" t="str">
            <v>N/A</v>
          </cell>
          <cell r="U318" t="str">
            <v>NA</v>
          </cell>
          <cell r="V318" t="str">
            <v>MODIFICACION</v>
          </cell>
          <cell r="W318" t="str">
            <v>AP</v>
          </cell>
          <cell r="X318" t="str">
            <v>PRESTACION DE SERVICIOS</v>
          </cell>
          <cell r="Y318">
            <v>245959718</v>
          </cell>
          <cell r="Z318">
            <v>191584374</v>
          </cell>
          <cell r="AA318" t="str">
            <v>3 mes(es)</v>
          </cell>
        </row>
        <row r="319">
          <cell r="C319">
            <v>284</v>
          </cell>
          <cell r="D319">
            <v>3</v>
          </cell>
          <cell r="E319">
            <v>19</v>
          </cell>
          <cell r="F319" t="str">
            <v>MODIFICACION</v>
          </cell>
          <cell r="G319" t="str">
            <v>RECURSOS PROPIOS</v>
          </cell>
          <cell r="H319">
            <v>120000</v>
          </cell>
          <cell r="I319">
            <v>4</v>
          </cell>
          <cell r="J319" t="str">
            <v>NA</v>
          </cell>
          <cell r="K319" t="str">
            <v>3-1-2-01-02 Gastos de Computador</v>
          </cell>
          <cell r="L319">
            <v>1</v>
          </cell>
          <cell r="M319" t="str">
            <v>NA</v>
          </cell>
          <cell r="N319" t="str">
            <v>NA</v>
          </cell>
          <cell r="O319" t="str">
            <v>S</v>
          </cell>
          <cell r="P319" t="str">
            <v>NA</v>
          </cell>
          <cell r="Q319" t="str">
            <v>Adición y pórroga a los contrato No. 140309-0-2014 y 140310-0-2014 cuyo objeto es contratar la gestión integral de servicios de mesa de ayuda, soporte informático, mantenimiento preventivo y correctivo de la infraestructura tecnológica con suministro de r</v>
          </cell>
          <cell r="R319">
            <v>2</v>
          </cell>
          <cell r="S319" t="str">
            <v>N/A</v>
          </cell>
          <cell r="T319" t="str">
            <v>N/A</v>
          </cell>
          <cell r="U319" t="str">
            <v>NA</v>
          </cell>
          <cell r="V319" t="str">
            <v>MODIFICACION</v>
          </cell>
          <cell r="W319" t="str">
            <v>AP</v>
          </cell>
          <cell r="X319" t="str">
            <v>PRESTACION DE SERVICIOS</v>
          </cell>
          <cell r="Y319">
            <v>245959718</v>
          </cell>
          <cell r="Z319">
            <v>54375344</v>
          </cell>
          <cell r="AA319" t="str">
            <v>3 mes(es)</v>
          </cell>
        </row>
        <row r="320">
          <cell r="C320">
            <v>285</v>
          </cell>
          <cell r="D320">
            <v>3</v>
          </cell>
          <cell r="E320">
            <v>17</v>
          </cell>
          <cell r="F320" t="str">
            <v>NUEVA</v>
          </cell>
          <cell r="G320" t="str">
            <v>RECURSOS PROPIOS</v>
          </cell>
          <cell r="H320">
            <v>51000</v>
          </cell>
          <cell r="I320">
            <v>1</v>
          </cell>
          <cell r="J320" t="str">
            <v>NA</v>
          </cell>
          <cell r="K320" t="str">
            <v>3-1-2-02-05-02 Mantenimiento C.A.D.</v>
          </cell>
          <cell r="L320">
            <v>1</v>
          </cell>
          <cell r="M320" t="str">
            <v>NA</v>
          </cell>
          <cell r="N320" t="str">
            <v>NA</v>
          </cell>
          <cell r="O320" t="str">
            <v>S</v>
          </cell>
          <cell r="P320" t="str">
            <v>NA</v>
          </cell>
          <cell r="Q320" t="str">
            <v>Adición y prórroga del contrato 140214-0-2014, cuyo objeto es:  Prestar los servicios integrales de aseo y cafetería y servicio de fumigación para las instalaciones de la Secretaría Distrital de Hacienda de Bogotá, D.C., y zonas comunes del CAD</v>
          </cell>
          <cell r="R320">
            <v>1</v>
          </cell>
          <cell r="S320" t="str">
            <v>N/A</v>
          </cell>
          <cell r="T320" t="str">
            <v>N/A</v>
          </cell>
          <cell r="U320" t="str">
            <v>NA</v>
          </cell>
          <cell r="V320" t="str">
            <v>MODIFICACION</v>
          </cell>
          <cell r="W320" t="str">
            <v>AP</v>
          </cell>
          <cell r="X320" t="str">
            <v>PRESTACION DE SERVICIOS</v>
          </cell>
          <cell r="Y320">
            <v>164588000</v>
          </cell>
          <cell r="Z320">
            <v>5805000</v>
          </cell>
          <cell r="AA320" t="str">
            <v>56 día(s)</v>
          </cell>
        </row>
        <row r="321">
          <cell r="C321">
            <v>285</v>
          </cell>
          <cell r="D321">
            <v>3</v>
          </cell>
          <cell r="E321">
            <v>17</v>
          </cell>
          <cell r="F321" t="str">
            <v>NUEVA</v>
          </cell>
          <cell r="G321" t="str">
            <v>RECURSOS PROPIOS</v>
          </cell>
          <cell r="H321">
            <v>51000</v>
          </cell>
          <cell r="I321">
            <v>1</v>
          </cell>
          <cell r="J321" t="str">
            <v>NA</v>
          </cell>
          <cell r="K321" t="str">
            <v>3-1-2-01-04 Materiales y Suministros</v>
          </cell>
          <cell r="L321">
            <v>1</v>
          </cell>
          <cell r="M321" t="str">
            <v>NA</v>
          </cell>
          <cell r="N321" t="str">
            <v>NA</v>
          </cell>
          <cell r="O321" t="str">
            <v>S</v>
          </cell>
          <cell r="P321" t="str">
            <v>NA</v>
          </cell>
          <cell r="Q321" t="str">
            <v>Adición y prórroga del contrato 140214-0-2014, cuyo objeto es:  Prestar los servicios integrales de aseo y cafetería y servicio de fumigación para las instalaciones de la Secretaría Distrital de Hacienda de Bogotá, D.C., y zonas comunes del CAD</v>
          </cell>
          <cell r="R321">
            <v>1</v>
          </cell>
          <cell r="S321" t="str">
            <v>N/A</v>
          </cell>
          <cell r="T321" t="str">
            <v>N/A</v>
          </cell>
          <cell r="U321" t="str">
            <v>NA</v>
          </cell>
          <cell r="V321" t="str">
            <v>MODIFICACION</v>
          </cell>
          <cell r="W321" t="str">
            <v>AP</v>
          </cell>
          <cell r="X321" t="str">
            <v>PRESTACION DE SERVICIOS</v>
          </cell>
          <cell r="Y321">
            <v>164588000</v>
          </cell>
          <cell r="Z321">
            <v>7732000</v>
          </cell>
          <cell r="AA321" t="str">
            <v>56 día(s)</v>
          </cell>
        </row>
        <row r="322">
          <cell r="C322">
            <v>285</v>
          </cell>
          <cell r="D322">
            <v>3</v>
          </cell>
          <cell r="E322">
            <v>17</v>
          </cell>
          <cell r="F322" t="str">
            <v>NUEVA</v>
          </cell>
          <cell r="G322" t="str">
            <v>RECURSOS PROPIOS</v>
          </cell>
          <cell r="H322">
            <v>51000</v>
          </cell>
          <cell r="I322">
            <v>1</v>
          </cell>
          <cell r="J322" t="str">
            <v>NA</v>
          </cell>
          <cell r="K322" t="str">
            <v>3-1-2-02-05-01 Mantenimiento Entidad</v>
          </cell>
          <cell r="L322">
            <v>1</v>
          </cell>
          <cell r="M322" t="str">
            <v>NA</v>
          </cell>
          <cell r="N322" t="str">
            <v>NA</v>
          </cell>
          <cell r="O322" t="str">
            <v>S</v>
          </cell>
          <cell r="P322" t="str">
            <v>NA</v>
          </cell>
          <cell r="Q322" t="str">
            <v>Adición y prórroga del contrato 140214-0-2014, cuyo objeto es:  Prestar los servicios integrales de aseo y cafetería y servicio de fumigación para las instalaciones de la Secretaría Distrital de Hacienda de Bogotá, D.C., y zonas comunes del CAD</v>
          </cell>
          <cell r="R322">
            <v>1</v>
          </cell>
          <cell r="S322" t="str">
            <v>N/A</v>
          </cell>
          <cell r="T322" t="str">
            <v>N/A</v>
          </cell>
          <cell r="U322" t="str">
            <v>NA</v>
          </cell>
          <cell r="V322" t="str">
            <v>MODIFICACION</v>
          </cell>
          <cell r="W322" t="str">
            <v>AP</v>
          </cell>
          <cell r="X322" t="str">
            <v>PRESTACION DE SERVICIOS</v>
          </cell>
          <cell r="Y322">
            <v>164588000</v>
          </cell>
          <cell r="Z322">
            <v>151051000</v>
          </cell>
          <cell r="AA322" t="str">
            <v>56 día(s)</v>
          </cell>
        </row>
        <row r="323">
          <cell r="C323">
            <v>286</v>
          </cell>
          <cell r="D323">
            <v>3</v>
          </cell>
          <cell r="E323">
            <v>17</v>
          </cell>
          <cell r="F323" t="str">
            <v>NUEVA</v>
          </cell>
          <cell r="G323" t="str">
            <v>RECURSOS PROPIOS</v>
          </cell>
          <cell r="H323">
            <v>44000</v>
          </cell>
          <cell r="I323">
            <v>1</v>
          </cell>
          <cell r="J323" t="str">
            <v>NA</v>
          </cell>
          <cell r="K323" t="str">
            <v>3-1-2-01-02 Gastos de Computador</v>
          </cell>
          <cell r="L323">
            <v>1</v>
          </cell>
          <cell r="M323" t="str">
            <v>NA</v>
          </cell>
          <cell r="N323" t="str">
            <v>NA</v>
          </cell>
          <cell r="O323" t="str">
            <v>S</v>
          </cell>
          <cell r="P323" t="str">
            <v>NA</v>
          </cell>
          <cell r="Q323" t="str">
            <v>Adición y prorroga al contrato No. 140338-0-2014 cuyo objeto es Adquisición de tóner para los equipos de impresión de la Secretaría Distrital de Hacienda</v>
          </cell>
          <cell r="R323">
            <v>1</v>
          </cell>
          <cell r="S323" t="str">
            <v>N/A</v>
          </cell>
          <cell r="T323" t="str">
            <v>N/A</v>
          </cell>
          <cell r="U323" t="str">
            <v>NA</v>
          </cell>
          <cell r="V323" t="str">
            <v>MODIFICACION</v>
          </cell>
          <cell r="W323" t="str">
            <v>AP</v>
          </cell>
          <cell r="X323" t="str">
            <v>PRESTACION DE SERVICIOS</v>
          </cell>
          <cell r="Y323">
            <v>75000000</v>
          </cell>
          <cell r="Z323">
            <v>75000000</v>
          </cell>
          <cell r="AA323" t="str">
            <v>1 mes(es)</v>
          </cell>
        </row>
        <row r="324">
          <cell r="C324">
            <v>287</v>
          </cell>
          <cell r="D324">
            <v>3</v>
          </cell>
          <cell r="E324">
            <v>18</v>
          </cell>
          <cell r="F324" t="str">
            <v>NUEVA</v>
          </cell>
          <cell r="G324" t="str">
            <v>RECURSOS PROPIOS</v>
          </cell>
          <cell r="H324">
            <v>41000</v>
          </cell>
          <cell r="I324">
            <v>1</v>
          </cell>
          <cell r="J324" t="str">
            <v>NA</v>
          </cell>
          <cell r="K324" t="str">
            <v>3-1-2-01-02 Gastos de Computador</v>
          </cell>
          <cell r="L324">
            <v>1</v>
          </cell>
          <cell r="M324" t="str">
            <v>NA</v>
          </cell>
          <cell r="N324" t="str">
            <v>NA</v>
          </cell>
          <cell r="O324" t="str">
            <v>S</v>
          </cell>
          <cell r="P324" t="str">
            <v>NA</v>
          </cell>
          <cell r="Q324" t="str">
            <v>Adquisición de certificados de firmas digitales y de servidor de conformidad con los estudios previos y/o especificaciones esenciales</v>
          </cell>
          <cell r="R324">
            <v>1</v>
          </cell>
          <cell r="S324" t="str">
            <v>NA</v>
          </cell>
          <cell r="T324" t="str">
            <v>NA</v>
          </cell>
          <cell r="U324" t="str">
            <v>CONTRATACION DIRECTA</v>
          </cell>
          <cell r="V324" t="str">
            <v>PRINCIPAL</v>
          </cell>
          <cell r="W324" t="str">
            <v>NA</v>
          </cell>
          <cell r="X324" t="str">
            <v>PRESTACION DE SERVICIOS</v>
          </cell>
          <cell r="Y324">
            <v>42000000</v>
          </cell>
          <cell r="Z324">
            <v>42000000</v>
          </cell>
          <cell r="AA324" t="str">
            <v>12 mes(es)</v>
          </cell>
        </row>
        <row r="325">
          <cell r="C325">
            <v>288</v>
          </cell>
          <cell r="D325">
            <v>3</v>
          </cell>
          <cell r="E325">
            <v>18</v>
          </cell>
          <cell r="F325" t="str">
            <v>NUEVA</v>
          </cell>
          <cell r="G325" t="str">
            <v>RECURSOS PROPIOS</v>
          </cell>
          <cell r="H325">
            <v>52000</v>
          </cell>
          <cell r="I325">
            <v>1</v>
          </cell>
          <cell r="J325" t="str">
            <v>NA</v>
          </cell>
          <cell r="K325" t="str">
            <v>3-1-2-02-09-01 Capacitación Interna</v>
          </cell>
          <cell r="L325">
            <v>1</v>
          </cell>
          <cell r="M325" t="str">
            <v>NA</v>
          </cell>
          <cell r="N325" t="str">
            <v>NA</v>
          </cell>
          <cell r="O325" t="str">
            <v>S</v>
          </cell>
          <cell r="P325" t="str">
            <v>NA</v>
          </cell>
          <cell r="Q325" t="str">
            <v>Adición y prórroga del contrato No.140237-0-2014 suscrito con Compensar para prestar el servicio de alquiler de escenarios como salones, auditorios y espacios abiertos, apoyo logístico y servicio de catering para la Secretaría Distrital de Hacienda</v>
          </cell>
          <cell r="R325">
            <v>1</v>
          </cell>
          <cell r="S325" t="str">
            <v>N/A</v>
          </cell>
          <cell r="T325" t="str">
            <v>N/A</v>
          </cell>
          <cell r="U325" t="str">
            <v>NA</v>
          </cell>
          <cell r="V325" t="str">
            <v>MODIFICACION</v>
          </cell>
          <cell r="W325" t="str">
            <v>AP</v>
          </cell>
          <cell r="X325" t="str">
            <v>PRESTACION DE SERVICIOS</v>
          </cell>
          <cell r="Y325">
            <v>10000000</v>
          </cell>
          <cell r="Z325">
            <v>5000000</v>
          </cell>
          <cell r="AA325" t="str">
            <v>1 mes(es)</v>
          </cell>
        </row>
        <row r="326">
          <cell r="C326">
            <v>288</v>
          </cell>
          <cell r="D326">
            <v>3</v>
          </cell>
          <cell r="E326">
            <v>18</v>
          </cell>
          <cell r="F326" t="str">
            <v>NUEVA</v>
          </cell>
          <cell r="G326" t="str">
            <v>RECURSOS PROPIOS</v>
          </cell>
          <cell r="H326">
            <v>52000</v>
          </cell>
          <cell r="I326">
            <v>1</v>
          </cell>
          <cell r="J326" t="str">
            <v>NA</v>
          </cell>
          <cell r="K326" t="str">
            <v>3-1-2-02-11 Promoción Institucional</v>
          </cell>
          <cell r="L326">
            <v>1</v>
          </cell>
          <cell r="M326" t="str">
            <v>NA</v>
          </cell>
          <cell r="N326" t="str">
            <v>NA</v>
          </cell>
          <cell r="O326" t="str">
            <v>S</v>
          </cell>
          <cell r="P326" t="str">
            <v>NA</v>
          </cell>
          <cell r="Q326" t="str">
            <v>Adición y prórroga del contrato No.140237-0-2014 suscrito con Compensar para prestar el servicio de alquiler de escenarios como salones, auditorios y espacios abiertos, apoyo logístico y servicio de catering para la Secretaría Distrital de Hacienda</v>
          </cell>
          <cell r="R326">
            <v>1</v>
          </cell>
          <cell r="S326" t="str">
            <v>N/A</v>
          </cell>
          <cell r="T326" t="str">
            <v>N/A</v>
          </cell>
          <cell r="U326" t="str">
            <v>NA</v>
          </cell>
          <cell r="V326" t="str">
            <v>MODIFICACION</v>
          </cell>
          <cell r="W326" t="str">
            <v>AP</v>
          </cell>
          <cell r="X326" t="str">
            <v>PRESTACION DE SERVICIOS</v>
          </cell>
          <cell r="Y326">
            <v>10000000</v>
          </cell>
          <cell r="Z326">
            <v>5000000</v>
          </cell>
          <cell r="AA326" t="str">
            <v>1 mes(es)</v>
          </cell>
        </row>
        <row r="327">
          <cell r="C327">
            <v>289</v>
          </cell>
          <cell r="D327">
            <v>3</v>
          </cell>
          <cell r="E327">
            <v>18</v>
          </cell>
          <cell r="F327" t="str">
            <v>NUEVA</v>
          </cell>
          <cell r="G327" t="str">
            <v>NA</v>
          </cell>
          <cell r="H327">
            <v>120000</v>
          </cell>
          <cell r="I327">
            <v>4</v>
          </cell>
          <cell r="J327" t="str">
            <v>NA</v>
          </cell>
          <cell r="K327" t="str">
            <v>3-1-2-02-10 Bienestar e Incentivos</v>
          </cell>
          <cell r="L327">
            <v>1</v>
          </cell>
          <cell r="M327" t="str">
            <v>NA</v>
          </cell>
          <cell r="N327" t="str">
            <v>NA</v>
          </cell>
          <cell r="O327" t="str">
            <v>S</v>
          </cell>
          <cell r="P327" t="str">
            <v>NA</v>
          </cell>
          <cell r="Q327" t="str">
            <v>Adición del Contrato N° 140351-0-2014 suscrito con J.A. Zabala Consultores Asociados S.AS. para - desarrollar actividades contenidas en el Plan de Bienestar e Incentivos del Concejo de Bogotá-</v>
          </cell>
          <cell r="R327">
            <v>1</v>
          </cell>
          <cell r="S327" t="str">
            <v>N/A</v>
          </cell>
          <cell r="T327" t="str">
            <v>N/A</v>
          </cell>
          <cell r="U327" t="str">
            <v>NA</v>
          </cell>
          <cell r="V327" t="str">
            <v>MODIFICACION</v>
          </cell>
          <cell r="W327" t="str">
            <v>A</v>
          </cell>
          <cell r="X327" t="str">
            <v>PRESTACION DE SERVICIOS</v>
          </cell>
          <cell r="Y327">
            <v>16500000</v>
          </cell>
          <cell r="Z327">
            <v>16500000</v>
          </cell>
          <cell r="AA327" t="str">
            <v xml:space="preserve"> </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A2017"/>
    </sheetNames>
    <sheetDataSet>
      <sheetData sheetId="0">
        <row r="65">
          <cell r="C65">
            <v>63</v>
          </cell>
          <cell r="D65">
            <v>69</v>
          </cell>
          <cell r="E65" t="str">
            <v>INICIAL</v>
          </cell>
          <cell r="F65" t="str">
            <v>RECURSOS PROPIOS</v>
          </cell>
          <cell r="G65">
            <v>120000</v>
          </cell>
          <cell r="H65">
            <v>4</v>
          </cell>
          <cell r="I65" t="str">
            <v>3-1-2-01-02 Gastos de Computador</v>
          </cell>
          <cell r="J65">
            <v>1</v>
          </cell>
          <cell r="K65">
            <v>4</v>
          </cell>
          <cell r="L65" t="str">
            <v>NA</v>
          </cell>
          <cell r="M65" t="str">
            <v>NA</v>
          </cell>
          <cell r="N65" t="str">
            <v>Adición y prórroga al contrato 160250 cuyo objeto es "prestar los servicios de mantenimiento, soporte y actualización con el suministro de repuestos para la infraestructura de telecomunicaciones, cableado estructurado (voz y datos), fibra óptica, energía normal y regulada para el Concejo de Bogotá"</v>
          </cell>
          <cell r="O65" t="str">
            <v>NA</v>
          </cell>
          <cell r="P65" t="str">
            <v>NA</v>
          </cell>
          <cell r="Q65" t="str">
            <v>NA</v>
          </cell>
          <cell r="R65" t="str">
            <v>NA</v>
          </cell>
          <cell r="S65" t="str">
            <v>M</v>
          </cell>
          <cell r="T65" t="str">
            <v>AP</v>
          </cell>
          <cell r="U65" t="str">
            <v>PRESTACION DE SERVICIOS</v>
          </cell>
          <cell r="V65">
            <v>8638000</v>
          </cell>
          <cell r="W65">
            <v>8638000</v>
          </cell>
          <cell r="X65" t="str">
            <v>2 mes(es) 15 dias Calendario</v>
          </cell>
          <cell r="Y65">
            <v>1</v>
          </cell>
          <cell r="Z65">
            <v>42800</v>
          </cell>
          <cell r="AA65" t="str">
            <v>Se requiere adicionar el contrato en ejecución por 2 meses entre tanto se adjudica el nuevo proceso por subasta inversa en abril de 2017</v>
          </cell>
        </row>
        <row r="66">
          <cell r="C66">
            <v>64</v>
          </cell>
          <cell r="D66">
            <v>69</v>
          </cell>
          <cell r="E66" t="str">
            <v>INICIAL</v>
          </cell>
          <cell r="F66" t="str">
            <v>RECURSOS PROPIOS</v>
          </cell>
          <cell r="G66">
            <v>221000</v>
          </cell>
          <cell r="H66">
            <v>1</v>
          </cell>
          <cell r="I66" t="str">
            <v>3-1-2-01-02 Gastos de Computador</v>
          </cell>
          <cell r="J66">
            <v>1</v>
          </cell>
          <cell r="K66">
            <v>1</v>
          </cell>
          <cell r="L66" t="str">
            <v>NA</v>
          </cell>
          <cell r="M66" t="str">
            <v>NA</v>
          </cell>
          <cell r="N66" t="str">
            <v>Prestar los servicios de mantenimiento y soporte del software Eyes &amp; Hands for FORMS a la última versión liberada en el mercado, para la Secretaría Distrital de Hacienda</v>
          </cell>
          <cell r="O66">
            <v>1</v>
          </cell>
          <cell r="P66" t="str">
            <v>NA</v>
          </cell>
          <cell r="Q66" t="str">
            <v>NA</v>
          </cell>
          <cell r="R66" t="str">
            <v>SEL.ABREVIADA.SUB.INV.ELECTRO.</v>
          </cell>
          <cell r="S66" t="str">
            <v>P</v>
          </cell>
          <cell r="T66" t="str">
            <v>NA</v>
          </cell>
          <cell r="U66" t="str">
            <v>PRESTACION DE SERVICIOS</v>
          </cell>
          <cell r="V66">
            <v>100000000</v>
          </cell>
          <cell r="W66">
            <v>100000000</v>
          </cell>
          <cell r="X66" t="str">
            <v>12 mes(es)</v>
          </cell>
          <cell r="Y66">
            <v>4</v>
          </cell>
          <cell r="Z66">
            <v>43021</v>
          </cell>
          <cell r="AA66" t="str">
            <v>Entre tanto se define la adquisición de una aplicativo que lo sustituya, es necesario seguir contando con el soporte y mantenimiento del software eyes &amp; hands, para el procesamiento de la información tributaria. Se incrementa el costo frente al contrato de la vigencia 2016, teniendo en cuenta que para 2017 se incluye soporte de fabricante, por lo cual no se plantea adiconar el contrato vigente.  Fecha de terminación contrato actual: 20/10/2017</v>
          </cell>
        </row>
        <row r="67">
          <cell r="C67">
            <v>65</v>
          </cell>
          <cell r="D67">
            <v>69</v>
          </cell>
          <cell r="E67" t="str">
            <v>INICIAL</v>
          </cell>
          <cell r="F67" t="str">
            <v>RECURSOS PROPIOS</v>
          </cell>
          <cell r="G67">
            <v>221000</v>
          </cell>
          <cell r="H67">
            <v>1</v>
          </cell>
          <cell r="I67" t="str">
            <v>3-1-2-01-02 Gastos de Computador</v>
          </cell>
          <cell r="J67">
            <v>1</v>
          </cell>
          <cell r="K67">
            <v>1</v>
          </cell>
          <cell r="L67" t="str">
            <v>NA</v>
          </cell>
          <cell r="M67" t="str">
            <v>NA</v>
          </cell>
          <cell r="N67" t="str">
            <v>Prestar los servicios para el fortalecimiento tecnológico, el soporte asociado para apoyar la implementación de proyectos estratégicos y de gestión de TI, así como la actualización del licenciamiento y la renovación de los servicios de soporte técnico de productos Oracle</v>
          </cell>
          <cell r="O67">
            <v>1</v>
          </cell>
          <cell r="P67" t="str">
            <v>NA</v>
          </cell>
          <cell r="Q67" t="str">
            <v>NA</v>
          </cell>
          <cell r="R67" t="str">
            <v>DIRECTA_OTRAS_CAUSALES</v>
          </cell>
          <cell r="S67" t="str">
            <v>P</v>
          </cell>
          <cell r="T67" t="str">
            <v>NA</v>
          </cell>
          <cell r="U67" t="str">
            <v>PRESTACION DE SERVICIOS</v>
          </cell>
          <cell r="V67">
            <v>3765469920</v>
          </cell>
          <cell r="W67">
            <v>3765469920</v>
          </cell>
          <cell r="X67" t="str">
            <v>12 mes(es)</v>
          </cell>
          <cell r="Y67">
            <v>1</v>
          </cell>
          <cell r="Z67">
            <v>42794</v>
          </cell>
          <cell r="AA67" t="str">
            <v>1. En 2016 la Secretaría Distrital de Hacienda realizó la adquisición de nuevo licenciamiento Oracle en modalidad ULA, que sumado al soporte del licenciamiento anterior, generan un costo superior, teniendo en cuenta que el valor del soporte incluye una mayor cantidad de licencias. El costo de la cotización realizada por Oracle Colombia corresponde al costo definido en el numeral 2 (página 10) de la oferta económica definida en la compra del mes de febrero, respecto al pago de soporte técnico de licencias.  2. En la misma compra de licenciamiento del mes de febrero se adquirió ½ Supercluster adicional cuyo costo de soporte y mantenimiento corresponde al 12% del costo del equipo en dólares, el cual se incluye en la vigencia 2017 una vez finalizado el primer año de soporte.  3. En mayo 31 se realizó la adquisición de licenciamiento OAM para gestión de identidades de contribuyentes. Este licenciamiento tiene también costos de soporte anual que se habían presupuestado por 1 año. No obstante, el ajuste de la propuesta reduce el soporte a 9 meses para que todos los soportes de licenciamiento terminen en febrero de 2018. Este valor se presupuesta en $37 millones.  4. Para la correcta operación de varios de los proyectos que actualmente se adelantan en la entidad, se requiere del acompañamiento y soporte de Oracle para la estabilización de algunos de los productos que hoy operan en la SDH, entre otros WCC, mejoramiento de la operación de capa media, bases de datos y supercluster, que corresponden a servicios de misión crítica, así como soporte avanzado para resolver problemas en sitio y reducir caídas de los aplicativos.</v>
          </cell>
        </row>
        <row r="68">
          <cell r="C68">
            <v>66</v>
          </cell>
          <cell r="D68">
            <v>69</v>
          </cell>
          <cell r="E68" t="str">
            <v>INICIAL</v>
          </cell>
          <cell r="F68" t="str">
            <v>RECURSOS PROPIOS</v>
          </cell>
          <cell r="G68">
            <v>221000</v>
          </cell>
          <cell r="H68">
            <v>1</v>
          </cell>
          <cell r="I68" t="str">
            <v>3-1-2-02-03 Gastos de Transporte y Comunicación</v>
          </cell>
          <cell r="J68">
            <v>1</v>
          </cell>
          <cell r="K68">
            <v>1</v>
          </cell>
          <cell r="L68" t="str">
            <v>NA</v>
          </cell>
          <cell r="M68" t="str">
            <v>NA</v>
          </cell>
          <cell r="N68" t="str">
            <v>Proveer el enlace de comunicaciones para el acceso a la Bolsa de Valores de Colombia, de conformidad con la propuesta presentada por el contratista</v>
          </cell>
          <cell r="O68">
            <v>1</v>
          </cell>
          <cell r="P68" t="str">
            <v>NA</v>
          </cell>
          <cell r="Q68" t="str">
            <v>NA</v>
          </cell>
          <cell r="R68" t="str">
            <v>DIRECTA_OTRAS_CAUSALES</v>
          </cell>
          <cell r="S68" t="str">
            <v>P</v>
          </cell>
          <cell r="T68" t="str">
            <v>NA</v>
          </cell>
          <cell r="U68" t="str">
            <v>PRESTACION DE SERVICIOS</v>
          </cell>
          <cell r="V68">
            <v>144425000</v>
          </cell>
          <cell r="W68">
            <v>144425000</v>
          </cell>
          <cell r="X68" t="str">
            <v>33 mes(es)</v>
          </cell>
          <cell r="Y68">
            <v>2</v>
          </cell>
          <cell r="Z68">
            <v>42840</v>
          </cell>
          <cell r="AA68" t="str">
            <v xml:space="preserve">Canal dedicado de datos para acceso desde las Direcciones de Crédito Público y Tesorería a la Bolsa de Valores de Colombia, con el fin de desarrollar actividades relacionadas con la administración del portafolio de inversiones en la Bolsa de Valores de Colombia. Adicionalmente el Ministerio de Hacienda a través del Decreto 648 de abril 16 de 2001, exige la modernización de las tesorerías públicas mediante el uso de nuevas tecnologías de la información y las telecomunicaciones en la negociación de títulos y administración de los excedentes de liquidez. Fecha de Terminación: 18-03-2017.  Se plantea un contrato con vigencias futuras a 33 meses detallado de la siguiente manera:  2017: $36.612.000 2018: $53.110.000   2019: $54.703.000  Los datos se ajustan a la solicitud planteada para concepto del confis vigencias futuras   </v>
          </cell>
        </row>
        <row r="69">
          <cell r="C69">
            <v>67</v>
          </cell>
          <cell r="D69">
            <v>69</v>
          </cell>
          <cell r="E69" t="str">
            <v>INICIAL</v>
          </cell>
          <cell r="F69" t="str">
            <v>RECURSOS PROPIOS</v>
          </cell>
          <cell r="G69">
            <v>221000</v>
          </cell>
          <cell r="H69">
            <v>1</v>
          </cell>
          <cell r="I69" t="str">
            <v>3-1-2-02-03 Gastos de Transporte y Comunicación</v>
          </cell>
          <cell r="J69">
            <v>1</v>
          </cell>
          <cell r="K69">
            <v>1</v>
          </cell>
          <cell r="L69" t="str">
            <v>NA</v>
          </cell>
          <cell r="M69" t="str">
            <v>NA</v>
          </cell>
          <cell r="N69" t="str">
            <v>Proveer el enlace de comunicaciones para el acceso a los sistemas financieros para la Secretaría Distrital de Hacienda</v>
          </cell>
          <cell r="O69">
            <v>1</v>
          </cell>
          <cell r="P69" t="str">
            <v>NA</v>
          </cell>
          <cell r="Q69" t="str">
            <v>NA</v>
          </cell>
          <cell r="R69" t="str">
            <v>DIRECTA_OTRAS_CAUSALES</v>
          </cell>
          <cell r="S69" t="str">
            <v>P</v>
          </cell>
          <cell r="T69" t="str">
            <v>NA</v>
          </cell>
          <cell r="U69" t="str">
            <v>PRESTACION DE SERVICIOS</v>
          </cell>
          <cell r="V69">
            <v>56056000</v>
          </cell>
          <cell r="W69">
            <v>56056000</v>
          </cell>
          <cell r="X69" t="str">
            <v>33 mes(es)</v>
          </cell>
          <cell r="Y69">
            <v>2</v>
          </cell>
          <cell r="Z69">
            <v>42825</v>
          </cell>
          <cell r="AA69" t="str">
            <v>Es necesario contratar el canal dedicado con el sistema financiero Deceval, debido a que es de vital importancia para las funciones de la Tesorería Distrital y se requiere dar continuidad a sus operaciones.  Se plantea un contrato con vigencias futuras a 33 meses detallado de la siguiente manera:  2017: $14.799.000 2018: $20.324.000 2019: $20.933.000  Los datos se ajustan a la solicitud planteada para concepto del confis vigencias futuras</v>
          </cell>
        </row>
        <row r="70">
          <cell r="C70">
            <v>68</v>
          </cell>
          <cell r="D70">
            <v>69</v>
          </cell>
          <cell r="E70" t="str">
            <v>INICIAL</v>
          </cell>
          <cell r="F70" t="str">
            <v>RECURSOS PROPIOS</v>
          </cell>
          <cell r="G70">
            <v>221000</v>
          </cell>
          <cell r="H70">
            <v>1</v>
          </cell>
          <cell r="I70" t="str">
            <v>3-1-2-02-04 Impresos y  Publicaciones</v>
          </cell>
          <cell r="J70">
            <v>1</v>
          </cell>
          <cell r="K70">
            <v>1</v>
          </cell>
          <cell r="L70" t="str">
            <v>NA</v>
          </cell>
          <cell r="M70" t="str">
            <v>NA</v>
          </cell>
          <cell r="N70" t="str">
            <v>Suscripción al derecho al uso de código de la empresa para la Secretaria Distrital de Hacienda.</v>
          </cell>
          <cell r="O70">
            <v>1</v>
          </cell>
          <cell r="P70" t="str">
            <v>NA</v>
          </cell>
          <cell r="Q70" t="str">
            <v>NA</v>
          </cell>
          <cell r="R70" t="str">
            <v>DIRECTA_OTRAS_CAUSALES</v>
          </cell>
          <cell r="S70" t="str">
            <v>P</v>
          </cell>
          <cell r="T70" t="str">
            <v>NA</v>
          </cell>
          <cell r="U70" t="str">
            <v>PRESTACION DE SERVICIOS</v>
          </cell>
          <cell r="V70">
            <v>7000000</v>
          </cell>
          <cell r="W70">
            <v>7000000</v>
          </cell>
          <cell r="X70" t="str">
            <v>12 mes(es)</v>
          </cell>
          <cell r="Y70">
            <v>9</v>
          </cell>
          <cell r="Z70">
            <v>43100</v>
          </cell>
          <cell r="AA70" t="str">
            <v>Es necesario contar de manera permanente con el derecho al uso del código de barras empleado por la SDH. Desde 2017, se debe dejar garantizado el servicio de suscripción de código de barras para los documentos de la SDH que lo requieran, especialmente formularios de impuestos distritales, desde el 1 de enero de 2018. No se incrementa el IPC sino el incremento proyectado del salario mínimo</v>
          </cell>
        </row>
        <row r="71">
          <cell r="C71">
            <v>69</v>
          </cell>
          <cell r="D71">
            <v>69</v>
          </cell>
          <cell r="E71" t="str">
            <v>INICIAL</v>
          </cell>
          <cell r="F71" t="str">
            <v>RECURSOS PROPIOS</v>
          </cell>
          <cell r="G71">
            <v>120000</v>
          </cell>
          <cell r="H71">
            <v>4</v>
          </cell>
          <cell r="I71" t="str">
            <v>3-1-1-02-03-01 Honorarios Entidad</v>
          </cell>
          <cell r="J71">
            <v>1</v>
          </cell>
          <cell r="K71">
            <v>4</v>
          </cell>
          <cell r="L71" t="str">
            <v>NA</v>
          </cell>
          <cell r="M71" t="str">
            <v>NA</v>
          </cell>
          <cell r="N71" t="str">
            <v>Prestar servicios profesionales para la actualización, administración, publicación y salvaguarda de la información publicada en la página WEB e Intranet del Concejo de Bogotá, D.C.</v>
          </cell>
          <cell r="O71">
            <v>1</v>
          </cell>
          <cell r="P71" t="str">
            <v>3 años de experiencia profesional</v>
          </cell>
          <cell r="Q71" t="str">
            <v>Profesional en ingeniería de Sistemas</v>
          </cell>
          <cell r="R71" t="str">
            <v>DIRECTA.PRESTACION.SERVIC.9_7</v>
          </cell>
          <cell r="S71" t="str">
            <v>P</v>
          </cell>
          <cell r="T71" t="str">
            <v>NA</v>
          </cell>
          <cell r="U71" t="str">
            <v>PRESTACION SERV. PROFESIONALES</v>
          </cell>
          <cell r="V71">
            <v>39000000</v>
          </cell>
          <cell r="W71">
            <v>39000000</v>
          </cell>
          <cell r="X71" t="str">
            <v>9 mes(es)</v>
          </cell>
          <cell r="Y71">
            <v>2</v>
          </cell>
          <cell r="Z71">
            <v>42826</v>
          </cell>
          <cell r="AA71" t="str">
            <v>Se requiere contar con el  mantenimiento, administración, publicación y salvaguarda de la información publicada en la página Intranet oficial del Concejo de Bogotá,  dado a que este es el medio más eficiente para dar a conocer  la información requerida por los usuarios, así como eventos y acontecimientos, manteniendo el servicio disponible y al día la información publicada en la intranet.</v>
          </cell>
        </row>
        <row r="72">
          <cell r="C72">
            <v>70</v>
          </cell>
          <cell r="D72">
            <v>69</v>
          </cell>
          <cell r="E72" t="str">
            <v>INICIAL</v>
          </cell>
          <cell r="F72" t="str">
            <v>RECURSOS PROPIOS</v>
          </cell>
          <cell r="G72">
            <v>120000</v>
          </cell>
          <cell r="H72">
            <v>4</v>
          </cell>
          <cell r="I72" t="str">
            <v>3-1-1-02-03-01 Honorarios Entidad</v>
          </cell>
          <cell r="J72">
            <v>1</v>
          </cell>
          <cell r="K72">
            <v>4</v>
          </cell>
          <cell r="L72" t="str">
            <v>NA</v>
          </cell>
          <cell r="M72" t="str">
            <v>NA</v>
          </cell>
          <cell r="N72" t="str">
            <v>Prestar servicios profesionales para apoyar el proceso de sistemas y seguridad de la información del Concejo de Bogotá en materia de seguridad informática</v>
          </cell>
          <cell r="O72">
            <v>1</v>
          </cell>
          <cell r="P72" t="str">
            <v>2 años de experiencia profesional</v>
          </cell>
          <cell r="Q72" t="str">
            <v>Profesional en ingeniería de sistemas</v>
          </cell>
          <cell r="R72" t="str">
            <v>DIRECTA.PRESTACION.SERVIC.9_7</v>
          </cell>
          <cell r="S72" t="str">
            <v>P</v>
          </cell>
          <cell r="T72" t="str">
            <v>NA</v>
          </cell>
          <cell r="U72" t="str">
            <v>PRESTACION SERV. PROFESIONALES</v>
          </cell>
          <cell r="V72">
            <v>31000000</v>
          </cell>
          <cell r="W72">
            <v>31000000</v>
          </cell>
          <cell r="X72" t="str">
            <v>9 mes(es)</v>
          </cell>
          <cell r="Y72">
            <v>1</v>
          </cell>
          <cell r="Z72">
            <v>42798</v>
          </cell>
          <cell r="AA72" t="str">
            <v>Se requiere contar con un profesional idóneo para  garantiza el seguimiento y apoyo en el subsistema de la información así como el apoyo técnico en cuanto a socialización y elaboración de manuales y resoluciones que propendan por la seguridad de los sistemas de información, la socialización a los funcionarios es parte fundamental de las políticas del Concejo de Bogotá, al igual que el apoyo en  la revisión de obligaciones específicas y el cumplimiento de anexos técnicos por parte de los contratistas que presentan su servicio al Concejo de Bogotá, en el proceso de sistemas y seguridad de la información.</v>
          </cell>
        </row>
        <row r="73">
          <cell r="C73">
            <v>71</v>
          </cell>
          <cell r="D73">
            <v>69</v>
          </cell>
          <cell r="E73" t="str">
            <v>INICIAL</v>
          </cell>
          <cell r="F73" t="str">
            <v>RECURSOS PROPIOS</v>
          </cell>
          <cell r="G73">
            <v>120000</v>
          </cell>
          <cell r="H73">
            <v>4</v>
          </cell>
          <cell r="I73" t="str">
            <v>3-1-2-02-03 Gastos de Transporte y Comunicación</v>
          </cell>
          <cell r="J73">
            <v>1</v>
          </cell>
          <cell r="K73">
            <v>4</v>
          </cell>
          <cell r="L73" t="str">
            <v>NA</v>
          </cell>
          <cell r="M73" t="str">
            <v>NA</v>
          </cell>
          <cell r="N73" t="str">
            <v>Adición y prórroga al contrato 160053 cuyo objeto es "Prestar los servicios de conectividad de canales de comunicación, dedicados e internet y servicios complementarios para el Concejo de Bogotá"</v>
          </cell>
          <cell r="O73" t="str">
            <v>NA</v>
          </cell>
          <cell r="P73" t="str">
            <v>NA</v>
          </cell>
          <cell r="Q73" t="str">
            <v>NA</v>
          </cell>
          <cell r="R73" t="str">
            <v>NA</v>
          </cell>
          <cell r="S73" t="str">
            <v>M</v>
          </cell>
          <cell r="T73" t="str">
            <v>AP</v>
          </cell>
          <cell r="U73" t="str">
            <v>PRESTACION DE SERVICIOS</v>
          </cell>
          <cell r="V73">
            <v>40420000</v>
          </cell>
          <cell r="W73">
            <v>40420000</v>
          </cell>
          <cell r="X73" t="str">
            <v>2 mes(es)</v>
          </cell>
          <cell r="Y73">
            <v>1</v>
          </cell>
          <cell r="Z73">
            <v>42741</v>
          </cell>
          <cell r="AA73" t="str">
            <v>Se requiere adicionar el contrato en ejecución, el cual finaliza el 6/01/2017, para garantizar la continuidad en la pretación del servicio, entre tanto se adelanta un nuevo proceso contractual para la Secretaría Distrital de Hacienda y el Concejo de Bogotá</v>
          </cell>
        </row>
        <row r="74">
          <cell r="C74">
            <v>72</v>
          </cell>
          <cell r="D74">
            <v>69</v>
          </cell>
          <cell r="E74" t="str">
            <v>INICIAL</v>
          </cell>
          <cell r="F74" t="str">
            <v>RECURSOS PROPIOS</v>
          </cell>
          <cell r="G74">
            <v>221000</v>
          </cell>
          <cell r="H74">
            <v>1</v>
          </cell>
          <cell r="I74" t="str">
            <v>3-1-2-01-02 Gastos de Computador</v>
          </cell>
          <cell r="J74">
            <v>1</v>
          </cell>
          <cell r="K74">
            <v>1</v>
          </cell>
          <cell r="L74" t="str">
            <v>NA</v>
          </cell>
          <cell r="M74" t="str">
            <v>NA</v>
          </cell>
          <cell r="N74" t="str">
            <v>Prestar el soporte integral de la plataforma tecnológica de subasta inversa electrónica para la SDH de acuerdo con las exigencias jurídicas y técnicas previstas en la normatividad vigente</v>
          </cell>
          <cell r="O74">
            <v>1</v>
          </cell>
          <cell r="P74" t="str">
            <v>NA</v>
          </cell>
          <cell r="Q74" t="str">
            <v>NA</v>
          </cell>
          <cell r="R74" t="str">
            <v>MINIMA_CUANTIA</v>
          </cell>
          <cell r="S74" t="str">
            <v>P</v>
          </cell>
          <cell r="T74" t="str">
            <v>NA</v>
          </cell>
          <cell r="U74" t="str">
            <v>PRESTACION DE SERVICIOS</v>
          </cell>
          <cell r="V74">
            <v>53000000</v>
          </cell>
          <cell r="W74">
            <v>53000000</v>
          </cell>
          <cell r="X74" t="str">
            <v>12 mes(es)</v>
          </cell>
          <cell r="Y74">
            <v>1</v>
          </cell>
          <cell r="Z74">
            <v>42782</v>
          </cell>
          <cell r="AA74" t="str">
            <v>Se requiere para la vigencia contratar el servicio que soporte los proceso de contratacion bajo la modalidad de subasta inversa electrónica</v>
          </cell>
        </row>
        <row r="75">
          <cell r="C75">
            <v>73</v>
          </cell>
          <cell r="D75">
            <v>69</v>
          </cell>
          <cell r="E75" t="str">
            <v>INICIAL</v>
          </cell>
          <cell r="F75" t="str">
            <v>RECURSOS PROPIOS</v>
          </cell>
          <cell r="G75">
            <v>120000</v>
          </cell>
          <cell r="H75">
            <v>4</v>
          </cell>
          <cell r="I75" t="str">
            <v>3-1-2-01-02 Gastos de Computador</v>
          </cell>
          <cell r="J75">
            <v>1</v>
          </cell>
          <cell r="K75">
            <v>4</v>
          </cell>
          <cell r="L75" t="str">
            <v>NA</v>
          </cell>
          <cell r="M75" t="str">
            <v>NA</v>
          </cell>
          <cell r="N75" t="str">
            <v>Prestar el soporte y actualización del software para el manejo documental-Infodoc para el Concejo de Bogotá</v>
          </cell>
          <cell r="O75">
            <v>1</v>
          </cell>
          <cell r="P75" t="str">
            <v>NA</v>
          </cell>
          <cell r="Q75" t="str">
            <v>NA</v>
          </cell>
          <cell r="R75" t="str">
            <v>DIRECTA_OTRAS_CAUSALES</v>
          </cell>
          <cell r="S75" t="str">
            <v>P</v>
          </cell>
          <cell r="T75" t="str">
            <v>NA</v>
          </cell>
          <cell r="U75" t="str">
            <v>PRESTACION DE SERVICIOS</v>
          </cell>
          <cell r="V75">
            <v>8320000</v>
          </cell>
          <cell r="W75">
            <v>8320000</v>
          </cell>
          <cell r="X75" t="str">
            <v>12 mes(es)</v>
          </cell>
          <cell r="Y75">
            <v>6</v>
          </cell>
          <cell r="Z75">
            <v>43000</v>
          </cell>
          <cell r="AA75" t="str">
            <v>Se requiere garantizar el servicio de actualización y soporte del licenciamiento del software Infodoc (software que soporta el manejo de documental para las hojas de vida) para mantener la operación de esta solución</v>
          </cell>
        </row>
        <row r="76">
          <cell r="C76">
            <v>74</v>
          </cell>
          <cell r="D76">
            <v>69</v>
          </cell>
          <cell r="E76" t="str">
            <v>INICIAL</v>
          </cell>
          <cell r="F76" t="str">
            <v>RECURSOS PROPIOS</v>
          </cell>
          <cell r="G76">
            <v>120000</v>
          </cell>
          <cell r="H76">
            <v>4</v>
          </cell>
          <cell r="I76" t="str">
            <v>3-1-2-01-02 Gastos de Computador</v>
          </cell>
          <cell r="J76">
            <v>1</v>
          </cell>
          <cell r="K76">
            <v>4</v>
          </cell>
          <cell r="L76" t="str">
            <v>NA</v>
          </cell>
          <cell r="M76" t="str">
            <v>NA</v>
          </cell>
          <cell r="N76" t="str">
            <v>Prestar los servicios para adecuar el software para el Sistema Integrado de Gestión-Kawak para el Concejo de Bogotá</v>
          </cell>
          <cell r="O76">
            <v>1</v>
          </cell>
          <cell r="P76" t="str">
            <v>NA</v>
          </cell>
          <cell r="Q76" t="str">
            <v>NA</v>
          </cell>
          <cell r="R76" t="str">
            <v>DIRECTA_OTRAS_CAUSALES</v>
          </cell>
          <cell r="S76" t="str">
            <v>P</v>
          </cell>
          <cell r="T76" t="str">
            <v>NA</v>
          </cell>
          <cell r="U76" t="str">
            <v>PRESTACION DE SERVICIOS</v>
          </cell>
          <cell r="V76">
            <v>20000000</v>
          </cell>
          <cell r="W76">
            <v>20000000</v>
          </cell>
          <cell r="X76" t="str">
            <v>8 mes(es)</v>
          </cell>
          <cell r="Y76">
            <v>1</v>
          </cell>
          <cell r="Z76">
            <v>42810</v>
          </cell>
          <cell r="AA76" t="str">
            <v>Se requiere contratar el desarrollo de mejoras a algunos de los módulos del sistema KAWAK (software que soporta el Sistema Integrado de Gestión SIG) que permita adaptarlo a las necesidades particulares del Concejo de Bogotá.</v>
          </cell>
        </row>
        <row r="77">
          <cell r="C77">
            <v>75</v>
          </cell>
          <cell r="D77">
            <v>69</v>
          </cell>
          <cell r="E77" t="str">
            <v>INICIAL</v>
          </cell>
          <cell r="F77" t="str">
            <v>RECURSOS PROPIOS</v>
          </cell>
          <cell r="G77">
            <v>120000</v>
          </cell>
          <cell r="H77">
            <v>4</v>
          </cell>
          <cell r="I77" t="str">
            <v>3-1-2-01-02 Gastos de Computador</v>
          </cell>
          <cell r="J77">
            <v>1</v>
          </cell>
          <cell r="K77">
            <v>4</v>
          </cell>
          <cell r="L77" t="str">
            <v>NA</v>
          </cell>
          <cell r="M77" t="str">
            <v>NA</v>
          </cell>
          <cell r="N77" t="str">
            <v>Prestar el soporte y actualización del software para la gestión de la mesa de servicios-Aranda para el Concejo de Bogotá</v>
          </cell>
          <cell r="O77">
            <v>1</v>
          </cell>
          <cell r="P77" t="str">
            <v>NA</v>
          </cell>
          <cell r="Q77" t="str">
            <v>NA</v>
          </cell>
          <cell r="R77" t="str">
            <v>DIRECTA_OTRAS_CAUSALES</v>
          </cell>
          <cell r="S77" t="str">
            <v>P</v>
          </cell>
          <cell r="T77" t="str">
            <v>NA</v>
          </cell>
          <cell r="U77" t="str">
            <v>PRESTACION DE SERVICIOS</v>
          </cell>
          <cell r="V77">
            <v>80000000</v>
          </cell>
          <cell r="W77">
            <v>80000000</v>
          </cell>
          <cell r="X77" t="str">
            <v>10 mes(es)</v>
          </cell>
          <cell r="Y77">
            <v>1</v>
          </cell>
          <cell r="Z77">
            <v>42833</v>
          </cell>
          <cell r="AA77" t="str">
            <v>Se requiere garantizar el servicio de actualización y soporte del licenciamiento del software Aranda (software que soporta la mesa de servicio), al igual que una bolsa de horas para soporte tecnico que permita mantener la operación de esta solución.</v>
          </cell>
        </row>
        <row r="78">
          <cell r="C78">
            <v>76</v>
          </cell>
          <cell r="D78">
            <v>69</v>
          </cell>
          <cell r="E78" t="str">
            <v>INICIAL</v>
          </cell>
          <cell r="F78" t="str">
            <v>RECURSOS PROPIOS</v>
          </cell>
          <cell r="G78">
            <v>120000</v>
          </cell>
          <cell r="H78">
            <v>4</v>
          </cell>
          <cell r="I78" t="str">
            <v>3-1-2-01-02 Gastos de Computador</v>
          </cell>
          <cell r="J78">
            <v>1</v>
          </cell>
          <cell r="K78">
            <v>4</v>
          </cell>
          <cell r="L78" t="str">
            <v>NA</v>
          </cell>
          <cell r="M78" t="str">
            <v>NA</v>
          </cell>
          <cell r="N78" t="str">
            <v>Prestar los servicios de administración y soporte técnico para la plataforma Microsoft del Concejo de Bogotá</v>
          </cell>
          <cell r="O78">
            <v>1</v>
          </cell>
          <cell r="P78" t="str">
            <v>NA</v>
          </cell>
          <cell r="Q78" t="str">
            <v>NA</v>
          </cell>
          <cell r="R78" t="str">
            <v>DIRECTA_OTRAS_CAUSALES</v>
          </cell>
          <cell r="S78" t="str">
            <v>P</v>
          </cell>
          <cell r="T78" t="str">
            <v>NA</v>
          </cell>
          <cell r="U78" t="str">
            <v>PRESTACION DE SERVICIOS</v>
          </cell>
          <cell r="V78">
            <v>228488000</v>
          </cell>
          <cell r="W78">
            <v>228488000</v>
          </cell>
          <cell r="X78" t="str">
            <v>12 mes(es)</v>
          </cell>
          <cell r="Y78">
            <v>5</v>
          </cell>
          <cell r="Z78">
            <v>42916</v>
          </cell>
          <cell r="AA78" t="str">
            <v>Se requiere contratar el soporte de los productos Microsoft con el fin de: 1. Contar con un soporte 7x24x365 de Nivel 3 (Fabricante) en todos los productos instalados. 2. Obtener las mejores prácticas de soporte y configuración en últimas versiones 3. Minimizar los casos de soporte reactivos.</v>
          </cell>
        </row>
        <row r="79">
          <cell r="C79">
            <v>77</v>
          </cell>
          <cell r="D79">
            <v>69</v>
          </cell>
          <cell r="E79" t="str">
            <v>INICIAL</v>
          </cell>
          <cell r="F79" t="str">
            <v>RECURSOS PROPIOS</v>
          </cell>
          <cell r="G79">
            <v>120000</v>
          </cell>
          <cell r="H79">
            <v>4</v>
          </cell>
          <cell r="I79" t="str">
            <v>3-1-2-01-02 Gastos de Computador</v>
          </cell>
          <cell r="J79">
            <v>1</v>
          </cell>
          <cell r="K79">
            <v>4</v>
          </cell>
          <cell r="L79" t="str">
            <v>NA</v>
          </cell>
          <cell r="M79" t="str">
            <v>NA</v>
          </cell>
          <cell r="N79" t="str">
            <v>Prestar los servicios de administración y soporte técnico para la plataforma Oracle del Concejo de Bogotá</v>
          </cell>
          <cell r="O79">
            <v>1</v>
          </cell>
          <cell r="P79" t="str">
            <v>NA</v>
          </cell>
          <cell r="Q79" t="str">
            <v>NA</v>
          </cell>
          <cell r="R79" t="str">
            <v>SEL.ABREVIADA.SUB.INV.ELECTRO.</v>
          </cell>
          <cell r="S79" t="str">
            <v>P</v>
          </cell>
          <cell r="T79" t="str">
            <v>NA</v>
          </cell>
          <cell r="U79" t="str">
            <v>PRESTACION DE SERVICIOS</v>
          </cell>
          <cell r="V79">
            <v>91000000</v>
          </cell>
          <cell r="W79">
            <v>91000000</v>
          </cell>
          <cell r="X79" t="str">
            <v>12 mes(es)</v>
          </cell>
          <cell r="Y79">
            <v>1</v>
          </cell>
          <cell r="Z79">
            <v>42854</v>
          </cell>
          <cell r="AA79" t="str">
            <v>Se requiere dar continuidad al servicio de administración y soporte técnico para la plataforma ORACLE (servidor de aplicaciones y base de datos) que le permita garantizar su correcto funcionamiento. Esta plataforma soporta al Concejo de Bogotá para la disposición de las aplicaciones del sistema SI CAPITAL PERNO (personal), CORDIS (correspondencia), TERCEROS y Consulta Nómina. Finalización contrato actual. 30/03/2017</v>
          </cell>
        </row>
        <row r="80">
          <cell r="C80">
            <v>78</v>
          </cell>
          <cell r="D80">
            <v>69</v>
          </cell>
          <cell r="E80" t="str">
            <v>INICIAL</v>
          </cell>
          <cell r="F80" t="str">
            <v>RECURSOS PROPIOS</v>
          </cell>
          <cell r="G80">
            <v>120000</v>
          </cell>
          <cell r="H80">
            <v>4</v>
          </cell>
          <cell r="I80" t="str">
            <v>3-1-2-01-02 Gastos de Computador</v>
          </cell>
          <cell r="J80">
            <v>1</v>
          </cell>
          <cell r="K80">
            <v>4</v>
          </cell>
          <cell r="L80" t="str">
            <v>NA</v>
          </cell>
          <cell r="M80" t="str">
            <v>NA</v>
          </cell>
          <cell r="N80" t="str">
            <v>Prestar los servicios de mantenimiento preventivo, correctivo y soporte técnico especializado para el sistema biométrico del Concejo de Bogotá</v>
          </cell>
          <cell r="O80">
            <v>1</v>
          </cell>
          <cell r="P80" t="str">
            <v>NA</v>
          </cell>
          <cell r="Q80" t="str">
            <v>NA</v>
          </cell>
          <cell r="R80" t="str">
            <v>MINIMA_CUANTIA</v>
          </cell>
          <cell r="S80" t="str">
            <v>P</v>
          </cell>
          <cell r="T80" t="str">
            <v>NA</v>
          </cell>
          <cell r="U80" t="str">
            <v>PRESTACION DE SERVICIOS</v>
          </cell>
          <cell r="V80">
            <v>18000000</v>
          </cell>
          <cell r="W80">
            <v>18000000</v>
          </cell>
          <cell r="X80" t="str">
            <v>9 mes(es)</v>
          </cell>
          <cell r="Y80">
            <v>4</v>
          </cell>
          <cell r="Z80">
            <v>42916</v>
          </cell>
          <cell r="AA80" t="str">
            <v>Garantizar la continuidad en el funcionamiento del sistema de control de  acceso de las instalaciones del Concejo de Bogotá (sistema biométrico), a través de la contratación del servicio de mantenimiento y soporte. Mantenimiento a los sistemas de control de acceso del Piso 2 del CAD y de las instalaciones del Concejo</v>
          </cell>
        </row>
        <row r="81">
          <cell r="C81">
            <v>79</v>
          </cell>
          <cell r="D81">
            <v>69</v>
          </cell>
          <cell r="E81" t="str">
            <v>INICIAL</v>
          </cell>
          <cell r="F81" t="str">
            <v>RECURSOS PROPIOS</v>
          </cell>
          <cell r="G81">
            <v>120000</v>
          </cell>
          <cell r="H81">
            <v>4</v>
          </cell>
          <cell r="I81" t="str">
            <v>3-1-2-01-02 Gastos de Computador</v>
          </cell>
          <cell r="J81">
            <v>1</v>
          </cell>
          <cell r="K81">
            <v>4</v>
          </cell>
          <cell r="L81" t="str">
            <v>NA</v>
          </cell>
          <cell r="M81" t="str">
            <v>NA</v>
          </cell>
          <cell r="N81" t="str">
            <v>Prestar el soporte y actualización del software de gestión documental-Winisis para el Concejo de Bogotá</v>
          </cell>
          <cell r="O81">
            <v>1</v>
          </cell>
          <cell r="P81" t="str">
            <v>NA</v>
          </cell>
          <cell r="Q81" t="str">
            <v>NA</v>
          </cell>
          <cell r="R81" t="str">
            <v>MINIMA_CUANTIA</v>
          </cell>
          <cell r="S81" t="str">
            <v>P</v>
          </cell>
          <cell r="T81" t="str">
            <v>NA</v>
          </cell>
          <cell r="U81" t="str">
            <v>PRESTACION DE SERVICIOS</v>
          </cell>
          <cell r="V81">
            <v>12500000</v>
          </cell>
          <cell r="W81">
            <v>12500000</v>
          </cell>
          <cell r="X81" t="str">
            <v>12 mes(es)</v>
          </cell>
          <cell r="Y81">
            <v>6</v>
          </cell>
          <cell r="Z81">
            <v>42943</v>
          </cell>
          <cell r="AA81" t="str">
            <v>Se requiere garantizar el servicio de actualización y soporte del licenciamiento del software Winisis (software de gestión documental para manejo archivístico y de biblioteca), que permita mantener la operación de esta solución. Este Software se adquirió con el fin de que la Corporación pueda registrar y controlar adecuadamente su patrimonio documental e incluir funcionalidades como la disposición de sus usuarios (vía web). Este software habilita a la corporación a la administración, organización, consulta y seguimiento bibliográfico de su información.</v>
          </cell>
        </row>
        <row r="82">
          <cell r="C82">
            <v>80</v>
          </cell>
          <cell r="D82">
            <v>69</v>
          </cell>
          <cell r="E82" t="str">
            <v>INICIAL</v>
          </cell>
          <cell r="F82" t="str">
            <v>RECURSOS PROPIOS</v>
          </cell>
          <cell r="G82">
            <v>120000</v>
          </cell>
          <cell r="H82">
            <v>4</v>
          </cell>
          <cell r="I82" t="str">
            <v>3-1-2-01-02 Gastos de Computador</v>
          </cell>
          <cell r="J82">
            <v>1</v>
          </cell>
          <cell r="K82">
            <v>4</v>
          </cell>
          <cell r="L82" t="str">
            <v>NA</v>
          </cell>
          <cell r="M82" t="str">
            <v>NA</v>
          </cell>
          <cell r="N82" t="str">
            <v>Adición y prórroga al contrato 160255-2016 cuyo objeto es "Prestar los servicios de mantenimiento y soporte a la plataforma del sistema de voto electrónico del Concejo de Bogotá, D.C."</v>
          </cell>
          <cell r="O82" t="str">
            <v>NA</v>
          </cell>
          <cell r="P82" t="str">
            <v>NA</v>
          </cell>
          <cell r="Q82" t="str">
            <v>NA</v>
          </cell>
          <cell r="R82" t="str">
            <v>NA</v>
          </cell>
          <cell r="S82" t="str">
            <v>M</v>
          </cell>
          <cell r="T82" t="str">
            <v>AP</v>
          </cell>
          <cell r="U82" t="str">
            <v>PRESTACION DE SERVICIOS</v>
          </cell>
          <cell r="V82">
            <v>86500000</v>
          </cell>
          <cell r="W82">
            <v>86500000</v>
          </cell>
          <cell r="X82" t="str">
            <v>6 mes(es)</v>
          </cell>
          <cell r="Y82">
            <v>9</v>
          </cell>
          <cell r="Z82">
            <v>43033</v>
          </cell>
          <cell r="AA82" t="str">
            <v>Se adiciona para garantizar el servicio de mantenimiento y soporte a la plataforma del sistema de voto electrónico del Concejo de Bogotá, D.C."y reducir el monto de reservas a 31/12/2017</v>
          </cell>
        </row>
        <row r="83">
          <cell r="C83">
            <v>81</v>
          </cell>
          <cell r="D83">
            <v>69</v>
          </cell>
          <cell r="E83" t="str">
            <v>INICIAL</v>
          </cell>
          <cell r="F83" t="str">
            <v>RECURSOS PROPIOS</v>
          </cell>
          <cell r="G83">
            <v>120000</v>
          </cell>
          <cell r="H83">
            <v>4</v>
          </cell>
          <cell r="I83" t="str">
            <v>3-1-2-01-02 Gastos de Computador</v>
          </cell>
          <cell r="J83">
            <v>1</v>
          </cell>
          <cell r="K83">
            <v>4</v>
          </cell>
          <cell r="L83" t="str">
            <v>NA</v>
          </cell>
          <cell r="M83" t="str">
            <v>NA</v>
          </cell>
          <cell r="N83" t="str">
            <v>Prestar soporte y actualización del software antivirus para el Concejo de Bogotá</v>
          </cell>
          <cell r="O83">
            <v>1</v>
          </cell>
          <cell r="P83" t="str">
            <v>NA</v>
          </cell>
          <cell r="Q83" t="str">
            <v>NA</v>
          </cell>
          <cell r="R83" t="str">
            <v>MINIMA_CUANTIA</v>
          </cell>
          <cell r="S83" t="str">
            <v>P</v>
          </cell>
          <cell r="T83" t="str">
            <v>NA</v>
          </cell>
          <cell r="U83" t="str">
            <v>PRESTACION DE SERVICIOS</v>
          </cell>
          <cell r="V83">
            <v>50000000</v>
          </cell>
          <cell r="W83">
            <v>50000000</v>
          </cell>
          <cell r="X83" t="str">
            <v>12 mes(es)</v>
          </cell>
          <cell r="Y83">
            <v>1</v>
          </cell>
          <cell r="Z83">
            <v>42781</v>
          </cell>
          <cell r="AA83" t="str">
            <v>Se requiere garantizar la prestación de soporte para el antivirus vigente en el Concejo de Bogotá</v>
          </cell>
        </row>
        <row r="84">
          <cell r="C84">
            <v>82</v>
          </cell>
          <cell r="D84">
            <v>69</v>
          </cell>
          <cell r="E84" t="str">
            <v>INICIAL</v>
          </cell>
          <cell r="F84" t="str">
            <v>RECURSOS PROPIOS</v>
          </cell>
          <cell r="G84">
            <v>120000</v>
          </cell>
          <cell r="H84">
            <v>4</v>
          </cell>
          <cell r="I84" t="str">
            <v>3-1-2-01-02 Gastos de Computador</v>
          </cell>
          <cell r="J84">
            <v>1</v>
          </cell>
          <cell r="K84">
            <v>4</v>
          </cell>
          <cell r="L84" t="str">
            <v>NA</v>
          </cell>
          <cell r="M84" t="str">
            <v>NA</v>
          </cell>
          <cell r="N84" t="str">
            <v>Prestar los servicios de mantenimiento, actualización y soporte al sitio WEB e intranet del Concejo de Bogotá</v>
          </cell>
          <cell r="O84">
            <v>1</v>
          </cell>
          <cell r="P84" t="str">
            <v>NA</v>
          </cell>
          <cell r="Q84" t="str">
            <v>NA</v>
          </cell>
          <cell r="R84" t="str">
            <v>MINIMA_CUANTIA</v>
          </cell>
          <cell r="S84" t="str">
            <v>P</v>
          </cell>
          <cell r="T84" t="str">
            <v>NA</v>
          </cell>
          <cell r="U84" t="str">
            <v>PRESTACION DE SERVICIOS</v>
          </cell>
          <cell r="V84">
            <v>50000000</v>
          </cell>
          <cell r="W84">
            <v>50000000</v>
          </cell>
          <cell r="X84" t="str">
            <v>12 mes(es)</v>
          </cell>
          <cell r="Y84">
            <v>2</v>
          </cell>
          <cell r="Z84">
            <v>42853</v>
          </cell>
          <cell r="AA84" t="str">
            <v>Se requiere garantizar el servicio de actualización, mantenimiento y soporte al sitio WEB e intranet de la corporación, para garantizar la prestación continua del servicio.</v>
          </cell>
        </row>
        <row r="85">
          <cell r="C85">
            <v>83</v>
          </cell>
          <cell r="D85">
            <v>69</v>
          </cell>
          <cell r="E85" t="str">
            <v>INICIAL</v>
          </cell>
          <cell r="F85" t="str">
            <v>RECURSOS PROPIOS</v>
          </cell>
          <cell r="G85">
            <v>120000</v>
          </cell>
          <cell r="H85">
            <v>4</v>
          </cell>
          <cell r="I85" t="str">
            <v>3-1-2-01-02 Gastos de Computador</v>
          </cell>
          <cell r="J85">
            <v>1</v>
          </cell>
          <cell r="K85">
            <v>4</v>
          </cell>
          <cell r="L85" t="str">
            <v>NA</v>
          </cell>
          <cell r="M85" t="str">
            <v>NA</v>
          </cell>
          <cell r="N85" t="str">
            <v>Prestar los servicios de mantenimiento y actualizacion de módulo de contabilidad programa SIIGO</v>
          </cell>
          <cell r="O85">
            <v>1</v>
          </cell>
          <cell r="P85" t="str">
            <v>NA</v>
          </cell>
          <cell r="Q85" t="str">
            <v>NA</v>
          </cell>
          <cell r="R85" t="str">
            <v>DIRECTA_OTRAS_CAUSALES</v>
          </cell>
          <cell r="S85" t="str">
            <v>P</v>
          </cell>
          <cell r="T85" t="str">
            <v>NA</v>
          </cell>
          <cell r="U85" t="str">
            <v>PRESTACION DE SERVICIOS</v>
          </cell>
          <cell r="V85">
            <v>900000</v>
          </cell>
          <cell r="W85">
            <v>900000</v>
          </cell>
          <cell r="X85" t="str">
            <v>12 mes(es)</v>
          </cell>
          <cell r="Y85">
            <v>10</v>
          </cell>
          <cell r="Z85">
            <v>43070</v>
          </cell>
          <cell r="AA85" t="str">
            <v>Se requiere dar soporte al software contable</v>
          </cell>
        </row>
        <row r="86">
          <cell r="C86">
            <v>84</v>
          </cell>
          <cell r="D86">
            <v>69</v>
          </cell>
          <cell r="E86" t="str">
            <v>INICIAL</v>
          </cell>
          <cell r="F86" t="str">
            <v>RECURSOS PROPIOS</v>
          </cell>
          <cell r="G86">
            <v>221000</v>
          </cell>
          <cell r="H86">
            <v>1</v>
          </cell>
          <cell r="I86" t="str">
            <v>3-1-2-02-03 Gastos de Transporte y Comunicación</v>
          </cell>
          <cell r="J86">
            <v>1</v>
          </cell>
          <cell r="K86">
            <v>1</v>
          </cell>
          <cell r="L86" t="str">
            <v>NA</v>
          </cell>
          <cell r="M86" t="str">
            <v>NA</v>
          </cell>
          <cell r="N86" t="str">
            <v>Prestar servicios de conectividad de canales de comunicación, dedicados e Internet y servicios complementarios para la Secretaría Distrital de Hacienda y Concejo de Bogotá</v>
          </cell>
          <cell r="O86">
            <v>1</v>
          </cell>
          <cell r="P86" t="str">
            <v>NA</v>
          </cell>
          <cell r="Q86" t="str">
            <v>NA</v>
          </cell>
          <cell r="R86" t="str">
            <v>DIRECTA.CONVENIOS</v>
          </cell>
          <cell r="S86" t="str">
            <v>P</v>
          </cell>
          <cell r="T86" t="str">
            <v>NA</v>
          </cell>
          <cell r="U86" t="str">
            <v>PRESTACION DE SERVICIOS</v>
          </cell>
          <cell r="V86">
            <v>900419000</v>
          </cell>
          <cell r="W86">
            <v>694419000</v>
          </cell>
          <cell r="X86" t="str">
            <v>12 mes(es)</v>
          </cell>
          <cell r="Y86">
            <v>1</v>
          </cell>
          <cell r="Z86">
            <v>42772</v>
          </cell>
          <cell r="AA86" t="str">
            <v>Servicio de canales dedicados e Internet para que estos canales de comunicación permitan garantizar la disponibilidad de los servicios de transmisión de datos en medios como Internet y con; las sedes de la Secretaria Distrital de Hacienda, centros de atención al ciudadano, el Concejo de Bogotá y demás entidades con las cuales se tenga convenios de cooperación. Adicionalmente, la Secretaría Distrital de Hacienda, cuenta con una red metropolitana, llamada Extranet; cuyo objetivo es ofrecer los servicios de transporte de datos para alimentar el sistema de información Hacendario SI-CAPITAL desde entidades Distritales de la administración central, establecimientos públicos, empresas, fondos de desarrollo local, hospitales, CADES (Fontibón, Toberín y Servitá) y SUPERCADES (CAD, Bosa, Calle 13, Américas, Suba y 20 de Julio) y Sedes externas como: Calle 54, calle 17 y Carrera 32. Para el próximo año se requiere tener en cuenta que la SDH debe adquirir un nuevo administrador de ancho de banda ya que el que se tiene está obsoleto y solo soporta hasta 80 MB, cambiar el filtrado de contenido y el antispam de la nube por uno local ya sea en modo arriendo o por servicio, debido a todos los inconvenientes que se han presentado y tener en cuenta también el aumento de ancho de banda temporal para las fechas de vencimiento de impuestos que ya se revisó con ETB se puede hacer programado. Las condiciones de los canales de datos se mantendrían iguales.  Contrato de la SDH inicia el 4 marzo de 2017.</v>
          </cell>
        </row>
        <row r="87">
          <cell r="C87">
            <v>84</v>
          </cell>
          <cell r="D87">
            <v>69</v>
          </cell>
          <cell r="E87" t="str">
            <v>INICIAL</v>
          </cell>
          <cell r="F87" t="str">
            <v>RECURSOS PROPIOS</v>
          </cell>
          <cell r="G87">
            <v>120000</v>
          </cell>
          <cell r="H87">
            <v>4</v>
          </cell>
          <cell r="I87" t="str">
            <v>3-1-2-02-03 Gastos de Transporte y Comunicación</v>
          </cell>
          <cell r="J87">
            <v>1</v>
          </cell>
          <cell r="K87">
            <v>4</v>
          </cell>
          <cell r="L87" t="str">
            <v>NA</v>
          </cell>
          <cell r="M87" t="str">
            <v>NA</v>
          </cell>
          <cell r="N87" t="str">
            <v>Prestar servicios de conectividad de canales de comunicación, dedicados e Internet y servicios complementarios para la Secretaría Distrital de Hacienda y Concejo de Bogotá</v>
          </cell>
          <cell r="O87">
            <v>1</v>
          </cell>
          <cell r="P87" t="str">
            <v>NA</v>
          </cell>
          <cell r="Q87" t="str">
            <v>NA</v>
          </cell>
          <cell r="R87" t="str">
            <v>DIRECTA.CONVENIOS</v>
          </cell>
          <cell r="S87" t="str">
            <v>P</v>
          </cell>
          <cell r="T87" t="str">
            <v>NA</v>
          </cell>
          <cell r="U87" t="str">
            <v>PRESTACION DE SERVICIOS</v>
          </cell>
          <cell r="V87">
            <v>900419000</v>
          </cell>
          <cell r="W87">
            <v>206000000</v>
          </cell>
          <cell r="X87" t="str">
            <v>12 mes(es)</v>
          </cell>
          <cell r="Y87">
            <v>1</v>
          </cell>
          <cell r="Z87">
            <v>42772</v>
          </cell>
          <cell r="AA87" t="str">
            <v>Servicio de canales dedicados e Internet para que estos canales de comunicación permitan garantizar la disponibilidad de los servicios de transmisión de datos en medios como Internet y con; las sedes de la Secretaria Distrital de Hacienda, centros de atención al ciudadano, el Concejo de Bogotá y demás entidades con las cuales se tenga convenios de cooperación. Adicionalmente, la Secretaría Distrital de Hacienda, cuenta con una red metropolitana, llamada Extranet; cuyo objetivo es ofrecer los servicios de transporte de datos para alimentar el sistema de información Hacendario SI-CAPITAL desde entidades Distritales de la administración central, establecimientos públicos, empresas, fondos de desarrollo local, hospitales, CADES (Fontibón, Toberín y Servitá) y SUPERCADES (CAD, Bosa, Calle 13, Américas, Suba y 20 de Julio) y Sedes externas como: Calle 54, calle 17 y Carrera 32. Para el próximo año se requiere tener en cuenta que la SDH debe adquirir un nuevo administrador de ancho de banda ya que el que se tiene está obsoleto y solo soporta hasta 80 MB, cambiar el filtrado de contenido y el antispam de la nube por uno local ya sea en modo arriendo o por servicio, debido a todos los inconvenientes que se han presentado y tener en cuenta también el aumento de ancho de banda temporal para las fechas de vencimiento de impuestos que ya se revisó con ETB se puede hacer programado. Las condiciones de los canales de datos se mantendrían iguales.  Contrato de la SDH inicia el 4 marzo de 2017.</v>
          </cell>
        </row>
        <row r="88">
          <cell r="C88">
            <v>85</v>
          </cell>
          <cell r="D88">
            <v>69</v>
          </cell>
          <cell r="E88" t="str">
            <v>INICIAL</v>
          </cell>
          <cell r="F88" t="str">
            <v>RECURSOS PROPIOS</v>
          </cell>
          <cell r="G88">
            <v>221000</v>
          </cell>
          <cell r="H88">
            <v>1</v>
          </cell>
          <cell r="I88" t="str">
            <v>3-1-2-01-02 Gastos de Computador</v>
          </cell>
          <cell r="J88">
            <v>1</v>
          </cell>
          <cell r="K88">
            <v>1</v>
          </cell>
          <cell r="L88" t="str">
            <v>NA</v>
          </cell>
          <cell r="M88" t="str">
            <v>NA</v>
          </cell>
          <cell r="N88" t="str">
            <v>Prestar los servicios de manenimiento preventivo y correctivo de elementos que soportan la infraestructura tecnológica del Centro de cómputo y centros de cableado de la SDH y el Concejo de Bogotá</v>
          </cell>
          <cell r="O88">
            <v>1</v>
          </cell>
          <cell r="P88" t="str">
            <v>NA</v>
          </cell>
          <cell r="Q88" t="str">
            <v>NA</v>
          </cell>
          <cell r="R88" t="str">
            <v>SEL.ABREVIADA.SUB.INV.ELECTRO.</v>
          </cell>
          <cell r="S88" t="str">
            <v>P</v>
          </cell>
          <cell r="T88" t="str">
            <v>NA</v>
          </cell>
          <cell r="U88" t="str">
            <v>PRESTACION DE SERVICIOS</v>
          </cell>
          <cell r="V88">
            <v>1913332000</v>
          </cell>
          <cell r="W88">
            <v>1776000000</v>
          </cell>
          <cell r="X88" t="str">
            <v>27 mes(es)</v>
          </cell>
          <cell r="Y88">
            <v>4</v>
          </cell>
          <cell r="Z88">
            <v>43011</v>
          </cell>
          <cell r="AA88" t="str">
            <v>Es necesario seguir contando con el mantenimiento que se requiere al sistema que soporta la red de corriente regulada para la SDH. Para la SDH: incluye UPS, AA y sistema contra incendios. Para el Concejo de Bogotá: incluye UPS y AA.  APra la SDH se plantea un contrato con vigencias futuras a 27 meses detallado de la siguiente manera:  2017: $232.000.000 2018: $739.000.000 2019: $805.000.000  Los datos se ajustan a la solicitud planteada para concepto del confis vigencias futuras.  Para el Concejo de Bogotá se define el valor a 12 meses a partir de la proyección de inccremento frente a contrato actual</v>
          </cell>
        </row>
        <row r="89">
          <cell r="C89">
            <v>85</v>
          </cell>
          <cell r="D89">
            <v>69</v>
          </cell>
          <cell r="E89" t="str">
            <v>INICIAL</v>
          </cell>
          <cell r="F89" t="str">
            <v>RECURSOS PROPIOS</v>
          </cell>
          <cell r="G89">
            <v>120000</v>
          </cell>
          <cell r="H89">
            <v>4</v>
          </cell>
          <cell r="I89" t="str">
            <v>3-1-2-01-02 Gastos de Computador</v>
          </cell>
          <cell r="J89">
            <v>1</v>
          </cell>
          <cell r="K89">
            <v>4</v>
          </cell>
          <cell r="L89" t="str">
            <v>NA</v>
          </cell>
          <cell r="M89" t="str">
            <v>NA</v>
          </cell>
          <cell r="N89" t="str">
            <v>Prestar los servicios de manenimiento preventivo y correctivo de elementos que soportan la infraestructura tecnológica del Centro de cómputo y centros de cableado de la SDH y el Concejo de Bogotá</v>
          </cell>
          <cell r="O89">
            <v>1</v>
          </cell>
          <cell r="P89" t="str">
            <v>NA</v>
          </cell>
          <cell r="Q89" t="str">
            <v>NA</v>
          </cell>
          <cell r="R89" t="str">
            <v>SEL.ABREVIADA.SUB.INV.ELECTRO.</v>
          </cell>
          <cell r="S89" t="str">
            <v>P</v>
          </cell>
          <cell r="T89" t="str">
            <v>NA</v>
          </cell>
          <cell r="U89" t="str">
            <v>PRESTACION DE SERVICIOS</v>
          </cell>
          <cell r="V89">
            <v>1913332000</v>
          </cell>
          <cell r="W89">
            <v>137332000</v>
          </cell>
          <cell r="X89" t="str">
            <v>27 mes(es)</v>
          </cell>
          <cell r="Y89">
            <v>4</v>
          </cell>
          <cell r="Z89">
            <v>43011</v>
          </cell>
          <cell r="AA89" t="str">
            <v>Es necesario seguir contando con el mantenimiento que se requiere al sistema que soporta la red de corriente regulada para la SDH. Para la SDH: incluye UPS, AA y sistema contra incendios. Para el Concejo de Bogotá: incluye UPS y AA.  APra la SDH se plantea un contrato con vigencias futuras a 27 meses detallado de la siguiente manera:  2017: $232.000.000 2018: $739.000.000 2019: $805.000.000  Los datos se ajustan a la solicitud planteada para concepto del confis vigencias futuras.  Para el Concejo de Bogotá se define el valor a 12 meses a partir de la proyección de inccremento frente a contrato actual</v>
          </cell>
        </row>
        <row r="90">
          <cell r="C90">
            <v>86</v>
          </cell>
          <cell r="D90">
            <v>69</v>
          </cell>
          <cell r="E90" t="str">
            <v>INICIAL</v>
          </cell>
          <cell r="F90" t="str">
            <v>RECURSOS PROPIOS</v>
          </cell>
          <cell r="G90">
            <v>221000</v>
          </cell>
          <cell r="H90">
            <v>1</v>
          </cell>
          <cell r="I90" t="str">
            <v>3-1-2-01-02 Gastos de Computador</v>
          </cell>
          <cell r="J90">
            <v>1</v>
          </cell>
          <cell r="K90">
            <v>1</v>
          </cell>
          <cell r="L90" t="str">
            <v>NA</v>
          </cell>
          <cell r="M90" t="str">
            <v>NA</v>
          </cell>
          <cell r="N90" t="str">
            <v>Prestar los servicios de mantenimiento, soporte y actualización con el suministro de repuestos para la infraestructura de telecomunicaciones, cableado estructurado (voz y datos), fibra óptica, energía normal y regulada de la Secretaría Distrital de Hacienda y el Concejo de Bogotá</v>
          </cell>
          <cell r="O90">
            <v>1</v>
          </cell>
          <cell r="P90" t="str">
            <v>NA</v>
          </cell>
          <cell r="Q90" t="str">
            <v>NA</v>
          </cell>
          <cell r="R90" t="str">
            <v>SEL.ABREVIADA.SUB.INV.ELECTRO.</v>
          </cell>
          <cell r="S90" t="str">
            <v>P</v>
          </cell>
          <cell r="T90" t="str">
            <v>NA</v>
          </cell>
          <cell r="U90" t="str">
            <v>PRESTACION DE SERVICIOS</v>
          </cell>
          <cell r="V90">
            <v>160000000</v>
          </cell>
          <cell r="W90">
            <v>100000000</v>
          </cell>
          <cell r="X90" t="str">
            <v>9 mes(es)</v>
          </cell>
          <cell r="Y90">
            <v>1</v>
          </cell>
          <cell r="Z90">
            <v>42854</v>
          </cell>
          <cell r="AA90" t="str">
            <v>Se requiere contar con el mantenimiento que requiere la red de datos y el sistema que soporta la red de corriente regulada para áreas de trabajo de la SDH y Concejo de Bogotá, para garantizar la continuidad del servicio. Fecha de finalización de los contratos con adición:07/05/2017</v>
          </cell>
        </row>
        <row r="91">
          <cell r="C91">
            <v>86</v>
          </cell>
          <cell r="D91">
            <v>69</v>
          </cell>
          <cell r="E91" t="str">
            <v>INICIAL</v>
          </cell>
          <cell r="F91" t="str">
            <v>RECURSOS PROPIOS</v>
          </cell>
          <cell r="G91">
            <v>120000</v>
          </cell>
          <cell r="H91">
            <v>4</v>
          </cell>
          <cell r="I91" t="str">
            <v>3-1-2-01-02 Gastos de Computador</v>
          </cell>
          <cell r="J91">
            <v>1</v>
          </cell>
          <cell r="K91">
            <v>4</v>
          </cell>
          <cell r="L91" t="str">
            <v>NA</v>
          </cell>
          <cell r="M91" t="str">
            <v>NA</v>
          </cell>
          <cell r="N91" t="str">
            <v>Prestar los servicios de mantenimiento, soporte y actualización con el suministro de repuestos para la infraestructura de telecomunicaciones, cableado estructurado (voz y datos), fibra óptica, energía normal y regulada de la Secretaría Distrital de Hacienda y el Concejo de Bogotá</v>
          </cell>
          <cell r="O91">
            <v>1</v>
          </cell>
          <cell r="P91" t="str">
            <v>NA</v>
          </cell>
          <cell r="Q91" t="str">
            <v>NA</v>
          </cell>
          <cell r="R91" t="str">
            <v>SEL.ABREVIADA.SUB.INV.ELECTRO.</v>
          </cell>
          <cell r="S91" t="str">
            <v>P</v>
          </cell>
          <cell r="T91" t="str">
            <v>NA</v>
          </cell>
          <cell r="U91" t="str">
            <v>PRESTACION DE SERVICIOS</v>
          </cell>
          <cell r="V91">
            <v>160000000</v>
          </cell>
          <cell r="W91">
            <v>60000000</v>
          </cell>
          <cell r="X91" t="str">
            <v>9 mes(es)</v>
          </cell>
          <cell r="Y91">
            <v>1</v>
          </cell>
          <cell r="Z91">
            <v>42854</v>
          </cell>
          <cell r="AA91" t="str">
            <v>Se requiere contar con el mantenimiento que requiere la red de datos y el sistema que soporta la red de corriente regulada para áreas de trabajo de la SDH y Concejo de Bogotá, para garantizar la continuidad del servicio. Fecha de finalización de los contratos con adición:07/05/2017</v>
          </cell>
        </row>
        <row r="92">
          <cell r="C92">
            <v>87</v>
          </cell>
          <cell r="D92">
            <v>69</v>
          </cell>
          <cell r="E92" t="str">
            <v>INICIAL</v>
          </cell>
          <cell r="F92" t="str">
            <v>RECURSOS PROPIOS</v>
          </cell>
          <cell r="G92">
            <v>221000</v>
          </cell>
          <cell r="H92">
            <v>1</v>
          </cell>
          <cell r="I92" t="str">
            <v>3-1-2-01-02 Gastos de Computador</v>
          </cell>
          <cell r="J92">
            <v>1</v>
          </cell>
          <cell r="K92">
            <v>1</v>
          </cell>
          <cell r="L92" t="str">
            <v>NA</v>
          </cell>
          <cell r="M92" t="str">
            <v>NA</v>
          </cell>
          <cell r="N92" t="str">
            <v>Proveer el outsourcing integral para los servicios de gestión de mesa de ayuda, gestión de impresión; monitoreo y operación del data center en modalidad 7x24 para la SDH y los servicios de gestión de mesa de ayuda y gestión de impresión para el Concejo de Bogotá</v>
          </cell>
          <cell r="O92">
            <v>1</v>
          </cell>
          <cell r="P92" t="str">
            <v>NA</v>
          </cell>
          <cell r="Q92" t="str">
            <v>NA</v>
          </cell>
          <cell r="R92" t="str">
            <v>DIRECTA.CONVENIOS</v>
          </cell>
          <cell r="S92" t="str">
            <v>P</v>
          </cell>
          <cell r="T92" t="str">
            <v>NA</v>
          </cell>
          <cell r="U92" t="str">
            <v>CONTRATO INTERADMINISTRATIVO</v>
          </cell>
          <cell r="V92">
            <v>7047070000</v>
          </cell>
          <cell r="W92">
            <v>6642000000</v>
          </cell>
          <cell r="X92" t="str">
            <v>35 mes(es)</v>
          </cell>
          <cell r="Y92">
            <v>1</v>
          </cell>
          <cell r="Z92">
            <v>42780</v>
          </cell>
          <cell r="AA92" t="str">
            <v>Dar continuidad a los servicios  integrales del Outsourcing  para los Servicios de gestión de mesa de ayuda y gestión de impresión para la SDH y el Concejo de Bogotá, y el servicio de monitoreo y operación del Data Center en modalidad BPO 7x24 para la SDH.  Por lo anterior se debe garantizar esta contratación para contar con el soporte de estos servicios.   Se plantea un contrato con vigencias futuras a 35 meses detallado de la siguiente manera:  para la SDH  2017: $2.116.384.000 2018: $2.180.000.000 2019: $2.246.000.000    Los datos se ajustan a la solicitud planteada para concepto del confis vigencias futuras.  Se plantea dar continuidad al contrato interadministrativo firmado con ETB</v>
          </cell>
        </row>
        <row r="93">
          <cell r="C93">
            <v>87</v>
          </cell>
          <cell r="D93">
            <v>69</v>
          </cell>
          <cell r="E93" t="str">
            <v>INICIAL</v>
          </cell>
          <cell r="F93" t="str">
            <v>RECURSOS PROPIOS</v>
          </cell>
          <cell r="G93">
            <v>120000</v>
          </cell>
          <cell r="H93">
            <v>4</v>
          </cell>
          <cell r="I93" t="str">
            <v>3-1-2-01-02 Gastos de Computador</v>
          </cell>
          <cell r="J93">
            <v>1</v>
          </cell>
          <cell r="K93">
            <v>4</v>
          </cell>
          <cell r="L93" t="str">
            <v>NA</v>
          </cell>
          <cell r="M93" t="str">
            <v>NA</v>
          </cell>
          <cell r="N93" t="str">
            <v>Proveer el outsourcing integral para los servicios de gestión de mesa de ayuda, gestión de impresión; monitoreo y operación del data center en modalidad 7x24 para la SDH y los servicios de gestión de mesa de ayuda y gestión de impresión para el Concejo de Bogotá</v>
          </cell>
          <cell r="O93">
            <v>1</v>
          </cell>
          <cell r="P93" t="str">
            <v>NA</v>
          </cell>
          <cell r="Q93" t="str">
            <v>NA</v>
          </cell>
          <cell r="R93" t="str">
            <v>DIRECTA.CONVENIOS</v>
          </cell>
          <cell r="S93" t="str">
            <v>P</v>
          </cell>
          <cell r="T93" t="str">
            <v>NA</v>
          </cell>
          <cell r="U93" t="str">
            <v>CONTRATO INTERADMINISTRATIVO</v>
          </cell>
          <cell r="V93">
            <v>7047070000</v>
          </cell>
          <cell r="W93">
            <v>405070000</v>
          </cell>
          <cell r="X93" t="str">
            <v>35 mes(es)</v>
          </cell>
          <cell r="Y93">
            <v>1</v>
          </cell>
          <cell r="Z93">
            <v>42780</v>
          </cell>
          <cell r="AA93" t="str">
            <v>Dar continuidad a los servicios  integrales del Outsourcing  para los Servicios de gestión de mesa de ayuda y gestión de impresión para la SDH y el Concejo de Bogotá, y el servicio de monitoreo y operación del Data Center en modalidad BPO 7x24 para la SDH.  Por lo anterior se debe garantizar esta contratación para contar con el soporte de estos servicios.   Se plantea un contrato con vigencias futuras a 35 meses detallado de la siguiente manera:  para la SDH  2017: $2.116.384.000 2018: $2.180.000.000 2019: $2.246.000.000    Los datos se ajustan a la solicitud planteada para concepto del confis vigencias futuras.  Se plantea dar continuidad al contrato interadministrativo firmado con ETB</v>
          </cell>
        </row>
        <row r="94">
          <cell r="C94">
            <v>88</v>
          </cell>
          <cell r="D94">
            <v>69</v>
          </cell>
          <cell r="E94" t="str">
            <v>INICIAL</v>
          </cell>
          <cell r="F94" t="str">
            <v>RECURSOS PROPIOS</v>
          </cell>
          <cell r="G94">
            <v>221000</v>
          </cell>
          <cell r="H94">
            <v>1</v>
          </cell>
          <cell r="I94" t="str">
            <v>3-1-2-01-02 Gastos de Computador</v>
          </cell>
          <cell r="J94">
            <v>1</v>
          </cell>
          <cell r="K94">
            <v>1</v>
          </cell>
          <cell r="L94" t="str">
            <v>NA</v>
          </cell>
          <cell r="M94" t="str">
            <v>NA</v>
          </cell>
          <cell r="N94" t="str">
            <v>Proveer medios magnéticos para copias de respaldo para la Secretaría Distrital de Hacienda y el Concejo de Bogotá</v>
          </cell>
          <cell r="O94">
            <v>1</v>
          </cell>
          <cell r="P94" t="str">
            <v>NA</v>
          </cell>
          <cell r="Q94" t="str">
            <v>NA</v>
          </cell>
          <cell r="R94" t="str">
            <v>MINIMA_CUANTIA</v>
          </cell>
          <cell r="S94" t="str">
            <v>P</v>
          </cell>
          <cell r="T94" t="str">
            <v>NA</v>
          </cell>
          <cell r="U94" t="str">
            <v>COMPRAVENTA</v>
          </cell>
          <cell r="V94">
            <v>22000000</v>
          </cell>
          <cell r="W94">
            <v>11200000</v>
          </cell>
          <cell r="X94" t="str">
            <v>2 mes(es)</v>
          </cell>
          <cell r="Y94">
            <v>2</v>
          </cell>
          <cell r="Z94">
            <v>42857</v>
          </cell>
          <cell r="AA94" t="str">
            <v>Se requiere mantener un stock de medios de almacenamiento conforma a la política de backup para la SDH y el Concejo de Bogotá. Fecha de terminación contrato actual: 03/05/2017</v>
          </cell>
        </row>
        <row r="95">
          <cell r="C95">
            <v>88</v>
          </cell>
          <cell r="D95">
            <v>69</v>
          </cell>
          <cell r="E95" t="str">
            <v>INICIAL</v>
          </cell>
          <cell r="F95" t="str">
            <v>RECURSOS PROPIOS</v>
          </cell>
          <cell r="G95">
            <v>120000</v>
          </cell>
          <cell r="H95">
            <v>4</v>
          </cell>
          <cell r="I95" t="str">
            <v>3-1-2-01-02 Gastos de Computador</v>
          </cell>
          <cell r="J95">
            <v>1</v>
          </cell>
          <cell r="K95">
            <v>4</v>
          </cell>
          <cell r="L95" t="str">
            <v>NA</v>
          </cell>
          <cell r="M95" t="str">
            <v>NA</v>
          </cell>
          <cell r="N95" t="str">
            <v>Proveer medios magnéticos para copias de respaldo para la Secretaría Distrital de Hacienda y el Concejo de Bogotá</v>
          </cell>
          <cell r="O95">
            <v>1</v>
          </cell>
          <cell r="P95" t="str">
            <v>NA</v>
          </cell>
          <cell r="Q95" t="str">
            <v>NA</v>
          </cell>
          <cell r="R95" t="str">
            <v>MINIMA_CUANTIA</v>
          </cell>
          <cell r="S95" t="str">
            <v>P</v>
          </cell>
          <cell r="T95" t="str">
            <v>NA</v>
          </cell>
          <cell r="U95" t="str">
            <v>COMPRAVENTA</v>
          </cell>
          <cell r="V95">
            <v>22000000</v>
          </cell>
          <cell r="W95">
            <v>10800000</v>
          </cell>
          <cell r="X95" t="str">
            <v>2 mes(es)</v>
          </cell>
          <cell r="Y95">
            <v>2</v>
          </cell>
          <cell r="Z95">
            <v>42857</v>
          </cell>
          <cell r="AA95" t="str">
            <v>Se requiere mantener un stock de medios de almacenamiento conforma a la política de backup para la SDH y el Concejo de Bogotá. Fecha de terminación contrato actual: 03/05/2017</v>
          </cell>
        </row>
        <row r="96">
          <cell r="C96">
            <v>89</v>
          </cell>
          <cell r="D96">
            <v>69</v>
          </cell>
          <cell r="E96" t="str">
            <v>INICIAL</v>
          </cell>
          <cell r="F96" t="str">
            <v>RECURSOS PROPIOS</v>
          </cell>
          <cell r="G96">
            <v>221000</v>
          </cell>
          <cell r="H96">
            <v>1</v>
          </cell>
          <cell r="I96" t="str">
            <v>3-3-1-15-05-34-1084-170170 - Actualización de la solución tecnológica de gestión tributaria de la SDH</v>
          </cell>
          <cell r="J96">
            <v>1</v>
          </cell>
          <cell r="K96">
            <v>1</v>
          </cell>
          <cell r="L96" t="str">
            <v>Mantener en 100% una aplicación en medios móviles para trámites de impuestos de Bogotá</v>
          </cell>
          <cell r="M96" t="str">
            <v>Realizar mantenimiento y mejoras al App de trámites de impuestos dispuesta al ciudadano</v>
          </cell>
          <cell r="N96" t="str">
            <v>Prestar servicios profesionales para mantenimiento del APP de trámites de impuestos</v>
          </cell>
          <cell r="O96">
            <v>1</v>
          </cell>
          <cell r="P96" t="str">
            <v>5 años de experiencia relacionada</v>
          </cell>
          <cell r="Q96" t="str">
            <v>Profesional en ingenieria de sistemas o diseñador gráfico</v>
          </cell>
          <cell r="R96" t="str">
            <v>DIRECTA.PRESTACION.SERVIC.9_7</v>
          </cell>
          <cell r="S96" t="str">
            <v>P</v>
          </cell>
          <cell r="T96" t="str">
            <v>NA</v>
          </cell>
          <cell r="U96" t="str">
            <v>PRESTACION SERV. PROFESIONALES</v>
          </cell>
          <cell r="V96">
            <v>62400000</v>
          </cell>
          <cell r="W96">
            <v>62400000</v>
          </cell>
          <cell r="X96" t="str">
            <v>6 mes(es)</v>
          </cell>
          <cell r="Y96">
            <v>3</v>
          </cell>
          <cell r="Z96">
            <v>42880</v>
          </cell>
          <cell r="AA96" t="str">
            <v>Ingeniero para mantenimiento de App de impuestos, la cual se espera poner en operación en 2017. En lo correspondiente a este costo, se ha incluido dentro de la Meta 1 del proyecto, cuyo objeto es "Mantener en 100% una aplicación en medios móviles para trámites de impuestos de Bogotá", debido a que en los primeros años de operación de la misma se requiere revisar la operación y mejoras requeridas, buscando el mejor comportamiento y experiencia de usuario, antes de dar continuidad al mantenimiento permanente, el cual se busca adelantar con recursos de funcionamiento después de la presente administración.</v>
          </cell>
        </row>
        <row r="97">
          <cell r="C97">
            <v>90</v>
          </cell>
          <cell r="D97">
            <v>69</v>
          </cell>
          <cell r="E97" t="str">
            <v>INICIAL</v>
          </cell>
          <cell r="F97" t="str">
            <v>RECURSOS PROPIOS</v>
          </cell>
          <cell r="G97">
            <v>221000</v>
          </cell>
          <cell r="H97">
            <v>1</v>
          </cell>
          <cell r="I97" t="str">
            <v>3-3-1-15-05-34-1084-170170 - Actualización de la solución tecnológica de gestión tributaria de la SDH</v>
          </cell>
          <cell r="J97">
            <v>1</v>
          </cell>
          <cell r="K97">
            <v>1</v>
          </cell>
          <cell r="L97" t="str">
            <v>Diagnosticar e implementar en un 100% la solución tecnológica para gestión de impuestos de Bogotá, en términos del rediseño de la solución actual o adquisición de una nueva herramienta</v>
          </cell>
          <cell r="M97" t="str">
            <v>Adelantar el proceso de adquisición de la herramienta requerida para gestión de impuestos</v>
          </cell>
          <cell r="N97" t="str">
            <v>Prestar servicios para adelantar la estructuración de los estudios previos y el acompañamiento para la adquisición de la solución tecnológica para gestión de impuetos de Bogotá</v>
          </cell>
          <cell r="O97">
            <v>1</v>
          </cell>
          <cell r="P97" t="str">
            <v>NA</v>
          </cell>
          <cell r="Q97" t="str">
            <v>NA</v>
          </cell>
          <cell r="R97" t="str">
            <v>DIRECTA.CONVENIOS</v>
          </cell>
          <cell r="S97" t="str">
            <v>P</v>
          </cell>
          <cell r="T97" t="str">
            <v>NA</v>
          </cell>
          <cell r="U97" t="str">
            <v>CONVENIO INTERADMINISTRATIVO</v>
          </cell>
          <cell r="V97">
            <v>1000000000</v>
          </cell>
          <cell r="W97">
            <v>1000000000</v>
          </cell>
          <cell r="X97" t="str">
            <v>3 mes(es)</v>
          </cell>
          <cell r="Y97">
            <v>1</v>
          </cell>
          <cell r="Z97">
            <v>42765</v>
          </cell>
          <cell r="AA97" t="str">
            <v>El propósito de este cotnrato es que entidades multilaterales como el Banco Mundial apoyen el proceso de estructuración de los requerimientos de la solución a adquirir.  Dada la complejidad que representa la sustitución de la solución tecnológica que soporta la gestión de impuestos de la ciudad y con el fin de evitar errores durante el proceso de definición de los anexos técnicos, de los documentos soporte y adionar equipo de trabajo con conocimiento en este tipo de implementaciones que le facilite el proceso de selección a la SDH, se plantea realizar este contrato.   Teniendo en cuenta que los plazos para tener un documento de estas características es restringido, pues es prerequisito para la licitación de la solución, se plantea un modelo de convenio con entidad multilateral.  Este es un costo estimado, el cual durante la realización del proceso de estudio de mercado puede ajustarse. No obstante, se espera que con estos recursos se acompañe en la revisión de la implementación, valor que es inferior al promedio de mercado para procesos de este estilo (Similares a la interventoría).</v>
          </cell>
        </row>
        <row r="98">
          <cell r="C98">
            <v>91</v>
          </cell>
          <cell r="D98">
            <v>69</v>
          </cell>
          <cell r="E98" t="str">
            <v>INICIAL</v>
          </cell>
          <cell r="F98" t="str">
            <v>RECURSOS PROPIOS</v>
          </cell>
          <cell r="G98">
            <v>221000</v>
          </cell>
          <cell r="H98">
            <v>1</v>
          </cell>
          <cell r="I98" t="str">
            <v>3-3-1-15-05-34-1084-170170 - Actualización de la solución tecnológica de gestión tributaria de la SDH</v>
          </cell>
          <cell r="J98">
            <v>1</v>
          </cell>
          <cell r="K98">
            <v>1</v>
          </cell>
          <cell r="L98" t="str">
            <v>Diagnosticar e implementar en un 100% la solución tecnológica para gestión de impuestos de Bogotá, en términos del rediseño de la solución actual o adquisición de una nueva herramienta</v>
          </cell>
          <cell r="M98" t="str">
            <v>Adelantar el proceso de adquisición de la herramienta requerida para gestión de impuestos</v>
          </cell>
          <cell r="N98" t="str">
            <v>Proveer una solución tecnológica para gestión de impuestos de Bogotá</v>
          </cell>
          <cell r="O98">
            <v>1</v>
          </cell>
          <cell r="P98" t="str">
            <v>NA</v>
          </cell>
          <cell r="Q98" t="str">
            <v>NA</v>
          </cell>
          <cell r="R98" t="str">
            <v>LICITACION_BASICA</v>
          </cell>
          <cell r="S98" t="str">
            <v>P</v>
          </cell>
          <cell r="T98" t="str">
            <v>NA</v>
          </cell>
          <cell r="U98" t="str">
            <v>PRESTACION DE SERVICIOS</v>
          </cell>
          <cell r="V98">
            <v>22872239000</v>
          </cell>
          <cell r="W98">
            <v>22872239000</v>
          </cell>
          <cell r="X98" t="str">
            <v>26 mes(es)</v>
          </cell>
          <cell r="Y98">
            <v>3</v>
          </cell>
          <cell r="Z98">
            <v>43028</v>
          </cell>
          <cell r="AA98" t="str">
            <v xml:space="preserve">Corresponde a la adquisición de la solución de gestión de impuestos de Bogotá, que se plantea como sustituto a la solución actual. La estructuración de este proceso se realiza en la consultoría previa antes inlcuuida en este plan de adquisiciones.  Se plantea un servicio por 26 meses a través de contrato de licencia de uso que inlcuye prestación de servicios.  El presupuesto total con vigencias futuras es el siguiente:  2017: $4.662.609.000  2018: $7.844.085.000 2019: $10.365.545.000   Corresponde al valor solicitado y aprobado por el Confis para vigencias futuras en este concepto.  Respecto de la solución de impuestos, se cuenta con un diagnóstico presentado por el Banco Mundial de mayo de 2016, entre los cuales se resaltan:  - Alta probabilidad de colapso de las soluciones informáticas en el mediano plazo y largo plazo - Falta de documentación en la DIT para brindar mantenimiento a las soluciones informáticas y/o corregir fallas o caídas presentadas - Alta rotación de personal clave en la DIT que es formado y luego accede a cargos fuera de tecnología debido al esquema de promoción - Baja o Mala calidad del software desarrollado, demora en la entrega de soluciones, altos costos de funcionamiento y de inversión en el desarrollo de software. - Cortes frecuentes de los servicios a los contribuyentes/usuarios - Dificultades y limitaciones en la contratación de servicios, licencias y proveedores en el área de tecnología (sólo a un año), aunque existen elementos que puedan mitigar o dar solución a estos problemas que deben coordinarse - Inexistencia de un sistema integrado tributario - Sistema tributario SIG II poco articulado para las funcionalidades requeridas y desarrollado en lenguaje/plataforma que en dos años dejará de contar con soporte y mantenimiento por parte del proveedor.  Entre otros.  Se espera contar con un sistema de información tributario que cuente con modulos de gestión tributaria (Administración del recaudo de la vigencia y procesos de gestión de vigencias anteriores), modeulo de atención al ciudadano/contribuyente, modulos de análisis de información o minería de datos, etc. este detalle debe ser una de las estructuraciones que realice la concultoría para definir requisitos del Core Tributario. </v>
          </cell>
        </row>
        <row r="99">
          <cell r="C99">
            <v>92</v>
          </cell>
          <cell r="D99">
            <v>69</v>
          </cell>
          <cell r="E99" t="str">
            <v>INICIAL</v>
          </cell>
          <cell r="F99" t="str">
            <v>RECURSOS PROPIOS</v>
          </cell>
          <cell r="G99">
            <v>221000</v>
          </cell>
          <cell r="H99">
            <v>1</v>
          </cell>
          <cell r="I99" t="str">
            <v>3-3-1-15-07-44-1087-192192 -Modernización tecnológica de la SDH</v>
          </cell>
          <cell r="J99">
            <v>1</v>
          </cell>
          <cell r="K99">
            <v>1</v>
          </cell>
          <cell r="L99" t="str">
            <v>Implementar en un 100% el BPM (Business Process Management) y gestor documental para aquellos procesos identificados que requieran automatización en la SDH</v>
          </cell>
          <cell r="M99" t="str">
            <v>Implementar el proceso de gestión documental electrónico en toda la organización</v>
          </cell>
          <cell r="N99" t="str">
            <v>Prestar servicios para configurar y mejorar la operación del gestor documental de la SHD (WCC)</v>
          </cell>
          <cell r="O99">
            <v>1</v>
          </cell>
          <cell r="P99" t="str">
            <v>NA</v>
          </cell>
          <cell r="Q99" t="str">
            <v>NA</v>
          </cell>
          <cell r="R99" t="str">
            <v>SEL.ABREVIADA.CONSURSO.MER.</v>
          </cell>
          <cell r="S99" t="str">
            <v>P</v>
          </cell>
          <cell r="T99" t="str">
            <v>NA</v>
          </cell>
          <cell r="U99" t="str">
            <v>CONSULTORIA</v>
          </cell>
          <cell r="V99">
            <v>400000000</v>
          </cell>
          <cell r="W99">
            <v>400000000</v>
          </cell>
          <cell r="X99" t="str">
            <v>5 mes(es)</v>
          </cell>
          <cell r="Y99">
            <v>1</v>
          </cell>
          <cell r="Z99">
            <v>42916</v>
          </cell>
          <cell r="AA99" t="str">
            <v>De acuerdo con la política de trabajo cero papel a nivel distrital e institucional, se requiere dar continuidad a la implementación de funcionalidades del gestor de contenidos y ampliar el alcance a la mayor parte de procesos y tablas de retención que pueda cubrir. El costo se ajusta a lo inlcuido en la formulación del proyecto</v>
          </cell>
        </row>
        <row r="100">
          <cell r="C100">
            <v>93</v>
          </cell>
          <cell r="D100">
            <v>69</v>
          </cell>
          <cell r="E100" t="str">
            <v>INICIAL</v>
          </cell>
          <cell r="F100" t="str">
            <v>RECURSOS PROPIOS</v>
          </cell>
          <cell r="G100">
            <v>221000</v>
          </cell>
          <cell r="H100">
            <v>1</v>
          </cell>
          <cell r="I100" t="str">
            <v>3-3-1-15-07-44-1087-192192 -Modernización tecnológica de la SDH</v>
          </cell>
          <cell r="J100">
            <v>1</v>
          </cell>
          <cell r="K100">
            <v>1</v>
          </cell>
          <cell r="L100" t="str">
            <v>Implementar en un 100% el BPM (Business Process Management) y gestor documental para aquellos procesos identificados que requieran automatización en la SDH</v>
          </cell>
          <cell r="M100" t="str">
            <v>Adelantar la implementación del gestor de procesos de negocio BPM, para administrar el flujo de documentos</v>
          </cell>
          <cell r="N100" t="str">
            <v>Prestar servicios para adelantar la implementación del gestor documental de procesos (BPM) de la Secretaría Distrital de Hacienda</v>
          </cell>
          <cell r="O100">
            <v>1</v>
          </cell>
          <cell r="P100" t="str">
            <v>NA</v>
          </cell>
          <cell r="Q100" t="str">
            <v>NA</v>
          </cell>
          <cell r="R100" t="str">
            <v>SEL.ABREVIADA.CONSURSO.MER.</v>
          </cell>
          <cell r="S100" t="str">
            <v>P</v>
          </cell>
          <cell r="T100" t="str">
            <v>NA</v>
          </cell>
          <cell r="U100" t="str">
            <v>CONSULTORIA</v>
          </cell>
          <cell r="V100">
            <v>1100000000</v>
          </cell>
          <cell r="W100">
            <v>1100000000</v>
          </cell>
          <cell r="X100" t="str">
            <v>8 mes(es)</v>
          </cell>
          <cell r="Y100">
            <v>1</v>
          </cell>
          <cell r="Z100">
            <v>42884</v>
          </cell>
          <cell r="AA100" t="str">
            <v>Con el fin de implementar la política cero papel en la entidad, es necesario que al interior de la entidad se automaticen procesos que hoy se atienden de forma manual o sistematizada. Un proceso automatizado permite controlar el flujo del proceso y las tareas asignadas a cada responsable sin necesidad de docuemtnación impresa.</v>
          </cell>
        </row>
        <row r="101">
          <cell r="C101">
            <v>94</v>
          </cell>
          <cell r="D101">
            <v>69</v>
          </cell>
          <cell r="E101" t="str">
            <v>INICIAL</v>
          </cell>
          <cell r="F101" t="str">
            <v>RECURSOS PROPIOS</v>
          </cell>
          <cell r="G101">
            <v>221000</v>
          </cell>
          <cell r="H101">
            <v>1</v>
          </cell>
          <cell r="I101" t="str">
            <v>3-3-1-15-07-44-1087-192192 -Modernización tecnológica de la SDH</v>
          </cell>
          <cell r="J101">
            <v>1</v>
          </cell>
          <cell r="K101">
            <v>1</v>
          </cell>
          <cell r="L101" t="str">
            <v>Implementar en un 100% el BPM (Business Process Management) y gestor documental para aquellos procesos identificados que requieran automatización en la SDH</v>
          </cell>
          <cell r="M101" t="str">
            <v>Implementar una herramienta de gestión documental de procesos, para su revisión y automatización</v>
          </cell>
          <cell r="N101" t="str">
            <v>Proveer una herramienta de documentación de procesos para la SDH</v>
          </cell>
          <cell r="O101">
            <v>1</v>
          </cell>
          <cell r="P101" t="str">
            <v>NA</v>
          </cell>
          <cell r="Q101" t="str">
            <v>NA</v>
          </cell>
          <cell r="R101" t="str">
            <v>SEL.ABREVIADA.SUB.INV.ELECTRO.</v>
          </cell>
          <cell r="S101" t="str">
            <v>P</v>
          </cell>
          <cell r="T101" t="str">
            <v>NA</v>
          </cell>
          <cell r="U101" t="str">
            <v>COMPRAVENTA</v>
          </cell>
          <cell r="V101">
            <v>800000000</v>
          </cell>
          <cell r="W101">
            <v>800000000</v>
          </cell>
          <cell r="X101" t="str">
            <v>6 mes(es)</v>
          </cell>
          <cell r="Y101">
            <v>1</v>
          </cell>
          <cell r="Z101">
            <v>42916</v>
          </cell>
          <cell r="AA101" t="str">
            <v>Se hace necesaria la adquisición de una herramienta que permita a la entidad documentar los procesos y procedimientos de manera más ágil, así como permitir su análisis y optimización</v>
          </cell>
        </row>
        <row r="102">
          <cell r="C102">
            <v>95</v>
          </cell>
          <cell r="D102">
            <v>69</v>
          </cell>
          <cell r="E102" t="str">
            <v>INICIAL</v>
          </cell>
          <cell r="F102" t="str">
            <v>RECURSOS PROPIOS</v>
          </cell>
          <cell r="G102">
            <v>221000</v>
          </cell>
          <cell r="H102">
            <v>1</v>
          </cell>
          <cell r="I102" t="str">
            <v>3-3-1-15-07-44-1087-192192 -Modernización tecnológica de la SDH</v>
          </cell>
          <cell r="J102">
            <v>1</v>
          </cell>
          <cell r="K102">
            <v>1</v>
          </cell>
          <cell r="L102" t="str">
            <v>Implementar 100% de los componentes de  infraestructura tecnológica de la SDH (Hardware, Software, Conectividad, comunicaciones, seguridad) de acuerdo con el Plan de trabajo del proyecto</v>
          </cell>
          <cell r="M102" t="str">
            <v>Realizar las adquisiciones, reposiciones, actualizaciones y configuraciones requeridos de acuerdo con el diagnóstico realizado</v>
          </cell>
          <cell r="N102" t="str">
            <v>Proveer el licenciamiento Microsoft para la Secretaría Distrital de Hacienda</v>
          </cell>
          <cell r="O102">
            <v>1</v>
          </cell>
          <cell r="P102" t="str">
            <v>NA</v>
          </cell>
          <cell r="Q102" t="str">
            <v>NA</v>
          </cell>
          <cell r="R102" t="str">
            <v>SEL. ABREVIADA. ACUERDO. MARCO</v>
          </cell>
          <cell r="S102" t="str">
            <v>P</v>
          </cell>
          <cell r="T102" t="str">
            <v>NA</v>
          </cell>
          <cell r="U102" t="str">
            <v>COMPRAVENTA</v>
          </cell>
          <cell r="V102">
            <v>3709080000</v>
          </cell>
          <cell r="W102">
            <v>3709080000</v>
          </cell>
          <cell r="X102" t="str">
            <v>35 mes(es)</v>
          </cell>
          <cell r="Y102">
            <v>1</v>
          </cell>
          <cell r="Z102">
            <v>42765</v>
          </cell>
          <cell r="AA102" t="str">
            <v>Se plantea un contrato a 35 meses que le permita a la Secretaría Distrital de Hacienda accder de manera adecuada al licenciamiento requerido de microsoft, cubriendo a la entidad de problemas de sublicenciamiento.   El presupuesto total con  vigencia es el siguiente: 2017: $1.200.000.000 2018: $1.236.000.000 2019: $1.273.080.000  Corresponde al valor solicitado y aprobado por el Confis para vigencias futuras en este concepto.   Se ajusta el valor de la línea dejando solamente el monto de 2017</v>
          </cell>
        </row>
        <row r="103">
          <cell r="C103">
            <v>96</v>
          </cell>
          <cell r="D103">
            <v>69</v>
          </cell>
          <cell r="E103" t="str">
            <v>INICIAL</v>
          </cell>
          <cell r="F103" t="str">
            <v>RECURSOS PROPIOS</v>
          </cell>
          <cell r="G103">
            <v>221000</v>
          </cell>
          <cell r="H103">
            <v>1</v>
          </cell>
          <cell r="I103" t="str">
            <v>3-3-1-15-07-44-1087-192192 -Modernización tecnológica de la SDH</v>
          </cell>
          <cell r="J103">
            <v>1</v>
          </cell>
          <cell r="K103">
            <v>1</v>
          </cell>
          <cell r="L103" t="str">
            <v>Implementar 100% de los componentes de  infraestructura tecnológica de la SDH (Hardware, Software, Conectividad, comunicaciones, seguridad) de acuerdo con el Plan de trabajo del proyecto</v>
          </cell>
          <cell r="M103" t="str">
            <v>Realizar las adquisiciones, reposiciones, actualizaciones y configuraciones requeridos de acuerdo con el diagnóstico realizado</v>
          </cell>
          <cell r="N103" t="str">
            <v>Prestar servicios de colaboración en la nube para la Secretaría Distrital de Hacienda</v>
          </cell>
          <cell r="O103">
            <v>1</v>
          </cell>
          <cell r="P103" t="str">
            <v>NA</v>
          </cell>
          <cell r="Q103" t="str">
            <v>NA</v>
          </cell>
          <cell r="R103" t="str">
            <v>SEL. ABREVIADA. ACUERDO. MARCO</v>
          </cell>
          <cell r="S103" t="str">
            <v>P</v>
          </cell>
          <cell r="T103" t="str">
            <v>NA</v>
          </cell>
          <cell r="U103" t="str">
            <v>SERVICIO</v>
          </cell>
          <cell r="V103">
            <v>500000000</v>
          </cell>
          <cell r="W103">
            <v>500000000</v>
          </cell>
          <cell r="X103" t="str">
            <v>12 mes(es)</v>
          </cell>
          <cell r="Y103">
            <v>1</v>
          </cell>
          <cell r="Z103">
            <v>42794</v>
          </cell>
          <cell r="AA103" t="str">
            <v>Corresponde a servicios de colaboración en la nube como por ejemplo Office 365, servicios de correo o Project online dirigidos en su mayoria a apoyar la gestión de directivos que, por su movildiad requieren consultar permanentemente desde el lugar en que se encuentran los documentos de trabajo que soportan su gestión</v>
          </cell>
        </row>
        <row r="104">
          <cell r="C104">
            <v>97</v>
          </cell>
          <cell r="D104">
            <v>69</v>
          </cell>
          <cell r="E104" t="str">
            <v>INICIAL</v>
          </cell>
          <cell r="F104" t="str">
            <v>RECURSOS PROPIOS</v>
          </cell>
          <cell r="G104">
            <v>221000</v>
          </cell>
          <cell r="H104">
            <v>1</v>
          </cell>
          <cell r="I104" t="str">
            <v>3-3-1-15-07-44-1087-192192 -Modernización tecnológica de la SDH</v>
          </cell>
          <cell r="J104">
            <v>1</v>
          </cell>
          <cell r="K104">
            <v>1</v>
          </cell>
          <cell r="L104" t="str">
            <v>Implementar 100% de los componentes de  infraestructura tecnológica de la SDH (Hardware, Software, Conectividad, comunicaciones, seguridad) de acuerdo con el Plan de trabajo del proyecto</v>
          </cell>
          <cell r="M104" t="str">
            <v>Realizar las adquisiciones, reposiciones, actualizaciones y configuraciones requeridos de acuerdo con el diagnóstico realizado</v>
          </cell>
          <cell r="N104" t="str">
            <v>Prestar servicios de comunicaciones unificadas para la SDH</v>
          </cell>
          <cell r="O104">
            <v>1</v>
          </cell>
          <cell r="P104" t="str">
            <v>NA</v>
          </cell>
          <cell r="Q104" t="str">
            <v>NA</v>
          </cell>
          <cell r="R104" t="str">
            <v>SEL.ABREVIADA.SUB.INV.ELECTRO.</v>
          </cell>
          <cell r="S104" t="str">
            <v>P</v>
          </cell>
          <cell r="T104" t="str">
            <v>NA</v>
          </cell>
          <cell r="U104" t="str">
            <v>SUMINISTRO</v>
          </cell>
          <cell r="V104">
            <v>2885336000</v>
          </cell>
          <cell r="W104">
            <v>2885336000</v>
          </cell>
          <cell r="X104" t="str">
            <v>32 mes(es)</v>
          </cell>
          <cell r="Y104">
            <v>1</v>
          </cell>
          <cell r="Z104">
            <v>42853</v>
          </cell>
          <cell r="AA104" t="str">
            <v>Se plantea cambiar el modelo de telefonía de la Secretaría de Hacienda que incluya servicios de conectividad movil (números fijos móviles, chat, entre otros) y video llamadas en los casos requeridos.  Se plantea un contrato a 3 años que le permita a la Secretaría Distrital de Hacienda accder a servicios de telefonía y ambientes de colaboración como servicio, buscando con ello que se cuente con tecnología mas reciente de manera constante.  El presupuesto con vigencias futuras es el siguiente:  2017: $666.667.000 2018: $1.071.200.000 2019: $1.147.469.000  Corresponde al valor solicitado y aprobado por el Confis para vigencias futuras en este concepto.  Se ajusta el valor inlcuido para la línea y se deja solamente el presupuesto 2017</v>
          </cell>
        </row>
        <row r="105">
          <cell r="C105">
            <v>98</v>
          </cell>
          <cell r="D105">
            <v>69</v>
          </cell>
          <cell r="E105" t="str">
            <v>INICIAL</v>
          </cell>
          <cell r="F105" t="str">
            <v>RECURSOS PROPIOS</v>
          </cell>
          <cell r="G105">
            <v>221000</v>
          </cell>
          <cell r="H105">
            <v>1</v>
          </cell>
          <cell r="I105" t="str">
            <v>3-3-1-15-07-44-1087-192192 -Modernización tecnológica de la SDH</v>
          </cell>
          <cell r="J105">
            <v>1</v>
          </cell>
          <cell r="K105">
            <v>1</v>
          </cell>
          <cell r="L105" t="str">
            <v>Implementar 100% de los componentes de  infraestructura tecnológica de la SDH (Hardware, Software, Conectividad, comunicaciones, seguridad) de acuerdo con el Plan de trabajo del proyecto</v>
          </cell>
          <cell r="M105" t="str">
            <v>Realizar las adquisiciones, reposiciones, actualizaciones y configuraciones requeridos de acuerdo con el diagnóstico realizado</v>
          </cell>
          <cell r="N105" t="str">
            <v>Prestar servicios profesionales en la Implementación, configuración y parametrización de las herramientas CRM, adecuándolas a los sistemas de información de la Secretaría Distrital de Hacienda, tendientes a mejorar los procesos de atención a los ciudadanos</v>
          </cell>
          <cell r="O105">
            <v>2</v>
          </cell>
          <cell r="P105" t="str">
            <v>7 años de experiencia profesional de los cuales 2 años de experiencia específica en Oracle Siebel</v>
          </cell>
          <cell r="Q105" t="str">
            <v>Profesional en Ingenieria de sistemas o industrial o afines</v>
          </cell>
          <cell r="R105" t="str">
            <v>DIRECTA.PRESTACION.SERVIC.9_7</v>
          </cell>
          <cell r="S105" t="str">
            <v>P</v>
          </cell>
          <cell r="T105" t="str">
            <v>NA</v>
          </cell>
          <cell r="U105" t="str">
            <v>PRESTACION DE SERVICIOS</v>
          </cell>
          <cell r="V105">
            <v>160000000</v>
          </cell>
          <cell r="W105">
            <v>160000000</v>
          </cell>
          <cell r="X105" t="str">
            <v>10 mes(es)</v>
          </cell>
          <cell r="Y105">
            <v>1</v>
          </cell>
          <cell r="Z105">
            <v>42765</v>
          </cell>
          <cell r="AA105" t="str">
            <v>El propósito es dar continuidad e implementar nuevos servicios en sistema de relacionamiento con el cliente (Contribuyente), CRM</v>
          </cell>
        </row>
        <row r="106">
          <cell r="C106">
            <v>99</v>
          </cell>
          <cell r="D106">
            <v>69</v>
          </cell>
          <cell r="E106" t="str">
            <v>INICIAL</v>
          </cell>
          <cell r="F106" t="str">
            <v>RECURSOS PROPIOS</v>
          </cell>
          <cell r="G106">
            <v>221000</v>
          </cell>
          <cell r="H106">
            <v>1</v>
          </cell>
          <cell r="I106" t="str">
            <v>3-3-1-15-07-44-1087-192192 -Modernización tecnológica de la SDH</v>
          </cell>
          <cell r="J106">
            <v>1</v>
          </cell>
          <cell r="K106">
            <v>1</v>
          </cell>
          <cell r="L106" t="str">
            <v>Implementar 100% de los componentes de  infraestructura tecnológica de la SDH (Hardware, Software, Conectividad, comunicaciones, seguridad) de acuerdo con el Plan de trabajo del proyecto</v>
          </cell>
          <cell r="M106" t="str">
            <v>Realizar las adquisiciones, reposiciones, actualizaciones y configuraciones requeridos de acuerdo con el diagnóstico realizado</v>
          </cell>
          <cell r="N106" t="str">
            <v>Proveer o actualizar los switches de core de la SDH.</v>
          </cell>
          <cell r="O106">
            <v>1</v>
          </cell>
          <cell r="P106" t="str">
            <v>NA</v>
          </cell>
          <cell r="Q106" t="str">
            <v>NA</v>
          </cell>
          <cell r="R106" t="str">
            <v>SEL.ABREVIADA.SUB.INV.ELECTRO.</v>
          </cell>
          <cell r="S106" t="str">
            <v>P</v>
          </cell>
          <cell r="T106" t="str">
            <v>NA</v>
          </cell>
          <cell r="U106" t="str">
            <v>COMPRAVENTA</v>
          </cell>
          <cell r="V106">
            <v>2901633000</v>
          </cell>
          <cell r="W106">
            <v>2901633000</v>
          </cell>
          <cell r="X106" t="str">
            <v>6 mes(es)</v>
          </cell>
          <cell r="Y106">
            <v>1</v>
          </cell>
          <cell r="Z106">
            <v>42885</v>
          </cell>
          <cell r="AA106" t="str">
            <v>Se plantea la actualización de componentes o la compra de nuevos switches de core que proveen conectividad a usuarios de la entidad y otras entidades que consumen servicios de la entidad. Estos equipos superan los 7 años de operación</v>
          </cell>
        </row>
        <row r="107">
          <cell r="C107">
            <v>100</v>
          </cell>
          <cell r="D107">
            <v>69</v>
          </cell>
          <cell r="E107" t="str">
            <v>INICIAL</v>
          </cell>
          <cell r="F107" t="str">
            <v>RECURSOS PROPIOS</v>
          </cell>
          <cell r="G107">
            <v>221000</v>
          </cell>
          <cell r="H107">
            <v>1</v>
          </cell>
          <cell r="I107" t="str">
            <v>3-3-1-15-07-44-1087-192192 -Modernización tecnológica de la SDH</v>
          </cell>
          <cell r="J107">
            <v>1</v>
          </cell>
          <cell r="K107">
            <v>1</v>
          </cell>
          <cell r="L107" t="str">
            <v>Implementar 100% de los componentes de  infraestructura tecnológica de la SDH (Hardware, Software, Conectividad, comunicaciones, seguridad) de acuerdo con el Plan de trabajo del proyecto</v>
          </cell>
          <cell r="M107" t="str">
            <v>Realizar las adquisiciones, reposiciones, actualizaciones y configuraciones requeridos de acuerdo con el diagnóstico realizado</v>
          </cell>
          <cell r="N107" t="str">
            <v>Proveer equipos de cómputo para la SDH</v>
          </cell>
          <cell r="O107">
            <v>1</v>
          </cell>
          <cell r="P107" t="str">
            <v>NA</v>
          </cell>
          <cell r="Q107" t="str">
            <v>NA</v>
          </cell>
          <cell r="R107" t="str">
            <v>SEL.ABREVIADA.SUB.INV.ELECTRO.</v>
          </cell>
          <cell r="S107" t="str">
            <v>P</v>
          </cell>
          <cell r="T107" t="str">
            <v>NA</v>
          </cell>
          <cell r="U107" t="str">
            <v>COMPRAVENTA</v>
          </cell>
          <cell r="V107">
            <v>1000000000</v>
          </cell>
          <cell r="W107">
            <v>1000000000</v>
          </cell>
          <cell r="X107" t="str">
            <v>4 mes(es)</v>
          </cell>
          <cell r="Y107">
            <v>2</v>
          </cell>
          <cell r="Z107">
            <v>42901</v>
          </cell>
          <cell r="AA107" t="str">
            <v>El propósito es reponer equipos Hewlett Packard que entraron en obsolesencia, así como sustituir estaciones de trabajo de escritorio por portátiles. Se plantea la compra de un 70% de equipos de escritorio y un 30% de portátiles</v>
          </cell>
        </row>
        <row r="108">
          <cell r="C108">
            <v>101</v>
          </cell>
          <cell r="D108">
            <v>69</v>
          </cell>
          <cell r="E108" t="str">
            <v>INICIAL</v>
          </cell>
          <cell r="F108" t="str">
            <v>RECURSOS PROPIOS</v>
          </cell>
          <cell r="G108">
            <v>221000</v>
          </cell>
          <cell r="H108">
            <v>1</v>
          </cell>
          <cell r="I108" t="str">
            <v>3-3-1-15-07-44-1087-192192 -Modernización tecnológica de la SDH</v>
          </cell>
          <cell r="J108">
            <v>1</v>
          </cell>
          <cell r="K108">
            <v>1</v>
          </cell>
          <cell r="L108" t="str">
            <v>Implementar 100% de los componentes de  infraestructura tecnológica de la SDH (Hardware, Software, Conectividad, comunicaciones, seguridad) de acuerdo con el Plan de trabajo del proyecto</v>
          </cell>
          <cell r="M108" t="str">
            <v>Realizar las adquisiciones, reposiciones, actualizaciones y configuraciones requeridos de acuerdo con el diagnóstico realizado</v>
          </cell>
          <cell r="N108" t="str">
            <v>Proveer e instalar un sistema de control de incendios para el Datacenter del piso 7 de la SDH</v>
          </cell>
          <cell r="O108">
            <v>1</v>
          </cell>
          <cell r="P108" t="str">
            <v>NA</v>
          </cell>
          <cell r="Q108" t="str">
            <v>NA</v>
          </cell>
          <cell r="R108" t="str">
            <v>SEL.ABREVIADA.SUB.INV.ELECTRO.</v>
          </cell>
          <cell r="S108" t="str">
            <v>P</v>
          </cell>
          <cell r="T108" t="str">
            <v>NA</v>
          </cell>
          <cell r="U108" t="str">
            <v>COMPRAVENTA</v>
          </cell>
          <cell r="V108">
            <v>300000000</v>
          </cell>
          <cell r="W108">
            <v>300000000</v>
          </cell>
          <cell r="X108" t="str">
            <v>6 mes(es)</v>
          </cell>
          <cell r="Y108">
            <v>1</v>
          </cell>
          <cell r="Z108">
            <v>42906</v>
          </cell>
          <cell r="AA108" t="str">
            <v>Se plantea la reposición del sistema de control de incendios que hoy se encuentra obsoleto y sin soporte</v>
          </cell>
        </row>
        <row r="109">
          <cell r="C109">
            <v>102</v>
          </cell>
          <cell r="D109">
            <v>69</v>
          </cell>
          <cell r="E109" t="str">
            <v>INICIAL</v>
          </cell>
          <cell r="F109" t="str">
            <v>RECURSOS PROPIOS</v>
          </cell>
          <cell r="G109">
            <v>221000</v>
          </cell>
          <cell r="H109">
            <v>1</v>
          </cell>
          <cell r="I109" t="str">
            <v>3-3-1-15-07-44-1087-192192 -Modernización tecnológica de la SDH</v>
          </cell>
          <cell r="J109">
            <v>1</v>
          </cell>
          <cell r="K109">
            <v>1</v>
          </cell>
          <cell r="L109" t="str">
            <v>Implementar 100% de los componentes de  infraestructura tecnológica de la SDH (Hardware, Software, Conectividad, comunicaciones, seguridad) de acuerdo con el Plan de trabajo del proyecto</v>
          </cell>
          <cell r="M109" t="str">
            <v>Realizar las adquisiciones, reposiciones, actualizaciones y configuraciones requeridos de acuerdo con el diagnóstico realizado</v>
          </cell>
          <cell r="N109" t="str">
            <v>Prestar servicios de red inalámbrica para la SDH</v>
          </cell>
          <cell r="O109">
            <v>1</v>
          </cell>
          <cell r="P109" t="str">
            <v>NA</v>
          </cell>
          <cell r="Q109" t="str">
            <v>NA</v>
          </cell>
          <cell r="R109" t="str">
            <v>DIRECTA.CONVENIOS</v>
          </cell>
          <cell r="S109" t="str">
            <v>P</v>
          </cell>
          <cell r="T109" t="str">
            <v>NA</v>
          </cell>
          <cell r="U109" t="str">
            <v>CONTRATO INTERADMINISTRATIVO</v>
          </cell>
          <cell r="V109">
            <v>216363000</v>
          </cell>
          <cell r="W109">
            <v>216363000</v>
          </cell>
          <cell r="X109" t="str">
            <v>34 mes(es)</v>
          </cell>
          <cell r="Y109">
            <v>1</v>
          </cell>
          <cell r="Z109">
            <v>42781</v>
          </cell>
          <cell r="AA109" t="str">
            <v>Se plantea la contratación del servicio de red inalámbrica (wifi) entregado a través de proveedor de tecnología. En este caso se cuenta con la cotización de servicios con ETB para la prestación del mismo a un costo razonable para los usuarios de la entidad, con las siguientes ventajas: - Flexibilidad relacionada con en el crecimiento y decrecimiento de la red wifi - No se asume la desactualziación de los equipos, que pueden ser cambiados de acuerdo con los requerimientos de la entidad - No se pagan costos relacionados con soporte y mantenimiento de equipos instalados - Garantía del prestador. La solución plantea la instlación de 11 Access Point en las instlaciones del CAD cubirendo la totalidad de los pisos que hoy ocupa la SDH, así como 5 access point adicionales para la DIB en la ubicación que se defina. Se plantea un servicio por 34 meses a través de contrato interadministrativo.  El valor asignado por vigencia es el siguiente: 2017: $70.000.000 2018: $72.100.000 2019: $74.263.000  Corresponde al valor solicitado y aprobado por el Confis para vigencias futuras en este concepto.  Se ajusta el valor de la línea, dejando solamente el valor correspondiente al presupuesto 2017</v>
          </cell>
        </row>
        <row r="110">
          <cell r="C110">
            <v>103</v>
          </cell>
          <cell r="D110">
            <v>69</v>
          </cell>
          <cell r="E110" t="str">
            <v>INICIAL</v>
          </cell>
          <cell r="F110" t="str">
            <v>RECURSOS PROPIOS</v>
          </cell>
          <cell r="G110">
            <v>221000</v>
          </cell>
          <cell r="H110">
            <v>1</v>
          </cell>
          <cell r="I110" t="str">
            <v>3-3-1-15-07-44-1087-192192 -Modernización tecnológica de la SDH</v>
          </cell>
          <cell r="J110">
            <v>1</v>
          </cell>
          <cell r="K110">
            <v>1</v>
          </cell>
          <cell r="L110" t="str">
            <v>Implementar 100% de los componentes de  infraestructura tecnológica de la SDH (Hardware, Software, Conectividad, comunicaciones, seguridad) de acuerdo con el Plan de trabajo del proyecto</v>
          </cell>
          <cell r="M110" t="str">
            <v>Realizar las adquisiciones, reposiciones, actualizaciones y configuraciones requeridos de acuerdo con el diagnóstico realizado</v>
          </cell>
          <cell r="N110" t="str">
            <v>Proveer servidores para la Secretaría Distrital de Hacienda</v>
          </cell>
          <cell r="O110">
            <v>1</v>
          </cell>
          <cell r="P110" t="str">
            <v>NA</v>
          </cell>
          <cell r="Q110" t="str">
            <v>NA</v>
          </cell>
          <cell r="R110" t="str">
            <v>SEL.ABREVIADA.SUB.INV.ELECTRO.</v>
          </cell>
          <cell r="S110" t="str">
            <v>P</v>
          </cell>
          <cell r="T110" t="str">
            <v>NA</v>
          </cell>
          <cell r="U110" t="str">
            <v>COMPRAVENTA</v>
          </cell>
          <cell r="V110">
            <v>1650000000</v>
          </cell>
          <cell r="W110">
            <v>1650000000</v>
          </cell>
          <cell r="X110" t="str">
            <v>4 mes(es)</v>
          </cell>
          <cell r="Y110">
            <v>2</v>
          </cell>
          <cell r="Z110">
            <v>42944</v>
          </cell>
          <cell r="AA110" t="str">
            <v>Se revisa la estrategia de operación de servidores con el fin de reducir su número y facilitar la operación a través de la implementación de una estrategia de consolidación</v>
          </cell>
        </row>
        <row r="111">
          <cell r="C111">
            <v>104</v>
          </cell>
          <cell r="D111">
            <v>69</v>
          </cell>
          <cell r="E111" t="str">
            <v>INICIAL</v>
          </cell>
          <cell r="F111" t="str">
            <v>RECURSOS PROPIOS</v>
          </cell>
          <cell r="G111">
            <v>221000</v>
          </cell>
          <cell r="H111">
            <v>1</v>
          </cell>
          <cell r="I111" t="str">
            <v>3-3-1-15-07-44-1087-192192 -Modernización tecnológica de la SDH</v>
          </cell>
          <cell r="J111">
            <v>1</v>
          </cell>
          <cell r="K111">
            <v>1</v>
          </cell>
          <cell r="L111" t="str">
            <v>Implementar 100% de los componentes de  infraestructura tecnológica de la SDH (Hardware, Software, Conectividad, comunicaciones, seguridad) de acuerdo con el Plan de trabajo del proyecto</v>
          </cell>
          <cell r="M111" t="str">
            <v>Realizar las adquisiciones, reposiciones, actualizaciones y configuraciones requeridos de acuerdo con el diagnóstico realizado</v>
          </cell>
          <cell r="N111" t="str">
            <v>Contratar servicios de gestion multicanal y/o omnicanal para consolidar la interacción entre los contribuyentes y la SDH, soportado en un CRM</v>
          </cell>
          <cell r="O111">
            <v>1</v>
          </cell>
          <cell r="P111" t="str">
            <v>NA</v>
          </cell>
          <cell r="Q111" t="str">
            <v>NA</v>
          </cell>
          <cell r="R111" t="str">
            <v>SEL. ABREVIADA. ACUERDO. MARCO</v>
          </cell>
          <cell r="S111" t="str">
            <v>P</v>
          </cell>
          <cell r="T111" t="str">
            <v>NA</v>
          </cell>
          <cell r="U111" t="str">
            <v>PRESTACION DE SERVICIOS</v>
          </cell>
          <cell r="V111">
            <v>3987667000</v>
          </cell>
          <cell r="W111">
            <v>3987667000</v>
          </cell>
          <cell r="X111" t="str">
            <v>35 mes(es)</v>
          </cell>
          <cell r="Y111">
            <v>1</v>
          </cell>
          <cell r="Z111">
            <v>42768</v>
          </cell>
          <cell r="AA111" t="str">
            <v>Corresponde al servicio de atención multicanal y omnicanal al ciudadano, que soporta la gestión de la Dirección de Impuestos y de otras áreas de la entidad que atienden ciudadanía.  Se plantea un servicio por 35 meses a través de contrato por acuerdo marco de precios.  El presupuesto con vigencia es el siguiente:  2017: $1.202.667.000 2018: $1.365.000.000 2019: $1.420.000.000  Corresponde al valor solicitado y aprobado por el Confis para vigencias futuras en este concepto.  Se ajusta el valor de la línea, dejando solamente el presupuesto 2017.</v>
          </cell>
        </row>
        <row r="112">
          <cell r="C112">
            <v>105</v>
          </cell>
          <cell r="D112">
            <v>69</v>
          </cell>
          <cell r="E112" t="str">
            <v>INICIAL</v>
          </cell>
          <cell r="F112" t="str">
            <v>RECURSOS PROPIOS</v>
          </cell>
          <cell r="G112">
            <v>221000</v>
          </cell>
          <cell r="H112">
            <v>1</v>
          </cell>
          <cell r="I112" t="str">
            <v>3-3-1-15-07-44-1087-192192 -Modernización tecnológica de la SDH</v>
          </cell>
          <cell r="J112">
            <v>1</v>
          </cell>
          <cell r="K112">
            <v>1</v>
          </cell>
          <cell r="L112" t="str">
            <v>Implementar 100% de los componentes de  infraestructura tecnológica de la SDH (Hardware, Software, Conectividad, comunicaciones, seguridad) de acuerdo con el Plan de trabajo del proyecto</v>
          </cell>
          <cell r="M112" t="str">
            <v>Realizar las adquisiciones, reposiciones, actualizaciones y configuraciones requeridos de acuerdo con el diagnóstico realizado</v>
          </cell>
          <cell r="N112" t="str">
            <v>Proveer una solución para apoyar la gestión de auditorías y planes de mejoramiento institucional</v>
          </cell>
          <cell r="O112">
            <v>1</v>
          </cell>
          <cell r="P112" t="str">
            <v>NA</v>
          </cell>
          <cell r="Q112" t="str">
            <v>NA</v>
          </cell>
          <cell r="R112" t="str">
            <v>SEL.ABREVIADA.SUB.INV.ELECTRO.</v>
          </cell>
          <cell r="S112" t="str">
            <v>P</v>
          </cell>
          <cell r="T112" t="str">
            <v>NA</v>
          </cell>
          <cell r="U112" t="str">
            <v>COMPRAVENTA</v>
          </cell>
          <cell r="V112">
            <v>200000000</v>
          </cell>
          <cell r="W112">
            <v>200000000</v>
          </cell>
          <cell r="X112" t="str">
            <v>7 mes(es)</v>
          </cell>
          <cell r="Y112">
            <v>1</v>
          </cell>
          <cell r="Z112">
            <v>42886</v>
          </cell>
          <cell r="AA112" t="str">
            <v>Se plantea la adquisición de una herramienta para administrar las actividades del área de control interno de la SDH, de acuerdo con la revisión de necesidades del área, dentro de las cuales se cuenta con la docuemntación de procesos de auditoría, organización de evidencias y definición y seguimiento de planes de mejoramiento</v>
          </cell>
        </row>
        <row r="113">
          <cell r="C113">
            <v>106</v>
          </cell>
          <cell r="D113">
            <v>69</v>
          </cell>
          <cell r="E113" t="str">
            <v>INICIAL</v>
          </cell>
          <cell r="F113" t="str">
            <v>RECURSOS PROPIOS</v>
          </cell>
          <cell r="G113">
            <v>221000</v>
          </cell>
          <cell r="H113">
            <v>1</v>
          </cell>
          <cell r="I113" t="str">
            <v>3-3-1-15-07-44-1087-192192 -Modernización tecnológica de la SDH</v>
          </cell>
          <cell r="J113">
            <v>1</v>
          </cell>
          <cell r="K113">
            <v>1</v>
          </cell>
          <cell r="L113" t="str">
            <v>Implementar 100% de los requerimientos de SiCapital de acuerdo con los planes operativos y fechas definidas con los usuarios</v>
          </cell>
          <cell r="M113" t="str">
            <v>Definir los productos esperados, asignar requerimientos al tercero y probar desarrollos</v>
          </cell>
          <cell r="N113" t="str">
            <v>Prestar servicios para adelantar el desarrollo de software de acuerdo con los requerimientos definidos por la Secretaría Disrtital de Hacienda</v>
          </cell>
          <cell r="O113">
            <v>1</v>
          </cell>
          <cell r="P113" t="str">
            <v>NA</v>
          </cell>
          <cell r="Q113" t="str">
            <v>NA</v>
          </cell>
          <cell r="R113" t="str">
            <v>LICITACION_BASICA</v>
          </cell>
          <cell r="S113" t="str">
            <v>P</v>
          </cell>
          <cell r="T113" t="str">
            <v>NA</v>
          </cell>
          <cell r="U113" t="str">
            <v>PRESTACION DE SERVICIOS</v>
          </cell>
          <cell r="V113">
            <v>4605346000</v>
          </cell>
          <cell r="W113">
            <v>4605346000</v>
          </cell>
          <cell r="X113" t="str">
            <v>28 mes(es)</v>
          </cell>
          <cell r="Y113">
            <v>1</v>
          </cell>
          <cell r="Z113">
            <v>42972</v>
          </cell>
          <cell r="AA113" t="str">
            <v>Corresponde a la contratación de servicios de desarrollo externo de software. El propósito es realizar los desarrollos requeridos por la entidad para algunos procesos en los cualesse requiere el apoyo de terceros.  Se plantea un servicio por 28 meses a través de contrato de prestación de servicios.  El presupuesto con vigencia es el siguiente:  2017: $1.407.000.000 2018: $1.552.169.000 2019: $1.646.177.000  Corresponde al valor solicitado y aprobado por el Confis para vigencias futuras en este concepto.  Se ajusta el valor de la línea, dejando solamente el presupuesto 2017.</v>
          </cell>
        </row>
        <row r="114">
          <cell r="C114">
            <v>107</v>
          </cell>
          <cell r="D114">
            <v>69</v>
          </cell>
          <cell r="E114" t="str">
            <v>INICIAL</v>
          </cell>
          <cell r="F114" t="str">
            <v>RECURSOS PROPIOS</v>
          </cell>
          <cell r="G114">
            <v>221000</v>
          </cell>
          <cell r="H114">
            <v>1</v>
          </cell>
          <cell r="I114" t="str">
            <v>3-3-1-15-07-44-1087-192192 -Modernización tecnológica de la SDH</v>
          </cell>
          <cell r="J114">
            <v>1</v>
          </cell>
          <cell r="K114">
            <v>1</v>
          </cell>
          <cell r="L114" t="str">
            <v>Implementar en un 100% el plan de recuperación de desastres (DRP) de la SDH de acuerdo con el plan de trabajo definido con la Oficina de Análisis y Control de Riesgo</v>
          </cell>
          <cell r="M114" t="str">
            <v>Definir las necesidades y determinar los servicios a respaldar con el Plan de Recuperación de Desastres y el esquema de respaldo</v>
          </cell>
          <cell r="N114" t="str">
            <v>Prestar servicios para el diseño de un plan de recuperación de desastres de la SDH y el esquema de respaldo requerido</v>
          </cell>
          <cell r="O114">
            <v>1</v>
          </cell>
          <cell r="P114" t="str">
            <v>NA</v>
          </cell>
          <cell r="Q114" t="str">
            <v>NA</v>
          </cell>
          <cell r="R114" t="str">
            <v>SEL.ABREVIADA.CONSURSO.MER.</v>
          </cell>
          <cell r="S114" t="str">
            <v>P</v>
          </cell>
          <cell r="T114" t="str">
            <v>NA</v>
          </cell>
          <cell r="U114" t="str">
            <v>CONSULTORIA</v>
          </cell>
          <cell r="V114">
            <v>820000000</v>
          </cell>
          <cell r="W114">
            <v>820000000</v>
          </cell>
          <cell r="X114" t="str">
            <v>5 mes(es)</v>
          </cell>
          <cell r="Y114">
            <v>1</v>
          </cell>
          <cell r="Z114">
            <v>42947</v>
          </cell>
          <cell r="AA114" t="str">
            <v>Se requiere que a partir de la definición del diagnóstico y de las necesidades que reuqiere implementar la entidad, se adelante la definición del Plan de Recuperación de Desastres el cual debe inlcuir además de los sistemas crítics para la operación de la entidad, la forma de operación y los requerimientos de implementación en 2018.  Al eliminarse la línea de diagnóstico, se reprograma y ajusta fecha de radicación jurídica a febrero y de inicio a julio. Igualmente se ajusta el plazo de 4 a 5 meses</v>
          </cell>
        </row>
        <row r="115">
          <cell r="C115">
            <v>108</v>
          </cell>
          <cell r="D115">
            <v>69</v>
          </cell>
          <cell r="E115" t="str">
            <v>INICIAL</v>
          </cell>
          <cell r="F115" t="str">
            <v>RECURSOS PROPIOS</v>
          </cell>
          <cell r="G115">
            <v>221000</v>
          </cell>
          <cell r="H115">
            <v>1</v>
          </cell>
          <cell r="I115" t="str">
            <v>3-3-1-15-07-44-1087-192192 -Modernización tecnológica de la SDH</v>
          </cell>
          <cell r="J115">
            <v>1</v>
          </cell>
          <cell r="K115">
            <v>1</v>
          </cell>
          <cell r="L115" t="str">
            <v>Publicar 8 procesos ITIL en el Sistema de Gestión de Calidad de la SDH de acuerdo con el plan de trabajo</v>
          </cell>
          <cell r="M115" t="str">
            <v>Adquirir herramientas que soporten la gestión de procesos ITIL</v>
          </cell>
          <cell r="N115" t="str">
            <v>Proveer el licenciamiento para la herramienta para gestión de procesos ITIL de la SDH</v>
          </cell>
          <cell r="O115">
            <v>1</v>
          </cell>
          <cell r="P115" t="str">
            <v>NA</v>
          </cell>
          <cell r="Q115" t="str">
            <v>NA</v>
          </cell>
          <cell r="R115" t="str">
            <v>SEL.ABREVIADA.SUB.INV.ELECTRO.</v>
          </cell>
          <cell r="S115" t="str">
            <v>P</v>
          </cell>
          <cell r="T115" t="str">
            <v>NA</v>
          </cell>
          <cell r="U115" t="str">
            <v>COMPRAVENTA</v>
          </cell>
          <cell r="V115">
            <v>796812000</v>
          </cell>
          <cell r="W115">
            <v>796812000</v>
          </cell>
          <cell r="X115" t="str">
            <v>6 mes(es)</v>
          </cell>
          <cell r="Y115">
            <v>1</v>
          </cell>
          <cell r="Z115">
            <v>42892</v>
          </cell>
          <cell r="AA115" t="str">
            <v>Para implementar nuevos procesos ITIL se hace necesaria ampliar el licenciamiento actual de la herramienta CA con la cual opera actualmente la Mesa de Sevicios de la SDH. Los nuevos procesos definidos en principio serán los de gestión de cambios, gestión de catálogo y gestión de la configuración.</v>
          </cell>
        </row>
        <row r="116">
          <cell r="C116">
            <v>109</v>
          </cell>
          <cell r="D116">
            <v>69</v>
          </cell>
          <cell r="E116" t="str">
            <v>INICIAL</v>
          </cell>
          <cell r="F116" t="str">
            <v>RECURSOS PROPIOS</v>
          </cell>
          <cell r="G116">
            <v>221000</v>
          </cell>
          <cell r="H116">
            <v>1</v>
          </cell>
          <cell r="I116" t="str">
            <v>3-3-1-15-07-44-1087-192192 -Modernización tecnológica de la SDH</v>
          </cell>
          <cell r="J116">
            <v>1</v>
          </cell>
          <cell r="K116">
            <v>1</v>
          </cell>
          <cell r="L116" t="str">
            <v>Definir e implementar en un 100% la arquitectura de TI en la SDH</v>
          </cell>
          <cell r="M116" t="str">
            <v>Revisar la estructura actual del modelo de arquitectura de TI de la SDH y determinar posibilidades de mejora</v>
          </cell>
          <cell r="N116" t="str">
            <v>Elaborar un modelo de arquitectura de TI de la SDH y determinar posibilidades de mejora</v>
          </cell>
          <cell r="O116">
            <v>1</v>
          </cell>
          <cell r="P116" t="str">
            <v>NA</v>
          </cell>
          <cell r="Q116" t="str">
            <v>NA</v>
          </cell>
          <cell r="R116" t="str">
            <v>SEL.ABREVIADA.CONSURSO.MER.</v>
          </cell>
          <cell r="S116" t="str">
            <v>P</v>
          </cell>
          <cell r="T116" t="str">
            <v>NA</v>
          </cell>
          <cell r="U116" t="str">
            <v>CONSULTORIA</v>
          </cell>
          <cell r="V116">
            <v>639939000</v>
          </cell>
          <cell r="W116">
            <v>639939000</v>
          </cell>
          <cell r="X116" t="str">
            <v>4 mes(es)</v>
          </cell>
          <cell r="Y116">
            <v>1</v>
          </cell>
          <cell r="Z116">
            <v>42901</v>
          </cell>
          <cell r="AA116" t="str">
            <v>Se hace necesario revisar y redifinir la arquitectura de Ti con la cula opera la entidad, dada la complejidad para su operación y administración. Se ajusta el presupuesto para el tema, adicionando $139.939.000, teniendo en cuenta que el costo de la línea era najo frente  al costo real que tienen estas consultorías en el mercado. Los recursos se asignan de los recursos disponibles que se tienen de la eliminación de las líneas relacioandas con mejores prácticas de desarrollo de software, seguridad de la información y diagnóstico del DRP.</v>
          </cell>
        </row>
        <row r="117">
          <cell r="C117">
            <v>110</v>
          </cell>
          <cell r="D117">
            <v>69</v>
          </cell>
          <cell r="E117" t="str">
            <v>INICIAL</v>
          </cell>
          <cell r="F117" t="str">
            <v>RECURSOS PROPIOS</v>
          </cell>
          <cell r="G117">
            <v>221000</v>
          </cell>
          <cell r="H117">
            <v>1</v>
          </cell>
          <cell r="I117" t="str">
            <v>3-3-1-15-07-44-1087-192192 -Modernización tecnológica de la SDH</v>
          </cell>
          <cell r="J117">
            <v>1</v>
          </cell>
          <cell r="K117">
            <v>1</v>
          </cell>
          <cell r="L117" t="str">
            <v>Implementar 100% de los requerimientos de SiCapital de acuerdo con los planes operativos y fechas definidas con los usuarios</v>
          </cell>
          <cell r="M117" t="str">
            <v>Definir los productos esperados, asignar requerimientos al tercero y probar desarrollos</v>
          </cell>
          <cell r="N117" t="str">
            <v>Prestar servicios profesionales para realizar el análisis, diseño, construcción, pruebas e implementación de los requerimientos para la modernización del nuevo sistema de información tributario y realizar controles en la aplicación de estándares y lineamientos establecidos para la construcción y/o mantenimiento de requerimientos de software</v>
          </cell>
          <cell r="O117">
            <v>1</v>
          </cell>
          <cell r="P117" t="str">
            <v>7 años de experiencia profesional, de los cuales 4 años de experiencia específica en herramientas Oracle SQL - WS - Java</v>
          </cell>
          <cell r="Q117" t="str">
            <v>Profesional en Ingeniería de sistemas, electrónica o afines</v>
          </cell>
          <cell r="R117" t="str">
            <v>DIRECTA.PRESTACION.SERVIC.9_7</v>
          </cell>
          <cell r="S117" t="str">
            <v>P</v>
          </cell>
          <cell r="T117" t="str">
            <v>NA</v>
          </cell>
          <cell r="U117" t="str">
            <v>PRESTACION SERV. PROFESIONALES</v>
          </cell>
          <cell r="V117">
            <v>63640000</v>
          </cell>
          <cell r="W117">
            <v>63640000</v>
          </cell>
          <cell r="X117" t="str">
            <v>8 mes(es)</v>
          </cell>
          <cell r="Y117">
            <v>1</v>
          </cell>
          <cell r="Z117">
            <v>42768</v>
          </cell>
          <cell r="AA117" t="str">
            <v>Se requiere continuar con los desarrollos que permitan fortalecer la disposicion de servicios al contribuyente que hacen parte del proceso de modernización del sistema de información tributario.</v>
          </cell>
        </row>
        <row r="118">
          <cell r="C118">
            <v>111</v>
          </cell>
          <cell r="D118">
            <v>69</v>
          </cell>
          <cell r="E118" t="str">
            <v>INICIAL</v>
          </cell>
          <cell r="F118" t="str">
            <v>RECURSOS PROPIOS</v>
          </cell>
          <cell r="G118">
            <v>221000</v>
          </cell>
          <cell r="H118">
            <v>1</v>
          </cell>
          <cell r="I118" t="str">
            <v>3-3-1-15-07-44-1087-192192 -Modernización tecnológica de la SDH</v>
          </cell>
          <cell r="J118">
            <v>1</v>
          </cell>
          <cell r="K118">
            <v>1</v>
          </cell>
          <cell r="L118" t="str">
            <v>Implementar 100% de los requerimientos de SiCapital de acuerdo con los planes operativos y fechas definidas con los usuarios</v>
          </cell>
          <cell r="M118" t="str">
            <v xml:space="preserve"> Definir los productos esperados, asignar requerimientos al tercero y probar desarrollos</v>
          </cell>
          <cell r="N118" t="str">
            <v>Prestar servicios profesionales para realizar el análisis, diseño, construcción y pruebas de los requerimientos para la modernización del sistema de información tributario</v>
          </cell>
          <cell r="O118">
            <v>3</v>
          </cell>
          <cell r="P118" t="str">
            <v>4 años de experiencia profesional de los cuales 1 año experiencia específica en herramientas Oracle JAVA.</v>
          </cell>
          <cell r="Q118" t="str">
            <v>Profesional en Ingeniería de sistemas, electrónica o afines</v>
          </cell>
          <cell r="R118" t="str">
            <v>DIRECTA.PRESTACION.SERVIC.9_7</v>
          </cell>
          <cell r="S118" t="str">
            <v>P</v>
          </cell>
          <cell r="T118" t="str">
            <v>NA</v>
          </cell>
          <cell r="U118" t="str">
            <v>PRESTACION SERV. PROFESIONALES</v>
          </cell>
          <cell r="V118">
            <v>152736000</v>
          </cell>
          <cell r="W118">
            <v>152736000</v>
          </cell>
          <cell r="X118" t="str">
            <v>8 mes(es)</v>
          </cell>
          <cell r="Y118">
            <v>1</v>
          </cell>
          <cell r="Z118">
            <v>42768</v>
          </cell>
          <cell r="AA118" t="str">
            <v>Se requiere continuar con los desarrollos que permitan fortalecer la disposicion de servicios al contribuyente que hacen parte del proceso de modernización del sistema de información tributario.</v>
          </cell>
        </row>
        <row r="119">
          <cell r="C119">
            <v>112</v>
          </cell>
          <cell r="D119">
            <v>69</v>
          </cell>
          <cell r="E119" t="str">
            <v>INICIAL</v>
          </cell>
          <cell r="F119" t="str">
            <v>RECURSOS PROPIOS</v>
          </cell>
          <cell r="G119">
            <v>221000</v>
          </cell>
          <cell r="H119">
            <v>1</v>
          </cell>
          <cell r="I119" t="str">
            <v>3-3-1-15-07-44-1087-192192 -Modernización tecnológica de la SDH</v>
          </cell>
          <cell r="J119">
            <v>1</v>
          </cell>
          <cell r="K119">
            <v>1</v>
          </cell>
          <cell r="L119" t="str">
            <v>Implementar 100% de los requerimientos de SiCapital de acuerdo con los planes operativos y fechas definidas con los usuarios</v>
          </cell>
          <cell r="M119" t="str">
            <v>Definir los productos esperados, asignar requerimientos al tercero y probar desarrollos</v>
          </cell>
          <cell r="N119" t="str">
            <v>Prestar servicios profesionales para realizar el análisis, diseño, construcción, pruebas e implementación de los requerimientos del componente financiero de Si Capital</v>
          </cell>
          <cell r="O119">
            <v>1</v>
          </cell>
          <cell r="P119" t="str">
            <v>5 años de experiencia general y 1 año de experiencia específica en herramientas Oracle PL/SQL - Forms - Reports o ADF</v>
          </cell>
          <cell r="Q119" t="str">
            <v>Profesional en ingeniería de sistemas o electrónico o eléctrico o afines</v>
          </cell>
          <cell r="R119" t="str">
            <v>DIRECTA.PRESTACION.SERVIC.9_7</v>
          </cell>
          <cell r="S119" t="str">
            <v>P</v>
          </cell>
          <cell r="T119" t="str">
            <v>NA</v>
          </cell>
          <cell r="U119" t="str">
            <v>PRESTACION SERV. PROFESIONALES</v>
          </cell>
          <cell r="V119">
            <v>38184000</v>
          </cell>
          <cell r="W119">
            <v>38184000</v>
          </cell>
          <cell r="X119" t="str">
            <v>6 mes(es)</v>
          </cell>
          <cell r="Y119">
            <v>1</v>
          </cell>
          <cell r="Z119">
            <v>42795</v>
          </cell>
          <cell r="AA119" t="str">
            <v>Se requiere continuar con los desarrollos que permitan fortalecer la disposicion de servicios a las entidades del distrito que hacen parte del proceso administrativo y financiero.</v>
          </cell>
        </row>
        <row r="120">
          <cell r="C120">
            <v>113</v>
          </cell>
          <cell r="D120">
            <v>69</v>
          </cell>
          <cell r="E120" t="str">
            <v>INICIAL</v>
          </cell>
          <cell r="F120" t="str">
            <v>RECURSOS PROPIOS</v>
          </cell>
          <cell r="G120">
            <v>221000</v>
          </cell>
          <cell r="H120">
            <v>1</v>
          </cell>
          <cell r="I120" t="str">
            <v>3-3-1-15-07-44-1087-192192 -Modernización tecnológica de la SDH</v>
          </cell>
          <cell r="J120">
            <v>1</v>
          </cell>
          <cell r="K120">
            <v>1</v>
          </cell>
          <cell r="L120" t="str">
            <v>Implementar 100% de los requerimientos de SiCapital de acuerdo con los planes operativos y fechas definidas con los usuarios</v>
          </cell>
          <cell r="M120" t="str">
            <v>Definir los productos esperados, asignar requerimientos al tercero y probar desarrollos</v>
          </cell>
          <cell r="N120" t="str">
            <v>Prestar servicios profesionales para realizar el análisis, diseño, construcción y pruebas de los requerimientos para la modernización del sistema de información tributario</v>
          </cell>
          <cell r="O120">
            <v>3</v>
          </cell>
          <cell r="P120" t="str">
            <v>4 años de experiencia profesional de los cuales 1 año experiencia específica en herramientas Oracle JAVA</v>
          </cell>
          <cell r="Q120" t="str">
            <v>Profesional en Ingeniería de sistemas, electrónica o afines</v>
          </cell>
          <cell r="R120" t="str">
            <v>DIRECTA.PRESTACION.SERVIC.9_7</v>
          </cell>
          <cell r="S120" t="str">
            <v>P</v>
          </cell>
          <cell r="T120" t="str">
            <v>NA</v>
          </cell>
          <cell r="U120" t="str">
            <v>PRESTACION SERV. PROFESIONALES</v>
          </cell>
          <cell r="V120">
            <v>114552000</v>
          </cell>
          <cell r="W120">
            <v>114552000</v>
          </cell>
          <cell r="X120" t="str">
            <v>6 mes(es)</v>
          </cell>
          <cell r="Y120">
            <v>1</v>
          </cell>
          <cell r="Z120">
            <v>42768</v>
          </cell>
          <cell r="AA120" t="str">
            <v>Se requiere continuar con los desarrollos que permitan fortalecer la disposicion de servicios al contribuyente que hacen parte del proceso de modernización del sistema de información tributario</v>
          </cell>
        </row>
        <row r="121">
          <cell r="C121">
            <v>114</v>
          </cell>
          <cell r="D121">
            <v>69</v>
          </cell>
          <cell r="E121" t="str">
            <v>INICIAL</v>
          </cell>
          <cell r="F121" t="str">
            <v>RECURSOS PROPIOS</v>
          </cell>
          <cell r="G121">
            <v>221000</v>
          </cell>
          <cell r="H121">
            <v>1</v>
          </cell>
          <cell r="I121" t="str">
            <v>3-3-1-15-07-44-1087-192192 -Modernización tecnológica de la SDH</v>
          </cell>
          <cell r="J121">
            <v>1</v>
          </cell>
          <cell r="K121">
            <v>1</v>
          </cell>
          <cell r="L121" t="str">
            <v>Implementar 100% de los requerimientos de SiCapital de acuerdo con los planes operativos y fechas definidas con los usuarios</v>
          </cell>
          <cell r="M121" t="str">
            <v>Definir los productos esperados, asignar requerimientos al tercero y probar desarrollos</v>
          </cell>
          <cell r="N121" t="str">
            <v>Prestar servicios profesionales para realizar el análisis, diseño, construcción, pruebas e implementación de los requerimientos del componente Tributario de Si Capital</v>
          </cell>
          <cell r="O121">
            <v>2</v>
          </cell>
          <cell r="P121" t="str">
            <v>5 años de experiencia general y 1 año de experiencia específica en herramientas Oracle PL/SQL - Forms - Reports</v>
          </cell>
          <cell r="Q121" t="str">
            <v>Profesional en ingeniería de sistemas, electrónico o afines</v>
          </cell>
          <cell r="R121" t="str">
            <v>DIRECTA.PRESTACION.SERVIC.9_7</v>
          </cell>
          <cell r="S121" t="str">
            <v>P</v>
          </cell>
          <cell r="T121" t="str">
            <v>NA</v>
          </cell>
          <cell r="U121" t="str">
            <v>PRESTACION SERV. PROFESIONALES</v>
          </cell>
          <cell r="V121">
            <v>76368000</v>
          </cell>
          <cell r="W121">
            <v>76368000</v>
          </cell>
          <cell r="X121" t="str">
            <v>6 mes(es)</v>
          </cell>
          <cell r="Y121">
            <v>1</v>
          </cell>
          <cell r="Z121">
            <v>42768</v>
          </cell>
          <cell r="AA121" t="str">
            <v>Se requiere continuar con los desarrollos que permitan fortalecer la disposicion de servicios al contribuyente que hacen parte del proceso de modernización del sistema de información tributario.</v>
          </cell>
        </row>
        <row r="122">
          <cell r="C122">
            <v>115</v>
          </cell>
          <cell r="D122">
            <v>69</v>
          </cell>
          <cell r="E122" t="str">
            <v>INICIAL</v>
          </cell>
          <cell r="F122" t="str">
            <v>RECURSOS PROPIOS</v>
          </cell>
          <cell r="G122">
            <v>221000</v>
          </cell>
          <cell r="H122">
            <v>1</v>
          </cell>
          <cell r="I122" t="str">
            <v>3-3-1-15-07-44-1087-192192 -Modernización tecnológica de la SDH</v>
          </cell>
          <cell r="J122">
            <v>1</v>
          </cell>
          <cell r="K122">
            <v>1</v>
          </cell>
          <cell r="L122" t="str">
            <v>Implementar 100% de los requerimientos de SiCapital de acuerdo con los planes operativos y fechas definidas con los usuarios</v>
          </cell>
          <cell r="M122" t="str">
            <v>Definir los productos esperados, asignar requerimientos al tercero y probar desarrollos</v>
          </cell>
          <cell r="N122" t="str">
            <v>Prestar servicios profesionales para realizar el análisis, diseño, construcción, pruebas e implementación de los requerimientos del componente financiero de Si Capital</v>
          </cell>
          <cell r="O122">
            <v>2</v>
          </cell>
          <cell r="P122" t="str">
            <v>5 años de experiencia general y 1 año de experiencia específica en herramientas Oracle PL/SQL - Forms - Reports</v>
          </cell>
          <cell r="Q122" t="str">
            <v>Profesional en ingeniería de sistemas, electrónico o afines</v>
          </cell>
          <cell r="R122" t="str">
            <v>DIRECTA.PRESTACION.SERVIC.9_7</v>
          </cell>
          <cell r="S122" t="str">
            <v>P</v>
          </cell>
          <cell r="T122" t="str">
            <v>NA</v>
          </cell>
          <cell r="U122" t="str">
            <v>PRESTACION SERV. PROFESIONALES</v>
          </cell>
          <cell r="V122">
            <v>76368000</v>
          </cell>
          <cell r="W122">
            <v>76368000</v>
          </cell>
          <cell r="X122" t="str">
            <v>6 mes(es)</v>
          </cell>
          <cell r="Y122">
            <v>1</v>
          </cell>
          <cell r="Z122">
            <v>42768</v>
          </cell>
          <cell r="AA122" t="str">
            <v>Se requiere continuar con los desarrollos que permitan fortalecer la disposicion de servicios a las entidades del distrito que hacen parte del proceso administrativo y financiero.</v>
          </cell>
        </row>
        <row r="123">
          <cell r="C123">
            <v>116</v>
          </cell>
          <cell r="D123">
            <v>69</v>
          </cell>
          <cell r="E123" t="str">
            <v>INICIAL</v>
          </cell>
          <cell r="F123" t="str">
            <v>RECURSOS PROPIOS</v>
          </cell>
          <cell r="G123">
            <v>221000</v>
          </cell>
          <cell r="H123">
            <v>1</v>
          </cell>
          <cell r="I123" t="str">
            <v>3-3-1-15-07-44-1087-192192 -Modernización tecnológica de la SDH</v>
          </cell>
          <cell r="J123">
            <v>1</v>
          </cell>
          <cell r="K123">
            <v>1</v>
          </cell>
          <cell r="L123" t="str">
            <v>Implementar 100% de los requerimientos de SiCapital de acuerdo con los planes operativos y fechas definidas con los usuarios</v>
          </cell>
          <cell r="M123" t="str">
            <v>Definir los productos esperados, asignar requerimientos al tercero y probar desarrollos</v>
          </cell>
          <cell r="N123" t="str">
            <v>Prestar servicios profesionales para realizar el análisis, diseño, construcción, pruebas e implementación de los requerimientos del componente Administrativo y Financiero de Si Capital</v>
          </cell>
          <cell r="O123">
            <v>1</v>
          </cell>
          <cell r="P123" t="str">
            <v>4 años de experiencia general y 2 año de experiencia específica en herramientas BI</v>
          </cell>
          <cell r="Q123" t="str">
            <v>Profesional en ingeniería de sistemas, electrónico o afines</v>
          </cell>
          <cell r="R123" t="str">
            <v>DIRECTA.PRESTACION.SERVIC.9_7</v>
          </cell>
          <cell r="S123" t="str">
            <v>P</v>
          </cell>
          <cell r="T123" t="str">
            <v>NA</v>
          </cell>
          <cell r="U123" t="str">
            <v>PRESTACION SERV. PROFESIONALES</v>
          </cell>
          <cell r="V123">
            <v>54544000</v>
          </cell>
          <cell r="W123">
            <v>54544000</v>
          </cell>
          <cell r="X123" t="str">
            <v>8 mes(es)</v>
          </cell>
          <cell r="Y123">
            <v>1</v>
          </cell>
          <cell r="Z123">
            <v>42781</v>
          </cell>
          <cell r="AA123" t="str">
            <v>Se requiere continuar con los desarrollos que permitan fortalecer la disposicion de servicios a las entidades del distrito que hacen parte del proceso administrativo y financiero.</v>
          </cell>
        </row>
        <row r="124">
          <cell r="C124">
            <v>117</v>
          </cell>
          <cell r="D124">
            <v>69</v>
          </cell>
          <cell r="E124" t="str">
            <v>INICIAL</v>
          </cell>
          <cell r="F124" t="str">
            <v>RECURSOS PROPIOS</v>
          </cell>
          <cell r="G124">
            <v>221000</v>
          </cell>
          <cell r="H124">
            <v>1</v>
          </cell>
          <cell r="I124" t="str">
            <v>3-3-1-15-07-44-1087-192192 -Modernización tecnológica de la SDH</v>
          </cell>
          <cell r="J124">
            <v>1</v>
          </cell>
          <cell r="K124">
            <v>1</v>
          </cell>
          <cell r="L124" t="str">
            <v>Implementar 100% de los requerimientos de SiCapital de acuerdo con los planes operativos y fechas definidas con los usuarios</v>
          </cell>
          <cell r="M124" t="str">
            <v>Definir los productos esperados, asignar requerimientos al tercero y probar desarrollos</v>
          </cell>
          <cell r="N124" t="str">
            <v>Prestar servicios profesionales para realizar el análisis, diseño, construcción, pruebas e implementación de los requerimientos del componente Administrativo de Si Capital</v>
          </cell>
          <cell r="O124">
            <v>1</v>
          </cell>
          <cell r="P124" t="str">
            <v>6 años de experiencia profesional, de los cuales 3 años de experiencia específica en herramientas Oracle PL/SQL - Forms ¿ Reports</v>
          </cell>
          <cell r="Q124" t="str">
            <v>Profesional en ingeniería de sistemas, electrónico o afines</v>
          </cell>
          <cell r="R124" t="str">
            <v>DIRECTA.PRESTACION.SERVIC.9_7</v>
          </cell>
          <cell r="S124" t="str">
            <v>P</v>
          </cell>
          <cell r="T124" t="str">
            <v>NA</v>
          </cell>
          <cell r="U124" t="str">
            <v>PRESTACION SERV. PROFESIONALES</v>
          </cell>
          <cell r="V124">
            <v>38184000</v>
          </cell>
          <cell r="W124">
            <v>38184000</v>
          </cell>
          <cell r="X124" t="str">
            <v>6 mes(es)</v>
          </cell>
          <cell r="Y124">
            <v>1</v>
          </cell>
          <cell r="Z124">
            <v>42781</v>
          </cell>
          <cell r="AA124" t="str">
            <v>Se requiere continuar con los desarrollos que permitan fortalecer la disposicion de servicios a las entidades del distrito que hacen parte del proceso administrativo y financiero.</v>
          </cell>
        </row>
        <row r="125">
          <cell r="C125">
            <v>118</v>
          </cell>
          <cell r="D125">
            <v>69</v>
          </cell>
          <cell r="E125" t="str">
            <v>INICIAL</v>
          </cell>
          <cell r="F125" t="str">
            <v>RECURSOS PROPIOS</v>
          </cell>
          <cell r="G125">
            <v>221000</v>
          </cell>
          <cell r="H125">
            <v>1</v>
          </cell>
          <cell r="I125" t="str">
            <v>3-3-1-15-07-44-1087-192192 -Modernización tecnológica de la SDH</v>
          </cell>
          <cell r="J125">
            <v>1</v>
          </cell>
          <cell r="K125">
            <v>1</v>
          </cell>
          <cell r="L125" t="str">
            <v>Implementar 100% de los requerimientos de SiCapital de acuerdo con los planes operativos y fechas definidas con los usuarios</v>
          </cell>
          <cell r="M125" t="str">
            <v>Definir los productos esperados, asignar requerimientos al tercero y probar desarrollos</v>
          </cell>
          <cell r="N125" t="str">
            <v>Prestar servicios profesionales para realizar el análisis, diseño, construcción, pruebas e implementación de los requerimientos del componente financiero de Si Capital</v>
          </cell>
          <cell r="O125">
            <v>3</v>
          </cell>
          <cell r="P125" t="str">
            <v>4 años de experiencia general y 1 año de experiencia específica en herramientas Oracle Java</v>
          </cell>
          <cell r="Q125" t="str">
            <v>Profesional en ingeniería de sistemas, electrónico o afines</v>
          </cell>
          <cell r="R125" t="str">
            <v>DIRECTA.PRESTACION.SERVIC.9_7</v>
          </cell>
          <cell r="S125" t="str">
            <v>P</v>
          </cell>
          <cell r="T125" t="str">
            <v>NA</v>
          </cell>
          <cell r="U125" t="str">
            <v>PRESTACION SERV. PROFESIONALES</v>
          </cell>
          <cell r="V125">
            <v>114552000</v>
          </cell>
          <cell r="W125">
            <v>114552000</v>
          </cell>
          <cell r="X125" t="str">
            <v>6 mes(es)</v>
          </cell>
          <cell r="Y125">
            <v>1</v>
          </cell>
          <cell r="Z125">
            <v>42781</v>
          </cell>
          <cell r="AA125" t="str">
            <v>Se requiere continuar con los desarrollos que permitan fortalecer la disposicion de servicios a las entidades del distrito que hacen parte del proceso administrativo y financiero.</v>
          </cell>
        </row>
        <row r="126">
          <cell r="C126">
            <v>119</v>
          </cell>
          <cell r="D126">
            <v>69</v>
          </cell>
          <cell r="E126" t="str">
            <v>INICIAL</v>
          </cell>
          <cell r="F126" t="str">
            <v>RECURSOS PROPIOS</v>
          </cell>
          <cell r="G126">
            <v>221000</v>
          </cell>
          <cell r="H126">
            <v>1</v>
          </cell>
          <cell r="I126" t="str">
            <v>3-3-1-15-07-44-1087-192192 -Modernización tecnológica de la SDH</v>
          </cell>
          <cell r="J126">
            <v>1</v>
          </cell>
          <cell r="K126">
            <v>1</v>
          </cell>
          <cell r="L126" t="str">
            <v>Implementar 100% de los requerimientos de SiCapital de acuerdo con los planes operativos y fechas definidas con los usuarios</v>
          </cell>
          <cell r="M126" t="str">
            <v>Definir los productos esperados, asignar requerimientos al tercero y probar desarrollos</v>
          </cell>
          <cell r="N126" t="str">
            <v>Prestar servicios profesionales para realizar el análisis, diseño, construcción, pruebas e implementación y apoyar la aplicación de estándares y lineamientos establecidos para la construcción y mantenimiento de requerimientos de software del componente financiero de Si Capital</v>
          </cell>
          <cell r="O126">
            <v>1</v>
          </cell>
          <cell r="P126" t="str">
            <v>6 años de experiencia profesional, de los cuales 3 años de experiencia específica en herramientas Oracle PL/SQL - Forms - Reports</v>
          </cell>
          <cell r="Q126" t="str">
            <v>Profesional en ingeniería de sistemas, electrónico o afines</v>
          </cell>
          <cell r="R126" t="str">
            <v>DIRECTA.PRESTACION.SERVIC.9_7</v>
          </cell>
          <cell r="S126" t="str">
            <v>P</v>
          </cell>
          <cell r="T126" t="str">
            <v>NA</v>
          </cell>
          <cell r="U126" t="str">
            <v>PRESTACION SERV. PROFESIONALES</v>
          </cell>
          <cell r="V126">
            <v>40908000</v>
          </cell>
          <cell r="W126">
            <v>40908000</v>
          </cell>
          <cell r="X126" t="str">
            <v>6 mes(es)</v>
          </cell>
          <cell r="Y126">
            <v>1</v>
          </cell>
          <cell r="Z126">
            <v>42771</v>
          </cell>
          <cell r="AA126" t="str">
            <v>Se requiere continuar con los desarrollos que permitan fortalecer la disposicion de servicios a las entidades del distrito que hacen parte del proceso administrativo y financiero.</v>
          </cell>
        </row>
        <row r="127">
          <cell r="C127">
            <v>120</v>
          </cell>
          <cell r="D127">
            <v>69</v>
          </cell>
          <cell r="E127" t="str">
            <v>INICIAL</v>
          </cell>
          <cell r="F127" t="str">
            <v>RECURSOS PROPIOS</v>
          </cell>
          <cell r="G127">
            <v>221000</v>
          </cell>
          <cell r="H127">
            <v>1</v>
          </cell>
          <cell r="I127" t="str">
            <v>3-3-1-15-07-44-1087-192192 -Modernización tecnológica de la SDH</v>
          </cell>
          <cell r="J127">
            <v>1</v>
          </cell>
          <cell r="K127">
            <v>1</v>
          </cell>
          <cell r="L127" t="str">
            <v>Implementar 100% de los requerimientos de SiCapital de acuerdo con los planes operativos y fechas definidas con los usuarios</v>
          </cell>
          <cell r="M127" t="str">
            <v>Definir los productos esperados, asignar requerimientos al tercero y probar desarrollos</v>
          </cell>
          <cell r="N127" t="str">
            <v>Prestar servicios profesionales para realizar el análisis, diseño, construcción, pruebas e implementación y apoyar la aplicación de estándares y lineamientos establecidos para la construcción y mantenimiento de requerimientos de software del componente administrativo de Si Capital</v>
          </cell>
          <cell r="O127">
            <v>1</v>
          </cell>
          <cell r="P127" t="str">
            <v>6 años de experiencia profesional, de los cuales 3 años de experiencia específica en herramientas Oracle PL/SQL - Forms - Reports</v>
          </cell>
          <cell r="Q127" t="str">
            <v>Profesional en ingeniería de sistemas, electrónico o afines</v>
          </cell>
          <cell r="R127" t="str">
            <v>DIRECTA.PRESTACION.SERVIC.9_7</v>
          </cell>
          <cell r="S127" t="str">
            <v>P</v>
          </cell>
          <cell r="T127" t="str">
            <v>NA</v>
          </cell>
          <cell r="U127" t="str">
            <v>PRESTACION SERV. PROFESIONALES</v>
          </cell>
          <cell r="V127">
            <v>40908000</v>
          </cell>
          <cell r="W127">
            <v>40908000</v>
          </cell>
          <cell r="X127" t="str">
            <v>6 mes(es)</v>
          </cell>
          <cell r="Y127">
            <v>1</v>
          </cell>
          <cell r="Z127">
            <v>42768</v>
          </cell>
          <cell r="AA127" t="str">
            <v>Se requiere continuar con los desarrollos que permitan fortalecer la disposicion de servicios a las entidades del distrito que hacen parte del proceso administrativo y financiero.</v>
          </cell>
        </row>
        <row r="128">
          <cell r="C128">
            <v>121</v>
          </cell>
          <cell r="D128">
            <v>69</v>
          </cell>
          <cell r="E128" t="str">
            <v>INICIAL</v>
          </cell>
          <cell r="F128" t="str">
            <v>RECURSOS PROPIOS</v>
          </cell>
          <cell r="G128">
            <v>221000</v>
          </cell>
          <cell r="H128">
            <v>1</v>
          </cell>
          <cell r="I128" t="str">
            <v>3-3-1-15-07-44-1087-192192 -Modernización tecnológica de la SDH</v>
          </cell>
          <cell r="J128">
            <v>1</v>
          </cell>
          <cell r="K128">
            <v>1</v>
          </cell>
          <cell r="L128" t="str">
            <v>Implementar 100% de los requerimientos de SiCapital de acuerdo con los planes operativos y fechas definidas con los usuarios</v>
          </cell>
          <cell r="M128" t="str">
            <v>Definir los productos esperados, asignar requerimientos al tercero y probar desarrollos</v>
          </cell>
          <cell r="N128" t="str">
            <v>Prestar servicios profesionales para realizar el análisis, diseño, construcción, pruebas e implementación y apoyar la aplicación de estándares y lineamientos establecidos para la construcción y mantenimiento de requerimientos de software del componente administrativo de Si Capital</v>
          </cell>
          <cell r="O128">
            <v>1</v>
          </cell>
          <cell r="P128" t="str">
            <v>6 años de experiencia profesional, de los cuales 3 años de experiencia específica en herramientas Oracle PL/SQL - Forms - Reports</v>
          </cell>
          <cell r="Q128" t="str">
            <v>Profesional en ingeniería de sistemas, electrónico o afines</v>
          </cell>
          <cell r="R128" t="str">
            <v>DIRECTA.PRESTACION.SERVIC.9_7</v>
          </cell>
          <cell r="S128" t="str">
            <v>P</v>
          </cell>
          <cell r="T128" t="str">
            <v>NA</v>
          </cell>
          <cell r="U128" t="str">
            <v>PRESTACION SERV. PROFESIONALES</v>
          </cell>
          <cell r="V128">
            <v>54544000</v>
          </cell>
          <cell r="W128">
            <v>54544000</v>
          </cell>
          <cell r="X128" t="str">
            <v>8 mes(es)</v>
          </cell>
          <cell r="Y128">
            <v>1</v>
          </cell>
          <cell r="Z128">
            <v>42768</v>
          </cell>
          <cell r="AA128" t="str">
            <v>Se requiere continuar con los desarrollos que permitan fortalecer la disposicion de servicios a las entidades del distrito que hacen parte del proceso administrativo y financiero.</v>
          </cell>
        </row>
        <row r="129">
          <cell r="C129">
            <v>122</v>
          </cell>
          <cell r="D129">
            <v>69</v>
          </cell>
          <cell r="E129" t="str">
            <v>INICIAL</v>
          </cell>
          <cell r="F129" t="str">
            <v>RECURSOS PROPIOS</v>
          </cell>
          <cell r="G129">
            <v>221000</v>
          </cell>
          <cell r="H129">
            <v>1</v>
          </cell>
          <cell r="I129" t="str">
            <v>3-3-1-15-07-44-1087-192192 -Modernización tecnológica de la SDH</v>
          </cell>
          <cell r="J129">
            <v>1</v>
          </cell>
          <cell r="K129">
            <v>1</v>
          </cell>
          <cell r="L129" t="str">
            <v>Implementar 100% de los requerimientos de SiCapital de acuerdo con los planes operativos y fechas definidas con los usuarios</v>
          </cell>
          <cell r="M129" t="str">
            <v>Definir los productos esperados, asignar requerimientos al tercero y probar desarrollos</v>
          </cell>
          <cell r="N129" t="str">
            <v>Prestar servicios profesionales para realizar el análisis, diseño, construcción, pruebas e implementación y apoyar la aplicación de estándares y lineamientos establecidos para la construcción y mantenimiento de requerimientos de software del componente financiero de Si Capital</v>
          </cell>
          <cell r="O129">
            <v>1</v>
          </cell>
          <cell r="P129" t="str">
            <v>6 años de experiencia profesional de los cuales 3 años de experiencia específica en herramientas Oracle JAVA.</v>
          </cell>
          <cell r="Q129" t="str">
            <v>Profesional en Ingeniería de sistemas, electrónica o afines</v>
          </cell>
          <cell r="R129" t="str">
            <v>DIRECTA.PRESTACION.SERVIC.9_7</v>
          </cell>
          <cell r="S129" t="str">
            <v>P</v>
          </cell>
          <cell r="T129" t="str">
            <v>NA</v>
          </cell>
          <cell r="U129" t="str">
            <v>PRESTACION SERV. PROFESIONALES</v>
          </cell>
          <cell r="V129">
            <v>40908000</v>
          </cell>
          <cell r="W129">
            <v>40908000</v>
          </cell>
          <cell r="X129" t="str">
            <v>6 mes(es)</v>
          </cell>
          <cell r="Y129">
            <v>1</v>
          </cell>
          <cell r="Z129">
            <v>42768</v>
          </cell>
          <cell r="AA129" t="str">
            <v>Se requiere continuar con los desarrollos que permitan fortalecer la disposicion de servicios a las entidades del distrito que hacen parte del proceso administrativo y financiero.</v>
          </cell>
        </row>
        <row r="130">
          <cell r="C130">
            <v>123</v>
          </cell>
          <cell r="D130">
            <v>69</v>
          </cell>
          <cell r="E130" t="str">
            <v>INICIAL</v>
          </cell>
          <cell r="F130" t="str">
            <v>RECURSOS PROPIOS</v>
          </cell>
          <cell r="G130">
            <v>221000</v>
          </cell>
          <cell r="H130">
            <v>1</v>
          </cell>
          <cell r="I130" t="str">
            <v>3-3-1-15-07-44-1087-192192 -Modernización tecnológica de la SDH</v>
          </cell>
          <cell r="J130">
            <v>1</v>
          </cell>
          <cell r="K130">
            <v>1</v>
          </cell>
          <cell r="L130" t="str">
            <v>Implementar 100% de los requerimientos de SiCapital de acuerdo con los planes operativos y fechas definidas con los usuarios</v>
          </cell>
          <cell r="M130" t="str">
            <v>Definir los productos esperados, asignar requerimientos al tercero y probar desarrollos</v>
          </cell>
          <cell r="N130" t="str">
            <v>Prestar servicios profesionales para realizar el análisis, diseño, construcción, pruebas e implementación y apoyar la aplicación de estándares y lineamientos establecidos para la construcción y mantenimiento de requerimientos de software del componente administrativo de Si Capital</v>
          </cell>
          <cell r="O130">
            <v>1</v>
          </cell>
          <cell r="P130" t="str">
            <v>6 años de experiencia profesional de los cuales 3 años de experiencia específica en herramientas Oracle JAVA.</v>
          </cell>
          <cell r="Q130" t="str">
            <v>Profesional en Ingeniería de sistemas, electrónica o afines</v>
          </cell>
          <cell r="R130" t="str">
            <v>DIRECTA.PRESTACION.SERVIC.9_7</v>
          </cell>
          <cell r="S130" t="str">
            <v>P</v>
          </cell>
          <cell r="T130" t="str">
            <v>NA</v>
          </cell>
          <cell r="U130" t="str">
            <v>PRESTACION SERV. PROFESIONALES</v>
          </cell>
          <cell r="V130">
            <v>54544000</v>
          </cell>
          <cell r="W130">
            <v>54544000</v>
          </cell>
          <cell r="X130" t="str">
            <v>8 mes(es)</v>
          </cell>
          <cell r="Y130">
            <v>1</v>
          </cell>
          <cell r="Z130">
            <v>42768</v>
          </cell>
          <cell r="AA130" t="str">
            <v>Se requiere continuar con los desarrollos que permitan fortalecer la disposicion de servicios a las entidades del distrito que hacen parte del proceso administrativo y financiero.</v>
          </cell>
        </row>
        <row r="131">
          <cell r="C131">
            <v>124</v>
          </cell>
          <cell r="D131">
            <v>69</v>
          </cell>
          <cell r="E131" t="str">
            <v>INICIAL</v>
          </cell>
          <cell r="F131" t="str">
            <v>RECURSOS PROPIOS</v>
          </cell>
          <cell r="G131">
            <v>221000</v>
          </cell>
          <cell r="H131">
            <v>1</v>
          </cell>
          <cell r="I131" t="str">
            <v>3-3-1-15-07-44-1087-192192 -Modernización tecnológica de la SDH</v>
          </cell>
          <cell r="J131">
            <v>1</v>
          </cell>
          <cell r="K131">
            <v>1</v>
          </cell>
          <cell r="L131" t="str">
            <v>Implementar 100% de los requerimientos de SiCapital de acuerdo con los planes operativos y fechas definidas con los usuarios</v>
          </cell>
          <cell r="M131" t="str">
            <v>Definir los productos esperados, asignar requerimientos al tercero y probar desarrollos</v>
          </cell>
          <cell r="N131" t="str">
            <v>Prestar servicios profesionales para realizar el análisis, diseño, construcción, pruebas e implementación, realizar controles en la aplicación de estándares y lineamientos establecidos para la construcción y/o mantenimiento de requerimientos de software y realizar talleres de capacitación del componente financiero de Si Capital</v>
          </cell>
          <cell r="O131">
            <v>1</v>
          </cell>
          <cell r="P131" t="str">
            <v>8 años de experiencia profesional, de los cuales 5 años de experiencia específica en herramientas Oracle PL/SQL - Forms - Reports</v>
          </cell>
          <cell r="Q131" t="str">
            <v>Profesional en Ingeniería de sistemas, electrónica o afines</v>
          </cell>
          <cell r="R131" t="str">
            <v>DIRECTA.PRESTACION.SERVIC.9_7</v>
          </cell>
          <cell r="S131" t="str">
            <v>P</v>
          </cell>
          <cell r="T131" t="str">
            <v>NA</v>
          </cell>
          <cell r="U131" t="str">
            <v>PRESTACION SERV. PROFESIONALES</v>
          </cell>
          <cell r="V131">
            <v>72736000</v>
          </cell>
          <cell r="W131">
            <v>72736000</v>
          </cell>
          <cell r="X131" t="str">
            <v>8 mes(es)</v>
          </cell>
          <cell r="Y131">
            <v>1</v>
          </cell>
          <cell r="Z131">
            <v>42776</v>
          </cell>
          <cell r="AA131" t="str">
            <v>Se requiere continuar con los desarrollos que permitan fortalecer la disposicion de servicios a las entidades del distrito que hacen parte del proceso administrativo y financiero.</v>
          </cell>
        </row>
        <row r="132">
          <cell r="C132">
            <v>125</v>
          </cell>
          <cell r="D132">
            <v>69</v>
          </cell>
          <cell r="E132" t="str">
            <v>INICIAL</v>
          </cell>
          <cell r="F132" t="str">
            <v>RECURSOS PROPIOS</v>
          </cell>
          <cell r="G132">
            <v>221000</v>
          </cell>
          <cell r="H132">
            <v>1</v>
          </cell>
          <cell r="I132" t="str">
            <v>3-3-1-15-07-44-1087-192192 -Modernización tecnológica de la SDH</v>
          </cell>
          <cell r="J132">
            <v>1</v>
          </cell>
          <cell r="K132">
            <v>1</v>
          </cell>
          <cell r="L132" t="str">
            <v>Implementar 100% de los requerimientos de SiCapital de acuerdo con los planes operativos y fechas definidas con los usuarios</v>
          </cell>
          <cell r="M132" t="str">
            <v>Definir los productos esperados, asignar requerimientos al tercero y probar desarrollos</v>
          </cell>
          <cell r="N132" t="str">
            <v>Prestar servicios profesionales para realizar el análisis, diseño, construcción, pruebas e implementación, realizar controles en la aplicación de estándares y lineamientos establecidos para la construcción y/o mantenimiento de requerimientos de software y realizar talleres de capacitación del componente financiero de Si Capital</v>
          </cell>
          <cell r="O132">
            <v>1</v>
          </cell>
          <cell r="P132" t="str">
            <v>8 años de experiencia profesional, de los cuales 5 años de experiencia específica en herramientas Oracle PL/SQL - Forms - Reports</v>
          </cell>
          <cell r="Q132" t="str">
            <v>Profesional en Ingeniería de sistemas, electrónica o afines</v>
          </cell>
          <cell r="R132" t="str">
            <v>DIRECTA.PRESTACION.SERVIC.9_7</v>
          </cell>
          <cell r="S132" t="str">
            <v>P</v>
          </cell>
          <cell r="T132" t="str">
            <v>NA</v>
          </cell>
          <cell r="U132" t="str">
            <v>PRESTACION SERV. PROFESIONALES</v>
          </cell>
          <cell r="V132">
            <v>54552000</v>
          </cell>
          <cell r="W132">
            <v>54552000</v>
          </cell>
          <cell r="X132" t="str">
            <v>6 mes(es)</v>
          </cell>
          <cell r="Y132">
            <v>1</v>
          </cell>
          <cell r="Z132">
            <v>42776</v>
          </cell>
          <cell r="AA132" t="str">
            <v>Se requiere continuar con los desarrollos que permitan fortalecer la disposicion de servicios a las entidades del distrito que hacen parte del proceso administrativo y financiero.</v>
          </cell>
        </row>
        <row r="133">
          <cell r="C133">
            <v>126</v>
          </cell>
          <cell r="D133">
            <v>69</v>
          </cell>
          <cell r="E133" t="str">
            <v>INICIAL</v>
          </cell>
          <cell r="F133" t="str">
            <v>RECURSOS PROPIOS</v>
          </cell>
          <cell r="G133">
            <v>222200</v>
          </cell>
          <cell r="H133">
            <v>1</v>
          </cell>
          <cell r="I133" t="str">
            <v>3-1-2-01-01 Dotación</v>
          </cell>
          <cell r="J133">
            <v>1</v>
          </cell>
          <cell r="K133">
            <v>1</v>
          </cell>
          <cell r="L133" t="str">
            <v>NA</v>
          </cell>
          <cell r="M133" t="str">
            <v>NA</v>
          </cell>
          <cell r="N133" t="str">
            <v>Suministro de dotación para los funcionarios de la Secretaría Distrital de Hacienda.</v>
          </cell>
          <cell r="O133">
            <v>12</v>
          </cell>
          <cell r="P133" t="str">
            <v>NA</v>
          </cell>
          <cell r="Q133" t="str">
            <v>NA</v>
          </cell>
          <cell r="R133" t="str">
            <v>SEL. ABREVIADA. ACUERDO. MARCO</v>
          </cell>
          <cell r="S133" t="str">
            <v>P</v>
          </cell>
          <cell r="T133" t="str">
            <v>NA</v>
          </cell>
          <cell r="U133" t="str">
            <v>SUMINISTRO</v>
          </cell>
          <cell r="V133">
            <v>37000000</v>
          </cell>
          <cell r="W133">
            <v>37000000</v>
          </cell>
          <cell r="X133" t="str">
            <v>3 mes(es)</v>
          </cell>
          <cell r="Y133">
            <v>1</v>
          </cell>
          <cell r="Z133">
            <v>42809</v>
          </cell>
          <cell r="AA133" t="str">
            <v>La Secretaria Distrital de Hacienda en cumplimiento con la Ley 70 de 1988, el Decreto 388 de 1994 y el concepto 078 de 2003 de la Secretaria General de la Alcaldía Mayor de Bogotá, establecen que los empleados públicos de la Administración Distrital, tendrán derecho a que la entidad en la cual laboran les suministre de forma gratuita, cada cuatro (4) meses, un (1) par de zapatos y un (1) vestido de labor, siempre que su remuneración o asignación básica mensual sea hasta dos (2) veces el salario mínimo mensual legal vigente (SMMLV), esta prestación se reconocerá al empleado público que haya cumplido más de tres (3) meses al servicio de la entidad empleadora, adicionalmente, la Secretaria Distrital de Hacienda (SDH)estableció mediante Resolución No. SDH-000275 del 23 de julio de 2012 determinó los elementos que constituyen dotación para los funcionarios con derecho a ella y se reglamentó su suministro. El vestido de labor para los caballeros incluye: Pantalón, camisa, corbata y chaqueta. El vestido de labor para las damas incluye: Falda o pantalón, chaqueta y blusa.</v>
          </cell>
        </row>
        <row r="134">
          <cell r="C134">
            <v>127</v>
          </cell>
          <cell r="D134">
            <v>69</v>
          </cell>
          <cell r="E134" t="str">
            <v>INICIAL</v>
          </cell>
          <cell r="F134" t="str">
            <v>RECURSOS PROPIOS</v>
          </cell>
          <cell r="G134">
            <v>222200</v>
          </cell>
          <cell r="H134">
            <v>1</v>
          </cell>
          <cell r="I134" t="str">
            <v>3-1-2-02-02 Viáticos y Gastos de Viaje</v>
          </cell>
          <cell r="J134">
            <v>1</v>
          </cell>
          <cell r="K134">
            <v>1</v>
          </cell>
          <cell r="L134" t="str">
            <v>NA</v>
          </cell>
          <cell r="M134" t="str">
            <v>NA</v>
          </cell>
          <cell r="N134" t="str">
            <v>Suministro de tiquetes aereos para los funcionarios de la Secretaría Distrital de Hacienda</v>
          </cell>
          <cell r="O134">
            <v>1</v>
          </cell>
          <cell r="P134" t="str">
            <v>NA</v>
          </cell>
          <cell r="Q134" t="str">
            <v>NA</v>
          </cell>
          <cell r="R134" t="str">
            <v>SEL. ABREVIADA. ACUERDO. MARCO</v>
          </cell>
          <cell r="S134" t="str">
            <v>P</v>
          </cell>
          <cell r="T134" t="str">
            <v>NA</v>
          </cell>
          <cell r="U134" t="str">
            <v>SUMINISTRO</v>
          </cell>
          <cell r="V134">
            <v>30000000</v>
          </cell>
          <cell r="W134">
            <v>30000000</v>
          </cell>
          <cell r="X134" t="str">
            <v>10 mes(es)</v>
          </cell>
          <cell r="Y134">
            <v>2</v>
          </cell>
          <cell r="Z134">
            <v>42831</v>
          </cell>
          <cell r="AA134" t="str">
            <v>Para la Secretaría Distrital de Hacienda es conveniente la celebración de un contrato con el objeto abajo registrado, teniendo en cuenta que para el cabal cumplimiento de su misión, los servidores públicos de la Secretaría Distrital de Hacienda deben desplazarse fuera de la ciudad y en ocasiones al exterior, con el fin de desarrollar actividades propias de sus funciones, para lo cual el medio de transporte más eficiente es el aéreo.  Como consecuencia de lo anterior, la Secretaría Distrital de Hacienda requiere contratar el suministro de los tiquetes aéreos a nivel nacional e internacional, según el caso, para el desplazamiento de los funcionarios que requieran adelantar diligencias judiciales, comisiones de servicios, capacitaciones o gestiones de una manera oportuna.</v>
          </cell>
        </row>
        <row r="135">
          <cell r="C135">
            <v>128</v>
          </cell>
          <cell r="D135">
            <v>69</v>
          </cell>
          <cell r="E135" t="str">
            <v>INICIAL</v>
          </cell>
          <cell r="F135" t="str">
            <v>RECURSOS PROPIOS</v>
          </cell>
          <cell r="G135">
            <v>222100</v>
          </cell>
          <cell r="H135">
            <v>1</v>
          </cell>
          <cell r="I135" t="str">
            <v>3-1-2-01-03 Combustibles, Lubricantes y Llantas</v>
          </cell>
          <cell r="J135">
            <v>1</v>
          </cell>
          <cell r="K135">
            <v>1</v>
          </cell>
          <cell r="L135" t="str">
            <v>NA</v>
          </cell>
          <cell r="M135" t="str">
            <v>NA</v>
          </cell>
          <cell r="N135" t="str">
            <v>Proveer llantas para los vehículos de propiedad de la Secretaría Distrital de Hacienda</v>
          </cell>
          <cell r="O135">
            <v>2</v>
          </cell>
          <cell r="P135" t="str">
            <v>NA</v>
          </cell>
          <cell r="Q135" t="str">
            <v>NA</v>
          </cell>
          <cell r="R135" t="str">
            <v>SEL. ABREVIADA. ACUERDO. MARCO</v>
          </cell>
          <cell r="S135" t="str">
            <v>P</v>
          </cell>
          <cell r="T135" t="str">
            <v>NA</v>
          </cell>
          <cell r="U135" t="str">
            <v>COMPRAVENTA</v>
          </cell>
          <cell r="V135">
            <v>6000000</v>
          </cell>
          <cell r="W135">
            <v>6000000</v>
          </cell>
          <cell r="X135" t="str">
            <v>3 mes(es)</v>
          </cell>
          <cell r="Y135">
            <v>3</v>
          </cell>
          <cell r="Z135">
            <v>42826</v>
          </cell>
          <cell r="AA135" t="str">
            <v>La entidad requiere garantizar el suministro de las llantas para el parque autormotor de la Secretaria Distrital de Hacienda y el Concejo de Bogotá.</v>
          </cell>
        </row>
        <row r="136">
          <cell r="C136">
            <v>129</v>
          </cell>
          <cell r="D136">
            <v>69</v>
          </cell>
          <cell r="E136" t="str">
            <v>INICIAL</v>
          </cell>
          <cell r="F136" t="str">
            <v>RECURSOS PROPIOS</v>
          </cell>
          <cell r="G136">
            <v>222100</v>
          </cell>
          <cell r="H136">
            <v>1</v>
          </cell>
          <cell r="I136" t="str">
            <v>3-1-2-01-03 Combustibles, Lubricantes y Llantas</v>
          </cell>
          <cell r="J136">
            <v>1</v>
          </cell>
          <cell r="K136">
            <v>1</v>
          </cell>
          <cell r="L136" t="str">
            <v>NA</v>
          </cell>
          <cell r="M136" t="str">
            <v>NA</v>
          </cell>
          <cell r="N136" t="str">
            <v>Suministro de ACPM para las plantas de generación eléctrica de emergencia del CAD</v>
          </cell>
          <cell r="O136">
            <v>1</v>
          </cell>
          <cell r="P136" t="str">
            <v>NA</v>
          </cell>
          <cell r="Q136" t="str">
            <v>NA</v>
          </cell>
          <cell r="R136" t="str">
            <v>SEL. ABREVIADA. ACUERDO. MARCO</v>
          </cell>
          <cell r="S136" t="str">
            <v>P</v>
          </cell>
          <cell r="T136" t="str">
            <v>NA</v>
          </cell>
          <cell r="U136" t="str">
            <v>SUMINISTRO</v>
          </cell>
          <cell r="V136">
            <v>8000000</v>
          </cell>
          <cell r="W136">
            <v>8000000</v>
          </cell>
          <cell r="X136" t="str">
            <v>1 mes(es)</v>
          </cell>
          <cell r="Y136">
            <v>1</v>
          </cell>
          <cell r="Z136">
            <v>42795</v>
          </cell>
          <cell r="AA136" t="str">
            <v>La Secretaria Diastrital de Hacienda requiere garantizar el servicio de las plantas de emergencia para suplir la enenrgia electica cuando hay cortes del servicio Codensa en el CAD.</v>
          </cell>
        </row>
        <row r="137">
          <cell r="C137">
            <v>130</v>
          </cell>
          <cell r="D137">
            <v>69</v>
          </cell>
          <cell r="E137" t="str">
            <v>INICIAL</v>
          </cell>
          <cell r="F137" t="str">
            <v>RECURSOS PROPIOS</v>
          </cell>
          <cell r="G137">
            <v>222100</v>
          </cell>
          <cell r="H137">
            <v>1</v>
          </cell>
          <cell r="I137" t="str">
            <v>3-1-2-02-01 Arrendamientos</v>
          </cell>
          <cell r="J137">
            <v>1</v>
          </cell>
          <cell r="K137">
            <v>1</v>
          </cell>
          <cell r="L137" t="str">
            <v>NA</v>
          </cell>
          <cell r="M137" t="str">
            <v>NA</v>
          </cell>
          <cell r="N137" t="str">
            <v>Arrendar un inmueble en la ciudad de Bogotá, D.C., acorde con las áreas planteadas en el alcance del objeto; así como los bienes muebles, usos conexos y servicios, de conformidad con las condiciones esenciales previstas en los estudios previos, en el anexo de especificaciones técnicas y en la propuesta del contratista</v>
          </cell>
          <cell r="O137">
            <v>1</v>
          </cell>
          <cell r="P137" t="str">
            <v>NA</v>
          </cell>
          <cell r="Q137" t="str">
            <v>NA</v>
          </cell>
          <cell r="R137" t="str">
            <v>DIRECTA_OTRAS_CAUSALES</v>
          </cell>
          <cell r="S137" t="str">
            <v>P</v>
          </cell>
          <cell r="T137" t="str">
            <v>NA</v>
          </cell>
          <cell r="U137" t="str">
            <v>ARRENDAMIENTO</v>
          </cell>
          <cell r="V137">
            <v>2699000000</v>
          </cell>
          <cell r="W137">
            <v>2699000000</v>
          </cell>
          <cell r="X137" t="str">
            <v>7 mes(es)</v>
          </cell>
          <cell r="Y137">
            <v>3</v>
          </cell>
          <cell r="Z137">
            <v>42887</v>
          </cell>
          <cell r="AA137" t="str">
            <v>La entidad requiere arrendar un inmueble en la ciudad de Bogotá, D.C., acorde con las áreas planteadas en el alcance del objeto; así como los bienes muebles, usos conexos y servicios, de conformidad con las condiciones esenciales previstas en los estudios previos, en el anexo de especificaciones técnicas y en la propuesta del contratista para garantizar las instalaciones locativas donde opera la dirección de impuestos de Bogotá.</v>
          </cell>
        </row>
        <row r="138">
          <cell r="C138">
            <v>131</v>
          </cell>
          <cell r="D138">
            <v>69</v>
          </cell>
          <cell r="E138" t="str">
            <v>INICIAL</v>
          </cell>
          <cell r="F138" t="str">
            <v>RECURSOS PROPIOS</v>
          </cell>
          <cell r="G138">
            <v>222100</v>
          </cell>
          <cell r="H138">
            <v>1</v>
          </cell>
          <cell r="I138" t="str">
            <v>3-1-2-02-05-01 Mantenimiento Entidad</v>
          </cell>
          <cell r="J138">
            <v>1</v>
          </cell>
          <cell r="K138">
            <v>1</v>
          </cell>
          <cell r="L138" t="str">
            <v>NA</v>
          </cell>
          <cell r="M138" t="str">
            <v>NA</v>
          </cell>
          <cell r="N138" t="str">
            <v>Prestar servicio de mantenimiento preventivo y correctivo de los vehículos marca Renault</v>
          </cell>
          <cell r="O138">
            <v>1</v>
          </cell>
          <cell r="P138" t="str">
            <v>NA</v>
          </cell>
          <cell r="Q138" t="str">
            <v>NA</v>
          </cell>
          <cell r="R138" t="str">
            <v>MINIMA_CUANTIA</v>
          </cell>
          <cell r="S138" t="str">
            <v>P</v>
          </cell>
          <cell r="T138" t="str">
            <v>NA</v>
          </cell>
          <cell r="U138" t="str">
            <v>PRESTACION DE SERVICIOS</v>
          </cell>
          <cell r="V138">
            <v>46000000</v>
          </cell>
          <cell r="W138">
            <v>46000000</v>
          </cell>
          <cell r="X138" t="str">
            <v>8 mes(es)</v>
          </cell>
          <cell r="Y138">
            <v>1</v>
          </cell>
          <cell r="Z138">
            <v>42930</v>
          </cell>
          <cell r="AA138" t="str">
            <v xml:space="preserve">La Secretaría Distrital de Hacienda requiere garantizar el óptimo estado mecánico de los vehículos marca Renault, por lo que es necesari contratar el servicio de mantenimiento preventivo y correctivo de los vehículos marca Renault. </v>
          </cell>
        </row>
        <row r="139">
          <cell r="C139">
            <v>132</v>
          </cell>
          <cell r="D139">
            <v>69</v>
          </cell>
          <cell r="E139" t="str">
            <v>INICIAL</v>
          </cell>
          <cell r="F139" t="str">
            <v>RECURSOS PROPIOS</v>
          </cell>
          <cell r="G139">
            <v>222100</v>
          </cell>
          <cell r="H139">
            <v>1</v>
          </cell>
          <cell r="I139" t="str">
            <v>3-1-2-02-05-01 Mantenimiento Entidad</v>
          </cell>
          <cell r="J139">
            <v>1</v>
          </cell>
          <cell r="K139">
            <v>1</v>
          </cell>
          <cell r="L139" t="str">
            <v>NA</v>
          </cell>
          <cell r="M139" t="str">
            <v>NA</v>
          </cell>
          <cell r="N139" t="str">
            <v>Prestar servicio de mantenimiento preventivo y correctivo para las cajas fuertes de la Secretaría Distrital de Hacienda.</v>
          </cell>
          <cell r="O139">
            <v>1</v>
          </cell>
          <cell r="P139" t="str">
            <v>NA</v>
          </cell>
          <cell r="Q139" t="str">
            <v>NA</v>
          </cell>
          <cell r="R139" t="str">
            <v>MINIMA_CUANTIA</v>
          </cell>
          <cell r="S139" t="str">
            <v>P</v>
          </cell>
          <cell r="T139" t="str">
            <v>NA</v>
          </cell>
          <cell r="U139" t="str">
            <v>PRESTACION DE SERVICIOS</v>
          </cell>
          <cell r="V139">
            <v>8000000</v>
          </cell>
          <cell r="W139">
            <v>8000000</v>
          </cell>
          <cell r="X139" t="str">
            <v>10 mes(es)</v>
          </cell>
          <cell r="Y139">
            <v>2</v>
          </cell>
          <cell r="Z139">
            <v>42827</v>
          </cell>
          <cell r="AA139" t="str">
            <v>La entidad requiere garantizar las optima condicion de peración d elas cajas fuertes de la entidad.</v>
          </cell>
        </row>
        <row r="140">
          <cell r="C140">
            <v>133</v>
          </cell>
          <cell r="D140">
            <v>69</v>
          </cell>
          <cell r="E140" t="str">
            <v>INICIAL</v>
          </cell>
          <cell r="F140" t="str">
            <v>RECURSOS PROPIOS</v>
          </cell>
          <cell r="G140">
            <v>222100</v>
          </cell>
          <cell r="H140">
            <v>1</v>
          </cell>
          <cell r="I140" t="str">
            <v>3-1-2-02-05-02 Mantenimiento C.A.D.</v>
          </cell>
          <cell r="J140">
            <v>1</v>
          </cell>
          <cell r="K140">
            <v>1</v>
          </cell>
          <cell r="L140" t="str">
            <v>NA</v>
          </cell>
          <cell r="M140" t="str">
            <v>NA</v>
          </cell>
          <cell r="N140" t="str">
            <v>Prestar servicio de mantenimiento preventivo y correctivo a los ascensores marca Schindler ubicados en la Torre A del Centro Administrativo Distrital - CAD, de conformidad con lo establecido en los estudios previos y en la propuesta presentada por el contratista.</v>
          </cell>
          <cell r="O140">
            <v>1</v>
          </cell>
          <cell r="P140" t="str">
            <v>NA</v>
          </cell>
          <cell r="Q140" t="str">
            <v>NA</v>
          </cell>
          <cell r="R140" t="str">
            <v>DIRECTA_OTRAS_CAUSALES</v>
          </cell>
          <cell r="S140" t="str">
            <v>P</v>
          </cell>
          <cell r="T140" t="str">
            <v>NA</v>
          </cell>
          <cell r="U140" t="str">
            <v>SERVICIO</v>
          </cell>
          <cell r="V140">
            <v>184000000</v>
          </cell>
          <cell r="W140">
            <v>184000000</v>
          </cell>
          <cell r="X140" t="str">
            <v>12 mes(es)</v>
          </cell>
          <cell r="Y140">
            <v>2</v>
          </cell>
          <cell r="Z140">
            <v>42826</v>
          </cell>
          <cell r="AA140" t="str">
            <v>La entidad requiere garantizar el optimo funcionamiento de los 9 ascensores Schindler ubicados en la Torre A del CAD, toda vez que es indispensable para el transporte vertical de los funcionarios y visitantes del CAD.</v>
          </cell>
        </row>
        <row r="141">
          <cell r="C141">
            <v>134</v>
          </cell>
          <cell r="D141">
            <v>69</v>
          </cell>
          <cell r="E141" t="str">
            <v>INICIAL</v>
          </cell>
          <cell r="F141" t="str">
            <v>RECURSOS PROPIOS</v>
          </cell>
          <cell r="G141">
            <v>222100</v>
          </cell>
          <cell r="H141">
            <v>1</v>
          </cell>
          <cell r="I141" t="str">
            <v>3-1-2-02-05-02 Mantenimiento C.A.D.</v>
          </cell>
          <cell r="J141">
            <v>1</v>
          </cell>
          <cell r="K141">
            <v>1</v>
          </cell>
          <cell r="L141" t="str">
            <v>NA</v>
          </cell>
          <cell r="M141" t="str">
            <v>NA</v>
          </cell>
          <cell r="N141" t="str">
            <v>Prestar servicio de mantenimiento preventivo para el sistema de extinción de incendios de Centro Administrativo Distrital CAD torres A y B.</v>
          </cell>
          <cell r="O141">
            <v>1</v>
          </cell>
          <cell r="P141" t="str">
            <v>NA</v>
          </cell>
          <cell r="Q141" t="str">
            <v>NA</v>
          </cell>
          <cell r="R141" t="str">
            <v>MINIMA_CUANTIA</v>
          </cell>
          <cell r="S141" t="str">
            <v>P</v>
          </cell>
          <cell r="T141" t="str">
            <v>NA</v>
          </cell>
          <cell r="U141" t="str">
            <v>SERVICIO</v>
          </cell>
          <cell r="V141">
            <v>60000000</v>
          </cell>
          <cell r="W141">
            <v>60000000</v>
          </cell>
          <cell r="X141" t="str">
            <v>10 mes(es)</v>
          </cell>
          <cell r="Y141">
            <v>2</v>
          </cell>
          <cell r="Z141">
            <v>42887</v>
          </cell>
          <cell r="AA141" t="str">
            <v>La entidad requiere garantizar el optimo funcionamiento y la operación del sistema de extición de incendiso del CAD, toda vez que es indispensable para prevenir y atender los conatos de incendio y emergencias del edificio.</v>
          </cell>
        </row>
        <row r="142">
          <cell r="C142">
            <v>135</v>
          </cell>
          <cell r="D142">
            <v>69</v>
          </cell>
          <cell r="E142" t="str">
            <v>INICIAL</v>
          </cell>
          <cell r="F142" t="str">
            <v>RECURSOS PROPIOS</v>
          </cell>
          <cell r="G142">
            <v>222200</v>
          </cell>
          <cell r="H142">
            <v>1</v>
          </cell>
          <cell r="I142" t="str">
            <v>3-1-2-02-09-01 Capacitación Interna</v>
          </cell>
          <cell r="J142">
            <v>1</v>
          </cell>
          <cell r="K142">
            <v>1</v>
          </cell>
          <cell r="L142" t="str">
            <v>NA</v>
          </cell>
          <cell r="M142" t="str">
            <v>NA</v>
          </cell>
          <cell r="N142" t="str">
            <v>Desarrollar e implementar cursos virtuales en la plataforma Moodle de la Secretaría Distrital de Hacienda</v>
          </cell>
          <cell r="O142">
            <v>1</v>
          </cell>
          <cell r="P142" t="str">
            <v>NA</v>
          </cell>
          <cell r="Q142" t="str">
            <v>NA</v>
          </cell>
          <cell r="R142" t="str">
            <v>SEL. ABREVIADA MENOR CUANTIA</v>
          </cell>
          <cell r="S142" t="str">
            <v>P</v>
          </cell>
          <cell r="T142" t="str">
            <v>NA</v>
          </cell>
          <cell r="U142" t="str">
            <v>PRESTACION DE SERVICIOS</v>
          </cell>
          <cell r="V142">
            <v>194000000</v>
          </cell>
          <cell r="W142">
            <v>194000000</v>
          </cell>
          <cell r="X142" t="str">
            <v>7 mes(es)</v>
          </cell>
          <cell r="Y142">
            <v>1</v>
          </cell>
          <cell r="Z142">
            <v>42826</v>
          </cell>
          <cell r="AA142" t="str">
            <v>De conformidad con el diseño e implementación de un Modelo de Gestión por Competencias Comportamentales, la Subdirección del Talento Humano realizó una evaluación de dichas compentencias a través de la aplicación de pruebas psicotécnicas, lo que permitió identificar brechas entre los niveles de desarrollo establecidos y permitió construir una línea base sobre la situación actual y definir un plan de mejoramiento por competencia comportamental. Dentro de las estrategias establecidas en el plan de mejoramiento se enfoca en el desarrollo de actividades de capacitación en temas misionales de la entidad, como son presupuesto público, impuestos distritales, gestión de tesorería y gestión contable, así como tématicas de inducción y reinducción, utilizando para ello la plataforma Moodle que permite la gestión de cursos virtuales. De acuerdo a esto, ante la necesidad de contar con una metodología e-learning como mecanismo de formación que permita involucrar a un maro numero de beneficiarios, se hace necesario contratar servicios especializados en esta materia.</v>
          </cell>
        </row>
        <row r="143">
          <cell r="C143">
            <v>136</v>
          </cell>
          <cell r="D143">
            <v>69</v>
          </cell>
          <cell r="E143" t="str">
            <v>INICIAL</v>
          </cell>
          <cell r="F143" t="str">
            <v>RECURSOS PROPIOS</v>
          </cell>
          <cell r="G143">
            <v>222200</v>
          </cell>
          <cell r="H143">
            <v>1</v>
          </cell>
          <cell r="I143" t="str">
            <v>3-1-2-02-12 Salud Ocupacional</v>
          </cell>
          <cell r="J143">
            <v>1</v>
          </cell>
          <cell r="K143">
            <v>1</v>
          </cell>
          <cell r="L143" t="str">
            <v>NA</v>
          </cell>
          <cell r="M143" t="str">
            <v>NA</v>
          </cell>
          <cell r="N143" t="str">
            <v>Proveer elementos ergonómicos para los puestos de trabajo de  los servidores públicos de la Secretaría Distrital de Hacienda.</v>
          </cell>
          <cell r="O143">
            <v>1</v>
          </cell>
          <cell r="P143" t="str">
            <v>NA</v>
          </cell>
          <cell r="Q143" t="str">
            <v>NA</v>
          </cell>
          <cell r="R143" t="str">
            <v>MINIMA_CUANTIA</v>
          </cell>
          <cell r="S143" t="str">
            <v>P</v>
          </cell>
          <cell r="T143" t="str">
            <v>NA</v>
          </cell>
          <cell r="U143" t="str">
            <v>COMPRAVENTA</v>
          </cell>
          <cell r="V143">
            <v>26000000</v>
          </cell>
          <cell r="W143">
            <v>26000000</v>
          </cell>
          <cell r="X143" t="str">
            <v>2 mes(es)</v>
          </cell>
          <cell r="Y143">
            <v>8</v>
          </cell>
          <cell r="Z143">
            <v>43025</v>
          </cell>
          <cell r="AA143" t="str">
            <v>Se pretende prevenir los desórdenes músculo esqueléticos (DME-ES) relacionados con la exposición a factores de riesgos en los lugares de trabajo, identificados previamente mediante el diagnóstico de condiciones ergonómicas por puesto de trabajo realizado a los funcionarios y funcionarias de  la Secretaria Distrital de Hacienda.   Lo anterior está previsto la siguiente normatividad: a Ley 9a. de 1979 Normas para preservar, conservar y mejorar la salud de los individuos en sus ocupaciones;   Decreto 614 de 1984 por el cual se determinan las bases para la organización y administración de Salud Ocupacional en el país; Resolución Reglamentaria 1016 de marzo 31 de 1989 que reglamenta ¿la organización, funcionamiento de los Programas de Salud Ocupacional que deben desarrollar los empleadores y  Ley 1562 de 11 de julio de 2012.</v>
          </cell>
        </row>
        <row r="144">
          <cell r="C144">
            <v>137</v>
          </cell>
          <cell r="D144">
            <v>69</v>
          </cell>
          <cell r="E144" t="str">
            <v>INICIAL</v>
          </cell>
          <cell r="F144" t="str">
            <v>RECURSOS PROPIOS</v>
          </cell>
          <cell r="G144">
            <v>222200</v>
          </cell>
          <cell r="H144">
            <v>1</v>
          </cell>
          <cell r="I144" t="str">
            <v>3-1-2-02-12 Salud Ocupacional</v>
          </cell>
          <cell r="J144">
            <v>1</v>
          </cell>
          <cell r="K144">
            <v>1</v>
          </cell>
          <cell r="L144" t="str">
            <v>NA</v>
          </cell>
          <cell r="M144" t="str">
            <v>NA</v>
          </cell>
          <cell r="N144" t="str">
            <v>Prestar servicios profesionales de intervención e implementación de actividades relacionadas con el Sistema de Gestión de Seguridad y Salud en el Trabajo de la Secretaria Distrital de Hacienda</v>
          </cell>
          <cell r="O144">
            <v>2</v>
          </cell>
          <cell r="P144" t="str">
            <v>4 años de experiencia profesional</v>
          </cell>
          <cell r="Q144" t="str">
            <v>Profesional en Psicología, especialista en salud ocupacional con licencia vigente</v>
          </cell>
          <cell r="R144" t="str">
            <v>DIRECTA.PRESTACION.SERVIC.9_7</v>
          </cell>
          <cell r="S144" t="str">
            <v>P</v>
          </cell>
          <cell r="T144" t="str">
            <v>NA</v>
          </cell>
          <cell r="U144" t="str">
            <v>PRESTACION SERV. PROFESIONALES</v>
          </cell>
          <cell r="V144">
            <v>91820000</v>
          </cell>
          <cell r="W144">
            <v>91820000</v>
          </cell>
          <cell r="X144" t="str">
            <v>10 mes(es)</v>
          </cell>
          <cell r="Y144">
            <v>1</v>
          </cell>
          <cell r="Z144">
            <v>42751</v>
          </cell>
          <cell r="AA144" t="str">
            <v>La Secretaría Distrital de Hacienda, requiere realizar la contratación de los servicios profesionales para sensibilizar a los servidores públicos en la prevensión de aparición temprana de enfermedades realacionadas con el estrés, dentro de la promoción y prevención desarrollada en el programa de seguridad y salud en el trabajo.</v>
          </cell>
        </row>
        <row r="145">
          <cell r="C145">
            <v>138</v>
          </cell>
          <cell r="D145">
            <v>69</v>
          </cell>
          <cell r="E145" t="str">
            <v>INICIAL</v>
          </cell>
          <cell r="F145" t="str">
            <v>RECURSOS PROPIOS</v>
          </cell>
          <cell r="G145">
            <v>222000</v>
          </cell>
          <cell r="H145">
            <v>1</v>
          </cell>
          <cell r="I145" t="str">
            <v>3-3-1-15-07-43-0714-190190 - Fortalecimiento institucional de la Secretaria Distrital de Hacienda</v>
          </cell>
          <cell r="J145">
            <v>1</v>
          </cell>
          <cell r="K145">
            <v>1</v>
          </cell>
          <cell r="L145" t="str">
            <v xml:space="preserve"> Desarrollar el 100% de la operación tributaria de la sede DIB en el edificio CAD.</v>
          </cell>
          <cell r="M145" t="str">
            <v>Trasladar la operación de la sede de la Dirección de Impuestos de Bogotá de la Secretaría Distrital de Hacienda al edifico CAD.</v>
          </cell>
          <cell r="N145" t="str">
            <v>Proveer una solución integral para el traslado de la operación tecnológica, administrativa, técnica y operacional de la Dirección de Impuestos de Bogotá al edificio del Centro Administrativo Distrital-CAD, fase 2.</v>
          </cell>
          <cell r="O145">
            <v>1</v>
          </cell>
          <cell r="P145" t="str">
            <v>NA</v>
          </cell>
          <cell r="Q145" t="str">
            <v>NA</v>
          </cell>
          <cell r="R145" t="str">
            <v>DIRECTA.PRESTACION.SERVIC.9_7</v>
          </cell>
          <cell r="S145" t="str">
            <v>P</v>
          </cell>
          <cell r="T145" t="str">
            <v>NA</v>
          </cell>
          <cell r="U145" t="str">
            <v>SERVICIO</v>
          </cell>
          <cell r="V145">
            <v>2659053000</v>
          </cell>
          <cell r="W145">
            <v>2659053000</v>
          </cell>
          <cell r="X145" t="str">
            <v>4 mes(es)</v>
          </cell>
          <cell r="Y145">
            <v>1</v>
          </cell>
          <cell r="Z145">
            <v>42767</v>
          </cell>
          <cell r="AA145" t="str">
            <v>Se requiere adelantar la 2da. fase para el traslado de la operación tecnológica, administrativa, técnica y operacional de la Dirección de Impuestos de Bogotá al edificio del Centro Administrativo Distrital-CAD, con el fin de garantizar a la entidad una solución integral con el fin de garantizar una debida prestación de los servicios misionales d ela SDH.</v>
          </cell>
        </row>
        <row r="146">
          <cell r="C146">
            <v>139</v>
          </cell>
          <cell r="D146">
            <v>69</v>
          </cell>
          <cell r="E146" t="str">
            <v>INICIAL</v>
          </cell>
          <cell r="F146" t="str">
            <v>RECURSOS PROPIOS</v>
          </cell>
          <cell r="G146">
            <v>222000</v>
          </cell>
          <cell r="H146">
            <v>1</v>
          </cell>
          <cell r="I146" t="str">
            <v>3-3-1-15-07-43-0714-190190 - Fortalecimiento institucional de la Secretaria Distrital de Hacienda</v>
          </cell>
          <cell r="J146">
            <v>1</v>
          </cell>
          <cell r="K146">
            <v>1</v>
          </cell>
          <cell r="L146" t="str">
            <v>Implementar el 100% de una (1) alternativas de mejoramiento de la seguridad y la convivencia en la SDH</v>
          </cell>
          <cell r="M146" t="str">
            <v>Mejoramiento de Ascensores torres A y B del CAD</v>
          </cell>
          <cell r="N146" t="str">
            <v>Realizar la renovación y puesta en funcionamiento  de los ascensores torres A y B del edificio CAD</v>
          </cell>
          <cell r="O146">
            <v>1</v>
          </cell>
          <cell r="P146" t="str">
            <v>NA</v>
          </cell>
          <cell r="Q146" t="str">
            <v>NA</v>
          </cell>
          <cell r="R146" t="str">
            <v>LICITACION_BASICA</v>
          </cell>
          <cell r="S146" t="str">
            <v>P</v>
          </cell>
          <cell r="T146" t="str">
            <v>NA</v>
          </cell>
          <cell r="U146" t="str">
            <v>SUMINISTRO</v>
          </cell>
          <cell r="V146">
            <v>6048230000</v>
          </cell>
          <cell r="W146">
            <v>6048230000</v>
          </cell>
          <cell r="X146" t="str">
            <v>18 mes(es)</v>
          </cell>
          <cell r="Y146">
            <v>4</v>
          </cell>
          <cell r="Z146">
            <v>42948</v>
          </cell>
          <cell r="AA146" t="str">
            <v>Dentro de las alternativas de mejoramiento de la seguridad y la convivencia en la SDH se ha propuesto dentro del proyecto de inversión realizar la renovación de los ascensores de las Torrres A y B del Centro Administrativo Distrital - CAD. para lo cual se solicito la autorización de vigencias futuras del periodo 2017 a 2019 para su ejecución. En esa medida, las instalaciones de la SDH presentan necesidades de mantenimiento y adecuación para garantizar la adecuada prestación de los servicios institucionales y las condiciones mínimas de bienestar, seguridad y confort para sus servidores (as) y la población que visita las mismas.  Presupuesto total con vigencias futuras 2017 $3.831.343.000 2018 $1.266.793.000 2019 $   950.094.000</v>
          </cell>
        </row>
        <row r="147">
          <cell r="C147">
            <v>140</v>
          </cell>
          <cell r="D147">
            <v>69</v>
          </cell>
          <cell r="E147" t="str">
            <v>INICIAL</v>
          </cell>
          <cell r="F147" t="str">
            <v>RECURSOS PROPIOS</v>
          </cell>
          <cell r="G147">
            <v>222000</v>
          </cell>
          <cell r="H147">
            <v>1</v>
          </cell>
          <cell r="I147" t="str">
            <v>3-3-1-15-07-43-0714-190190 - Fortalecimiento institucional de la Secretaria Distrital de Hacienda</v>
          </cell>
          <cell r="J147">
            <v>1</v>
          </cell>
          <cell r="K147">
            <v>1</v>
          </cell>
          <cell r="L147" t="str">
            <v>Garantizar el 100% del acompañamiento de carácter técnico para el desarrollo  de las actividades de Fortalecimiento de la Infraestructura Física de la SDH y el CAD</v>
          </cell>
          <cell r="M147" t="str">
            <v>Contratar apoyo profesional para las actividades de Fortalecimiento de la Infraestructura Física de la SDH y el CAD</v>
          </cell>
          <cell r="N147" t="str">
            <v>Prestar servicios profesionales como apoyo a la Dirección de Gestión Corporativa de la SDH en la coordinación técnica de los proyectos relacionados con la intervención de la infraestructura de la SDH y el CAD</v>
          </cell>
          <cell r="O147">
            <v>1</v>
          </cell>
          <cell r="P147" t="str">
            <v>6 años de experiencia profesional, de los cuales dos años de experiencia relacionada con actividades de infraestructura. Se acepta la acreditación de ocho (8) años de experiencia profesional en caso de no contar con título de especialización</v>
          </cell>
          <cell r="Q147" t="str">
            <v>Profesiona en arquitecto o Ingeniería Civil o Ingeniero Eléctrico, con título de especialización.</v>
          </cell>
          <cell r="R147" t="str">
            <v>MINIMA_CUANTIA</v>
          </cell>
          <cell r="S147" t="str">
            <v>P</v>
          </cell>
          <cell r="T147" t="str">
            <v>NA</v>
          </cell>
          <cell r="U147" t="str">
            <v>SERVICIO</v>
          </cell>
          <cell r="V147">
            <v>82160000</v>
          </cell>
          <cell r="W147">
            <v>82160000</v>
          </cell>
          <cell r="X147" t="str">
            <v>12 mes(es)</v>
          </cell>
          <cell r="Y147">
            <v>1</v>
          </cell>
          <cell r="Z147">
            <v>42810</v>
          </cell>
          <cell r="AA147" t="str">
            <v>Garantizar el apoyo tecnico a la Dirección de Gestión Corporativa de la SDH en la coordinación técnica de los proyectos relacionados con la intervención de la infraestructura de la SDH y el CAD.</v>
          </cell>
        </row>
        <row r="148">
          <cell r="C148">
            <v>141</v>
          </cell>
          <cell r="D148">
            <v>69</v>
          </cell>
          <cell r="E148" t="str">
            <v>INICIAL</v>
          </cell>
          <cell r="F148" t="str">
            <v>RECURSOS PROPIOS</v>
          </cell>
          <cell r="G148">
            <v>120000</v>
          </cell>
          <cell r="H148">
            <v>4</v>
          </cell>
          <cell r="I148" t="str">
            <v>3-1-1-02-03-01 Honorarios Entidad</v>
          </cell>
          <cell r="J148">
            <v>1</v>
          </cell>
          <cell r="K148">
            <v>4</v>
          </cell>
          <cell r="L148" t="str">
            <v>NA</v>
          </cell>
          <cell r="M148" t="str">
            <v>NA</v>
          </cell>
          <cell r="N148" t="str">
            <v>Prestar servicios profesionales para apoyar  al Director Jurídico del Concejo de Bogotá, en el marco de los asuntos jurídicos y de la defensa judicial con el fin de desarrollar las actividades de acuerdo a la normatividad vigente.</v>
          </cell>
          <cell r="O148">
            <v>1</v>
          </cell>
          <cell r="P148" t="str">
            <v>5 años de experiencia profesional, un año en el sector público (podrá estar incluido en los 5 años de experiencia general)</v>
          </cell>
          <cell r="Q148" t="str">
            <v>Profesional en derecho o en áreas administrativas o económicas</v>
          </cell>
          <cell r="R148" t="str">
            <v>DIRECTA.PRESTACION.SERVIC.9_7</v>
          </cell>
          <cell r="S148" t="str">
            <v>P</v>
          </cell>
          <cell r="T148" t="str">
            <v>NA</v>
          </cell>
          <cell r="U148" t="str">
            <v>PRESTACION SERV. PROFESIONALES</v>
          </cell>
          <cell r="V148">
            <v>57000000</v>
          </cell>
          <cell r="W148">
            <v>57000000</v>
          </cell>
          <cell r="X148" t="str">
            <v>10 mes(es)</v>
          </cell>
          <cell r="Y148">
            <v>1</v>
          </cell>
          <cell r="Z148">
            <v>42826</v>
          </cell>
          <cell r="AA148" t="str">
            <v>La Dirección Financiera del Concejo de Bogotá tiene bajo su responsabilidad la supervisión de los contratos suscritos por la Secretaría de Hacienda para la satisfacción de las necesidades de la Corporación.  El volumen aproximado es de 90 contratos a suscribir en la vigencia 2017, relacionados con los temas administrativos, logísticos y de inversión. En razón a que el personal de planta no es suficiente, es necesario contratar un profesional   para que apoye al subdirector Financiero a y las áreas técnicas en el seguimiento a la ejecución de los contratos y elaboración de los informes correspondientes, implementando mecanismos que le permitan contribuir efectivamente al seguimiento técnico, administrativo, financiero, contable y jurídico sobre el cumplimiento de cada contrato</v>
          </cell>
        </row>
        <row r="149">
          <cell r="C149">
            <v>142</v>
          </cell>
          <cell r="D149">
            <v>69</v>
          </cell>
          <cell r="E149" t="str">
            <v>INICIAL</v>
          </cell>
          <cell r="F149" t="str">
            <v>RECURSOS PROPIOS</v>
          </cell>
          <cell r="G149">
            <v>120000</v>
          </cell>
          <cell r="H149">
            <v>4</v>
          </cell>
          <cell r="I149" t="str">
            <v>3-1-1-02-03-01 Honorarios Entidad</v>
          </cell>
          <cell r="J149">
            <v>1</v>
          </cell>
          <cell r="K149">
            <v>4</v>
          </cell>
          <cell r="L149" t="str">
            <v>NA</v>
          </cell>
          <cell r="M149" t="str">
            <v>NA</v>
          </cell>
          <cell r="N149" t="str">
            <v>Prestar servicios profesionales para acompañar al Concejo de Bogotá D.C. en la revisión y estudio de las historias laborales de los funcionarios para la definición técnica y jurídica del cumplimiento de requisitos en los diferentes regímenes de pensión.</v>
          </cell>
          <cell r="O149">
            <v>1</v>
          </cell>
          <cell r="P149" t="str">
            <v>2 años de experiencia profesional en el sector público, de los cuales 1 año de experiencia especifica en temas de seguridad social</v>
          </cell>
          <cell r="Q149" t="str">
            <v>Profesional en economia o administración de empresas o derecho, con  posgrado</v>
          </cell>
          <cell r="R149" t="str">
            <v>DIRECTA.PRESTACION.SERVIC.9_7</v>
          </cell>
          <cell r="S149" t="str">
            <v>P</v>
          </cell>
          <cell r="T149" t="str">
            <v>NA</v>
          </cell>
          <cell r="U149" t="str">
            <v>PRESTACION SERV. PROFESIONALES</v>
          </cell>
          <cell r="V149">
            <v>45000000</v>
          </cell>
          <cell r="W149">
            <v>45000000</v>
          </cell>
          <cell r="X149" t="str">
            <v>11 mes(es)</v>
          </cell>
          <cell r="Y149">
            <v>2</v>
          </cell>
          <cell r="Z149">
            <v>42826</v>
          </cell>
          <cell r="AA149" t="str">
            <v>El Concejo de Bogotá D.C., requiere con un análisis sobre la situación pensional de los funcionarios del Concejo de Bogotá D.C. que se encuentran próximos a cumplir con los requisitos legales para acceder a la pensión cualquiera que sea su régimen y de los que ya se encuentran en trámite.  El presupuesto se  determinó de acuerdo con el perfil.</v>
          </cell>
        </row>
        <row r="150">
          <cell r="C150">
            <v>143</v>
          </cell>
          <cell r="D150">
            <v>69</v>
          </cell>
          <cell r="E150" t="str">
            <v>INICIAL</v>
          </cell>
          <cell r="F150" t="str">
            <v>RECURSOS PROPIOS</v>
          </cell>
          <cell r="G150">
            <v>120000</v>
          </cell>
          <cell r="H150">
            <v>4</v>
          </cell>
          <cell r="I150" t="str">
            <v>3-1-1-02-03-01 Honorarios Entidad</v>
          </cell>
          <cell r="J150">
            <v>1</v>
          </cell>
          <cell r="K150">
            <v>4</v>
          </cell>
          <cell r="L150" t="str">
            <v>NA</v>
          </cell>
          <cell r="M150" t="str">
            <v>NA</v>
          </cell>
          <cell r="N150" t="str">
            <v>Prestar servicios profesionales para acompañar la Oficina de Comunicaciones del Concejo de Bogotá en la implementación de estrategias comunicativas.</v>
          </cell>
          <cell r="O150">
            <v>1</v>
          </cell>
          <cell r="P150" t="str">
            <v>6 meses de experiencia profesional</v>
          </cell>
          <cell r="Q150" t="str">
            <v>Profesional en comunicación social</v>
          </cell>
          <cell r="R150" t="str">
            <v>DIRECTA.PRESTACION.SERVIC.9_7</v>
          </cell>
          <cell r="S150" t="str">
            <v>P</v>
          </cell>
          <cell r="T150" t="str">
            <v>NA</v>
          </cell>
          <cell r="U150" t="str">
            <v>PRESTACION SERV. PROFESIONALES</v>
          </cell>
          <cell r="V150">
            <v>30000000</v>
          </cell>
          <cell r="W150">
            <v>30000000</v>
          </cell>
          <cell r="X150" t="str">
            <v>11 mes(es)</v>
          </cell>
          <cell r="Y150">
            <v>1</v>
          </cell>
          <cell r="Z150">
            <v>42826</v>
          </cell>
          <cell r="AA150" t="str">
            <v>Uno de los objetivos del programa de televisión y el plan de medios es posicionar la misión del Concejo de Bogotá D.C. El lanzamiento del informativo, el debate y la estrategia de comunicaciones requiere una persona  haga seguimiento en los medios de comunicación sobre el impacto del mismo y analice la incidencia en la discusión distrital; así como soportar el proceso de análisis de la información diaria que circula en los medios de comunicación y redes sociales de tal suerte que se identifiquen temas en los cuales el Concejo de Bogotá sobre los cuales debería discutir.</v>
          </cell>
        </row>
        <row r="151">
          <cell r="C151">
            <v>144</v>
          </cell>
          <cell r="D151">
            <v>69</v>
          </cell>
          <cell r="E151" t="str">
            <v>INICIAL</v>
          </cell>
          <cell r="F151" t="str">
            <v>RECURSOS PROPIOS</v>
          </cell>
          <cell r="G151">
            <v>120000</v>
          </cell>
          <cell r="H151">
            <v>4</v>
          </cell>
          <cell r="I151" t="str">
            <v>3-1-1-02-03-01 Honorarios Entidad</v>
          </cell>
          <cell r="J151">
            <v>1</v>
          </cell>
          <cell r="K151">
            <v>4</v>
          </cell>
          <cell r="L151" t="str">
            <v>NA</v>
          </cell>
          <cell r="M151" t="str">
            <v>NA</v>
          </cell>
          <cell r="N151" t="str">
            <v>Prestar servicios profesionales para apoyar la gestión administrativa, documental y contractual en los asuntos de competencia del Concejo de Bogotá D.C.</v>
          </cell>
          <cell r="O151">
            <v>1</v>
          </cell>
          <cell r="P151" t="str">
            <v>6 meses de experiencia profesional</v>
          </cell>
          <cell r="Q151" t="str">
            <v>Profesional en derecho o áreas administrativas o relacionadas.</v>
          </cell>
          <cell r="R151" t="str">
            <v>DIRECTA.PRESTACION.SERVIC.9_7</v>
          </cell>
          <cell r="S151" t="str">
            <v>P</v>
          </cell>
          <cell r="T151" t="str">
            <v>NA</v>
          </cell>
          <cell r="U151" t="str">
            <v>PRESTACION SERV. PROFESIONALES</v>
          </cell>
          <cell r="V151">
            <v>25000000</v>
          </cell>
          <cell r="W151">
            <v>25000000</v>
          </cell>
          <cell r="X151" t="str">
            <v>10 mes(es)</v>
          </cell>
          <cell r="Y151">
            <v>2</v>
          </cell>
          <cell r="Z151">
            <v>42826</v>
          </cell>
          <cell r="AA151" t="str">
            <v xml:space="preserve"> Dado que el personal que apoya el proceso de adquisición de bienes y servicios para el Concejo de Bogota es insuficiente y adicionalmente, como respuesta a los hallazgos de caracter administrativo referidos por la Oficina de Control Interno del Concejo en su ultima auditoria, se establecio como estrategia el fortalecimiento del equipo de gestion administrativa y financiera de estas áreas. Por lo anterior se requiere de la contratacion de un equipo interdisciplinario que apoye el proceso contractual desde la definición de la necesidad, la ejecución y hasta la liquidación y cierre del espediente contractual.</v>
          </cell>
        </row>
        <row r="152">
          <cell r="C152">
            <v>145</v>
          </cell>
          <cell r="D152">
            <v>69</v>
          </cell>
          <cell r="E152" t="str">
            <v>INICIAL</v>
          </cell>
          <cell r="F152" t="str">
            <v>RECURSOS PROPIOS</v>
          </cell>
          <cell r="G152">
            <v>120000</v>
          </cell>
          <cell r="H152">
            <v>4</v>
          </cell>
          <cell r="I152" t="str">
            <v>3-1-1-02-03-01 Honorarios Entidad</v>
          </cell>
          <cell r="J152">
            <v>1</v>
          </cell>
          <cell r="K152">
            <v>4</v>
          </cell>
          <cell r="L152" t="str">
            <v>NA</v>
          </cell>
          <cell r="M152" t="str">
            <v>NA</v>
          </cell>
          <cell r="N152" t="str">
            <v>Prestar servicios profesionales como enlace con la Unidad Ejecutora 04 de la Secretaría Distrital de Hacienda para la liquidación y cierre de los expedientes contractuales.</v>
          </cell>
          <cell r="O152">
            <v>1</v>
          </cell>
          <cell r="P152" t="str">
            <v>5 años de experiencia profesional, de los cuales mínimo un año en gestión pública-</v>
          </cell>
          <cell r="Q152" t="str">
            <v>Profesional en derecho o en áreas administrativas o económicas</v>
          </cell>
          <cell r="R152" t="str">
            <v>DIRECTA.PRESTACION.SERVIC.9_7</v>
          </cell>
          <cell r="S152" t="str">
            <v>P</v>
          </cell>
          <cell r="T152" t="str">
            <v>NA</v>
          </cell>
          <cell r="U152" t="str">
            <v>PRESTACION SERV. PROFESIONALES</v>
          </cell>
          <cell r="V152">
            <v>57000000</v>
          </cell>
          <cell r="W152">
            <v>57000000</v>
          </cell>
          <cell r="X152" t="str">
            <v>10 mes(es)</v>
          </cell>
          <cell r="Y152">
            <v>2</v>
          </cell>
          <cell r="Z152">
            <v>42826</v>
          </cell>
          <cell r="AA152" t="str">
            <v>Una vez implementada la estrategia para la organización y seguimiento de los contratos adelantados por el Fondo Cuenta en los últimos 3 años se identificó la necesidad de adelantar las actividades para llevar a cabo la liquidación de los mismos. Por lo tanto se requiere una persona que se dedique a esta labo.r</v>
          </cell>
        </row>
        <row r="153">
          <cell r="C153">
            <v>146</v>
          </cell>
          <cell r="D153">
            <v>69</v>
          </cell>
          <cell r="E153" t="str">
            <v>INICIAL</v>
          </cell>
          <cell r="F153" t="str">
            <v>RECURSOS PROPIOS</v>
          </cell>
          <cell r="G153">
            <v>120000</v>
          </cell>
          <cell r="H153">
            <v>4</v>
          </cell>
          <cell r="I153" t="str">
            <v>3-1-1-02-03-01 Honorarios Entidad</v>
          </cell>
          <cell r="J153">
            <v>1</v>
          </cell>
          <cell r="K153">
            <v>4</v>
          </cell>
          <cell r="L153" t="str">
            <v>NA</v>
          </cell>
          <cell r="M153" t="str">
            <v>NA</v>
          </cell>
          <cell r="N153" t="str">
            <v>Prestar servicios profesionales para apoyar la definición de especificaciones y condiciones técnicas para la adquisición de bienes y servicios principalmente los relacionados con tecnología e informática y el seguimiento a la ejecución de los mismos</v>
          </cell>
          <cell r="O153">
            <v>1</v>
          </cell>
          <cell r="P153" t="str">
            <v>5 años de experiencia profesional, con un año de experiencia profesional relacionada con el objeto y/o obligaciones del contrato (podrá estar incluido en incluido dentro de la experiencia general.</v>
          </cell>
          <cell r="Q153" t="str">
            <v>Profesional en ingeniería de sistemas o en áreas administrativas.</v>
          </cell>
          <cell r="R153" t="str">
            <v>DIRECTA.PRESTACION.SERVIC.9_7</v>
          </cell>
          <cell r="S153" t="str">
            <v>P</v>
          </cell>
          <cell r="T153" t="str">
            <v>NA</v>
          </cell>
          <cell r="U153" t="str">
            <v>PRESTACION SERV. PROFESIONALES</v>
          </cell>
          <cell r="V153">
            <v>57000000</v>
          </cell>
          <cell r="W153">
            <v>57000000</v>
          </cell>
          <cell r="X153" t="str">
            <v>10 mes(es)</v>
          </cell>
          <cell r="Y153">
            <v>2</v>
          </cell>
          <cell r="Z153">
            <v>42826</v>
          </cell>
          <cell r="AA153" t="str">
            <v>La Dirección Financiera del Concejo de Bogotá tiene bajo su responsabilidad el proceso precontractual consistente en la definición de las especificaciones y condiciones técnicas de los bienes y servicios que requiere la Corporación, lo cual  exige la realización de una serie de estudios y análisis orientados a satisfacer las necesidades forma eficiente.  Se estima que para la próxima vigencia se adelantes aproximadamente 28 procesos relacionados con el componente tecnológico.  Asi las cosas y, dado que el personal de planta no es suficiente, se requiere contar con un profesional  para apoyar las actividades relacionadas con  la adquisición de bienes y servicios en tecnología e informática, dado el volumen de solicitudes que se presentan en la corporación, su complejidad y especificidad así como para que apoye el seguimiento a la ejecución.</v>
          </cell>
        </row>
        <row r="154">
          <cell r="C154">
            <v>147</v>
          </cell>
          <cell r="D154">
            <v>69</v>
          </cell>
          <cell r="E154" t="str">
            <v>INICIAL</v>
          </cell>
          <cell r="F154" t="str">
            <v>RECURSOS PROPIOS</v>
          </cell>
          <cell r="G154">
            <v>120000</v>
          </cell>
          <cell r="H154">
            <v>4</v>
          </cell>
          <cell r="I154" t="str">
            <v>3-1-1-02-03-01 Honorarios Entidad</v>
          </cell>
          <cell r="J154">
            <v>1</v>
          </cell>
          <cell r="K154">
            <v>4</v>
          </cell>
          <cell r="L154" t="str">
            <v>NA</v>
          </cell>
          <cell r="M154" t="str">
            <v>NA</v>
          </cell>
          <cell r="N154" t="str">
            <v>Prestar servicios profesionales como abogado para apoyar a la Dirección Jurídica del Concejo de Bogotá, en la asesoria y respuesta a derechos de petición, solicitudes, denuncias, quejas, consultas y reclamos que reciba la Corporación.</v>
          </cell>
          <cell r="O154">
            <v>1</v>
          </cell>
          <cell r="P154" t="str">
            <v>2 años de experiencia profesional, 1 año en entidades del sector público (podrá estar incluido en los 2 años de experiencia general)</v>
          </cell>
          <cell r="Q154" t="str">
            <v>Profesional en derecho</v>
          </cell>
          <cell r="R154" t="str">
            <v>DIRECTA.PRESTACION.SERVIC.9_7</v>
          </cell>
          <cell r="S154" t="str">
            <v>P</v>
          </cell>
          <cell r="T154" t="str">
            <v>NA</v>
          </cell>
          <cell r="U154" t="str">
            <v>PRESTACION SERV. PROFESIONALES</v>
          </cell>
          <cell r="V154">
            <v>42000000</v>
          </cell>
          <cell r="W154">
            <v>42000000</v>
          </cell>
          <cell r="X154" t="str">
            <v>11 mes(es)</v>
          </cell>
          <cell r="Y154">
            <v>1</v>
          </cell>
          <cell r="Z154">
            <v>42826</v>
          </cell>
          <cell r="AA154" t="str">
            <v>Actualmente al Concejo de Bogotá llegan diaria y permanentemente por el sistema PQRS un número significativo  de solicitudes, derechos de petición, quejas y reclamos, que hace necesario contar con el apoyo de un profesional que se dedique a dar respuesta a las mismas, estar atento al vencimiento de los términos legales y brindar apoyo jurídico a la oficina de atención al ciudadano en temas legales. Ante la ausencia de personal para esta tarea, es indispensable la contratación del mismo.</v>
          </cell>
        </row>
        <row r="155">
          <cell r="C155">
            <v>148</v>
          </cell>
          <cell r="D155">
            <v>69</v>
          </cell>
          <cell r="E155" t="str">
            <v>INICIAL</v>
          </cell>
          <cell r="F155" t="str">
            <v>RECURSOS PROPIOS</v>
          </cell>
          <cell r="G155">
            <v>120000</v>
          </cell>
          <cell r="H155">
            <v>4</v>
          </cell>
          <cell r="I155" t="str">
            <v>3-1-1-02-03-01 Honorarios Entidad</v>
          </cell>
          <cell r="J155">
            <v>1</v>
          </cell>
          <cell r="K155">
            <v>4</v>
          </cell>
          <cell r="L155" t="str">
            <v>NA</v>
          </cell>
          <cell r="M155" t="str">
            <v>NA</v>
          </cell>
          <cell r="N155" t="str">
            <v>Prestar servicios profesionales al Concejo de Bogotá D.C. para apoyar el área de nómina, especialmente en áreas relacionadas con la seguridad social.</v>
          </cell>
          <cell r="O155">
            <v>1</v>
          </cell>
          <cell r="P155" t="str">
            <v>5 años de experiencia profesional, de los cuales mínimo un año en gestión pública-</v>
          </cell>
          <cell r="Q155" t="str">
            <v>Profesional en areas administrativas</v>
          </cell>
          <cell r="R155" t="str">
            <v>DIRECTA.PRESTACION.SERVIC.9_7</v>
          </cell>
          <cell r="S155" t="str">
            <v>P</v>
          </cell>
          <cell r="T155" t="str">
            <v>NA</v>
          </cell>
          <cell r="U155" t="str">
            <v>PRESTACION SERV. PROFESIONALES</v>
          </cell>
          <cell r="V155">
            <v>63000000</v>
          </cell>
          <cell r="W155">
            <v>63000000</v>
          </cell>
          <cell r="X155" t="str">
            <v>11 mes(es)</v>
          </cell>
          <cell r="Y155">
            <v>1</v>
          </cell>
          <cell r="Z155">
            <v>42826</v>
          </cell>
          <cell r="AA155" t="str">
            <v>De acuerdo con el manual de procesos y procedimientos, la Dirección financiera del Concejo de Bogotá, es la encargada del manejo de la nómina de los de la Corporación, para lo cual deben tener en cuenta las novedades que impactan diariamente su liquidación como son: las libranzas, licencias, actos adminsitrativos, embargos, incapacidades, disminuciones de la base gravable de retebnción en la fuente y horas extras, sumado al alto flujo de rotación de los funcionarios de las Unidades de Apoyo Normativo, las cuales requieren de una dedicación exclusiva y con el personal actual no es suficiente adelantar la tarea  antes descrita sumado al recobro a la EPS de los valores que canceló la Corporación y deben ser devueltos a la Entidad.</v>
          </cell>
        </row>
        <row r="156">
          <cell r="C156">
            <v>149</v>
          </cell>
          <cell r="D156">
            <v>69</v>
          </cell>
          <cell r="E156" t="str">
            <v>INICIAL</v>
          </cell>
          <cell r="F156" t="str">
            <v>RECURSOS PROPIOS</v>
          </cell>
          <cell r="G156">
            <v>120000</v>
          </cell>
          <cell r="H156">
            <v>4</v>
          </cell>
          <cell r="I156" t="str">
            <v>3-1-1-02-03-01 Honorarios Entidad</v>
          </cell>
          <cell r="J156">
            <v>1</v>
          </cell>
          <cell r="K156">
            <v>4</v>
          </cell>
          <cell r="L156" t="str">
            <v>NA</v>
          </cell>
          <cell r="M156" t="str">
            <v>NA</v>
          </cell>
          <cell r="N156" t="str">
            <v>Prestar servicios profesionales en el proceso de auditorias internas en el area de control interno del   Concejo de Bogotá.</v>
          </cell>
          <cell r="O156">
            <v>1</v>
          </cell>
          <cell r="P156" t="str">
            <v>5 años de experiencia profesional, de los cuales mínimo un año en gestión pública-</v>
          </cell>
          <cell r="Q156" t="str">
            <v>Profesional en drecho o en áreas administrativas o economicas.</v>
          </cell>
          <cell r="R156" t="str">
            <v>DIRECTA.PRESTACION.SERVIC.9_7</v>
          </cell>
          <cell r="S156" t="str">
            <v>P</v>
          </cell>
          <cell r="T156" t="str">
            <v>NA</v>
          </cell>
          <cell r="U156" t="str">
            <v>PRESTACION SERV. PROFESIONALES</v>
          </cell>
          <cell r="V156">
            <v>57000000</v>
          </cell>
          <cell r="W156">
            <v>57000000</v>
          </cell>
          <cell r="X156" t="str">
            <v>10 mes(es)</v>
          </cell>
          <cell r="Y156">
            <v>2</v>
          </cell>
          <cell r="Z156">
            <v>42826</v>
          </cell>
          <cell r="AA156" t="str">
            <v>El Concejo de Bogotá requiere de los servicios de un profesional en derecho para realizar el acompañamiento permanente  en los procesos de auditorias internas realizadas por la oficina de Control Interno del Concejo de Bogota.</v>
          </cell>
        </row>
        <row r="157">
          <cell r="C157">
            <v>150</v>
          </cell>
          <cell r="D157">
            <v>69</v>
          </cell>
          <cell r="E157" t="str">
            <v>INICIAL</v>
          </cell>
          <cell r="F157" t="str">
            <v>RECURSOS PROPIOS</v>
          </cell>
          <cell r="G157">
            <v>120000</v>
          </cell>
          <cell r="H157">
            <v>4</v>
          </cell>
          <cell r="I157" t="str">
            <v>3-1-1-02-03-01 Honorarios Entidad</v>
          </cell>
          <cell r="J157">
            <v>1</v>
          </cell>
          <cell r="K157">
            <v>4</v>
          </cell>
          <cell r="L157" t="str">
            <v>NA</v>
          </cell>
          <cell r="M157" t="str">
            <v>NA</v>
          </cell>
          <cell r="N157" t="str">
            <v>Prestar servicios profesionales para apoyar al Concejo de Bogotá en la adopción y manejo de las estrategias y acciones de Cooperación para posicionar a la Corporación en el ámbito Nacional e Internacional.</v>
          </cell>
          <cell r="O157">
            <v>1</v>
          </cell>
          <cell r="P157" t="str">
            <v>5 años de experiencia profesional, un año en el sector público (podrá estar incluido en los 5 años de experiencia general)</v>
          </cell>
          <cell r="Q157" t="str">
            <v>Profesional en relaciones internacionales, áreas relacionadas con la administración, Ingeniero Industrial y afines</v>
          </cell>
          <cell r="R157" t="str">
            <v>DIRECTA.PRESTACION.SERVIC.9_7</v>
          </cell>
          <cell r="S157" t="str">
            <v>P</v>
          </cell>
          <cell r="T157" t="str">
            <v>NA</v>
          </cell>
          <cell r="U157" t="str">
            <v>PRESTACION SERV. PROFESIONALES</v>
          </cell>
          <cell r="V157">
            <v>57000000</v>
          </cell>
          <cell r="W157">
            <v>57000000</v>
          </cell>
          <cell r="X157" t="str">
            <v>10 mes(es)</v>
          </cell>
          <cell r="Y157">
            <v>2</v>
          </cell>
          <cell r="Z157">
            <v>42826</v>
          </cell>
          <cell r="AA157" t="str">
            <v>La ciudad de Bogotá desde hace aproximadamente 10 años ha venido teniendo un papel importante a nivel internacional, dando caso a esto los grandes eventos mundiales que se han desarrollado en Bogotá. Es importante  desde el cabildo Distrital apoyar estos procesos, y sumergirse en el ámbito internacional creando una la política pública y fortaleciendo las instituciones, planteando alternativas que logren fortalecer los conocimientos de los Concejales de Bogotá, implementando acuerdos con otras ciudades en el mundo que permitan consolidar una red de redes entre instituciones de orden local que respalden las decisiones de las Alcaldías  en estudios, intercambio de experiencias,  reciprocidad en el conocimiento, logrando así posicionar a Bogotá como una Ciudad de puertas abiertas para dar continuación al desarrollo de estrategias internacionales. Al hacer la inmersión internacional, El Concejo de Bogotá innovaría en gestión, democracia y participación; lo que llevaría al cumplimiento no solo de la agenda de la entidad sino a superar las expectativas de los ciudadanos, teniendo como resultado una ciudad más comprometida, respetando y apropiando por lo público. Por lo que se requiere un profesional que adelante las gestiones pertinentes para la construcción de una red pública internacional liderada por el Concejo de Bogotá, que desarrolle un análisis sobre la viabilidad de crear la Oficina Asesora en relaciones internacionales.</v>
          </cell>
        </row>
        <row r="158">
          <cell r="C158">
            <v>151</v>
          </cell>
          <cell r="D158">
            <v>69</v>
          </cell>
          <cell r="E158" t="str">
            <v>INICIAL</v>
          </cell>
          <cell r="F158" t="str">
            <v>RECURSOS PROPIOS</v>
          </cell>
          <cell r="G158">
            <v>120000</v>
          </cell>
          <cell r="H158">
            <v>4</v>
          </cell>
          <cell r="I158" t="str">
            <v>3-1-1-02-03-01 Honorarios Entidad</v>
          </cell>
          <cell r="J158">
            <v>1</v>
          </cell>
          <cell r="K158">
            <v>4</v>
          </cell>
          <cell r="L158" t="str">
            <v>NA</v>
          </cell>
          <cell r="M158" t="str">
            <v>NA</v>
          </cell>
          <cell r="N158" t="str">
            <v>Realizar las auditorías para el seguimiento de la certificación para los sistemas de Gestión Ambiental y Seguridad y Salud Ocupacional bajo las normas ISO 14001:2004 y OHSAS 18001:2007 al Concejo de Bogotá D.C.</v>
          </cell>
          <cell r="O158">
            <v>1</v>
          </cell>
          <cell r="P158" t="str">
            <v>NA</v>
          </cell>
          <cell r="Q158" t="str">
            <v>NA</v>
          </cell>
          <cell r="R158" t="str">
            <v>DIRECTA_OTRAS_CAUSALES</v>
          </cell>
          <cell r="S158" t="str">
            <v>P</v>
          </cell>
          <cell r="T158" t="str">
            <v>NA</v>
          </cell>
          <cell r="U158" t="str">
            <v>PRESTACION DE SERVICIOS</v>
          </cell>
          <cell r="V158">
            <v>16000000</v>
          </cell>
          <cell r="W158">
            <v>16000000</v>
          </cell>
          <cell r="X158" t="str">
            <v>4 mes(es)</v>
          </cell>
          <cell r="Y158">
            <v>3</v>
          </cell>
          <cell r="Z158">
            <v>42856</v>
          </cell>
          <cell r="AA158" t="str">
            <v>Teniendo en cuenta que el Concejo de Bogotá tiene certificado su sistema de gestiòn de calidad bajo la norma ISO 9001 NTCGP1000, se requiere para mantener la vigencia del certificado, desarrollar auditorías de seguimiento anual que permitan verificar la continuidad en la implementaciòn del mismo</v>
          </cell>
        </row>
        <row r="159">
          <cell r="C159">
            <v>152</v>
          </cell>
          <cell r="D159">
            <v>69</v>
          </cell>
          <cell r="E159" t="str">
            <v>INICIAL</v>
          </cell>
          <cell r="F159" t="str">
            <v>RECURSOS PROPIOS</v>
          </cell>
          <cell r="G159">
            <v>120000</v>
          </cell>
          <cell r="H159">
            <v>4</v>
          </cell>
          <cell r="I159" t="str">
            <v>3-1-1-02-03-01 Honorarios Entidad</v>
          </cell>
          <cell r="J159">
            <v>1</v>
          </cell>
          <cell r="K159">
            <v>4</v>
          </cell>
          <cell r="L159" t="str">
            <v>NA</v>
          </cell>
          <cell r="M159" t="str">
            <v>NA</v>
          </cell>
          <cell r="N159" t="str">
            <v>Prestar servicios profesionales para apoyar la definición, contratación y seguimiento a los temas de infraestructura física que requiera el Concejo de Bogotá.</v>
          </cell>
          <cell r="O159">
            <v>1</v>
          </cell>
          <cell r="P159" t="str">
            <v>4 años de experiencia profesional de los cuales por lo menos un año en dirección o coordinación de proyectos arquitectónicos o de obra.</v>
          </cell>
          <cell r="Q159" t="str">
            <v>Profesional en ingeniería civil o arquitecto</v>
          </cell>
          <cell r="R159" t="str">
            <v>DIRECTA.PRESTACION.SERVIC.9_7</v>
          </cell>
          <cell r="S159" t="str">
            <v>P</v>
          </cell>
          <cell r="T159" t="str">
            <v>NA</v>
          </cell>
          <cell r="U159" t="str">
            <v>PRESTACION SERV. PROFESIONALES</v>
          </cell>
          <cell r="V159">
            <v>48000000</v>
          </cell>
          <cell r="W159">
            <v>48000000</v>
          </cell>
          <cell r="X159" t="str">
            <v>9 mes(es)</v>
          </cell>
          <cell r="Y159">
            <v>3</v>
          </cell>
          <cell r="Z159">
            <v>42826</v>
          </cell>
          <cell r="AA159" t="str">
            <v>El Concejo de Bogotá requiere de los servicios de un profesional en arquitectura o ingeniería civil para realizar el acompañamiento permanente a los  temas de infraestructura física que se requiera en las obras civiles que se están desarrollando en el Concejo, como son la obra de reforzamiento y  de mantenimiento integral locativo.</v>
          </cell>
        </row>
        <row r="160">
          <cell r="C160">
            <v>153</v>
          </cell>
          <cell r="D160">
            <v>69</v>
          </cell>
          <cell r="E160" t="str">
            <v>INICIAL</v>
          </cell>
          <cell r="F160" t="str">
            <v>RECURSOS PROPIOS</v>
          </cell>
          <cell r="G160">
            <v>120000</v>
          </cell>
          <cell r="H160">
            <v>4</v>
          </cell>
          <cell r="I160" t="str">
            <v>3-1-1-02-03-01 Honorarios Entidad</v>
          </cell>
          <cell r="J160">
            <v>1</v>
          </cell>
          <cell r="K160">
            <v>4</v>
          </cell>
          <cell r="L160" t="str">
            <v>NA</v>
          </cell>
          <cell r="M160" t="str">
            <v>NA</v>
          </cell>
          <cell r="N160" t="str">
            <v>Prestar servicios profesionales para apoyar jurídicamente a la Mesa Directiva del Concejo de Bogotá en la conceptualización de los asuntos que por su complejidad se requieran para el desarrollo de las funciones legales y reglamentarias de la Corporación.</v>
          </cell>
          <cell r="O160">
            <v>1</v>
          </cell>
          <cell r="P160" t="str">
            <v>3 años de experiencia profesional. 1 año de experiencia relacionada en el Sector Público, el cual puede estar incluido en la experiencia general.</v>
          </cell>
          <cell r="Q160" t="str">
            <v>Profesional en derecho</v>
          </cell>
          <cell r="R160" t="str">
            <v>DIRECTA.PRESTACION.SERVIC.9_7</v>
          </cell>
          <cell r="S160" t="str">
            <v>P</v>
          </cell>
          <cell r="T160" t="str">
            <v>NA</v>
          </cell>
          <cell r="U160" t="str">
            <v>PRESTACION SERV. PROFESIONALES</v>
          </cell>
          <cell r="V160">
            <v>97000000</v>
          </cell>
          <cell r="W160">
            <v>97000000</v>
          </cell>
          <cell r="X160" t="str">
            <v>10 mes(es)</v>
          </cell>
          <cell r="Y160">
            <v>1</v>
          </cell>
          <cell r="Z160">
            <v>42826</v>
          </cell>
          <cell r="AA160" t="str">
            <v>Al iniciar el período de la nueva Mesa Directiva, se evidencia la necesidad de apoyo jurídico externo para atender los requerimientos que desde el punto de vista legal demanda la Corporación para la toma de las decisiones relacionadas con la designación del Contralor de Bogotá D.C., el Personero Distrital, entre otras, cuyas condiciones variaron y deben ser atendidas jurídicamente en cumplimiento de sus funciones legales y reglamentarias.  Por consiguiente, se requiere fortalecer jurídicamente a la Mesa Directiva del Concejo de Bogotá D.C., con una firma de abogados externa con amplia experiencia y reconocida idoneidad.  Es de anotar, que las necesidades anteriormente enunciadas no son solventadas por la Dirección Jurídica de la Corporación en atención al alto volumen de trabajo y principalmente a la especificidad del conocimiento exigido a la firma externa. Así las cosas, se contará con dos profesionales especializados con amplia experiencia que permitira mitigar el riesgo litigioso de la Entidad.   Finalmente, el valor ofertado en el mercado por la firma de abogados es similar a los honorarios de un abogado (persona natural) quién no podría contar con la experticia y especialidad en todas las ramas del derecho.</v>
          </cell>
        </row>
        <row r="161">
          <cell r="C161">
            <v>154</v>
          </cell>
          <cell r="D161">
            <v>69</v>
          </cell>
          <cell r="E161" t="str">
            <v>INICIAL</v>
          </cell>
          <cell r="F161" t="str">
            <v>RECURSOS PROPIOS</v>
          </cell>
          <cell r="G161">
            <v>120000</v>
          </cell>
          <cell r="H161">
            <v>4</v>
          </cell>
          <cell r="I161" t="str">
            <v>3-1-1-02-03-01 Honorarios Entidad</v>
          </cell>
          <cell r="J161">
            <v>1</v>
          </cell>
          <cell r="K161">
            <v>4</v>
          </cell>
          <cell r="L161" t="str">
            <v>NA</v>
          </cell>
          <cell r="M161" t="str">
            <v>NA</v>
          </cell>
          <cell r="N161" t="str">
            <v>Prestar servicios profesionales para apoyar a la Oficina Asesora de Planeación y dirección administrativa en la ejecución, mantenimiento, sostenibilidad y mejora continua del subsistema de responsabilidad social del Concejo de Bogotá.</v>
          </cell>
          <cell r="O161">
            <v>1</v>
          </cell>
          <cell r="P161" t="str">
            <v>5 años de experiencia profesional, un año en el sector público (podrá estar incluido en los 5 años de experiencia general)</v>
          </cell>
          <cell r="Q161" t="str">
            <v>Profesional en economía, derecho, áreas relacionadas con la administración y afines</v>
          </cell>
          <cell r="R161" t="str">
            <v>DIRECTA.PRESTACION.SERVIC.9_7</v>
          </cell>
          <cell r="S161" t="str">
            <v>P</v>
          </cell>
          <cell r="T161" t="str">
            <v>NA</v>
          </cell>
          <cell r="U161" t="str">
            <v>PRESTACION SERV. PROFESIONALES</v>
          </cell>
          <cell r="V161">
            <v>57000000</v>
          </cell>
          <cell r="W161">
            <v>57000000</v>
          </cell>
          <cell r="X161" t="str">
            <v>10 mes(es)</v>
          </cell>
          <cell r="Y161">
            <v>2</v>
          </cell>
          <cell r="Z161">
            <v>42826</v>
          </cell>
          <cell r="AA161" t="str">
            <v>El Concejo de Bogotá requiere un profesional de apoyo a la Oficina de Planeación y la Dirección Administrativa en la planificación, ejecución, verificación y revisión del Subsistema de Responsabilidad Social, en cumplimiento de la ISO 26000:2010. De manera que apoye la socialización y mejora continua del proceso para la adhesión a organismos internacionales,  como al Pacto Global, Global Reporting Initiative GRI y OCDE entre otros.</v>
          </cell>
        </row>
        <row r="162">
          <cell r="C162">
            <v>155</v>
          </cell>
          <cell r="D162">
            <v>69</v>
          </cell>
          <cell r="E162" t="str">
            <v>INICIAL</v>
          </cell>
          <cell r="F162" t="str">
            <v>RECURSOS PROPIOS</v>
          </cell>
          <cell r="G162">
            <v>120000</v>
          </cell>
          <cell r="H162">
            <v>4</v>
          </cell>
          <cell r="I162" t="str">
            <v>3-1-1-02-03-01 Honorarios Entidad</v>
          </cell>
          <cell r="J162">
            <v>1</v>
          </cell>
          <cell r="K162">
            <v>4</v>
          </cell>
          <cell r="L162" t="str">
            <v>NA</v>
          </cell>
          <cell r="M162" t="str">
            <v>NA</v>
          </cell>
          <cell r="N162" t="str">
            <v>Prestar servicios profesionales para apoyar al Director Financiero en los asuntos propios de la dependencia, en el marco del presupuesto anual de gastos de funcionamiento e inversión para el manejo eficiente y eficaz de los recursos financieros con forme al plan estratégico de la entidad de acuerdo a la normatividad vigente.</v>
          </cell>
          <cell r="O162">
            <v>1</v>
          </cell>
          <cell r="P162" t="str">
            <v>3 años de experiencia profesional, un año en el sector público (podrá estar incluido en los 3 años de experiencia general).</v>
          </cell>
          <cell r="Q162" t="str">
            <v>Profesional en áreas administrativas-</v>
          </cell>
          <cell r="R162" t="str">
            <v>DIRECTA.PRESTACION.SERVIC.9_7</v>
          </cell>
          <cell r="S162" t="str">
            <v>P</v>
          </cell>
          <cell r="T162" t="str">
            <v>NA</v>
          </cell>
          <cell r="U162" t="str">
            <v>PRESTACION SERV. PROFESIONALES</v>
          </cell>
          <cell r="V162">
            <v>47000000</v>
          </cell>
          <cell r="W162">
            <v>47000000</v>
          </cell>
          <cell r="X162" t="str">
            <v>10 mes(es)</v>
          </cell>
          <cell r="Y162">
            <v>2</v>
          </cell>
          <cell r="Z162">
            <v>42826</v>
          </cell>
          <cell r="AA162" t="str">
            <v>Se requiere el apoyo al director financiero de la corporación en los asuntos del presupuesto, gasto de funcionamiento e inversión de los recursos de la corporación toda vez que es de gran relevancia en la administración de la corporación, no solo en el manejo eficaz de los recursos sino en la correcta asignación de los mismos, adicionalmente es necesario realizar control y seguimiento del presupuesto y su utilización.</v>
          </cell>
        </row>
        <row r="163">
          <cell r="C163">
            <v>156</v>
          </cell>
          <cell r="D163">
            <v>69</v>
          </cell>
          <cell r="E163" t="str">
            <v>INICIAL</v>
          </cell>
          <cell r="F163" t="str">
            <v>RECURSOS PROPIOS</v>
          </cell>
          <cell r="G163">
            <v>120000</v>
          </cell>
          <cell r="H163">
            <v>4</v>
          </cell>
          <cell r="I163" t="str">
            <v>3-1-1-02-03-01 Honorarios Entidad</v>
          </cell>
          <cell r="J163">
            <v>1</v>
          </cell>
          <cell r="K163">
            <v>4</v>
          </cell>
          <cell r="L163" t="str">
            <v>NA</v>
          </cell>
          <cell r="M163" t="str">
            <v>NA</v>
          </cell>
          <cell r="N163" t="str">
            <v>Prestar servicios profesionales para apoyar en las diferentes comisiones permanentes del concejo de Bogotá en la respuesta a derechos de petición, solicitudes, quejas, consultas y reclamos que reciba la corporación.</v>
          </cell>
          <cell r="O163">
            <v>1</v>
          </cell>
          <cell r="P163" t="str">
            <v>5 años de experiencia profesional, 2 años en el sector público (podrá estar incluido en los 5 años de experiencia general).</v>
          </cell>
          <cell r="Q163" t="str">
            <v>Profesional en derecho o en áreas administrativas o económicas</v>
          </cell>
          <cell r="R163" t="str">
            <v>DIRECTA.PRESTACION.SERVIC.9_7</v>
          </cell>
          <cell r="S163" t="str">
            <v>P</v>
          </cell>
          <cell r="T163" t="str">
            <v>NA</v>
          </cell>
          <cell r="U163" t="str">
            <v>PRESTACION SERV. PROFESIONALES</v>
          </cell>
          <cell r="V163">
            <v>57000000</v>
          </cell>
          <cell r="W163">
            <v>57000000</v>
          </cell>
          <cell r="X163" t="str">
            <v>10 mes(es)</v>
          </cell>
          <cell r="Y163">
            <v>2</v>
          </cell>
          <cell r="Z163">
            <v>42826</v>
          </cell>
          <cell r="AA163" t="str">
            <v xml:space="preserve">Las comisiones del concejo de Bogotá se dedican en sus sesiones al examen de los temas especializados en materia normativa, de control político (cumplimiento de los objetivos misionales de los diferentes sectores como planeación, ambiente, movilidad, habitad, educación, salud, integración social, cultura, recreación y deporte, gobierno seguridad y convivencia, hacienda, desarrollo económico, industria y turismo). Y las que determinen el reglamento interno del concejo.  A las comisiones actualmente le allegan de manera diaria PQRS que deben ser atendidas y resueltas dentro de los términos establecidos por la ley, sin embargo estas comisiones no cuentan con los profesionales suficientes que se dediquen exclusivamente a dar respuestas y estar atentos al vencimiento de los términos legales; así mismo que puedan brindar apoyo jurídico a las comisiones, por lo que es necesario la correspondiente contratación. </v>
          </cell>
        </row>
        <row r="164">
          <cell r="C164">
            <v>157</v>
          </cell>
          <cell r="D164">
            <v>69</v>
          </cell>
          <cell r="E164" t="str">
            <v>INICIAL</v>
          </cell>
          <cell r="F164" t="str">
            <v>RECURSOS PROPIOS</v>
          </cell>
          <cell r="G164">
            <v>120000</v>
          </cell>
          <cell r="H164">
            <v>4</v>
          </cell>
          <cell r="I164" t="str">
            <v>3-1-1-02-03-01 Honorarios Entidad</v>
          </cell>
          <cell r="J164">
            <v>1</v>
          </cell>
          <cell r="K164">
            <v>4</v>
          </cell>
          <cell r="L164" t="str">
            <v>NA</v>
          </cell>
          <cell r="M164" t="str">
            <v>NA</v>
          </cell>
          <cell r="N164" t="str">
            <v>Prestar servicios profesionales para apoyar a la Oficina de Comunicaciones del Concejo de-Bogotá para el cumplimiento del plan de comunicaciones internas y externas de la entidad</v>
          </cell>
          <cell r="O164">
            <v>1</v>
          </cell>
          <cell r="P164" t="str">
            <v>5 años de experiencia profesional</v>
          </cell>
          <cell r="Q164" t="str">
            <v>Profesional en comunicación social, periodismo y afines</v>
          </cell>
          <cell r="R164" t="str">
            <v>DIRECTA.PRESTACION.SERVIC.9_7</v>
          </cell>
          <cell r="S164" t="str">
            <v>P</v>
          </cell>
          <cell r="T164" t="str">
            <v>NA</v>
          </cell>
          <cell r="U164" t="str">
            <v>PRESTACION SERV. PROFESIONALES</v>
          </cell>
          <cell r="V164">
            <v>57000000</v>
          </cell>
          <cell r="W164">
            <v>57000000</v>
          </cell>
          <cell r="X164" t="str">
            <v>10 mes(es)</v>
          </cell>
          <cell r="Y164">
            <v>2</v>
          </cell>
          <cell r="Z164">
            <v>42826</v>
          </cell>
          <cell r="AA164" t="str">
            <v xml:space="preserve"> El Concejo de Bogotá requiere un profesional de apoyo a la Oficina de Comunicaciones que sirva de enlace  con los Jefes de Prensa de las 45 Unidades de Apoyo Normativo de la Corporación y de apoyo para le cumplimiento del Plan de comunicanciones internas y externas</v>
          </cell>
        </row>
        <row r="165">
          <cell r="C165">
            <v>158</v>
          </cell>
          <cell r="D165">
            <v>69</v>
          </cell>
          <cell r="E165" t="str">
            <v>INICIAL</v>
          </cell>
          <cell r="F165" t="str">
            <v>RECURSOS PROPIOS</v>
          </cell>
          <cell r="G165">
            <v>120000</v>
          </cell>
          <cell r="H165">
            <v>4</v>
          </cell>
          <cell r="I165" t="str">
            <v>3-1-1-02-03-01 Honorarios Entidad</v>
          </cell>
          <cell r="J165">
            <v>1</v>
          </cell>
          <cell r="K165">
            <v>4</v>
          </cell>
          <cell r="L165" t="str">
            <v>NA</v>
          </cell>
          <cell r="M165" t="str">
            <v>NA</v>
          </cell>
          <cell r="N165" t="str">
            <v>Prestar servicios profesionales para apoyar al Director Administrativo del Concejo de Bogotá, en los asuntos propios de la dependencia en el marco del Sistema Integrado de Gestión</v>
          </cell>
          <cell r="O165">
            <v>1</v>
          </cell>
          <cell r="P165" t="str">
            <v>5 años de experiencia profesional, un año en procesos de gestión, el cual puede estar incluido dentro de la experiencia general.</v>
          </cell>
          <cell r="Q165" t="str">
            <v>Profesional en derecho, administración de empresas, economia, finanzas o carreras afines.</v>
          </cell>
          <cell r="R165" t="str">
            <v>DIRECTA.PRESTACION.SERVIC.9_7</v>
          </cell>
          <cell r="S165" t="str">
            <v>P</v>
          </cell>
          <cell r="T165" t="str">
            <v>NA</v>
          </cell>
          <cell r="U165" t="str">
            <v>PRESTACION SERV. PROFESIONALES</v>
          </cell>
          <cell r="V165">
            <v>57000000</v>
          </cell>
          <cell r="W165">
            <v>57000000</v>
          </cell>
          <cell r="X165" t="str">
            <v>10 mes(es)</v>
          </cell>
          <cell r="Y165">
            <v>1</v>
          </cell>
          <cell r="Z165">
            <v>42826</v>
          </cell>
          <cell r="AA165" t="str">
            <v>Para la Dirección Administrativa  del Concejo de Bogotá es conveniente la celebración de un contrato para apoyar las actvidades de la Dirección Administrativa d ela Corporación en las labores propias del Sistema Integrado de Gestión, de conformidad al modelo estándar de control interno - MECI. Para el seguimiento y la correcta articulación entre la Dirección Administrativa con la Oficina Asesora de Planeación sobre los plan de acción y los planes de mejoramiento de los procesos y procedimientos del área .</v>
          </cell>
        </row>
        <row r="166">
          <cell r="C166">
            <v>159</v>
          </cell>
          <cell r="D166">
            <v>69</v>
          </cell>
          <cell r="E166" t="str">
            <v>INICIAL</v>
          </cell>
          <cell r="F166" t="str">
            <v>RECURSOS PROPIOS</v>
          </cell>
          <cell r="G166">
            <v>120000</v>
          </cell>
          <cell r="H166">
            <v>4</v>
          </cell>
          <cell r="I166" t="str">
            <v>3-1-1-02-03-01 Honorarios Entidad</v>
          </cell>
          <cell r="J166">
            <v>1</v>
          </cell>
          <cell r="K166">
            <v>4</v>
          </cell>
          <cell r="L166" t="str">
            <v>NA</v>
          </cell>
          <cell r="M166" t="str">
            <v>NA</v>
          </cell>
          <cell r="N166" t="str">
            <v>Prestar servicios profesionales para apoyar   el seguimiento a los procesos de adquisicón de bienes y servicios   y la  ejecución de los contratos para el Concejo de Bogotá</v>
          </cell>
          <cell r="O166">
            <v>1</v>
          </cell>
          <cell r="P166" t="str">
            <v>5 años de experiencia profesional. Un año de experiencia relacionada con el objeto y obligaciones del contrato. (El cual podrá estar incluido en la experiencia general).</v>
          </cell>
          <cell r="Q166" t="str">
            <v>Profesional en derecho, áreas administrativas o económicas</v>
          </cell>
          <cell r="R166" t="str">
            <v>DIRECTA.PRESTACION.SERVIC.9_7</v>
          </cell>
          <cell r="S166" t="str">
            <v>P</v>
          </cell>
          <cell r="T166" t="str">
            <v>NA</v>
          </cell>
          <cell r="U166" t="str">
            <v>PRESTACION SERV. PROFESIONALES</v>
          </cell>
          <cell r="V166">
            <v>57000000</v>
          </cell>
          <cell r="W166">
            <v>57000000</v>
          </cell>
          <cell r="X166" t="str">
            <v>10 mes(es)</v>
          </cell>
          <cell r="Y166">
            <v>1</v>
          </cell>
          <cell r="Z166">
            <v>42826</v>
          </cell>
          <cell r="AA166" t="str">
            <v xml:space="preserve">El Concejo de Bogotá, Dirección  Financiera, requiere contratar un profesional que articule los propcesos contractuales  que se financian a través del Fondo Cuenta UE 04 de la Secretaría Distrital de Hacienda, para el adecuado seguimiento, control de la  ejecución contractual,  de acuerdo a las especificaciones técnicas. Así como la liquidación y cierre de los  expedientes contractuales que se requieran. </v>
          </cell>
        </row>
        <row r="167">
          <cell r="C167">
            <v>160</v>
          </cell>
          <cell r="D167">
            <v>69</v>
          </cell>
          <cell r="E167" t="str">
            <v>INICIAL</v>
          </cell>
          <cell r="F167" t="str">
            <v>RECURSOS PROPIOS</v>
          </cell>
          <cell r="G167">
            <v>120000</v>
          </cell>
          <cell r="H167">
            <v>4</v>
          </cell>
          <cell r="I167" t="str">
            <v>3-1-1-02-03-01 Honorarios Entidad</v>
          </cell>
          <cell r="J167">
            <v>1</v>
          </cell>
          <cell r="K167">
            <v>4</v>
          </cell>
          <cell r="L167" t="str">
            <v>NA</v>
          </cell>
          <cell r="M167" t="str">
            <v>NA</v>
          </cell>
          <cell r="N167" t="str">
            <v>Prestar servicios profesionales para apoyar   el seguimiento a los procesos de adquisicón de bienes y servicios   y la  ejecución de los contratos para el Concejo de Bogotá</v>
          </cell>
          <cell r="O167">
            <v>1</v>
          </cell>
          <cell r="P167" t="str">
            <v>5 años de experiencia profesional. Un año de experiencia relacionada con el objeto y obligaciones del contrato. (El cual podrá estar incluido en la experiencia general).</v>
          </cell>
          <cell r="Q167" t="str">
            <v>Profesional en derecho, áreas administrativas o económicas</v>
          </cell>
          <cell r="R167" t="str">
            <v>DIRECTA.PRESTACION.SERVIC.9_7</v>
          </cell>
          <cell r="S167" t="str">
            <v>P</v>
          </cell>
          <cell r="T167" t="str">
            <v>NA</v>
          </cell>
          <cell r="U167" t="str">
            <v>PRESTACION SERV. PROFESIONALES</v>
          </cell>
          <cell r="V167">
            <v>57000000</v>
          </cell>
          <cell r="W167">
            <v>57000000</v>
          </cell>
          <cell r="X167" t="str">
            <v>10 mes(es)</v>
          </cell>
          <cell r="Y167">
            <v>1</v>
          </cell>
          <cell r="Z167">
            <v>42826</v>
          </cell>
          <cell r="AA167" t="str">
            <v xml:space="preserve">El Concejo de Bogotá, Dirección  Financiera, requiere contratar un profesional que articule los propcesos contractuales  que se financian a través del Fondo Cuenta UE 04 de la Secretaría Distrital de Hacienda, para el adecuado seguimiento, control de la  ejecución contractual,  de acuerdo a las especificaciones técnicas. Así como la liquidación y cierre de los  expedientes contractuales que se requieran. </v>
          </cell>
        </row>
        <row r="168">
          <cell r="C168">
            <v>161</v>
          </cell>
          <cell r="D168">
            <v>69</v>
          </cell>
          <cell r="E168" t="str">
            <v>INICIAL</v>
          </cell>
          <cell r="F168" t="str">
            <v>RECURSOS PROPIOS</v>
          </cell>
          <cell r="G168">
            <v>120000</v>
          </cell>
          <cell r="H168">
            <v>4</v>
          </cell>
          <cell r="I168" t="str">
            <v>3-1-1-02-04 Remuneración Servicios Técnicos</v>
          </cell>
          <cell r="J168">
            <v>1</v>
          </cell>
          <cell r="K168">
            <v>4</v>
          </cell>
          <cell r="L168" t="str">
            <v>NA</v>
          </cell>
          <cell r="M168" t="str">
            <v>NA</v>
          </cell>
          <cell r="N168" t="str">
            <v>Prestar servicios de apoyo para sistematizar y consolidar la información relacionada con las incapacidades de los funcionarios en el marco del proceso de Seguridad Social del Concejo de Bogotá.</v>
          </cell>
          <cell r="O168">
            <v>1</v>
          </cell>
          <cell r="P168" t="str">
            <v>1 año de experiencia geneal, 6 meses de experiencia especifica en labores de apoyo administrativo ( los cuales pueden estar incluidos en la experiencia general).</v>
          </cell>
          <cell r="Q168" t="str">
            <v>Técnico o estudiante de minimo cuarto semestre en carreras administrativas.</v>
          </cell>
          <cell r="R168" t="str">
            <v>DIRECTA.PRESTACION.SERVIC.9_7</v>
          </cell>
          <cell r="S168" t="str">
            <v>P</v>
          </cell>
          <cell r="T168" t="str">
            <v>NA</v>
          </cell>
          <cell r="U168" t="str">
            <v>PRESTACION DE SERVICIOS</v>
          </cell>
          <cell r="V168">
            <v>22500000</v>
          </cell>
          <cell r="W168">
            <v>22500000</v>
          </cell>
          <cell r="X168" t="str">
            <v>12 mes(es)</v>
          </cell>
          <cell r="Y168">
            <v>1</v>
          </cell>
          <cell r="Z168">
            <v>42826</v>
          </cell>
          <cell r="AA168" t="str">
            <v xml:space="preserve"> De acuerdo con el manual de procesos y procedimientos, la Dirección financiera del Concejo de Bogotá, es la encargada del manejo de la nómina de los funcionarios y ex funcionarios de la Corporación, para lo cual debe tener en cuenta las novedades que impactan diariamente su liquidación, entre ellas las incapacidades y el recobro a la EPS de los valores que canceló la Corporación y deben ser devueltos a la Entidad,  Para ello se requiere de una base de datos confiable que contenga la información necesaria para los trámites correspondientes</v>
          </cell>
        </row>
        <row r="169">
          <cell r="C169">
            <v>162</v>
          </cell>
          <cell r="D169">
            <v>69</v>
          </cell>
          <cell r="E169" t="str">
            <v>INICIAL</v>
          </cell>
          <cell r="F169" t="str">
            <v>RECURSOS PROPIOS</v>
          </cell>
          <cell r="G169">
            <v>120000</v>
          </cell>
          <cell r="H169">
            <v>4</v>
          </cell>
          <cell r="I169" t="str">
            <v>3-1-1-02-04 Remuneración Servicios Técnicos</v>
          </cell>
          <cell r="J169">
            <v>1</v>
          </cell>
          <cell r="K169">
            <v>4</v>
          </cell>
          <cell r="L169" t="str">
            <v>NA</v>
          </cell>
          <cell r="M169" t="str">
            <v>NA</v>
          </cell>
          <cell r="N169" t="str">
            <v>Prestar sevicios de apoyo administrativo y operativo para la liquidación y el cierre de los expedientes contractuales en el marco de las labores de supervisión asignadas a la Dirección Financiera del Concejo de Bogotá.</v>
          </cell>
          <cell r="O169">
            <v>1</v>
          </cell>
          <cell r="P169" t="str">
            <v>1 año de experiencia geneal, 6 meses de experiencia especifica en labores de apoyo administrativo ( los cuales pueden estar incluidos en la experiencia general).</v>
          </cell>
          <cell r="Q169" t="str">
            <v>Técnico o estudiante de minimo cuarto semestre en carreras administrativas.</v>
          </cell>
          <cell r="R169" t="str">
            <v>DIRECTA.PRESTACION.SERVIC.9_7</v>
          </cell>
          <cell r="S169" t="str">
            <v>P</v>
          </cell>
          <cell r="T169" t="str">
            <v>NA</v>
          </cell>
          <cell r="U169" t="str">
            <v>PRESTACION DE SERVICIOS</v>
          </cell>
          <cell r="V169">
            <v>22500000</v>
          </cell>
          <cell r="W169">
            <v>22500000</v>
          </cell>
          <cell r="X169" t="str">
            <v>12 mes(es)</v>
          </cell>
          <cell r="Y169">
            <v>1</v>
          </cell>
          <cell r="Z169">
            <v>42826</v>
          </cell>
          <cell r="AA169" t="str">
            <v xml:space="preserve"> Para el Concejo de Bogotá es necesaria la celebración de un contrato de prestación de servicios  para apoyar administrativa y opertativamente en las gestiones necesarias para la liquidación y cierre de expedientes contractuales que hacen parte de la supervisión de la Dirección Financiera, toda vez que, una vez realizado un proceso de depuración, se encontró un número amplio de expedientes sin actas de liquidación o informes finales de supervisión. razón por la cual, se hace necesario contar tambien con el apoyo operativo de técniso que sirvan de apoyo a la gestión y tramité de documentos faltantes en los expedientes (actas de inicio, documentación de soporte o evidencias del cumplimiento de las obligaciones contractuales, ingresos al almacen, certficaciones de pagos, informes mensuales de supervisión, garantias, entre otros.) , organización de expedientes, control y seguimiento de los tramites realizados ante la Secretaría de Hacienda.</v>
          </cell>
        </row>
        <row r="170">
          <cell r="C170">
            <v>163</v>
          </cell>
          <cell r="D170">
            <v>69</v>
          </cell>
          <cell r="E170" t="str">
            <v>INICIAL</v>
          </cell>
          <cell r="F170" t="str">
            <v>RECURSOS PROPIOS</v>
          </cell>
          <cell r="G170">
            <v>120000</v>
          </cell>
          <cell r="H170">
            <v>4</v>
          </cell>
          <cell r="I170" t="str">
            <v>3-1-1-02-04 Remuneración Servicios Técnicos</v>
          </cell>
          <cell r="J170">
            <v>1</v>
          </cell>
          <cell r="K170">
            <v>4</v>
          </cell>
          <cell r="L170" t="str">
            <v>NA</v>
          </cell>
          <cell r="M170" t="str">
            <v>NA</v>
          </cell>
          <cell r="N170" t="str">
            <v>Prestar servicios de apoyo al procedimiento de bonos pensionales para coadyuvar con las actividades de actualización y administración de la información de los funcionarios y exfuncionarios en cuanto a los trámites pensionales.</v>
          </cell>
          <cell r="O170">
            <v>1</v>
          </cell>
          <cell r="P170" t="str">
            <v>1 año de experiencia general.  6 meses de experiencia especifica en labores de apoyo administrativo y/o manejo de información en hojas de calculo excel.-</v>
          </cell>
          <cell r="Q170" t="str">
            <v>Bachiller</v>
          </cell>
          <cell r="R170" t="str">
            <v>DIRECTA.PRESTACION.SERVIC.9_7</v>
          </cell>
          <cell r="S170" t="str">
            <v>P</v>
          </cell>
          <cell r="T170" t="str">
            <v>NA</v>
          </cell>
          <cell r="U170" t="str">
            <v>PRESTACION DE SERVICIOS</v>
          </cell>
          <cell r="V170">
            <v>22500000</v>
          </cell>
          <cell r="W170">
            <v>22500000</v>
          </cell>
          <cell r="X170" t="str">
            <v>12 mes(es)</v>
          </cell>
          <cell r="Y170">
            <v>1</v>
          </cell>
          <cell r="Z170">
            <v>42826</v>
          </cell>
          <cell r="AA170" t="str">
            <v>Para la Dirección Financiera del Concejo de Bogotá es necesaria la celebración de un contrato de prestación de servicios para apoyar las actividades desarrolladas por medio del procedimiento de bonos pensionales con el fin de disminuir el represamiento de respuesta  a las solicitudes de información realizadas por los funcionarios y exfuncionarios de la Corporación y de las entidades públicas y privadas que intervienen en el control y reconocimiento de  las prestaciones pensionales.  Por otro lado, se requiere mantener actualizada la información correspondiente a las historias laborales de los trabajadores activos y retirados de la entidad (aproximadamente 700 trabajadores al año)  para cumplir con los reportes dmensuales sobre las liquidaciones pensionales que se envian mensualmente al Fondo de Prestaciones Económicas, Cesantías y Pensiones de Bogotá - FONCEP y al Ministerio de Hacienda.</v>
          </cell>
        </row>
        <row r="171">
          <cell r="C171">
            <v>164</v>
          </cell>
          <cell r="D171">
            <v>69</v>
          </cell>
          <cell r="E171" t="str">
            <v>INICIAL</v>
          </cell>
          <cell r="F171" t="str">
            <v>RECURSOS PROPIOS</v>
          </cell>
          <cell r="G171">
            <v>120000</v>
          </cell>
          <cell r="H171">
            <v>4</v>
          </cell>
          <cell r="I171" t="str">
            <v>3-1-1-02-04 Remuneración Servicios Técnicos</v>
          </cell>
          <cell r="J171">
            <v>1</v>
          </cell>
          <cell r="K171">
            <v>4</v>
          </cell>
          <cell r="L171" t="str">
            <v>NA</v>
          </cell>
          <cell r="M171" t="str">
            <v>NA</v>
          </cell>
          <cell r="N171" t="str">
            <v>Prestar servicios para apoyar los procedimientos de organización documental del Concejo de Bogotá.</v>
          </cell>
          <cell r="O171">
            <v>1</v>
          </cell>
          <cell r="P171" t="str">
            <v>6 meses de experiencia general.  6 meses de experiencia especifica en apoyo administrativo y/o operativo  y en servicio al cliente</v>
          </cell>
          <cell r="Q171" t="str">
            <v>Bachiller</v>
          </cell>
          <cell r="R171" t="str">
            <v>DIRECTA.PRESTACION.SERVIC.9_7</v>
          </cell>
          <cell r="S171" t="str">
            <v>P</v>
          </cell>
          <cell r="T171" t="str">
            <v>NA</v>
          </cell>
          <cell r="U171" t="str">
            <v>PRESTACION DE SERVICIOS</v>
          </cell>
          <cell r="V171">
            <v>22500000</v>
          </cell>
          <cell r="W171">
            <v>22500000</v>
          </cell>
          <cell r="X171" t="str">
            <v>12 mes(es)</v>
          </cell>
          <cell r="Y171">
            <v>1</v>
          </cell>
          <cell r="Z171">
            <v>42770</v>
          </cell>
          <cell r="AA171" t="str">
            <v>El objetivo esencial  que se pretende con esta contratación es contar con un auxiliar administrativo que apoye al Concejo de Bogota, con la organización, clasificación, foliación, digitalización, embalaje y transferencias de la documentación del Concejo de Bogotá.,de acuerdo a los lineamientos establecidos poe la Ley General de Archivo 594 de  2000.</v>
          </cell>
        </row>
        <row r="172">
          <cell r="C172">
            <v>165</v>
          </cell>
          <cell r="D172">
            <v>69</v>
          </cell>
          <cell r="E172" t="str">
            <v>INICIAL</v>
          </cell>
          <cell r="F172" t="str">
            <v>RECURSOS PROPIOS</v>
          </cell>
          <cell r="G172">
            <v>120000</v>
          </cell>
          <cell r="H172">
            <v>4</v>
          </cell>
          <cell r="I172" t="str">
            <v>3-1-2-02-03 Gastos de Transporte y Comunicación</v>
          </cell>
          <cell r="J172">
            <v>1</v>
          </cell>
          <cell r="K172">
            <v>4</v>
          </cell>
          <cell r="L172" t="str">
            <v>NA</v>
          </cell>
          <cell r="M172" t="str">
            <v>NA</v>
          </cell>
          <cell r="N172" t="str">
            <v>Suscripción al sistema de televisión satelital para ser instalados en la sede del Concejo de Bogotá.</v>
          </cell>
          <cell r="O172">
            <v>1</v>
          </cell>
          <cell r="P172" t="str">
            <v>NA</v>
          </cell>
          <cell r="Q172" t="str">
            <v>NA</v>
          </cell>
          <cell r="R172" t="str">
            <v>MINIMA_CUANTIA</v>
          </cell>
          <cell r="S172" t="str">
            <v>P</v>
          </cell>
          <cell r="T172" t="str">
            <v>NA</v>
          </cell>
          <cell r="U172" t="str">
            <v>SUSCRIPCION</v>
          </cell>
          <cell r="V172">
            <v>1800000</v>
          </cell>
          <cell r="W172">
            <v>1800000</v>
          </cell>
          <cell r="X172" t="str">
            <v>9 mes(es)</v>
          </cell>
          <cell r="Y172">
            <v>6</v>
          </cell>
          <cell r="Z172">
            <v>42938</v>
          </cell>
          <cell r="AA172" t="str">
            <v>Se requiere contar con este servicio para la información de los medios de televisión que necesite el Concejo de Bogotá.</v>
          </cell>
        </row>
        <row r="173">
          <cell r="C173">
            <v>166</v>
          </cell>
          <cell r="D173">
            <v>69</v>
          </cell>
          <cell r="E173" t="str">
            <v>INICIAL</v>
          </cell>
          <cell r="F173" t="str">
            <v>RECURSOS PROPIOS</v>
          </cell>
          <cell r="G173">
            <v>120000</v>
          </cell>
          <cell r="H173">
            <v>4</v>
          </cell>
          <cell r="I173" t="str">
            <v>3-1-2-02-04 Impresos y  Publicaciones</v>
          </cell>
          <cell r="J173">
            <v>1</v>
          </cell>
          <cell r="K173">
            <v>4</v>
          </cell>
          <cell r="L173" t="str">
            <v>NA</v>
          </cell>
          <cell r="M173" t="str">
            <v>NA</v>
          </cell>
          <cell r="N173" t="str">
            <v>Suscripción al servicio de información jurídica a través de un boletín informativo por correo electrónico, consulta web y bibilioteca digital de legislación colombiana actualizada.</v>
          </cell>
          <cell r="O173">
            <v>1</v>
          </cell>
          <cell r="P173" t="str">
            <v>NA</v>
          </cell>
          <cell r="Q173" t="str">
            <v>NA</v>
          </cell>
          <cell r="R173" t="str">
            <v>MINIMA_CUANTIA</v>
          </cell>
          <cell r="S173" t="str">
            <v>P</v>
          </cell>
          <cell r="T173" t="str">
            <v>NA</v>
          </cell>
          <cell r="U173" t="str">
            <v>SUSCRIPCION</v>
          </cell>
          <cell r="V173">
            <v>1150000</v>
          </cell>
          <cell r="W173">
            <v>1150000</v>
          </cell>
          <cell r="X173" t="str">
            <v>5 mes(es)</v>
          </cell>
          <cell r="Y173">
            <v>6</v>
          </cell>
          <cell r="Z173">
            <v>42969</v>
          </cell>
          <cell r="AA173" t="str">
            <v xml:space="preserve">  Se requiere contar con información jurídica  actualizada y oportuna  para  el desarrollo de las funciones de los servidores del Concejo de Bogotá.</v>
          </cell>
        </row>
        <row r="174">
          <cell r="C174">
            <v>167</v>
          </cell>
          <cell r="D174">
            <v>69</v>
          </cell>
          <cell r="E174" t="str">
            <v>INICIAL</v>
          </cell>
          <cell r="F174" t="str">
            <v>RECURSOS PROPIOS</v>
          </cell>
          <cell r="G174">
            <v>120000</v>
          </cell>
          <cell r="H174">
            <v>4</v>
          </cell>
          <cell r="I174" t="str">
            <v>3-1-2-02-04 Impresos y  Publicaciones</v>
          </cell>
          <cell r="J174">
            <v>1</v>
          </cell>
          <cell r="K174">
            <v>4</v>
          </cell>
          <cell r="L174" t="str">
            <v>NA</v>
          </cell>
          <cell r="M174" t="str">
            <v>NA</v>
          </cell>
          <cell r="N174" t="str">
            <v>Suscripción al períodico El Tiempo y Portafolio para el Concejo de Bogotá</v>
          </cell>
          <cell r="O174">
            <v>1</v>
          </cell>
          <cell r="P174" t="str">
            <v>NA</v>
          </cell>
          <cell r="Q174" t="str">
            <v>NA</v>
          </cell>
          <cell r="R174" t="str">
            <v>DIRECTA_OTRAS_CAUSALES</v>
          </cell>
          <cell r="S174" t="str">
            <v>P</v>
          </cell>
          <cell r="T174" t="str">
            <v>NA</v>
          </cell>
          <cell r="U174" t="str">
            <v>SUSCRIPCION</v>
          </cell>
          <cell r="V174">
            <v>1250000</v>
          </cell>
          <cell r="W174">
            <v>1250000</v>
          </cell>
          <cell r="X174" t="str">
            <v>9 mes(es)</v>
          </cell>
          <cell r="Y174">
            <v>1</v>
          </cell>
          <cell r="Z174">
            <v>42816</v>
          </cell>
          <cell r="AA174" t="str">
            <v>El concejo de Bogota requiere obtener informacion oportuna de carácter nacional e internacional, la cual es publicada por los diferentes medios impresos, asi como recopilar y conservar documentos que registran hechos de actualidad.</v>
          </cell>
        </row>
        <row r="175">
          <cell r="C175">
            <v>168</v>
          </cell>
          <cell r="D175">
            <v>69</v>
          </cell>
          <cell r="E175" t="str">
            <v>INICIAL</v>
          </cell>
          <cell r="F175" t="str">
            <v>RECURSOS PROPIOS</v>
          </cell>
          <cell r="G175">
            <v>120000</v>
          </cell>
          <cell r="H175">
            <v>4</v>
          </cell>
          <cell r="I175" t="str">
            <v>3-1-2-02-04 Impresos y  Publicaciones</v>
          </cell>
          <cell r="J175">
            <v>1</v>
          </cell>
          <cell r="K175">
            <v>4</v>
          </cell>
          <cell r="L175" t="str">
            <v>NA</v>
          </cell>
          <cell r="M175" t="str">
            <v>NA</v>
          </cell>
          <cell r="N175" t="str">
            <v>Suscripción a la Revista del Congreso para el Concejo de Bogotá.</v>
          </cell>
          <cell r="O175">
            <v>1</v>
          </cell>
          <cell r="P175" t="str">
            <v>NA</v>
          </cell>
          <cell r="Q175" t="str">
            <v>NA</v>
          </cell>
          <cell r="R175" t="str">
            <v>DIRECTA_OTRAS_CAUSALES</v>
          </cell>
          <cell r="S175" t="str">
            <v>P</v>
          </cell>
          <cell r="T175" t="str">
            <v>NA</v>
          </cell>
          <cell r="U175" t="str">
            <v>SUSCRIPCION</v>
          </cell>
          <cell r="V175">
            <v>10000000</v>
          </cell>
          <cell r="W175">
            <v>10000000</v>
          </cell>
          <cell r="X175" t="str">
            <v>12 mes(es)</v>
          </cell>
          <cell r="Y175">
            <v>4</v>
          </cell>
          <cell r="Z175">
            <v>42878</v>
          </cell>
          <cell r="AA175" t="str">
            <v>El concejo de Bogota requiere obtener informacion oportuna de carácter nacional e internacional, asi como recopilar y conservar documentos que registran hechos de actualidad,  la cual es publicada por los diferentes medios impresos</v>
          </cell>
        </row>
        <row r="176">
          <cell r="C176">
            <v>169</v>
          </cell>
          <cell r="D176">
            <v>69</v>
          </cell>
          <cell r="E176" t="str">
            <v>INICIAL</v>
          </cell>
          <cell r="F176" t="str">
            <v>RECURSOS PROPIOS</v>
          </cell>
          <cell r="G176">
            <v>120000</v>
          </cell>
          <cell r="H176">
            <v>4</v>
          </cell>
          <cell r="I176" t="str">
            <v>3-1-2-02-04 Impresos y  Publicaciones</v>
          </cell>
          <cell r="J176">
            <v>1</v>
          </cell>
          <cell r="K176">
            <v>4</v>
          </cell>
          <cell r="L176" t="str">
            <v>NA</v>
          </cell>
          <cell r="M176" t="str">
            <v>NA</v>
          </cell>
          <cell r="N176" t="str">
            <v>Proveer ejemplares del Directorio de Despachos Públicos de Colombia 2017, para el Concejo de Bogotá D.C.</v>
          </cell>
          <cell r="O176">
            <v>1</v>
          </cell>
          <cell r="P176" t="str">
            <v>NA</v>
          </cell>
          <cell r="Q176" t="str">
            <v>NA</v>
          </cell>
          <cell r="R176" t="str">
            <v>DIRECTA_OTRAS_CAUSALES</v>
          </cell>
          <cell r="S176" t="str">
            <v>P</v>
          </cell>
          <cell r="T176" t="str">
            <v>NA</v>
          </cell>
          <cell r="U176" t="str">
            <v>COMPRAVENTA</v>
          </cell>
          <cell r="V176">
            <v>5000000</v>
          </cell>
          <cell r="W176">
            <v>5000000</v>
          </cell>
          <cell r="X176" t="str">
            <v>5 mes(es)</v>
          </cell>
          <cell r="Y176">
            <v>3</v>
          </cell>
          <cell r="Z176">
            <v>42832</v>
          </cell>
          <cell r="AA176" t="str">
            <v>El Concejo de Bogotá, en cumplimiento de las funciones misionales, requiere acceder a la información de las diferentes entidades que conforman el Sector Público Distrital, así como de las dependencias del nivel central del gobierno nacional, Empresas Sociales del Estado, Entidades Descentralizadas, Empresas de Servicios públicos y general, de las demás entidades estatales, las cuales también realizan la publicación de su información oficial en Despachos Públicos de Colombia.   Igualmente, la Corporación, requiere publicar la información institucional actualizada en la versión 2017 del directorio de Despachos Públicos de Colombia, teniendo en cuenta que es importante que la ciudadanía conozca información relacionada con el Cabildo Distrital como es: el domicilio, numero de extensiones de las oficinas de los Honorables Concejales, Directores, Asesores y demás dependencias, línea del conmutador, pagina web, entre otras.</v>
          </cell>
        </row>
        <row r="177">
          <cell r="C177">
            <v>170</v>
          </cell>
          <cell r="D177">
            <v>69</v>
          </cell>
          <cell r="E177" t="str">
            <v>INICIAL</v>
          </cell>
          <cell r="F177" t="str">
            <v>RECURSOS PROPIOS</v>
          </cell>
          <cell r="G177">
            <v>120000</v>
          </cell>
          <cell r="H177">
            <v>4</v>
          </cell>
          <cell r="I177" t="str">
            <v>3-1-2-02-04 Impresos y  Publicaciones</v>
          </cell>
          <cell r="J177">
            <v>1</v>
          </cell>
          <cell r="K177">
            <v>4</v>
          </cell>
          <cell r="L177" t="str">
            <v>NA</v>
          </cell>
          <cell r="M177" t="str">
            <v>NA</v>
          </cell>
          <cell r="N177" t="str">
            <v>Suscripción al diario La República para el Concejo de Bogotá.</v>
          </cell>
          <cell r="O177">
            <v>1</v>
          </cell>
          <cell r="P177" t="str">
            <v>NA</v>
          </cell>
          <cell r="Q177" t="str">
            <v>NA</v>
          </cell>
          <cell r="R177" t="str">
            <v>DIRECTA_OTRAS_CAUSALES</v>
          </cell>
          <cell r="S177" t="str">
            <v>P</v>
          </cell>
          <cell r="T177" t="str">
            <v>NA</v>
          </cell>
          <cell r="U177" t="str">
            <v>SUSCRIPCION</v>
          </cell>
          <cell r="V177">
            <v>1000000</v>
          </cell>
          <cell r="W177">
            <v>1000000</v>
          </cell>
          <cell r="X177" t="str">
            <v>12 mes(es)</v>
          </cell>
          <cell r="Y177">
            <v>9</v>
          </cell>
          <cell r="Z177">
            <v>43011</v>
          </cell>
          <cell r="AA177" t="str">
            <v>El concejo de Bogota requiere obtener informacion oportuna de carácter nacional e internacional, la cual es publicada por los diferentes medios impresos, asi como recopilar y conservar documentos que registran hechos de actualidad.</v>
          </cell>
        </row>
        <row r="178">
          <cell r="C178">
            <v>171</v>
          </cell>
          <cell r="D178">
            <v>69</v>
          </cell>
          <cell r="E178" t="str">
            <v>INICIAL</v>
          </cell>
          <cell r="F178" t="str">
            <v>RECURSOS PROPIOS</v>
          </cell>
          <cell r="G178">
            <v>120000</v>
          </cell>
          <cell r="H178">
            <v>4</v>
          </cell>
          <cell r="I178" t="str">
            <v>3-1-2-02-04 Impresos y  Publicaciones</v>
          </cell>
          <cell r="J178">
            <v>1</v>
          </cell>
          <cell r="K178">
            <v>4</v>
          </cell>
          <cell r="L178" t="str">
            <v>NA</v>
          </cell>
          <cell r="M178" t="str">
            <v>NA</v>
          </cell>
          <cell r="N178" t="str">
            <v>Suscripción al diario el Espectador para el Concejo de Bogotá</v>
          </cell>
          <cell r="O178">
            <v>1</v>
          </cell>
          <cell r="P178" t="str">
            <v>NA</v>
          </cell>
          <cell r="Q178" t="str">
            <v>NA</v>
          </cell>
          <cell r="R178" t="str">
            <v>DIRECTA_OTRAS_CAUSALES</v>
          </cell>
          <cell r="S178" t="str">
            <v>P</v>
          </cell>
          <cell r="T178" t="str">
            <v>NA</v>
          </cell>
          <cell r="U178" t="str">
            <v>SUSCRIPCION</v>
          </cell>
          <cell r="V178">
            <v>1000000</v>
          </cell>
          <cell r="W178">
            <v>1000000</v>
          </cell>
          <cell r="X178" t="str">
            <v>12 mes(es)</v>
          </cell>
          <cell r="Y178">
            <v>9</v>
          </cell>
          <cell r="Z178">
            <v>43008</v>
          </cell>
          <cell r="AA178" t="str">
            <v>El concejo de Bogotá requiere obtener informacion oportuna de carácter nacional e internacional, asi como recopilar y conservar documentos que registran hechos de actualidad,  la cual es publicada por los diferentes medios impresos</v>
          </cell>
        </row>
        <row r="179">
          <cell r="C179">
            <v>172</v>
          </cell>
          <cell r="D179">
            <v>69</v>
          </cell>
          <cell r="E179" t="str">
            <v>INICIAL</v>
          </cell>
          <cell r="F179" t="str">
            <v>RECURSOS PROPIOS</v>
          </cell>
          <cell r="G179">
            <v>120000</v>
          </cell>
          <cell r="H179">
            <v>4</v>
          </cell>
          <cell r="I179" t="str">
            <v>3-1-2-02-04 Impresos y  Publicaciones</v>
          </cell>
          <cell r="J179">
            <v>1</v>
          </cell>
          <cell r="K179">
            <v>4</v>
          </cell>
          <cell r="L179" t="str">
            <v>NA</v>
          </cell>
          <cell r="M179" t="str">
            <v>NA</v>
          </cell>
          <cell r="N179" t="str">
            <v>Suscripción al diario El Nuevo Siglo para el Concejo de Bogotá</v>
          </cell>
          <cell r="O179">
            <v>1</v>
          </cell>
          <cell r="P179" t="str">
            <v>NA</v>
          </cell>
          <cell r="Q179" t="str">
            <v>NA</v>
          </cell>
          <cell r="R179" t="str">
            <v>DIRECTA_OTRAS_CAUSALES</v>
          </cell>
          <cell r="S179" t="str">
            <v>P</v>
          </cell>
          <cell r="T179" t="str">
            <v>NA</v>
          </cell>
          <cell r="U179" t="str">
            <v>SUSCRIPCION</v>
          </cell>
          <cell r="V179">
            <v>1000000</v>
          </cell>
          <cell r="W179">
            <v>1000000</v>
          </cell>
          <cell r="X179" t="str">
            <v>12 mes(es)</v>
          </cell>
          <cell r="Y179">
            <v>9</v>
          </cell>
          <cell r="Z179">
            <v>43012</v>
          </cell>
          <cell r="AA179" t="str">
            <v>El concejo de Bogota requiere obtener informacion oportuna de carácter nacional e internacional, asi como recopilar y conservar documentos que registran hechos de actualidad,  la cual es publicada por los diferentes medios impresos</v>
          </cell>
        </row>
        <row r="180">
          <cell r="C180">
            <v>173</v>
          </cell>
          <cell r="D180">
            <v>69</v>
          </cell>
          <cell r="E180" t="str">
            <v>INICIAL</v>
          </cell>
          <cell r="F180" t="str">
            <v>RECURSOS PROPIOS</v>
          </cell>
          <cell r="G180">
            <v>120000</v>
          </cell>
          <cell r="H180">
            <v>4</v>
          </cell>
          <cell r="I180" t="str">
            <v>3-1-2-02-04 Impresos y  Publicaciones</v>
          </cell>
          <cell r="J180">
            <v>1</v>
          </cell>
          <cell r="K180">
            <v>4</v>
          </cell>
          <cell r="L180" t="str">
            <v>NA</v>
          </cell>
          <cell r="M180" t="str">
            <v>NA</v>
          </cell>
          <cell r="N180" t="str">
            <v>Suscripción a la Revista Semana para el Concejo de Bogotá</v>
          </cell>
          <cell r="O180">
            <v>1</v>
          </cell>
          <cell r="P180" t="str">
            <v>NA</v>
          </cell>
          <cell r="Q180" t="str">
            <v>NA</v>
          </cell>
          <cell r="R180" t="str">
            <v>DIRECTA_OTRAS_CAUSALES</v>
          </cell>
          <cell r="S180" t="str">
            <v>P</v>
          </cell>
          <cell r="T180" t="str">
            <v>NA</v>
          </cell>
          <cell r="U180" t="str">
            <v>SUSCRIPCION</v>
          </cell>
          <cell r="V180">
            <v>1000000</v>
          </cell>
          <cell r="W180">
            <v>1000000</v>
          </cell>
          <cell r="X180" t="str">
            <v>12 mes(es)</v>
          </cell>
          <cell r="Y180">
            <v>9</v>
          </cell>
          <cell r="Z180">
            <v>43010</v>
          </cell>
          <cell r="AA180" t="str">
            <v xml:space="preserve">  El concejo de Bogota requiere obtener informacion oportuna de carácter nacional e internacional, asi como recopilar y conservar documentos que registran hechos de actualidad,  la cual es publicada por los diferentes medios impresos</v>
          </cell>
        </row>
        <row r="181">
          <cell r="C181">
            <v>174</v>
          </cell>
          <cell r="D181">
            <v>69</v>
          </cell>
          <cell r="E181" t="str">
            <v>INICIAL</v>
          </cell>
          <cell r="F181" t="str">
            <v>RECURSOS PROPIOS</v>
          </cell>
          <cell r="G181">
            <v>120000</v>
          </cell>
          <cell r="H181">
            <v>4</v>
          </cell>
          <cell r="I181" t="str">
            <v>3-1-2-02-05-01 Mantenimiento Entidad</v>
          </cell>
          <cell r="J181">
            <v>1</v>
          </cell>
          <cell r="K181">
            <v>4</v>
          </cell>
          <cell r="L181" t="str">
            <v>NA</v>
          </cell>
          <cell r="M181" t="str">
            <v>NA</v>
          </cell>
          <cell r="N181" t="str">
            <v>Realizar la Interventoria técnica administrativa, ambiental, financiera, legal y contable para el contrato de mantenimiento integral locativo con suministro de personal, equipo y repuestos.</v>
          </cell>
          <cell r="O181">
            <v>1</v>
          </cell>
          <cell r="P181" t="str">
            <v>NA</v>
          </cell>
          <cell r="Q181" t="str">
            <v>NA</v>
          </cell>
          <cell r="R181" t="str">
            <v>MINIMA_CUANTIA</v>
          </cell>
          <cell r="S181" t="str">
            <v>P</v>
          </cell>
          <cell r="T181" t="str">
            <v>NA</v>
          </cell>
          <cell r="U181" t="str">
            <v>PRESTACION DE SERVICIOS</v>
          </cell>
          <cell r="V181">
            <v>11000000</v>
          </cell>
          <cell r="W181">
            <v>11000000</v>
          </cell>
          <cell r="X181" t="str">
            <v>9 mes(es)</v>
          </cell>
          <cell r="Y181">
            <v>3</v>
          </cell>
          <cell r="Z181">
            <v>42912</v>
          </cell>
          <cell r="AA181" t="str">
            <v>Para la ejecución del Contrato de mantenimiento locativo el Concejo de Bogota requiere un profesional encargado de velar porque el objeto y las obligaciones de dicho contrato se cumplan en las condiciones de tiempo, modo y lugar establecidasy que tambien realice un analisis y evaluacion del la ejecucion administrativa, financiera, contable y legal para la optimizacion de recursos y el aprovechamiento de los mismos.</v>
          </cell>
        </row>
        <row r="182">
          <cell r="C182">
            <v>175</v>
          </cell>
          <cell r="D182">
            <v>69</v>
          </cell>
          <cell r="E182" t="str">
            <v>INICIAL</v>
          </cell>
          <cell r="F182" t="str">
            <v>RECURSOS PROPIOS</v>
          </cell>
          <cell r="G182">
            <v>120000</v>
          </cell>
          <cell r="H182">
            <v>4</v>
          </cell>
          <cell r="I182" t="str">
            <v>3-1-2-02-05-01 Mantenimiento Entidad</v>
          </cell>
          <cell r="J182">
            <v>1</v>
          </cell>
          <cell r="K182">
            <v>4</v>
          </cell>
          <cell r="L182" t="str">
            <v>NA</v>
          </cell>
          <cell r="M182" t="str">
            <v>NA</v>
          </cell>
          <cell r="N182" t="str">
            <v>Prestar servicios de mantenimiento correctivo y preventivo de la puerta eléctrica y talanqueras de acceso vehicular del Concejo de Bogotá</v>
          </cell>
          <cell r="O182">
            <v>1</v>
          </cell>
          <cell r="P182" t="str">
            <v>NA</v>
          </cell>
          <cell r="Q182" t="str">
            <v>NA</v>
          </cell>
          <cell r="R182" t="str">
            <v>MINIMA_CUANTIA</v>
          </cell>
          <cell r="S182" t="str">
            <v>P</v>
          </cell>
          <cell r="T182" t="str">
            <v>NA</v>
          </cell>
          <cell r="U182" t="str">
            <v>PRESTACION DE SERVICIOS</v>
          </cell>
          <cell r="V182">
            <v>7000000</v>
          </cell>
          <cell r="W182">
            <v>7000000</v>
          </cell>
          <cell r="X182" t="str">
            <v>8 mes(es)</v>
          </cell>
          <cell r="Y182">
            <v>2</v>
          </cell>
          <cell r="Z182">
            <v>42803</v>
          </cell>
          <cell r="AA182" t="str">
            <v>Se requiere mantener en normal funcionamiento de la puerta eléctrica y la talanquera de acceso vehicular a los parqueaderos del Concejo de Bogotá, para garantizar  las condiciones de seguridad y  fácil operación (apertura, control y cierre)   para permitir el ingreso y salida de los vehículos al parqueadero de la Corporación</v>
          </cell>
        </row>
        <row r="183">
          <cell r="C183">
            <v>176</v>
          </cell>
          <cell r="D183">
            <v>69</v>
          </cell>
          <cell r="E183" t="str">
            <v>INICIAL</v>
          </cell>
          <cell r="F183" t="str">
            <v>RECURSOS PROPIOS</v>
          </cell>
          <cell r="G183">
            <v>120000</v>
          </cell>
          <cell r="H183">
            <v>4</v>
          </cell>
          <cell r="I183" t="str">
            <v>3-1-2-02-11 Promoción Institucional</v>
          </cell>
          <cell r="J183">
            <v>1</v>
          </cell>
          <cell r="K183">
            <v>4</v>
          </cell>
          <cell r="L183" t="str">
            <v>NA</v>
          </cell>
          <cell r="M183" t="str">
            <v>NA</v>
          </cell>
          <cell r="N183" t="str">
            <v>Suministro de elementos de promoción institucional y actos protocolarios del Concejo de Bogotá.</v>
          </cell>
          <cell r="O183">
            <v>1</v>
          </cell>
          <cell r="P183" t="str">
            <v>NA</v>
          </cell>
          <cell r="Q183" t="str">
            <v>NA</v>
          </cell>
          <cell r="R183" t="str">
            <v>MINIMA_CUANTIA</v>
          </cell>
          <cell r="S183" t="str">
            <v>P</v>
          </cell>
          <cell r="T183" t="str">
            <v>NA</v>
          </cell>
          <cell r="U183" t="str">
            <v>SUMINISTRO</v>
          </cell>
          <cell r="V183">
            <v>72000000</v>
          </cell>
          <cell r="W183">
            <v>72000000</v>
          </cell>
          <cell r="X183" t="str">
            <v>12 mes(es)</v>
          </cell>
          <cell r="Y183">
            <v>1</v>
          </cell>
          <cell r="Z183">
            <v>42794</v>
          </cell>
          <cell r="AA183" t="str">
            <v>Teniendo en cuenta los acuerdos 141 de 2005, 156 de 2005 , 45 de 1999  y 23 de 1998 el Concejo de Bogota exalta  a personalidades de la ciudad, representantes del estado y empresas distinguidas por sus cualidades y meritos, para lo cual requiere adquirir de simbolos (medallas, pergaminos, estatuillas) para realizar dicha premiacion.</v>
          </cell>
        </row>
        <row r="184">
          <cell r="C184">
            <v>177</v>
          </cell>
          <cell r="D184">
            <v>69</v>
          </cell>
          <cell r="E184" t="str">
            <v>INICIAL</v>
          </cell>
          <cell r="F184" t="str">
            <v>RECURSOS PROPIOS</v>
          </cell>
          <cell r="G184">
            <v>120000</v>
          </cell>
          <cell r="H184">
            <v>4</v>
          </cell>
          <cell r="I184" t="str">
            <v>3-1-2-02-17 Información</v>
          </cell>
          <cell r="J184">
            <v>1</v>
          </cell>
          <cell r="K184">
            <v>4</v>
          </cell>
          <cell r="L184" t="str">
            <v>NA</v>
          </cell>
          <cell r="M184" t="str">
            <v>NA</v>
          </cell>
          <cell r="N184" t="str">
            <v>Prestar servicios de diseño, producción y ejecución de estrategias de divulgación en medios de comunicación de carácter masivo y alternativo para el Concejo de Bogotá.</v>
          </cell>
          <cell r="O184">
            <v>1</v>
          </cell>
          <cell r="P184" t="str">
            <v>NA</v>
          </cell>
          <cell r="Q184" t="str">
            <v>NA</v>
          </cell>
          <cell r="R184" t="str">
            <v>SEL.ABREVIADA.SUB.INV.ELECTRO.</v>
          </cell>
          <cell r="S184" t="str">
            <v>P</v>
          </cell>
          <cell r="T184" t="str">
            <v>NA</v>
          </cell>
          <cell r="U184" t="str">
            <v>PRESTACION DE SERVICIOS</v>
          </cell>
          <cell r="V184">
            <v>155000000</v>
          </cell>
          <cell r="W184">
            <v>155000000</v>
          </cell>
          <cell r="X184" t="str">
            <v>9 mes(es)</v>
          </cell>
          <cell r="Y184">
            <v>7</v>
          </cell>
          <cell r="Z184">
            <v>43006</v>
          </cell>
          <cell r="AA184" t="str">
            <v>El Concejo de Bogotá requiere  la formulación, análisis y recomendación de planes de medios, la creación, diseño, producción de piezas y campañas publicitarias, la ordenación y medición de pauta publicitaria a nombre de la Corporación, así como el control de la ejecución de los anuncios y campañas publicitarias requeridas por la entidad</v>
          </cell>
        </row>
        <row r="185">
          <cell r="C185">
            <v>178</v>
          </cell>
          <cell r="D185">
            <v>69</v>
          </cell>
          <cell r="E185" t="str">
            <v>INICIAL</v>
          </cell>
          <cell r="F185" t="str">
            <v>RECURSOS PROPIOS</v>
          </cell>
          <cell r="G185">
            <v>120000</v>
          </cell>
          <cell r="H185">
            <v>4</v>
          </cell>
          <cell r="I185" t="str">
            <v>3-1-2-02-17 Información</v>
          </cell>
          <cell r="J185">
            <v>1</v>
          </cell>
          <cell r="K185">
            <v>4</v>
          </cell>
          <cell r="L185" t="str">
            <v>NA</v>
          </cell>
          <cell r="M185" t="str">
            <v>NA</v>
          </cell>
          <cell r="N185" t="str">
            <v>Prestar servicios de producción y transmisión de  programas de televisión para el Concejo de Bogotá</v>
          </cell>
          <cell r="O185">
            <v>1</v>
          </cell>
          <cell r="P185" t="str">
            <v>NA</v>
          </cell>
          <cell r="Q185" t="str">
            <v>NA</v>
          </cell>
          <cell r="R185" t="str">
            <v>DIRECTA_OTRAS_CAUSALES</v>
          </cell>
          <cell r="S185" t="str">
            <v>P</v>
          </cell>
          <cell r="T185" t="str">
            <v>NA</v>
          </cell>
          <cell r="U185" t="str">
            <v>CONTRATO INTERADMINISTRATIVO</v>
          </cell>
          <cell r="V185">
            <v>1314000000</v>
          </cell>
          <cell r="W185">
            <v>1314000000</v>
          </cell>
          <cell r="X185" t="str">
            <v>11 mes(es)</v>
          </cell>
          <cell r="Y185">
            <v>2</v>
          </cell>
          <cell r="Z185">
            <v>42788</v>
          </cell>
          <cell r="AA185" t="str">
            <v>El Concejo de Bogota requiere la realizacion de la preproduccion, produccion, emision y postproduccion de programas de television de la Corporacion que permita a los bogotanos conocer el diario transcurrir de la entidad, asi como las opiniones de los Honorables Concejales de la Ciudad, que representan los intereses de los diferentes sectores de la Capital.</v>
          </cell>
        </row>
        <row r="186">
          <cell r="C186">
            <v>179</v>
          </cell>
          <cell r="D186">
            <v>69</v>
          </cell>
          <cell r="E186" t="str">
            <v>INICIAL</v>
          </cell>
          <cell r="F186" t="str">
            <v>RECURSOS PROPIOS</v>
          </cell>
          <cell r="G186">
            <v>120000</v>
          </cell>
          <cell r="H186">
            <v>4</v>
          </cell>
          <cell r="I186" t="str">
            <v>3-3-1-15-07-43-0728-190190 -Fortalecimiento a la gestión institucional del Concejo de Bogotá</v>
          </cell>
          <cell r="J186">
            <v>1</v>
          </cell>
          <cell r="K186">
            <v>4</v>
          </cell>
          <cell r="L186" t="str">
            <v>Realizar el 100% de las actividades programadas para el fortalecimiento y actualización de la infraestructura física del Concejo de Bogotá</v>
          </cell>
          <cell r="M186" t="str">
            <v>Adecuar y remodelar la infraestructura y espacios físicos del Concejo de Bogotá</v>
          </cell>
          <cell r="N186" t="str">
            <v>Realizar la adecuación del espacio destinado para los parqueaderos del Concejo de Bogotá</v>
          </cell>
          <cell r="O186">
            <v>1</v>
          </cell>
          <cell r="P186" t="str">
            <v>NA</v>
          </cell>
          <cell r="Q186" t="str">
            <v>NA</v>
          </cell>
          <cell r="R186" t="str">
            <v>SEL. ABREVIADA MENOR CUANTIA</v>
          </cell>
          <cell r="S186" t="str">
            <v>P</v>
          </cell>
          <cell r="T186" t="str">
            <v>NA</v>
          </cell>
          <cell r="U186" t="str">
            <v>OBRA</v>
          </cell>
          <cell r="V186">
            <v>300000000</v>
          </cell>
          <cell r="W186">
            <v>300000000</v>
          </cell>
          <cell r="X186" t="str">
            <v>6 mes(es)</v>
          </cell>
          <cell r="Y186">
            <v>1</v>
          </cell>
          <cell r="Z186">
            <v>42855</v>
          </cell>
          <cell r="AA186" t="str">
            <v xml:space="preserve">Teniendo en cuenta que para el último trimestre de la vigencia 2016 se programaron los recusos para dar inicio a la obra de adecuación del sótano de parqueaderos en una primera fase (iluminación, sistema de acceso vehicular y puertas talaqueras). Con la programación para la vigencia 2017, el Concejo de Bogotá,  espera ejecutar la segunda fase para acabados de obra blanca, que se refieren a actividades como enchapes, baterias sanitarias,pisos, pintura, accesorios básicos como ventanas y puertas, culminando con esto las labores de adecuación de los espacios fisicos del sótano de parqueaderos.   </v>
          </cell>
        </row>
        <row r="187">
          <cell r="C187">
            <v>180</v>
          </cell>
          <cell r="D187">
            <v>69</v>
          </cell>
          <cell r="E187" t="str">
            <v>INICIAL</v>
          </cell>
          <cell r="F187" t="str">
            <v>RECURSOS PROPIOS</v>
          </cell>
          <cell r="G187">
            <v>120000</v>
          </cell>
          <cell r="H187">
            <v>4</v>
          </cell>
          <cell r="I187" t="str">
            <v>3-3-1-15-07-43-0728-190190 -Fortalecimiento a la gestión institucional del Concejo de Bogotá</v>
          </cell>
          <cell r="J187">
            <v>1</v>
          </cell>
          <cell r="K187">
            <v>4</v>
          </cell>
          <cell r="L187" t="str">
            <v>Realizar el 100% de las actividades programadas para el fortalecimiento y actualización de la infraestructura física del Concejo de Bogotá</v>
          </cell>
          <cell r="M187" t="str">
            <v>Tomar en arrendamiento las instalaciones y bodegas para el uso del Concejo de Bogotá.</v>
          </cell>
          <cell r="N187" t="str">
            <v>Arrendamiento de inmueble para uso de parqueadero de vehiculos y motocicletas del Concejo de Bogota.</v>
          </cell>
          <cell r="O187">
            <v>1</v>
          </cell>
          <cell r="P187" t="str">
            <v>NA</v>
          </cell>
          <cell r="Q187" t="str">
            <v>NA</v>
          </cell>
          <cell r="R187" t="str">
            <v>DIRECTA_OTRAS_CAUSALES</v>
          </cell>
          <cell r="S187" t="str">
            <v>P</v>
          </cell>
          <cell r="T187" t="str">
            <v>NA</v>
          </cell>
          <cell r="U187" t="str">
            <v>ARRENDAMIENTO</v>
          </cell>
          <cell r="V187">
            <v>450000000</v>
          </cell>
          <cell r="W187">
            <v>450000000</v>
          </cell>
          <cell r="X187" t="str">
            <v>4 mes(es)</v>
          </cell>
          <cell r="Y187">
            <v>1</v>
          </cell>
          <cell r="Z187">
            <v>42783</v>
          </cell>
          <cell r="AA187" t="str">
            <v>Para el Concejo de Bogotá es necesario contar con un inmueble para el uso de parqueadero de los 52 vehículos que conforman el parque automotor de la Corporación y de las 96 motocicletas de la Policía Metropolitana que prestan el servicio de seguridad a los Concejales. Lo anterior teniendo en cuenta que a la fecha el Instituto de Desarrollo Urbano no ha entregado la obra de mantenimiento estructural a la plazoleta del Concejo de Bogotá,  que incluye el sotano de parqueaderos, la fecha prevista para la entrega final de acuerdo a la información oficial enviada por el IDU será a finales del mes de septiembre de 2016. Se resalta que el sótano de parqueadero será entregado al Concejo de Bogotá en obra negra y sin acabados. En consecuencia, el Fondo Cuenta UE 04 debe programar los recursos necesarios para el arrendamiento de los parqueaderos de la Corporación mientras se da inicio a los correspondientes procesos contractuales para las obras de adecuación del sotano de parqueaderos.</v>
          </cell>
        </row>
        <row r="188">
          <cell r="C188">
            <v>181</v>
          </cell>
          <cell r="D188">
            <v>69</v>
          </cell>
          <cell r="E188" t="str">
            <v>INICIAL</v>
          </cell>
          <cell r="F188" t="str">
            <v>RECURSOS PROPIOS</v>
          </cell>
          <cell r="G188">
            <v>120000</v>
          </cell>
          <cell r="H188">
            <v>4</v>
          </cell>
          <cell r="I188" t="str">
            <v>3-3-1-15-07-43-0728-190190 -Fortalecimiento a la gestión institucional del Concejo de Bogotá</v>
          </cell>
          <cell r="J188">
            <v>1</v>
          </cell>
          <cell r="K188">
            <v>4</v>
          </cell>
          <cell r="L188" t="str">
            <v>Garantizar 100% los esquemas de seguridad de los Concejales de Bogotá</v>
          </cell>
          <cell r="M188" t="str">
            <v>Implementar el esquema de seguridad de los Concejales del Distrito Capital que se encuentran en situación de riesgo extraordinario o extremo</v>
          </cell>
          <cell r="N188" t="str">
            <v>Aunar esfuerzos humanos, tecnicos, logisticos y administrativos para garantizar el esquema de seguridad, en su componente vehiculos, requerido por los Concejales del Distrito Capital como consecuencia directa del ejercicio de sus funciones.</v>
          </cell>
          <cell r="O188">
            <v>1</v>
          </cell>
          <cell r="P188" t="str">
            <v>NA</v>
          </cell>
          <cell r="Q188" t="str">
            <v>NA</v>
          </cell>
          <cell r="R188" t="str">
            <v>DIRECTA.CONVENIOS</v>
          </cell>
          <cell r="S188" t="str">
            <v>P</v>
          </cell>
          <cell r="T188" t="str">
            <v>NA</v>
          </cell>
          <cell r="U188" t="str">
            <v>CONVENIO INTERADMINISTRATIVO</v>
          </cell>
          <cell r="V188">
            <v>4250000000</v>
          </cell>
          <cell r="W188">
            <v>4250000000</v>
          </cell>
          <cell r="X188" t="str">
            <v>10 mes(es) 15 dias Calendario</v>
          </cell>
          <cell r="Y188">
            <v>1</v>
          </cell>
          <cell r="Z188">
            <v>42767</v>
          </cell>
          <cell r="AA188" t="str">
            <v>El Concejo de Bogotá D.C. requiere dar continuidad al Convenio Interadministrativo suscrito entre la SDH y la Unidad Nacional de Protección, entidad adscrita al Ministerio de Defensa Nacional, cuyo objeto consiste en "Aunar esfuerzos humanos, técnicos, logísticos y administrativos para garantizar la protección integral de los miembros del Concejo de Bogotá que se encuentren en situación de riesgo extraordinario o extremo como consecuencia directa del ejercicio de las funciones del cargo de elección popular en el cual se encuentran posesionados",  mediante el mencionado convenio la UNP implementó las medidas de protección para los 45 Honorables Concejales de Bogotá, aportando como  entidad competente un esquema integral de seguridad,  garantizando así la seguridad de cada uno de los Cabildantes, así las cosas,  se hace necesario continuar con el programa de seguridad toda vez que cualquier interrupción de los esquemas de seguridad pondría en estado de vulnerabilidad a los Honorables Concejales.</v>
          </cell>
        </row>
        <row r="189">
          <cell r="C189">
            <v>182</v>
          </cell>
          <cell r="D189">
            <v>69</v>
          </cell>
          <cell r="E189" t="str">
            <v>INICIAL</v>
          </cell>
          <cell r="F189" t="str">
            <v>RECURSOS PROPIOS</v>
          </cell>
          <cell r="G189">
            <v>120000</v>
          </cell>
          <cell r="H189">
            <v>4</v>
          </cell>
          <cell r="I189" t="str">
            <v>3-1-2-02-05-01 Mantenimiento Entidad</v>
          </cell>
          <cell r="J189">
            <v>1</v>
          </cell>
          <cell r="K189">
            <v>4</v>
          </cell>
          <cell r="L189" t="str">
            <v>NA</v>
          </cell>
          <cell r="M189" t="str">
            <v>NA</v>
          </cell>
          <cell r="N189" t="str">
            <v>Prestar servicios de mantenimiento preventivo y correctivo de las alarmas de emergencia ubicadas en la sede principal del Concejo de Bogotá-</v>
          </cell>
          <cell r="O189">
            <v>1</v>
          </cell>
          <cell r="P189" t="str">
            <v>NA</v>
          </cell>
          <cell r="Q189" t="str">
            <v>NA</v>
          </cell>
          <cell r="R189" t="str">
            <v>MINIMA_CUANTIA</v>
          </cell>
          <cell r="S189" t="str">
            <v>P</v>
          </cell>
          <cell r="T189" t="str">
            <v>NA</v>
          </cell>
          <cell r="U189" t="str">
            <v>PRESTACION DE SERVICIOS</v>
          </cell>
          <cell r="V189">
            <v>3000000</v>
          </cell>
          <cell r="W189">
            <v>3000000</v>
          </cell>
          <cell r="X189" t="str">
            <v>12 mes(es)</v>
          </cell>
          <cell r="Y189">
            <v>1</v>
          </cell>
          <cell r="Z189">
            <v>42787</v>
          </cell>
          <cell r="AA189" t="str">
            <v>Se requiere contar con un sistema de alarmas de emergencia en optimas condiciones de funcionamiento con el fin de prestar el  oportuno servicio a los servidores publicos y visitantes del Concejo de Bogota en caso de requerirse una evacuacion o presentarse una emergencia.</v>
          </cell>
        </row>
        <row r="190">
          <cell r="C190">
            <v>183</v>
          </cell>
          <cell r="D190">
            <v>69</v>
          </cell>
          <cell r="E190" t="str">
            <v>INICIAL</v>
          </cell>
          <cell r="F190" t="str">
            <v>RECURSOS PROPIOS</v>
          </cell>
          <cell r="G190">
            <v>222100</v>
          </cell>
          <cell r="H190">
            <v>1</v>
          </cell>
          <cell r="I190" t="str">
            <v>3-1-2-01-03 Combustibles, Lubricantes y Llantas</v>
          </cell>
          <cell r="J190">
            <v>1</v>
          </cell>
          <cell r="K190">
            <v>1</v>
          </cell>
          <cell r="L190" t="str">
            <v>NA</v>
          </cell>
          <cell r="M190" t="str">
            <v>NA</v>
          </cell>
          <cell r="N190" t="str">
            <v>Suministro de combustible para la Secretaria Distrital de Hacienda y Concejo de Bogotá.</v>
          </cell>
          <cell r="O190">
            <v>1</v>
          </cell>
          <cell r="P190" t="str">
            <v>NA</v>
          </cell>
          <cell r="Q190" t="str">
            <v>NA</v>
          </cell>
          <cell r="R190" t="str">
            <v>SEL. ABREVIADA. ACUERDO. MARCO</v>
          </cell>
          <cell r="S190" t="str">
            <v>P</v>
          </cell>
          <cell r="T190" t="str">
            <v>NA</v>
          </cell>
          <cell r="U190" t="str">
            <v>SUMINISTRO</v>
          </cell>
          <cell r="V190">
            <v>493000000</v>
          </cell>
          <cell r="W190">
            <v>60000000</v>
          </cell>
          <cell r="X190" t="str">
            <v>12 mes(es)</v>
          </cell>
          <cell r="Y190">
            <v>1</v>
          </cell>
          <cell r="Z190">
            <v>42767</v>
          </cell>
          <cell r="AA190" t="str">
            <v>Se requiere garantizar el combustible para la operación del parque automotor de la entidad y el Concejo de Bogotá.</v>
          </cell>
        </row>
        <row r="191">
          <cell r="C191">
            <v>183</v>
          </cell>
          <cell r="D191">
            <v>69</v>
          </cell>
          <cell r="E191" t="str">
            <v>INICIAL</v>
          </cell>
          <cell r="F191" t="str">
            <v>RECURSOS PROPIOS</v>
          </cell>
          <cell r="G191">
            <v>120000</v>
          </cell>
          <cell r="H191">
            <v>4</v>
          </cell>
          <cell r="I191" t="str">
            <v>3-1-2-01-03 Combustibles, Lubricantes y Llantas</v>
          </cell>
          <cell r="J191">
            <v>1</v>
          </cell>
          <cell r="K191">
            <v>4</v>
          </cell>
          <cell r="L191" t="str">
            <v>NA</v>
          </cell>
          <cell r="M191" t="str">
            <v>NA</v>
          </cell>
          <cell r="N191" t="str">
            <v>Suministro de combustible para la Secretaria Distrital de Hacienda y Concejo de Bogotá.</v>
          </cell>
          <cell r="O191">
            <v>1</v>
          </cell>
          <cell r="P191" t="str">
            <v>NA</v>
          </cell>
          <cell r="Q191" t="str">
            <v>NA</v>
          </cell>
          <cell r="R191" t="str">
            <v>SEL. ABREVIADA. ACUERDO. MARCO</v>
          </cell>
          <cell r="S191" t="str">
            <v>P</v>
          </cell>
          <cell r="T191" t="str">
            <v>NA</v>
          </cell>
          <cell r="U191" t="str">
            <v>SUMINISTRO</v>
          </cell>
          <cell r="V191">
            <v>493000000</v>
          </cell>
          <cell r="W191">
            <v>433000000</v>
          </cell>
          <cell r="X191" t="str">
            <v>12 mes(es)</v>
          </cell>
          <cell r="Y191">
            <v>1</v>
          </cell>
          <cell r="Z191">
            <v>42767</v>
          </cell>
          <cell r="AA191" t="str">
            <v>Se requiere garantizar el combustible para la operación del parque automotor de la entidad y el Concejo de Bogotá.</v>
          </cell>
        </row>
        <row r="192">
          <cell r="C192">
            <v>184</v>
          </cell>
          <cell r="D192">
            <v>69</v>
          </cell>
          <cell r="E192" t="str">
            <v>INICIAL</v>
          </cell>
          <cell r="F192" t="str">
            <v>RECURSOS PROPIOS</v>
          </cell>
          <cell r="G192">
            <v>120000</v>
          </cell>
          <cell r="H192">
            <v>4</v>
          </cell>
          <cell r="I192" t="str">
            <v>3-1-2-02-05-01 Mantenimiento Entidad</v>
          </cell>
          <cell r="J192">
            <v>1</v>
          </cell>
          <cell r="K192">
            <v>4</v>
          </cell>
          <cell r="L192" t="str">
            <v>NA</v>
          </cell>
          <cell r="M192" t="str">
            <v>NA</v>
          </cell>
          <cell r="N192" t="str">
            <v>Prestar servicios de mantenimiento períodico preventivo para los vehículos de la Secretaría de Hacienda y del Concejo de Bogotá.</v>
          </cell>
          <cell r="O192">
            <v>1</v>
          </cell>
          <cell r="P192" t="str">
            <v>NA</v>
          </cell>
          <cell r="Q192" t="str">
            <v>NA</v>
          </cell>
          <cell r="R192" t="str">
            <v>MINIMA_CUANTIA</v>
          </cell>
          <cell r="S192" t="str">
            <v>P</v>
          </cell>
          <cell r="T192" t="str">
            <v>NA</v>
          </cell>
          <cell r="U192" t="str">
            <v>PRESTACION DE SERVICIOS</v>
          </cell>
          <cell r="V192">
            <v>59000000</v>
          </cell>
          <cell r="W192">
            <v>34000000</v>
          </cell>
          <cell r="X192" t="str">
            <v>11 mes(es)</v>
          </cell>
          <cell r="Y192">
            <v>1</v>
          </cell>
          <cell r="Z192">
            <v>42795</v>
          </cell>
          <cell r="AA192" t="str">
            <v>La entidad requiere garantizar el optimo funcionamiento de los vehiculos del parque automotor de a Secretaria Distrital de Hacienda y el Concejo de Bogotá.</v>
          </cell>
        </row>
        <row r="193">
          <cell r="C193">
            <v>184</v>
          </cell>
          <cell r="D193">
            <v>69</v>
          </cell>
          <cell r="E193" t="str">
            <v>INICIAL</v>
          </cell>
          <cell r="F193" t="str">
            <v>RECURSOS PROPIOS</v>
          </cell>
          <cell r="G193">
            <v>222100</v>
          </cell>
          <cell r="H193">
            <v>1</v>
          </cell>
          <cell r="I193" t="str">
            <v>3-1-2-01-03 Combustibles, Lubricantes y Llantas</v>
          </cell>
          <cell r="J193">
            <v>1</v>
          </cell>
          <cell r="K193">
            <v>1</v>
          </cell>
          <cell r="L193" t="str">
            <v>NA</v>
          </cell>
          <cell r="M193" t="str">
            <v>NA</v>
          </cell>
          <cell r="N193" t="str">
            <v>Prestar servicios de mantenimiento períodico preventivo para los vehículos de la Secretaría de Hacienda y del Concejo de Bogotá.</v>
          </cell>
          <cell r="O193">
            <v>1</v>
          </cell>
          <cell r="P193" t="str">
            <v>NA</v>
          </cell>
          <cell r="Q193" t="str">
            <v>NA</v>
          </cell>
          <cell r="R193" t="str">
            <v>MINIMA_CUANTIA</v>
          </cell>
          <cell r="S193" t="str">
            <v>P</v>
          </cell>
          <cell r="T193" t="str">
            <v>NA</v>
          </cell>
          <cell r="U193" t="str">
            <v>PRESTACION DE SERVICIOS</v>
          </cell>
          <cell r="V193">
            <v>59000000</v>
          </cell>
          <cell r="W193">
            <v>4000000</v>
          </cell>
          <cell r="X193" t="str">
            <v>11 mes(es)</v>
          </cell>
          <cell r="Y193">
            <v>1</v>
          </cell>
          <cell r="Z193">
            <v>42795</v>
          </cell>
          <cell r="AA193" t="str">
            <v>La entidad requiere garantizar el optimo funcionamiento de los vehiculos del parque automotor de a Secretaria Distrital de Hacienda y el Concejo de Bogotá.</v>
          </cell>
        </row>
        <row r="194">
          <cell r="C194">
            <v>184</v>
          </cell>
          <cell r="D194">
            <v>69</v>
          </cell>
          <cell r="E194" t="str">
            <v>INICIAL</v>
          </cell>
          <cell r="F194" t="str">
            <v>RECURSOS PROPIOS</v>
          </cell>
          <cell r="G194">
            <v>120000</v>
          </cell>
          <cell r="H194">
            <v>4</v>
          </cell>
          <cell r="I194" t="str">
            <v>3-1-2-01-03 Combustibles, Lubricantes y Llantas</v>
          </cell>
          <cell r="J194">
            <v>1</v>
          </cell>
          <cell r="K194">
            <v>4</v>
          </cell>
          <cell r="L194" t="str">
            <v>NA</v>
          </cell>
          <cell r="M194" t="str">
            <v>NA</v>
          </cell>
          <cell r="N194" t="str">
            <v>Prestar servicios de mantenimiento períodico preventivo para los vehículos de la Secretaría de Hacienda y del Concejo de Bogotá.</v>
          </cell>
          <cell r="O194">
            <v>1</v>
          </cell>
          <cell r="P194" t="str">
            <v>NA</v>
          </cell>
          <cell r="Q194" t="str">
            <v>NA</v>
          </cell>
          <cell r="R194" t="str">
            <v>MINIMA_CUANTIA</v>
          </cell>
          <cell r="S194" t="str">
            <v>P</v>
          </cell>
          <cell r="T194" t="str">
            <v>NA</v>
          </cell>
          <cell r="U194" t="str">
            <v>PRESTACION DE SERVICIOS</v>
          </cell>
          <cell r="V194">
            <v>59000000</v>
          </cell>
          <cell r="W194">
            <v>5000000</v>
          </cell>
          <cell r="X194" t="str">
            <v>11 mes(es)</v>
          </cell>
          <cell r="Y194">
            <v>1</v>
          </cell>
          <cell r="Z194">
            <v>42795</v>
          </cell>
          <cell r="AA194" t="str">
            <v>La entidad requiere garantizar el optimo funcionamiento de los vehiculos del parque automotor de a Secretaria Distrital de Hacienda y el Concejo de Bogotá.</v>
          </cell>
        </row>
        <row r="195">
          <cell r="C195">
            <v>184</v>
          </cell>
          <cell r="D195">
            <v>69</v>
          </cell>
          <cell r="E195" t="str">
            <v>INICIAL</v>
          </cell>
          <cell r="F195" t="str">
            <v>RECURSOS PROPIOS</v>
          </cell>
          <cell r="G195">
            <v>222100</v>
          </cell>
          <cell r="H195">
            <v>1</v>
          </cell>
          <cell r="I195" t="str">
            <v>3-1-2-02-05-01 Mantenimiento Entidad</v>
          </cell>
          <cell r="J195">
            <v>1</v>
          </cell>
          <cell r="K195">
            <v>1</v>
          </cell>
          <cell r="L195" t="str">
            <v>NA</v>
          </cell>
          <cell r="M195" t="str">
            <v>NA</v>
          </cell>
          <cell r="N195" t="str">
            <v>Prestar servicios de mantenimiento períodico preventivo para los vehículos de la Secretaría de Hacienda y del Concejo de Bogotá.</v>
          </cell>
          <cell r="O195">
            <v>1</v>
          </cell>
          <cell r="P195" t="str">
            <v>NA</v>
          </cell>
          <cell r="Q195" t="str">
            <v>NA</v>
          </cell>
          <cell r="R195" t="str">
            <v>MINIMA_CUANTIA</v>
          </cell>
          <cell r="S195" t="str">
            <v>P</v>
          </cell>
          <cell r="T195" t="str">
            <v>NA</v>
          </cell>
          <cell r="U195" t="str">
            <v>PRESTACION DE SERVICIOS</v>
          </cell>
          <cell r="V195">
            <v>59000000</v>
          </cell>
          <cell r="W195">
            <v>16000000</v>
          </cell>
          <cell r="X195" t="str">
            <v>11 mes(es)</v>
          </cell>
          <cell r="Y195">
            <v>1</v>
          </cell>
          <cell r="Z195">
            <v>42795</v>
          </cell>
          <cell r="AA195" t="str">
            <v>La entidad requiere garantizar el optimo funcionamiento de los vehiculos del parque automotor de a Secretaria Distrital de Hacienda y el Concejo de Bogotá.</v>
          </cell>
        </row>
        <row r="196">
          <cell r="C196">
            <v>185</v>
          </cell>
          <cell r="D196">
            <v>69</v>
          </cell>
          <cell r="E196" t="str">
            <v>INICIAL</v>
          </cell>
          <cell r="F196" t="str">
            <v>RECURSOS PROPIOS</v>
          </cell>
          <cell r="G196">
            <v>120000</v>
          </cell>
          <cell r="H196">
            <v>4</v>
          </cell>
          <cell r="I196" t="str">
            <v>3-1-2-02-05-01 Mantenimiento Entidad</v>
          </cell>
          <cell r="J196">
            <v>1</v>
          </cell>
          <cell r="K196">
            <v>4</v>
          </cell>
          <cell r="L196" t="str">
            <v>NA</v>
          </cell>
          <cell r="M196" t="str">
            <v>NA</v>
          </cell>
          <cell r="N196" t="str">
            <v>Prestar servicios de mantenimiento correctivo y preventivo para las máquinas: Impresoras litográfica Multilith, compaginadora, guillotina y cizalla manual, ubicadas en la oficina de anales y publicaciones del Concejo de Bogotá.</v>
          </cell>
          <cell r="O196">
            <v>1</v>
          </cell>
          <cell r="P196" t="str">
            <v>NA</v>
          </cell>
          <cell r="Q196" t="str">
            <v>NA</v>
          </cell>
          <cell r="R196" t="str">
            <v>MINIMA_CUANTIA</v>
          </cell>
          <cell r="S196" t="str">
            <v>P</v>
          </cell>
          <cell r="T196" t="str">
            <v>NA</v>
          </cell>
          <cell r="U196" t="str">
            <v>PRESTACION DE SERVICIOS</v>
          </cell>
          <cell r="V196">
            <v>5000000</v>
          </cell>
          <cell r="W196">
            <v>5000000</v>
          </cell>
          <cell r="X196" t="str">
            <v>12 mes(es)</v>
          </cell>
          <cell r="Y196">
            <v>2</v>
          </cell>
          <cell r="Z196">
            <v>42808</v>
          </cell>
          <cell r="AA196" t="str">
            <v>El Concejo de Bogota D.C. requiere el mantenimiento de las maquinas impresoras de las oficinas de anales y publicaciones para garantizar su adecuado funcionamiento en los  procesos de publicar, recortar, refilar y compaginar libros, textos , acuerdos y documentos misionales requeridos por la corporacion.</v>
          </cell>
        </row>
        <row r="197">
          <cell r="C197">
            <v>186</v>
          </cell>
          <cell r="D197">
            <v>69</v>
          </cell>
          <cell r="E197" t="str">
            <v>INICIAL</v>
          </cell>
          <cell r="F197" t="str">
            <v>RECURSOS PROPIOS</v>
          </cell>
          <cell r="G197">
            <v>120000</v>
          </cell>
          <cell r="H197">
            <v>4</v>
          </cell>
          <cell r="I197" t="str">
            <v>3-1-2-02-05-01 Mantenimiento Entidad</v>
          </cell>
          <cell r="J197">
            <v>1</v>
          </cell>
          <cell r="K197">
            <v>4</v>
          </cell>
          <cell r="L197" t="str">
            <v>NA</v>
          </cell>
          <cell r="M197" t="str">
            <v>NA</v>
          </cell>
          <cell r="N197" t="str">
            <v>Prestar servicios de mantenimiento correctivo con suministro de repuestos para los vehículos marca Mitsubshi al servicio del Concejo de Bogotá.</v>
          </cell>
          <cell r="O197">
            <v>1</v>
          </cell>
          <cell r="P197" t="str">
            <v>NA</v>
          </cell>
          <cell r="Q197" t="str">
            <v>NA</v>
          </cell>
          <cell r="R197" t="str">
            <v>DIRECTA_OTRAS_CAUSALES</v>
          </cell>
          <cell r="S197" t="str">
            <v>P</v>
          </cell>
          <cell r="T197" t="str">
            <v>NA</v>
          </cell>
          <cell r="U197" t="str">
            <v>PRESTACION DE SERVICIOS</v>
          </cell>
          <cell r="V197">
            <v>33000000</v>
          </cell>
          <cell r="W197">
            <v>33000000</v>
          </cell>
          <cell r="X197" t="str">
            <v>12 mes(es)</v>
          </cell>
          <cell r="Y197">
            <v>1</v>
          </cell>
          <cell r="Z197">
            <v>42819</v>
          </cell>
          <cell r="AA197" t="str">
            <v>Es necesario realizar el mantenimiento de los vehiculos  al servicio de las Entidades para garantizar la movilidad  en optimas condiciones, cumpliendo los estandares de seguridad en el rodamiento de los vehiculos y  la permanencia del servicio.</v>
          </cell>
        </row>
        <row r="198">
          <cell r="C198">
            <v>187</v>
          </cell>
          <cell r="D198">
            <v>69</v>
          </cell>
          <cell r="E198" t="str">
            <v>INICIAL</v>
          </cell>
          <cell r="F198" t="str">
            <v>RECURSOS PROPIOS</v>
          </cell>
          <cell r="G198">
            <v>222300</v>
          </cell>
          <cell r="H198">
            <v>1</v>
          </cell>
          <cell r="I198" t="str">
            <v>3-1-2-01-04 Materiales y Suministros</v>
          </cell>
          <cell r="J198">
            <v>1</v>
          </cell>
          <cell r="K198">
            <v>1</v>
          </cell>
          <cell r="L198" t="str">
            <v>NA</v>
          </cell>
          <cell r="M198" t="str">
            <v>NA</v>
          </cell>
          <cell r="N198" t="str">
            <v>Suministro de elementos para protección y embalaje de documentos para la Secretaria Distrital de Hacienda y el Concejo de Bogotá</v>
          </cell>
          <cell r="O198">
            <v>1</v>
          </cell>
          <cell r="P198" t="str">
            <v>NA</v>
          </cell>
          <cell r="Q198" t="str">
            <v>NA</v>
          </cell>
          <cell r="R198" t="str">
            <v>MINIMA_CUANTIA</v>
          </cell>
          <cell r="S198" t="str">
            <v>P</v>
          </cell>
          <cell r="T198" t="str">
            <v>NA</v>
          </cell>
          <cell r="U198" t="str">
            <v>SUMINISTRO</v>
          </cell>
          <cell r="V198">
            <v>49000000</v>
          </cell>
          <cell r="W198">
            <v>44000000</v>
          </cell>
          <cell r="X198" t="str">
            <v>6 mes(es)</v>
          </cell>
          <cell r="Y198">
            <v>1</v>
          </cell>
          <cell r="Z198">
            <v>42863</v>
          </cell>
          <cell r="AA198" t="str">
            <v>La Subdirección de Gestión Documental tiene dentro de sus funciones la Administración, organización, consulta, conservación y disposición final de los documentos del Archivo Central de la Entidad; motivo por el cual requiere brindar la protección necesaria para evitar el deterioro físico causado por el almacenamiento y la manipulación de la documentación que se genera al interior de la Secretaría Distrital de Hacienda.   Para dar cumplimiento a lo anterior, es necesaria la adquisición de elementos como: Cajas y carpetas.</v>
          </cell>
        </row>
        <row r="199">
          <cell r="C199">
            <v>187</v>
          </cell>
          <cell r="D199">
            <v>69</v>
          </cell>
          <cell r="E199" t="str">
            <v>INICIAL</v>
          </cell>
          <cell r="F199" t="str">
            <v>RECURSOS PROPIOS</v>
          </cell>
          <cell r="G199">
            <v>120000</v>
          </cell>
          <cell r="H199">
            <v>4</v>
          </cell>
          <cell r="I199" t="str">
            <v>3-1-2-01-04 Materiales y Suministros</v>
          </cell>
          <cell r="J199">
            <v>1</v>
          </cell>
          <cell r="K199">
            <v>4</v>
          </cell>
          <cell r="L199" t="str">
            <v>NA</v>
          </cell>
          <cell r="M199" t="str">
            <v>NA</v>
          </cell>
          <cell r="N199" t="str">
            <v>Suministro de elementos para protección y embalaje de documentos para la Secretaria Distrital de Hacienda y el Concejo de Bogotá</v>
          </cell>
          <cell r="O199">
            <v>1</v>
          </cell>
          <cell r="P199" t="str">
            <v>NA</v>
          </cell>
          <cell r="Q199" t="str">
            <v>NA</v>
          </cell>
          <cell r="R199" t="str">
            <v>MINIMA_CUANTIA</v>
          </cell>
          <cell r="S199" t="str">
            <v>P</v>
          </cell>
          <cell r="T199" t="str">
            <v>NA</v>
          </cell>
          <cell r="U199" t="str">
            <v>SUMINISTRO</v>
          </cell>
          <cell r="V199">
            <v>49000000</v>
          </cell>
          <cell r="W199">
            <v>5000000</v>
          </cell>
          <cell r="X199" t="str">
            <v>6 mes(es)</v>
          </cell>
          <cell r="Y199">
            <v>1</v>
          </cell>
          <cell r="Z199">
            <v>42863</v>
          </cell>
          <cell r="AA199" t="str">
            <v>La Subdirección de Gestión Documental tiene dentro de sus funciones la Administración, organización, consulta, conservación y disposición final de los documentos del Archivo Central de la Entidad; motivo por el cual requiere brindar la protección necesaria para evitar el deterioro físico causado por el almacenamiento y la manipulación de la documentación que se genera al interior de la Secretaría Distrital de Hacienda.   Para dar cumplimiento a lo anterior, es necesaria la adquisición de elementos como: Cajas y carpetas.</v>
          </cell>
        </row>
        <row r="200">
          <cell r="C200">
            <v>188</v>
          </cell>
          <cell r="D200">
            <v>69</v>
          </cell>
          <cell r="E200" t="str">
            <v>INICIAL</v>
          </cell>
          <cell r="F200" t="str">
            <v>RECURSOS PROPIOS</v>
          </cell>
          <cell r="G200">
            <v>222100</v>
          </cell>
          <cell r="H200">
            <v>1</v>
          </cell>
          <cell r="I200" t="str">
            <v>3-1-2-01-04 Materiales y Suministros</v>
          </cell>
          <cell r="J200">
            <v>1</v>
          </cell>
          <cell r="K200">
            <v>1</v>
          </cell>
          <cell r="L200" t="str">
            <v>NA</v>
          </cell>
          <cell r="M200" t="str">
            <v>NA</v>
          </cell>
          <cell r="N200" t="str">
            <v>Suministro de papelería, útiles de escritorio para la Secretaría Distrital de Hacienda y el Concejo de Bogotá</v>
          </cell>
          <cell r="O200">
            <v>1</v>
          </cell>
          <cell r="P200" t="str">
            <v>NA</v>
          </cell>
          <cell r="Q200" t="str">
            <v>NA</v>
          </cell>
          <cell r="R200" t="str">
            <v>SEL.ABREVIADA.SUB.INV.ELECTRO.</v>
          </cell>
          <cell r="S200" t="str">
            <v>P</v>
          </cell>
          <cell r="T200" t="str">
            <v>NA</v>
          </cell>
          <cell r="U200" t="str">
            <v>SUMINISTRO</v>
          </cell>
          <cell r="V200">
            <v>128000000</v>
          </cell>
          <cell r="W200">
            <v>48000000</v>
          </cell>
          <cell r="X200" t="str">
            <v>7 mes(es) 15 dias Calendario</v>
          </cell>
          <cell r="Y200">
            <v>3</v>
          </cell>
          <cell r="Z200">
            <v>42860</v>
          </cell>
          <cell r="AA200" t="str">
            <v>La entidad requiere garantizar el suministro de papelería, útiles de escritorio para la Secretaría Distrital de Hacienda y el Concejo de Bogotá</v>
          </cell>
        </row>
        <row r="201">
          <cell r="C201">
            <v>188</v>
          </cell>
          <cell r="D201">
            <v>69</v>
          </cell>
          <cell r="E201" t="str">
            <v>INICIAL</v>
          </cell>
          <cell r="F201" t="str">
            <v>RECURSOS PROPIOS</v>
          </cell>
          <cell r="G201">
            <v>120000</v>
          </cell>
          <cell r="H201">
            <v>4</v>
          </cell>
          <cell r="I201" t="str">
            <v>3-1-2-01-04 Materiales y Suministros</v>
          </cell>
          <cell r="J201">
            <v>1</v>
          </cell>
          <cell r="K201">
            <v>4</v>
          </cell>
          <cell r="L201" t="str">
            <v>NA</v>
          </cell>
          <cell r="M201" t="str">
            <v>NA</v>
          </cell>
          <cell r="N201" t="str">
            <v>Suministro de papelería, útiles de escritorio para la Secretaría Distrital de Hacienda y el Concejo de Bogotá</v>
          </cell>
          <cell r="O201">
            <v>1</v>
          </cell>
          <cell r="P201" t="str">
            <v>NA</v>
          </cell>
          <cell r="Q201" t="str">
            <v>NA</v>
          </cell>
          <cell r="R201" t="str">
            <v>SEL.ABREVIADA.SUB.INV.ELECTRO.</v>
          </cell>
          <cell r="S201" t="str">
            <v>P</v>
          </cell>
          <cell r="T201" t="str">
            <v>NA</v>
          </cell>
          <cell r="U201" t="str">
            <v>SUMINISTRO</v>
          </cell>
          <cell r="V201">
            <v>128000000</v>
          </cell>
          <cell r="W201">
            <v>80000000</v>
          </cell>
          <cell r="X201" t="str">
            <v>7 mes(es) 15 dias Calendario</v>
          </cell>
          <cell r="Y201">
            <v>3</v>
          </cell>
          <cell r="Z201">
            <v>42860</v>
          </cell>
          <cell r="AA201" t="str">
            <v>La entidad requiere garantizar el suministro de papelería, útiles de escritorio para la Secretaría Distrital de Hacienda y el Concejo de Bogotá</v>
          </cell>
        </row>
        <row r="202">
          <cell r="C202">
            <v>189</v>
          </cell>
          <cell r="D202">
            <v>69</v>
          </cell>
          <cell r="E202" t="str">
            <v>INICIAL</v>
          </cell>
          <cell r="F202" t="str">
            <v>RECURSOS PROPIOS</v>
          </cell>
          <cell r="G202">
            <v>222100</v>
          </cell>
          <cell r="H202">
            <v>1</v>
          </cell>
          <cell r="I202" t="str">
            <v>3-1-2-01-04 Materiales y Suministros</v>
          </cell>
          <cell r="J202">
            <v>1</v>
          </cell>
          <cell r="K202">
            <v>1</v>
          </cell>
          <cell r="L202" t="str">
            <v>NA</v>
          </cell>
          <cell r="M202" t="str">
            <v>NA</v>
          </cell>
          <cell r="N202" t="str">
            <v>Prestar servicios integrales de aseo y cafetería y servicio de fumigación para las instalaciones de la Secretaría Distrital de Hacienda de Bogotá, D.C., zonas comunes del Centro Administrativo Distrital - CAD y del Concejo de Bogotá D.C</v>
          </cell>
          <cell r="O202">
            <v>1</v>
          </cell>
          <cell r="P202" t="str">
            <v>NA</v>
          </cell>
          <cell r="Q202" t="str">
            <v>NA</v>
          </cell>
          <cell r="R202" t="str">
            <v>SEL. ABREVIADA. ACUERDO. MARCO</v>
          </cell>
          <cell r="S202" t="str">
            <v>P</v>
          </cell>
          <cell r="T202" t="str">
            <v>NA</v>
          </cell>
          <cell r="U202" t="str">
            <v>PRESTACION DE SERVICIOS</v>
          </cell>
          <cell r="V202">
            <v>1708200000</v>
          </cell>
          <cell r="W202">
            <v>181000000</v>
          </cell>
          <cell r="X202" t="str">
            <v>12 mes(es)</v>
          </cell>
          <cell r="Y202">
            <v>1</v>
          </cell>
          <cell r="Z202">
            <v>42767</v>
          </cell>
          <cell r="AA202" t="str">
            <v xml:space="preserve">La SDH y el Concejo deben adelantar acciones dirigidas a garantizar las condiciones de salubridad y el control de los factores ambientales que se originen en los lugares de trabajo y que puedan afectar la salud de los trabajadores.  Así, las Entidades  tienen bajo su responsabilidad garantizar la higiene, salubridad,  aseo y desinfección de las instalaciones donde se lleva a cabo su operación, así como el adecuado servicio de cafetería para los funcionarios.  CALCULO DE PRESUPUESTO  El servicio incluye los siguientes componentes:  Personal, se estimo con base en el número de sedes, pisos de cada sede número de  funcionarios a atender,  la cantidad de personas requeridas para la prestación del servicio  Alquiler de equipos corresponde a aspiradoras, brilladoras, entre otras necesarias para ejecutar las labores.  La cantidad se establece  teniendo en cuenta las areas a intervenir  Servicios especializados y de fumigación, de acuerdo con la necesidad se programa la periodicidad conla cual se realizan  Insumos Corresponde al suministro de elementos de aseo y de cafetería, cuya cantidad para el periodo de ejecución del contrato se establece con base en los historicos de consumo.          </v>
          </cell>
        </row>
        <row r="203">
          <cell r="C203">
            <v>189</v>
          </cell>
          <cell r="D203">
            <v>69</v>
          </cell>
          <cell r="E203" t="str">
            <v>INICIAL</v>
          </cell>
          <cell r="F203" t="str">
            <v>RECURSOS PROPIOS</v>
          </cell>
          <cell r="G203">
            <v>120000</v>
          </cell>
          <cell r="H203">
            <v>4</v>
          </cell>
          <cell r="I203" t="str">
            <v>3-1-2-01-04 Materiales y Suministros</v>
          </cell>
          <cell r="J203">
            <v>1</v>
          </cell>
          <cell r="K203">
            <v>4</v>
          </cell>
          <cell r="L203" t="str">
            <v>NA</v>
          </cell>
          <cell r="M203" t="str">
            <v>NA</v>
          </cell>
          <cell r="N203" t="str">
            <v>Prestar servicios integrales de aseo y cafetería y servicio de fumigación para las instalaciones de la Secretaría Distrital de Hacienda de Bogotá, D.C., zonas comunes del Centro Administrativo Distrital - CAD y del Concejo de Bogotá D.C</v>
          </cell>
          <cell r="O203">
            <v>1</v>
          </cell>
          <cell r="P203" t="str">
            <v>NA</v>
          </cell>
          <cell r="Q203" t="str">
            <v>NA</v>
          </cell>
          <cell r="R203" t="str">
            <v>SEL. ABREVIADA. ACUERDO. MARCO</v>
          </cell>
          <cell r="S203" t="str">
            <v>P</v>
          </cell>
          <cell r="T203" t="str">
            <v>NA</v>
          </cell>
          <cell r="U203" t="str">
            <v>PRESTACION DE SERVICIOS</v>
          </cell>
          <cell r="V203">
            <v>1708200000</v>
          </cell>
          <cell r="W203">
            <v>140000000</v>
          </cell>
          <cell r="X203" t="str">
            <v>12 mes(es)</v>
          </cell>
          <cell r="Y203">
            <v>1</v>
          </cell>
          <cell r="Z203">
            <v>42767</v>
          </cell>
          <cell r="AA203" t="str">
            <v xml:space="preserve">La SDH y el Concejo deben adelantar acciones dirigidas a garantizar las condiciones de salubridad y el control de los factores ambientales que se originen en los lugares de trabajo y que puedan afectar la salud de los trabajadores.  Así, las Entidades  tienen bajo su responsabilidad garantizar la higiene, salubridad,  aseo y desinfección de las instalaciones donde se lleva a cabo su operación, así como el adecuado servicio de cafetería para los funcionarios.  CALCULO DE PRESUPUESTO  El servicio incluye los siguientes componentes:  Personal, se estimo con base en el número de sedes, pisos de cada sede número de  funcionarios a atender,  la cantidad de personas requeridas para la prestación del servicio  Alquiler de equipos corresponde a aspiradoras, brilladoras, entre otras necesarias para ejecutar las labores.  La cantidad se establece  teniendo en cuenta las areas a intervenir  Servicios especializados y de fumigación, de acuerdo con la necesidad se programa la periodicidad conla cual se realizan  Insumos Corresponde al suministro de elementos de aseo y de cafetería, cuya cantidad para el periodo de ejecución del contrato se establece con base en los historicos de consumo.          </v>
          </cell>
        </row>
        <row r="204">
          <cell r="C204">
            <v>189</v>
          </cell>
          <cell r="D204">
            <v>69</v>
          </cell>
          <cell r="E204" t="str">
            <v>INICIAL</v>
          </cell>
          <cell r="F204" t="str">
            <v>RECURSOS PROPIOS</v>
          </cell>
          <cell r="G204">
            <v>222100</v>
          </cell>
          <cell r="H204">
            <v>1</v>
          </cell>
          <cell r="I204" t="str">
            <v>3-1-2-02-05-01 Mantenimiento Entidad</v>
          </cell>
          <cell r="J204">
            <v>1</v>
          </cell>
          <cell r="K204">
            <v>1</v>
          </cell>
          <cell r="L204" t="str">
            <v>NA</v>
          </cell>
          <cell r="M204" t="str">
            <v>NA</v>
          </cell>
          <cell r="N204" t="str">
            <v>Prestar servicios integrales de aseo y cafetería y servicio de fumigación para las instalaciones de la Secretaría Distrital de Hacienda de Bogotá, D.C., zonas comunes del Centro Administrativo Distrital - CAD y del Concejo de Bogotá D.C</v>
          </cell>
          <cell r="O204">
            <v>1</v>
          </cell>
          <cell r="P204" t="str">
            <v>NA</v>
          </cell>
          <cell r="Q204" t="str">
            <v>NA</v>
          </cell>
          <cell r="R204" t="str">
            <v>SEL. ABREVIADA. ACUERDO. MARCO</v>
          </cell>
          <cell r="S204" t="str">
            <v>P</v>
          </cell>
          <cell r="T204" t="str">
            <v>NA</v>
          </cell>
          <cell r="U204" t="str">
            <v>PRESTACION DE SERVICIOS</v>
          </cell>
          <cell r="V204">
            <v>1708200000</v>
          </cell>
          <cell r="W204">
            <v>1019200000</v>
          </cell>
          <cell r="X204" t="str">
            <v>12 mes(es)</v>
          </cell>
          <cell r="Y204">
            <v>1</v>
          </cell>
          <cell r="Z204">
            <v>42767</v>
          </cell>
          <cell r="AA204" t="str">
            <v xml:space="preserve">La SDH y el Concejo deben adelantar acciones dirigidas a garantizar las condiciones de salubridad y el control de los factores ambientales que se originen en los lugares de trabajo y que puedan afectar la salud de los trabajadores.  Así, las Entidades  tienen bajo su responsabilidad garantizar la higiene, salubridad,  aseo y desinfección de las instalaciones donde se lleva a cabo su operación, así como el adecuado servicio de cafetería para los funcionarios.  CALCULO DE PRESUPUESTO  El servicio incluye los siguientes componentes:  Personal, se estimo con base en el número de sedes, pisos de cada sede número de  funcionarios a atender,  la cantidad de personas requeridas para la prestación del servicio  Alquiler de equipos corresponde a aspiradoras, brilladoras, entre otras necesarias para ejecutar las labores.  La cantidad se establece  teniendo en cuenta las areas a intervenir  Servicios especializados y de fumigación, de acuerdo con la necesidad se programa la periodicidad conla cual se realizan  Insumos Corresponde al suministro de elementos de aseo y de cafetería, cuya cantidad para el periodo de ejecución del contrato se establece con base en los historicos de consumo.          </v>
          </cell>
        </row>
        <row r="205">
          <cell r="C205">
            <v>189</v>
          </cell>
          <cell r="D205">
            <v>69</v>
          </cell>
          <cell r="E205" t="str">
            <v>INICIAL</v>
          </cell>
          <cell r="F205" t="str">
            <v>RECURSOS PROPIOS</v>
          </cell>
          <cell r="G205">
            <v>120000</v>
          </cell>
          <cell r="H205">
            <v>4</v>
          </cell>
          <cell r="I205" t="str">
            <v>3-1-2-02-05-01 Mantenimiento Entidad</v>
          </cell>
          <cell r="J205">
            <v>1</v>
          </cell>
          <cell r="K205">
            <v>4</v>
          </cell>
          <cell r="L205" t="str">
            <v>NA</v>
          </cell>
          <cell r="M205" t="str">
            <v>NA</v>
          </cell>
          <cell r="N205" t="str">
            <v>Prestar servicios integrales de aseo y cafetería y servicio de fumigación para las instalaciones de la Secretaría Distrital de Hacienda de Bogotá, D.C., zonas comunes del Centro Administrativo Distrital - CAD y del Concejo de Bogotá D.C</v>
          </cell>
          <cell r="O205">
            <v>1</v>
          </cell>
          <cell r="P205" t="str">
            <v>NA</v>
          </cell>
          <cell r="Q205" t="str">
            <v>NA</v>
          </cell>
          <cell r="R205" t="str">
            <v>SEL. ABREVIADA. ACUERDO. MARCO</v>
          </cell>
          <cell r="S205" t="str">
            <v>P</v>
          </cell>
          <cell r="T205" t="str">
            <v>NA</v>
          </cell>
          <cell r="U205" t="str">
            <v>PRESTACION DE SERVICIOS</v>
          </cell>
          <cell r="V205">
            <v>1708200000</v>
          </cell>
          <cell r="W205">
            <v>172000000</v>
          </cell>
          <cell r="X205" t="str">
            <v>12 mes(es)</v>
          </cell>
          <cell r="Y205">
            <v>1</v>
          </cell>
          <cell r="Z205">
            <v>42767</v>
          </cell>
          <cell r="AA205" t="str">
            <v xml:space="preserve">La SDH y el Concejo deben adelantar acciones dirigidas a garantizar las condiciones de salubridad y el control de los factores ambientales que se originen en los lugares de trabajo y que puedan afectar la salud de los trabajadores.  Así, las Entidades  tienen bajo su responsabilidad garantizar la higiene, salubridad,  aseo y desinfección de las instalaciones donde se lleva a cabo su operación, así como el adecuado servicio de cafetería para los funcionarios.  CALCULO DE PRESUPUESTO  El servicio incluye los siguientes componentes:  Personal, se estimo con base en el número de sedes, pisos de cada sede número de  funcionarios a atender,  la cantidad de personas requeridas para la prestación del servicio  Alquiler de equipos corresponde a aspiradoras, brilladoras, entre otras necesarias para ejecutar las labores.  La cantidad se establece  teniendo en cuenta las areas a intervenir  Servicios especializados y de fumigación, de acuerdo con la necesidad se programa la periodicidad conla cual se realizan  Insumos Corresponde al suministro de elementos de aseo y de cafetería, cuya cantidad para el periodo de ejecución del contrato se establece con base en los historicos de consumo.          </v>
          </cell>
        </row>
        <row r="206">
          <cell r="C206">
            <v>189</v>
          </cell>
          <cell r="D206">
            <v>69</v>
          </cell>
          <cell r="E206" t="str">
            <v>INICIAL</v>
          </cell>
          <cell r="F206" t="str">
            <v>RECURSOS PROPIOS</v>
          </cell>
          <cell r="G206">
            <v>222100</v>
          </cell>
          <cell r="H206">
            <v>1</v>
          </cell>
          <cell r="I206" t="str">
            <v>3-1-2-02-05-02 Mantenimiento C.A.D.</v>
          </cell>
          <cell r="J206">
            <v>1</v>
          </cell>
          <cell r="K206">
            <v>1</v>
          </cell>
          <cell r="L206" t="str">
            <v>NA</v>
          </cell>
          <cell r="M206" t="str">
            <v>NA</v>
          </cell>
          <cell r="N206" t="str">
            <v>Prestar servicios integrales de aseo y cafetería y servicio de fumigación para las instalaciones de la Secretaría Distrital de Hacienda de Bogotá, D.C., zonas comunes del Centro Administrativo Distrital - CAD y del Concejo de Bogotá D.C</v>
          </cell>
          <cell r="O206">
            <v>1</v>
          </cell>
          <cell r="P206" t="str">
            <v>NA</v>
          </cell>
          <cell r="Q206" t="str">
            <v>NA</v>
          </cell>
          <cell r="R206" t="str">
            <v>SEL. ABREVIADA. ACUERDO. MARCO</v>
          </cell>
          <cell r="S206" t="str">
            <v>P</v>
          </cell>
          <cell r="T206" t="str">
            <v>NA</v>
          </cell>
          <cell r="U206" t="str">
            <v>PRESTACION DE SERVICIOS</v>
          </cell>
          <cell r="V206">
            <v>1708200000</v>
          </cell>
          <cell r="W206">
            <v>196000000</v>
          </cell>
          <cell r="X206" t="str">
            <v>12 mes(es)</v>
          </cell>
          <cell r="Y206">
            <v>1</v>
          </cell>
          <cell r="Z206">
            <v>42767</v>
          </cell>
          <cell r="AA206" t="str">
            <v xml:space="preserve">La SDH y el Concejo deben adelantar acciones dirigidas a garantizar las condiciones de salubridad y el control de los factores ambientales que se originen en los lugares de trabajo y que puedan afectar la salud de los trabajadores.  Así, las Entidades  tienen bajo su responsabilidad garantizar la higiene, salubridad,  aseo y desinfección de las instalaciones donde se lleva a cabo su operación, así como el adecuado servicio de cafetería para los funcionarios.  CALCULO DE PRESUPUESTO  El servicio incluye los siguientes componentes:  Personal, se estimo con base en el número de sedes, pisos de cada sede número de  funcionarios a atender,  la cantidad de personas requeridas para la prestación del servicio  Alquiler de equipos corresponde a aspiradoras, brilladoras, entre otras necesarias para ejecutar las labores.  La cantidad se establece  teniendo en cuenta las areas a intervenir  Servicios especializados y de fumigación, de acuerdo con la necesidad se programa la periodicidad conla cual se realizan  Insumos Corresponde al suministro de elementos de aseo y de cafetería, cuya cantidad para el periodo de ejecución del contrato se establece con base en los historicos de consumo.          </v>
          </cell>
        </row>
        <row r="207">
          <cell r="C207">
            <v>190</v>
          </cell>
          <cell r="D207">
            <v>69</v>
          </cell>
          <cell r="E207" t="str">
            <v>INICIAL</v>
          </cell>
          <cell r="F207" t="str">
            <v>RECURSOS PROPIOS</v>
          </cell>
          <cell r="G207">
            <v>222300</v>
          </cell>
          <cell r="H207">
            <v>1</v>
          </cell>
          <cell r="I207" t="str">
            <v>3-1-2-02-03 Gastos de Transporte y Comunicación</v>
          </cell>
          <cell r="J207">
            <v>1</v>
          </cell>
          <cell r="K207">
            <v>1</v>
          </cell>
          <cell r="L207" t="str">
            <v>NA</v>
          </cell>
          <cell r="M207" t="str">
            <v>NA</v>
          </cell>
          <cell r="N207" t="str">
            <v>Prestar servicio de transporte de bienes muebles, equipos de oficina y cajas de archivo documental para la Secretaría Distrital de Hacienda y el Concejo de Bogotá</v>
          </cell>
          <cell r="O207">
            <v>1</v>
          </cell>
          <cell r="P207" t="str">
            <v>NA</v>
          </cell>
          <cell r="Q207" t="str">
            <v>NA</v>
          </cell>
          <cell r="R207" t="str">
            <v>MINIMA_CUANTIA</v>
          </cell>
          <cell r="S207" t="str">
            <v>P</v>
          </cell>
          <cell r="T207" t="str">
            <v>NA</v>
          </cell>
          <cell r="U207" t="str">
            <v>SERVICIO</v>
          </cell>
          <cell r="V207">
            <v>28000000</v>
          </cell>
          <cell r="W207">
            <v>15000000</v>
          </cell>
          <cell r="X207" t="str">
            <v>9 mes(es)</v>
          </cell>
          <cell r="Y207">
            <v>1</v>
          </cell>
          <cell r="Z207">
            <v>42807</v>
          </cell>
          <cell r="AA207" t="str">
            <v>La Secretaría Distrital de Hacienda y el Concejo de Bogotá D.C., cuentan con bienes muebles y archivos que requieren ser trasladados entre las distintas sedes de las citadas Entidades, dependiendo de su utilidad y uso, por lo que se hace necesario, garantizar los servicios de transporte que incluyan el cargue, transporte, descargue y ubicación de los bienes muebles y cajas que contienen documentos de archivo de las dependencias de las entidades y entre las diferentes sedes y sitios que se requieran dentro del perímetro urbano de la ciudad de Bogotá.</v>
          </cell>
        </row>
        <row r="208">
          <cell r="C208">
            <v>190</v>
          </cell>
          <cell r="D208">
            <v>69</v>
          </cell>
          <cell r="E208" t="str">
            <v>INICIAL</v>
          </cell>
          <cell r="F208" t="str">
            <v>RECURSOS PROPIOS</v>
          </cell>
          <cell r="G208">
            <v>120000</v>
          </cell>
          <cell r="H208">
            <v>4</v>
          </cell>
          <cell r="I208" t="str">
            <v>3-1-2-02-03 Gastos de Transporte y Comunicación</v>
          </cell>
          <cell r="J208">
            <v>1</v>
          </cell>
          <cell r="K208">
            <v>4</v>
          </cell>
          <cell r="L208" t="str">
            <v>NA</v>
          </cell>
          <cell r="M208" t="str">
            <v>NA</v>
          </cell>
          <cell r="N208" t="str">
            <v>Prestar servicio de transporte de bienes muebles, equipos de oficina y cajas de archivo documental para la Secretaría Distrital de Hacienda y el Concejo de Bogotá</v>
          </cell>
          <cell r="O208">
            <v>1</v>
          </cell>
          <cell r="P208" t="str">
            <v>NA</v>
          </cell>
          <cell r="Q208" t="str">
            <v>NA</v>
          </cell>
          <cell r="R208" t="str">
            <v>MINIMA_CUANTIA</v>
          </cell>
          <cell r="S208" t="str">
            <v>P</v>
          </cell>
          <cell r="T208" t="str">
            <v>NA</v>
          </cell>
          <cell r="U208" t="str">
            <v>SERVICIO</v>
          </cell>
          <cell r="V208">
            <v>28000000</v>
          </cell>
          <cell r="W208">
            <v>13000000</v>
          </cell>
          <cell r="X208" t="str">
            <v>9 mes(es)</v>
          </cell>
          <cell r="Y208">
            <v>1</v>
          </cell>
          <cell r="Z208">
            <v>42807</v>
          </cell>
          <cell r="AA208" t="str">
            <v>La Secretaría Distrital de Hacienda y el Concejo de Bogotá D.C., cuentan con bienes muebles y archivos que requieren ser trasladados entre las distintas sedes de las citadas Entidades, dependiendo de su utilidad y uso, por lo que se hace necesario, garantizar los servicios de transporte que incluyan el cargue, transporte, descargue y ubicación de los bienes muebles y cajas que contienen documentos de archivo de las dependencias de las entidades y entre las diferentes sedes y sitios que se requieran dentro del perímetro urbano de la ciudad de Bogotá.</v>
          </cell>
        </row>
        <row r="209">
          <cell r="C209">
            <v>191</v>
          </cell>
          <cell r="D209">
            <v>69</v>
          </cell>
          <cell r="E209" t="str">
            <v>INICIAL</v>
          </cell>
          <cell r="F209" t="str">
            <v>RECURSOS PROPIOS</v>
          </cell>
          <cell r="G209">
            <v>222300</v>
          </cell>
          <cell r="H209">
            <v>1</v>
          </cell>
          <cell r="I209" t="str">
            <v>3-1-2-02-03 Gastos de Transporte y Comunicación</v>
          </cell>
          <cell r="J209">
            <v>1</v>
          </cell>
          <cell r="K209">
            <v>1</v>
          </cell>
          <cell r="L209" t="str">
            <v>NA</v>
          </cell>
          <cell r="M209" t="str">
            <v>NA</v>
          </cell>
          <cell r="N209" t="str">
            <v>Prestar servicios para la gestión de correspondencia y mensajería expresa masiva para la Secretaría Distrital de Hacienda  y el Concejo de Bogotá</v>
          </cell>
          <cell r="O209">
            <v>1</v>
          </cell>
          <cell r="P209" t="str">
            <v>NA</v>
          </cell>
          <cell r="Q209" t="str">
            <v>NA</v>
          </cell>
          <cell r="R209" t="str">
            <v>SEL.ABREVIADA.SUB.INV.ELECTRO.</v>
          </cell>
          <cell r="S209" t="str">
            <v>P</v>
          </cell>
          <cell r="T209" t="str">
            <v>NA</v>
          </cell>
          <cell r="U209" t="str">
            <v>PRESTACION DE SERVICIOS</v>
          </cell>
          <cell r="V209">
            <v>3462000000</v>
          </cell>
          <cell r="W209">
            <v>3426000000</v>
          </cell>
          <cell r="X209" t="str">
            <v>32 mes(es)</v>
          </cell>
          <cell r="Y209">
            <v>1</v>
          </cell>
          <cell r="Z209">
            <v>42818</v>
          </cell>
          <cell r="AA209" t="str">
            <v>La Secretaría Distrital de Hacienda y el Concejo de Bogotá D.C., requieren gestionar la correspondencia interna y externa, enviada y recibida, incluyendo la recepción, radicación, escaneo, alistamiento, distribución y entrega oportuna, para cada una de sus dependencias, con el fin de permitir el cumplimiento de las funciones de la Entidad.  Presupuesto con vigencias futuras UE 01  2017 $894.000.000 2018 $1.138.000.000 2019 $1.394.000.000</v>
          </cell>
        </row>
        <row r="210">
          <cell r="C210">
            <v>191</v>
          </cell>
          <cell r="D210">
            <v>69</v>
          </cell>
          <cell r="E210" t="str">
            <v>INICIAL</v>
          </cell>
          <cell r="F210" t="str">
            <v>RECURSOS PROPIOS</v>
          </cell>
          <cell r="G210">
            <v>120000</v>
          </cell>
          <cell r="H210">
            <v>4</v>
          </cell>
          <cell r="I210" t="str">
            <v>3-1-2-02-03 Gastos de Transporte y Comunicación</v>
          </cell>
          <cell r="J210">
            <v>1</v>
          </cell>
          <cell r="K210">
            <v>4</v>
          </cell>
          <cell r="L210" t="str">
            <v>NA</v>
          </cell>
          <cell r="M210" t="str">
            <v>NA</v>
          </cell>
          <cell r="N210" t="str">
            <v>Prestar servicios para la gestión de correspondencia y mensajería expresa masiva para la Secretaría Distrital de Hacienda  y el Concejo de Bogotá</v>
          </cell>
          <cell r="O210">
            <v>1</v>
          </cell>
          <cell r="P210" t="str">
            <v>NA</v>
          </cell>
          <cell r="Q210" t="str">
            <v>NA</v>
          </cell>
          <cell r="R210" t="str">
            <v>SEL.ABREVIADA.SUB.INV.ELECTRO.</v>
          </cell>
          <cell r="S210" t="str">
            <v>P</v>
          </cell>
          <cell r="T210" t="str">
            <v>NA</v>
          </cell>
          <cell r="U210" t="str">
            <v>PRESTACION DE SERVICIOS</v>
          </cell>
          <cell r="V210">
            <v>3462000000</v>
          </cell>
          <cell r="W210">
            <v>36000000</v>
          </cell>
          <cell r="X210" t="str">
            <v>32 mes(es)</v>
          </cell>
          <cell r="Y210">
            <v>1</v>
          </cell>
          <cell r="Z210">
            <v>42818</v>
          </cell>
          <cell r="AA210" t="str">
            <v>La Secretaría Distrital de Hacienda y el Concejo de Bogotá D.C., requieren gestionar la correspondencia interna y externa, enviada y recibida, incluyendo la recepción, radicación, escaneo, alistamiento, distribución y entrega oportuna, para cada una de sus dependencias, con el fin de permitir el cumplimiento de las funciones de la Entidad.  Presupuesto con vigencias futuras UE 01  2017 $894.000.000 2018 $1.138.000.000 2019 $1.394.000.000</v>
          </cell>
        </row>
        <row r="211">
          <cell r="C211">
            <v>192</v>
          </cell>
          <cell r="D211">
            <v>69</v>
          </cell>
          <cell r="E211" t="str">
            <v>INICIAL</v>
          </cell>
          <cell r="F211" t="str">
            <v>RECURSOS PROPIOS</v>
          </cell>
          <cell r="G211">
            <v>222100</v>
          </cell>
          <cell r="H211">
            <v>1</v>
          </cell>
          <cell r="I211" t="str">
            <v>3-1-2-02-04 Impresos y  Publicaciones</v>
          </cell>
          <cell r="J211">
            <v>1</v>
          </cell>
          <cell r="K211">
            <v>1</v>
          </cell>
          <cell r="L211" t="str">
            <v>NA</v>
          </cell>
          <cell r="M211" t="str">
            <v>NA</v>
          </cell>
          <cell r="N211" t="str">
            <v>Prestar servicio integral de fotocopiado y servicios afines para la Secretaría Distrital de Hacienda y el Concejo de Bogotá, de conformidad con lo establecido en el pliego de condicones.</v>
          </cell>
          <cell r="O211">
            <v>1</v>
          </cell>
          <cell r="P211" t="str">
            <v>NA</v>
          </cell>
          <cell r="Q211" t="str">
            <v>NA</v>
          </cell>
          <cell r="R211" t="str">
            <v>SEL.ABREVIADA.SUB.INV.ELECTRO.</v>
          </cell>
          <cell r="S211" t="str">
            <v>P</v>
          </cell>
          <cell r="T211" t="str">
            <v>NA</v>
          </cell>
          <cell r="U211" t="str">
            <v>PRESTACION DE SERVICIOS</v>
          </cell>
          <cell r="V211">
            <v>233000000</v>
          </cell>
          <cell r="W211">
            <v>186000000</v>
          </cell>
          <cell r="X211" t="str">
            <v>11 mes(es)</v>
          </cell>
          <cell r="Y211">
            <v>1</v>
          </cell>
          <cell r="Z211">
            <v>42768</v>
          </cell>
          <cell r="AA211" t="str">
            <v>La Secretaria Distrital de Hacienda requiere garantizar el servicio Integral de fotocopiado y servicios afines para la Secretaría Distrital de Hacienda y El Concejo de Bogotá, de conformidad con lo establecido en el pliego de condicones.</v>
          </cell>
        </row>
        <row r="212">
          <cell r="C212">
            <v>192</v>
          </cell>
          <cell r="D212">
            <v>69</v>
          </cell>
          <cell r="E212" t="str">
            <v>INICIAL</v>
          </cell>
          <cell r="F212" t="str">
            <v>RECURSOS PROPIOS</v>
          </cell>
          <cell r="G212">
            <v>120000</v>
          </cell>
          <cell r="H212">
            <v>4</v>
          </cell>
          <cell r="I212" t="str">
            <v>3-1-2-02-04 Impresos y  Publicaciones</v>
          </cell>
          <cell r="J212">
            <v>1</v>
          </cell>
          <cell r="K212">
            <v>4</v>
          </cell>
          <cell r="L212" t="str">
            <v>NA</v>
          </cell>
          <cell r="M212" t="str">
            <v>NA</v>
          </cell>
          <cell r="N212" t="str">
            <v>Prestar servicio integral de fotocopiado y servicios afines para la Secretaría Distrital de Hacienda y el Concejo de Bogotá, de conformidad con lo establecido en el pliego de condicones.</v>
          </cell>
          <cell r="O212">
            <v>1</v>
          </cell>
          <cell r="P212" t="str">
            <v>NA</v>
          </cell>
          <cell r="Q212" t="str">
            <v>NA</v>
          </cell>
          <cell r="R212" t="str">
            <v>SEL.ABREVIADA.SUB.INV.ELECTRO.</v>
          </cell>
          <cell r="S212" t="str">
            <v>P</v>
          </cell>
          <cell r="T212" t="str">
            <v>NA</v>
          </cell>
          <cell r="U212" t="str">
            <v>PRESTACION DE SERVICIOS</v>
          </cell>
          <cell r="V212">
            <v>233000000</v>
          </cell>
          <cell r="W212">
            <v>47000000</v>
          </cell>
          <cell r="X212" t="str">
            <v>11 mes(es)</v>
          </cell>
          <cell r="Y212">
            <v>1</v>
          </cell>
          <cell r="Z212">
            <v>42768</v>
          </cell>
          <cell r="AA212" t="str">
            <v>La Secretaria Distrital de Hacienda requiere garantizar el servicio Integral de fotocopiado y servicios afines para la Secretaría Distrital de Hacienda y El Concejo de Bogotá, de conformidad con lo establecido en el pliego de condicones.</v>
          </cell>
        </row>
        <row r="213">
          <cell r="C213">
            <v>193</v>
          </cell>
          <cell r="D213">
            <v>69</v>
          </cell>
          <cell r="E213" t="str">
            <v>INICIAL</v>
          </cell>
          <cell r="F213" t="str">
            <v>RECURSOS PROPIOS</v>
          </cell>
          <cell r="G213">
            <v>222100</v>
          </cell>
          <cell r="H213">
            <v>1</v>
          </cell>
          <cell r="I213" t="str">
            <v>3-1-2-02-05-01 Mantenimiento Entidad</v>
          </cell>
          <cell r="J213">
            <v>1</v>
          </cell>
          <cell r="K213">
            <v>1</v>
          </cell>
          <cell r="L213" t="str">
            <v>NA</v>
          </cell>
          <cell r="M213" t="str">
            <v>NA</v>
          </cell>
          <cell r="N213" t="str">
            <v>Prestar servicios de mantenimiento correctivo correspondiente a la reparación y corrección de las sillas existentes en la Secretaría de Distrital de Hacienda y el Concejo de Bogotá con el suministro de repuestos y/o elementos nuevos necesarios para su correcto funcionamiento.</v>
          </cell>
          <cell r="O213">
            <v>1</v>
          </cell>
          <cell r="P213" t="str">
            <v>NA</v>
          </cell>
          <cell r="Q213" t="str">
            <v>NA</v>
          </cell>
          <cell r="R213" t="str">
            <v>SEL. ABREVIADA MENOR CUANTIA</v>
          </cell>
          <cell r="S213" t="str">
            <v>P</v>
          </cell>
          <cell r="T213" t="str">
            <v>NA</v>
          </cell>
          <cell r="U213" t="str">
            <v>PRESTACION DE SERVICIOS</v>
          </cell>
          <cell r="V213">
            <v>149553000</v>
          </cell>
          <cell r="W213">
            <v>118553000</v>
          </cell>
          <cell r="X213" t="str">
            <v>34 mes(es)</v>
          </cell>
          <cell r="Y213">
            <v>1</v>
          </cell>
          <cell r="Z213">
            <v>42788</v>
          </cell>
          <cell r="AA213" t="str">
            <v>La Secretaria Distrital de Hacienda requiere garantizar los servicios de mantenimiento correctivo correspondiente a la reparación y corrección de las sillas existentes en la Secretaría de Distrital de Hacienda y el Concejo de Bogotá con el suministro de repuestos y/o elementos nuevos necesarios para su correcto funcionamiento.  PResupuesto total UE 01 con Vigencias futuras 2017: 32.100.000 2018: $40.446.000 2019: $46.007.000</v>
          </cell>
        </row>
        <row r="214">
          <cell r="C214">
            <v>193</v>
          </cell>
          <cell r="D214">
            <v>69</v>
          </cell>
          <cell r="E214" t="str">
            <v>INICIAL</v>
          </cell>
          <cell r="F214" t="str">
            <v>RECURSOS PROPIOS</v>
          </cell>
          <cell r="G214">
            <v>120000</v>
          </cell>
          <cell r="H214">
            <v>4</v>
          </cell>
          <cell r="I214" t="str">
            <v>3-1-2-02-05-01 Mantenimiento Entidad</v>
          </cell>
          <cell r="J214">
            <v>1</v>
          </cell>
          <cell r="K214">
            <v>4</v>
          </cell>
          <cell r="L214" t="str">
            <v>NA</v>
          </cell>
          <cell r="M214" t="str">
            <v>NA</v>
          </cell>
          <cell r="N214" t="str">
            <v>Prestar servicios de mantenimiento correctivo correspondiente a la reparación y corrección de las sillas existentes en la Secretaría de Distrital de Hacienda y el Concejo de Bogotá con el suministro de repuestos y/o elementos nuevos necesarios para su correcto funcionamiento.</v>
          </cell>
          <cell r="O214">
            <v>1</v>
          </cell>
          <cell r="P214" t="str">
            <v>NA</v>
          </cell>
          <cell r="Q214" t="str">
            <v>NA</v>
          </cell>
          <cell r="R214" t="str">
            <v>SEL. ABREVIADA MENOR CUANTIA</v>
          </cell>
          <cell r="S214" t="str">
            <v>P</v>
          </cell>
          <cell r="T214" t="str">
            <v>NA</v>
          </cell>
          <cell r="U214" t="str">
            <v>PRESTACION DE SERVICIOS</v>
          </cell>
          <cell r="V214">
            <v>149553000</v>
          </cell>
          <cell r="W214">
            <v>31000000</v>
          </cell>
          <cell r="X214" t="str">
            <v>34 mes(es)</v>
          </cell>
          <cell r="Y214">
            <v>1</v>
          </cell>
          <cell r="Z214">
            <v>42788</v>
          </cell>
          <cell r="AA214" t="str">
            <v>La Secretaria Distrital de Hacienda requiere garantizar los servicios de mantenimiento correctivo correspondiente a la reparación y corrección de las sillas existentes en la Secretaría de Distrital de Hacienda y el Concejo de Bogotá con el suministro de repuestos y/o elementos nuevos necesarios para su correcto funcionamiento.  PResupuesto total UE 01 con Vigencias futuras 2017: 32.100.000 2018: $40.446.000 2019: $46.007.000</v>
          </cell>
        </row>
        <row r="215">
          <cell r="C215">
            <v>194</v>
          </cell>
          <cell r="D215">
            <v>69</v>
          </cell>
          <cell r="E215" t="str">
            <v>INICIAL</v>
          </cell>
          <cell r="F215" t="str">
            <v>RECURSOS PROPIOS</v>
          </cell>
          <cell r="G215">
            <v>222100</v>
          </cell>
          <cell r="H215">
            <v>1</v>
          </cell>
          <cell r="I215" t="str">
            <v>3-1-2-02-05-01 Mantenimiento Entidad</v>
          </cell>
          <cell r="J215">
            <v>1</v>
          </cell>
          <cell r="K215">
            <v>1</v>
          </cell>
          <cell r="L215" t="str">
            <v>NA</v>
          </cell>
          <cell r="M215" t="str">
            <v>NA</v>
          </cell>
          <cell r="N215" t="str">
            <v>Prestar servicio de mantenimiento con suministro de repuestos para plantas purificadoras Semi-industriales de agua de la Secretaría Distrital de Hacienda y el Concejo de Bogotá.--</v>
          </cell>
          <cell r="O215">
            <v>1</v>
          </cell>
          <cell r="P215" t="str">
            <v>NA</v>
          </cell>
          <cell r="Q215" t="str">
            <v>NA</v>
          </cell>
          <cell r="R215" t="str">
            <v>MINIMA_CUANTIA</v>
          </cell>
          <cell r="S215" t="str">
            <v>P</v>
          </cell>
          <cell r="T215" t="str">
            <v>NA</v>
          </cell>
          <cell r="U215" t="str">
            <v>PRESTACION DE SERVICIOS</v>
          </cell>
          <cell r="V215">
            <v>13000000</v>
          </cell>
          <cell r="W215">
            <v>8000000</v>
          </cell>
          <cell r="X215" t="str">
            <v>12 mes(es)</v>
          </cell>
          <cell r="Y215">
            <v>1</v>
          </cell>
          <cell r="Z215">
            <v>42781</v>
          </cell>
          <cell r="AA215" t="str">
            <v>La Secretaría Distrital de Hacienda requiere garantizar el ofrecimiento del agua potable para las cafeterias y cnsumo d elos funcionarios, por lo tanto es necesario contar con el servicio de mantenimiento con suministro de repuestos para plantas purificadoras Semi-industriales de agua de la Secretaría Distrital de Hacienda y el Concejo de Bogotá.</v>
          </cell>
        </row>
        <row r="216">
          <cell r="C216">
            <v>194</v>
          </cell>
          <cell r="D216">
            <v>69</v>
          </cell>
          <cell r="E216" t="str">
            <v>INICIAL</v>
          </cell>
          <cell r="F216" t="str">
            <v>RECURSOS PROPIOS</v>
          </cell>
          <cell r="G216">
            <v>120000</v>
          </cell>
          <cell r="H216">
            <v>4</v>
          </cell>
          <cell r="I216" t="str">
            <v>3-1-2-02-05-01 Mantenimiento Entidad</v>
          </cell>
          <cell r="J216">
            <v>1</v>
          </cell>
          <cell r="K216">
            <v>4</v>
          </cell>
          <cell r="L216" t="str">
            <v>NA</v>
          </cell>
          <cell r="M216" t="str">
            <v>NA</v>
          </cell>
          <cell r="N216" t="str">
            <v>Prestar servicio de mantenimiento con suministro de repuestos para plantas purificadoras Semi-industriales de agua de la Secretaría Distrital de Hacienda y el Concejo de Bogotá.--</v>
          </cell>
          <cell r="O216">
            <v>1</v>
          </cell>
          <cell r="P216" t="str">
            <v>NA</v>
          </cell>
          <cell r="Q216" t="str">
            <v>NA</v>
          </cell>
          <cell r="R216" t="str">
            <v>MINIMA_CUANTIA</v>
          </cell>
          <cell r="S216" t="str">
            <v>P</v>
          </cell>
          <cell r="T216" t="str">
            <v>NA</v>
          </cell>
          <cell r="U216" t="str">
            <v>PRESTACION DE SERVICIOS</v>
          </cell>
          <cell r="V216">
            <v>13000000</v>
          </cell>
          <cell r="W216">
            <v>5000000</v>
          </cell>
          <cell r="X216" t="str">
            <v>12 mes(es)</v>
          </cell>
          <cell r="Y216">
            <v>1</v>
          </cell>
          <cell r="Z216">
            <v>42781</v>
          </cell>
          <cell r="AA216" t="str">
            <v>La Secretaría Distrital de Hacienda requiere garantizar el ofrecimiento del agua potable para las cafeterias y cnsumo d elos funcionarios, por lo tanto es necesario contar con el servicio de mantenimiento con suministro de repuestos para plantas purificadoras Semi-industriales de agua de la Secretaría Distrital de Hacienda y el Concejo de Bogotá.</v>
          </cell>
        </row>
        <row r="217">
          <cell r="C217">
            <v>195</v>
          </cell>
          <cell r="D217">
            <v>69</v>
          </cell>
          <cell r="E217" t="str">
            <v>INICIAL</v>
          </cell>
          <cell r="F217" t="str">
            <v>RECURSOS PROPIOS</v>
          </cell>
          <cell r="G217">
            <v>222100</v>
          </cell>
          <cell r="H217">
            <v>1</v>
          </cell>
          <cell r="I217" t="str">
            <v>3-1-2-02-05-01 Mantenimiento Entidad</v>
          </cell>
          <cell r="J217">
            <v>1</v>
          </cell>
          <cell r="K217">
            <v>1</v>
          </cell>
          <cell r="L217" t="str">
            <v>NA</v>
          </cell>
          <cell r="M217" t="str">
            <v>NA</v>
          </cell>
          <cell r="N217" t="str">
            <v>Prestar servicios de mantenimiento preventivo y correctivo con suministro de repuestos de los automotores marca Chevrolet al servicio de la Secretaría Distrital de Hacienda y el Concejo de Bogotá.</v>
          </cell>
          <cell r="O217">
            <v>1</v>
          </cell>
          <cell r="P217" t="str">
            <v>NA</v>
          </cell>
          <cell r="Q217" t="str">
            <v>NA</v>
          </cell>
          <cell r="R217" t="str">
            <v>MINIMA_CUANTIA</v>
          </cell>
          <cell r="S217" t="str">
            <v>P</v>
          </cell>
          <cell r="T217" t="str">
            <v>NA</v>
          </cell>
          <cell r="U217" t="str">
            <v>PRESTACION DE SERVICIOS</v>
          </cell>
          <cell r="V217">
            <v>62000000</v>
          </cell>
          <cell r="W217">
            <v>17000000</v>
          </cell>
          <cell r="X217" t="str">
            <v>12 mes(es)</v>
          </cell>
          <cell r="Y217">
            <v>1</v>
          </cell>
          <cell r="Z217">
            <v>42796</v>
          </cell>
          <cell r="AA217" t="str">
            <v>La entidad requiere garantizar el óptimo funcionamiento y operación de los vehículos CHEVROLET de la Secretaria Distrital de hacienda y el Concejo de Bogotá.</v>
          </cell>
        </row>
        <row r="218">
          <cell r="C218">
            <v>195</v>
          </cell>
          <cell r="D218">
            <v>69</v>
          </cell>
          <cell r="E218" t="str">
            <v>INICIAL</v>
          </cell>
          <cell r="F218" t="str">
            <v>RECURSOS PROPIOS</v>
          </cell>
          <cell r="G218">
            <v>120000</v>
          </cell>
          <cell r="H218">
            <v>4</v>
          </cell>
          <cell r="I218" t="str">
            <v>3-1-2-02-05-01 Mantenimiento Entidad</v>
          </cell>
          <cell r="J218">
            <v>1</v>
          </cell>
          <cell r="K218">
            <v>4</v>
          </cell>
          <cell r="L218" t="str">
            <v>NA</v>
          </cell>
          <cell r="M218" t="str">
            <v>NA</v>
          </cell>
          <cell r="N218" t="str">
            <v>Prestar servicios de mantenimiento preventivo y correctivo con suministro de repuestos de los automotores marca Chevrolet al servicio de la Secretaría Distrital de Hacienda y el Concejo de Bogotá.</v>
          </cell>
          <cell r="O218">
            <v>1</v>
          </cell>
          <cell r="P218" t="str">
            <v>NA</v>
          </cell>
          <cell r="Q218" t="str">
            <v>NA</v>
          </cell>
          <cell r="R218" t="str">
            <v>MINIMA_CUANTIA</v>
          </cell>
          <cell r="S218" t="str">
            <v>P</v>
          </cell>
          <cell r="T218" t="str">
            <v>NA</v>
          </cell>
          <cell r="U218" t="str">
            <v>PRESTACION DE SERVICIOS</v>
          </cell>
          <cell r="V218">
            <v>62000000</v>
          </cell>
          <cell r="W218">
            <v>45000000</v>
          </cell>
          <cell r="X218" t="str">
            <v>12 mes(es)</v>
          </cell>
          <cell r="Y218">
            <v>1</v>
          </cell>
          <cell r="Z218">
            <v>42796</v>
          </cell>
          <cell r="AA218" t="str">
            <v>La entidad requiere garantizar el óptimo funcionamiento y operación de los vehículos CHEVROLET de la Secretaria Distrital de hacienda y el Concejo de Bogotá.</v>
          </cell>
        </row>
        <row r="219">
          <cell r="C219">
            <v>196</v>
          </cell>
          <cell r="D219">
            <v>69</v>
          </cell>
          <cell r="E219" t="str">
            <v>INICIAL</v>
          </cell>
          <cell r="F219" t="str">
            <v>RECURSOS PROPIOS</v>
          </cell>
          <cell r="G219">
            <v>222100</v>
          </cell>
          <cell r="H219">
            <v>1</v>
          </cell>
          <cell r="I219" t="str">
            <v>3-1-2-02-05-01 Mantenimiento Entidad</v>
          </cell>
          <cell r="J219">
            <v>1</v>
          </cell>
          <cell r="K219">
            <v>1</v>
          </cell>
          <cell r="L219" t="str">
            <v>NA</v>
          </cell>
          <cell r="M219" t="str">
            <v>NA</v>
          </cell>
          <cell r="N219" t="str">
            <v>Prestar servicios de vigilancia y seguridad privada, para la permanente y adecuada protección de los funcionarios, contratistas, visitantes, contribuyentes y usuarios de las Entidades y los bienes muebles e inmuebles objeto de esta contratación.</v>
          </cell>
          <cell r="O219">
            <v>1</v>
          </cell>
          <cell r="P219" t="str">
            <v>NA</v>
          </cell>
          <cell r="Q219" t="str">
            <v>NA</v>
          </cell>
          <cell r="R219" t="str">
            <v>LICITACION_BASICA</v>
          </cell>
          <cell r="S219" t="str">
            <v>P</v>
          </cell>
          <cell r="T219" t="str">
            <v>NA</v>
          </cell>
          <cell r="U219" t="str">
            <v>PRESTACION DE SERVICIOS</v>
          </cell>
          <cell r="V219">
            <v>7711363000</v>
          </cell>
          <cell r="W219">
            <v>4098711000</v>
          </cell>
          <cell r="X219" t="str">
            <v>30 mes(es)</v>
          </cell>
          <cell r="Y219">
            <v>1</v>
          </cell>
          <cell r="Z219">
            <v>42934</v>
          </cell>
          <cell r="AA219" t="str">
            <v xml:space="preserve">La Secretaria Distrital de hacienda requiere garantizar la vigilancia y seguridad fisica de los bienes muebles e inmuebles de la entidad, zonas comunes del C.A.D. y el Concejo de Bogota, por lo que se requiere contratar los los Servicios de Vigilancia y Seguridad Privada, para la permanente y adecuada protección de los funcionarios, contratistas, visitantes, contribuyentes y usuarios de las Entidades y los bienes muebles e inmuebles objeto de esta contratación.  Presupuesto total con vigencias futuras para la UE 01   Vigilancia CAD Vigilancia SHD 2017   $  528.982.000 $    722.558.000      2018  $1.078.508.000    $1.473.177.000      2019  $1.282.691.000   $1.752.079.000      </v>
          </cell>
        </row>
        <row r="220">
          <cell r="C220">
            <v>196</v>
          </cell>
          <cell r="D220">
            <v>69</v>
          </cell>
          <cell r="E220" t="str">
            <v>INICIAL</v>
          </cell>
          <cell r="F220" t="str">
            <v>RECURSOS PROPIOS</v>
          </cell>
          <cell r="G220">
            <v>222100</v>
          </cell>
          <cell r="H220">
            <v>1</v>
          </cell>
          <cell r="I220" t="str">
            <v>3-1-2-02-05-02 Mantenimiento C.A.D.</v>
          </cell>
          <cell r="J220">
            <v>1</v>
          </cell>
          <cell r="K220">
            <v>1</v>
          </cell>
          <cell r="L220" t="str">
            <v>NA</v>
          </cell>
          <cell r="M220" t="str">
            <v>NA</v>
          </cell>
          <cell r="N220" t="str">
            <v>Prestar servicios de vigilancia y seguridad privada, para la permanente y adecuada protección de los funcionarios, contratistas, visitantes, contribuyentes y usuarios de las Entidades y los bienes muebles e inmuebles objeto de esta contratación.</v>
          </cell>
          <cell r="O220">
            <v>1</v>
          </cell>
          <cell r="P220" t="str">
            <v>NA</v>
          </cell>
          <cell r="Q220" t="str">
            <v>NA</v>
          </cell>
          <cell r="R220" t="str">
            <v>LICITACION_BASICA</v>
          </cell>
          <cell r="S220" t="str">
            <v>P</v>
          </cell>
          <cell r="T220" t="str">
            <v>NA</v>
          </cell>
          <cell r="U220" t="str">
            <v>PRESTACION DE SERVICIOS</v>
          </cell>
          <cell r="V220">
            <v>7711363000</v>
          </cell>
          <cell r="W220">
            <v>3000652000</v>
          </cell>
          <cell r="X220" t="str">
            <v>30 mes(es)</v>
          </cell>
          <cell r="Y220">
            <v>1</v>
          </cell>
          <cell r="Z220">
            <v>42934</v>
          </cell>
          <cell r="AA220" t="str">
            <v xml:space="preserve">La Secretaria Distrital de hacienda requiere garantizar la vigilancia y seguridad fisica de los bienes muebles e inmuebles de la entidad, zonas comunes del C.A.D. y el Concejo de Bogota, por lo que se requiere contratar los los Servicios de Vigilancia y Seguridad Privada, para la permanente y adecuada protección de los funcionarios, contratistas, visitantes, contribuyentes y usuarios de las Entidades y los bienes muebles e inmuebles objeto de esta contratación.  Presupuesto total con vigencias futuras para la UE 01   Vigilancia CAD Vigilancia SHD 2017   $  528.982.000 $    722.558.000      2018  $1.078.508.000    $1.473.177.000      2019  $1.282.691.000   $1.752.079.000      </v>
          </cell>
        </row>
        <row r="221">
          <cell r="C221">
            <v>196</v>
          </cell>
          <cell r="D221">
            <v>69</v>
          </cell>
          <cell r="E221" t="str">
            <v>INICIAL</v>
          </cell>
          <cell r="F221" t="str">
            <v>RECURSOS PROPIOS</v>
          </cell>
          <cell r="G221">
            <v>120000</v>
          </cell>
          <cell r="H221">
            <v>4</v>
          </cell>
          <cell r="I221" t="str">
            <v>3-1-2-02-05-01 Mantenimiento Entidad</v>
          </cell>
          <cell r="J221">
            <v>1</v>
          </cell>
          <cell r="K221">
            <v>4</v>
          </cell>
          <cell r="L221" t="str">
            <v>NA</v>
          </cell>
          <cell r="M221" t="str">
            <v>NA</v>
          </cell>
          <cell r="N221" t="str">
            <v>Prestar servicios de vigilancia y seguridad privada, para la permanente y adecuada protección de los funcionarios, contratistas, visitantes, contribuyentes y usuarios de las Entidades y los bienes muebles e inmuebles objeto de esta contratación.</v>
          </cell>
          <cell r="O221">
            <v>1</v>
          </cell>
          <cell r="P221" t="str">
            <v>NA</v>
          </cell>
          <cell r="Q221" t="str">
            <v>NA</v>
          </cell>
          <cell r="R221" t="str">
            <v>LICITACION_BASICA</v>
          </cell>
          <cell r="S221" t="str">
            <v>P</v>
          </cell>
          <cell r="T221" t="str">
            <v>NA</v>
          </cell>
          <cell r="U221" t="str">
            <v>PRESTACION DE SERVICIOS</v>
          </cell>
          <cell r="V221">
            <v>7711363000</v>
          </cell>
          <cell r="W221">
            <v>612000000</v>
          </cell>
          <cell r="X221" t="str">
            <v>30 mes(es)</v>
          </cell>
          <cell r="Y221">
            <v>1</v>
          </cell>
          <cell r="Z221">
            <v>42934</v>
          </cell>
          <cell r="AA221" t="str">
            <v xml:space="preserve">La Secretaria Distrital de hacienda requiere garantizar la vigilancia y seguridad fisica de los bienes muebles e inmuebles de la entidad, zonas comunes del C.A.D. y el Concejo de Bogota, por lo que se requiere contratar los los Servicios de Vigilancia y Seguridad Privada, para la permanente y adecuada protección de los funcionarios, contratistas, visitantes, contribuyentes y usuarios de las Entidades y los bienes muebles e inmuebles objeto de esta contratación.  Presupuesto total con vigencias futuras para la UE 01   Vigilancia CAD Vigilancia SHD 2017   $  528.982.000 $    722.558.000      2018  $1.078.508.000    $1.473.177.000      2019  $1.282.691.000   $1.752.079.000      </v>
          </cell>
        </row>
        <row r="222">
          <cell r="C222">
            <v>197</v>
          </cell>
          <cell r="D222">
            <v>69</v>
          </cell>
          <cell r="E222" t="str">
            <v>INICIAL</v>
          </cell>
          <cell r="F222" t="str">
            <v>RECURSOS PROPIOS</v>
          </cell>
          <cell r="G222">
            <v>222100</v>
          </cell>
          <cell r="H222">
            <v>1</v>
          </cell>
          <cell r="I222" t="str">
            <v>3-1-2-02-05-01 Mantenimiento Entidad</v>
          </cell>
          <cell r="J222">
            <v>1</v>
          </cell>
          <cell r="K222">
            <v>1</v>
          </cell>
          <cell r="L222" t="str">
            <v>NA</v>
          </cell>
          <cell r="M222" t="str">
            <v>NA</v>
          </cell>
          <cell r="N222" t="str">
            <v>Prestar servicio de mantenimiento Integral locativo con suministro de personal, equipo y repuestos, en las instalaciones físicas de la Secretaría Distrital de Hacienda, zonas comunes del CAD y el Concejo de Bogotá</v>
          </cell>
          <cell r="O222">
            <v>1</v>
          </cell>
          <cell r="P222" t="str">
            <v>NA</v>
          </cell>
          <cell r="Q222" t="str">
            <v>NA</v>
          </cell>
          <cell r="R222" t="str">
            <v>LICITACION_BASICA</v>
          </cell>
          <cell r="S222" t="str">
            <v>P</v>
          </cell>
          <cell r="T222" t="str">
            <v>NA</v>
          </cell>
          <cell r="U222" t="str">
            <v>OBRA</v>
          </cell>
          <cell r="V222">
            <v>1403623000</v>
          </cell>
          <cell r="W222">
            <v>674774000</v>
          </cell>
          <cell r="X222" t="str">
            <v>33 mes(es)</v>
          </cell>
          <cell r="Y222">
            <v>1</v>
          </cell>
          <cell r="Z222">
            <v>42891</v>
          </cell>
          <cell r="AA222" t="str">
            <v xml:space="preserve">La entidad requiere garancizar el optimo estado d elas instalaciones locativas donde opera la Secretaria, las zonas comunes del CAD y del Concejo de Bogotá, por lo que se necesita la contratación del mantenimiento  Integral locativo con suministro de personal, equipo y repuestos, en las instalaciones físicas de la Secretaría Distrital de Hacienda, zonas comunes del CAD y el Concejo de Bogotá.  presupuesto total con vigencias futuras UE 01             Locativo CAD          Locativo SDH  2017  $89.880.000                $134.820.000       2018  $161.784.000       $242.676.000       2019  $198.185.000       $297.278.000              </v>
          </cell>
        </row>
        <row r="223">
          <cell r="C223">
            <v>197</v>
          </cell>
          <cell r="D223">
            <v>69</v>
          </cell>
          <cell r="E223" t="str">
            <v>INICIAL</v>
          </cell>
          <cell r="F223" t="str">
            <v>RECURSOS PROPIOS</v>
          </cell>
          <cell r="G223">
            <v>222100</v>
          </cell>
          <cell r="H223">
            <v>1</v>
          </cell>
          <cell r="I223" t="str">
            <v>3-1-2-02-05-02 Mantenimiento C.A.D.</v>
          </cell>
          <cell r="J223">
            <v>1</v>
          </cell>
          <cell r="K223">
            <v>1</v>
          </cell>
          <cell r="L223" t="str">
            <v>NA</v>
          </cell>
          <cell r="M223" t="str">
            <v>NA</v>
          </cell>
          <cell r="N223" t="str">
            <v>Prestar servicio de mantenimiento Integral locativo con suministro de personal, equipo y repuestos, en las instalaciones físicas de la Secretaría Distrital de Hacienda, zonas comunes del CAD y el Concejo de Bogotá</v>
          </cell>
          <cell r="O223">
            <v>1</v>
          </cell>
          <cell r="P223" t="str">
            <v>NA</v>
          </cell>
          <cell r="Q223" t="str">
            <v>NA</v>
          </cell>
          <cell r="R223" t="str">
            <v>LICITACION_BASICA</v>
          </cell>
          <cell r="S223" t="str">
            <v>P</v>
          </cell>
          <cell r="T223" t="str">
            <v>NA</v>
          </cell>
          <cell r="U223" t="str">
            <v>OBRA</v>
          </cell>
          <cell r="V223">
            <v>1403623000</v>
          </cell>
          <cell r="W223">
            <v>449849000</v>
          </cell>
          <cell r="X223" t="str">
            <v>33 mes(es)</v>
          </cell>
          <cell r="Y223">
            <v>1</v>
          </cell>
          <cell r="Z223">
            <v>42891</v>
          </cell>
          <cell r="AA223" t="str">
            <v xml:space="preserve">La entidad requiere garancizar el optimo estado d elas instalaciones locativas donde opera la Secretaria, las zonas comunes del CAD y del Concejo de Bogotá, por lo que se necesita la contratación del mantenimiento  Integral locativo con suministro de personal, equipo y repuestos, en las instalaciones físicas de la Secretaría Distrital de Hacienda, zonas comunes del CAD y el Concejo de Bogotá.  presupuesto total con vigencias futuras UE 01             Locativo CAD          Locativo SDH  2017  $89.880.000                $134.820.000       2018  $161.784.000       $242.676.000       2019  $198.185.000       $297.278.000              </v>
          </cell>
        </row>
        <row r="224">
          <cell r="C224">
            <v>197</v>
          </cell>
          <cell r="D224">
            <v>69</v>
          </cell>
          <cell r="E224" t="str">
            <v>INICIAL</v>
          </cell>
          <cell r="F224" t="str">
            <v>RECURSOS PROPIOS</v>
          </cell>
          <cell r="G224">
            <v>120000</v>
          </cell>
          <cell r="H224">
            <v>4</v>
          </cell>
          <cell r="I224" t="str">
            <v>3-1-2-02-05-01 Mantenimiento Entidad</v>
          </cell>
          <cell r="J224">
            <v>1</v>
          </cell>
          <cell r="K224">
            <v>4</v>
          </cell>
          <cell r="L224" t="str">
            <v>NA</v>
          </cell>
          <cell r="M224" t="str">
            <v>NA</v>
          </cell>
          <cell r="N224" t="str">
            <v>Prestar servicio de mantenimiento Integral locativo con suministro de personal, equipo y repuestos, en las instalaciones físicas de la Secretaría Distrital de Hacienda, zonas comunes del CAD y el Concejo de Bogotá</v>
          </cell>
          <cell r="O224">
            <v>1</v>
          </cell>
          <cell r="P224" t="str">
            <v>NA</v>
          </cell>
          <cell r="Q224" t="str">
            <v>NA</v>
          </cell>
          <cell r="R224" t="str">
            <v>LICITACION_BASICA</v>
          </cell>
          <cell r="S224" t="str">
            <v>P</v>
          </cell>
          <cell r="T224" t="str">
            <v>NA</v>
          </cell>
          <cell r="U224" t="str">
            <v>OBRA</v>
          </cell>
          <cell r="V224">
            <v>1403623000</v>
          </cell>
          <cell r="W224">
            <v>279000000</v>
          </cell>
          <cell r="X224" t="str">
            <v>33 mes(es)</v>
          </cell>
          <cell r="Y224">
            <v>1</v>
          </cell>
          <cell r="Z224">
            <v>42891</v>
          </cell>
          <cell r="AA224" t="str">
            <v xml:space="preserve">La entidad requiere garancizar el optimo estado d elas instalaciones locativas donde opera la Secretaria, las zonas comunes del CAD y del Concejo de Bogotá, por lo que se necesita la contratación del mantenimiento  Integral locativo con suministro de personal, equipo y repuestos, en las instalaciones físicas de la Secretaría Distrital de Hacienda, zonas comunes del CAD y el Concejo de Bogotá.  presupuesto total con vigencias futuras UE 01             Locativo CAD          Locativo SDH  2017  $89.880.000                $134.820.000       2018  $161.784.000       $242.676.000       2019  $198.185.000       $297.278.000              </v>
          </cell>
        </row>
        <row r="225">
          <cell r="C225">
            <v>198</v>
          </cell>
          <cell r="D225">
            <v>69</v>
          </cell>
          <cell r="E225" t="str">
            <v>INICIAL</v>
          </cell>
          <cell r="F225" t="str">
            <v>RECURSOS PROPIOS</v>
          </cell>
          <cell r="G225">
            <v>222100</v>
          </cell>
          <cell r="H225">
            <v>1</v>
          </cell>
          <cell r="I225" t="str">
            <v>3-1-2-02-05-02 Mantenimiento C.A.D.</v>
          </cell>
          <cell r="J225">
            <v>1</v>
          </cell>
          <cell r="K225">
            <v>1</v>
          </cell>
          <cell r="L225" t="str">
            <v>NA</v>
          </cell>
          <cell r="M225" t="str">
            <v>NA</v>
          </cell>
          <cell r="N225" t="str">
            <v>Prestar servicios de mantenimiento preventivo y correctivo al sistema eléctrico del  Centro Administrativo Distrital CAD y al sistema de generación y transferencia eléctrica de emergencia  del Concejo de Bogotá.</v>
          </cell>
          <cell r="O225">
            <v>1</v>
          </cell>
          <cell r="P225" t="str">
            <v>NA</v>
          </cell>
          <cell r="Q225" t="str">
            <v>NA</v>
          </cell>
          <cell r="R225" t="str">
            <v>MINIMA_CUANTIA</v>
          </cell>
          <cell r="S225" t="str">
            <v>P</v>
          </cell>
          <cell r="T225" t="str">
            <v>NA</v>
          </cell>
          <cell r="U225" t="str">
            <v>PRESTACION DE SERVICIOS</v>
          </cell>
          <cell r="V225">
            <v>71000000</v>
          </cell>
          <cell r="W225">
            <v>54000000</v>
          </cell>
          <cell r="X225" t="str">
            <v>12 mes(es)</v>
          </cell>
          <cell r="Y225">
            <v>1</v>
          </cell>
          <cell r="Z225">
            <v>42795</v>
          </cell>
          <cell r="AA225" t="str">
            <v>La entidad requiere garantizar el optimo funcionamiento del sistema electrico y de suplecia del edificio CAD y de las instalaciones del Concejo de Bogotá.</v>
          </cell>
        </row>
        <row r="226">
          <cell r="C226">
            <v>198</v>
          </cell>
          <cell r="D226">
            <v>69</v>
          </cell>
          <cell r="E226" t="str">
            <v>INICIAL</v>
          </cell>
          <cell r="F226" t="str">
            <v>RECURSOS PROPIOS</v>
          </cell>
          <cell r="G226">
            <v>120000</v>
          </cell>
          <cell r="H226">
            <v>4</v>
          </cell>
          <cell r="I226" t="str">
            <v>3-1-2-02-05-01 Mantenimiento Entidad</v>
          </cell>
          <cell r="J226">
            <v>1</v>
          </cell>
          <cell r="K226">
            <v>4</v>
          </cell>
          <cell r="L226" t="str">
            <v>NA</v>
          </cell>
          <cell r="M226" t="str">
            <v>NA</v>
          </cell>
          <cell r="N226" t="str">
            <v>Prestar servicios de mantenimiento preventivo y correctivo al sistema eléctrico del  Centro Administrativo Distrital CAD y al sistema de generación y transferencia eléctrica de emergencia  del Concejo de Bogotá.</v>
          </cell>
          <cell r="O226">
            <v>1</v>
          </cell>
          <cell r="P226" t="str">
            <v>NA</v>
          </cell>
          <cell r="Q226" t="str">
            <v>NA</v>
          </cell>
          <cell r="R226" t="str">
            <v>MINIMA_CUANTIA</v>
          </cell>
          <cell r="S226" t="str">
            <v>P</v>
          </cell>
          <cell r="T226" t="str">
            <v>NA</v>
          </cell>
          <cell r="U226" t="str">
            <v>PRESTACION DE SERVICIOS</v>
          </cell>
          <cell r="V226">
            <v>71000000</v>
          </cell>
          <cell r="W226">
            <v>17000000</v>
          </cell>
          <cell r="X226" t="str">
            <v>12 mes(es)</v>
          </cell>
          <cell r="Y226">
            <v>1</v>
          </cell>
          <cell r="Z226">
            <v>42795</v>
          </cell>
          <cell r="AA226" t="str">
            <v>La entidad requiere garantizar el optimo funcionamiento del sistema electrico y de suplecia del edificio CAD y de las instalaciones del Concejo de Bogotá.</v>
          </cell>
        </row>
        <row r="227">
          <cell r="C227">
            <v>199</v>
          </cell>
          <cell r="D227">
            <v>69</v>
          </cell>
          <cell r="E227" t="str">
            <v>INICIAL</v>
          </cell>
          <cell r="F227" t="str">
            <v>RECURSOS PROPIOS</v>
          </cell>
          <cell r="G227">
            <v>222100</v>
          </cell>
          <cell r="H227">
            <v>1</v>
          </cell>
          <cell r="I227" t="str">
            <v>3-1-2-02-05-02 Mantenimiento C.A.D.</v>
          </cell>
          <cell r="J227">
            <v>1</v>
          </cell>
          <cell r="K227">
            <v>1</v>
          </cell>
          <cell r="L227" t="str">
            <v>NA</v>
          </cell>
          <cell r="M227" t="str">
            <v>NA</v>
          </cell>
          <cell r="N227" t="str">
            <v>Prestar servicios de mantenimiento preventivo y correctivo a los ascensores marca Mitsubishi del CAD y del Concejo de Bogotá y de la Plataforma para discapacitados ubicada en el CAD.</v>
          </cell>
          <cell r="O227">
            <v>1</v>
          </cell>
          <cell r="P227" t="str">
            <v>NA</v>
          </cell>
          <cell r="Q227" t="str">
            <v>NA</v>
          </cell>
          <cell r="R227" t="str">
            <v>DIRECTA_OTRAS_CAUSALES</v>
          </cell>
          <cell r="S227" t="str">
            <v>P</v>
          </cell>
          <cell r="T227" t="str">
            <v>NA</v>
          </cell>
          <cell r="U227" t="str">
            <v>SERVICIO</v>
          </cell>
          <cell r="V227">
            <v>52000000</v>
          </cell>
          <cell r="W227">
            <v>37000000</v>
          </cell>
          <cell r="X227" t="str">
            <v>10 mes(es)</v>
          </cell>
          <cell r="Y227">
            <v>1</v>
          </cell>
          <cell r="Z227">
            <v>42818</v>
          </cell>
          <cell r="AA227" t="str">
            <v>La entidad requiere garantizar la optima operación y funcionamiento de los ascensores MITSIBISHI del CAD y del Concejo de Bogotá. dado que se requiere garantizar el transporte vertical de los funcionarios del CAD y del Concejo de Bogotá.</v>
          </cell>
        </row>
        <row r="228">
          <cell r="C228">
            <v>199</v>
          </cell>
          <cell r="D228">
            <v>69</v>
          </cell>
          <cell r="E228" t="str">
            <v>INICIAL</v>
          </cell>
          <cell r="F228" t="str">
            <v>RECURSOS PROPIOS</v>
          </cell>
          <cell r="G228">
            <v>120000</v>
          </cell>
          <cell r="H228">
            <v>4</v>
          </cell>
          <cell r="I228" t="str">
            <v>3-1-2-02-05-01 Mantenimiento Entidad</v>
          </cell>
          <cell r="J228">
            <v>1</v>
          </cell>
          <cell r="K228">
            <v>4</v>
          </cell>
          <cell r="L228" t="str">
            <v>NA</v>
          </cell>
          <cell r="M228" t="str">
            <v>NA</v>
          </cell>
          <cell r="N228" t="str">
            <v>Prestar servicios de mantenimiento preventivo y correctivo a los ascensores marca Mitsubishi del CAD y del Concejo de Bogotá y de la Plataforma para discapacitados ubicada en el CAD.</v>
          </cell>
          <cell r="O228">
            <v>1</v>
          </cell>
          <cell r="P228" t="str">
            <v>NA</v>
          </cell>
          <cell r="Q228" t="str">
            <v>NA</v>
          </cell>
          <cell r="R228" t="str">
            <v>DIRECTA_OTRAS_CAUSALES</v>
          </cell>
          <cell r="S228" t="str">
            <v>P</v>
          </cell>
          <cell r="T228" t="str">
            <v>NA</v>
          </cell>
          <cell r="U228" t="str">
            <v>SERVICIO</v>
          </cell>
          <cell r="V228">
            <v>52000000</v>
          </cell>
          <cell r="W228">
            <v>15000000</v>
          </cell>
          <cell r="X228" t="str">
            <v>10 mes(es)</v>
          </cell>
          <cell r="Y228">
            <v>1</v>
          </cell>
          <cell r="Z228">
            <v>42818</v>
          </cell>
          <cell r="AA228" t="str">
            <v>La entidad requiere garantizar la optima operación y funcionamiento de los ascensores MITSIBISHI del CAD y del Concejo de Bogotá. dado que se requiere garantizar el transporte vertical de los funcionarios del CAD y del Concejo de Bogotá.</v>
          </cell>
        </row>
        <row r="229">
          <cell r="C229">
            <v>200</v>
          </cell>
          <cell r="D229">
            <v>69</v>
          </cell>
          <cell r="E229" t="str">
            <v>INICIAL</v>
          </cell>
          <cell r="F229" t="str">
            <v>RECURSOS PROPIOS</v>
          </cell>
          <cell r="G229">
            <v>222100</v>
          </cell>
          <cell r="H229">
            <v>1</v>
          </cell>
          <cell r="I229" t="str">
            <v>3-1-2-02-05-02 Mantenimiento C.A.D.</v>
          </cell>
          <cell r="J229">
            <v>1</v>
          </cell>
          <cell r="K229">
            <v>1</v>
          </cell>
          <cell r="L229" t="str">
            <v>NA</v>
          </cell>
          <cell r="M229" t="str">
            <v>NA</v>
          </cell>
          <cell r="N229" t="str">
            <v>Prestar servicio de mantenimiento para los tanques de almacenamiento y equipos de bombeo hidráulicos de agua potable, residual y aguas negras del Concejo de Bogotá y el sistema hidráulico de la SDH</v>
          </cell>
          <cell r="O229">
            <v>1</v>
          </cell>
          <cell r="P229" t="str">
            <v>NA</v>
          </cell>
          <cell r="Q229" t="str">
            <v>NA</v>
          </cell>
          <cell r="R229" t="str">
            <v>MINIMA_CUANTIA</v>
          </cell>
          <cell r="S229" t="str">
            <v>P</v>
          </cell>
          <cell r="T229" t="str">
            <v>NA</v>
          </cell>
          <cell r="U229" t="str">
            <v>NA</v>
          </cell>
          <cell r="V229">
            <v>71000000</v>
          </cell>
          <cell r="W229">
            <v>70000000</v>
          </cell>
          <cell r="X229" t="str">
            <v>11 mes(es)</v>
          </cell>
          <cell r="Y229">
            <v>2</v>
          </cell>
          <cell r="Z229">
            <v>42830</v>
          </cell>
          <cell r="AA229" t="str">
            <v xml:space="preserve">La entidad requiere garantizar el optimo funcionamiento del sistema de agua potable de la entidad y el Concejo d eBogotá, con el fin de suplir permanentemente del agua potable a las instalaciones locativas del CAD y del Concejo de Bogotá. </v>
          </cell>
        </row>
        <row r="230">
          <cell r="C230">
            <v>200</v>
          </cell>
          <cell r="D230">
            <v>69</v>
          </cell>
          <cell r="E230" t="str">
            <v>INICIAL</v>
          </cell>
          <cell r="F230" t="str">
            <v>RECURSOS PROPIOS</v>
          </cell>
          <cell r="G230">
            <v>120000</v>
          </cell>
          <cell r="H230">
            <v>4</v>
          </cell>
          <cell r="I230" t="str">
            <v>3-1-2-02-05-01 Mantenimiento Entidad</v>
          </cell>
          <cell r="J230">
            <v>1</v>
          </cell>
          <cell r="K230">
            <v>4</v>
          </cell>
          <cell r="L230" t="str">
            <v>NA</v>
          </cell>
          <cell r="M230" t="str">
            <v>NA</v>
          </cell>
          <cell r="N230" t="str">
            <v>Prestar servicio de mantenimiento para los tanques de almacenamiento y equipos de bombeo hidráulicos de agua potable, residual y aguas negras del Concejo de Bogotá y el sistema hidráulico de la SDH</v>
          </cell>
          <cell r="O230">
            <v>1</v>
          </cell>
          <cell r="P230" t="str">
            <v>NA</v>
          </cell>
          <cell r="Q230" t="str">
            <v>NA</v>
          </cell>
          <cell r="R230" t="str">
            <v>MINIMA_CUANTIA</v>
          </cell>
          <cell r="S230" t="str">
            <v>P</v>
          </cell>
          <cell r="T230" t="str">
            <v>NA</v>
          </cell>
          <cell r="U230" t="str">
            <v>NA</v>
          </cell>
          <cell r="V230">
            <v>71000000</v>
          </cell>
          <cell r="W230">
            <v>1000000</v>
          </cell>
          <cell r="X230" t="str">
            <v>11 mes(es)</v>
          </cell>
          <cell r="Y230">
            <v>2</v>
          </cell>
          <cell r="Z230">
            <v>42830</v>
          </cell>
          <cell r="AA230" t="str">
            <v xml:space="preserve">La entidad requiere garantizar el optimo funcionamiento del sistema de agua potable de la entidad y el Concejo d eBogotá, con el fin de suplir permanentemente del agua potable a las instalaciones locativas del CAD y del Concejo de Bogotá. </v>
          </cell>
        </row>
        <row r="231">
          <cell r="C231">
            <v>201</v>
          </cell>
          <cell r="D231">
            <v>69</v>
          </cell>
          <cell r="E231" t="str">
            <v>INICIAL</v>
          </cell>
          <cell r="F231" t="str">
            <v>RECURSOS PROPIOS</v>
          </cell>
          <cell r="G231">
            <v>120000</v>
          </cell>
          <cell r="H231">
            <v>4</v>
          </cell>
          <cell r="I231" t="str">
            <v>3-1-2-02-11 Promoción Institucional</v>
          </cell>
          <cell r="J231">
            <v>1</v>
          </cell>
          <cell r="K231">
            <v>4</v>
          </cell>
          <cell r="L231" t="str">
            <v>NA</v>
          </cell>
          <cell r="M231" t="str">
            <v>NA</v>
          </cell>
          <cell r="N231" t="str">
            <v>Prestar servicio de alquiler de escenarios como salones, auditorios y espacios abiertos, apoyo logístico y servicio de catering para el desarrollo de eventos que requieran la Secretaría Distrital de Hacienda y el Concejo de Bogotá.</v>
          </cell>
          <cell r="O231">
            <v>1</v>
          </cell>
          <cell r="P231" t="str">
            <v>NA</v>
          </cell>
          <cell r="Q231" t="str">
            <v>NA</v>
          </cell>
          <cell r="R231" t="str">
            <v>SEL. ABREVIADA MENOR CUANTIA</v>
          </cell>
          <cell r="S231" t="str">
            <v>P</v>
          </cell>
          <cell r="T231" t="str">
            <v>NA</v>
          </cell>
          <cell r="U231" t="str">
            <v>PRESTACION DE SERVICIOS</v>
          </cell>
          <cell r="V231">
            <v>317000000</v>
          </cell>
          <cell r="W231">
            <v>132000000</v>
          </cell>
          <cell r="X231" t="str">
            <v>10 mes(es)</v>
          </cell>
          <cell r="Y231">
            <v>1</v>
          </cell>
          <cell r="Z231">
            <v>42840</v>
          </cell>
          <cell r="AA231" t="str">
            <v>La Secretaría Distrital de  Hacienda requiere contar con espacios para  desarrollar actividades de capacitación y reuniones de trabajo de carácter institucional, suministro de refrigerio para los funcionarios en todas las áreas con el fin de mejorar y actualizar la formación de sus integrantes, compartir experiencias,  dar a conocer el trabajo de las áreas,  promocionar los productos y servicios, realizar actos protocolarios y demás acciones de la entidad relacionadas para el logro de sus objetivos y cumplimiento del plan de desarrollo.</v>
          </cell>
        </row>
        <row r="232">
          <cell r="C232">
            <v>201</v>
          </cell>
          <cell r="D232">
            <v>69</v>
          </cell>
          <cell r="E232" t="str">
            <v>INICIAL</v>
          </cell>
          <cell r="F232" t="str">
            <v>RECURSOS PROPIOS</v>
          </cell>
          <cell r="G232">
            <v>222200</v>
          </cell>
          <cell r="H232">
            <v>1</v>
          </cell>
          <cell r="I232" t="str">
            <v>3-1-2-02-09-01 Capacitación Interna</v>
          </cell>
          <cell r="J232">
            <v>1</v>
          </cell>
          <cell r="K232">
            <v>1</v>
          </cell>
          <cell r="L232" t="str">
            <v>NA</v>
          </cell>
          <cell r="M232" t="str">
            <v>NA</v>
          </cell>
          <cell r="N232" t="str">
            <v>Prestar servicio de alquiler de escenarios como salones, auditorios y espacios abiertos, apoyo logístico y servicio de catering para el desarrollo de eventos que requieran la Secretaría Distrital de Hacienda y el Concejo de Bogotá.</v>
          </cell>
          <cell r="O232">
            <v>1</v>
          </cell>
          <cell r="P232" t="str">
            <v>NA</v>
          </cell>
          <cell r="Q232" t="str">
            <v>NA</v>
          </cell>
          <cell r="R232" t="str">
            <v>SEL. ABREVIADA MENOR CUANTIA</v>
          </cell>
          <cell r="S232" t="str">
            <v>P</v>
          </cell>
          <cell r="T232" t="str">
            <v>NA</v>
          </cell>
          <cell r="U232" t="str">
            <v>PRESTACION DE SERVICIOS</v>
          </cell>
          <cell r="V232">
            <v>317000000</v>
          </cell>
          <cell r="W232">
            <v>89000000</v>
          </cell>
          <cell r="X232" t="str">
            <v>10 mes(es)</v>
          </cell>
          <cell r="Y232">
            <v>1</v>
          </cell>
          <cell r="Z232">
            <v>42840</v>
          </cell>
          <cell r="AA232" t="str">
            <v>La Secretaría Distrital de  Hacienda requiere contar con espacios para  desarrollar actividades de capacitación y reuniones de trabajo de carácter institucional, suministro de refrigerio para los funcionarios en todas las áreas con el fin de mejorar y actualizar la formación de sus integrantes, compartir experiencias,  dar a conocer el trabajo de las áreas,  promocionar los productos y servicios, realizar actos protocolarios y demás acciones de la entidad relacionadas para el logro de sus objetivos y cumplimiento del plan de desarrollo.</v>
          </cell>
        </row>
        <row r="233">
          <cell r="C233">
            <v>201</v>
          </cell>
          <cell r="D233">
            <v>69</v>
          </cell>
          <cell r="E233" t="str">
            <v>INICIAL</v>
          </cell>
          <cell r="F233" t="str">
            <v>RECURSOS PROPIOS</v>
          </cell>
          <cell r="G233">
            <v>222200</v>
          </cell>
          <cell r="H233">
            <v>1</v>
          </cell>
          <cell r="I233" t="str">
            <v>3-1-2-02-09-02 Capacitación Externa</v>
          </cell>
          <cell r="J233">
            <v>1</v>
          </cell>
          <cell r="K233">
            <v>1</v>
          </cell>
          <cell r="L233" t="str">
            <v>NA</v>
          </cell>
          <cell r="M233" t="str">
            <v>NA</v>
          </cell>
          <cell r="N233" t="str">
            <v>Prestar servicio de alquiler de escenarios como salones, auditorios y espacios abiertos, apoyo logístico y servicio de catering para el desarrollo de eventos que requieran la Secretaría Distrital de Hacienda y el Concejo de Bogotá.</v>
          </cell>
          <cell r="O233">
            <v>1</v>
          </cell>
          <cell r="P233" t="str">
            <v>NA</v>
          </cell>
          <cell r="Q233" t="str">
            <v>NA</v>
          </cell>
          <cell r="R233" t="str">
            <v>SEL. ABREVIADA MENOR CUANTIA</v>
          </cell>
          <cell r="S233" t="str">
            <v>P</v>
          </cell>
          <cell r="T233" t="str">
            <v>NA</v>
          </cell>
          <cell r="U233" t="str">
            <v>PRESTACION DE SERVICIOS</v>
          </cell>
          <cell r="V233">
            <v>317000000</v>
          </cell>
          <cell r="W233">
            <v>75000000</v>
          </cell>
          <cell r="X233" t="str">
            <v>10 mes(es)</v>
          </cell>
          <cell r="Y233">
            <v>1</v>
          </cell>
          <cell r="Z233">
            <v>42840</v>
          </cell>
          <cell r="AA233" t="str">
            <v>La Secretaría Distrital de  Hacienda requiere contar con espacios para  desarrollar actividades de capacitación y reuniones de trabajo de carácter institucional, suministro de refrigerio para los funcionarios en todas las áreas con el fin de mejorar y actualizar la formación de sus integrantes, compartir experiencias,  dar a conocer el trabajo de las áreas,  promocionar los productos y servicios, realizar actos protocolarios y demás acciones de la entidad relacionadas para el logro de sus objetivos y cumplimiento del plan de desarrollo.</v>
          </cell>
        </row>
        <row r="234">
          <cell r="C234">
            <v>201</v>
          </cell>
          <cell r="D234">
            <v>69</v>
          </cell>
          <cell r="E234" t="str">
            <v>INICIAL</v>
          </cell>
          <cell r="F234" t="str">
            <v>RECURSOS PROPIOS</v>
          </cell>
          <cell r="G234">
            <v>222200</v>
          </cell>
          <cell r="H234">
            <v>1</v>
          </cell>
          <cell r="I234" t="str">
            <v>3-1-2-02-11 Promoción Institucional</v>
          </cell>
          <cell r="J234">
            <v>1</v>
          </cell>
          <cell r="K234">
            <v>1</v>
          </cell>
          <cell r="L234" t="str">
            <v>NA</v>
          </cell>
          <cell r="M234" t="str">
            <v>NA</v>
          </cell>
          <cell r="N234" t="str">
            <v>Prestar servicio de alquiler de escenarios como salones, auditorios y espacios abiertos, apoyo logístico y servicio de catering para el desarrollo de eventos que requieran la Secretaría Distrital de Hacienda y el Concejo de Bogotá.</v>
          </cell>
          <cell r="O234">
            <v>1</v>
          </cell>
          <cell r="P234" t="str">
            <v>NA</v>
          </cell>
          <cell r="Q234" t="str">
            <v>NA</v>
          </cell>
          <cell r="R234" t="str">
            <v>SEL. ABREVIADA MENOR CUANTIA</v>
          </cell>
          <cell r="S234" t="str">
            <v>P</v>
          </cell>
          <cell r="T234" t="str">
            <v>NA</v>
          </cell>
          <cell r="U234" t="str">
            <v>PRESTACION DE SERVICIOS</v>
          </cell>
          <cell r="V234">
            <v>317000000</v>
          </cell>
          <cell r="W234">
            <v>21000000</v>
          </cell>
          <cell r="X234" t="str">
            <v>10 mes(es)</v>
          </cell>
          <cell r="Y234">
            <v>1</v>
          </cell>
          <cell r="Z234">
            <v>42840</v>
          </cell>
          <cell r="AA234" t="str">
            <v>La Secretaría Distrital de  Hacienda requiere contar con espacios para  desarrollar actividades de capacitación y reuniones de trabajo de carácter institucional, suministro de refrigerio para los funcionarios en todas las áreas con el fin de mejorar y actualizar la formación de sus integrantes, compartir experiencias,  dar a conocer el trabajo de las áreas,  promocionar los productos y servicios, realizar actos protocolarios y demás acciones de la entidad relacionadas para el logro de sus objetivos y cumplimiento del plan de desarrollo.</v>
          </cell>
        </row>
        <row r="235">
          <cell r="C235">
            <v>202</v>
          </cell>
          <cell r="D235">
            <v>69</v>
          </cell>
          <cell r="E235" t="str">
            <v>INICIAL</v>
          </cell>
          <cell r="F235" t="str">
            <v>RECURSOS PROPIOS</v>
          </cell>
          <cell r="G235">
            <v>120000</v>
          </cell>
          <cell r="H235">
            <v>4</v>
          </cell>
          <cell r="I235" t="str">
            <v>3-1-2-02-09-01 Capacitación Interna</v>
          </cell>
          <cell r="J235">
            <v>1</v>
          </cell>
          <cell r="K235">
            <v>4</v>
          </cell>
          <cell r="L235" t="str">
            <v>NA</v>
          </cell>
          <cell r="M235" t="str">
            <v>NA</v>
          </cell>
          <cell r="N235" t="str">
            <v>Realizar las actividades de capacitación previstas en el Plan Institucional de Capacitación para los funcionarios de la Secretaría Distrital de Hacienda y el Concejo de Bogota.</v>
          </cell>
          <cell r="O235">
            <v>1</v>
          </cell>
          <cell r="P235" t="str">
            <v>NA</v>
          </cell>
          <cell r="Q235" t="str">
            <v>NA</v>
          </cell>
          <cell r="R235" t="str">
            <v>LICITACION_BASICA</v>
          </cell>
          <cell r="S235" t="str">
            <v>P</v>
          </cell>
          <cell r="T235" t="str">
            <v>NA</v>
          </cell>
          <cell r="U235" t="str">
            <v>PRESTACION DE SERVICIOS</v>
          </cell>
          <cell r="V235">
            <v>852000000</v>
          </cell>
          <cell r="W235">
            <v>512000000</v>
          </cell>
          <cell r="X235" t="str">
            <v>8 mes(es)</v>
          </cell>
          <cell r="Y235">
            <v>2</v>
          </cell>
          <cell r="Z235">
            <v>42906</v>
          </cell>
          <cell r="AA235" t="str">
            <v>Para el año 2017 se requiere contratar capacitación en los temas fijados en el Plan Institucional de Capacitación vigente, con el objetivo de fortalecer y desarrollar las competencias comportamentales y funcionales de los funcionarios y funcionarias de la Secretaría Distrital de Hacienda, de conformidad con lo establecido en el decreto 1567 de 1998 y el decreto 4665 de 2007, que adopta la actualización del Plan Nacional de Formación y Capacitación para Servidores Públicos con base en Proyectos de Aprendizaje por Competencias.</v>
          </cell>
        </row>
        <row r="236">
          <cell r="C236">
            <v>202</v>
          </cell>
          <cell r="D236">
            <v>69</v>
          </cell>
          <cell r="E236" t="str">
            <v>INICIAL</v>
          </cell>
          <cell r="F236" t="str">
            <v>RECURSOS PROPIOS</v>
          </cell>
          <cell r="G236">
            <v>222200</v>
          </cell>
          <cell r="H236">
            <v>1</v>
          </cell>
          <cell r="I236" t="str">
            <v>3-1-2-02-09-01 Capacitación Interna</v>
          </cell>
          <cell r="J236">
            <v>1</v>
          </cell>
          <cell r="K236">
            <v>1</v>
          </cell>
          <cell r="L236" t="str">
            <v>NA</v>
          </cell>
          <cell r="M236" t="str">
            <v>NA</v>
          </cell>
          <cell r="N236" t="str">
            <v>Realizar las actividades de capacitación previstas en el Plan Institucional de Capacitación para los funcionarios de la Secretaría Distrital de Hacienda y el Concejo de Bogota.</v>
          </cell>
          <cell r="O236">
            <v>1</v>
          </cell>
          <cell r="P236" t="str">
            <v>NA</v>
          </cell>
          <cell r="Q236" t="str">
            <v>NA</v>
          </cell>
          <cell r="R236" t="str">
            <v>LICITACION_BASICA</v>
          </cell>
          <cell r="S236" t="str">
            <v>P</v>
          </cell>
          <cell r="T236" t="str">
            <v>NA</v>
          </cell>
          <cell r="U236" t="str">
            <v>PRESTACION DE SERVICIOS</v>
          </cell>
          <cell r="V236">
            <v>852000000</v>
          </cell>
          <cell r="W236">
            <v>340000000</v>
          </cell>
          <cell r="X236" t="str">
            <v>8 mes(es)</v>
          </cell>
          <cell r="Y236">
            <v>2</v>
          </cell>
          <cell r="Z236">
            <v>42906</v>
          </cell>
          <cell r="AA236" t="str">
            <v>Para el año 2017 se requiere contratar capacitación en los temas fijados en el Plan Institucional de Capacitación vigente, con el objetivo de fortalecer y desarrollar las competencias comportamentales y funcionales de los funcionarios y funcionarias de la Secretaría Distrital de Hacienda, de conformidad con lo establecido en el decreto 1567 de 1998 y el decreto 4665 de 2007, que adopta la actualización del Plan Nacional de Formación y Capacitación para Servidores Públicos con base en Proyectos de Aprendizaje por Competencias.</v>
          </cell>
        </row>
        <row r="237">
          <cell r="C237">
            <v>203</v>
          </cell>
          <cell r="D237">
            <v>69</v>
          </cell>
          <cell r="E237" t="str">
            <v>INICIAL</v>
          </cell>
          <cell r="F237" t="str">
            <v>RECURSOS PROPIOS</v>
          </cell>
          <cell r="G237">
            <v>222100</v>
          </cell>
          <cell r="H237">
            <v>1</v>
          </cell>
          <cell r="I237" t="str">
            <v>3-1-2-02-06-01 Seguros Entidad</v>
          </cell>
          <cell r="J237">
            <v>1</v>
          </cell>
          <cell r="K237">
            <v>1</v>
          </cell>
          <cell r="L237" t="str">
            <v>NA</v>
          </cell>
          <cell r="M237" t="str">
            <v>NA</v>
          </cell>
          <cell r="N237" t="str">
            <v>Expedir las polizas de seguro obligatorio SOAT para los vehículos de la Secretaría Distrital de Hacienda y del Concejo de Bogotá</v>
          </cell>
          <cell r="O237">
            <v>1</v>
          </cell>
          <cell r="P237" t="str">
            <v>NA</v>
          </cell>
          <cell r="Q237" t="str">
            <v>NA</v>
          </cell>
          <cell r="R237" t="str">
            <v>SEL. ABREVIADA. ACUERDO. MARCO</v>
          </cell>
          <cell r="S237" t="str">
            <v>P</v>
          </cell>
          <cell r="T237" t="str">
            <v>NA</v>
          </cell>
          <cell r="U237" t="str">
            <v>EXPEDICION DE POLIZAS</v>
          </cell>
          <cell r="V237">
            <v>10000000</v>
          </cell>
          <cell r="W237">
            <v>5000000</v>
          </cell>
          <cell r="X237" t="str">
            <v>1 mes(es)</v>
          </cell>
          <cell r="Y237">
            <v>4</v>
          </cell>
          <cell r="Z237">
            <v>42917</v>
          </cell>
          <cell r="AA237" t="str">
            <v xml:space="preserve">El SOAT es un requisito normativo esencial para la movilización del parque automotor, por lo que se debe garantizar que los vehículos de propiedad de la Secretaría Distrital de Hacienda y del Concejo de Bogotá cuenten con éste seguro, para lo cual se hace necesario la contratación de una compañía legalmente constituida y establecida en Colombia que expida el seguro de daños corporales causados en accidentes de tránsito del parque automotor de la Secretaría Distrital de Hacienda y del Concejo de Bogotá.   </v>
          </cell>
        </row>
        <row r="238">
          <cell r="C238">
            <v>203</v>
          </cell>
          <cell r="D238">
            <v>69</v>
          </cell>
          <cell r="E238" t="str">
            <v>INICIAL</v>
          </cell>
          <cell r="F238" t="str">
            <v>RECURSOS PROPIOS</v>
          </cell>
          <cell r="G238">
            <v>120000</v>
          </cell>
          <cell r="H238">
            <v>4</v>
          </cell>
          <cell r="I238" t="str">
            <v>3-1-2-02-06-01 Seguros Entidad</v>
          </cell>
          <cell r="J238">
            <v>1</v>
          </cell>
          <cell r="K238">
            <v>4</v>
          </cell>
          <cell r="L238" t="str">
            <v>NA</v>
          </cell>
          <cell r="M238" t="str">
            <v>NA</v>
          </cell>
          <cell r="N238" t="str">
            <v>Expedir las polizas de seguro obligatorio SOAT para los vehículos de la Secretaría Distrital de Hacienda y del Concejo de Bogotá</v>
          </cell>
          <cell r="O238">
            <v>1</v>
          </cell>
          <cell r="P238" t="str">
            <v>NA</v>
          </cell>
          <cell r="Q238" t="str">
            <v>NA</v>
          </cell>
          <cell r="R238" t="str">
            <v>SEL. ABREVIADA. ACUERDO. MARCO</v>
          </cell>
          <cell r="S238" t="str">
            <v>P</v>
          </cell>
          <cell r="T238" t="str">
            <v>NA</v>
          </cell>
          <cell r="U238" t="str">
            <v>EXPEDICION DE POLIZAS</v>
          </cell>
          <cell r="V238">
            <v>10000000</v>
          </cell>
          <cell r="W238">
            <v>5000000</v>
          </cell>
          <cell r="X238" t="str">
            <v>1 mes(es)</v>
          </cell>
          <cell r="Y238">
            <v>4</v>
          </cell>
          <cell r="Z238">
            <v>42917</v>
          </cell>
          <cell r="AA238" t="str">
            <v xml:space="preserve">El SOAT es un requisito normativo esencial para la movilización del parque automotor, por lo que se debe garantizar que los vehículos de propiedad de la Secretaría Distrital de Hacienda y del Concejo de Bogotá cuenten con éste seguro, para lo cual se hace necesario la contratación de una compañía legalmente constituida y establecida en Colombia que expida el seguro de daños corporales causados en accidentes de tránsito del parque automotor de la Secretaría Distrital de Hacienda y del Concejo de Bogotá.   </v>
          </cell>
        </row>
        <row r="239">
          <cell r="C239">
            <v>204</v>
          </cell>
          <cell r="D239">
            <v>69</v>
          </cell>
          <cell r="E239" t="str">
            <v>INICIAL</v>
          </cell>
          <cell r="F239" t="str">
            <v>RECURSOS PROPIOS</v>
          </cell>
          <cell r="G239">
            <v>120000</v>
          </cell>
          <cell r="H239">
            <v>4</v>
          </cell>
          <cell r="I239" t="str">
            <v>3-1-2-02-06-01 Seguros Entidad</v>
          </cell>
          <cell r="J239">
            <v>1</v>
          </cell>
          <cell r="K239">
            <v>4</v>
          </cell>
          <cell r="L239" t="str">
            <v>NA</v>
          </cell>
          <cell r="M239" t="str">
            <v>NA</v>
          </cell>
          <cell r="N239" t="str">
            <v>Expedir los seguros que amparen los intereses patrimoniales actuales y futuros, así como los bienes de propiedad de la Secretaría Distrital de Hacienda y el Concejo de Bogotá, D.C., que estén bajo su responsabilidad y custodia y aquellos que sean adquiridos para desarrollar las funciones inherentes a su actividad y cualquier otra póliza de seguros que requieran las entidades en el desarrollo de su actividad, de conformidad con lo establecido en el pliego de condiciones de la Licitación Pública y la propuesta presentada por el contratista.</v>
          </cell>
          <cell r="O239">
            <v>1</v>
          </cell>
          <cell r="P239" t="str">
            <v>NA</v>
          </cell>
          <cell r="Q239" t="str">
            <v>NA</v>
          </cell>
          <cell r="R239" t="str">
            <v>LICITACION_BASICA</v>
          </cell>
          <cell r="S239" t="str">
            <v>P</v>
          </cell>
          <cell r="T239" t="str">
            <v>NA</v>
          </cell>
          <cell r="U239" t="str">
            <v>EXPEDICION DE POLIZAS</v>
          </cell>
          <cell r="V239">
            <v>8217738000</v>
          </cell>
          <cell r="W239">
            <v>203000000</v>
          </cell>
          <cell r="X239" t="str">
            <v>32 mes(es)</v>
          </cell>
          <cell r="Y239">
            <v>4</v>
          </cell>
          <cell r="Z239">
            <v>42963</v>
          </cell>
          <cell r="AA239" t="str">
            <v>Se requiere la contratación de las pólizas de seguros requeridas para adecuada protección de los bienes del Concejo de Bogotá D.C., así como el seguro de Grupo Vida de los Concejales de Bogotá D.C., en cumplimiento de la normatividad vigente sobre la materia.  Presupuesto total con vigencias futuras para la UE01  2017 $1.730.704.000 2018 $2.725.858.000 2019 $3.339.176.000</v>
          </cell>
        </row>
        <row r="240">
          <cell r="C240">
            <v>204</v>
          </cell>
          <cell r="D240">
            <v>69</v>
          </cell>
          <cell r="E240" t="str">
            <v>INICIAL</v>
          </cell>
          <cell r="F240" t="str">
            <v>RECURSOS PROPIOS</v>
          </cell>
          <cell r="G240">
            <v>222100</v>
          </cell>
          <cell r="H240">
            <v>1</v>
          </cell>
          <cell r="I240" t="str">
            <v>3-1-2-02-06-01 Seguros Entidad</v>
          </cell>
          <cell r="J240">
            <v>1</v>
          </cell>
          <cell r="K240">
            <v>1</v>
          </cell>
          <cell r="L240" t="str">
            <v>NA</v>
          </cell>
          <cell r="M240" t="str">
            <v>NA</v>
          </cell>
          <cell r="N240" t="str">
            <v>Expedir los seguros que amparen los intereses patrimoniales actuales y futuros, así como los bienes de propiedad de la Secretaría Distrital de Hacienda y el Concejo de Bogotá, D.C., que estén bajo su responsabilidad y custodia y aquellos que sean adquiridos para desarrollar las funciones inherentes a su actividad y cualquier otra póliza de seguros que requieran las entidades en el desarrollo de su actividad, de conformidad con lo establecido en el pliego de condiciones de la Licitación Pública y la propuesta presentada por el contratista.</v>
          </cell>
          <cell r="O240">
            <v>1</v>
          </cell>
          <cell r="P240" t="str">
            <v>NA</v>
          </cell>
          <cell r="Q240" t="str">
            <v>NA</v>
          </cell>
          <cell r="R240" t="str">
            <v>LICITACION_BASICA</v>
          </cell>
          <cell r="S240" t="str">
            <v>P</v>
          </cell>
          <cell r="T240" t="str">
            <v>NA</v>
          </cell>
          <cell r="U240" t="str">
            <v>EXPEDICION DE POLIZAS</v>
          </cell>
          <cell r="V240">
            <v>8217738000</v>
          </cell>
          <cell r="W240">
            <v>7795738000</v>
          </cell>
          <cell r="X240" t="str">
            <v>32 mes(es)</v>
          </cell>
          <cell r="Y240">
            <v>4</v>
          </cell>
          <cell r="Z240">
            <v>42963</v>
          </cell>
          <cell r="AA240" t="str">
            <v>Se requiere la contratación de las pólizas de seguros requeridas para adecuada protección de los bienes del Concejo de Bogotá D.C., así como el seguro de Grupo Vida de los Concejales de Bogotá D.C., en cumplimiento de la normatividad vigente sobre la materia.  Presupuesto total con vigencias futuras para la UE01  2017 $1.730.704.000 2018 $2.725.858.000 2019 $3.339.176.000</v>
          </cell>
        </row>
        <row r="241">
          <cell r="C241">
            <v>204</v>
          </cell>
          <cell r="D241">
            <v>69</v>
          </cell>
          <cell r="E241" t="str">
            <v>INICIAL</v>
          </cell>
          <cell r="F241" t="str">
            <v>RECURSOS PROPIOS</v>
          </cell>
          <cell r="G241">
            <v>120000</v>
          </cell>
          <cell r="H241">
            <v>4</v>
          </cell>
          <cell r="I241" t="str">
            <v>3-1-2-02-06-02 Seguros de Vida Concejales</v>
          </cell>
          <cell r="J241">
            <v>1</v>
          </cell>
          <cell r="K241">
            <v>4</v>
          </cell>
          <cell r="L241" t="str">
            <v>NA</v>
          </cell>
          <cell r="M241" t="str">
            <v>NA</v>
          </cell>
          <cell r="N241" t="str">
            <v>Expedir los seguros que amparen los intereses patrimoniales actuales y futuros, así como los bienes de propiedad de la Secretaría Distrital de Hacienda y el Concejo de Bogotá, D.C., que estén bajo su responsabilidad y custodia y aquellos que sean adquiridos para desarrollar las funciones inherentes a su actividad y cualquier otra póliza de seguros que requieran las entidades en el desarrollo de su actividad, de conformidad con lo establecido en el pliego de condiciones de la Licitación Pública y la propuesta presentada por el contratista.</v>
          </cell>
          <cell r="O241">
            <v>1</v>
          </cell>
          <cell r="P241" t="str">
            <v>NA</v>
          </cell>
          <cell r="Q241" t="str">
            <v>NA</v>
          </cell>
          <cell r="R241" t="str">
            <v>LICITACION_BASICA</v>
          </cell>
          <cell r="S241" t="str">
            <v>P</v>
          </cell>
          <cell r="T241" t="str">
            <v>NA</v>
          </cell>
          <cell r="U241" t="str">
            <v>EXPEDICION DE POLIZAS</v>
          </cell>
          <cell r="V241">
            <v>8217738000</v>
          </cell>
          <cell r="W241">
            <v>219000000</v>
          </cell>
          <cell r="X241" t="str">
            <v>32 mes(es)</v>
          </cell>
          <cell r="Y241">
            <v>4</v>
          </cell>
          <cell r="Z241">
            <v>42963</v>
          </cell>
          <cell r="AA241" t="str">
            <v>Se requiere la contratación de las pólizas de seguros requeridas para adecuada protección de los bienes del Concejo de Bogotá D.C., así como el seguro de Grupo Vida de los Concejales de Bogotá D.C., en cumplimiento de la normatividad vigente sobre la materia.  Presupuesto total con vigencias futuras para la UE01  2017 $1.730.704.000 2018 $2.725.858.000 2019 $3.339.176.000</v>
          </cell>
        </row>
        <row r="242">
          <cell r="C242">
            <v>205</v>
          </cell>
          <cell r="D242">
            <v>69</v>
          </cell>
          <cell r="E242" t="str">
            <v>INICIAL</v>
          </cell>
          <cell r="F242" t="str">
            <v>RECURSOS PROPIOS</v>
          </cell>
          <cell r="G242">
            <v>222100</v>
          </cell>
          <cell r="H242">
            <v>1</v>
          </cell>
          <cell r="I242" t="str">
            <v>3-1-2-02-06-01 Seguros Entidad</v>
          </cell>
          <cell r="J242">
            <v>1</v>
          </cell>
          <cell r="K242">
            <v>1</v>
          </cell>
          <cell r="L242" t="str">
            <v>NA</v>
          </cell>
          <cell r="M242" t="str">
            <v>NA</v>
          </cell>
          <cell r="N242" t="str">
            <v>Prestar servicios profesionales de intermediación y asesoría en la formulación y manejo de los programas de seguros requeridos por la Secretaría Distrital de Hacienda y el Concejo de Bogotá</v>
          </cell>
          <cell r="O242">
            <v>1</v>
          </cell>
          <cell r="P242" t="str">
            <v>NA</v>
          </cell>
          <cell r="Q242" t="str">
            <v>NA</v>
          </cell>
          <cell r="R242" t="str">
            <v>LICITACION_BASICA</v>
          </cell>
          <cell r="S242" t="str">
            <v>P</v>
          </cell>
          <cell r="T242" t="str">
            <v>NA</v>
          </cell>
          <cell r="U242" t="str">
            <v>PRESTACION DE SERVICIOS</v>
          </cell>
          <cell r="V242">
            <v>0</v>
          </cell>
          <cell r="W242">
            <v>0</v>
          </cell>
          <cell r="X242" t="str">
            <v>32 mes(es)</v>
          </cell>
          <cell r="Y242">
            <v>1</v>
          </cell>
          <cell r="Z242">
            <v>42826</v>
          </cell>
          <cell r="AA242" t="str">
            <v>Se requiere garantizar la contratación del intermediaro para garantizar  los servicios profesionales de intermediación y asesoría en la formulación y manejo de los programas de seguros requeridos por la Secretaría Distrital de Hacienda y el Concejo de Bogotá.</v>
          </cell>
        </row>
        <row r="243">
          <cell r="C243">
            <v>205</v>
          </cell>
          <cell r="D243">
            <v>69</v>
          </cell>
          <cell r="E243" t="str">
            <v>INICIAL</v>
          </cell>
          <cell r="F243" t="str">
            <v>RECURSOS PROPIOS</v>
          </cell>
          <cell r="G243">
            <v>120000</v>
          </cell>
          <cell r="H243">
            <v>4</v>
          </cell>
          <cell r="I243" t="str">
            <v>3-1-2-02-06-01 Seguros Entidad</v>
          </cell>
          <cell r="J243">
            <v>1</v>
          </cell>
          <cell r="K243">
            <v>4</v>
          </cell>
          <cell r="L243" t="str">
            <v>NA</v>
          </cell>
          <cell r="M243" t="str">
            <v>NA</v>
          </cell>
          <cell r="N243" t="str">
            <v>Prestar servicios profesionales de intermediación y asesoría en la formulación y manejo de los programas de seguros requeridos por la Secretaría Distrital de Hacienda y el Concejo de Bogotá</v>
          </cell>
          <cell r="O243">
            <v>1</v>
          </cell>
          <cell r="P243" t="str">
            <v>NA</v>
          </cell>
          <cell r="Q243" t="str">
            <v>NA</v>
          </cell>
          <cell r="R243" t="str">
            <v>LICITACION_BASICA</v>
          </cell>
          <cell r="S243" t="str">
            <v>P</v>
          </cell>
          <cell r="T243" t="str">
            <v>NA</v>
          </cell>
          <cell r="U243" t="str">
            <v>PRESTACION DE SERVICIOS</v>
          </cell>
          <cell r="V243">
            <v>0</v>
          </cell>
          <cell r="W243">
            <v>0</v>
          </cell>
          <cell r="X243" t="str">
            <v>32 mes(es)</v>
          </cell>
          <cell r="Y243">
            <v>1</v>
          </cell>
          <cell r="Z243">
            <v>42826</v>
          </cell>
          <cell r="AA243" t="str">
            <v>Se requiere garantizar la contratación del intermediaro para garantizar  los servicios profesionales de intermediación y asesoría en la formulación y manejo de los programas de seguros requeridos por la Secretaría Distrital de Hacienda y el Concejo de Bogotá.</v>
          </cell>
        </row>
        <row r="244">
          <cell r="C244">
            <v>206</v>
          </cell>
          <cell r="D244">
            <v>69</v>
          </cell>
          <cell r="E244" t="str">
            <v>INICIAL</v>
          </cell>
          <cell r="F244" t="str">
            <v>RECURSOS PROPIOS</v>
          </cell>
          <cell r="G244">
            <v>120000</v>
          </cell>
          <cell r="H244">
            <v>4</v>
          </cell>
          <cell r="I244" t="str">
            <v>3-1-2-02-10 Bienestar e Incentivos</v>
          </cell>
          <cell r="J244">
            <v>1</v>
          </cell>
          <cell r="K244">
            <v>4</v>
          </cell>
          <cell r="L244" t="str">
            <v>NA</v>
          </cell>
          <cell r="M244" t="str">
            <v>NA</v>
          </cell>
          <cell r="N244" t="str">
            <v>Desarrollar las actividades contenidas en los Planes de Bienestar e Incentivos y Mejoramiento del Clima Laboral para la Secretaría Distrital de Hacienda y el Concejo de Bogota.</v>
          </cell>
          <cell r="O244">
            <v>1</v>
          </cell>
          <cell r="P244" t="str">
            <v>NA</v>
          </cell>
          <cell r="Q244" t="str">
            <v>NA</v>
          </cell>
          <cell r="R244" t="str">
            <v>LICITACION_BASICA</v>
          </cell>
          <cell r="S244" t="str">
            <v>P</v>
          </cell>
          <cell r="T244" t="str">
            <v>NA</v>
          </cell>
          <cell r="U244" t="str">
            <v>PRESTACION DE SERVICIOS</v>
          </cell>
          <cell r="V244">
            <v>2196143000</v>
          </cell>
          <cell r="W244">
            <v>1094143000</v>
          </cell>
          <cell r="X244" t="str">
            <v>8 mes(es)</v>
          </cell>
          <cell r="Y244">
            <v>1</v>
          </cell>
          <cell r="Z244">
            <v>42860</v>
          </cell>
          <cell r="AA244" t="str">
            <v>En cumplimiento de la ley, es necesario incluír dentro del presupuesto un rubro para el desarrollo de actividades enmarcadas dentro de los planes de bienestar, mejoramiento de clima laboral e incentivos.</v>
          </cell>
        </row>
        <row r="245">
          <cell r="C245">
            <v>206</v>
          </cell>
          <cell r="D245">
            <v>69</v>
          </cell>
          <cell r="E245" t="str">
            <v>INICIAL</v>
          </cell>
          <cell r="F245" t="str">
            <v>RECURSOS PROPIOS</v>
          </cell>
          <cell r="G245">
            <v>222200</v>
          </cell>
          <cell r="H245">
            <v>1</v>
          </cell>
          <cell r="I245" t="str">
            <v>3-1-2-02-10 Bienestar e Incentivos</v>
          </cell>
          <cell r="J245">
            <v>1</v>
          </cell>
          <cell r="K245">
            <v>1</v>
          </cell>
          <cell r="L245" t="str">
            <v>NA</v>
          </cell>
          <cell r="M245" t="str">
            <v>NA</v>
          </cell>
          <cell r="N245" t="str">
            <v>Desarrollar las actividades contenidas en los Planes de Bienestar e Incentivos y Mejoramiento del Clima Laboral para la Secretaría Distrital de Hacienda y el Concejo de Bogota.</v>
          </cell>
          <cell r="O245">
            <v>1</v>
          </cell>
          <cell r="P245" t="str">
            <v>NA</v>
          </cell>
          <cell r="Q245" t="str">
            <v>NA</v>
          </cell>
          <cell r="R245" t="str">
            <v>LICITACION_BASICA</v>
          </cell>
          <cell r="S245" t="str">
            <v>P</v>
          </cell>
          <cell r="T245" t="str">
            <v>NA</v>
          </cell>
          <cell r="U245" t="str">
            <v>PRESTACION DE SERVICIOS</v>
          </cell>
          <cell r="V245">
            <v>2196143000</v>
          </cell>
          <cell r="W245">
            <v>1102000000</v>
          </cell>
          <cell r="X245" t="str">
            <v>8 mes(es)</v>
          </cell>
          <cell r="Y245">
            <v>1</v>
          </cell>
          <cell r="Z245">
            <v>42860</v>
          </cell>
          <cell r="AA245" t="str">
            <v>En cumplimiento de la ley, es necesario incluír dentro del presupuesto un rubro para el desarrollo de actividades enmarcadas dentro de los planes de bienestar, mejoramiento de clima laboral e incentivos.</v>
          </cell>
        </row>
        <row r="246">
          <cell r="C246">
            <v>207</v>
          </cell>
          <cell r="D246">
            <v>69</v>
          </cell>
          <cell r="E246" t="str">
            <v>INICIAL</v>
          </cell>
          <cell r="F246" t="str">
            <v>RECURSOS PROPIOS</v>
          </cell>
          <cell r="G246">
            <v>222200</v>
          </cell>
          <cell r="H246">
            <v>1</v>
          </cell>
          <cell r="I246" t="str">
            <v>3-1-2-02-10 Bienestar e Incentivos</v>
          </cell>
          <cell r="J246">
            <v>1</v>
          </cell>
          <cell r="K246">
            <v>1</v>
          </cell>
          <cell r="L246" t="str">
            <v>NA</v>
          </cell>
          <cell r="M246" t="str">
            <v>NA</v>
          </cell>
          <cell r="N246" t="str">
            <v>Proveer bonos navideños para los hijos de los funcionarios de la Secretaría Distrital de Hacienda y el Concejo de Bogotá</v>
          </cell>
          <cell r="O246">
            <v>1</v>
          </cell>
          <cell r="P246" t="str">
            <v>NA</v>
          </cell>
          <cell r="Q246" t="str">
            <v>NA</v>
          </cell>
          <cell r="R246" t="str">
            <v>SEL. ABREVIADA MENOR CUANTIA</v>
          </cell>
          <cell r="S246" t="str">
            <v>P</v>
          </cell>
          <cell r="T246" t="str">
            <v>NA</v>
          </cell>
          <cell r="U246" t="str">
            <v>COMPRAVENTA</v>
          </cell>
          <cell r="V246">
            <v>108848000</v>
          </cell>
          <cell r="W246">
            <v>66000000</v>
          </cell>
          <cell r="X246" t="str">
            <v>4 mes(es)</v>
          </cell>
          <cell r="Y246">
            <v>8</v>
          </cell>
          <cell r="Z246">
            <v>43059</v>
          </cell>
          <cell r="AA246" t="str">
            <v>Dentro del Plan de Bienestar e Incentivos de la entidad,  se contempla la entrega de bonos navideños a los(as) hijos(as) de los (as) funcionarios(as), por un valor máximo de seis (6) salarios mínimos diarios legales vigentes por cada hijo o hija de los servidores públicos que a 31 de diciembre del año en curso sea menor de 13 años, y para los hijos e hijas mayores de 18 años que se encuentren en condición de discapacidad y que dependan económicamente de sus padres, de conformidad con lo señalado en la ircular No. 002 de 2014 de la Alcaldía Mayor de Bogotá.</v>
          </cell>
        </row>
        <row r="247">
          <cell r="C247">
            <v>207</v>
          </cell>
          <cell r="D247">
            <v>69</v>
          </cell>
          <cell r="E247" t="str">
            <v>INICIAL</v>
          </cell>
          <cell r="F247" t="str">
            <v>RECURSOS PROPIOS</v>
          </cell>
          <cell r="G247">
            <v>120000</v>
          </cell>
          <cell r="H247">
            <v>4</v>
          </cell>
          <cell r="I247" t="str">
            <v>3-1-2-02-10 Bienestar e Incentivos</v>
          </cell>
          <cell r="J247">
            <v>1</v>
          </cell>
          <cell r="K247">
            <v>4</v>
          </cell>
          <cell r="L247" t="str">
            <v>NA</v>
          </cell>
          <cell r="M247" t="str">
            <v>NA</v>
          </cell>
          <cell r="N247" t="str">
            <v>Proveer bonos navideños para los hijos de los funcionarios de la Secretaría Distrital de Hacienda y el Concejo de Bogotá</v>
          </cell>
          <cell r="O247">
            <v>1</v>
          </cell>
          <cell r="P247" t="str">
            <v>NA</v>
          </cell>
          <cell r="Q247" t="str">
            <v>NA</v>
          </cell>
          <cell r="R247" t="str">
            <v>SEL. ABREVIADA MENOR CUANTIA</v>
          </cell>
          <cell r="S247" t="str">
            <v>P</v>
          </cell>
          <cell r="T247" t="str">
            <v>NA</v>
          </cell>
          <cell r="U247" t="str">
            <v>COMPRAVENTA</v>
          </cell>
          <cell r="V247">
            <v>108848000</v>
          </cell>
          <cell r="W247">
            <v>42848000</v>
          </cell>
          <cell r="X247" t="str">
            <v>4 mes(es)</v>
          </cell>
          <cell r="Y247">
            <v>8</v>
          </cell>
          <cell r="Z247">
            <v>43059</v>
          </cell>
          <cell r="AA247" t="str">
            <v>Dentro del Plan de Bienestar e Incentivos de la entidad,  se contempla la entrega de bonos navideños a los(as) hijos(as) de los (as) funcionarios(as), por un valor máximo de seis (6) salarios mínimos diarios legales vigentes por cada hijo o hija de los servidores públicos que a 31 de diciembre del año en curso sea menor de 13 años, y para los hijos e hijas mayores de 18 años que se encuentren en condición de discapacidad y que dependan económicamente de sus padres, de conformidad con lo señalado en la ircular No. 002 de 2014 de la Alcaldía Mayor de Bogotá.</v>
          </cell>
        </row>
        <row r="248">
          <cell r="C248">
            <v>208</v>
          </cell>
          <cell r="D248">
            <v>69</v>
          </cell>
          <cell r="E248" t="str">
            <v>INICIAL</v>
          </cell>
          <cell r="F248" t="str">
            <v>RECURSOS PROPIOS</v>
          </cell>
          <cell r="G248">
            <v>120000</v>
          </cell>
          <cell r="H248">
            <v>4</v>
          </cell>
          <cell r="I248" t="str">
            <v>3-1-2-02-12 Salud Ocupacional</v>
          </cell>
          <cell r="J248">
            <v>1</v>
          </cell>
          <cell r="K248">
            <v>4</v>
          </cell>
          <cell r="L248" t="str">
            <v>NA</v>
          </cell>
          <cell r="M248" t="str">
            <v>NA</v>
          </cell>
          <cell r="N248" t="str">
            <v>Suministro de elementos de protección personal para los servidores de la Secretaría Distrital de Hacienda y del Concejo de Bogotá</v>
          </cell>
          <cell r="O248">
            <v>1</v>
          </cell>
          <cell r="P248" t="str">
            <v>NA</v>
          </cell>
          <cell r="Q248" t="str">
            <v>NA</v>
          </cell>
          <cell r="R248" t="str">
            <v>MINIMA_CUANTIA</v>
          </cell>
          <cell r="S248" t="str">
            <v>P</v>
          </cell>
          <cell r="T248" t="str">
            <v>NA</v>
          </cell>
          <cell r="U248" t="str">
            <v>COMPRAVENTA</v>
          </cell>
          <cell r="V248">
            <v>53048000</v>
          </cell>
          <cell r="W248">
            <v>27048000</v>
          </cell>
          <cell r="X248" t="str">
            <v>4 mes(es)</v>
          </cell>
          <cell r="Y248">
            <v>5</v>
          </cell>
          <cell r="Z248">
            <v>42958</v>
          </cell>
          <cell r="AA248" t="str">
            <v>Es una obligación legal de los empleadores suministrar y acondicionar  los sitios y los equipos de trabajo para garantizar la seguridad y salud de los funcionarios, como la de suministrar los EPP necesarios para el cuidado integral de los trabajadores y del ambiente de trabajo.</v>
          </cell>
        </row>
        <row r="249">
          <cell r="C249">
            <v>208</v>
          </cell>
          <cell r="D249">
            <v>69</v>
          </cell>
          <cell r="E249" t="str">
            <v>INICIAL</v>
          </cell>
          <cell r="F249" t="str">
            <v>RECURSOS PROPIOS</v>
          </cell>
          <cell r="G249">
            <v>222200</v>
          </cell>
          <cell r="H249">
            <v>1</v>
          </cell>
          <cell r="I249" t="str">
            <v>3-1-2-02-12 Salud Ocupacional</v>
          </cell>
          <cell r="J249">
            <v>1</v>
          </cell>
          <cell r="K249">
            <v>1</v>
          </cell>
          <cell r="L249" t="str">
            <v>NA</v>
          </cell>
          <cell r="M249" t="str">
            <v>NA</v>
          </cell>
          <cell r="N249" t="str">
            <v>Suministro de elementos de protección personal para los servidores de la Secretaría Distrital de Hacienda y del Concejo de Bogotá</v>
          </cell>
          <cell r="O249">
            <v>1</v>
          </cell>
          <cell r="P249" t="str">
            <v>NA</v>
          </cell>
          <cell r="Q249" t="str">
            <v>NA</v>
          </cell>
          <cell r="R249" t="str">
            <v>MINIMA_CUANTIA</v>
          </cell>
          <cell r="S249" t="str">
            <v>P</v>
          </cell>
          <cell r="T249" t="str">
            <v>NA</v>
          </cell>
          <cell r="U249" t="str">
            <v>COMPRAVENTA</v>
          </cell>
          <cell r="V249">
            <v>53048000</v>
          </cell>
          <cell r="W249">
            <v>26000000</v>
          </cell>
          <cell r="X249" t="str">
            <v>4 mes(es)</v>
          </cell>
          <cell r="Y249">
            <v>5</v>
          </cell>
          <cell r="Z249">
            <v>42958</v>
          </cell>
          <cell r="AA249" t="str">
            <v>Es una obligación legal de los empleadores suministrar y acondicionar  los sitios y los equipos de trabajo para garantizar la seguridad y salud de los funcionarios, como la de suministrar los EPP necesarios para el cuidado integral de los trabajadores y del ambiente de trabajo.</v>
          </cell>
        </row>
        <row r="250">
          <cell r="C250">
            <v>209</v>
          </cell>
          <cell r="D250">
            <v>69</v>
          </cell>
          <cell r="E250" t="str">
            <v>INICIAL</v>
          </cell>
          <cell r="F250" t="str">
            <v>RECURSOS PROPIOS</v>
          </cell>
          <cell r="G250">
            <v>120000</v>
          </cell>
          <cell r="H250">
            <v>4</v>
          </cell>
          <cell r="I250" t="str">
            <v>3-1-2-02-12 Salud Ocupacional</v>
          </cell>
          <cell r="J250">
            <v>1</v>
          </cell>
          <cell r="K250">
            <v>4</v>
          </cell>
          <cell r="L250" t="str">
            <v>NA</v>
          </cell>
          <cell r="M250" t="str">
            <v>NA</v>
          </cell>
          <cell r="N250" t="str">
            <v>Prestar servicios de revisión, mantenimiento y recarga de extintores y  gabinetes contra incendio con suministro de repuestos y otros elementos de seguridad para la Secretaría Distrital de Hacienda, el CAD y el Concejo de Bogotá.</v>
          </cell>
          <cell r="O250">
            <v>1</v>
          </cell>
          <cell r="P250" t="str">
            <v>NA</v>
          </cell>
          <cell r="Q250" t="str">
            <v>NA</v>
          </cell>
          <cell r="R250" t="str">
            <v>MINIMA_CUANTIA</v>
          </cell>
          <cell r="S250" t="str">
            <v>P</v>
          </cell>
          <cell r="T250" t="str">
            <v>NA</v>
          </cell>
          <cell r="U250" t="str">
            <v>PRESTACION DE SERVICIOS</v>
          </cell>
          <cell r="V250">
            <v>21606000</v>
          </cell>
          <cell r="W250">
            <v>4606000</v>
          </cell>
          <cell r="X250" t="str">
            <v>3 mes(es)</v>
          </cell>
          <cell r="Y250">
            <v>4</v>
          </cell>
          <cell r="Z250">
            <v>42926</v>
          </cell>
          <cell r="AA250" t="str">
            <v>El  Sistema de Gestión de la Seguridad y Salud en el Trabajo SG-SST exige permanentemente actividades de prevención en el control de conatos o incendios que se puedan presentar en las sedes de la entidad</v>
          </cell>
        </row>
        <row r="251">
          <cell r="C251">
            <v>209</v>
          </cell>
          <cell r="D251">
            <v>69</v>
          </cell>
          <cell r="E251" t="str">
            <v>INICIAL</v>
          </cell>
          <cell r="F251" t="str">
            <v>RECURSOS PROPIOS</v>
          </cell>
          <cell r="G251">
            <v>222200</v>
          </cell>
          <cell r="H251">
            <v>1</v>
          </cell>
          <cell r="I251" t="str">
            <v>3-1-2-02-12 Salud Ocupacional</v>
          </cell>
          <cell r="J251">
            <v>1</v>
          </cell>
          <cell r="K251">
            <v>1</v>
          </cell>
          <cell r="L251" t="str">
            <v>NA</v>
          </cell>
          <cell r="M251" t="str">
            <v>NA</v>
          </cell>
          <cell r="N251" t="str">
            <v>Prestar servicios de revisión, mantenimiento y recarga de extintores y  gabinetes contra incendio con suministro de repuestos y otros elementos de seguridad para la Secretaría Distrital de Hacienda, el CAD y el Concejo de Bogotá.</v>
          </cell>
          <cell r="O251">
            <v>1</v>
          </cell>
          <cell r="P251" t="str">
            <v>NA</v>
          </cell>
          <cell r="Q251" t="str">
            <v>NA</v>
          </cell>
          <cell r="R251" t="str">
            <v>MINIMA_CUANTIA</v>
          </cell>
          <cell r="S251" t="str">
            <v>P</v>
          </cell>
          <cell r="T251" t="str">
            <v>NA</v>
          </cell>
          <cell r="U251" t="str">
            <v>PRESTACION DE SERVICIOS</v>
          </cell>
          <cell r="V251">
            <v>21606000</v>
          </cell>
          <cell r="W251">
            <v>14000000</v>
          </cell>
          <cell r="X251" t="str">
            <v>3 mes(es)</v>
          </cell>
          <cell r="Y251">
            <v>4</v>
          </cell>
          <cell r="Z251">
            <v>42926</v>
          </cell>
          <cell r="AA251" t="str">
            <v>El  Sistema de Gestión de la Seguridad y Salud en el Trabajo SG-SST exige permanentemente actividades de prevención en el control de conatos o incendios que se puedan presentar en las sedes de la entidad</v>
          </cell>
        </row>
        <row r="252">
          <cell r="C252">
            <v>209</v>
          </cell>
          <cell r="D252">
            <v>69</v>
          </cell>
          <cell r="E252" t="str">
            <v>INICIAL</v>
          </cell>
          <cell r="F252" t="str">
            <v>RECURSOS PROPIOS</v>
          </cell>
          <cell r="G252">
            <v>222200</v>
          </cell>
          <cell r="H252">
            <v>1</v>
          </cell>
          <cell r="I252" t="str">
            <v>3-1-2-02-05-02 Mantenimiento C.A.D.</v>
          </cell>
          <cell r="J252">
            <v>1</v>
          </cell>
          <cell r="K252">
            <v>1</v>
          </cell>
          <cell r="L252" t="str">
            <v>NA</v>
          </cell>
          <cell r="M252" t="str">
            <v>NA</v>
          </cell>
          <cell r="N252" t="str">
            <v>Prestar servicios de revisión, mantenimiento y recarga de extintores y  gabinetes contra incendio con suministro de repuestos y otros elementos de seguridad para la Secretaría Distrital de Hacienda, el CAD y el Concejo de Bogotá.</v>
          </cell>
          <cell r="O252">
            <v>1</v>
          </cell>
          <cell r="P252" t="str">
            <v>NA</v>
          </cell>
          <cell r="Q252" t="str">
            <v>NA</v>
          </cell>
          <cell r="R252" t="str">
            <v>MINIMA_CUANTIA</v>
          </cell>
          <cell r="S252" t="str">
            <v>P</v>
          </cell>
          <cell r="T252" t="str">
            <v>NA</v>
          </cell>
          <cell r="U252" t="str">
            <v>PRESTACION DE SERVICIOS</v>
          </cell>
          <cell r="V252">
            <v>21606000</v>
          </cell>
          <cell r="W252">
            <v>3000000</v>
          </cell>
          <cell r="X252" t="str">
            <v>3 mes(es)</v>
          </cell>
          <cell r="Y252">
            <v>4</v>
          </cell>
          <cell r="Z252">
            <v>42926</v>
          </cell>
          <cell r="AA252" t="str">
            <v>El  Sistema de Gestión de la Seguridad y Salud en el Trabajo SG-SST exige permanentemente actividades de prevención en el control de conatos o incendios que se puedan presentar en las sedes de la entidad</v>
          </cell>
        </row>
        <row r="253">
          <cell r="C253">
            <v>210</v>
          </cell>
          <cell r="D253">
            <v>69</v>
          </cell>
          <cell r="E253" t="str">
            <v>INICIAL</v>
          </cell>
          <cell r="F253" t="str">
            <v>RECURSOS PROPIOS</v>
          </cell>
          <cell r="G253">
            <v>120000</v>
          </cell>
          <cell r="H253">
            <v>4</v>
          </cell>
          <cell r="I253" t="str">
            <v>3-1-2-02-12 Salud Ocupacional</v>
          </cell>
          <cell r="J253">
            <v>1</v>
          </cell>
          <cell r="K253">
            <v>4</v>
          </cell>
          <cell r="L253" t="str">
            <v>NA</v>
          </cell>
          <cell r="M253" t="str">
            <v>NA</v>
          </cell>
          <cell r="N253" t="str">
            <v>Proveer los elementos e insumos necesarios para atender los primeros auxilios y dotar los botiquines de la Secretaría Distrital de Hacienda y del Concejo de Bogotá D.C.</v>
          </cell>
          <cell r="O253">
            <v>1</v>
          </cell>
          <cell r="P253" t="str">
            <v>NA</v>
          </cell>
          <cell r="Q253" t="str">
            <v>NA</v>
          </cell>
          <cell r="R253" t="str">
            <v>MINIMA_CUANTIA</v>
          </cell>
          <cell r="S253" t="str">
            <v>P</v>
          </cell>
          <cell r="T253" t="str">
            <v>NA</v>
          </cell>
          <cell r="U253" t="str">
            <v>COMPRAVENTA</v>
          </cell>
          <cell r="V253">
            <v>12427000</v>
          </cell>
          <cell r="W253">
            <v>6427000</v>
          </cell>
          <cell r="X253" t="str">
            <v>3 mes(es)</v>
          </cell>
          <cell r="Y253">
            <v>6</v>
          </cell>
          <cell r="Z253">
            <v>42966</v>
          </cell>
          <cell r="AA253" t="str">
            <v>La SHD, requiere realizar la compra de elementos, medicamentos e insumos para dotar los botiquines y realizar la atención de primeros auxilios en atención al programa se Seguridad y Salud en el Trabajo</v>
          </cell>
        </row>
        <row r="254">
          <cell r="C254">
            <v>210</v>
          </cell>
          <cell r="D254">
            <v>69</v>
          </cell>
          <cell r="E254" t="str">
            <v>INICIAL</v>
          </cell>
          <cell r="F254" t="str">
            <v>RECURSOS PROPIOS</v>
          </cell>
          <cell r="G254">
            <v>222200</v>
          </cell>
          <cell r="H254">
            <v>1</v>
          </cell>
          <cell r="I254" t="str">
            <v>3-1-2-02-12 Salud Ocupacional</v>
          </cell>
          <cell r="J254">
            <v>1</v>
          </cell>
          <cell r="K254">
            <v>1</v>
          </cell>
          <cell r="L254" t="str">
            <v>NA</v>
          </cell>
          <cell r="M254" t="str">
            <v>NA</v>
          </cell>
          <cell r="N254" t="str">
            <v>Proveer los elementos e insumos necesarios para atender los primeros auxilios y dotar los botiquines de la Secretaría Distrital de Hacienda y del Concejo de Bogotá D.C.</v>
          </cell>
          <cell r="O254">
            <v>1</v>
          </cell>
          <cell r="P254" t="str">
            <v>NA</v>
          </cell>
          <cell r="Q254" t="str">
            <v>NA</v>
          </cell>
          <cell r="R254" t="str">
            <v>MINIMA_CUANTIA</v>
          </cell>
          <cell r="S254" t="str">
            <v>P</v>
          </cell>
          <cell r="T254" t="str">
            <v>NA</v>
          </cell>
          <cell r="U254" t="str">
            <v>COMPRAVENTA</v>
          </cell>
          <cell r="V254">
            <v>12427000</v>
          </cell>
          <cell r="W254">
            <v>6000000</v>
          </cell>
          <cell r="X254" t="str">
            <v>3 mes(es)</v>
          </cell>
          <cell r="Y254">
            <v>6</v>
          </cell>
          <cell r="Z254">
            <v>42966</v>
          </cell>
          <cell r="AA254" t="str">
            <v>La SHD, requiere realizar la compra de elementos, medicamentos e insumos para dotar los botiquines y realizar la atención de primeros auxilios en atención al programa se Seguridad y Salud en el Trabajo</v>
          </cell>
        </row>
        <row r="255">
          <cell r="C255">
            <v>211</v>
          </cell>
          <cell r="D255">
            <v>69</v>
          </cell>
          <cell r="E255" t="str">
            <v>INICIAL</v>
          </cell>
          <cell r="F255" t="str">
            <v>RECURSOS PROPIOS</v>
          </cell>
          <cell r="G255">
            <v>120000</v>
          </cell>
          <cell r="H255">
            <v>4</v>
          </cell>
          <cell r="I255" t="str">
            <v>3-1-2-02-12 Salud Ocupacional</v>
          </cell>
          <cell r="J255">
            <v>1</v>
          </cell>
          <cell r="K255">
            <v>4</v>
          </cell>
          <cell r="L255" t="str">
            <v>NA</v>
          </cell>
          <cell r="M255" t="str">
            <v>NA</v>
          </cell>
          <cell r="N255" t="str">
            <v>Realizar exámenes médicos ocupacionales y complementarios y aplicación de vacunas para los funcionarios de la Secretaría Distrital de Hacienda y del Concejo de Bogotá</v>
          </cell>
          <cell r="O255">
            <v>1</v>
          </cell>
          <cell r="P255" t="str">
            <v>NA</v>
          </cell>
          <cell r="Q255" t="str">
            <v>NA</v>
          </cell>
          <cell r="R255" t="str">
            <v>SEL. ABREVIADA MENOR CUANTIA</v>
          </cell>
          <cell r="S255" t="str">
            <v>P</v>
          </cell>
          <cell r="T255" t="str">
            <v>NA</v>
          </cell>
          <cell r="U255" t="str">
            <v>PRESTACION DE SERVICIOS</v>
          </cell>
          <cell r="V255">
            <v>165122000</v>
          </cell>
          <cell r="W255">
            <v>56122000</v>
          </cell>
          <cell r="X255" t="str">
            <v>12 mes(es)</v>
          </cell>
          <cell r="Y255">
            <v>1</v>
          </cell>
          <cell r="Z255">
            <v>42833</v>
          </cell>
          <cell r="AA255" t="str">
            <v>Para la Secretaría Distrital de Hacienda es conveniente contratar la prestación del servicio de exámenes médicos ocupacionales y complementarios y aplicación de vacunas para los funcionarios en cumplimiento de las actividades de Seguridad y Salud en el Trabajo ordenados por la ley 9 de 1976, la resolucion 1016 de 1989, la Resolución 2346 del 2007 y decreto 1443 de 2014.</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tualizada (2)"/>
      <sheetName val="SOLICITUDES"/>
      <sheetName val="Hoja3"/>
      <sheetName val="Hoja2"/>
      <sheetName val="MODIFICACIONES"/>
      <sheetName val="Hoja1"/>
      <sheetName val="UPS"/>
    </sheetNames>
    <sheetDataSet>
      <sheetData sheetId="0" refreshError="1"/>
      <sheetData sheetId="1">
        <row r="3">
          <cell r="B3">
            <v>183</v>
          </cell>
          <cell r="C3" t="str">
            <v>SI</v>
          </cell>
          <cell r="D3" t="str">
            <v>13/12/2016     2016ER113273</v>
          </cell>
          <cell r="E3" t="str">
            <v>Suministro de combustible para el Concejo de Bogotá, D.C.</v>
          </cell>
          <cell r="F3" t="str">
            <v>NO</v>
          </cell>
          <cell r="G3">
            <v>42754</v>
          </cell>
        </row>
        <row r="4">
          <cell r="B4">
            <v>189</v>
          </cell>
          <cell r="C4" t="str">
            <v>SI</v>
          </cell>
          <cell r="D4" t="str">
            <v>23/12/2016     2016ER116621</v>
          </cell>
          <cell r="E4" t="str">
            <v>Prestar el servicio integral de aseo,  cafeteria  y control o manejo integrado de plagas en desinsectación, desinfección y desratización, incluyendo el suministro de elementos necesarios, para la realización de estas labores en las instalciones del Concej</v>
          </cell>
          <cell r="F4" t="str">
            <v>NO</v>
          </cell>
          <cell r="G4">
            <v>42825</v>
          </cell>
        </row>
        <row r="5">
          <cell r="B5">
            <v>181</v>
          </cell>
          <cell r="C5" t="str">
            <v>SI</v>
          </cell>
          <cell r="D5" t="str">
            <v>26/12/2016     2016ER117123</v>
          </cell>
          <cell r="E5" t="str">
            <v>Aunar esfuerzos humanos, técnicos, logísticos y administrativos para garantizar el esquema de seguridad requerido por los Concejales del Distrito Capital que se encuantran en situación de riesgo extraordinario o extremo como consecuencia directa del ejerc</v>
          </cell>
          <cell r="F5" t="str">
            <v>NO</v>
          </cell>
          <cell r="G5">
            <v>42748</v>
          </cell>
        </row>
        <row r="6">
          <cell r="B6">
            <v>192</v>
          </cell>
          <cell r="C6" t="str">
            <v>SI</v>
          </cell>
          <cell r="D6" t="str">
            <v>29/12/2016    2016ER118055</v>
          </cell>
          <cell r="E6" t="str">
            <v>Prestar el servicio integral de Fotocopiado y servicios afines para el Concejo de Bogotá D.C., bajo la modalidad de outsoursing</v>
          </cell>
          <cell r="F6" t="str">
            <v>NO</v>
          </cell>
        </row>
        <row r="7">
          <cell r="B7">
            <v>193</v>
          </cell>
          <cell r="C7" t="str">
            <v>SI</v>
          </cell>
          <cell r="D7" t="str">
            <v>29/12/2016     2016ER118054</v>
          </cell>
          <cell r="E7" t="str">
            <v xml:space="preserve">Servicio de mantenimiento correctivo incluyendo suministros de repuestos y/o elementos nuevos que requieran las sillas existentes en el Concejo de Bogotá.  </v>
          </cell>
          <cell r="F7" t="str">
            <v>NO</v>
          </cell>
        </row>
        <row r="8">
          <cell r="B8">
            <v>147</v>
          </cell>
          <cell r="C8" t="str">
            <v>SI</v>
          </cell>
          <cell r="D8" t="str">
            <v>03/01/2017   2017ER418</v>
          </cell>
          <cell r="E8" t="str">
            <v xml:space="preserve">Prestar servicios profesionales para apoyar la Dirección Jurídica del Concejo de Bogotá D.C. con especial énfasis en análisis y respuesta a derechos de petición PQRS </v>
          </cell>
          <cell r="F8" t="str">
            <v>NO</v>
          </cell>
        </row>
        <row r="9">
          <cell r="B9">
            <v>184</v>
          </cell>
          <cell r="C9" t="str">
            <v>SI</v>
          </cell>
          <cell r="D9" t="str">
            <v>11/01/2017     2017ER1805</v>
          </cell>
          <cell r="E9" t="str">
            <v>Prestar los servicios de mantenimiento periódico preventivo para los vehiculos del Concejo de Bogotá.</v>
          </cell>
          <cell r="F9" t="str">
            <v>NO</v>
          </cell>
        </row>
        <row r="10">
          <cell r="B10">
            <v>191</v>
          </cell>
          <cell r="C10" t="str">
            <v>SI</v>
          </cell>
          <cell r="D10" t="str">
            <v>11/01/2017    2017ER1810</v>
          </cell>
          <cell r="E10" t="str">
            <v>Prestar el sevicio de mensajeria expresa masiva para el Concejo de Bogotá, D.C.</v>
          </cell>
          <cell r="F10" t="str">
            <v>NO</v>
          </cell>
        </row>
        <row r="11">
          <cell r="B11">
            <v>198</v>
          </cell>
          <cell r="C11" t="str">
            <v>SI</v>
          </cell>
          <cell r="D11" t="str">
            <v>13/01/2017    2017ER2462</v>
          </cell>
          <cell r="E11" t="str">
            <v xml:space="preserve">Prestar el servicio de mantenimiento preventivo y correctivo al Sistema de Generación y Transferencia Eléctrica de Emergencia del Concejo de Bogotá, D.C. </v>
          </cell>
          <cell r="F11" t="str">
            <v>NO</v>
          </cell>
          <cell r="G11">
            <v>42823</v>
          </cell>
        </row>
        <row r="12">
          <cell r="B12">
            <v>141</v>
          </cell>
          <cell r="C12" t="str">
            <v>SI</v>
          </cell>
          <cell r="D12" t="str">
            <v>13/01/2017
2017ER2605</v>
          </cell>
          <cell r="E12" t="str">
            <v>Prestar los servicios profesionales para apoyar al Director Jurídco del Concejo de Bogotá, en el marco  de los asuntos jurídicos y de la defensa judicial con el fin de desarrollar las actividades de acuerdo a la normatividad vigente.</v>
          </cell>
          <cell r="F12" t="str">
            <v>NO</v>
          </cell>
          <cell r="G12">
            <v>42776</v>
          </cell>
        </row>
        <row r="13">
          <cell r="B13">
            <v>182</v>
          </cell>
          <cell r="C13" t="str">
            <v>SI</v>
          </cell>
          <cell r="D13" t="str">
            <v>13/01/2017     2017ER2829</v>
          </cell>
          <cell r="E13" t="str">
            <v>Prestar el servicio de mantenimiento preventivo y correctivo con suministro de repuestos de sistema de alarmas de emergencia y botones de pánico ubidacos en la sede principal del Concejo de Bogotá D.C.</v>
          </cell>
          <cell r="F13" t="str">
            <v>NO</v>
          </cell>
          <cell r="G13">
            <v>42811</v>
          </cell>
        </row>
        <row r="14">
          <cell r="B14">
            <v>167</v>
          </cell>
          <cell r="C14" t="str">
            <v>SI</v>
          </cell>
          <cell r="D14" t="str">
            <v>13/01/2017    2017ER2831</v>
          </cell>
          <cell r="E14" t="str">
            <v>Suscripción a los diarios el Tiempo y Portafolio, con destino al Concejo de Bogotá D.C.</v>
          </cell>
          <cell r="F14" t="str">
            <v>NO</v>
          </cell>
          <cell r="G14">
            <v>42816</v>
          </cell>
        </row>
        <row r="15">
          <cell r="B15">
            <v>201</v>
          </cell>
          <cell r="C15" t="str">
            <v>SI</v>
          </cell>
          <cell r="D15" t="str">
            <v>16/01/2017    2017ER3171</v>
          </cell>
          <cell r="E15" t="str">
            <v>Prestar el servicio de alquiler de escenarios como salones, auditorios y espacios abiertos, apoyo logístico y servicio de catering para el desarrollo de eventos que requieran la Secretaria Distrital de Hacienda y el Concejo de Bogotá, de conformidad con l</v>
          </cell>
          <cell r="F15" t="str">
            <v>NO</v>
          </cell>
        </row>
        <row r="16">
          <cell r="B16">
            <v>176</v>
          </cell>
          <cell r="C16" t="str">
            <v>SI</v>
          </cell>
          <cell r="D16" t="str">
            <v>16/01/2017   2017ER3169</v>
          </cell>
          <cell r="E16" t="str">
            <v>Suministro de elementos de promoción institucional y actos protocolarios del Concejo de Bogotá, D.C.</v>
          </cell>
          <cell r="F16" t="str">
            <v>NO</v>
          </cell>
        </row>
        <row r="17">
          <cell r="B17">
            <v>211</v>
          </cell>
          <cell r="C17" t="str">
            <v>SI</v>
          </cell>
          <cell r="D17" t="str">
            <v>19/01/2017    2017ER4499</v>
          </cell>
          <cell r="E17" t="str">
            <v>Exámenes ocupacionales</v>
          </cell>
          <cell r="F17" t="str">
            <v>NO</v>
          </cell>
        </row>
        <row r="18">
          <cell r="C18" t="str">
            <v>NO</v>
          </cell>
          <cell r="E18" t="str">
            <v>Adecuación de puestos de trabajo</v>
          </cell>
        </row>
        <row r="19">
          <cell r="B19">
            <v>209</v>
          </cell>
          <cell r="C19" t="str">
            <v>NO</v>
          </cell>
          <cell r="E19" t="str">
            <v xml:space="preserve">Recarga de y mantenimiento de extintores </v>
          </cell>
        </row>
        <row r="20">
          <cell r="B20">
            <v>210</v>
          </cell>
          <cell r="C20" t="str">
            <v>NO</v>
          </cell>
          <cell r="E20" t="str">
            <v>Botiquines</v>
          </cell>
        </row>
        <row r="21">
          <cell r="B21">
            <v>208</v>
          </cell>
          <cell r="C21" t="str">
            <v>NO</v>
          </cell>
          <cell r="E21" t="str">
            <v>Elementos de Protección Personal</v>
          </cell>
        </row>
        <row r="22">
          <cell r="C22" t="str">
            <v>SI</v>
          </cell>
          <cell r="D22" t="str">
            <v>23/01/2017     2017ER5374</v>
          </cell>
          <cell r="E22" t="str">
            <v>Adquisición de Televisores para el Concejo de Bogotá</v>
          </cell>
          <cell r="F22" t="str">
            <v>SI</v>
          </cell>
        </row>
        <row r="23">
          <cell r="B23">
            <v>246</v>
          </cell>
          <cell r="C23" t="str">
            <v>SI</v>
          </cell>
          <cell r="D23" t="str">
            <v>23/01/2017   2017ER5595</v>
          </cell>
          <cell r="E23" t="str">
            <v>Prestar los servicios profesionales para apoyar el seguimeinto a los procesos de adquisición de bienes y servicios y la ejecución de los contratos para el Concejo de Bogotá.</v>
          </cell>
          <cell r="F23" t="str">
            <v>NO</v>
          </cell>
        </row>
        <row r="24">
          <cell r="B24">
            <v>243</v>
          </cell>
          <cell r="C24" t="str">
            <v>SI</v>
          </cell>
          <cell r="D24" t="str">
            <v>25/01/2017    2017ER6384</v>
          </cell>
          <cell r="E24" t="str">
            <v>Prestar los servicios profesionales para la instalación de WEB LOGIN, BASE DE DATOS 11G y apoyo para continuar con el paralelo de las aplicaciones (PERNO, CORDIS Y TERCEROS II) instaladas en el Concejo de Bogotá D.C., de los sistemas de información requer</v>
          </cell>
          <cell r="F24" t="str">
            <v>SI</v>
          </cell>
          <cell r="G24">
            <v>42818</v>
          </cell>
        </row>
        <row r="25">
          <cell r="B25">
            <v>245</v>
          </cell>
          <cell r="C25" t="str">
            <v>SI</v>
          </cell>
          <cell r="D25" t="str">
            <v>01/02/2017     2017ER8338</v>
          </cell>
          <cell r="E25" t="str">
            <v>Prestar servicios profesionales para apoyar operativa y técnicamente la infraestructura tecnológica e informática del Concejo de Bogotá D.C.</v>
          </cell>
          <cell r="F25" t="str">
            <v>SI</v>
          </cell>
        </row>
        <row r="26">
          <cell r="C26" t="str">
            <v>SI</v>
          </cell>
          <cell r="D26" t="str">
            <v>02/02/2017     2017ER8777</v>
          </cell>
          <cell r="E26" t="str">
            <v>Adquirir a título de compraventa, dos (2) vehículos tipo camioneta 4x4, modelo 2017, destinadas al parque automotor del Concejo de Bogotá D.C.</v>
          </cell>
          <cell r="F26" t="str">
            <v>NO</v>
          </cell>
        </row>
        <row r="27">
          <cell r="B27">
            <v>206</v>
          </cell>
          <cell r="C27" t="str">
            <v>SI</v>
          </cell>
          <cell r="D27" t="str">
            <v>02/02/2017     2017ER8823</v>
          </cell>
          <cell r="E27" t="str">
            <v xml:space="preserve">Desarrollar las actividades en los Planes de Bienestar e Incentivos y Mejoramiento del Clima Laboral para el Concejo de Bogotá </v>
          </cell>
          <cell r="F27" t="str">
            <v>NO</v>
          </cell>
        </row>
        <row r="28">
          <cell r="B28">
            <v>219</v>
          </cell>
          <cell r="C28" t="str">
            <v>SI</v>
          </cell>
          <cell r="D28" t="str">
            <v>13/02/2017      2017ER11739</v>
          </cell>
          <cell r="E28" t="str">
            <v>Adquisición de Servidores para el Concejo de Bogotá.</v>
          </cell>
          <cell r="F28" t="str">
            <v>SI</v>
          </cell>
        </row>
        <row r="29">
          <cell r="B29">
            <v>88</v>
          </cell>
          <cell r="C29" t="str">
            <v>SI</v>
          </cell>
          <cell r="D29" t="str">
            <v>14/02/2017    2017ER12199</v>
          </cell>
          <cell r="E29" t="str">
            <v>Proveer medios mágneticos para copias de respaldo para el Concejo de Bogotá.</v>
          </cell>
          <cell r="F29" t="str">
            <v>SI</v>
          </cell>
        </row>
        <row r="30">
          <cell r="C30" t="str">
            <v>SI</v>
          </cell>
          <cell r="D30" t="str">
            <v>14/02/2017   2017ER12201</v>
          </cell>
          <cell r="E30" t="str">
            <v>Servicio de mantenimiento preventivo y correctivo a la planta telefónica (Alcatel-Lucent BICS Versión 9,1)</v>
          </cell>
          <cell r="F30" t="str">
            <v>SI</v>
          </cell>
        </row>
        <row r="31">
          <cell r="B31">
            <v>195</v>
          </cell>
          <cell r="C31" t="str">
            <v>SI</v>
          </cell>
          <cell r="D31" t="str">
            <v>24/01/2017   2017ER5913</v>
          </cell>
          <cell r="E31" t="str">
            <v>Prestar los servicios de mantenimiento preventivo y correctivo con suministro de repuestos de los automotores marca Chevrolet al servicio del Concejo de Bogotá, D.C.</v>
          </cell>
          <cell r="F31" t="str">
            <v>NO</v>
          </cell>
          <cell r="G31">
            <v>42811</v>
          </cell>
        </row>
        <row r="32">
          <cell r="B32">
            <v>197</v>
          </cell>
          <cell r="C32" t="str">
            <v>SI</v>
          </cell>
          <cell r="D32" t="str">
            <v>23/02/2017   2017ER15504</v>
          </cell>
          <cell r="E32" t="str">
            <v>Realizar el mantenimiento integral. Las adecuaciones locativas y las obras de mejora que se requieran, con el suministro del personal, equipo, materiales y repuestos, en las instalaciones físicas del Concejo de Bogotá D.C.</v>
          </cell>
          <cell r="F32" t="str">
            <v>NO</v>
          </cell>
        </row>
        <row r="33">
          <cell r="B33">
            <v>179</v>
          </cell>
          <cell r="C33" t="str">
            <v>SI</v>
          </cell>
          <cell r="D33" t="str">
            <v>28/02/2017    2017ER16947</v>
          </cell>
          <cell r="E33" t="str">
            <v>Adecuación del espacio destinado para los parqueaderos del Concejo de Bogotá D.C.</v>
          </cell>
          <cell r="F33" t="str">
            <v>NO</v>
          </cell>
        </row>
        <row r="34">
          <cell r="B34">
            <v>196</v>
          </cell>
          <cell r="C34" t="str">
            <v>SI</v>
          </cell>
          <cell r="D34" t="str">
            <v>02/03/2017    2017ER17981</v>
          </cell>
          <cell r="E34" t="str">
            <v xml:space="preserve">Prestar el servicio integral de vigilancia y seguridad privada para la permanente y adecuada protección de las personas (funcionarios, contratistas, visitantes, contribuyentes), los bienes e inmuebles de propiedad del Concejo de Bogotá, D.C., así como de </v>
          </cell>
          <cell r="F34" t="str">
            <v>NO</v>
          </cell>
        </row>
        <row r="35">
          <cell r="B35">
            <v>147</v>
          </cell>
          <cell r="C35" t="str">
            <v>SI</v>
          </cell>
          <cell r="D35" t="str">
            <v>02/03/2017   2017ER17969</v>
          </cell>
          <cell r="E35" t="str">
            <v>Prestar servicios profesionales como abogado para apoyar a la Dirección Jurídica del Concejo de Bogotá, en la asesoría y respuesta a derechos de petición, solicitudes, denuncias, quejas, consultas y reclamos que reciba la corporación.</v>
          </cell>
          <cell r="F35" t="str">
            <v>NO</v>
          </cell>
        </row>
        <row r="36">
          <cell r="B36">
            <v>156</v>
          </cell>
          <cell r="C36" t="str">
            <v>SI</v>
          </cell>
          <cell r="D36" t="str">
            <v>02/03/2017   20117ER17971</v>
          </cell>
          <cell r="E36" t="str">
            <v>Prestar servicios profesionales para apoyar en las diferentes comisiones permanentes del Concejo de Bogotá en la respuesta a derechos de petición, solicitudes , quejas, consultas y reclamos que reciba la corporación.</v>
          </cell>
          <cell r="F36" t="str">
            <v>NO</v>
          </cell>
        </row>
        <row r="37">
          <cell r="B37">
            <v>157</v>
          </cell>
          <cell r="C37" t="str">
            <v>SI</v>
          </cell>
          <cell r="D37" t="str">
            <v>02/03/2017   2017ER17972</v>
          </cell>
          <cell r="E37" t="str">
            <v>Prestar los servicios profesionales de apoyo a la oficina de comunicaciones del Concejo de Bogotá para el cumplimiento del plan de comunicaciones internas y externas de la entidad.</v>
          </cell>
          <cell r="F37" t="str">
            <v>NO</v>
          </cell>
        </row>
        <row r="38">
          <cell r="B38">
            <v>70</v>
          </cell>
          <cell r="C38" t="str">
            <v>SI</v>
          </cell>
          <cell r="D38" t="str">
            <v>02/03/2017   2017ER17974</v>
          </cell>
          <cell r="E38" t="str">
            <v>Prestar servicios profesionales para apoyar el proceso de sistemas y seguridad de la información del Concejo de Bogotá en materia de seguridad informática</v>
          </cell>
          <cell r="F38" t="str">
            <v>SI</v>
          </cell>
          <cell r="H38" t="str">
            <v>se radico el alcance el 15/03/2017</v>
          </cell>
        </row>
        <row r="39">
          <cell r="B39">
            <v>159</v>
          </cell>
          <cell r="C39" t="str">
            <v>SI</v>
          </cell>
          <cell r="D39" t="str">
            <v>02/03/2017   2017ER17977</v>
          </cell>
          <cell r="E39" t="str">
            <v>Prestar servicios profesionales para apoyar el seguimiento a los procesos de adquisición de bienes y servicios y la ejecución de los contratos para el Concejo de Bogotá.</v>
          </cell>
          <cell r="F39" t="str">
            <v>NO</v>
          </cell>
        </row>
        <row r="40">
          <cell r="B40">
            <v>148</v>
          </cell>
          <cell r="C40" t="str">
            <v>SI</v>
          </cell>
          <cell r="D40" t="str">
            <v>02/03/2017   2017ER17983</v>
          </cell>
          <cell r="E40" t="str">
            <v>Prestar servicios profesionales al Concejo de Bogotá, D.C., para apoyar el área de nómina, especialmente en áreas relacionadas con la seguridad social.</v>
          </cell>
          <cell r="F40" t="str">
            <v>NO</v>
          </cell>
        </row>
        <row r="41">
          <cell r="B41">
            <v>141</v>
          </cell>
          <cell r="C41" t="str">
            <v>SI</v>
          </cell>
          <cell r="D41" t="str">
            <v>02/03/2017   2017ER17987</v>
          </cell>
          <cell r="E41" t="str">
            <v>Prestar servicios profesionales para apoyar al Director Jurídico del Concejo de Bogotá, en el marco de los jurídicos y de la defensa judicial con el fin de desarrollar las actividades de acuerdo a la normatividad vigente.</v>
          </cell>
          <cell r="F41" t="str">
            <v>NO</v>
          </cell>
        </row>
        <row r="42">
          <cell r="B42">
            <v>158</v>
          </cell>
          <cell r="C42" t="str">
            <v>SI</v>
          </cell>
          <cell r="D42" t="str">
            <v>02/03/2017    2017ER17984</v>
          </cell>
          <cell r="E42" t="str">
            <v>Prestar servicios profesionales para apoyar al Director Adminitrativo del Concejo de Bogotá, en los asuntos propios de la dependencia en el marco del Sistema Integrado de Gestión.</v>
          </cell>
          <cell r="F42" t="str">
            <v>NO</v>
          </cell>
        </row>
        <row r="43">
          <cell r="B43">
            <v>152</v>
          </cell>
          <cell r="C43" t="str">
            <v>SI</v>
          </cell>
          <cell r="D43" t="str">
            <v>02/03/2017    2017ER17985</v>
          </cell>
          <cell r="E43" t="str">
            <v>Prestar servicios profesionales para apoyar le definición, contratación y seguimiento a los temas de infraestructura física que requiera el Concejo de Bogotá.</v>
          </cell>
          <cell r="F43" t="str">
            <v>NO</v>
          </cell>
        </row>
        <row r="44">
          <cell r="B44">
            <v>185</v>
          </cell>
          <cell r="C44" t="str">
            <v>SI</v>
          </cell>
          <cell r="D44" t="str">
            <v>08/03/2017    2017ER19865</v>
          </cell>
          <cell r="E44" t="str">
            <v xml:space="preserve">Realizar el mantenimiento correctivo y preventivo para las máquinas: Impresora Litográfica MULTILITH modelo 1250, Compaginadora DUPLO DC 10, Guillotina y Cizalla manual; ubicadas en la oficina de anales y publicaciones del Concejo de Bogotá </v>
          </cell>
          <cell r="F44" t="str">
            <v>SI</v>
          </cell>
        </row>
        <row r="45">
          <cell r="B45">
            <v>226</v>
          </cell>
          <cell r="C45" t="str">
            <v>SI</v>
          </cell>
          <cell r="D45" t="str">
            <v>14/03/2017    2017ER22529</v>
          </cell>
          <cell r="E45" t="str">
            <v>Adquisición del software de diseño gráfico CorelDRAW y Suite Adove Photoshop para el proceso de Anales y Publicaciones del Concejo de Bogotá.</v>
          </cell>
          <cell r="F45" t="str">
            <v>SI</v>
          </cell>
        </row>
        <row r="46">
          <cell r="C46" t="str">
            <v>SI</v>
          </cell>
          <cell r="D46" t="str">
            <v>15/03/2017    2017ER22734</v>
          </cell>
          <cell r="E46" t="str">
            <v>ALCANCE SOLICITUD CONTRATACIÓN</v>
          </cell>
          <cell r="H46" t="str">
            <v>LINEAS: 152-148-159-157-116-147-156 y 158</v>
          </cell>
        </row>
        <row r="47">
          <cell r="B47">
            <v>69</v>
          </cell>
          <cell r="C47" t="str">
            <v>SI</v>
          </cell>
          <cell r="D47" t="str">
            <v>15/03/2017    2017ER22735</v>
          </cell>
          <cell r="E47" t="str">
            <v>Prestar servicios profesionales para la actualización, administración, publicación y salvaguarda de la información publicada en la página WEB oficial del Concejo de Bogotá D.C.</v>
          </cell>
          <cell r="F47" t="str">
            <v>SI</v>
          </cell>
        </row>
        <row r="48">
          <cell r="C48" t="str">
            <v>SI</v>
          </cell>
          <cell r="D48" t="str">
            <v>27/03/2017   2017ER27737</v>
          </cell>
          <cell r="E48" t="str">
            <v>Realizar la interventoría técnica administrativa, ambiental, financiera, legal y contable, para el contrato de "Ejecución de obras complementarias para la ejecución y uso del sótano de parqueaderos del Concejo de Bogotá. D.C."</v>
          </cell>
          <cell r="F48" t="str">
            <v>NO</v>
          </cell>
        </row>
        <row r="49">
          <cell r="B49">
            <v>142</v>
          </cell>
          <cell r="C49" t="str">
            <v>SI</v>
          </cell>
          <cell r="D49" t="str">
            <v>28/03/2017  2017ER28665</v>
          </cell>
          <cell r="E49" t="str">
            <v xml:space="preserve">Prestar servicios profesionales para acompañar al Concejo de Bogotá D.C. en la revisión y estudio de las historias laboralesa de los funcionarios para la definisión técnica y jurídica del cumplimiento de requisitos en los diferentes regímenes de pensión. </v>
          </cell>
          <cell r="F49" t="str">
            <v>NO</v>
          </cell>
        </row>
        <row r="50">
          <cell r="B50">
            <v>144</v>
          </cell>
          <cell r="C50" t="str">
            <v>SI</v>
          </cell>
          <cell r="D50" t="str">
            <v>28/03/2017   2017ER28667</v>
          </cell>
          <cell r="E50" t="str">
            <v>Prestar servicios profesionales para apoyar la gestión administrativa, documental y contractual en los asuntos de competencia del Concejo de Bogotá D.C.</v>
          </cell>
          <cell r="F50" t="str">
            <v>NO</v>
          </cell>
        </row>
        <row r="51">
          <cell r="B51">
            <v>245</v>
          </cell>
          <cell r="C51" t="str">
            <v>SI</v>
          </cell>
          <cell r="D51" t="str">
            <v>28/03/2017  2017ER28670</v>
          </cell>
          <cell r="E51" t="str">
            <v>Prestar servicios profesionales para apoyar operativa y técnicamente la infraestructura tecnológica e informática del Concejo de Bogotá D.C.</v>
          </cell>
          <cell r="F51" t="str">
            <v>SI</v>
          </cell>
        </row>
        <row r="52">
          <cell r="B52">
            <v>161</v>
          </cell>
          <cell r="C52" t="str">
            <v>SI</v>
          </cell>
          <cell r="D52" t="str">
            <v>28/03/2017    2017ER28671</v>
          </cell>
          <cell r="E52" t="str">
            <v>Prestar servicios de apoyo para sistematizar y verificar la información relacionada con la generación de la nómina y los registros contables que se deben hacer para entrar a funcionar con las normas contables internacionales.</v>
          </cell>
          <cell r="F52" t="str">
            <v>SI</v>
          </cell>
          <cell r="H52" t="str">
            <v>ESTA SOLCIITUD FUE DEVUELTA POR LA SDH MEDIANTE OFICIO ER8209, EL 4 DE ABRIL/2017, POR QUE LA PERSONA DESISTIO DEL CONTRATO, SE RADICA NUEVAMENTE EL 18 DE ABRIL/2017</v>
          </cell>
        </row>
        <row r="53">
          <cell r="B53">
            <v>187</v>
          </cell>
          <cell r="C53" t="str">
            <v>SI</v>
          </cell>
          <cell r="D53" t="str">
            <v>30/03/2017   2017ER30541</v>
          </cell>
          <cell r="E53" t="str">
            <v>Suministrar elementos de protección y embalaje de documentos para el Concejo de Bogotá</v>
          </cell>
          <cell r="F53" t="str">
            <v>NO</v>
          </cell>
        </row>
        <row r="54">
          <cell r="B54">
            <v>151</v>
          </cell>
          <cell r="C54" t="str">
            <v>SI</v>
          </cell>
          <cell r="D54" t="str">
            <v>30/03/2017    2017ER30546</v>
          </cell>
          <cell r="E54" t="str">
            <v>La auditoría de sequimiento de las normas ISO 9001:2008 Gestión de Calidad, NTC-G-GP 1000:2009 Norma de Calidad para el Sector público, ISO 1401 del Sistema de Gestión Ambiental, NTC -OHSAS 18001 de Seguridad y Salud Ocupacional, para los procesos misiona</v>
          </cell>
          <cell r="F54" t="str">
            <v>NO</v>
          </cell>
        </row>
        <row r="55">
          <cell r="B55">
            <v>150</v>
          </cell>
          <cell r="C55" t="str">
            <v>SI</v>
          </cell>
          <cell r="D55" t="str">
            <v>30/03/2017     2017ER31407</v>
          </cell>
          <cell r="E55" t="str">
            <v>Prestar los servicios profesionales para apoyar al Concejo de Bogotá en la adopción y manejo de las estrategias y acciones de Cooperación para posicionar a la Corporación en el ámbito Nacional e Internacional</v>
          </cell>
          <cell r="F55" t="str">
            <v>NO</v>
          </cell>
        </row>
        <row r="56">
          <cell r="C56" t="str">
            <v>SI</v>
          </cell>
          <cell r="D56" t="str">
            <v>30/03/2017   2017ER31411</v>
          </cell>
          <cell r="E56" t="str">
            <v xml:space="preserve">Prestar servicios profesionales para apoyar a la Secretaria General del Concejo de Bogotá en la respuesta a derechos de petición, solicitudes, quejas, consultas y reclamos que reciba la corporación, de competencia de la Secretaria General de organismo de </v>
          </cell>
          <cell r="F56" t="str">
            <v>NO</v>
          </cell>
        </row>
        <row r="57">
          <cell r="C57" t="str">
            <v>SI</v>
          </cell>
          <cell r="D57" t="str">
            <v>04/04/2017   2017ER34156</v>
          </cell>
          <cell r="E57" t="str">
            <v>Actualización y adquisición de licencias de software Microsoft Exchange para el Concejo de Bogotá.</v>
          </cell>
          <cell r="F57" t="str">
            <v>SI</v>
          </cell>
        </row>
        <row r="58">
          <cell r="C58" t="str">
            <v>SI</v>
          </cell>
          <cell r="D58" t="str">
            <v>04/04/2017    2017ER34155</v>
          </cell>
          <cell r="E58" t="str">
            <v>Prestar servicios de administración y soporte técnico para la plataforma Microsoft del Concejo de Bogotá.</v>
          </cell>
          <cell r="F58" t="str">
            <v>SI</v>
          </cell>
        </row>
        <row r="59">
          <cell r="C59" t="str">
            <v>SI</v>
          </cell>
          <cell r="D59" t="str">
            <v>04/04/2017    2017ER34153</v>
          </cell>
          <cell r="E59" t="str">
            <v>Adquirir un sistema de detención de incendios para el centro de cableado del edificio del Concejo de Bogotá.</v>
          </cell>
          <cell r="F59" t="str">
            <v>SI</v>
          </cell>
        </row>
        <row r="60">
          <cell r="C60" t="str">
            <v>SI</v>
          </cell>
          <cell r="D60" t="str">
            <v>04/04/2017    2017ER34152</v>
          </cell>
          <cell r="E60" t="str">
            <v>Contratar servicio de soporte técnico y mantenimiento preventivo y correctivo del software Prontus (portal WEB) instalado en el Concejo de Bogotá.</v>
          </cell>
          <cell r="F60" t="str">
            <v>SI</v>
          </cell>
        </row>
        <row r="61">
          <cell r="C61" t="str">
            <v>SI</v>
          </cell>
          <cell r="D61" t="str">
            <v>04/04/2017   2017ER34451</v>
          </cell>
          <cell r="E61" t="str">
            <v>Adquisición de un sistema avanzado de seguridad para el correo eletrónico como parte de la estrategia para promover de un sistema de seguridad y protección de amenazas de la red del Concejo de Bogotá,</v>
          </cell>
          <cell r="F61" t="str">
            <v>SI</v>
          </cell>
        </row>
        <row r="62">
          <cell r="C62" t="str">
            <v>SI</v>
          </cell>
          <cell r="D62" t="str">
            <v>04/04/2017   2017ER34446</v>
          </cell>
          <cell r="E62" t="str">
            <v>Adquisición e instalación de la licencia del complemento adicional del software CMS Prontus para streaming de audio y video para la página web del Concejo de Bogotá.</v>
          </cell>
          <cell r="F62" t="str">
            <v>SI</v>
          </cell>
        </row>
        <row r="63">
          <cell r="C63" t="str">
            <v>SI</v>
          </cell>
          <cell r="D63" t="str">
            <v>04/04/2017    2017ER34449</v>
          </cell>
          <cell r="E63" t="str">
            <v>Adquisición de un software de monitoreo para red y servidores del Concejo de Bogotá.</v>
          </cell>
          <cell r="F63" t="str">
            <v>SI</v>
          </cell>
        </row>
        <row r="64">
          <cell r="C64" t="str">
            <v>SI</v>
          </cell>
          <cell r="D64" t="str">
            <v>06/04/2017    2017ER35329</v>
          </cell>
          <cell r="E64" t="str">
            <v xml:space="preserve">Apoyar al Director Financiero en los asuntos propios de la dependencia, en el marco del presupuesto anual de gastos de funcionamiento e inversión para el manejo eficiente y eficaz de los recursos financieros con forme al plan estratégico de la Entidad de </v>
          </cell>
          <cell r="F64" t="str">
            <v>NO</v>
          </cell>
        </row>
        <row r="65">
          <cell r="B65">
            <v>149</v>
          </cell>
          <cell r="C65" t="str">
            <v>SI</v>
          </cell>
          <cell r="D65" t="str">
            <v>07/04/2017   2017ER35947</v>
          </cell>
          <cell r="E65" t="str">
            <v>Prestar servicios profesionales en el proceso de auditorías internas en el área de control interno del Concejo de Bogotá.</v>
          </cell>
          <cell r="F65" t="str">
            <v>NO</v>
          </cell>
        </row>
        <row r="66">
          <cell r="C66" t="str">
            <v>SI</v>
          </cell>
          <cell r="D66" t="str">
            <v>07/04/2017    2017ER36480</v>
          </cell>
          <cell r="E66" t="str">
            <v>Prestar servicios profesionales como enlace con la Unidad Ejecutora 04 de la Secretaria Distrital de Hacienda para la liquidación y cierre de los expedientes contractuales.</v>
          </cell>
          <cell r="F66" t="str">
            <v>NO</v>
          </cell>
        </row>
        <row r="67">
          <cell r="B67">
            <v>163</v>
          </cell>
          <cell r="C67" t="str">
            <v>SI</v>
          </cell>
          <cell r="D67" t="str">
            <v>18/04/2017     2017ER38853</v>
          </cell>
          <cell r="E67" t="str">
            <v>Prestar servicios de apoyo al procedimiento de bonos pensionales para coadyudar en actividades de actualización y administración de información de los funcionarios y exfuncionarios cuanto a trámites pensionales.</v>
          </cell>
          <cell r="F67" t="str">
            <v>NO</v>
          </cell>
        </row>
        <row r="68">
          <cell r="C68" t="str">
            <v>SI</v>
          </cell>
          <cell r="D68" t="str">
            <v>18/04/2017    2017ER39116</v>
          </cell>
          <cell r="E68" t="str">
            <v>Prestar servicios de apoyo para sistematizar y verificar la información relacionada con la generación de la nómina y los registros contables que se deben hacer para entrar a funcionar con las normas contables internacionales.</v>
          </cell>
          <cell r="F68" t="str">
            <v>NO</v>
          </cell>
        </row>
        <row r="69">
          <cell r="C69" t="str">
            <v>NO</v>
          </cell>
        </row>
        <row r="70">
          <cell r="C70" t="str">
            <v>NO</v>
          </cell>
        </row>
        <row r="71">
          <cell r="C71" t="str">
            <v>NO</v>
          </cell>
        </row>
        <row r="72">
          <cell r="C72" t="str">
            <v>NO</v>
          </cell>
        </row>
        <row r="73">
          <cell r="C73" t="str">
            <v>NO</v>
          </cell>
        </row>
        <row r="74">
          <cell r="C74" t="str">
            <v>NO</v>
          </cell>
        </row>
        <row r="75">
          <cell r="C75" t="str">
            <v>NO</v>
          </cell>
        </row>
        <row r="76">
          <cell r="C76" t="str">
            <v>NO</v>
          </cell>
        </row>
        <row r="77">
          <cell r="C77" t="str">
            <v>NO</v>
          </cell>
        </row>
        <row r="78">
          <cell r="C78" t="str">
            <v>NO</v>
          </cell>
        </row>
        <row r="79">
          <cell r="C79" t="str">
            <v>NO</v>
          </cell>
        </row>
        <row r="80">
          <cell r="C80" t="str">
            <v>NO</v>
          </cell>
        </row>
        <row r="81">
          <cell r="C81" t="str">
            <v>NO</v>
          </cell>
        </row>
        <row r="82">
          <cell r="C82" t="str">
            <v>NO</v>
          </cell>
        </row>
        <row r="83">
          <cell r="C83" t="str">
            <v>NO</v>
          </cell>
        </row>
        <row r="84">
          <cell r="C84" t="str">
            <v>NO</v>
          </cell>
        </row>
        <row r="85">
          <cell r="C85" t="str">
            <v>NO</v>
          </cell>
        </row>
        <row r="86">
          <cell r="C86" t="str">
            <v>NO</v>
          </cell>
        </row>
        <row r="87">
          <cell r="C87" t="str">
            <v>NO</v>
          </cell>
        </row>
        <row r="88">
          <cell r="C88" t="str">
            <v>NO</v>
          </cell>
        </row>
        <row r="89">
          <cell r="C89" t="str">
            <v>NO</v>
          </cell>
        </row>
        <row r="90">
          <cell r="C90" t="str">
            <v>NO</v>
          </cell>
        </row>
        <row r="91">
          <cell r="C91" t="str">
            <v>NO</v>
          </cell>
        </row>
        <row r="92">
          <cell r="C92" t="str">
            <v>NO</v>
          </cell>
        </row>
        <row r="93">
          <cell r="C93" t="str">
            <v>NO</v>
          </cell>
        </row>
        <row r="94">
          <cell r="C94" t="str">
            <v>NO</v>
          </cell>
        </row>
        <row r="95">
          <cell r="C95" t="str">
            <v>NO</v>
          </cell>
        </row>
        <row r="96">
          <cell r="C96" t="str">
            <v>NO</v>
          </cell>
        </row>
        <row r="97">
          <cell r="C97" t="str">
            <v>NO</v>
          </cell>
        </row>
        <row r="98">
          <cell r="C98" t="str">
            <v>NO</v>
          </cell>
        </row>
        <row r="99">
          <cell r="C99" t="str">
            <v>NO</v>
          </cell>
        </row>
        <row r="100">
          <cell r="C100" t="str">
            <v>NO</v>
          </cell>
        </row>
        <row r="101">
          <cell r="C101" t="str">
            <v>NO</v>
          </cell>
        </row>
        <row r="102">
          <cell r="C102" t="str">
            <v>NO</v>
          </cell>
        </row>
        <row r="103">
          <cell r="C103" t="str">
            <v>NO</v>
          </cell>
        </row>
        <row r="104">
          <cell r="C104" t="str">
            <v>NO</v>
          </cell>
        </row>
        <row r="105">
          <cell r="C105" t="str">
            <v>NO</v>
          </cell>
        </row>
        <row r="106">
          <cell r="C106" t="str">
            <v>NO</v>
          </cell>
        </row>
        <row r="107">
          <cell r="C107" t="str">
            <v>NO</v>
          </cell>
        </row>
        <row r="108">
          <cell r="C108" t="str">
            <v>NO</v>
          </cell>
        </row>
        <row r="109">
          <cell r="C109" t="str">
            <v>NO</v>
          </cell>
        </row>
        <row r="110">
          <cell r="C110" t="str">
            <v>NO</v>
          </cell>
        </row>
        <row r="111">
          <cell r="C111" t="str">
            <v>NO</v>
          </cell>
        </row>
        <row r="112">
          <cell r="C112" t="str">
            <v>NO</v>
          </cell>
        </row>
        <row r="113">
          <cell r="C113" t="str">
            <v>NO</v>
          </cell>
        </row>
        <row r="114">
          <cell r="C114" t="str">
            <v>NO</v>
          </cell>
        </row>
        <row r="115">
          <cell r="C115" t="str">
            <v>NO</v>
          </cell>
        </row>
        <row r="116">
          <cell r="C116" t="str">
            <v>NO</v>
          </cell>
        </row>
        <row r="117">
          <cell r="C117" t="str">
            <v>NO</v>
          </cell>
        </row>
        <row r="118">
          <cell r="C118" t="str">
            <v>NO</v>
          </cell>
        </row>
        <row r="119">
          <cell r="C119" t="str">
            <v>NO</v>
          </cell>
        </row>
        <row r="120">
          <cell r="C120" t="str">
            <v>NO</v>
          </cell>
        </row>
        <row r="121">
          <cell r="C121" t="str">
            <v>NO</v>
          </cell>
        </row>
        <row r="122">
          <cell r="C122" t="str">
            <v>NO</v>
          </cell>
        </row>
        <row r="123">
          <cell r="C123" t="str">
            <v>NO</v>
          </cell>
        </row>
        <row r="124">
          <cell r="C124" t="str">
            <v>NO</v>
          </cell>
        </row>
        <row r="125">
          <cell r="C125" t="str">
            <v>NO</v>
          </cell>
        </row>
        <row r="126">
          <cell r="C126" t="str">
            <v>NO</v>
          </cell>
        </row>
        <row r="127">
          <cell r="C127" t="str">
            <v>NO</v>
          </cell>
        </row>
        <row r="128">
          <cell r="C128" t="str">
            <v>NO</v>
          </cell>
        </row>
        <row r="129">
          <cell r="C129" t="str">
            <v>NO</v>
          </cell>
        </row>
        <row r="130">
          <cell r="C130" t="str">
            <v>NO</v>
          </cell>
        </row>
        <row r="131">
          <cell r="C131" t="str">
            <v>NO</v>
          </cell>
        </row>
        <row r="132">
          <cell r="C132" t="str">
            <v>NO</v>
          </cell>
        </row>
        <row r="133">
          <cell r="C133" t="str">
            <v>NO</v>
          </cell>
        </row>
        <row r="134">
          <cell r="C134" t="str">
            <v>NO</v>
          </cell>
        </row>
        <row r="135">
          <cell r="C135" t="str">
            <v>NO</v>
          </cell>
        </row>
        <row r="136">
          <cell r="C136" t="str">
            <v>NO</v>
          </cell>
        </row>
        <row r="137">
          <cell r="C137" t="str">
            <v>NO</v>
          </cell>
        </row>
        <row r="138">
          <cell r="C138" t="str">
            <v>NO</v>
          </cell>
        </row>
        <row r="139">
          <cell r="C139" t="str">
            <v>NO</v>
          </cell>
        </row>
        <row r="140">
          <cell r="C140" t="str">
            <v>NO</v>
          </cell>
        </row>
        <row r="141">
          <cell r="C141" t="str">
            <v>NO</v>
          </cell>
        </row>
        <row r="142">
          <cell r="C142" t="str">
            <v>NO</v>
          </cell>
        </row>
        <row r="143">
          <cell r="C143" t="str">
            <v>NO</v>
          </cell>
        </row>
        <row r="144">
          <cell r="C144" t="str">
            <v>NO</v>
          </cell>
        </row>
        <row r="145">
          <cell r="C145" t="str">
            <v>NO</v>
          </cell>
        </row>
        <row r="146">
          <cell r="C146" t="str">
            <v>NO</v>
          </cell>
        </row>
        <row r="147">
          <cell r="C147" t="str">
            <v>NO</v>
          </cell>
        </row>
        <row r="148">
          <cell r="C148" t="str">
            <v>NO</v>
          </cell>
        </row>
        <row r="149">
          <cell r="C149" t="str">
            <v>NO</v>
          </cell>
        </row>
        <row r="150">
          <cell r="C150" t="str">
            <v>NO</v>
          </cell>
        </row>
        <row r="151">
          <cell r="C151" t="str">
            <v>NO</v>
          </cell>
        </row>
        <row r="152">
          <cell r="C152" t="str">
            <v>NO</v>
          </cell>
        </row>
        <row r="153">
          <cell r="C153" t="str">
            <v>NO</v>
          </cell>
        </row>
        <row r="154">
          <cell r="C154" t="str">
            <v>NO</v>
          </cell>
        </row>
        <row r="155">
          <cell r="C155" t="str">
            <v>NO</v>
          </cell>
        </row>
        <row r="156">
          <cell r="C156" t="str">
            <v>NO</v>
          </cell>
        </row>
        <row r="157">
          <cell r="C157" t="str">
            <v>NO</v>
          </cell>
        </row>
        <row r="158">
          <cell r="C158" t="str">
            <v>NO</v>
          </cell>
        </row>
        <row r="159">
          <cell r="C159" t="str">
            <v>NO</v>
          </cell>
        </row>
        <row r="160">
          <cell r="C160" t="str">
            <v>NO</v>
          </cell>
        </row>
        <row r="161">
          <cell r="C161" t="str">
            <v>NO</v>
          </cell>
        </row>
        <row r="162">
          <cell r="C162" t="str">
            <v>NO</v>
          </cell>
        </row>
        <row r="163">
          <cell r="C163" t="str">
            <v>NO</v>
          </cell>
        </row>
        <row r="164">
          <cell r="C164" t="str">
            <v>NO</v>
          </cell>
        </row>
        <row r="165">
          <cell r="C165" t="str">
            <v>NO</v>
          </cell>
        </row>
        <row r="166">
          <cell r="C166" t="str">
            <v>NO</v>
          </cell>
        </row>
        <row r="167">
          <cell r="C167" t="str">
            <v>NO</v>
          </cell>
        </row>
        <row r="168">
          <cell r="C168" t="str">
            <v>NO</v>
          </cell>
        </row>
        <row r="169">
          <cell r="C169" t="str">
            <v>NO</v>
          </cell>
        </row>
        <row r="170">
          <cell r="C170" t="str">
            <v>NO</v>
          </cell>
        </row>
        <row r="171">
          <cell r="C171" t="str">
            <v>NO</v>
          </cell>
        </row>
        <row r="172">
          <cell r="C172" t="str">
            <v>NO</v>
          </cell>
        </row>
        <row r="173">
          <cell r="C173" t="str">
            <v>NO</v>
          </cell>
        </row>
        <row r="174">
          <cell r="C174" t="str">
            <v>NO</v>
          </cell>
        </row>
        <row r="175">
          <cell r="C175" t="str">
            <v>NO</v>
          </cell>
        </row>
        <row r="176">
          <cell r="C176" t="str">
            <v>NO</v>
          </cell>
        </row>
        <row r="177">
          <cell r="C177" t="str">
            <v>NO</v>
          </cell>
        </row>
        <row r="178">
          <cell r="C178" t="str">
            <v>NO</v>
          </cell>
        </row>
        <row r="179">
          <cell r="C179" t="str">
            <v>NO</v>
          </cell>
        </row>
        <row r="180">
          <cell r="C180" t="str">
            <v>NO</v>
          </cell>
        </row>
        <row r="181">
          <cell r="C181" t="str">
            <v>NO</v>
          </cell>
        </row>
        <row r="182">
          <cell r="C182" t="str">
            <v>NO</v>
          </cell>
        </row>
        <row r="183">
          <cell r="C183" t="str">
            <v>NO</v>
          </cell>
        </row>
        <row r="184">
          <cell r="C184" t="str">
            <v>NO</v>
          </cell>
        </row>
        <row r="185">
          <cell r="C185" t="str">
            <v>NO</v>
          </cell>
        </row>
        <row r="186">
          <cell r="C186" t="str">
            <v>NO</v>
          </cell>
        </row>
        <row r="187">
          <cell r="C187" t="str">
            <v>NO</v>
          </cell>
        </row>
        <row r="188">
          <cell r="C188" t="str">
            <v>NO</v>
          </cell>
        </row>
        <row r="189">
          <cell r="C189" t="str">
            <v>NO</v>
          </cell>
        </row>
        <row r="190">
          <cell r="C190" t="str">
            <v>NO</v>
          </cell>
        </row>
        <row r="191">
          <cell r="C191" t="str">
            <v>NO</v>
          </cell>
        </row>
        <row r="192">
          <cell r="C192" t="str">
            <v>NO</v>
          </cell>
        </row>
        <row r="193">
          <cell r="C193" t="str">
            <v>NO</v>
          </cell>
        </row>
        <row r="194">
          <cell r="C194" t="str">
            <v>NO</v>
          </cell>
        </row>
        <row r="195">
          <cell r="C195" t="str">
            <v>NO</v>
          </cell>
        </row>
        <row r="196">
          <cell r="C196" t="str">
            <v>NO</v>
          </cell>
        </row>
        <row r="197">
          <cell r="C197" t="str">
            <v>NO</v>
          </cell>
        </row>
        <row r="198">
          <cell r="C198" t="str">
            <v>NO</v>
          </cell>
        </row>
        <row r="199">
          <cell r="C199" t="str">
            <v>NO</v>
          </cell>
        </row>
        <row r="200">
          <cell r="C200" t="str">
            <v>NO</v>
          </cell>
        </row>
        <row r="201">
          <cell r="C201" t="str">
            <v>NO</v>
          </cell>
        </row>
        <row r="202">
          <cell r="C202" t="str">
            <v>NO</v>
          </cell>
        </row>
        <row r="203">
          <cell r="C203" t="str">
            <v>NO</v>
          </cell>
        </row>
        <row r="204">
          <cell r="C204" t="str">
            <v>NO</v>
          </cell>
        </row>
        <row r="205">
          <cell r="C205" t="str">
            <v>NO</v>
          </cell>
        </row>
        <row r="206">
          <cell r="C206" t="str">
            <v>NO</v>
          </cell>
        </row>
        <row r="207">
          <cell r="C207" t="str">
            <v>NO</v>
          </cell>
        </row>
        <row r="208">
          <cell r="C208" t="str">
            <v>NO</v>
          </cell>
        </row>
        <row r="209">
          <cell r="C209" t="str">
            <v>NO</v>
          </cell>
        </row>
        <row r="210">
          <cell r="C210" t="str">
            <v>NO</v>
          </cell>
        </row>
        <row r="211">
          <cell r="C211" t="str">
            <v>NO</v>
          </cell>
        </row>
        <row r="212">
          <cell r="C212" t="str">
            <v>NO</v>
          </cell>
        </row>
        <row r="213">
          <cell r="C213" t="str">
            <v>NO</v>
          </cell>
        </row>
        <row r="214">
          <cell r="C214" t="str">
            <v>NO</v>
          </cell>
        </row>
        <row r="215">
          <cell r="C215" t="str">
            <v>NO</v>
          </cell>
        </row>
        <row r="216">
          <cell r="C216" t="str">
            <v>NO</v>
          </cell>
        </row>
        <row r="217">
          <cell r="C217" t="str">
            <v>NO</v>
          </cell>
        </row>
        <row r="218">
          <cell r="C218" t="str">
            <v>NO</v>
          </cell>
        </row>
        <row r="219">
          <cell r="C219" t="str">
            <v>NO</v>
          </cell>
        </row>
        <row r="220">
          <cell r="C220" t="str">
            <v>NO</v>
          </cell>
        </row>
        <row r="221">
          <cell r="C221" t="str">
            <v>NO</v>
          </cell>
        </row>
        <row r="222">
          <cell r="C222" t="str">
            <v>NO</v>
          </cell>
        </row>
        <row r="223">
          <cell r="C223" t="str">
            <v>NO</v>
          </cell>
        </row>
        <row r="224">
          <cell r="C224" t="str">
            <v>NO</v>
          </cell>
        </row>
        <row r="225">
          <cell r="C225" t="str">
            <v>NO</v>
          </cell>
        </row>
        <row r="226">
          <cell r="C226" t="str">
            <v>NO</v>
          </cell>
        </row>
        <row r="227">
          <cell r="C227" t="str">
            <v>NO</v>
          </cell>
        </row>
        <row r="228">
          <cell r="C228" t="str">
            <v>NO</v>
          </cell>
        </row>
        <row r="229">
          <cell r="C229" t="str">
            <v>NO</v>
          </cell>
        </row>
        <row r="230">
          <cell r="C230" t="str">
            <v>NO</v>
          </cell>
        </row>
        <row r="231">
          <cell r="C231" t="str">
            <v>NO</v>
          </cell>
        </row>
        <row r="232">
          <cell r="C232" t="str">
            <v>NO</v>
          </cell>
        </row>
        <row r="233">
          <cell r="C233" t="str">
            <v>NO</v>
          </cell>
        </row>
        <row r="234">
          <cell r="C234" t="str">
            <v>NO</v>
          </cell>
        </row>
        <row r="235">
          <cell r="C235" t="str">
            <v>NO</v>
          </cell>
        </row>
        <row r="236">
          <cell r="C236" t="str">
            <v>NO</v>
          </cell>
        </row>
        <row r="237">
          <cell r="C237" t="str">
            <v>NO</v>
          </cell>
        </row>
        <row r="238">
          <cell r="C238" t="str">
            <v>NO</v>
          </cell>
        </row>
        <row r="239">
          <cell r="C239" t="str">
            <v>NO</v>
          </cell>
        </row>
        <row r="240">
          <cell r="C240" t="str">
            <v>NO</v>
          </cell>
        </row>
        <row r="241">
          <cell r="C241" t="str">
            <v>NO</v>
          </cell>
        </row>
        <row r="242">
          <cell r="C242" t="str">
            <v>NO</v>
          </cell>
        </row>
        <row r="243">
          <cell r="C243" t="str">
            <v>NO</v>
          </cell>
        </row>
        <row r="244">
          <cell r="C244" t="str">
            <v>NO</v>
          </cell>
        </row>
        <row r="245">
          <cell r="C245" t="str">
            <v>NO</v>
          </cell>
        </row>
        <row r="246">
          <cell r="C246" t="str">
            <v>NO</v>
          </cell>
        </row>
        <row r="247">
          <cell r="C247" t="str">
            <v>NO</v>
          </cell>
        </row>
        <row r="248">
          <cell r="C248" t="str">
            <v>NO</v>
          </cell>
        </row>
        <row r="249">
          <cell r="C249" t="str">
            <v>NO</v>
          </cell>
        </row>
        <row r="250">
          <cell r="C250" t="str">
            <v>NO</v>
          </cell>
        </row>
        <row r="251">
          <cell r="C251" t="str">
            <v>NO</v>
          </cell>
        </row>
        <row r="252">
          <cell r="C252" t="str">
            <v>NO</v>
          </cell>
        </row>
        <row r="253">
          <cell r="C253" t="str">
            <v>NO</v>
          </cell>
        </row>
        <row r="254">
          <cell r="C254" t="str">
            <v>NO</v>
          </cell>
        </row>
        <row r="255">
          <cell r="C255" t="str">
            <v>NO</v>
          </cell>
        </row>
        <row r="256">
          <cell r="C256" t="str">
            <v>NO</v>
          </cell>
        </row>
        <row r="257">
          <cell r="C257" t="str">
            <v>NO</v>
          </cell>
        </row>
        <row r="258">
          <cell r="C258" t="str">
            <v>NO</v>
          </cell>
        </row>
        <row r="259">
          <cell r="C259" t="str">
            <v>NO</v>
          </cell>
        </row>
        <row r="260">
          <cell r="C260" t="str">
            <v>NO</v>
          </cell>
        </row>
        <row r="261">
          <cell r="C261" t="str">
            <v>NO</v>
          </cell>
        </row>
        <row r="262">
          <cell r="C262" t="str">
            <v>NO</v>
          </cell>
        </row>
        <row r="263">
          <cell r="C263" t="str">
            <v>NO</v>
          </cell>
        </row>
        <row r="264">
          <cell r="C264" t="str">
            <v>NO</v>
          </cell>
        </row>
        <row r="265">
          <cell r="C265" t="str">
            <v>NO</v>
          </cell>
        </row>
        <row r="266">
          <cell r="C266" t="str">
            <v>NO</v>
          </cell>
        </row>
        <row r="267">
          <cell r="C267" t="str">
            <v>NO</v>
          </cell>
        </row>
        <row r="268">
          <cell r="C268" t="str">
            <v>NO</v>
          </cell>
        </row>
        <row r="269">
          <cell r="C269" t="str">
            <v>NO</v>
          </cell>
        </row>
        <row r="270">
          <cell r="C270" t="str">
            <v>NO</v>
          </cell>
        </row>
        <row r="271">
          <cell r="C271" t="str">
            <v>NO</v>
          </cell>
        </row>
        <row r="272">
          <cell r="C272" t="str">
            <v>NO</v>
          </cell>
        </row>
        <row r="273">
          <cell r="C273" t="str">
            <v>NO</v>
          </cell>
        </row>
        <row r="274">
          <cell r="C274" t="str">
            <v>NO</v>
          </cell>
        </row>
        <row r="275">
          <cell r="C275" t="str">
            <v>NO</v>
          </cell>
        </row>
        <row r="276">
          <cell r="C276" t="str">
            <v>NO</v>
          </cell>
        </row>
        <row r="277">
          <cell r="C277" t="str">
            <v>NO</v>
          </cell>
        </row>
        <row r="278">
          <cell r="C278" t="str">
            <v>NO</v>
          </cell>
        </row>
      </sheetData>
      <sheetData sheetId="2" refreshError="1"/>
      <sheetData sheetId="3" refreshError="1"/>
      <sheetData sheetId="4" refreshError="1"/>
      <sheetData sheetId="5" refreshError="1"/>
      <sheetData sheetId="6" refreshError="1"/>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_rels/pivotCacheDefinition5.xml.rels><?xml version="1.0" encoding="UTF-8" standalone="yes"?>
<Relationships xmlns="http://schemas.openxmlformats.org/package/2006/relationships"><Relationship Id="rId1" Type="http://schemas.openxmlformats.org/officeDocument/2006/relationships/pivotCacheRecords" Target="pivotCacheRecords5.xml"/></Relationships>
</file>

<file path=xl/pivotCache/_rels/pivotCacheDefinition6.xml.rels><?xml version="1.0" encoding="UTF-8" standalone="yes"?>
<Relationships xmlns="http://schemas.openxmlformats.org/package/2006/relationships"><Relationship Id="rId1" Type="http://schemas.openxmlformats.org/officeDocument/2006/relationships/pivotCacheRecords" Target="pivotCacheRecords6.xml"/></Relationships>
</file>

<file path=xl/pivotCache/_rels/pivotCacheDefinition7.xml.rels><?xml version="1.0" encoding="UTF-8" standalone="yes"?>
<Relationships xmlns="http://schemas.openxmlformats.org/package/2006/relationships"><Relationship Id="rId1" Type="http://schemas.openxmlformats.org/officeDocument/2006/relationships/pivotCacheRecords" Target="pivotCacheRecords7.xml"/></Relationships>
</file>

<file path=xl/pivotCache/pivotCacheDefinition1.xml><?xml version="1.0" encoding="utf-8"?>
<pivotCacheDefinition xmlns="http://schemas.openxmlformats.org/spreadsheetml/2006/main" xmlns:r="http://schemas.openxmlformats.org/officeDocument/2006/relationships" r:id="rId1" refreshOnLoad="1" refreshedBy="LIZETH JAHIRA GONZALEZ VARGAS" refreshedDate="41975.663471643522" createdVersion="4" refreshedVersion="4" minRefreshableVersion="3" recordCount="236">
  <cacheSource type="worksheet">
    <worksheetSource ref="B2:O238" sheet="Hoja2"/>
  </cacheSource>
  <cacheFields count="14">
    <cacheField name="Número de contrato" numFmtId="0">
      <sharedItems/>
    </cacheField>
    <cacheField name="Nombre" numFmtId="0">
      <sharedItems/>
    </cacheField>
    <cacheField name="Vigencia" numFmtId="168">
      <sharedItems containsSemiMixedTypes="0" containsString="0" containsNumber="1" containsInteger="1" minValue="2008" maxValue="2014"/>
    </cacheField>
    <cacheField name="Fecha de inicio" numFmtId="0">
      <sharedItems containsSemiMixedTypes="0" containsNonDate="0" containsDate="1" containsString="0" minDate="2008-10-03T00:00:00" maxDate="2014-10-25T00:00:00"/>
    </cacheField>
    <cacheField name="Mes" numFmtId="0">
      <sharedItems containsSemiMixedTypes="0" containsString="0" containsNumber="1" containsInteger="1" minValue="1" maxValue="12"/>
    </cacheField>
    <cacheField name="Año-Mes" numFmtId="0">
      <sharedItems/>
    </cacheField>
    <cacheField name="Mes-Letra" numFmtId="0">
      <sharedItems/>
    </cacheField>
    <cacheField name="Fecha de terminación final" numFmtId="169">
      <sharedItems containsDate="1" containsMixedTypes="1" minDate="2012-01-14T00:00:00" maxDate="2016-02-26T00:00:00"/>
    </cacheField>
    <cacheField name="Año" numFmtId="0">
      <sharedItems containsMixedTypes="1" containsNumber="1" containsInteger="1" minValue="2012" maxValue="2016" count="6">
        <n v="2014"/>
        <n v="2013"/>
        <n v="2012"/>
        <e v="#N/A"/>
        <n v="2015"/>
        <n v="2016"/>
      </sharedItems>
    </cacheField>
    <cacheField name="Mes2" numFmtId="0">
      <sharedItems containsMixedTypes="1" containsNumber="1" containsInteger="1" minValue="1" maxValue="12"/>
    </cacheField>
    <cacheField name="Año-Mes2" numFmtId="0">
      <sharedItems/>
    </cacheField>
    <cacheField name="Mes-Letra2" numFmtId="0">
      <sharedItems containsBlank="1" count="14">
        <s v="febrero"/>
        <s v="mayo"/>
        <s v="julio"/>
        <s v="marzo"/>
        <s v="abril"/>
        <s v="enero"/>
        <s v="agosto"/>
        <s v="diciembre"/>
        <s v="septiembre"/>
        <s v="junio"/>
        <s v="octubre"/>
        <s v="noviembre"/>
        <e v="#N/A"/>
        <m u="1"/>
      </sharedItems>
    </cacheField>
    <cacheField name="Ejecutado" numFmtId="0">
      <sharedItems containsMixedTypes="1" containsNumber="1" containsInteger="1" minValue="-450" maxValue="1053"/>
    </cacheField>
    <cacheField name="Ejecutado_SN" numFmtId="0">
      <sharedItems count="3">
        <s v="SI"/>
        <e v="#N/A"/>
        <s v="NO"/>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SANDRA MARCELA GARZON SERRATO" refreshedDate="42598.463585648147" createdVersion="4" refreshedVersion="4" minRefreshableVersion="3" recordCount="453">
  <cacheSource type="worksheet">
    <worksheetSource ref="E6:AC514" sheet="Base de Datos"/>
  </cacheSource>
  <cacheFields count="25">
    <cacheField name="Número de contrato" numFmtId="0">
      <sharedItems containsBlank="1" count="436">
        <s v="010000-768-0-2008"/>
        <s v="040000-1118-7-2008"/>
        <s v="040000-1120-0-2008"/>
        <s v="040000-821-0-2009"/>
        <s v="120000-727-0-2009"/>
        <s v="120000-436-0-2011"/>
        <s v="050000-275-0-2011"/>
        <s v="120000-255-0-2011"/>
        <s v="120000-260-0-2011"/>
        <s v="120000-281-0-2011"/>
        <s v="120000-297-0-2011"/>
        <s v="120000-307-0-2011"/>
        <s v="120000-331-0-2011"/>
        <s v="120000-361-0-2011"/>
        <s v="120000-440-0-2011"/>
        <s v="040000-221-0-2012"/>
        <s v="040000-357-0-2012"/>
        <s v="040000-410-0-2012"/>
        <s v="050000-120-0-2012"/>
        <s v="050000-131-0-2012"/>
        <s v="120000-463-0-2012"/>
        <s v="050000-155-0-2012"/>
        <s v="050000-222-0-2012"/>
        <s v="050000-290-0-2012"/>
        <s v="050000-324-0-2012"/>
        <s v="050000-333-0-2012"/>
        <s v="050000-340-0-2012"/>
        <s v="050000-342-0-2012"/>
        <s v="050000-346-0-2012"/>
        <s v="050000-348-0-2012"/>
        <s v="050000-349-0-2012"/>
        <s v="050000-353-0-2012"/>
        <s v="050000-356-0-2012"/>
        <s v="050000-358-0-2012"/>
        <s v="120000-371-0-2012"/>
        <s v="050000-386-0-2012"/>
        <s v="050000-395-0-2012"/>
        <s v="050000-427-0-2012"/>
        <s v="050000-433-0-2012"/>
        <s v="050000-468-0-2012"/>
        <s v="050000-498-0-2012"/>
        <s v="050000-501-0-2012"/>
        <s v="120000-125-0-2012"/>
        <s v="120000-151-0-2012"/>
        <s v="120000-177-0-2012"/>
        <s v="120000-223-0-2012"/>
        <s v="120000-289-0-2012"/>
        <s v="120000-312-0-2012"/>
        <s v="120000-328-0-2012"/>
        <s v="120000-368-0-2012"/>
        <s v="120000-376-0-2012"/>
        <s v="120000-381-0-2012"/>
        <s v="120000-390-0-2012"/>
        <s v="120000-396-0-2012"/>
        <s v="120000-398-0-2012"/>
        <s v="120000-399-0-2012"/>
        <s v="120000-402-0-2012"/>
        <s v="120000-196-0-2012"/>
        <s v="120000-403-0-2012"/>
        <s v="120000-406-0-2012"/>
        <s v="120000-416-0-2012"/>
        <s v="120000-420-0-2012"/>
        <s v="120000-425-0-2012"/>
        <s v="120000-442-0-2012"/>
        <s v="120000-451-0-2012"/>
        <s v="120000-456-0-2012"/>
        <s v="120000-464-0-2012"/>
        <s v="120000-466-0-2012"/>
        <s v="120000-478-0-2012"/>
        <s v="120000-483-0-2012"/>
        <s v="120000-490-0-2012"/>
        <s v="120000-494-0-2012"/>
        <s v="130326-0-2013"/>
        <s v="120000-521-0-2012"/>
        <s v="120000-523-0-2012"/>
        <s v="120000-453-0-2012"/>
        <s v="120000-504-0-2012"/>
        <s v="120000-507-0-2012"/>
        <s v="120000-525-0-2012"/>
        <s v="120000-535-0-2012"/>
        <s v="130019-0-2013"/>
        <s v="130023-0-2013"/>
        <s v="130036-0-2013"/>
        <s v="130044-0-2013"/>
        <s v="130048-0-2013"/>
        <s v="130091-0-2013"/>
        <s v="130106-0-2013"/>
        <s v="130116-0-2013"/>
        <s v="130121-0-2013"/>
        <s v="130126-0-2013"/>
        <s v="130129-0-2013"/>
        <s v="130130-0-2013"/>
        <s v="130133-0-2013"/>
        <s v="130136-0-2013"/>
        <s v="130139-0-2013"/>
        <s v="130141-0-2013"/>
        <s v="130142-0-2013"/>
        <s v="130146-0-2013"/>
        <s v="130147-0-2013"/>
        <s v="130150-0-2013"/>
        <s v="130152-0-2013"/>
        <s v="130154-0-2013"/>
        <s v="130156-0-2013"/>
        <s v="130161-0-2013"/>
        <s v="130162-0-2013"/>
        <s v="130163-0-2013"/>
        <s v="130164-0-2013"/>
        <s v="130166-0-2013"/>
        <s v="130186-0-2013"/>
        <s v="130190-0-2013"/>
        <s v="130194-0-2013"/>
        <s v="130196-0-2013"/>
        <s v="130198-0-2013"/>
        <s v="130200-0-2013"/>
        <s v="130202-0-2013"/>
        <s v="130204-0-2013"/>
        <s v="130207-0-2013"/>
        <s v="130209-0-2013"/>
        <s v="130211-0-2013"/>
        <s v="130214-0-2013"/>
        <s v="130217-0-2013"/>
        <s v="130220-0-2013"/>
        <s v="130227-0-2013"/>
        <s v="130228-0-2013"/>
        <s v="130229-0-2013"/>
        <s v="130237-0-2013"/>
        <s v="130241-0-2013"/>
        <s v="130242-0-2013"/>
        <s v="130244-0-2013"/>
        <s v="130249-0-2013"/>
        <s v="130254-0-2013"/>
        <s v="130260-0-2013"/>
        <s v="130261-0-2013"/>
        <s v="130265-0-2013"/>
        <s v="130270-0-2013"/>
        <s v="130276-0-2013"/>
        <s v="130281-0-2013"/>
        <s v="130286-0-2013"/>
        <s v="130297-0-2013"/>
        <s v="130298-0-2013"/>
        <s v="130299-0-2013"/>
        <s v="130301-0-2013"/>
        <s v="130309-0-2013"/>
        <s v="130321-0-2013"/>
        <s v="130325-0-2013"/>
        <s v="120000-518-0-2012"/>
        <s v="130334-0-2013"/>
        <s v="130336-0-2013"/>
        <s v="130340-0-2013"/>
        <s v="130346-0-2013"/>
        <s v="130349-0-2013"/>
        <s v="130352-0-2013"/>
        <s v="130355-0-2013"/>
        <s v="130361-0-2013"/>
        <s v="130362-0-2013"/>
        <s v="130363-0-2013"/>
        <s v="130364-0-2013"/>
        <s v="130365-0-2013"/>
        <s v="130368-0-2013"/>
        <s v="130370-0-2013"/>
        <s v="130372-0-2013"/>
        <s v="130373-0-2013"/>
        <s v="130375-0-2013"/>
        <s v="130378-0-2013"/>
        <s v="130380-0-2013"/>
        <s v="130384-0-2013"/>
        <s v="130385-0-2013"/>
        <s v="130386-0-2013"/>
        <s v="140174-0-2014"/>
        <s v="140034-0-2014"/>
        <s v="140136-0-2014"/>
        <s v="140138-0-2014"/>
        <s v="140140-0-2014"/>
        <s v="140152-0-2014"/>
        <s v="140153-0-2014"/>
        <s v="140154-0-2014"/>
        <s v="140157-0-2014"/>
        <s v="140158-0-2014"/>
        <s v="140159-0-2014"/>
        <s v="140160-0-2014"/>
        <s v="140161-0-2014"/>
        <s v="140162-0-2014"/>
        <s v="140164-0-2014"/>
        <s v="140166-0-2014"/>
        <s v="140167-0-2014"/>
        <s v="140168-0-2014"/>
        <s v="140169-0-2014"/>
        <s v="140171-0-2014"/>
        <s v="140172-0-2014"/>
        <s v="140173-0-2014"/>
        <s v="140176-0-2014"/>
        <s v="140178-0-2014"/>
        <s v="140179-0-2014"/>
        <s v="140181-0-2014"/>
        <s v="140186-0-2014"/>
        <s v="140188-0-2014"/>
        <s v="140190-0-2014"/>
        <s v="140191-0-2014"/>
        <s v="140193-0-2014"/>
        <s v="140198-0-2014"/>
        <s v="140200-0-2014"/>
        <s v="140201-0-2014"/>
        <s v="140260-0-2014"/>
        <s v="140207-0-2014"/>
        <s v="140212-0-2014"/>
        <s v="140215-0-2014"/>
        <s v="140216-0-2014"/>
        <s v="140219-0-2014"/>
        <s v="140220-0-2014"/>
        <s v="140221-0-2014"/>
        <s v="140222-0-2014"/>
        <s v="140228-0-2014"/>
        <s v="140233-0-2014"/>
        <s v="140234-0-2014"/>
        <s v="140236-0-2014"/>
        <s v="140241-0-2014"/>
        <s v="140184-0-2014"/>
        <s v="140210-0-2014"/>
        <s v="140224-0-2014"/>
        <s v="140238-0-2014"/>
        <s v="140243-0-2014"/>
        <s v="140244-0-2014"/>
        <s v="140249-0-2014"/>
        <s v="140252-0-2014"/>
        <s v="140274-0-2014"/>
        <s v="140276-0-2014"/>
        <s v="140279-0-2014"/>
        <s v="140281-0-2014"/>
        <s v="140282-0-2014"/>
        <s v="140288-0-2014"/>
        <s v="140290-0-2014"/>
        <s v="140291-0-2014"/>
        <s v="140292-0-2014"/>
        <s v="140296-0-2014"/>
        <s v="140299-0-2014"/>
        <s v="140306-0-2014"/>
        <s v="140312-0-2014"/>
        <s v="140316-0-2014 "/>
        <s v="140317-0-2014"/>
        <s v="140319-0-2014"/>
        <s v="140322-0-2014"/>
        <s v="140330-0-2014"/>
        <s v="140342-0-2014"/>
        <s v="140344-0-2014"/>
        <s v="140315-0-2014"/>
        <s v="140334-0-2014"/>
        <s v="140310-0-2014"/>
        <s v="140313-0-2014"/>
        <s v="140332-0-2014"/>
        <s v="140345-0-2014"/>
        <s v="140356-0-2014"/>
        <s v="140351-0-2014"/>
        <s v="140367-0-2014"/>
        <s v="140358-0-2014"/>
        <s v="140370-0-2014"/>
        <s v="140372-0-2014"/>
        <s v="140377-0-2014"/>
        <s v="140382-0-2014"/>
        <s v="140385-0-2014"/>
        <s v="140387-0-2014"/>
        <s v="140396-0-2014"/>
        <s v="140422-0-2014"/>
        <s v="140392-0-2014"/>
        <s v="140418-0-2014"/>
        <s v="150028-0-2015"/>
        <s v="140369-0-2014"/>
        <s v="140390-02014"/>
        <s v="150035-0-2015"/>
        <s v="140381-0-2014"/>
        <s v="150049-0-2015"/>
        <s v="150053-0-2015"/>
        <s v="150067-0-2015"/>
        <s v="150076-0-2015"/>
        <s v="150073-0-2015"/>
        <s v="150080-0-2015"/>
        <s v="150081-0-2015"/>
        <s v="150083-0-2015"/>
        <s v="150097-0-2015"/>
        <s v="150100-0-2015"/>
        <s v="150101-0-2015"/>
        <s v="150102-0-2015"/>
        <s v="150104-0-2015"/>
        <s v="150113-0-2015"/>
        <s v="150124-0-2015"/>
        <s v="150123-0-2015"/>
        <s v="150128-0-2015"/>
        <s v="150129-0-2015"/>
        <s v="150192-0-2015"/>
        <s v="150152-0-2015"/>
        <s v="150168-0-2015"/>
        <s v="150141-0-2015"/>
        <s v="150198-0-2015"/>
        <s v="150191-0-2015"/>
        <s v="150209-0-2015"/>
        <s v="150200-0-2015"/>
        <s v="150193-0-2015"/>
        <s v="150189-0-2015"/>
        <s v="150215-0-2015"/>
        <s v="150219-0-2015"/>
        <s v="150221-0-2015"/>
        <s v="150211-0-2015"/>
        <s v="150223-0-2015"/>
        <s v="150226-0-2015"/>
        <s v="150214-0-2015"/>
        <s v="150225-0-2015"/>
        <s v="150228-0-2015"/>
        <s v="150229-0-2015"/>
        <s v="150236-0-2015"/>
        <s v="150232-0-2015"/>
        <s v="150241-0-2015"/>
        <s v="150245-0-2015"/>
        <s v="150244-0-2015"/>
        <s v="150250-0-2015"/>
        <s v="150254-0-2015"/>
        <s v="150255-0-2015"/>
        <s v="150256-0-2015"/>
        <s v="150252-0-2015"/>
        <s v="150262-0-2015 "/>
        <s v="150260-0-2015"/>
        <s v="150265-0-2015"/>
        <s v="150271-0-2015"/>
        <s v="150249-0-2015"/>
        <s v="150274-0-2015"/>
        <s v="150276-0-2015"/>
        <s v="150277-0-2015"/>
        <s v="150278-0-2015"/>
        <s v="150279-0-2015"/>
        <s v="150280-0-2015"/>
        <s v="150286-0-2015"/>
        <s v="150275-0-2015"/>
        <s v="150281-0-2015"/>
        <s v="150300-0-2015"/>
        <s v="150309-0-2015"/>
        <s v="150312-0-2015"/>
        <s v="150302-0-2015 "/>
        <s v="150314-0-2015"/>
        <s v="150316-0-2015"/>
        <s v="150320-0-2015"/>
        <s v="150308-0-2015 "/>
        <s v="150322-0-2015"/>
        <s v="150323-0-2015"/>
        <s v="150329-0-2015 "/>
        <s v="150331-0-2015 "/>
        <s v="150330-0-2015"/>
        <s v="150321-0-2015 "/>
        <s v="150333-0-2015"/>
        <s v="150338-0-2015"/>
        <s v="150341-0-2015"/>
        <s v="150342-0-2015"/>
        <s v="150344-0-2015"/>
        <s v="150346-0-2015"/>
        <s v="150348-0-2015"/>
        <s v="150340-0-2015"/>
        <s v="150351-0-2015"/>
        <s v="150358-0-2015"/>
        <s v="150353-0-2015"/>
        <s v="150363-0-2015"/>
        <s v="150369-0-2015"/>
        <s v="150373-0-2015"/>
        <s v="150377-0-2015"/>
        <s v="150380-0-2015"/>
        <s v="150382-0-2015"/>
        <s v="150386-0-2015"/>
        <s v="150391-0-2015"/>
        <s v="150394-0-2015"/>
        <s v="150398-0-2015"/>
        <s v="150397-0-2015"/>
        <s v="150404-0-2015"/>
        <s v="150400-0-2015"/>
        <s v="150401-0-2015"/>
        <s v="150402-0-2015"/>
        <s v="150405-0-2015"/>
        <s v="150408-0-2015"/>
        <s v="160022-0-2016"/>
        <s v="160002-0-2016"/>
        <s v="160049-0-2016"/>
        <s v="160060-02016"/>
        <s v="160041-0-2016"/>
        <s v="160045-0-2016"/>
        <s v="160047-0-2016"/>
        <s v="160066-0-2016"/>
        <s v="160072-0-2016"/>
        <s v="160076-0-2016"/>
        <s v="160053-0-2016"/>
        <s v="160069-0-2016"/>
        <s v="160092-0-2016"/>
        <s v="160082-0-2016"/>
        <s v="160048-0-2016"/>
        <s v="160096-0-2016"/>
        <s v="160101-0-2016"/>
        <s v="160105-0-2016"/>
        <s v="160112-0-2016"/>
        <s v="160119-0-2016"/>
        <s v="160113-0-2016"/>
        <s v="160089-0-2016"/>
        <s v="160127-0-2016"/>
        <s v="160118-0-2016"/>
        <s v="160124-0-2016"/>
        <s v="160129-0-2016"/>
        <s v="160134-0-2016"/>
        <s v="160087-0-2016"/>
        <s v="160137-0-2016"/>
        <s v="160138-0-2016"/>
        <s v="160139-0-2016"/>
        <s v="160141-0-2016"/>
        <s v="160143-0-2016"/>
        <s v="160136-0-2016"/>
        <s v="160142-0-2016"/>
        <s v="160131-0-2016"/>
        <s v="160148-0-2016"/>
        <s v="160150-0-2016"/>
        <s v="160144-0-2016"/>
        <s v="160132-0-2016"/>
        <s v="160147-0-2016"/>
        <s v="160122-0-2016"/>
        <s v="160152-0-2016"/>
        <s v="160145-0-2016"/>
        <s v="160153-0-2016"/>
        <s v="160161-0-2016"/>
        <s v="160162-0-2016"/>
        <s v="160154-0-2016"/>
        <s v="160171-0-2016"/>
        <s v="160163-0-2016"/>
        <s v="160165-0-2016"/>
        <s v="160180-0-2016"/>
        <s v="160166-0-2016"/>
        <s v="160178-0-2016"/>
        <s v="160156-0-2016"/>
        <s v="160170-0-2016"/>
        <s v="160188-0-2016"/>
        <s v="160176- 0- 2016"/>
        <s v="160185-0-2016"/>
        <s v="160195-0-2016"/>
        <s v="160198-0-2016"/>
        <m/>
        <s v="150329-02015 " u="1"/>
      </sharedItems>
    </cacheField>
    <cacheField name="Nombre" numFmtId="0">
      <sharedItems containsBlank="1" count="302">
        <s v="FONDO DE VIGILANCIA Y SEGURIDAD DE BOGOTÁ"/>
        <s v="COLOMBIANA DE SOFTWARE Y HARDWARE COLSOF S.A."/>
        <s v="COMPUFACIL"/>
        <s v="DATAPOINT DE COLOMBIA S A S"/>
        <s v="D&amp;D AIRE ACONDICIONADO LTDA."/>
        <s v="POLÍTICAS MEDIOS E INVESTIGACIONES"/>
        <s v="J.A. ZABALA &amp; CONSULTORES ASOCIADOS LTDA."/>
        <s v="COTECNA CERTIFICADORA SEVICES LIMITADA"/>
        <s v="CONSERAUTO"/>
        <s v="PC MICROS LTDA."/>
        <s v="ELECTRIMEK LTDA."/>
        <s v="KEY MARKEY S.A."/>
        <s v="PAPELERÍA  LOS  LAGOS  LTDA."/>
        <s v="CONTROL SISTEMAS DE COMUNICACIONES C.S.C. LTDA."/>
        <s v="FACTOR VISUAL EAT"/>
        <s v="LILIA FANNY GUEVARA PARRADO"/>
        <s v="EMPRESA DE TELECOMUNICACIONES DE BOGOTÁ S.A.-ETB-ESP"/>
        <s v="ACE SEGUROS S.A."/>
        <s v="MELCO DE COLOMBIA LIMITADA "/>
        <s v="ALPUNTO SOLUCIONES SAS 12000-463-0-2012"/>
        <s v="EDITORIAL EL GLOBO S.A"/>
        <s v="PRODYGRAF LTDA."/>
        <s v="INGENIERÍA DE BOMBAS Y PLANTAS LIMITADA"/>
        <s v="JAKO IMPORTACIONES S.A.S"/>
        <s v="POSITIVA COMPAÑÍA DE SEGUROS S A"/>
        <s v="UNIÓN TEMPORAL SEGUROS GENERALES SURAMERICANA S.A. PREVISORA S.A. COMPAÑÍA DE SEGUROS Y QBE SEGUROS S.A."/>
        <s v="COMUNICAN S.A"/>
        <s v="EDITORIAL LA UNIDAD"/>
        <s v="PUBLICACIONES SEMANA S.A."/>
        <s v="INTEGRA SECURITY SYSTEMS S A"/>
        <s v="YAMILE MARIVEL MOLANO GUZMÁN"/>
        <s v="AMANDA LILIANA RICO DÍAZ"/>
        <s v="CALIDAD COMPORTAMIENTO EMPRESARIAL LTDA"/>
        <s v="ORGANIZACIÓN TERPEL S.A."/>
        <s v="JUAN MANUEL GÓMEZ DUARTE"/>
        <s v="KARINA BELTRÁN MEJÍA"/>
        <s v="JORGE ENRIQUE AVILAN "/>
        <s v="CARLOS EDUARDO PINEDA AMÓRTEGUI"/>
        <s v="DAMTON ARTÍCULOS PUBLICITARIOS LTDA"/>
        <s v="CORPORACIÓN INSTITUTO COLOMBIANO DE CUALIFICACIÓN EMPRESARIAL -CICCE"/>
        <s v="CESAR ALEJANDRO GUERRERO BARRIGA"/>
        <s v="REVISTA EL CONGRESO SIGLO XXI LTDA"/>
        <s v="SOCIEDAD ENTORNO COMPAÑÍA LTDA"/>
        <s v="CANAL CAPITAL"/>
        <s v="SECURITY TECH  CONTROL LTDA"/>
        <s v="SEGUROS DEL ESTADO S.A"/>
        <s v="SOLUCIONES Y DIAGNÓSTICOS EN INGENIERÍA ELÉCTRICA LTDA"/>
        <s v="PORTES DE COLOMBIA LTDA"/>
        <s v="UNIÓN TEMPORAL EMINSER-SOLOASEO "/>
        <s v="NELSON EDUARDO MUÑOZ MORENO"/>
        <s v="SOLUTION COPY LTDA"/>
        <s v="UNIÓN TEMPORAL INTERPOSTAL URBANEX"/>
        <s v="CENTRO DE RECURSOS EDUCATIVOS PARA LA COMPETITIVIDAD EMPRESARIAL LTDA - CRECE"/>
        <s v="ECO COLSULTORES"/>
        <s v="UNIVERSIDAD LA GRAN COLOMBIA"/>
        <s v="INSTITUTO DISTRITAL DEL PATRIMONIO CULTURAL - IDCP"/>
        <s v="SGS COLOMBIA S.A."/>
        <s v="INCTEC INGENIEROS CIVILES ARQUITECTOS LTDA"/>
        <s v="GRUPO EDITORIAL EL PERIÓDICO S.A.S"/>
        <s v="COMPAÑÍA COLOMBIANA DE CONSTRUCCIÓN COD S.A. "/>
        <s v="MEDIDORES TÉCNICA EQUIPOS S.A. "/>
        <s v="INDUARCHIVOS LTDA"/>
        <s v="UNIÓN TEMPORAL VISE - VIGILANCIA ACOSTA - COSERVICREA - RUMBO"/>
        <s v="CAJA DE COMPENSACIÓN FAMILIAR COMPENSAR - BIENESTAR"/>
        <s v="MIGUEL ANDRÉS GUTIÉRREZ ROMERO"/>
        <s v="CR TROFEOS LTDA"/>
        <s v="JARDÍN BOTÁNICO"/>
        <s v="CAJA COLOMBIANA DE SUBSIDIO FAMILIAR - COLSUBSIDIO - BONOS"/>
        <s v="SERVIMEDIOS LTDA"/>
        <s v="SISTEMAS INTEGRALES DE TRATAMIENTOS DE AGUAS LTDA - ACUANATURA"/>
        <s v="DIRECTV COLOMBIA LTDA"/>
        <s v="INFOSOURCES LTDA"/>
        <s v="DB SYSTEM LTDA"/>
        <s v="HERNANDO  BULLA ORJUELA"/>
        <s v="PAPELERÍA  LOS  LAGOS  LTDA"/>
        <s v="CAJA DE COMPENSACIÓN FAMILIAR COMPENSAR"/>
        <s v="GAMMA INGENIEROS S A"/>
        <s v="CONTROLES EMPRESARIALES LTDA"/>
        <s v="NEWNET S.A"/>
        <s v="AMBICOL SERVICES S.A.S. "/>
        <s v="SYSTEM NET INGENIERÍA LTDA"/>
        <s v="MELCO DE COLOMBIA LIMITADA"/>
        <s v="CASA EDITORIAL EL TIEMPO SA"/>
        <s v="DPC LTDA PUBLICACIONES DESPACHOS PÚBLICOS DE COLOMBIA LTDA"/>
        <s v="EDGARDO ANDRÉS MALDONADO CORTES"/>
        <s v="ROSA ENRIQUELINA GÓMEZ CORREDOR"/>
        <s v="SEGURIDAD NUEVA ERA"/>
        <s v="MOTORES Y MAQUINAS MOTORYSA"/>
        <s v="LILIANA ALFONSO JAIMES"/>
        <s v="AGR SOLUCIONES S.A.S."/>
        <s v="BUSINESS TECHNOLOGIES COMPANY"/>
        <s v="CANAL REGIONAL DE TELEVISION TEVEANDINA LTDA - TEVEANDINA LTDA"/>
        <s v="MUDANZAS LEMUS"/>
        <s v="AUGUSTO MEDIVELSO OJEDA"/>
        <s v="KHAANKO NORBERTO RUIZ RODRÍGUEZ"/>
        <s v="EDELMIRA ATARA GIL"/>
        <s v="RICOH COLOMBIA S.A."/>
        <s v="INVERSIONES MATAY SAS"/>
        <s v="CARLOS ALFONSO RESTREPO"/>
        <s v="EDGAR EULICES GONZÁLEZ"/>
        <s v="INGTEL LTDA"/>
        <s v="DESCONT S.A."/>
        <s v="CONSORCIO CJ"/>
        <s v="SEGUROS GENERALES SURAMERICANA S.A"/>
        <s v="SODINLEC LTDA"/>
        <s v="WIESNER FABIÁN ROBAYO SALCEDO"/>
        <s v="KARENN ANDREA SUAREZ LINARES"/>
        <s v="ACABADOS ALTAPISOS INVERSIONES  S.A.S."/>
        <s v="INVERSIONES LIGOL - INVERLIGOL LTD A"/>
        <s v="CONTRONET LTDA"/>
        <s v="INGEAL S.A."/>
        <s v="CAJA DE COMPENSACIÓN FAMILIAR COMPENSAR SALONES"/>
        <s v="PROCOLDEXT LIMITADA"/>
        <s v="UNIVERSIDAD DISTRITAL FRANCISCO JOSÉ DE CALDAS"/>
        <s v="TECNOLOGÍA BIOMÉDICA"/>
        <s v="ITELCO IT S.A.S"/>
        <s v="CJS CANECAS Y CIA LTDA"/>
        <s v="COMERCIALIZADORA INTERNACIONAL MEDICA DENTAL S.A.S"/>
        <s v="SOLUCIONES INTEGRALES DE OFICINAS      SAS"/>
        <s v="3D CONSULTING GROUP LTDA"/>
        <s v="COMPENSAR BIENESTAR"/>
        <s v="UNIÓN TEMPORAL VIGILANCIA ACOSTA LTDA  - RUMBO ASOCIADOS"/>
        <s v="EMPRESA DE TELECOMUNICACIONES DE BOGOTA S.A.   ESP"/>
        <s v="SI CAPIT@L"/>
        <s v="NEX COMPUTER S.A.  - NEXCOM"/>
        <s v="RIELCO   LTDA"/>
        <s v="RIGOBERTO GÓMEZ JAIMES"/>
        <s v="PUBBLICA S.A.S."/>
        <s v="INSTITUCIONAL STAR SERVICES LTDA"/>
        <s v="CAJA COLOMBIANA SUBSIDIO FAMILIAR - COLSUBSIDIO"/>
        <s v="ANDREA SUSANA BELLO CANTOR"/>
        <s v="JORGE ORLANDO RUBIANO CARRANZA"/>
        <s v="UNIÓN TEMPORAL AVALÚOS PATRIMONIALES H-SD"/>
        <s v="FERNANDO SOTOMONTE AMAYA"/>
        <s v="JORGE ALBERTO GALVIS  ESTUPIÑAN"/>
        <s v="UNIPLES S.A."/>
        <s v="VICTOR MANUEL ARMELLA VELÁSQUEZ"/>
        <s v="DIANA PATRICIA JAIME - SERVIMATEC DNO"/>
        <s v="COMUNICACIONES E INFORMÁTICA  S.A..S"/>
        <s v="NORMA CONSTANZA MEZA GÓMEZ"/>
        <s v="LORENZA SANTOS BARBOSA (Cesionaria) - Antes VICTOR MANUEL ARMELLA VELASQUEZ"/>
        <s v="MITSUBISHIS ELECTRIC DE COLOMBIA LTDA"/>
        <s v="JORGE LUIS TRUJILLO VERA"/>
        <s v="MATILDE NIETO CONTRERAS (Cesionaria) / antes ELIS ALEXANDER MORENO SALAMANCA"/>
        <s v="SONA GREEN TECHNOLOGIES SAS"/>
        <s v="K 10 DESIGN   S.A.S"/>
        <s v="MODULARES OFIMA LTDA"/>
        <s v="SECURITYCOM S.A.S"/>
        <s v="KONNEN SERVICES    S.A.S"/>
        <s v="GRANADOS Y CONDECORACIONES"/>
        <s v="A&amp;V EXPRESS S.A."/>
        <s v="UNIDAD NACIONAL DE PROTECCIÓN  UNP"/>
        <s v="IDENTICO SAS"/>
        <s v="MUDANZAS EL NOGAL SAS"/>
        <s v="UNIDAD NACIONAL DE PROTECCIÓN"/>
        <s v="MARKETGROUP SAS"/>
        <s v="JOSÉ SADY SUAVITA ROJAS"/>
        <s v="T Y G MINOLTA"/>
        <s v="ELKIN MAURICIO DIMAS MONTAYA"/>
        <s v="DIVIEXPORT EU"/>
        <s v="SEGUROS GENERALES SURAMERICANA"/>
        <s v="H &amp; D OFIMAGEN"/>
        <s v="SISTEMA Y SEGURIDAD INDUSTRIAL COLOMBIANA E.U."/>
        <s v="COMPENSAR SALONES"/>
        <s v="INDUSTRIAS QUÍMICAS FIQ LTDA"/>
        <s v="LINALCA INFORMATICA"/>
        <s v="SUPERIOR DE DOTACIONES SAS"/>
        <s v="CENTRO DE DIAGNOSTICO Y TRATAMIENTO CENDIATRA LTDA"/>
        <s v="NAYIVE CARRASCO PATIÑO"/>
        <s v="JUAN SEBASTIÁN RAMÍREZ"/>
        <s v="LIZETH  GONZÁLEZ VARGAS"/>
        <s v="I3NET  S.A.S"/>
        <s v="CRISTIAN DAVID PARDO MARTINEZ"/>
        <s v="SOLUCIONES EN INGENIERIA Y SOFTWARE SAS"/>
        <s v="SUMIMAS SAS"/>
        <s v="EDITORES CONARTE SAS"/>
        <s v="GUSTAVO ADOLFO BARRETO CASANOVA"/>
        <s v="PROSEGUR TECNOLOGÍA S.A.S."/>
        <s v="TECOLSOF SAS"/>
        <s v="M@ICROTEL LTDA"/>
        <s v="CARLOS ALBERTO CASTELLANOS MEDINA"/>
        <s v="JOHN KENNEDY LEON CASTIBLANCO"/>
        <s v="S.O.S. SOLUCIONES DE OFICINA &amp; SUMINISTROS S.A.S."/>
        <s v="CAJA COLOMBIANA DE SUBSIDIO FAMILIAR – COLSUBSIDIO"/>
        <s v="VIGILANCIA ACOSTA LIMITADA"/>
        <s v="SERVIMETERS SA"/>
        <s v="KAWAK SAS"/>
        <s v="ICETEX"/>
        <s v="CENTURY MEDIA SAS"/>
        <s v="RICARDO ROJAS SANABRIA (Cesionario) / Antes: NAYIVE CARRASCO PATIÑO"/>
        <s v="INSTITUTO COLOMBIANO DE NORMAS TÉCNICAS Y CERTIFICACIÓN ICONTEC"/>
        <s v="UNIÓN TEMPORAL SICVEL HACIENDA 2014"/>
        <s v="ADRIANA MARGARITA PAYARES (Cesionaria) / Antes: JEAN PAUL RUBIO MARTIN "/>
        <s v="JUDITH HERNÁNDEZ VILLALBA"/>
        <s v="ELVIN ALEXANDER AVEBDAÑO FONSECA (Cesionario) / JAVIER ANDRÉS VIDAL MELO (Antes)"/>
        <s v="LEIDY YONETH RIVERA GONZALEZ (Cesionario) / LUISA FERNANDA GUTIÉRREZ RAMÍREZ (Antes)"/>
        <s v="DIANA MARCELA REYES"/>
        <s v="GLORIA CATALINA ROSERO TOLEDO"/>
        <s v="LINA MARÍA GONZÁLEZ RUIZ"/>
        <s v="JARGU S.A. CORREDORES DE SEGUROS"/>
        <s v="PASSWORD CONSULTING SERVICES S.A.S."/>
        <s v="DIEGO ALEJANDRO RUBIO RAMOS"/>
        <s v="REPRESENTACIONES E INVERSIONES AGUAFILTERS J F LTDA"/>
        <s v="MONRAK INGENIERIA LIMITADA"/>
        <s v="UNIDAD NACIONAL DE PROTECCIÓN UNP"/>
        <s v="INGELECTRO SAS"/>
        <s v="SOMOS LA OPTIMIZACION EMPRESARIAL A SU SERVICIO- SOPT SAS"/>
        <s v="MITSUBISHI ELECTRIC DE COLOMBIA LTDA"/>
        <s v="SEAN ELECTRONICA LIMITADA"/>
        <s v="SECURITYCOM SAS"/>
        <s v="COOPERATIVA DE VIGILANTES STARCOOP CTA"/>
        <s v="CARLOS FERNANDO IBARRA VALLEJO"/>
        <s v="REVISTA EL CONGRESO SIGLO XXI "/>
        <s v="MOTORES Y MAQUINAS S.A. MOTORYSA "/>
        <s v="SISTEG SAS"/>
        <s v="FORMARCHIVOS Y SUMINISTROS SAS"/>
        <s v="SANDRA MARCELA ROJAS MACIAS"/>
        <s v="COTECNA CERTIFICADORA SERVICES LIMITADA"/>
        <s v="CRISTIAN CAMILO RAMOS MARTINEZ"/>
        <s v="OFICOMCO SAS"/>
        <s v="MEDALLAS COLOMBIANAS S.A.S"/>
        <s v="DAYANNA STEPHANY FERNANDEZ CARRILLO"/>
        <s v="INSTITUCIONAL STAR SERVICES LTDA "/>
        <s v="DIRECTV COLOMBIA LTDA  "/>
        <s v="CAJA DE COMPENSACION FAMILIAR COMPENSAR"/>
        <s v="FLOREZ &amp; ALVAREZ S.A."/>
        <s v="BRANCH OF MICROSOFT COLOMBIA INC"/>
        <s v="MANUEL FERNANDO MALDONADO FONSECA"/>
        <s v="JAVIER IGNACIO JATIVA GARCIA"/>
        <s v="FAIBER GABINO CORREA AMEZQUITA"/>
        <s v="YURI VIVIANA REYES BENITEZ"/>
        <s v="WILLIAM EDUARDO QUINTERO LETRADO"/>
        <s v="PATRICIA DEL ROCIO PEÑA GARCIA"/>
        <s v="CLAUDIA ELVIRA RODRIGUEZ POVEDA"/>
        <s v="ROSA YASMID CASTRO CASTELBLANCO"/>
        <s v="HUGO FERNANDO LONDOÑO ULLOA"/>
        <s v="GERIZIM CENTRO MEDICO ESPECIALIZADO EN SALUD OCUPACIONAL EU"/>
        <s v="MARY LUZ MORA PICO"/>
        <s v="SIIGO S.A "/>
        <s v="AXA COLPATRIA SEGUROS S. A. "/>
        <s v="PROCOLDEXT LTDA"/>
        <s v="GRUPO EDITORIAL NUEVA LEGISLACION S.A.S."/>
        <s v="ARANDA SOFTWARE ANDINA SAS  "/>
        <s v="GREEN TIC S.A.S."/>
        <s v="ALCALA &amp; ESPINOSA DISEÑO Y CONSTRUCCIÓN Ltda."/>
        <s v="INFORMATICA DOCUMENTAL SAS "/>
        <s v="VIDEO BEAMS Y LAMPARAS SAS "/>
        <s v="COMUNICAN SA "/>
        <s v="BUSINESSMIND COLOMBIA SA"/>
        <s v="Consultoría Estructural y de Construcción SAS - CEYCO Ingeniería SAS"/>
        <s v="EDITORIAL LA UNIDAD S.A EN EJECUCIÓN DEL ACUERDO DE REESTRUCTURACIÓN"/>
        <s v="INGENIERIA DE BOMBAS Y PLANTAS LIMITADA"/>
        <s v="UNION TEMPORAL NEWNET - SUMIMAS"/>
        <s v="ORION CONIC S.A.S"/>
        <s v="UNION TEMPORAL TECNOPROCESOS SAS NEGSA"/>
        <s v="MITSU MOTORS SERVICE S.A.S."/>
        <s v="PRODUCTORA Y COMERCIALIZADORA ODONTOLÓGICA NEW STETIC S.A."/>
        <s v="EDITORIAL EL GLOBO S.A."/>
        <s v="DANIEL JOSE MORALES VARGAS"/>
        <s v="CENTRO DE RECURSOS EDUCATIVOS PARA LA COMPETITIVIDAD EMPRESARIAL LTDA. CRECE LTDA."/>
        <s v="OPENLINK SISTEMAS DE REDES DE DATOS S A S"/>
        <s v="ALMACENES EXITO S.A"/>
        <s v="UNIÓN TEMPORAL BMIND - KOGHI"/>
        <s v="SOLUCIONES H&amp;S SAS"/>
        <s v="MARLON ENRIQUE MIRANDA TRUJILLO"/>
        <s v="ORACLE COLOMBIA LTDA"/>
        <s v="PUBLIDRUGS LTDA"/>
        <s v="CENTURY MEDIA S A S"/>
        <s v="PROSEGUR TECNOLOGIA S.A.S"/>
        <s v="SOLUCIONES ICG S.A.S"/>
        <s v="UT AUTOGAS GRUPO EDS"/>
        <s v="UNIVERSIDAD NACIONAL DE COLOMBIA"/>
        <s v="D P C LTDA DESPACHOS PUBLICOS DE COLOMBIA LTDA"/>
        <s v="VELEÑO ORREGO MARTINEZ DIAS ESTUDIO DE ABOGADOS"/>
        <s v="RAFAELA ARIZA VARGAS"/>
        <s v="UNIDAD NACIONAL DE PROTECCION - UNP"/>
        <s v="CLARA INES VARGAS MALAGON"/>
        <s v="ANGELICA MARIA RUBIO POLANCO"/>
        <s v="LEIDY YINETH RIVERA GOZNALEZ"/>
        <s v="LAURA VILLARRAGA ALBINO"/>
        <s v="WILSON GUERRERO VERA"/>
        <s v="DIANA PILAR DELGADO BARRETO"/>
        <s v="MARTHA PATRICIA TAPIA HERNANDEZ"/>
        <s v="IVON ADRIANA JIMENEZ ZAPATA"/>
        <s v="CAMILO ANDRÉS SARMIENTO DELGADO"/>
        <s v="COLOMBIANA DE COMERCIO S.A. Y/O ALKOSTO S.A."/>
        <s v="ELENCO INGENIEROS SAS"/>
        <s v="HERNANDO BULLA ORJUELA"/>
        <s v="INTELLIGENT BUSINESSES S.A.S-"/>
        <s v="JOHANA ANDREA POVEDA VELASCO"/>
        <s v="UNION TEMPORAL ZONA - WAS"/>
        <s v="JULIO ANDRÉS SANCHEZ SANCHEZ"/>
        <s v="DIRECTV COLOMBIA Ltda."/>
        <s v="LUIS EDUARDO CARVAJALINO SANCHEZ"/>
        <s v="USA POSTAL S.A."/>
        <s v="UNION TEMPORAL RGV "/>
        <s v="EDER GIOVANNY CASTIBLANCO ORJUELA"/>
        <s v="SOLUCIONES INTEGRALES MJ SAS"/>
        <s v="INGENIERIA Y SOLUCIONES EN CONTROL AUTOMATIZACION Y DISEÑO SAS"/>
        <m/>
        <s v="LUISA FERNANDA GUTIÉRREZ RAMÍREZ" u="1"/>
        <s v="ALCALA &amp; ESPINOSA DISEÑO Y CONSTRUCCIÓN LTDA" u="1"/>
      </sharedItems>
    </cacheField>
    <cacheField name="NIT o ID" numFmtId="0">
      <sharedItems containsBlank="1" containsMixedTypes="1" containsNumber="1" containsInteger="1" minValue="4831" maxValue="9008873661"/>
    </cacheField>
    <cacheField name="Objeto del contrato" numFmtId="0">
      <sharedItems containsBlank="1" longText="1"/>
    </cacheField>
    <cacheField name="Valor Inicial ($)" numFmtId="0">
      <sharedItems containsString="0" containsBlank="1" containsNumber="1" minValue="0" maxValue="7329236109"/>
    </cacheField>
    <cacheField name="Proceso_SECOP" numFmtId="0">
      <sharedItems containsBlank="1"/>
    </cacheField>
    <cacheField name="Año Suscripción" numFmtId="0">
      <sharedItems containsString="0" containsBlank="1" containsNumber="1" containsInteger="1" minValue="2008" maxValue="2016"/>
    </cacheField>
    <cacheField name="Fecha de Suscripción" numFmtId="0">
      <sharedItems containsDate="1" containsBlank="1" containsMixedTypes="1" minDate="2008-12-26T00:00:00" maxDate="2016-08-06T00:00:00"/>
    </cacheField>
    <cacheField name="Fecha de inicio" numFmtId="0">
      <sharedItems containsNonDate="0" containsDate="1" containsString="0" containsBlank="1" minDate="2008-10-03T00:00:00" maxDate="2016-08-17T00:00:00"/>
    </cacheField>
    <cacheField name="Fecha de terminación" numFmtId="0">
      <sharedItems containsNonDate="0" containsDate="1" containsString="0" containsBlank="1" minDate="2012-01-14T00:00:00" maxDate="2019-12-30T00:00:00"/>
    </cacheField>
    <cacheField name="Número de adiciones realizadas" numFmtId="0">
      <sharedItems containsString="0" containsBlank="1" containsNumber="1" containsInteger="1" minValue="0" maxValue="3"/>
    </cacheField>
    <cacheField name="Valor total de adiciones ($)" numFmtId="0">
      <sharedItems containsString="0" containsBlank="1" containsNumber="1" containsInteger="1" minValue="0" maxValue="1080934978"/>
    </cacheField>
    <cacheField name="Número de prorrogas realizadas" numFmtId="0">
      <sharedItems containsBlank="1" containsMixedTypes="1" containsNumber="1" containsInteger="1" minValue="0" maxValue="4"/>
    </cacheField>
    <cacheField name="Tiempo total Prórroga o suspensión" numFmtId="0">
      <sharedItems containsBlank="1"/>
    </cacheField>
    <cacheField name="Fecha terminación última prórroga" numFmtId="0">
      <sharedItems containsDate="1" containsBlank="1" containsMixedTypes="1" minDate="2012-10-31T00:00:00" maxDate="2017-12-31T00:00:00"/>
    </cacheField>
    <cacheField name="Fecha de terminación final" numFmtId="0">
      <sharedItems containsNonDate="0" containsDate="1" containsString="0" containsBlank="1" minDate="1899-12-30T00:00:00" maxDate="2019-12-30T00:00:00"/>
    </cacheField>
    <cacheField name="Valor Total ($)" numFmtId="0">
      <sharedItems containsString="0" containsBlank="1" containsNumber="1" minValue="0" maxValue="7329236109"/>
    </cacheField>
    <cacheField name="Giros ($)" numFmtId="0">
      <sharedItems containsString="0" containsBlank="1" containsNumber="1" minValue="0" maxValue="6218260556"/>
    </cacheField>
    <cacheField name="Saldos ($)" numFmtId="0">
      <sharedItems containsString="0" containsBlank="1" containsNumber="1" minValue="-25500000" maxValue="2896591697"/>
    </cacheField>
    <cacheField name="Forma de pago" numFmtId="0">
      <sharedItems containsBlank="1" containsMixedTypes="1" containsNumber="1" containsInteger="1" minValue="0" maxValue="0" longText="1"/>
    </cacheField>
    <cacheField name="% Ejecución recursos" numFmtId="0">
      <sharedItems containsBlank="1" containsMixedTypes="1" containsNumber="1" minValue="0" maxValue="2.7708333333333335" count="232">
        <n v="0.84841864329684125"/>
        <n v="0.98908542426434254"/>
        <n v="4.6051299379407939E-3"/>
        <n v="1"/>
        <n v="0.92913298619329387"/>
        <n v="8.5094116180503609E-2"/>
        <n v="0"/>
        <n v="0.99785305231388333"/>
        <n v="0.80386964675098127"/>
        <n v="0.99997955256194371"/>
        <n v="0.81768245094746728"/>
        <n v="0.79574612658130883"/>
        <n v="0.8903394174757282"/>
        <n v="1.1185458055128552"/>
        <n v="0.94671447735483449"/>
        <n v="0.99047620000000003"/>
        <n v="0.99832980000000004"/>
        <n v="0.95022288261515597"/>
        <n v="0.9999998332977702"/>
        <n v="0.87755319148936173"/>
        <n v="0.82673170731707313"/>
        <n v="0.99714146602836184"/>
        <n v="0.50743124634289061"/>
        <n v="0.89976841008562702"/>
        <n v="0.73647896728243933"/>
        <n v="0.99999830138315948"/>
        <n v="0.95166337492517417"/>
        <n v="0.53742565080526572"/>
        <n v="0.99857142857142855"/>
        <n v="0.82905844069621071"/>
        <n v="0.93101375598086122"/>
        <n v="0.91500886247523716"/>
        <n v="0.99999515837307507"/>
        <n v="0.90099290163696943"/>
        <n v="0.82220984856913393"/>
        <n v="0.99981782520075513"/>
        <n v="0.89656896040120193"/>
        <n v="0.971116850472869"/>
        <n v="0.83947368421052626"/>
        <n v="0.99999985000000002"/>
        <n v="0.9990517870167761"/>
        <n v="0.99999883753877283"/>
        <n v="0.99541854221486104"/>
        <n v="0.9756046734955186"/>
        <n v="0.55000000000000004"/>
        <n v="0.83105722827247486"/>
        <n v="0.99133303140096618"/>
        <n v="0.99999999935584927"/>
        <n v="0.357908"/>
        <n v="0.99999994429721428"/>
        <n v="0.41667500000000002"/>
        <n v="0.85059696291835152"/>
        <n v="0.98649968699677015"/>
        <n v="1.0000000448577517"/>
        <n v="0.99976348590110342"/>
        <n v="0.98434615815992088"/>
        <n v="0.99863099197808647"/>
        <n v="0.97855819103293284"/>
        <n v="0.58682667443639147"/>
        <n v="0.99989882558324072"/>
        <n v="0.7390409857684449"/>
        <n v="0.55610795454545459"/>
        <n v="0.99992803695097709"/>
        <n v="0.91091309628008754"/>
        <n v="0.99993387762383112"/>
        <n v="0.97881928811910646"/>
        <e v="#DIV/0!"/>
        <n v="0.71330836208408555"/>
        <n v="0.99999961863725684"/>
        <n v="0.75490532036267322"/>
        <n v="0.7838475431260955"/>
        <n v="0.936670452631579"/>
        <n v="0.99512444285714285"/>
        <n v="0.47305419111111113"/>
        <n v="0.21851851851851853"/>
        <n v="0.92243747174349189"/>
        <n v="0.94433699999999998"/>
        <n v="0.98787878181818178"/>
        <n v="0.99393938181818187"/>
        <n v="0.95213947447900937"/>
        <n v="0.62424242424242427"/>
        <n v="0.63666666019417473"/>
        <n v="0.88888888349514561"/>
        <n v="0.99969112863322274"/>
        <n v="0.24295145454545455"/>
        <n v="0.56844640706543559"/>
        <n v="0.39207999999999998"/>
        <n v="0.9472556537894804"/>
        <n v="0.99999588236989612"/>
        <n v="0.99888544635469334"/>
        <n v="0.99876396723016514"/>
        <n v="0.99999799962332903"/>
        <n v="0.9"/>
        <n v="0.907577705215312"/>
        <n v="0.95865674385579414"/>
        <n v="0.71573656802383312"/>
        <n v="0.90614027511196416"/>
        <n v="0.93935660832064938"/>
        <n v="0.91242038216560506"/>
        <n v="0.38660102739726027"/>
        <n v="0.95183235516849674"/>
        <n v="0.99313612952168406"/>
        <n v="0.54425701160541584"/>
        <n v="0.99994394683026588"/>
        <n v="0.70575221238938057"/>
        <n v="0.90000004218817531"/>
        <n v="0.6299402628434887"/>
        <n v="0.3"/>
        <n v="0.97833046662565259"/>
        <n v="0.99999998675847457"/>
        <n v="0.99915608383876164"/>
        <n v="0.46763947494124564"/>
        <n v="0.12771428615113078"/>
        <n v="0.63776140380765789"/>
        <n v="0.99999997499999937"/>
        <n v="0.83761768421052629"/>
        <n v="0.99496066942818329"/>
        <n v="0.72137053823063402"/>
        <n v="0.98097637795275594"/>
        <n v="0.79542161333333339"/>
        <n v="0.99999999272462714"/>
        <n v="0.47499978006095456"/>
        <n v="0.98611111634775506"/>
        <n v="0.99722223300970869"/>
        <n v="0.82172098965362128"/>
        <n v="0.37463047567858104"/>
        <n v="0.66183421621336702"/>
        <n v="0.9999763214285714"/>
        <n v="0.90000000035934369"/>
        <n v="0.84490977895242669"/>
        <n v="0.85613817910447765"/>
        <n v="0.3799579090909091"/>
        <n v="0.84109874021109976"/>
        <n v="0.97107346011267059"/>
        <n v="0.84140592647058821"/>
        <n v="0.41238000000000002"/>
        <n v="0.75876171201413423"/>
        <n v="0.94988489285714284"/>
        <n v="0.99999950534291482"/>
        <n v="0.69799520000000004"/>
        <n v="0.83150811031959959"/>
        <n v="0.91362790524236026"/>
        <n v="0.91476668587896248"/>
        <n v="0.98705113848450909"/>
        <n v="0.99955161363540235"/>
        <n v="0.58618340821256043"/>
        <n v="0.99999998125566092"/>
        <n v="0.66666666666666663"/>
        <n v="0.88888888888888884"/>
        <n v="0.83333333333333337"/>
        <n v="0.93846153846153846"/>
        <n v="0.26666666666666666"/>
        <n v="0.42480570269633855"/>
        <n v="0.90504481716436247"/>
        <n v="0.50188847665465619"/>
        <n v="0.65163895175773978"/>
        <n v="0.59999993296463883"/>
        <n v="0.24253204561231229"/>
        <n v="1.1611110909090909"/>
        <n v="0.66666665806201431"/>
        <n v="0.21891171671584794"/>
        <n v="0.99998166666666666"/>
        <n v="0.99099099099099097"/>
        <n v="0.49300411522633747"/>
        <n v="0.69938620515509975"/>
        <n v="0.59269146608315093"/>
        <n v="0.78620676276279489"/>
        <n v="0.5556000161320146"/>
        <n v="0.94"/>
        <n v="0.99999999978040954"/>
        <n v="1.0000237981913374"/>
        <n v="0.29095372463768115"/>
        <n v="1.000000000902741"/>
        <n v="0.8"/>
        <n v="0.52519290681502084"/>
        <n v="0.15"/>
        <n v="0.35833333333333334"/>
        <n v="0.35555555555555557"/>
        <n v="0.36249999999999999"/>
        <n v="0.17083331818181818"/>
        <n v="0.22222222222222221"/>
        <n v="0.24583331808199121"/>
        <n v="0.10370368122977346"/>
        <n v="2.7708333333333335"/>
        <n v="7.0833318181818178E-2"/>
        <n v="4.5833316326530614E-2"/>
        <n v="3.7499999999999999E-2"/>
        <n v="0.16666665909090908"/>
        <n v="4.1666659090909088E-2"/>
        <n v="0.1541666590909091"/>
        <n v="2.9166666666666667E-2"/>
        <n v="0.99996075017804864"/>
        <m/>
        <n v="0.35399947630269701" u="1"/>
        <n v="0.41493055555555558" u="1"/>
        <n v="0.20277777083333334" u="1"/>
        <n v="0.24952067520556609" u="1"/>
        <n v="0.92499998809523809" u="1"/>
        <n v="0.79166666666666663" u="1"/>
        <n v="0.95" u="1"/>
        <n v="0.6652651054357418" u="1"/>
        <n v="0.27492" u="1"/>
        <n v="0.51111111111111107" u="1"/>
        <n v="0.2725437456140351" u="1"/>
        <n v="0.82777778205128205" u="1"/>
        <n v="0.85580204778156999" u="1"/>
        <n v="0.83513256014374604" u="1"/>
        <n v="0.32777775757575756" u="1"/>
        <n v="0.76439314285714288" u="1"/>
        <n v="0.47658921428571427" u="1"/>
        <n v="0.65185184640522875" u="1"/>
        <n v="4.4263183475091131E-2" u="1"/>
        <n v="0.46601602985074625" u="1"/>
        <n v="0.16619332352941177" u="1"/>
        <n v="0.11866086455331412" u="1"/>
        <n v="0.93333333333333335" u="1"/>
        <n v="0.83055556634304206" u="1"/>
        <n v="0.41984755830388693" u="1"/>
        <n v="0.74313004926108372" u="1"/>
        <n v="0.99722221498654162" u="1"/>
        <n v="0.36705476113227592" u="1"/>
        <n v="0.63769822555161615" u="1"/>
        <n v="0.14621110899026532" u="1"/>
        <n v="0.89166666666666672" u="1"/>
        <n v="0.70024570024570021" u="1"/>
        <n v="0.91226607521186442" u="1"/>
        <n v="0.21499596882558453" u="1"/>
        <n v="0.82592588888888885" u="1"/>
        <n v="0.2" u="1"/>
        <n v="0.83430191666666664" u="1"/>
        <n v="0.47499999999999998" u="1"/>
        <n v="0.64444444968108838" u="1"/>
      </sharedItems>
    </cacheField>
    <cacheField name="% Ejecución física" numFmtId="0">
      <sharedItems containsBlank="1" containsMixedTypes="1" containsNumber="1" minValue="-0.41530054644808745" maxValue="1" count="138">
        <n v="1"/>
        <n v="0.72712418300653592"/>
        <n v="0.44687842278203727"/>
        <n v="0.32639649507119389"/>
        <e v="#DIV/0!"/>
        <n v="0.90573770491803274"/>
        <n v="0.93002257336343119"/>
        <n v="0.84221311475409832"/>
        <n v="0.73166023166023164"/>
        <n v="0.92076502732240439"/>
        <n v="0.95901639344262291"/>
        <n v="0.91803278688524592"/>
        <n v="0.96721311475409832"/>
        <n v="0.87431693989071035"/>
        <n v="0.85101010101010099"/>
        <n v="0.83333333333333337"/>
        <n v="0.82513661202185795"/>
        <n v="0.71584699453551914"/>
        <n v="0.9711934156378601"/>
        <n v="0.95129870129870131"/>
        <n v="0.92"/>
        <n v="0.88114754098360659"/>
        <n v="0.58469945355191255"/>
        <n v="0.40273972602739727"/>
        <n v="0.81090909090909091"/>
        <n v="0.37425149700598803"/>
        <n v="0.85620915032679734"/>
        <n v="0.44771241830065361"/>
        <n v="0.43137254901960786"/>
        <n v="0.43272727272727274"/>
        <n v="0.41090909090909089"/>
        <n v="0.48"/>
        <n v="0.48689138576779029"/>
        <n v="0.42448979591836733"/>
        <n v="0.38235294117647056"/>
        <n v="0.23287671232876711"/>
        <n v="0.27631578947368424"/>
        <n v="0.35918367346938773"/>
        <n v="0.2783882783882784"/>
        <n v="0.30612244897959184"/>
        <n v="0.27106227106227104"/>
        <n v="0.23265306122448978"/>
        <n v="0.28163265306122448"/>
        <n v="0.22039473684210525"/>
        <n v="0.25714285714285712"/>
        <n v="0.25819672131147542"/>
        <n v="0.26301369863013696"/>
        <n v="0.22448979591836735"/>
        <n v="0.22857142857142856"/>
        <n v="0.21632653061224491"/>
        <n v="0.22764227642276422"/>
        <n v="0.25683060109289618"/>
        <n v="0.20408163265306123"/>
        <n v="0.26229508196721313"/>
        <n v="0.15328467153284672"/>
        <n v="0.19534883720930232"/>
        <n v="0.39130434782608697"/>
        <n v="0.16744186046511628"/>
        <n v="4.9342105263157895E-2"/>
        <n v="0.16279069767441862"/>
        <n v="8.7671232876712329E-2"/>
        <n v="7.6712328767123292E-2"/>
        <n v="6.2686567164179099E-2"/>
        <n v="9.3023255813953487E-2"/>
        <n v="8.1521739130434784E-2"/>
        <n v="0.14634146341463414"/>
        <n v="8.8372093023255813E-2"/>
        <n v="3.6184210526315791E-2"/>
        <n v="8.6956521739130432E-2"/>
        <n v="0"/>
        <m/>
        <n v="0.61748633879781423" u="1"/>
        <n v="0.90163934426229508" u="1"/>
        <n v="0.9051094890510949" u="1"/>
        <n v="0.80601092896174864" u="1"/>
        <n v="0.35245901639344263" u="1"/>
        <n v="0.5" u="1"/>
        <n v="0.78032786885245897" u="1"/>
        <n v="0.50549450549450547" u="1"/>
        <n v="0.90217391304347827" u="1"/>
        <n v="0.57860262008733621" u="1"/>
        <n v="0.98087431693989069" u="1"/>
        <n v="0.86909090909090914" u="1"/>
        <n v="0.54371584699453557" u="1"/>
        <n v="0.78360655737704921" u="1"/>
        <n v="0.25925925925925924" u="1"/>
        <n v="0.8555758683729433" u="1"/>
        <n v="0.9397260273972603" u="1"/>
        <n v="0.40163934426229508" u="1"/>
        <n v="0.11202185792349727" u="1"/>
        <n v="0.35213581599123767" u="1"/>
        <n v="0.78688524590163933" u="1"/>
        <n v="0.23165388828039429" u="1"/>
        <n v="0.1721311475409836" u="1"/>
        <n v="0.24316939890710382" u="1"/>
        <n v="0.75457875457875456" u="1"/>
        <n v="0.48826291079812206" u="1"/>
        <n v="0.91970802919708028" u="1"/>
        <n v="0.96174863387978138" u="1"/>
        <n v="0.73497267759562845" u="1"/>
        <n v="0.81818181818181823" u="1"/>
        <n v="0.63868613138686137" u="1"/>
        <n v="0.79234972677595628" u="1"/>
        <n v="0.4453551912568306" u="1"/>
        <n v="0.5901639344262295" u="1"/>
        <n v="0.93639575971731448" u="1"/>
        <n v="0.92238805970149251" u="1"/>
        <n v="0.75409836065573765" u="1"/>
        <n v="0.76502732240437155" u="1"/>
        <n v="0.98750000000000004" u="1"/>
        <n v="0.80655737704918029" u="1"/>
        <n v="0.29090909090909089" u="1"/>
        <n v="0.7" u="1"/>
        <n v="0.96703296703296704" u="1"/>
        <n v="0.59344262295081962" u="1"/>
        <n v="0.36065573770491804" u="1"/>
        <n v="0.87749287749287752" u="1"/>
        <n v="0.91530054644808745" u="1"/>
        <n v="0.44808743169398907" u="1"/>
        <n v="0.53947368421052633" u="1"/>
        <n v="0.98360655737704916" u="1"/>
        <n v="0.33884297520661155" u="1"/>
        <n v="0.61095890410958908" u="1"/>
        <n v="0.55737704918032782" u="1"/>
        <n v="0.90491803278688521" u="1"/>
        <n v="0.69180327868852454" u="1"/>
        <n v="0.58552631578947367" u="1"/>
        <n v="0.77595628415300544" u="1"/>
        <n v="0.77659574468085102" u="1"/>
        <n v="0.97540983606557374" u="1"/>
        <n v="0.6693989071038251" u="1"/>
        <n v="0.43795620437956206" u="1"/>
        <n v="0.85792349726775952" u="1"/>
        <n v="0.6853932584269663" u="1"/>
        <n v="0.84426229508196726" u="1"/>
        <n v="-0.41530054644808745" u="1"/>
        <n v="0.8306010928961749" u="1"/>
        <n v="0.45901639344262296" u="1"/>
      </sharedItems>
    </cacheField>
    <cacheField name="Diferencia" numFmtId="0">
      <sharedItems containsBlank="1" containsMixedTypes="1" containsNumber="1" minValue="-2.5136904761904764" maxValue="1"/>
    </cacheField>
    <cacheField name="Tiempo restante de ejecución (días)" numFmtId="0">
      <sharedItems containsBlank="1" containsMixedTypes="1" containsNumber="1" containsInteger="1" minValue="7" maxValue="1230"/>
    </cacheField>
    <cacheField name="Ejecución completa Recursos" numFmtId="0">
      <sharedItems containsBlank="1" count="4">
        <s v="NO"/>
        <s v="SI"/>
        <e v="#DIV/0!"/>
        <m/>
      </sharedItems>
    </cacheField>
  </cacheFields>
  <extLst>
    <ext xmlns:x14="http://schemas.microsoft.com/office/spreadsheetml/2009/9/main" uri="{725AE2AE-9491-48be-B2B4-4EB974FC3084}">
      <x14:pivotCacheDefinition pivotCacheId="3"/>
    </ext>
  </extLst>
</pivotCacheDefinition>
</file>

<file path=xl/pivotCache/pivotCacheDefinition3.xml><?xml version="1.0" encoding="utf-8"?>
<pivotCacheDefinition xmlns="http://schemas.openxmlformats.org/spreadsheetml/2006/main" xmlns:r="http://schemas.openxmlformats.org/officeDocument/2006/relationships" r:id="rId1" refreshOnLoad="1" refreshedBy="NESTOR ARLEY RAMÍREZ RAMÍREZ" refreshedDate="43643.290608796298" createdVersion="4" refreshedVersion="5" minRefreshableVersion="3" recordCount="242">
  <cacheSource type="worksheet">
    <worksheetSource ref="E6:AC248" sheet="Base de Datos"/>
  </cacheSource>
  <cacheFields count="25">
    <cacheField name="Número de contrato" numFmtId="0">
      <sharedItems containsBlank="1" count="249">
        <s v="010000-768-0-2008"/>
        <s v="040000-1118-7-2008"/>
        <s v="040000-1120-0-2008"/>
        <s v="040000-821-0-2009"/>
        <s v="120000-727-0-2009"/>
        <s v="120000-436-0-2011"/>
        <s v="050000-275-0-2011"/>
        <s v="120000-255-0-2011"/>
        <s v="120000-260-0-2011"/>
        <s v="120000-281-0-2011"/>
        <s v="120000-297-0-2011"/>
        <s v="120000-307-0-2011"/>
        <s v="120000-331-0-2011"/>
        <s v="120000-361-0-2011"/>
        <s v="120000-440-0-2011"/>
        <s v="040000-221-0-2012"/>
        <s v="040000-357-0-2012"/>
        <s v="040000-410-0-2012"/>
        <s v="050000-120-0-2012"/>
        <s v="050000-131-0-2012"/>
        <s v="120000-463-0-2012"/>
        <s v="050000-155-0-2012"/>
        <s v="050000-222-0-2012"/>
        <s v="050000-290-0-2012"/>
        <s v="050000-324-0-2012"/>
        <s v="050000-333-0-2012"/>
        <s v="050000-340-0-2012"/>
        <s v="050000-342-0-2012"/>
        <s v="050000-346-0-2012"/>
        <s v="050000-348-0-2012"/>
        <s v="050000-349-0-2012"/>
        <s v="050000-353-0-2012"/>
        <s v="050000-356-0-2012"/>
        <s v="050000-358-0-2012"/>
        <s v="120000-371-0-2012"/>
        <s v="050000-386-0-2012"/>
        <s v="050000-395-0-2012"/>
        <s v="050000-427-0-2012"/>
        <s v="050000-433-0-2012"/>
        <s v="050000-468-0-2012"/>
        <s v="050000-498-0-2012"/>
        <s v="050000-501-0-2012"/>
        <s v="120000-125-0-2012"/>
        <s v="120000-151-0-2012"/>
        <s v="120000-177-0-2012"/>
        <s v="120000-223-0-2012"/>
        <s v="120000-289-0-2012"/>
        <s v="120000-312-0-2012"/>
        <s v="120000-328-0-2012"/>
        <s v="120000-368-0-2012"/>
        <s v="120000-376-0-2012"/>
        <s v="120000-381-0-2012"/>
        <s v="120000-390-0-2012"/>
        <s v="120000-396-0-2012"/>
        <s v="120000-398-0-2012"/>
        <s v="120000-399-0-2012"/>
        <s v="120000-402-0-2012"/>
        <s v="120000-196-0-2012"/>
        <s v="120000-403-0-2012"/>
        <s v="120000-406-0-2012"/>
        <s v="120000-416-0-2012"/>
        <s v="120000-420-0-2012"/>
        <s v="120000-425-0-2012"/>
        <s v="120000-442-0-2012"/>
        <s v="120000-451-0-2012"/>
        <s v="120000-456-0-2012"/>
        <s v="120000-464-0-2012"/>
        <s v="120000-466-0-2012"/>
        <s v="120000-478-0-2012"/>
        <s v="120000-483-0-2012"/>
        <s v="120000-490-0-2012"/>
        <s v="120000-494-0-2012"/>
        <s v="130326-0-2013"/>
        <s v="120000-521-0-2012"/>
        <s v="120000-523-0-2012"/>
        <s v="120000-453-0-2012"/>
        <s v="120000-504-0-2012"/>
        <s v="120000-507-0-2012"/>
        <s v="120000-525-0-2012"/>
        <s v="120000-535-0-2012"/>
        <s v="130019-0-2013"/>
        <s v="130023-0-2013"/>
        <s v="130036-0-2013"/>
        <s v="130044-0-2013"/>
        <s v="130048-0-2013"/>
        <s v="130091-0-2013"/>
        <s v="130106-0-2013"/>
        <s v="130116-0-2013"/>
        <s v="130121-0-2013"/>
        <s v="130126-0-2013"/>
        <s v="130129-0-2013"/>
        <s v="130130-0-2013"/>
        <s v="130133-0-2013"/>
        <s v="130136-0-2013"/>
        <s v="130139-0-2013"/>
        <s v="130141-0-2013"/>
        <s v="130142-0-2013"/>
        <s v="130146-0-2013"/>
        <s v="130147-0-2013"/>
        <s v="130150-0-2013"/>
        <s v="130152-0-2013"/>
        <s v="130154-0-2013"/>
        <s v="130156-0-2013"/>
        <s v="130161-0-2013"/>
        <s v="130162-0-2013"/>
        <s v="130163-0-2013"/>
        <s v="130164-0-2013"/>
        <s v="130166-0-2013"/>
        <s v="130186-0-2013"/>
        <s v="130190-0-2013"/>
        <s v="130194-0-2013"/>
        <s v="130196-0-2013"/>
        <s v="130198-0-2013"/>
        <s v="130200-0-2013"/>
        <s v="130202-0-2013"/>
        <s v="130204-0-2013"/>
        <s v="130207-0-2013"/>
        <s v="130209-0-2013"/>
        <s v="130211-0-2013"/>
        <s v="130214-0-2013"/>
        <s v="130217-0-2013"/>
        <s v="130220-0-2013"/>
        <s v="130227-0-2013"/>
        <s v="130228-0-2013"/>
        <s v="130229-0-2013"/>
        <s v="130237-0-2013"/>
        <s v="130241-0-2013"/>
        <s v="130242-0-2013"/>
        <s v="130244-0-2013"/>
        <s v="130249-0-2013"/>
        <s v="130254-0-2013"/>
        <s v="130260-0-2013"/>
        <s v="130261-0-2013"/>
        <s v="130265-0-2013"/>
        <s v="130270-0-2013"/>
        <s v="130276-0-2013"/>
        <s v="130281-0-2013"/>
        <s v="130286-0-2013"/>
        <s v="130297-0-2013"/>
        <s v="130298-0-2013"/>
        <s v="130299-0-2013"/>
        <s v="130301-0-2013"/>
        <s v="130309-0-2013"/>
        <s v="130321-0-2013"/>
        <s v="130325-0-2013"/>
        <s v="120000-518-0-2012"/>
        <s v="130334-0-2013"/>
        <s v="130336-0-2013"/>
        <s v="130340-0-2013"/>
        <s v="130346-0-2013"/>
        <s v="130349-0-2013"/>
        <s v="130352-0-2013"/>
        <s v="130355-0-2013"/>
        <s v="130361-0-2013"/>
        <s v="130362-0-2013"/>
        <s v="130363-0-2013"/>
        <s v="130364-0-2013"/>
        <s v="130365-0-2013"/>
        <s v="130368-0-2013"/>
        <s v="130370-0-2013"/>
        <s v="130372-0-2013"/>
        <s v="130373-0-2013"/>
        <s v="130375-0-2013"/>
        <s v="130378-0-2013"/>
        <s v="130380-0-2013"/>
        <s v="130384-0-2013"/>
        <s v="130385-0-2013"/>
        <s v="130386-0-2013"/>
        <s v="140174-0-2014"/>
        <s v="140034-0-2014"/>
        <s v="140136-0-2014"/>
        <s v="140138-0-2014"/>
        <s v="140140-0-2014"/>
        <s v="140152-0-2014"/>
        <s v="140153-0-2014"/>
        <s v="140154-0-2014"/>
        <s v="140157-0-2014"/>
        <s v="140158-0-2014"/>
        <s v="140159-0-2014"/>
        <s v="140160-0-2014"/>
        <s v="140161-0-2014"/>
        <s v="140162-0-2014"/>
        <s v="140164-0-2014"/>
        <s v="140166-0-2014"/>
        <s v="140167-0-2014"/>
        <s v="140168-0-2014"/>
        <s v="140169-0-2014"/>
        <s v="140171-0-2014"/>
        <s v="140172-0-2014"/>
        <s v="140173-0-2014"/>
        <s v="140176-0-2014"/>
        <s v="140178-0-2014"/>
        <s v="140179-0-2014"/>
        <s v="140181-0-2014"/>
        <s v="140186-0-2014"/>
        <s v="140188-0-2014"/>
        <s v="140190-0-2014"/>
        <s v="140191-0-2014"/>
        <s v="140193-0-2014"/>
        <s v="140198-0-2014"/>
        <s v="140200-0-2014"/>
        <s v="140201-0-2014"/>
        <s v="140260-0-2014"/>
        <s v="140207-0-2014"/>
        <s v="140212-0-2014"/>
        <s v="140215-0-2014"/>
        <s v="140216-0-2014"/>
        <s v="140219-0-2014"/>
        <s v="140220-0-2014"/>
        <s v="140221-0-2014"/>
        <s v="140222-0-2014"/>
        <s v="140228-0-2014"/>
        <s v="140233-0-2014"/>
        <s v="140234-0-2014"/>
        <s v="140236-0-2014"/>
        <s v="140241-0-2014"/>
        <s v="140184-0-2014"/>
        <s v="140210-0-2014"/>
        <s v="140224-0-2014"/>
        <s v="140238-0-2014"/>
        <s v="140243-0-2014"/>
        <s v="140244-0-2014"/>
        <s v="140249-0-2014"/>
        <s v="140252-0-2014"/>
        <s v="140274-0-2014"/>
        <s v="140276-0-2014"/>
        <s v="140279-0-2014"/>
        <s v="140281-0-2014"/>
        <s v="140282-0-2014"/>
        <s v="140288-0-2014"/>
        <s v="140290-0-2014"/>
        <s v="140291-0-2014"/>
        <s v="140292-0-2014"/>
        <s v="140296-0-2014"/>
        <s v="140299-0-2014"/>
        <s v="140306-0-2014"/>
        <s v="140312-0-2014"/>
        <s v="140316-0-2014 "/>
        <s v="140317-0-2014"/>
        <s v="140319-0-2014"/>
        <s v="140322-0-2014"/>
        <s v="140330-0-2014"/>
        <m u="1"/>
        <s v="140169-0-2014 CESION" u="1"/>
        <s v="120000-466-12" u="1"/>
        <s v="140158-02014" u="1"/>
        <s v="120000-466-2012" u="1"/>
        <s v="050000-371-0-2012" u="1"/>
        <s v="140174-0-2013" u="1"/>
      </sharedItems>
    </cacheField>
    <cacheField name="Nombre" numFmtId="0">
      <sharedItems containsBlank="1" count="197">
        <s v="FONDO DE VIGILANCIA Y SEGURIDAD DE BOGOTÁ"/>
        <s v="COLOMBIANA DE SOFTWARE Y HARDWARE COLSOF S.A."/>
        <s v="COMPUFACIL"/>
        <s v="DATAPOINT DE COLOMBIA S A S"/>
        <s v="D&amp;D AIRE ACONDICIONADO LTDA."/>
        <s v="POLÍTICAS MEDIOS E INVESTIGACIONES"/>
        <s v="J.A. ZABALA &amp; CONSULTORES ASOCIADOS LTDA."/>
        <s v="COTECNA CERTIFICADORA SEVICES LIMITADA"/>
        <s v="CONSERAUTO"/>
        <s v="PC MICROS LTDA."/>
        <s v="ELECTRIMEK LTDA."/>
        <s v="KEY MARKEY S.A."/>
        <s v="PAPELERÍA  LOS  LAGOS  LTDA."/>
        <s v="CONTROL SISTEMAS DE COMUNICACIONES C.S.C. LTDA."/>
        <s v="FACTOR VISUAL EAT"/>
        <s v="LILIA FANNY GUEVARA PARRADO"/>
        <s v="EMPRESA DE TELECOMUNICACIONES DE BOGOTÁ S.A.-ETB-ESP"/>
        <s v="ACE SEGUROS S.A."/>
        <s v="MELCO DE COLOMBIA LIMITADA "/>
        <s v="ALPUNTO SOLUCIONES SAS 12000-463-0-2012"/>
        <s v="EDITORIAL EL GLOBO S.A"/>
        <s v="PRODYGRAF LTDA."/>
        <s v="INGENIERÍA DE BOMBAS Y PLANTAS LIMITADA"/>
        <s v="JAKO IMPORTACIONES S.A.S"/>
        <s v="POSITIVA COMPAÑÍA DE SEGUROS S A"/>
        <s v="UNIÓN TEMPORAL SEGUROS GENERALES SURAMERICANA S.A. PREVISORA S.A. COMPAÑÍA DE SEGUROS Y QBE SEGUROS S.A."/>
        <s v="COMUNICAN S.A"/>
        <s v="EDITORIAL LA UNIDAD"/>
        <s v="PUBLICACIONES SEMANA S.A."/>
        <s v="INTEGRA SECURITY SYSTEMS S A"/>
        <s v="YAMILE MARIVEL MOLANO GUZMÁN"/>
        <s v="AMANDA LILIANA RICO DÍAZ"/>
        <s v="CALIDAD COMPORTAMIENTO EMPRESARIAL LTDA"/>
        <s v="ORGANIZACIÓN TERPEL S.A."/>
        <s v="JUAN MANUEL GÓMEZ DUARTE"/>
        <s v="KARINA BELTRÁN MEJÍA"/>
        <s v="JORGE ENRIQUE AVILAN "/>
        <s v="CARLOS EDUARDO PINEDA AMÓRTEGUI"/>
        <s v="DAMTON ARTÍCULOS PUBLICITARIOS LTDA"/>
        <s v="CORPORACIÓN INSTITUTO COLOMBIANO DE CUALIFICACIÓN EMPRESARIAL -CICCE"/>
        <s v="CESAR ALEJANDRO GUERRERO BARRIGA"/>
        <s v="REVISTA EL CONGRESO SIGLO XXI LTDA"/>
        <s v="SOCIEDAD ENTORNO COMPAÑÍA LTDA"/>
        <s v="CANAL CAPITAL"/>
        <s v="SECURITY TECH  CONTROL LTDA"/>
        <s v="SEGUROS DEL ESTADO S.A"/>
        <s v="SOLUCIONES Y DIAGNÓSTICOS EN INGENIERÍA ELÉCTRICA LTDA"/>
        <s v="PORTES DE COLOMBIA LTDA"/>
        <s v="UNIÓN TEMPORAL EMINSER-SOLOASEO "/>
        <s v="NELSON EDUARDO MUÑOZ MORENO"/>
        <s v="SOLUTION COPY LTDA"/>
        <s v="UNIÓN TEMPORAL INTERPOSTAL URBANEX"/>
        <s v="CENTRO DE RECURSOS EDUCATIVOS PARA LA COMPETITIVIDAD EMPRESARIAL LTDA - CRECE"/>
        <s v="ECO COLSULTORES"/>
        <s v="UNIVERSIDAD LA GRAN COLOMBIA"/>
        <s v="INSTITUTO DISTRITAL DEL PATRIMONIO CULTURAL - IDCP"/>
        <s v="SGS COLOMBIA S.A."/>
        <s v="INCTEC INGENIEROS CIVILES ARQUITECTOS LTDA"/>
        <s v="GRUPO EDITORIAL EL PERIÓDICO S.A.S"/>
        <s v="COMPAÑÍA COLOMBIANA DE CONSTRUCCIÓN COD S.A. "/>
        <s v="MEDIDORES TÉCNICA EQUIPOS S.A. "/>
        <s v="INDUARCHIVOS LTDA"/>
        <s v="UNIÓN TEMPORAL VISE - VIGILANCIA ACOSTA - COSERVICREA - RUMBO"/>
        <s v="CAJA DE COMPENSACIÓN FAMILIAR COMPENSAR - BIENESTAR"/>
        <s v="MIGUEL ANDRÉS GUTIÉRREZ ROMERO"/>
        <s v="CR TROFEOS LTDA"/>
        <s v="JARDÍN BOTÁNICO"/>
        <s v="CAJA COLOMBIANA DE SUBSIDIO FAMILIAR - COLSUBSIDIO - BONOS"/>
        <s v="SERVIMEDIOS LTDA"/>
        <s v="SISTEMAS INTEGRALES DE TRATAMIENTOS DE AGUAS LTDA - ACUANATURA"/>
        <s v="DIRECTV COLOMBIA LTDA"/>
        <s v="INFOSOURCES LTDA"/>
        <s v="DB SYSTEM LTDA"/>
        <s v="HERNANDO  BULLA ORJUELA"/>
        <s v="PAPELERÍA  LOS  LAGOS  LTDA"/>
        <s v="CAJA DE COMPENSACIÓN FAMILIAR COMPENSAR"/>
        <s v="GAMMA INGENIEROS S A"/>
        <s v="CONTROLES EMPRESARIALES LTDA"/>
        <s v="NEWNET S.A"/>
        <s v="AMBICOL SERVICES S.A.S. "/>
        <s v="SYSTEM NET INGENIERÍA LTDA"/>
        <s v="MELCO DE COLOMBIA LIMITADA"/>
        <s v="CASA EDITORIAL EL TIEMPO SA"/>
        <s v="DPC LTDA PUBLICACIONES DESPACHOS PÚBLICOS DE COLOMBIA LTDA"/>
        <s v="EDGARDO ANDRÉS MALDONADO CORTES"/>
        <s v="ROSA ENRIQUELINA GÓMEZ CORREDOR"/>
        <s v="SEGURIDAD NUEVA ERA"/>
        <s v="MOTORES Y MAQUINAS MOTORYSA"/>
        <s v="LILIANA ALFONSO JAIMES"/>
        <s v="AGR SOLUCIONES S.A.S."/>
        <s v="BUSINESS TECHNOLOGIES COMPANY"/>
        <s v="CANAL REGIONAL DE TELEVISION TEVEANDINA LTDA - TEVEANDINA LTDA"/>
        <s v="MUDANZAS LEMUS"/>
        <s v="AUGUSTO MEDIVELSO OJEDA"/>
        <s v="KHAANKO NORBERTO RUIZ RODRÍGUEZ"/>
        <s v="EDELMIRA ATARA GIL"/>
        <s v="RICOH COLOMBIA S.A."/>
        <s v="INVERSIONES MATAY SAS"/>
        <s v="CARLOS ALFONSO RESTREPO"/>
        <s v="EDGAR EULICES GONZÁLEZ"/>
        <s v="INGTEL LTDA"/>
        <s v="DESCONT S.A."/>
        <s v="CONSORCIO CJ"/>
        <s v="SEGUROS GENERALES SURAMERICANA S.A"/>
        <s v="SODINLEC LTDA"/>
        <s v="WIESNER FABIÁN ROBAYO SALCEDO"/>
        <s v="KARENN ANDREA SUAREZ LINARES"/>
        <s v="ACABADOS ALTAPISOS INVERSIONES  S.A.S."/>
        <s v="INVERSIONES LIGOL - INVERLIGOL LTD A"/>
        <s v="CONTRONET LTDA"/>
        <s v="INGEAL S.A."/>
        <s v="CAJA DE COMPENSACIÓN FAMILIAR COMPENSAR SALONES"/>
        <s v="PROCOLDEXT LIMITADA"/>
        <s v="UNIVERSIDAD DISTRITAL FRANCISCO JOSÉ DE CALDAS"/>
        <s v="TECNOLOGÍA BIOMÉDICA"/>
        <s v="ITELCO IT S.A.S"/>
        <s v="CJS CANECAS Y CIA LTDA"/>
        <s v="COMERCIALIZADORA INTERNACIONAL MEDICA DENTAL S.A.S"/>
        <s v="SOLUCIONES INTEGRALES DE OFICINAS      SAS"/>
        <s v="3D CONSULTING GROUP LTDA"/>
        <s v="COMPENSAR BIENESTAR"/>
        <s v="UNIÓN TEMPORAL VIGILANCIA ACOSTA LTDA  - RUMBO ASOCIADOS"/>
        <s v="EMPRESA DE TELECOMUNICACIONES DE BOGOTA S.A.   ESP"/>
        <s v="SI CAPIT@L"/>
        <s v="NEX COMPUTER S.A.  - NEXCOM"/>
        <s v="RIELCO   LTDA"/>
        <s v="RIGOBERTO GÓMEZ JAIMES"/>
        <s v="PUBBLICA S.A.S."/>
        <s v="INSTITUCIONAL STAR SERVICES LTDA"/>
        <s v="CAJA COLOMBIANA SUBSIDIO FAMILIAR - COLSUBSIDIO"/>
        <s v="ANDREA SUSANA BELLO CANTOR"/>
        <s v="JORGE ORLANDO RUBIANO CARRANZA"/>
        <s v="UNIÓN TEMPORAL AVALÚOS PATRIMONIALES H-SD"/>
        <s v="FERNANDO SOTOMONTE AMAYA"/>
        <s v="JORGE ALBERTO GALVIS  ESTUPIÑAN"/>
        <s v="UNIPLES S.A."/>
        <s v="VICTOR MANUEL ARMELLA VELÁSQUEZ"/>
        <s v="DIANA PATRICIA JAIME - SERVIMATEC DNO"/>
        <s v="COMUNICACIONES E INFORMÁTICA  S.A..S"/>
        <s v="NORMA CONSTANZA MEZA GÓMEZ"/>
        <s v="LORENZA SANTOS BARBOSA (Cesionaria) - Antes VICTOR MANUEL ARMELLA VELASQUEZ"/>
        <s v="MITSUBISHIS ELECTRIC DE COLOMBIA LTDA"/>
        <s v="JORGE LUIS TRUJILLO VERA"/>
        <s v="MATILDE NIETO CONTRERAS (Cesionaria) / antes ELIS ALEXANDER MORENO SALAMANCA"/>
        <s v="SONA GREEN TECHNOLOGIES SAS"/>
        <s v="K 10 DESIGN   S.A.S"/>
        <s v="MODULARES OFIMA LTDA"/>
        <s v="SECURITYCOM S.A.S"/>
        <s v="KONNEN SERVICES    S.A.S"/>
        <s v="GRANADOS Y CONDECORACIONES"/>
        <s v="A&amp;V EXPRESS S.A."/>
        <s v="UNIDAD NACIONAL DE PROTECCIÓN  UNP"/>
        <s v="IDENTICO SAS"/>
        <s v="MUDANZAS EL NOGAL SAS"/>
        <s v="UNIDAD NACIONAL DE PROTECCIÓN"/>
        <s v="MARKETGROUP SAS"/>
        <s v="JOSÉ SADY SUAVITA ROJAS"/>
        <s v="T Y G MINOLTA"/>
        <s v="ELKIN MAURICIO DIMAS MONTAYA"/>
        <s v="DIVIEXPORT EU"/>
        <s v="SEGUROS GENERALES SURAMERICANA"/>
        <s v="H &amp; D OFIMAGEN"/>
        <s v="SISTEMA Y SEGURIDAD INDUSTRIAL COLOMBIANA E.U."/>
        <s v="COMPENSAR SALONES"/>
        <s v="INDUSTRIAS QUÍMICAS FIQ LTDA"/>
        <s v="LINALCA INFORMATICA"/>
        <s v="SUPERIOR DE DOTACIONES SAS"/>
        <s v="CENTRO DE DIAGNOSTICO Y TRATAMIENTO CENDIATRA LTDA"/>
        <s v="NAYIVE CARRASCO PATIÑO"/>
        <s v="JUAN SEBASTIÁN RAMÍREZ"/>
        <s v="LIZETH  GONZÁLEZ VARGAS"/>
        <s v="I3NET  S.A.S"/>
        <s v="CRISTIAN DAVID PARDO MARTINEZ"/>
        <s v="SOLUCIONES EN INGENIERIA Y SOFTWARE SAS"/>
        <s v="SUMIMAS SAS"/>
        <m u="1"/>
        <s v="ELIS ALEXANDER MORENO SALAMANCA /" u="1"/>
        <s v="MATILDE NIETO CONTRERAS" u="1"/>
        <s v="INSTITUTO DISTRITAL DE PATRIMONIO CULTURAL" u="1"/>
        <s v="INGEAL  S. A." u="1"/>
        <s v="ELIS ALEXANDER MORENO SALAMANCA" u="1"/>
        <s v="RIGOBERTO GÓMEZ JAIME" u="1"/>
        <s v="NAYIBE CARRASCO PATIÑO" u="1"/>
        <s v="WIIESNER FABIÁN ROBAYO SALCEDO" u="1"/>
        <s v="SISTEMAS Y SEGURIDAD INDUSTRIAL COLOMBIANA E U" u="1"/>
        <s v="MUDANZAS DEL NOGAL SAS" u="1"/>
        <s v="EDITORIAL LA UNIDAD S.A" u="1"/>
        <s v="CAJA COLOMBINA SUBSIDIO FAMILIAR - COLSUBSIDIO" u="1"/>
        <s v="COMUNICAN SA" u="1"/>
        <s v="TERPEL" u="1"/>
        <s v="D.P.C LTDA PUBLICACIONES DESPACHOS PÚBLICOS DE COLOMBIA LTDA" u="1"/>
        <s v="INGENIERIA DE BOMBAS Y PLANTAS" u="1"/>
        <s v="LILIA FANNY GUEVARA" u="1"/>
        <s v="CANAL 13" u="1"/>
        <s v="SGS COLOMBIA" u="1"/>
        <s v="GAMMA  INGENIEROS" u="1"/>
        <s v="UNIÓN TEMPORAL EMINSER SOLOASEO" u="1"/>
      </sharedItems>
    </cacheField>
    <cacheField name="NIT o ID" numFmtId="0">
      <sharedItems containsString="0" containsBlank="1" containsNumber="1" containsInteger="1" minValue="4831" maxValue="1073156298"/>
    </cacheField>
    <cacheField name="Objeto del contrato" numFmtId="0">
      <sharedItems longText="1"/>
    </cacheField>
    <cacheField name="Valor Inicial ($)" numFmtId="171">
      <sharedItems containsSemiMixedTypes="0" containsString="0" containsNumber="1" containsInteger="1" minValue="0" maxValue="7329236109"/>
    </cacheField>
    <cacheField name="Proceso_SECOP" numFmtId="0">
      <sharedItems containsMixedTypes="1" containsNumber="1" containsInteger="1" minValue="130209" maxValue="140034"/>
    </cacheField>
    <cacheField name="Año Suscripción" numFmtId="0">
      <sharedItems containsSemiMixedTypes="0" containsString="0" containsNumber="1" containsInteger="1" minValue="2008" maxValue="2014"/>
    </cacheField>
    <cacheField name="Fecha de Suscripción" numFmtId="15">
      <sharedItems containsDate="1" containsMixedTypes="1" minDate="2008-12-26T00:00:00" maxDate="2014-01-25T00:00:00"/>
    </cacheField>
    <cacheField name="Fecha de inicio" numFmtId="0">
      <sharedItems containsNonDate="0" containsDate="1" containsString="0" containsBlank="1" minDate="2008-10-03T00:00:00" maxDate="2014-10-29T00:00:00"/>
    </cacheField>
    <cacheField name="Fecha de terminación" numFmtId="0">
      <sharedItems containsNonDate="0" containsDate="1" containsString="0" containsBlank="1" minDate="2012-01-14T00:00:00" maxDate="2016-02-26T00:00:00"/>
    </cacheField>
    <cacheField name="Número de adiciones realizadas" numFmtId="1">
      <sharedItems containsSemiMixedTypes="0" containsString="0" containsNumber="1" containsInteger="1" minValue="0" maxValue="4"/>
    </cacheField>
    <cacheField name="Valor total de adiciones ($)" numFmtId="171">
      <sharedItems containsSemiMixedTypes="0" containsString="0" containsNumber="1" containsInteger="1" minValue="0" maxValue="1210934978"/>
    </cacheField>
    <cacheField name="Número de prorrogas realizadas" numFmtId="1">
      <sharedItems containsSemiMixedTypes="0" containsString="0" containsNumber="1" containsInteger="1" minValue="0" maxValue="4"/>
    </cacheField>
    <cacheField name="Tiempo total Prórroga o suspensión" numFmtId="0">
      <sharedItems/>
    </cacheField>
    <cacheField name="Fecha terminación última prórroga" numFmtId="169">
      <sharedItems containsDate="1" containsMixedTypes="1" minDate="2012-10-31T00:00:00" maxDate="2020-03-01T00:00:00"/>
    </cacheField>
    <cacheField name="Fecha de terminación final" numFmtId="169">
      <sharedItems containsSemiMixedTypes="0" containsNonDate="0" containsDate="1" containsString="0" minDate="2012-01-14T00:00:00" maxDate="2020-03-01T00:00:00"/>
    </cacheField>
    <cacheField name="Valor Total ($)" numFmtId="171">
      <sharedItems containsSemiMixedTypes="0" containsString="0" containsNumber="1" containsInteger="1" minValue="0" maxValue="7329236109"/>
    </cacheField>
    <cacheField name="Giros ($)" numFmtId="171">
      <sharedItems containsSemiMixedTypes="0" containsString="0" containsNumber="1" minValue="0" maxValue="6218260556"/>
    </cacheField>
    <cacheField name="Saldos ($)" numFmtId="171">
      <sharedItems containsSemiMixedTypes="0" containsString="0" containsNumber="1" minValue="0" maxValue="3220371734"/>
    </cacheField>
    <cacheField name="Forma de pago" numFmtId="0">
      <sharedItems containsBlank="1" longText="1"/>
    </cacheField>
    <cacheField name="% Ejecución recursos" numFmtId="172">
      <sharedItems containsMixedTypes="1" containsNumber="1" minValue="0" maxValue="1.1185458055128552" count="332">
        <n v="0.84841864329684125"/>
        <n v="0.98908542426434254"/>
        <n v="4.6051299379407939E-3"/>
        <n v="1"/>
        <n v="0.92913298619329387"/>
        <n v="8.5094116180503609E-2"/>
        <n v="0"/>
        <n v="0.99785305231388333"/>
        <n v="0.80386964675098127"/>
        <n v="0.99997955256194371"/>
        <n v="0.81768245094746728"/>
        <n v="0.79574612658130883"/>
        <n v="0.8903394174757282"/>
        <n v="0.95016016280880577"/>
        <n v="0.94671447735483449"/>
        <n v="0.99047620000000003"/>
        <n v="0.99832980000000004"/>
        <n v="0.95022288261515597"/>
        <n v="0.9999998332977702"/>
        <n v="0.87755319148936173"/>
        <n v="0.82673170731707313"/>
        <n v="0.99714146602836184"/>
        <n v="0.50743124634289061"/>
        <n v="0.89976841008562702"/>
        <n v="0.73647896728243933"/>
        <n v="0.99999830138315948"/>
        <n v="0.95166337492517417"/>
        <n v="0.53742565080526572"/>
        <n v="0.99857142857142855"/>
        <n v="0.82905844069621071"/>
        <n v="0.93101375598086122"/>
        <n v="0.91500886247523716"/>
        <n v="0.99999515837307507"/>
        <n v="0.90099290163696943"/>
        <n v="0.82220984856913393"/>
        <n v="0.99981782520075513"/>
        <n v="0.89656896040120193"/>
        <n v="0.971116850472869"/>
        <n v="0.83947368421052626"/>
        <n v="0.99999985000000002"/>
        <n v="0.9990517870167761"/>
        <n v="0.99999883753877283"/>
        <n v="0.99541854221486104"/>
        <n v="0.9756046734955186"/>
        <n v="0.55000000000000004"/>
        <n v="0.83105722827247486"/>
        <n v="0.99133303140096618"/>
        <n v="0.99999999935584927"/>
        <n v="0.357908"/>
        <n v="0.99999994429721428"/>
        <n v="0.41667500000000002"/>
        <n v="0.85059696291835152"/>
        <n v="0.98649968699677015"/>
        <n v="0.99976348590110342"/>
        <n v="0.98434615815992088"/>
        <n v="0.99863099197808647"/>
        <n v="0.97855819103293284"/>
        <n v="0.58682667443639147"/>
        <n v="0.99989882558324072"/>
        <n v="0.7390409857684449"/>
        <n v="0.55610795454545459"/>
        <n v="0.99992803695097709"/>
        <n v="0.91091309628008754"/>
        <n v="0.99993387762383112"/>
        <n v="0.97881928811910646"/>
        <e v="#DIV/0!"/>
        <n v="0.17434304338314827"/>
        <n v="0.99999961863725684"/>
        <n v="0.75490532036267322"/>
        <n v="0.99999999558473551"/>
        <n v="0.936670452631579"/>
        <n v="0.99512444285714285"/>
        <n v="0.47305419111111113"/>
        <n v="0.21851851851851853"/>
        <n v="0.92243747174349189"/>
        <n v="0.94433699999999998"/>
        <n v="0.98787878181818178"/>
        <n v="0.99393938181818187"/>
        <n v="0.95213947447900937"/>
        <n v="0.62424242424242427"/>
        <n v="0.63666666019417473"/>
        <n v="0.88888888349514561"/>
        <n v="0.99969112863322274"/>
        <n v="0.24295145454545455"/>
        <n v="0.56844640706543559"/>
        <n v="0.39207999999999998"/>
        <n v="0.9472556537894804"/>
        <n v="0.99999588236989612"/>
        <n v="0.99888544635469334"/>
        <n v="0.99876396723016514"/>
        <n v="0.99999799962332903"/>
        <n v="0.9"/>
        <n v="0.99999999407384577"/>
        <n v="0.95865674385579414"/>
        <n v="0.71573656802383312"/>
        <n v="0.90614027511196416"/>
        <n v="0.93935660832064938"/>
        <n v="0.38660102739726027"/>
        <n v="0.95183235516849674"/>
        <n v="0.99313612952168406"/>
        <n v="0.54425701160541584"/>
        <n v="0.99994394683026588"/>
        <n v="0.70575221238938057"/>
        <n v="0.90000004218817531"/>
        <n v="0.6299402628434887"/>
        <n v="0.97833046662565259"/>
        <n v="0.99999998675847457"/>
        <n v="0.80303029090909095" u="1"/>
        <n v="0.45454545454545453" u="1"/>
        <n v="0.43333332000000002" u="1"/>
        <n v="0.80606060000000002" u="1"/>
        <n v="0.70958128666666676" u="1"/>
        <n v="0.56706303906646371" u="1"/>
        <n v="0.37892250126839166" u="1"/>
        <n v="0.18333331999999999" u="1"/>
        <n v="0.79724426270475823" u="1"/>
        <n v="0.85842887281584179" u="1"/>
        <n v="0.46859984999999998" u="1"/>
        <n v="0.42633480529907669" u="1"/>
        <n v="0.73021840899012869" u="1"/>
        <n v="0.48666668571428573" u="1"/>
        <n v="0.83513256014374604" u="1"/>
        <n v="1.1185458055128552" u="1"/>
        <n v="0.65109302325581397" u="1"/>
        <n v="0.87" u="1"/>
        <n v="0.7948757392679654" u="1"/>
        <n v="0.60173149187968722" u="1"/>
        <n v="0.49333334112149535" u="1"/>
        <n v="0.75021784031754579" u="1"/>
        <n v="0.91666666666666663" u="1"/>
        <n v="0.1720890410958904" u="1"/>
        <n v="0.89101481824713058" u="1"/>
        <n v="0.68333332000000002" u="1"/>
        <n v="0.3" u="1"/>
        <n v="0.33888888708245951" u="1"/>
        <n v="0.65454545454545454" u="1"/>
        <n v="0.41493055555555558" u="1"/>
        <n v="0.54728980337636546" u="1"/>
        <n v="8.6666685714285721E-2" u="1"/>
        <n v="0.68666668571428569" u="1"/>
        <n v="4.7745226860162027E-2" u="1"/>
        <n v="0.70437533339248981" u="1"/>
        <n v="0.90000013905903065" u="1"/>
        <n v="0.69333334112149536" u="1"/>
        <n v="0.76479055789473682" u="1"/>
        <n v="0.73675582466880207" u="1"/>
        <n v="0.21506062883435584" u="1"/>
        <n v="0.71321174180734859" u="1"/>
        <n v="0.87444666412988326" u="1"/>
        <n v="0.16969696103896104" u="1"/>
        <n v="0.62424240859297142" u="1"/>
        <n v="0.93101395534290277" u="1"/>
        <n v="0.32220719561153505" u="1"/>
        <n v="0.71656050955414008" u="1"/>
        <n v="0.9690214648468497" u="1"/>
        <n v="0.66022403333333335" u="1"/>
        <n v="0.89550174531263915" u="1"/>
        <n v="0.80606063858331101" u="1"/>
        <n v="0.14101291468186627" u="1"/>
        <n v="0.75498071734645289" u="1"/>
        <n v="0.33366477272727274" u="1"/>
        <n v="0.51201403794557299" u="1"/>
        <n v="0.41642197852760737" u="1"/>
        <n v="0.4375" u="1"/>
        <n v="0.87696868897523406" u="1"/>
        <n v="0.41770386711191837" u="1"/>
        <n v="0.84968271435450204" u="1"/>
        <n v="0.12795905310300704" u="1"/>
        <n v="0.72352441052631578" u="1"/>
        <n v="0.577995975" u="1"/>
        <n v="0.89696968831168833" u="1"/>
        <n v="0.77064705536129152" u="1"/>
        <n v="0.98359138006275992" u="1"/>
        <n v="0.80078006088280063" u="1"/>
        <n v="0.89848744103291467" u="1"/>
        <n v="0.57583141045001507" u="1"/>
        <n v="0.25552152500000003" u="1"/>
        <n v="0.95999998058252423" u="1"/>
        <n v="0.69999999189894291" u="1"/>
        <n v="0.51570110350076104" u="1"/>
        <n v="0.24545454545454545" u="1"/>
        <n v="0.77" u="1"/>
        <n v="0.66666666019417475" u="1"/>
        <n v="0.53333332727272731" u="1"/>
        <n v="0.06" u="1"/>
        <n v="0.70720623333333332" u="1"/>
        <n v="6.4306449282046638E-2" u="1"/>
        <n v="0.44505792433537833" u="1"/>
        <n v="0.25880250383419323" u="1"/>
        <n v="0.87687786167321047" u="1"/>
        <n v="0.75738859936403258" u="1"/>
        <n v="0.89393938181818178" u="1"/>
        <n v="0.79945694815906443" u="1"/>
        <n v="0.89696969090909096" u="1"/>
        <n v="0.42530818483841737" u="1"/>
        <n v="0.78821656050955413" u="1"/>
        <n v="0.71456725702124679" u="1"/>
        <n v="0.85987261146496818" u="1"/>
        <n v="0.6349216477177283" u="1"/>
        <n v="0.6830687457573501" u="1"/>
        <n v="0.35151514545454543" u="1"/>
        <n v="0.907577705215312" u="1"/>
        <n v="0.14908071428571429" u="1"/>
        <n v="0.57237728549103051" u="1"/>
        <n v="0.26666669999999998" u="1"/>
        <n v="5.7648617947747068E-2" u="1"/>
        <n v="0.63313986891757701" u="1"/>
        <n v="0.90754005655042413" u="1"/>
        <n v="0.71250000000000002" u="1"/>
        <n v="0.28086472602739726" u="1"/>
        <n v="0.59333334112149527" u="1"/>
        <n v="0.91242038216560506" u="1"/>
        <n v="0.75155279200899894" u="1"/>
        <n v="4.7540359742258884E-2" u="1"/>
        <n v="0.65" u="1"/>
        <n v="7.6224611708482673E-2" u="1"/>
        <n v="0.56519072330065989" u="1"/>
        <n v="0.71515149950206236" u="1"/>
        <n v="1.0000000448577517" u="1"/>
        <n v="0.58750000000000002" u="1"/>
        <n v="0.50678612509518883" u="1"/>
        <n v="0.85999998058252425" u="1"/>
        <n v="0.67666666019417476" u="1"/>
        <n v="0.89945798619376338" u="1"/>
        <n v="0.99991987829064111" u="1"/>
        <n v="0.42300493484093521" u="1"/>
        <n v="9.4042857142857136E-2" u="1"/>
        <n v="0.8" u="1"/>
        <n v="0.83888888708245946" u="1"/>
        <n v="0.75012988871104291" u="1"/>
        <n v="0.39134258833624469" u="1"/>
        <n v="0.33333331999999999" u="1"/>
        <n v="0.98787877922077927" u="1"/>
        <n v="8.1818181818181818E-2" u="1"/>
        <n v="0.16196763636363637" u="1"/>
        <n v="0.83737142105263163" u="1"/>
        <n v="0.13333332000000001" u="1"/>
        <n v="0.84534898428516669" u="1"/>
        <n v="0.81818181818181823" u="1"/>
        <n v="0.21032582756055276" u="1"/>
        <n v="5.1342462626104129E-3" u="1"/>
        <n v="0.82212835264243767" u="1"/>
        <n v="0.99999999865068345" u="1"/>
        <n v="0.33526881331725372" u="1"/>
        <n v="0.63779541016380659" u="1"/>
        <n v="0.62424241818181814" u="1"/>
        <n v="0.50056979764421627" u="1"/>
        <n v="0.18860602044680044" u="1"/>
        <n v="5.9737156511350059E-2" u="1"/>
        <n v="0.3132039539581763" u="1"/>
        <n v="0.67" u="1"/>
        <n v="0.67222222041579283" u="1"/>
        <n v="0.93608998530069665" u="1"/>
        <n v="0.74826388888888884" u="1"/>
        <n v="0.82304060453930405" u="1"/>
        <n v="0.7838475431260955" u="1"/>
        <n v="0.72809963216641294" u="1"/>
        <n v="0.80161624886741167" u="1"/>
        <n v="0.89696972949240183" u="1"/>
        <n v="0.69836466385694806" u="1"/>
        <n v="0.362231525" u="1"/>
        <n v="0.94848195037073479" u="1"/>
        <n v="0.99847205670144334" u="1"/>
        <n v="0.76666670000000003" u="1"/>
        <n v="9.9971886503067486E-2" u="1"/>
        <n v="0.83877900072609657" u="1"/>
        <n v="0.82453217690677971" u="1"/>
        <n v="8.0983818181818185E-2" u="1"/>
        <n v="0.5055555537491262" u="1"/>
        <n v="0.8060605904111533" u="1"/>
        <n v="0.66969696969696968" u="1"/>
        <n v="0.69145662500000005" u="1"/>
        <n v="0.76193830550980846" u="1"/>
        <n v="0.50654299999999997" u="1"/>
        <n v="0.62424240798107178" u="1"/>
        <n v="1.0010137395928542" u="1"/>
        <n v="0.51666670000000003" u="1"/>
        <n v="0.64755543333333332" u="1"/>
        <n v="0.56999999999999995" u="1"/>
        <n v="0.24778395315967727" u="1"/>
        <n v="0.71515150649350645" u="1"/>
        <n v="0.63608797067644118" u="1"/>
        <n v="0.69032616960060689" u="1"/>
        <n v="0.88666668571428575" u="1"/>
        <n v="0.20429192034500254" u="1"/>
        <n v="0.28422320353271779" u="1"/>
        <n v="0.89333334112149532" u="1"/>
        <n v="0.62333332038834954" u="1"/>
        <n v="0.71515150909090908" u="1"/>
        <n v="0.61325515546904696" u="1"/>
        <n v="0.48060450844091362" u="1"/>
        <n v="0.48609858723299931" u="1"/>
        <n v="0.79647099407180533" u="1"/>
        <n v="0.85918244707807945" u="1"/>
        <n v="0.64470605022831051" u="1"/>
        <n v="0.98434986954123538" u="1"/>
        <n v="0.53333333333333333" u="1"/>
        <n v="0.94712304183200047" u="1"/>
        <n v="0.73636363636363633" u="1"/>
        <n v="0.72635463606161277" u="1"/>
        <n v="0.33643966547192355" u="1"/>
        <n v="0.326333183714002" u="1"/>
        <n v="0.44242423636363637" u="1"/>
        <n v="0.60135952290798944" u="1"/>
        <n v="0.94369473968464102" u="1"/>
        <n v="0.48694298537562691" u="1"/>
        <n v="0.46663874421823215" u="1"/>
        <n v="0.62550173333333337" u="1"/>
        <n v="0.95720091099897286" u="1"/>
        <n v="0.97392126093441966" u="1"/>
        <n v="0.71330836208408555" u="1"/>
        <n v="0.71515149889016272" u="1"/>
        <n v="0.16778017819945656" u="1"/>
        <n v="0.91226607521186442" u="1"/>
        <n v="0.79333334112149534" u="1"/>
        <n v="0.79999998381877024" u="1"/>
        <n v="0.30220224505327248" u="1"/>
        <n v="0.65900928425357874" u="1"/>
        <n v="0.59366359208415809" u="1"/>
        <n v="0.30930745929572134" u="1"/>
        <n v="0.53333332" u="1"/>
        <n v="0.72411247195428263" u="1"/>
        <n v="0.28666668571428572" u="1"/>
        <n v="0.7003083637517854" u="1"/>
        <n v="0.5748600105035887" u="1"/>
        <n v="0.8823160344755977" u="1"/>
        <n v="0.59968624027932071" u="1"/>
        <n v="0.64016986994682556" u="1"/>
        <n v="9.0203106332138586E-2" u="1"/>
        <n v="0.66758688650306752" u="1"/>
        <n v="0.89696968132024413" u="1"/>
        <n v="0.33438547546012271" u="1"/>
      </sharedItems>
    </cacheField>
    <cacheField name="% Ejecución física" numFmtId="172">
      <sharedItems containsSemiMixedTypes="0" containsString="0" containsNumber="1" minValue="1.3698630136986301E-2" maxValue="1" count="4547">
        <n v="1"/>
        <n v="0.99437229437229435"/>
        <n v="0.80821917808219179" u="1"/>
        <n v="0.70240700218818386" u="1"/>
        <n v="0.77868852459016391" u="1"/>
        <n v="0.34227820372398687" u="1"/>
        <n v="0.984375" u="1"/>
        <n v="0.84499314128943759" u="1"/>
        <n v="0.96381578947368418" u="1"/>
        <n v="0.79183266932270913" u="1"/>
        <n v="0.9098360655737705" u="1"/>
        <n v="0.84639498432601878" u="1"/>
        <n v="0.41917808219178082" u="1"/>
        <n v="0.68927789934354489" u="1"/>
        <n v="0.37953795379537952" u="1"/>
        <n v="0.96713147410358569" u="1"/>
        <n v="0.52602739726027392" u="1"/>
        <n v="0.74178403755868549" u="1"/>
        <n v="0.91526263627353821" u="1"/>
        <n v="0.90136986301369859" u="1"/>
        <n v="0.50993377483443714" u="1"/>
        <n v="0.85148514851485146" u="1"/>
        <n v="0.85439560439560436" u="1"/>
        <n v="0.70819672131147537" u="1"/>
        <n v="0.76215277777777779" u="1"/>
        <n v="0.3936899862825789" u="1"/>
        <n v="0.62277091906721538" u="1"/>
        <n v="0.78600823045267487" u="1"/>
        <n v="0.81188118811881194" u="1"/>
        <n v="0.95370370370370372" u="1"/>
        <n v="0.60264900662251653" u="1"/>
        <n v="0.38622754491017963" u="1"/>
        <n v="0.88725490196078427" u="1"/>
        <n v="0.83934426229508197" u="1"/>
        <n v="0.46575342465753422" u="1"/>
        <n v="0.7722772277227723" u="1"/>
        <n v="0.11232876712328767" u="1"/>
        <n v="0.78819444444444442" u="1"/>
        <n v="0.61917808219178083" u="1"/>
        <n v="0.75435729847494548" u="1"/>
        <n v="0.69536423841059603" u="1"/>
        <n v="0.57986870897155363" u="1"/>
        <n v="0.87912087912087911" u="1"/>
        <n v="0.30660377358490565" u="1"/>
        <n v="0.61555312157721798" u="1"/>
        <n v="0.46002190580503832" u="1"/>
        <n v="0.57330415754923414" u="1"/>
        <n v="0.78807947019867552" u="1"/>
        <n v="0.53795379537953791" u="1"/>
        <n v="0.72169811320754718" u="1"/>
        <n v="0.56673960612691465" u="1"/>
        <n v="0.80876494023904377" u="1"/>
        <n v="0.82065217391304346" u="1"/>
        <n v="0.61032863849765262" u="1"/>
        <n v="0.76885245901639343" u="1"/>
        <n v="0.88079470198675491" u="1"/>
        <n v="0.71232876712328763" u="1"/>
        <n v="0.98406374501992033" u="1"/>
        <n v="0.60245901639344257" u="1"/>
        <n v="0.90384615384615385" u="1"/>
        <n v="0.16986301369863013" u="1"/>
        <n v="0.9429429429429429" u="1"/>
        <n v="0.55361050328227568" u="1"/>
        <n v="0.97350993377483441" u="1"/>
        <n v="0.64876033057851235" u="1"/>
        <n v="0.54704595185995619" u="1"/>
        <n v="0.68181818181818177" u="1"/>
        <n v="0.71487603305785119" u="1"/>
        <n v="0.63033953997809422" u="1"/>
        <n v="0.39285714285714285" u="1"/>
        <n v="0.36966046002190578" u="1"/>
        <n v="0.7931034482758621" u="1"/>
        <n v="0.79084967320261434" u="1"/>
        <n v="0.9866071428571429" u="1"/>
        <n v="0.31412894375857336" u="1"/>
        <n v="0.92792792792792789" u="1"/>
        <n v="0.62688614540466392" u="1"/>
        <n v="0.64549180327868849" u="1"/>
        <n v="0.70152505446623092" u="1"/>
        <n v="0.50109529025191679" u="1"/>
        <n v="0.56862745098039214" u="1"/>
        <n v="0.77959927140255014" u="1"/>
        <n v="0.79395604395604391" u="1"/>
        <n v="0.80279503105590067" u="1"/>
        <n v="0.21643835616438356" u="1"/>
        <n v="0.38429752066115702" u="1"/>
        <n v="5.2054794520547946E-2" u="1"/>
        <n v="0.30503833515881706" u="1"/>
        <n v="0.27671232876712326" u="1"/>
        <n v="0.75901639344262295" u="1"/>
        <n v="0.4585635359116022" u="1"/>
        <n v="0.27929901423877329" u="1"/>
        <n v="0.91220850480109739" u="1"/>
        <n v="0.84306569343065696" u="1"/>
        <n v="0.92031872509960155" u="1"/>
        <n v="0.46311475409836067" u="1"/>
        <n v="0.960239651416122" u="1"/>
        <n v="0.87209302325581395" u="1"/>
        <n v="0.48184818481848185" u="1"/>
        <n v="0.81868131868131866" u="1"/>
        <n v="0.58940397350993379" u="1"/>
        <n v="0.55737704918032782" u="1"/>
        <n v="0.46166484118291345" u="1"/>
        <n v="0.82734204793028321" u="1"/>
        <n v="0.46204620462046203" u="1"/>
        <n v="0.56736035049288058" u="1"/>
        <n v="0.34567901234567899" u="1"/>
        <n v="0.43592552026286968" u="1"/>
        <n v="0.68852459016393441" u="1"/>
        <n v="0.96875" u="1"/>
        <n v="0.68211920529801329" u="1"/>
        <n v="0.83832335329341312" u="1"/>
        <n v="7.6712328767123292E-2" u="1"/>
        <n v="0.68998628257887518" u="1"/>
        <n v="0.44224422442244227" u="1"/>
        <n v="0.85322359396433467" u="1"/>
        <n v="0.92763157894736847" u="1"/>
        <n v="0.77483443708609268" u="1"/>
        <n v="0.94986072423398327" u="1"/>
        <n v="0.84340659340659341" u="1"/>
        <n v="0.69278996865203757" u="1"/>
        <n v="0.72048611111111116" u="1"/>
        <n v="0.97689768976897695" u="1"/>
        <n v="0.18346111719605696" u="1"/>
        <n v="0.945986124876115" u="1"/>
        <n v="0.98463825569871155" u="1"/>
        <n v="0.81736526946107779" u="1"/>
        <n v="0.99423558897243103" u="1"/>
        <n v="0.86754966887417218" u="1"/>
        <n v="0.50828729281767959" u="1"/>
        <n v="0.74652777777777779" u="1"/>
        <n v="0.9888392857142857" u="1"/>
        <n v="0.96026490066225167" u="1"/>
        <n v="0.84161490683229812" u="1"/>
        <n v="0.49456521739130432" u="1"/>
        <n v="0.330188679245283" u="1"/>
        <n v="0.56747404844290661" u="1"/>
        <n v="0.9069069069069069" u="1"/>
        <n v="0.93028322440087141" u="1"/>
        <n v="0.16037735849056603" u="1"/>
        <n v="0.34517766497461927" u="1"/>
        <n v="0.1511500547645126" u="1"/>
        <n v="0.79738562091503273" u="1"/>
        <n v="0.375" u="1"/>
        <n v="0.85657370517928288" u="1"/>
        <n v="0.62376237623762376" u="1"/>
        <n v="0.92913776015857286" u="1"/>
        <n v="0.67441860465116277" u="1"/>
        <n v="0.5558598028477546" u="1"/>
        <n v="0.85849056603773588" u="1"/>
        <n v="0.6116751269035533" u="1"/>
        <n v="0.550761421319797" u="1"/>
        <n v="0.73351648351648346" u="1"/>
        <n v="0.3066812705366922" u="1"/>
        <n v="0.7080610021786492" u="1"/>
        <n v="0.46446700507614214" u="1"/>
        <n v="0.94852941176470584" u="1"/>
        <n v="0.22946330777656079" u="1"/>
        <n v="0.73096446700507611" u="1"/>
        <n v="0.57516339869281041" u="1"/>
        <n v="0.6091370558375635" u="1"/>
        <n v="0.53086419753086422" u="1"/>
        <n v="0.42935528120713307" u="1"/>
        <n v="0.69410150891632372" u="1"/>
        <n v="0.78934010152284262" u="1"/>
        <n v="0.75824175824175821" u="1"/>
        <n v="0.46330777656078859" u="1"/>
        <n v="0.95526315789473681" u="1"/>
        <n v="0.9709821428571429" u="1"/>
        <n v="0.57064622124863085" u="1"/>
        <n v="0.96954314720812185" u="1"/>
        <n v="0.96677559912854028" u="1"/>
        <n v="0.90862944162436543" u="1"/>
        <n v="0.71074380165289253" u="1"/>
        <n v="0.88043478260869568" u="1"/>
        <n v="0.83387799564270149" u="1"/>
        <n v="0.74380165289256195" u="1"/>
        <n v="0.78296703296703296" u="1"/>
        <n v="0.77685950413223137" u="1"/>
        <n v="0.23113207547169812" u="1"/>
        <n v="0.22651933701657459" u="1"/>
        <n v="0.64130434782608692" u="1"/>
        <n v="0.28688524590163933" u="1"/>
        <n v="0.53301886792452835" u="1"/>
        <n v="0.79282868525896411" u="1"/>
        <n v="0.9910714285714286" u="1"/>
        <n v="0.67810457516339873" u="1"/>
        <n v="0.64651162790697669" u="1"/>
        <n v="0.98604651162790702" u="1"/>
        <n v="0.46090534979423869" u="1"/>
        <n v="0.75720164609053497" u="1"/>
        <n v="0.35245901639344263" u="1"/>
        <n v="0.92043895747599447" u="1"/>
        <n v="0.62264150943396224" u="1"/>
        <n v="0.71052631578947367" u="1"/>
        <n v="0.85430463576158944" u="1"/>
        <n v="0.41803278688524592" u="1"/>
        <n v="0.41616766467065869" u="1"/>
        <n v="0.94701986754966883" u="1"/>
        <n v="0.97368421052631582" u="1"/>
        <n v="0.953125" u="1"/>
        <n v="0.9368191721132898" u="1"/>
        <n v="0.55914567360350498" u="1"/>
        <n v="0.34979423868312759" u="1"/>
        <n v="0.50766703176341732" u="1"/>
        <n v="0.86257763975155277" u="1"/>
        <n v="0.67307692307692313" u="1"/>
        <n v="0.97916666666666663" u="1"/>
        <n v="0.30832420591456738" u="1"/>
        <n v="0.4290657439446367" u="1"/>
        <n v="0.6404494382022472" u="1"/>
        <n v="0.57785467128027679" u="1"/>
        <n v="0.92479108635097496" u="1"/>
        <n v="0.28258488499452356" u="1"/>
        <n v="0.21741511500547644" u="1"/>
        <n v="0.78104575163398693" u="1"/>
        <n v="0.61325966850828728" u="1"/>
        <n v="0.39520958083832336" u="1"/>
        <n v="0.80976095617529875" u="1"/>
        <n v="0.98353909465020573" u="1"/>
        <n v="0.5816993464052288" u="1"/>
        <n v="0.57393209200438111" u="1"/>
        <n v="0.43921139101861995" u="1"/>
        <n v="0.78877887788778878" u="1"/>
        <n v="0.82695810564663019" u="1"/>
        <n v="0.76175548589341691" u="1"/>
        <n v="0.95813953488372094" u="1"/>
        <n v="0.74917491749174914" u="1"/>
        <n v="0.90566037735849059" u="1"/>
        <n v="0.95810564663023678" u="1"/>
        <n v="0.85585585585585588" u="1"/>
        <n v="0.38134430727023322" u="1"/>
        <n v="0.67741935483870963" u="1"/>
        <n v="0.72252747252747251" u="1"/>
        <n v="0.76131687242798352" u="1"/>
        <n v="0.78142076502732238" u="1"/>
        <n v="0.72602739726027399" u="1"/>
        <n v="0.78804347826086951" u="1"/>
        <n v="0.9933035714285714" u="1"/>
        <n v="0.99528301886792447" u="1"/>
        <n v="0.51485148514851486" u="1"/>
        <n v="0.98357664233576647" u="1"/>
        <n v="0.75108932461873634" u="1"/>
        <n v="0.44736842105263158" u="1"/>
        <n v="0.53909465020576131" u="1"/>
        <n v="0.95802919708029199" u="1"/>
        <n v="0.86703096539162117" u="1"/>
        <n v="0.81917808219178079" u="1"/>
        <n v="0.90875912408759119" u="1"/>
        <n v="0.15279299014238773" u="1"/>
        <n v="0.9553571428571429" u="1"/>
        <n v="0.91916167664670656" u="1"/>
        <n v="0.74601593625498008" u="1"/>
        <n v="0.56243154435925524" u="1"/>
        <n v="0.81021897810218979" u="1"/>
        <n v="0.26347305389221559" u="1"/>
        <n v="0.42465753424657532" u="1"/>
        <n v="0.53698630136986303" u="1"/>
        <n v="0.82441700960219477" u="1"/>
        <n v="0.96455696202531649" u="1"/>
        <n v="0.98765432098765427" u="1"/>
        <n v="0.61263736263736268" u="1"/>
        <n v="0.22875816993464052" u="1"/>
        <n v="0.30996714129244252" u="1"/>
        <n v="0.89820359281437123" u="1"/>
        <n v="0.59069767441860466" u="1"/>
        <n v="0.87690631808278863" u="1"/>
        <n v="0.9123287671232877" u="1"/>
        <n v="0.93023255813953487" u="1"/>
        <n v="0.21311475409836064" u="1"/>
        <n v="0.84063745019920322" u="1"/>
        <n v="0.6966292134831461" u="1"/>
        <n v="0.9754464285714286" u="1"/>
        <n v="0.24590163934426229" u="1"/>
        <n v="0.47123287671232877" u="1"/>
        <n v="0.8772455089820359" u="1"/>
        <n v="0.62869660460021903" u="1"/>
        <n v="0.70846394984326022" u="1"/>
        <n v="0.82686335403726707" u="1"/>
        <n v="0.91598360655737709" u="1"/>
        <n v="0.92616451932606536" u="1"/>
        <n v="0.63736263736263732" u="1"/>
        <n v="0.78758169934640521" u="1"/>
        <n v="0.46502057613168724" u="1"/>
        <n v="0.46659364731653891" u="1"/>
        <n v="0.60219478737997256" u="1"/>
        <n v="0.63013698630136983" u="1"/>
        <n v="0.76543209876543206" u="1"/>
        <n v="0.72113289760348587" u="1"/>
        <n v="0.80578512396694213" u="1"/>
        <n v="0.89836065573770496" u="1"/>
        <n v="0.44085432639649508" u="1"/>
        <n v="0.58823529411764708" u="1"/>
        <n v="0.83483483483483478" u="1"/>
        <n v="0.85628742514970058" u="1"/>
        <n v="0.12418300653594772" u="1"/>
        <n v="0.9375" u="1"/>
        <n v="0.66208791208791207" u="1"/>
        <n v="0.54320987654320985" u="1"/>
        <n v="0.54143646408839774" u="1"/>
        <n v="0.72328767123287674" u="1"/>
        <n v="0.91095890410958902" u="1"/>
        <n v="0.97984749455337694" u="1"/>
        <n v="0.82786885245901642" u="1"/>
        <n v="0.91339869281045749" u="1"/>
        <n v="0.99416723627249948" u="1"/>
        <n v="0.65568862275449102" u="1"/>
        <n v="0.85756972111553786" u="1"/>
        <n v="0.95901639344262291" u="1"/>
        <n v="0.42975206611570249" u="1"/>
        <n v="0.98958333333333337" u="1"/>
        <n v="0.71527777777777779" u="1"/>
        <n v="0.95379537953795379" u="1"/>
        <n v="0.49657064471879286" u="1"/>
        <n v="0.82853223593964331" u="1"/>
        <n v="0.9575892857142857" u="1"/>
        <n v="0.82407407407407407" u="1"/>
        <n v="0.99176954732510292" u="1"/>
        <n v="0.46280991735537191" u="1"/>
        <n v="0.81643835616438354" u="1"/>
        <n v="0.77689243027888444" u="1"/>
        <n v="0.75762527233115473" u="1"/>
        <n v="0.80900621118012417" u="1"/>
        <n v="0.75737704918032789" u="1"/>
        <n v="0.56571741511500551" u="1"/>
        <n v="0.95283018867924529" u="1"/>
        <n v="0.73975409836065575" u="1"/>
        <n v="0.46698113207547171" u="1"/>
        <n v="0.53424657534246578" u="1"/>
        <n v="0.55219780219780223" u="1"/>
        <n v="0.38545953360768176" u="1"/>
        <n v="0.6063100137174211" u="1"/>
        <n v="0.87090163934426235" u="1"/>
        <n v="0.76954732510288071" u="1"/>
        <n v="0.28587075575027382" u="1"/>
        <n v="0.90958904109589045" u="1"/>
        <n v="0.21917808219178081" u="1"/>
        <n v="0.9776785714285714" u="1"/>
        <n v="0.28219178082191781" u="1"/>
        <n v="0.94989106753812635" u="1"/>
        <n v="0.60066006600660071" u="1"/>
        <n v="0.6319824753559693" u="1"/>
        <n v="0.46823658269441404" u="1"/>
        <n v="0.57692307692307687" u="1"/>
        <n v="0.83072100313479624" u="1"/>
        <n v="0.58050383351588175" u="1"/>
        <n v="0.62739726027397258" u="1"/>
        <n v="0.9438202247191011" u="1"/>
        <n v="0.44249726177437021" u="1"/>
        <n v="0.65163934426229508" u="1"/>
        <n v="0.99421280473912055" u="1"/>
        <n v="0.86056644880174293" u="1"/>
        <n v="0.94918032786885242" u="1"/>
        <n v="0.5743944636678201" u="1"/>
        <n v="0.18478260869565216" u="1"/>
        <n v="0.79382470119521908" u="1"/>
        <n v="0.78278688524590168" u="1"/>
        <n v="0.9397321428571429" u="1"/>
        <n v="0.72766884531590414" u="1"/>
        <n v="0.32876712328767121" u="1"/>
        <n v="0.18674698795180722" u="1"/>
        <n v="0.96912350597609564" u="1"/>
        <n v="0.60164835164835162" u="1"/>
        <n v="0.91393442622950816" u="1"/>
        <n v="0.53947368421052633" u="1"/>
        <n v="0.74754098360655741" u="1"/>
        <n v="0.84782608695652173" u="1"/>
        <n v="0.72054794520547949" u="1"/>
        <n v="0.83264746227709185" u="1"/>
        <n v="0.87868852459016389" u="1"/>
        <n v="0.79879879879879878" u="1"/>
        <n v="0.37534246575342467" u="1"/>
        <n v="0.60869565217391308" u="1"/>
        <n v="0.9598214285714286" u="1"/>
        <n v="0.15443592552026286" u="1"/>
        <n v="0.95688800792864226" u="1"/>
        <n v="0.99554013875123881" u="1"/>
        <n v="0.95514511873350927" u="1"/>
        <n v="0.30589849108367628" u="1"/>
        <n v="0.81369863013698629" u="1"/>
        <n v="0.82581967213114749" u="1"/>
        <n v="0.82877959927140255" u="1"/>
        <n v="0.55485893416927901" u="1"/>
        <n v="0.43478260869565216" u="1"/>
        <n v="0.56900328587075577" u="1"/>
        <n v="0.3604060913705584" u="1"/>
        <n v="0.83061002178649235" u="1"/>
        <n v="0.95696721311475408" u="1"/>
        <n v="0.29949238578680204" u="1"/>
        <n v="0.51752464403066811" u="1"/>
        <n v="0.95992714025500914" u="1"/>
        <n v="0.42191780821917807" u="1"/>
        <n v="0.26519337016574585" u="1"/>
        <n v="0.69771241830065356" u="1"/>
        <n v="0.10136986301369863" u="1"/>
        <n v="0.31325301204819278" u="1"/>
        <n v="0.53150684931506853" u="1"/>
        <n v="0.921875" u="1"/>
        <n v="0.23274917853231106" u="1"/>
        <n v="0.78324225865209474" u="1"/>
        <n v="0.31521739130434784" u="1"/>
        <n v="0.90131578947368418" u="1"/>
        <n v="0.28751369112814895" u="1"/>
        <n v="0.89574759945130311" u="1"/>
        <n v="0.47969543147208121" u="1"/>
        <n v="0.60655737704918034" u="1"/>
        <n v="0.44923857868020306" u="1"/>
        <n v="0.94791666666666663" u="1"/>
        <n v="0.41878172588832485" u="1"/>
        <n v="0.82996894409937894" u="1"/>
        <n v="0.90537848605577687" u="1"/>
        <n v="0.90138751238850345" u="1"/>
        <n v="0.94003964321110012" u="1"/>
        <n v="0.63526834611171956" u="1"/>
        <n v="0.63959390862944165" u="1"/>
        <n v="0.73770491803278693" u="1"/>
        <n v="0.46987951807228917" u="1"/>
        <n v="0.46849315068493153" u="1"/>
        <n v="0.51648351648351654" u="1"/>
        <n v="0.91364902506963785" u="1"/>
        <n v="0.95297805642633227" u="1"/>
        <n v="0.95642701525054463" u="1"/>
        <n v="0.86885245901639341" u="1"/>
        <n v="0.44414019715224534" u="1"/>
        <n v="0.14794520547945206" u="1"/>
        <n v="0.37623762376237624" u="1"/>
        <n v="0.96694214876033058" u="1"/>
        <n v="0.33744855967078191" u="1"/>
        <n v="0.69796954314720816" u="1"/>
        <n v="0.66046511627906979" u="1"/>
        <n v="0.6735253772290809" u="1"/>
        <n v="0.83676268861454051" u="1"/>
        <n v="0.72569444444444442" u="1"/>
        <n v="0.87817258883248728" u="1"/>
        <n v="0.49056603773584906" u="1"/>
        <n v="0.81725888324873097" u="1"/>
        <n v="0.97445255474452552" u="1"/>
        <n v="0.54120879120879117" u="1"/>
        <n v="0.80065359477124187" u="1"/>
        <n v="0.92518248175182483" u="1"/>
        <n v="0.17647058823529413" u="1"/>
        <n v="0.9974619289340102" u="1"/>
        <n v="0.73420479302832242" u="1"/>
        <n v="0.50602409638554213" u="1"/>
        <n v="0.97904191616766467" u="1"/>
        <n v="0.87591240875912413" u="1"/>
        <n v="0.76567656765676573" u="1"/>
        <n v="0.90371991247264771" u="1"/>
        <n v="0.29341317365269459" u="1"/>
        <n v="0.43252595155709345" u="1"/>
        <n v="0.37951807228915663" u="1"/>
        <n v="0.58477508650519028" u="1"/>
        <n v="0.72607260726072609" u="1"/>
        <n v="0.9620535714285714" u="1"/>
        <n v="0.97215189873417718" u="1"/>
        <n v="0.56593406593406592" u="1"/>
        <n v="0.95808383233532934" u="1"/>
        <n v="0.75182481751824815" u="1"/>
        <n v="0.89059080962800874" u="1"/>
        <n v="0.88402625820568925" u="1"/>
        <n v="0.65328467153284675" u="1"/>
        <n v="0.19452054794520549" u="1"/>
        <n v="0.87746170678336977" u="1"/>
        <n v="0.8416334661354582" u="1"/>
        <n v="4.6575342465753428E-2" u="1"/>
        <n v="0.89986282578875176" u="1"/>
        <n v="0.93712574850299402" u="1"/>
        <n v="0.52081051478641838" u="1"/>
        <n v="0.87089715536105028" u="1"/>
        <n v="0.69262295081967218" u="1"/>
        <n v="0.90359477124183007" u="1"/>
        <n v="0.13679245283018868" u="1"/>
        <n v="0.80487804878048785" u="1"/>
        <n v="0.83714596949891062" u="1"/>
        <n v="0.91616766467065869" u="1"/>
        <n v="0.22070098576122674" u="1"/>
        <n v="0.80232558139534882" u="1"/>
        <n v="0.9525065963060686" u="1"/>
        <n v="0.77069716775599129" u="1"/>
        <n v="0.70424836601307195" u="1"/>
        <n v="0.51440329218106995" u="1"/>
        <n v="0.76415094339622647" u="1"/>
        <n v="0.96630327056491572" u="1"/>
        <n v="0.63855421686746983" u="1"/>
        <n v="0.97560975609756095" u="1"/>
        <n v="6.575342465753424E-2" u="1"/>
        <n v="0.4715224534501643" u="1"/>
        <n v="0.47802197802197804" u="1"/>
        <n v="0.82978723404255317" u="1"/>
        <n v="0.85377358490566035" u="1"/>
        <n v="0.76148796498905913" u="1"/>
        <n v="0.27152317880794702" u="1"/>
        <n v="0.71556886227544914" u="1"/>
        <n v="0.75492341356673964" u="1"/>
        <n v="0.68421052631578949" u="1"/>
        <n v="0.91056910569105687" u="1"/>
        <n v="0.18838992332968238" u="1"/>
        <n v="0.58688524590163937" u="1"/>
        <n v="0.74835886214442016" u="1"/>
        <n v="0.85093167701863359" u="1"/>
        <n v="0.574585635359116" u="1"/>
        <n v="0.67479674796747968" u="1"/>
        <n v="0.69461077844311381" u="1"/>
        <n v="0.90760869565217395" u="1"/>
        <n v="0.94008714596949894" u="1"/>
        <n v="0.73522975929978118" u="1"/>
        <n v="0.87363834422657949" u="1"/>
        <n v="0.77788844621513942" u="1"/>
        <n v="0.9642857142857143" u="1"/>
        <n v="0.44262295081967212" u="1"/>
        <n v="0.75138121546961323" u="1"/>
        <n v="0.80718954248366015" u="1"/>
        <n v="0.45267489711934156" u="1"/>
        <n v="0.7407407407407407" u="1"/>
        <n v="0.95318725099601598" u="1"/>
        <n v="0.93229166666666663" u="1"/>
        <n v="0.6097560975609756" u="1"/>
        <n v="0.66847826086956519" u="1"/>
        <n v="0.67365269461077848" u="1"/>
        <n v="0.50549450549450547" u="1"/>
        <n v="0.51639344262295084" u="1"/>
        <n v="0.62382445141065834" u="1"/>
        <n v="0.15607886089813799" u="1"/>
        <n v="0.94131455399061037" u="1"/>
        <n v="0.43894389438943893" u="1"/>
        <n v="0.88759689922480622" u="1"/>
        <n v="0.95833333333333337" u="1"/>
        <n v="0.98901098901098905" u="1"/>
        <n v="0.65269461077844315" u="1"/>
        <n v="0.41914191419141916" u="1"/>
        <n v="0.79937304075235105" u="1"/>
        <n v="0.62582056892778992" u="1"/>
        <n v="0.34156378600823045" u="1"/>
        <n v="0.51851851851851849" u="1"/>
        <n v="0.68175582990397809" u="1"/>
        <n v="0.59515570934256057" u="1"/>
        <n v="0.31653888280394304" u="1"/>
        <n v="0.61925601750547044" u="1"/>
        <n v="0.93069306930693074" u="1"/>
        <n v="0.29079956188389922" u="1"/>
        <n v="0.94894894894894899" u="1"/>
        <n v="0.61269146608315095" u="1"/>
        <n v="0.9765795206971678" u="1"/>
        <n v="0.91013071895424835" u="1"/>
        <n v="0.99586776859504134" u="1"/>
        <n v="0.43137254901960786" u="1"/>
        <n v="0.47604790419161674" u="1"/>
        <n v="0.79482071713147406" u="1"/>
        <n v="0.59956236323851209" u="1"/>
        <n v="0.77723311546840956" u="1"/>
        <n v="0.47316538882803943" u="1"/>
        <n v="0.97011952191235062" u="1"/>
        <n v="0.5929978118161926" u="1"/>
        <n v="0.44780219780219782" u="1"/>
        <n v="0.44742606790799561" u="1"/>
        <n v="0.72672672672672678" u="1"/>
        <n v="0.58643326039387311" u="1"/>
        <n v="0.25191675794085433" u="1"/>
        <n v="0.61716171617161719" u="1"/>
        <n v="0.20208105147864183" u="1"/>
        <n v="0.43421052631578949" u="1"/>
        <n v="0.8894422310756972" u="1"/>
        <n v="0.8779342723004695" u="1"/>
        <n v="0.57755775577557755" u="1"/>
        <n v="0.99414445203918889" u="1"/>
        <n v="0.96174863387978138" u="1"/>
        <n v="0.74485596707818935" u="1"/>
        <n v="0.26490066225165565" u="1"/>
        <n v="0.45508982035928142" u="1"/>
        <n v="0.89841427155599607" u="1"/>
        <n v="0.23529411764705882" u="1"/>
        <n v="0.51259583789704266" u="1"/>
        <n v="0.91627906976744189" u="1"/>
        <n v="0.97286821705426352" u="1"/>
        <n v="0.40854326396495072" u="1"/>
        <n v="0.31125827814569534" u="1"/>
        <n v="0.61570247933884292" u="1"/>
        <n v="0.91621129326047357" u="1"/>
        <n v="0.92191780821917813" u="1"/>
        <n v="0.35761589403973509" u="1"/>
        <n v="0.81521739130434778" u="1"/>
        <n v="0.39622641509433965" u="1"/>
        <n v="0.47252747252747251" u="1"/>
        <n v="0.88017429193899777" u="1"/>
        <n v="0.52263374485596703" u="1"/>
        <n v="0.90094339622641506" u="1"/>
        <n v="0.98897058823529416" u="1"/>
        <n v="0.74727668845315909" u="1"/>
        <n v="0.87067395264116576" u="1"/>
        <n v="0.9285714285714286" u="1"/>
        <n v="0.57608695652173914" u="1"/>
        <n v="0.74647887323943662" u="1"/>
        <n v="0.50276243093922657" u="1"/>
        <n v="0.82739726027397265" u="1"/>
        <n v="0.52738225629791891" u="1"/>
        <n v="0.72440087145969501" u="1"/>
        <n v="0.90637450199203184" u="1"/>
        <n v="0.34431137724550898" u="1"/>
        <n v="0.8079561042524005" u="1"/>
        <n v="0.5280898876404494" u="1"/>
        <n v="0.9711934156378601" u="1"/>
        <n v="0.6795580110497238" u="1"/>
        <n v="0.41847826086956524" u="1"/>
        <n v="0.99419002050580996" u="1"/>
        <n v="0.37016574585635359" u="1"/>
        <n v="0.95329670329670335" u="1"/>
        <n v="0.54520547945205478" u="1"/>
        <n v="0.91118421052631582" u="1"/>
        <n v="0.98017839444995047" u="1"/>
        <n v="0.99087591240875916" u="1"/>
        <n v="0.92054794520547945" u="1"/>
        <n v="0.85635359116022103" u="1"/>
        <n v="0.88262910798122063" u="1"/>
        <n v="0.47480832420591457" u="1"/>
        <n v="0.82894736842105265" u="1"/>
        <n v="0.94160583941605835" u="1"/>
        <n v="0.98311546840958608" u="1"/>
        <n v="0.5488372093023256" u="1"/>
        <n v="0.58573388203017829" u="1"/>
        <n v="0.4567901234567901" u="1"/>
        <n v="0.74897119341563789" u="1"/>
        <n v="0.88837209302325582" u="1"/>
        <n v="0.91666666666666663" u="1"/>
        <n v="0.4175824175824176" u="1"/>
        <n v="0.85021786492374729" u="1"/>
        <n v="0.78376906318082784" u="1"/>
        <n v="0.95070422535211263" u="1"/>
        <n v="0.86678832116788318" u="1"/>
        <n v="0.63835616438356169" u="1"/>
        <n v="0.97974683544303798" u="1"/>
        <n v="0.94270833333333337" u="1"/>
        <n v="0.57547169811320753" u="1"/>
        <n v="0.81751824817518248" u="1"/>
        <n v="0.19003285870755751" u="1"/>
        <n v="0.86350974930362112" u="1"/>
        <n v="0.92467789890981167" u="1"/>
        <n v="0.71897810218978098" u="1"/>
        <n v="0.52674897119341568" u="1"/>
        <n v="0.69444444444444442" u="1"/>
        <n v="0.51588170865279304" u="1"/>
        <n v="0.66509433962264153" u="1"/>
        <n v="0.96739130434782605" u="1"/>
        <n v="0.41018619934282585" u="1"/>
        <n v="0.9888579387186629" u="1"/>
        <n v="0.99700598802395213" u="1"/>
        <n v="0.25827814569536423" u="1"/>
        <n v="0.73150684931506849" u="1"/>
        <n v="0.84262948207171318" u="1"/>
        <n v="0.91917808219178088" u="1"/>
        <n v="0.72826086956521741" u="1"/>
        <n v="0.44230769230769229" u="1"/>
        <n v="0.30463576158940397" u="1"/>
        <n v="0.9760479041916168" u="1"/>
        <n v="0.48834019204389573" u="1"/>
        <n v="0.86833855799373039" u="1"/>
        <n v="0.38082191780821917" u="1"/>
        <n v="0.97530864197530864" u="1"/>
        <n v="0.95315904139433549" u="1"/>
        <n v="0.74257425742574257" u="1"/>
        <n v="0.58214676889375683" u="1"/>
        <n v="0.88671023965141615" u="1"/>
        <n v="0.86813186813186816" u="1"/>
        <n v="0.8202614379084967" u="1"/>
        <n v="0.70297029702970293" u="1"/>
        <n v="0.8246575342465754" u="1"/>
        <n v="0.88732394366197187" u="1"/>
        <n v="0.86046511627906974" u="1"/>
        <n v="0.83618012422360244" u="1"/>
        <n v="0.58984910836762694" u="1"/>
        <n v="0.75308641975308643" u="1"/>
        <n v="0.73093681917211328" u="1"/>
        <n v="0.42739726027397262" u="1"/>
        <n v="0.96778989098116952" u="1"/>
        <n v="0.8928571428571429" u="1"/>
        <n v="0.90126582278481016" u="1"/>
        <n v="0.54246575342465753" u="1"/>
        <n v="0.95539906103286387" u="1"/>
        <n v="0.7752808988764045" u="1"/>
        <n v="0.72340425531914898" u="1"/>
        <n v="0.9178082191780822" u="1"/>
        <n v="0.51315789473684215" u="1"/>
        <n v="0.99836065573770494" u="1"/>
        <n v="0.75449101796407181" u="1"/>
        <n v="0.94811320754716977" u="1"/>
        <n v="0.45071193866374587" u="1"/>
        <n v="0.59169550173010377" u="1"/>
        <n v="0.37309644670050762" u="1"/>
        <n v="0.91758241758241754" u="1"/>
        <n v="0.25520262869660459" u="1"/>
        <n v="0.47397260273972602" u="1"/>
        <n v="0.96311475409836067" u="1"/>
        <n v="0.73353293413173648" u="1"/>
        <n v="0.13812154696132597" u="1"/>
        <n v="0.63561643835616444" u="1"/>
        <n v="0.92320261437908502" u="1"/>
        <n v="0.15068493150684931" u="1"/>
        <n v="0.43790849673202614" u="1"/>
        <n v="0.6675126903553299" u="1"/>
        <n v="0.755868544600939" u="1"/>
        <n v="0.64462809917355368" u="1"/>
        <n v="0.95094152626362738" u="1"/>
        <n v="0.9278688524590164" u="1"/>
        <n v="0.6776859504132231" u="1"/>
        <n v="0.5191675794085433" u="1"/>
        <n v="0.18232044198895028" u="1"/>
        <n v="0.78680203045685282" u="1"/>
        <n v="0.41182913472070098" u="1"/>
        <n v="0.65294924554183809" u="1"/>
        <n v="0.71257485029940115" u="1"/>
        <n v="0.81618655692729769" u="1"/>
        <n v="0.6649746192893401" u="1"/>
        <n v="0.97942386831275718" u="1"/>
        <n v="0.96700507614213194" u="1"/>
        <n v="0.7009803921568627" u="1"/>
        <n v="0.90609137055837563" u="1"/>
        <n v="0.87687687687687688" u="1"/>
        <n v="0.72876712328767124" u="1"/>
        <n v="0.84517766497461932" u="1"/>
        <n v="0.875" u="1"/>
        <n v="0.94573643410852715" u="1"/>
        <n v="0.41208791208791207" u="1"/>
        <n v="0.892018779342723" u="1"/>
        <n v="0.85737704918032787" u="1"/>
        <n v="0.96446700507614214" u="1"/>
        <n v="0.59396433470507548" u="1"/>
        <n v="0.80769230769230771" u="1"/>
        <n v="0.98852459016393446" u="1"/>
        <n v="0.63586956521739135" u="1"/>
        <n v="0.48936170212765956" u="1"/>
        <n v="0.62441314553990612" u="1"/>
        <n v="0.95969498910675377" u="1"/>
        <n v="0.82191780821917804" u="1"/>
        <n v="0.92708333333333337" u="1"/>
        <n v="0.19726027397260273" u="1"/>
        <n v="0.82679738562091498" u="1"/>
        <n v="0.223986856516977" u="1"/>
        <n v="0.18300653594771241" u="1"/>
        <n v="0.78688524590163933" u="1"/>
        <n v="0.99405351833498512" u="1"/>
        <n v="0.83241758241758246" u="1"/>
        <n v="0.53972602739726028" u="1"/>
        <n v="0.80392156862745101" u="1"/>
        <n v="0.91803278688524592" u="1"/>
        <n v="0.89043824701195218" u="1"/>
        <n v="0.47809419496166483" u="1"/>
        <n v="0.96378830083565459" u="1"/>
        <n v="0.9779411764705882" u="1"/>
        <n v="0.91506849315068495" u="1"/>
        <n v="0.452354874041621" u="1"/>
        <n v="0.8314606741573034" u="1"/>
        <n v="0.90759075907590758" u="1"/>
        <n v="0.28493150684931506" u="1"/>
        <n v="0.25684556407447973" u="1"/>
        <n v="0.8571428571428571" u="1"/>
        <n v="0.87249544626593811" u="1"/>
        <n v="0.32921810699588477" u="1"/>
        <n v="0.86798679867986794" u="1"/>
        <n v="0.9151785714285714" u="1"/>
        <n v="0.49245541838134432" u="1"/>
        <n v="0.19167579408543264" u="1"/>
        <n v="0.63287671232876708" u="1"/>
        <n v="0.69877049180327866" u="1"/>
        <n v="0.71473354231974917" u="1"/>
        <n v="0.82838283828382842" u="1"/>
        <n v="0.84754098360655739" u="1"/>
        <n v="0.93855302279484643" u="1"/>
        <n v="0.77419354838709675" u="1"/>
        <n v="0.82991803278688525" u="1"/>
        <n v="0.24383561643835616" u="1"/>
        <n v="0.9297385620915033" u="1"/>
        <n v="0.97868852459016398" u="1"/>
        <n v="0.41347207009857612" u="1"/>
        <n v="0.33150684931506852" u="1"/>
        <n v="0.96106557377049184" u="1"/>
        <n v="0.59405940594059403" u="1"/>
        <n v="0.59807956104252402" u="1"/>
        <n v="0.64590163934426226" u="1"/>
        <n v="0.37425149700598803" u="1"/>
        <n v="0.44339622641509435" u="1"/>
        <n v="0.93730407523510972" u="1"/>
        <n v="0.5544554455445545" u="1"/>
        <n v="0.77704918032786885" u="1"/>
        <n v="0.90737051792828682" u="1"/>
        <n v="0.77396514161220042" u="1"/>
        <n v="0.15936473165388829" u="1"/>
        <n v="0.61065573770491799" u="1"/>
        <n v="0.64019715224534501" u="1"/>
        <n v="0.70751633986928109" u="1"/>
        <n v="0.90819672131147544" u="1"/>
        <n v="0.37808219178082192" u="1"/>
        <n v="0.53591160220994472" u="1"/>
        <n v="0.58871851040525736" u="1"/>
        <n v="0.92170465807730428" u="1"/>
        <n v="9.0410958904109592E-2" u="1"/>
        <n v="0.74180327868852458" u="1"/>
        <n v="0.74725274725274726" u="1"/>
        <n v="0.2983425414364641" u="1"/>
        <n v="0.88340192043895749" u="1"/>
        <n v="0.82669322709163351" u="1"/>
        <n v="0.98175182481751821" u="1"/>
        <n v="0.87295081967213117" u="1"/>
        <n v="0.84084084084084088" u="1"/>
        <n v="0.3532934131736527" u="1"/>
        <n v="0.98166501486620417" u="1"/>
        <n v="0.38674033149171272" u="1"/>
        <n v="0.65789473684210531" u="1"/>
        <n v="0.29139072847682118" u="1"/>
        <n v="0.88321167883211682" u="1"/>
        <n v="8.3287671232876712E-2" u="1"/>
        <n v="0.77197802197802201" u="1"/>
        <n v="0.8377049180327869" u="1"/>
        <n v="0.88950276243093918" u="1"/>
        <n v="0.41289437585733885" u="1"/>
        <n v="0.33774834437086093" u="1"/>
        <n v="0.78467153284671531" u="1"/>
        <n v="0.12602739726027398" u="1"/>
        <n v="0.46046511627906977" u="1"/>
        <n v="0.65368852459016391" u="1"/>
        <n v="0.45399780941949619" u="1"/>
        <n v="0.859375" u="1"/>
        <n v="0.81045751633986929" u="1"/>
        <n v="0.83881578947368418" u="1"/>
        <n v="0.25848849945235486" u="1"/>
        <n v="0.70661157024793386" u="1"/>
        <n v="0.7848360655737705" u="1"/>
        <n v="0.74400871459694984" u="1"/>
        <n v="0.79670329670329665" u="1"/>
        <n v="0.20536692223439212" u="1"/>
        <n v="0.66058394160583944" u="1"/>
        <n v="0.28260869565217389" u="1"/>
        <n v="0.76721311475409837" u="1"/>
        <n v="0.88541666666666663" u="1"/>
        <n v="0.77272727272727271" u="1"/>
        <n v="0.96481665014866203" u="1"/>
        <n v="2.7397260273972601E-2" u="1"/>
        <n v="0.32547169811320753" u="1"/>
        <n v="0.84362549800796816" u="1"/>
        <n v="0.75943396226415094" u="1"/>
        <n v="0.91145833333333337" u="1"/>
        <n v="0.88401253918495293" u="1"/>
        <n v="0.56557377049180324" u="1"/>
        <n v="0.38937568455640748" u="1"/>
        <n v="0.87810559006211175" u="1"/>
        <n v="0.93627450980392157" u="1"/>
        <n v="0.44444444444444442" u="1"/>
        <n v="0.69672131147540983" u="1"/>
        <n v="0.72427983539094654" u="1"/>
        <n v="0.93478260869565222" u="1"/>
        <n v="0.17260273972602741" u="1"/>
        <n v="0.83532934131736525" u="1"/>
        <n v="4.1095890410958902E-2" u="1"/>
        <n v="0.39669421487603307" u="1"/>
        <n v="0.64348302300109528" u="1"/>
        <n v="0.90931615460852333" u="1"/>
        <n v="0.59200438116100762" u="1"/>
        <n v="0.84694989106753815" u="1"/>
        <n v="0.99339933993399343" u="1"/>
        <n v="0.35313531353135313" u="1"/>
        <n v="0.7805010893246187" u="1"/>
        <n v="0.68681318681318682" u="1"/>
        <n v="0.69565217391304346" u="1"/>
        <n v="0.81437125748502992" u="1"/>
        <n v="0.50205761316872433" u="1"/>
        <n v="0.44651162790697674" u="1"/>
        <n v="0.66529492455418382" u="1"/>
        <n v="0.56279069767441858" u="1"/>
        <n v="0.22562979189485213" u="1"/>
        <n v="0.47826086956521741" u="1"/>
        <n v="0.79341317365269459" u="1"/>
        <n v="0.71153846153846156" u="1"/>
        <n v="0.71947194719471952" u="1"/>
        <n v="0.4813800657174151" u="1"/>
        <n v="0.77988047808764938" u="1"/>
        <n v="0.97276688453159044" u="1"/>
        <n v="0.28476821192052981" u="1"/>
        <n v="0.35869565217391303" u="1"/>
        <n v="0.95061728395061729" u="1"/>
        <n v="0.90631808278867099" u="1"/>
        <n v="0.52358490566037741" u="1"/>
        <n v="0.26013143483022999" u="1"/>
        <n v="0.33112582781456956" u="1"/>
        <n v="0.78369905956112851" u="1"/>
        <n v="0.73626373626373631" u="1"/>
        <n v="0.88344226579520702" u="1"/>
        <n v="0.19331872946330778" u="1"/>
        <n v="0.52049180327868849" u="1"/>
        <n v="0.64088397790055252" u="1"/>
        <n v="0.99108027750247774" u="1"/>
        <n v="0.81699346405228757" u="1"/>
        <n v="0.37748344370860926" u="1"/>
        <n v="0.36488340192043894" u="1"/>
        <n v="0.75054466230936823" u="1"/>
        <n v="0.72839506172839508" u="1"/>
        <n v="0.52902519167579409" u="1"/>
        <n v="0.41675794085432638" u="1"/>
        <n v="0.81767955801104975" u="1"/>
        <n v="0.13071895424836602" u="1"/>
        <n v="0.39101861993428261" u="1"/>
        <n v="0.4325581395348837" u="1"/>
        <n v="0.59477124183006536" u="1"/>
        <n v="0.91985428051001816" u="1"/>
        <n v="0.99447513812154698" u="1"/>
        <n v="0.81782945736434109" u="1"/>
        <n v="0.87441860465116283" u="1"/>
        <n v="0.50617283950617287" u="1"/>
        <n v="0.16100766703176342" u="1"/>
        <n v="0.64676889375684554" u="1"/>
        <n v="0.89692765113974227" u="1"/>
        <n v="0.93557978196233893" u="1"/>
        <n v="0.43944636678200694" u="1"/>
        <n v="0.84375" u="1"/>
        <n v="0.99487179487179489" u="1"/>
        <n v="0.35213581599123767" u="1"/>
        <n v="0.62637362637362637" u="1"/>
        <n v="0.80263157894736847" u="1"/>
        <n v="0.86979166666666663" u="1"/>
        <n v="0.85348583877995643" u="1"/>
        <n v="0.89143426294820716" u="1"/>
        <n v="0.23932092004381161" u="1"/>
        <n v="0.95473251028806583" u="1"/>
        <n v="0.95574534161490687" u="1"/>
        <n v="0.72058823529411764" u="1"/>
        <n v="0.89583333333333337" u="1"/>
        <n v="0.65109890109890112" u="1"/>
        <n v="0.89622641509433965" u="1"/>
        <n v="0.98355263157894735" u="1"/>
        <n v="0.48302300109529023" u="1"/>
        <n v="0.90397350993377479" u="1"/>
        <n v="0.73040752351097182" u="1"/>
        <n v="0.96280087527352298" u="1"/>
        <n v="0.78378378378378377" u="1"/>
        <n v="0.80165289256198347" u="1"/>
        <n v="0.56927297668038412" u="1"/>
        <n v="0.44855967078189302" u="1"/>
        <n v="0.73251028806584362" u="1"/>
        <n v="0.99668874172185429" u="1"/>
        <n v="0.83471074380165289" u="1"/>
        <n v="0.92876712328767119" u="1"/>
        <n v="0.20700985761226726" u="1"/>
        <n v="0.94967177242888401" u="1"/>
        <n v="0.97930283224400871" u="1"/>
        <n v="0.86776859504132231" u="1"/>
        <n v="0.41584158415841582" u="1"/>
        <n v="0.67582417582417587" u="1"/>
        <n v="0.27814569536423839" u="1"/>
        <n v="0.3883248730964467" u="1"/>
        <n v="0.97869177403369678" u="1"/>
        <n v="0.32741116751269034" u="1"/>
        <n v="0.41860465116279072" u="1"/>
        <n v="0.9526462395543176" u="1"/>
        <n v="0.39603960396039606" u="1"/>
        <n v="0.84651162790697676" u="1"/>
        <n v="0.9031007751937985" u="1"/>
        <n v="0.93654266958424504" u="1"/>
        <n v="0.32450331125827814" u="1"/>
        <n v="0.64657534246575343" u="1"/>
        <n v="0.53231106243154436" u="1"/>
        <n v="0.51028806584362141" u="1"/>
        <n v="0.82352941176470584" u="1"/>
        <n v="0.57614213197969544" u="1"/>
        <n v="0.51522842639593913" u="1"/>
        <n v="0.76876876876876876" u="1"/>
        <n v="0.7570806100217865" u="1"/>
        <n v="0.84488448844884489" u="1"/>
        <n v="0.69063180827886705" u="1"/>
        <n v="0.93788819875776397" u="1"/>
        <n v="0.91684901531728669" u="1"/>
        <n v="0.69543147208121825" u="1"/>
        <n v="0.1746987951807229" u="1"/>
        <n v="0.80528052805280526" u="1"/>
        <n v="0.41721854304635764" u="1"/>
        <n v="0.90765171503957787" u="1"/>
        <n v="0.24056603773584906" u="1"/>
        <n v="0.82768924302788849" u="1"/>
        <n v="0.57360406091370564" u="1"/>
        <n v="0.99456521739130432" u="1"/>
        <n v="0.94890510948905105" u="1"/>
        <n v="0.65005476451259581" u="1"/>
        <n v="0.87563451776649748" u="1"/>
        <n v="0.92319127849355798" u="1"/>
        <n v="0.57075471698113212" u="1"/>
        <n v="0.73972602739726023" u="1"/>
        <n v="0.48010973936899864" u="1"/>
        <n v="0.46357615894039733" u="1"/>
        <n v="0.56906077348066297" u="1"/>
        <n v="0.95884773662551437" u="1"/>
        <n v="0.60130718954248363" u="1"/>
        <n v="0.69289340101522845" u="1"/>
        <n v="0.85036496350364965" u="1"/>
        <n v="0.31491712707182318" u="1"/>
        <n v="0.74701195219123506" u="1"/>
        <n v="0.99492385786802029" u="1"/>
        <n v="0.57095709570957098" u="1"/>
        <n v="0.75543478260869568" u="1"/>
        <n v="0.87309644670050757" u="1"/>
        <n v="0.45098039215686275" u="1"/>
        <n v="0.63009404388714729" u="1"/>
        <n v="0.7458563535911602" u="1"/>
        <n v="0.81400437636761491" u="1"/>
        <n v="0.77554744525547448" u="1"/>
        <n v="9.3922651933701654E-2" u="1"/>
        <n v="0.53135313531353134" u="1"/>
        <n v="0.57338820301783266" u="1"/>
        <n v="0.83287671232876714" u="1"/>
        <n v="0.92647058823529416" u="1"/>
        <n v="0.73662551440329216" u="1"/>
        <n v="0.80087527352297594" u="1"/>
        <n v="0.86002178649237471" u="1"/>
        <n v="0.92265193370165743" u="1"/>
        <n v="0.59065934065934067" u="1"/>
        <n v="0.79357298474945537" u="1"/>
        <n v="0.27245508982035926" u="1"/>
        <n v="0.79431072210065645" u="1"/>
        <n v="0.49171270718232046" u="1"/>
        <n v="0.81860465116279069" u="1"/>
        <n v="0.72712418300653592" u="1"/>
        <n v="0.94430379746835447" u="1"/>
        <n v="0.48466593647316542" u="1"/>
        <n v="0.33986928104575165" u="1"/>
        <n v="0.85266457680250785" u="1"/>
        <n v="0.79801324503311255" u="1"/>
        <n v="0.55068493150684927" u="1"/>
        <n v="0.26341730558598031" u="1"/>
        <n v="0.99405331510594663" u="1"/>
        <n v="0.92602739726027394" u="1"/>
        <n v="0.89072847682119205" u="1"/>
        <n v="0.61538461538461542" u="1"/>
        <n v="0.19496166484118291" u="1"/>
        <n v="0.84868421052631582" u="1"/>
        <n v="0.29041095890410956" u="1"/>
        <n v="0.76394422310756971" u="1"/>
        <n v="0.89520958083832336" u="1"/>
        <n v="0.98344370860927155" u="1"/>
        <n v="0.93924302788844627" u="1"/>
        <n v="0.53559693318729462" u="1"/>
        <n v="0.42004381161007665" u="1"/>
        <n v="0.64383561643835618" u="1"/>
        <n v="0.40054869684499317" u="1"/>
        <n v="0.63648834019204392" u="1"/>
        <n v="0.6783369803063457" u="1"/>
        <n v="0.39430449069003287" u="1"/>
        <n v="0.79972565157750342" u="1"/>
        <n v="0.96296296296296291" u="1"/>
        <n v="0.87425149700598803" u="1"/>
        <n v="0.94339622641509435" u="1"/>
        <n v="0.24657534246575341" u="1"/>
        <n v="0.31788079470198677" u="1"/>
        <n v="0.31147540983606559" u="1"/>
        <n v="0.89651416122004357" u="1"/>
        <n v="0.88020833333333337" u="1"/>
        <n v="0.33698630136986302" u="1"/>
        <n v="0.83006535947712423" u="1"/>
        <n v="0.76361655773420478" u="1"/>
        <n v="0.94736842105263153" u="1"/>
        <n v="0.16265060240963855" u="1"/>
        <n v="0.36423841059602646" u="1"/>
        <n v="0.94945490584737369" u="1"/>
        <n v="0.69716775599128544" u="1"/>
        <n v="0.8532934131736527" u="1"/>
        <n v="0.65864332603938736" u="1"/>
        <n v="0.73698630136986298" u="1"/>
        <n v="0.57680250783699061" u="1"/>
        <n v="0.60186199342825852" u="1"/>
        <n v="0.39069767441860465" u="1"/>
        <n v="0.84552845528455289" u="1"/>
        <n v="0.41059602649006621" u="1"/>
        <n v="0.92465753424657537" u="1"/>
        <n v="0.57750342935528121" u="1"/>
        <n v="0.47854785478547857" u="1"/>
        <n v="0.90217391304347827" u="1"/>
        <n v="0.73273273273273276" u="1"/>
        <n v="0.64551422319474838" u="1"/>
        <n v="0.45874587458745875" u="1"/>
        <n v="0.38356164383561642" u="1"/>
        <n v="0.9050131926121372" u="1"/>
        <n v="0.6389496717724289" u="1"/>
        <n v="0.92757660167130918" u="1"/>
        <n v="0.96721311475409832" u="1"/>
        <n v="0.63238512035010941" u="1"/>
        <n v="0.66304347826086951" u="1"/>
        <n v="0.78048780487804881" u="1"/>
        <n v="0.43820224719101125" u="1"/>
        <n v="0.83013698630136989" u="1"/>
        <n v="0.86282578875171467" u="1"/>
        <n v="0.97029702970297027" u="1"/>
        <n v="0.6629213483146067" u="1"/>
        <n v="0.53021978021978022" u="1"/>
        <n v="0.89669421487603307" u="1"/>
        <n v="0.48630887185104055" u="1"/>
        <n v="0.25471698113207547" u="1"/>
        <n v="0.93300653594771243" u="1"/>
        <n v="0.92167577413479052" u="1"/>
        <n v="0.46195652173913043" u="1"/>
        <n v="0.43013698630136987" u="1"/>
        <n v="0.63173652694610782" u="1"/>
        <n v="0.97492163009404387" u="1"/>
        <n v="0.61792452830188682" u="1"/>
        <n v="0.54794520547945202" u="1"/>
        <n v="0.80010893246187365" u="1"/>
        <n v="0.96280991735537191" u="1"/>
        <n v="0.12876712328767123" u="1"/>
        <n v="0.89672131147540979" u="1"/>
        <n v="0.99256689791873143" u="1"/>
        <n v="0.92328767123287669" u="1"/>
        <n v="0.67403314917127077" u="1"/>
        <n v="0.55494505494505497" u="1"/>
        <n v="0.69636963696369636" u="1"/>
        <n v="0.70754716981132071" u="1"/>
        <n v="0.80384087791495196" u="1"/>
        <n v="0.78476821192052981" u="1"/>
        <n v="0.6107784431137725" u="1"/>
        <n v="0.59036144578313254" u="1"/>
        <n v="0.98666666666666669" u="1"/>
        <n v="0.65676567656765672" u="1"/>
        <n v="0.44982698961937717" u="1"/>
        <n v="0.53888280394304489" u="1"/>
        <n v="0.47671232876712327" u="1"/>
        <n v="0.850828729281768" u="1"/>
        <n v="0.11506849315068493" u="1"/>
        <n v="0.42168674698795183" u="1"/>
        <n v="0.64109589041095894" u="1"/>
        <n v="0.54838709677419351" u="1"/>
        <n v="0.8306010928961749" u="1"/>
        <n v="0.58982035928143717" u="1"/>
        <n v="0.94099378881987583" u="1"/>
        <n v="0.57967032967032972" u="1"/>
        <n v="0.82622950819672136" u="1"/>
        <n v="0.87596899224806202" u="1"/>
        <n v="0.17634173055859803" u="1"/>
        <n v="0.95737704918032784" u="1"/>
        <n v="0.93706640237859262" u="1"/>
        <n v="0.63157894736842102" u="1"/>
        <n v="0.79098360655737709" u="1"/>
        <n v="0.89243027888446214" u="1"/>
        <n v="0.90305010893246185" u="1"/>
        <n v="0.60514786418400879" u="1"/>
        <n v="0.73424657534246573" u="1"/>
        <n v="0.83660130718954251" u="1"/>
        <n v="0.92213114754098358" u="1"/>
        <n v="0.17534246575342466" u="1"/>
        <n v="0.69905956112852663" u="1"/>
        <n v="0.77015250544662306" u="1"/>
        <n v="0.86694101508916321" u="1"/>
        <n v="0.33132530120481929" u="1"/>
        <n v="0.19339622641509435" u="1"/>
        <n v="0.8125" u="1"/>
        <n v="0.88688524590163931" u="1"/>
        <n v="0.98705179282868527" u="1"/>
        <n v="0.40397350993377484" u="1"/>
        <n v="0.2289156626506024" u="1"/>
        <n v="0.43413173652694609" u="1"/>
        <n v="0.99056603773584906" u="1"/>
        <n v="0.45033112582781459" u="1"/>
        <n v="0.40466392318244171" u="1"/>
        <n v="0.644718792866941" u="1"/>
        <n v="0.68524590163934429" u="1"/>
        <n v="0.49668874172185429" u="1"/>
        <n v="0.99342105263157898" u="1"/>
        <n v="0.90237467018469653" u="1"/>
        <n v="0.9101123595505618" u="1"/>
        <n v="0.26670317634173057" u="1"/>
        <n v="0.94754098360655736" u="1"/>
        <n v="0.87309368191721137" u="1"/>
        <n v="0.49725274725274726" u="1"/>
        <n v="0.41317365269461076" u="1"/>
        <n v="0.22191780821917809" u="1"/>
        <n v="0.59364731653888281" u="1"/>
        <n v="0.28767123287671231" u="1"/>
        <n v="0.96532846715328469" u="1"/>
        <n v="0.34640522875816993" u="1"/>
        <n v="0.61475409836065575" u="1"/>
        <n v="0.54216867469879515" u="1"/>
        <n v="0.91605839416058399" u="1"/>
        <n v="0.97802197802197799" u="1"/>
        <n v="0.79736024844720499" u="1"/>
        <n v="0.77152317880794707" u="1"/>
        <n v="0.74590163934426235" u="1"/>
        <n v="0.39759036144578314" u="1"/>
        <n v="0.89051094890510951" u="1"/>
        <n v="0.7173202614379085" u="1"/>
        <n v="0.51923076923076927" u="1"/>
        <n v="0.87704918032786883" u="1"/>
        <n v="0.86423841059602646" u="1"/>
        <n v="0.27830188679245282" u="1"/>
        <n v="0.79197080291970801" u="1"/>
        <n v="0.43621399176954734" u="1"/>
        <n v="0.70781893004115226" u="1"/>
        <n v="0.87105624142661175" u="1"/>
        <n v="0.96333002973240833" u="1"/>
        <n v="0.33424657534246577" u="1"/>
        <n v="0.16429353778751368" u="1"/>
        <n v="0.64576802507836994" u="1"/>
        <n v="7.9452054794520555E-2" u="1"/>
        <n v="0.60220994475138123" u="1"/>
        <n v="0.95695364238410596" u="1"/>
        <n v="0.69343065693430661" u="1"/>
        <n v="0.60843373493975905" u="1"/>
        <n v="0.33149171270718231" u="1"/>
        <n v="0.30239520958083832" u="1"/>
        <n v="0.67540983606557381" u="1"/>
        <n v="0.95189873417721516" u="1"/>
        <n v="0.97603485838779958" u="1"/>
        <n v="0.35870755750273825" u="1"/>
        <n v="0.82131661442006265" u="1"/>
        <n v="0.82178217821782173" u="1"/>
        <n v="0.96195652173913049" u="1"/>
        <n v="0.89789789789789787" u="1"/>
        <n v="0.90958605664488013" u="1"/>
        <n v="0.77900552486187846" u="1"/>
        <n v="0.65778688524590168" u="1"/>
        <n v="0.80655737704918029" u="1"/>
        <n v="0.84313725490196079" u="1"/>
        <n v="0.78217821782178221" u="1"/>
        <n v="0.41988950276243092" u="1"/>
        <n v="0.78893442622950816" u="1"/>
        <n v="0.93770491803278688" u="1"/>
        <n v="0.95867768595041325" u="1"/>
        <n v="0.72282608695652173" u="1"/>
        <n v="0.95580110497237569" u="1"/>
        <n v="0.90782953419226953" u="1"/>
        <n v="0.94648166501486619" u="1"/>
        <n v="0.99173553719008267" u="1"/>
        <n v="0.53066812705366917" u="1"/>
        <n v="0.75381263616557737" u="1"/>
        <n v="0.95508982035928147" u="1"/>
        <n v="0.48959474260679081" u="1"/>
        <n v="0.28143712574850299" u="1"/>
        <n v="0.62091503267973858" u="1"/>
        <n v="0.29408543263964948" u="1"/>
        <n v="0.93415637860082301" u="1"/>
        <n v="0.5082508250825083" u="1"/>
        <n v="0.56967213114754101" u="1"/>
        <n v="0.94023904382470125" u="1"/>
        <n v="0.26834611171960571" u="1"/>
        <n v="0.21029572836801752" u="1"/>
        <n v="0.93413173652694614" u="1"/>
        <n v="0.70081967213114749" u="1"/>
        <n v="0.53442622950819674" u="1"/>
        <n v="0.59693318729463307" u="1"/>
        <n v="0.85956175298804782" u="1"/>
        <n v="0.83196721311475408" u="1"/>
        <n v="0.94607843137254899" u="1"/>
        <n v="0.35665294924554186" u="1"/>
        <n v="0.54545454545454541" u="1"/>
        <n v="0.34263959390862941" u="1"/>
        <n v="0.7119341563786008" u="1"/>
        <n v="0.87962962962962965" u="1"/>
        <n v="0.11475409836065574" u="1"/>
        <n v="0.87517146776406041" u="1"/>
        <n v="0.66557377049180333" u="1"/>
        <n v="0.94409937888198758" u="1"/>
        <n v="0.4249726177437021" u="1"/>
        <n v="0.57851239669421484" u="1"/>
        <n v="0.796875" u="1"/>
        <n v="0.7978723404255319" u="1"/>
        <n v="0.79234972677595628" u="1"/>
        <n v="0.17798466593647316" u="1"/>
        <n v="0.82291666666666663" u="1"/>
        <n v="0.72385620915032678" u="1"/>
        <n v="0.46192893401015228" u="1"/>
        <n v="0.92349726775956287" u="1"/>
        <n v="0.43147208121827413" u="1"/>
        <n v="0.94230769230769229" u="1"/>
        <n v="0.76802507836990597" u="1"/>
        <n v="0.84895833333333337" u="1"/>
        <n v="0.61171960569550932" u="1"/>
        <n v="0.60406091370558379" u="1"/>
        <n v="0.74385245901639341" u="1"/>
        <n v="0.85099337748344372" u="1"/>
        <n v="0.95723684210526316" u="1"/>
        <n v="0.54314720812182737" u="1"/>
        <n v="0.81832298136645965" u="1"/>
        <n v="0.78426395939086291" u="1"/>
        <n v="0.87795992714025506" u="1"/>
        <n v="0.94370860927152322" u="1"/>
        <n v="0.6624365482233503" u="1"/>
        <n v="0.96703296703296704" u="1"/>
        <n v="0.87649402390438247" u="1"/>
        <n v="0.98257080610021785" u="1"/>
        <n v="0.99059561128526641" u="1"/>
        <n v="0.84263959390862941" u="1"/>
        <n v="0.78172588832487311" u="1"/>
        <n v="0.84967320261437906" u="1"/>
        <n v="0.52459016393442626" u="1"/>
        <n v="0.83242258652094714" u="1"/>
        <n v="0.99403053087263615" u="1"/>
        <n v="0.6706586826347305" u="1"/>
        <n v="0.9445910290237467" u="1"/>
        <n v="0.79581673306772904" u="1"/>
        <n v="0.65573770491803274" u="1"/>
        <n v="0.99175824175824179" u="1"/>
        <n v="0.86186186186186187" u="1"/>
        <n v="0.87743732590529244" u="1"/>
        <n v="0.26998904709748084" u="1"/>
        <n v="0.44032921810699588" u="1"/>
        <n v="0.64970059880239517" u="1"/>
        <n v="0.71604938271604934" u="1"/>
        <n v="0.6938997821350763" u="1"/>
        <n v="0.98679867986798675" u="1"/>
        <n v="0.967741935483871" u="1"/>
        <n v="0.62745098039215685" u="1"/>
        <n v="0.1982475355969332" u="1"/>
        <n v="0.94719471947194722" u="1"/>
        <n v="0.43681318681318682" u="1"/>
        <n v="0.60021905805038334" u="1"/>
        <n v="0.88397790055248615" u="1"/>
        <n v="0.89150943396226412" u="1"/>
        <n v="0.87096774193548387" u="1"/>
        <n v="0.4008762322015334" u="1"/>
        <n v="0.95261437908496727" u="1"/>
        <n v="0.97720515361744298" u="1"/>
        <n v="0.67326732673267331" u="1"/>
        <n v="0.98944591029023743" u="1"/>
        <n v="0.22826086956521738" u="1"/>
        <n v="0.8127490039840638" u="1"/>
        <n v="0.63366336633663367" u="1"/>
        <n v="0.99407609933925722" u="1"/>
        <n v="0.88186813186813184" u="1"/>
        <n v="0.98804780876494025" u="1"/>
        <n v="0.47187928669410151" u="1"/>
        <n v="0.7791495198902606" u="1"/>
        <n v="0.79684095860566451" u="1"/>
        <n v="0.9423868312757202" u="1"/>
        <n v="0.73039215686274506" u="1"/>
        <n v="0.74503311258278149" u="1"/>
        <n v="0.36199342825848851" u="1"/>
        <n v="0.96478873239436624" u="1"/>
        <n v="0.74794520547945209" u="1"/>
        <n v="0.24424972617743701" u="1"/>
        <n v="0.93561643835616437" u="1"/>
        <n v="0.90659340659340659" u="1"/>
        <n v="0.96035678889990084" u="1"/>
        <n v="0.55692729766803839" u="1"/>
        <n v="0.93046357615894038" u="1"/>
        <n v="0.44311377245508982" u="1"/>
        <n v="0.72016460905349799" u="1"/>
        <n v="0.78125" u="1"/>
        <n v="0.56603773584905659" u="1"/>
        <n v="0.49288061336254108" u="1"/>
        <n v="0.92265795206971679" u="1"/>
        <n v="0.84109589041095889" u="1"/>
        <n v="0.2973713033953998" u="1"/>
        <n v="0.93131868131868134" u="1"/>
        <n v="0.80729166666666663" u="1"/>
        <n v="0.54347826086956519" u="1"/>
        <n v="0.27163198247535597" u="1"/>
        <n v="0.90693430656934304" u="1"/>
        <n v="0.43561643835616437" u="1"/>
        <n v="0.77674418604651163" u="1"/>
        <n v="0.85766423357664234" u="1"/>
        <n v="0.83333333333333337" u="1"/>
        <n v="0.55890410958904113" u="1"/>
        <n v="0.76688453159041392" u="1"/>
        <n v="0.40217391304347827" u="1"/>
        <n v="0.92105263157894735" u="1"/>
        <n v="0.27049180327868855" u="1"/>
        <n v="0.70043572984749458" u="1"/>
        <n v="0.90485629335976214" u="1"/>
        <n v="0.75912408759124084" u="1"/>
        <n v="0.63398692810457513" u="1"/>
        <n v="0.9342465753424658" u="1"/>
        <n v="0.92430278884462147" u="1"/>
        <n v="0.90140845070422537" u="1"/>
        <n v="0.33606557377049179" u="1"/>
        <n v="0.40251916757940853" u="1"/>
        <n v="0.39231824417009603" u="1"/>
        <n v="0.40163934426229508" u="1"/>
        <n v="0.48219178082191783" u="1"/>
        <n v="0.94650205761316875" u="1"/>
        <n v="0.1796276013143483" u="1"/>
        <n v="0.65205479452054793" u="1"/>
        <n v="0.96948356807511737" u="1"/>
        <n v="0.89270152505446621" u="1"/>
        <n v="0.8214285714285714" u="1"/>
        <n v="0.34806629834254144" u="1"/>
        <n v="0.31137724550898205" u="1"/>
        <n v="0.86982570806100223" u="1"/>
        <n v="0.74520547945205484" u="1"/>
        <n v="0.37293729372937295" u="1"/>
        <n v="0.84615384615384615" u="1"/>
        <n v="0.99401197604790414" u="1"/>
        <n v="0.74883720930232556" u="1"/>
        <n v="0.94123505976095623" u="1"/>
        <n v="0.91860465116279066" u="1"/>
        <n v="0.97085610200364303" u="1"/>
        <n v="0.54052573932092007" u="1"/>
        <n v="0.8463648834019204" u="1"/>
        <n v="0.49452354874041621" u="1"/>
        <n v="0.29901423877327493" u="1"/>
        <n v="0.83835616438356164" u="1"/>
        <n v="0.87087912087912089" u="1"/>
        <n v="0.69021739130434778" u="1"/>
        <n v="0.8605577689243028" u="1"/>
        <n v="0.91721854304635764" u="1"/>
        <n v="0.42105263157894735" u="1"/>
        <n v="0.75907590759075905" u="1"/>
        <n v="0.9061032863849765" u="1"/>
        <n v="0.92919389978213507" u="1"/>
        <n v="0.19989047097480833" u="1"/>
        <n v="0.74863387978142082" u="1"/>
        <n v="0.8035714285714286" u="1"/>
        <n v="0.47599451303155005" u="1"/>
        <n v="0.62414266117969819" u="1"/>
        <n v="0.60526315789473684" u="1"/>
        <n v="0.55616438356164388" u="1"/>
        <n v="0.73667711598746077" u="1"/>
        <n v="0.78737997256515779" u="1"/>
        <n v="0.8797814207650273" u="1"/>
        <n v="0.9741784037558685" u="1"/>
        <n v="0.55531215772179632" u="1"/>
        <n v="0.93150684931506844" u="1"/>
        <n v="0.22465753424657534" u="1"/>
        <n v="0.7734204793028322" u="1"/>
        <n v="0.29315068493150687" u="1"/>
        <n v="0.64052287581699341" u="1"/>
        <n v="0.95789473684210524" u="1"/>
        <n v="0.83424408014571949" u="1"/>
        <n v="0.6132075471698113" u="1"/>
        <n v="0.75149700598802394" u="1"/>
        <n v="0.56515775034293558" u="1"/>
        <n v="0.64931506849315068" u="1"/>
        <n v="0.765625" u="1"/>
        <n v="0.95924764890282133" u="1"/>
        <n v="0.16757940854326397" u="1"/>
        <n v="0.97131147540983609" u="1"/>
        <n v="0.77464788732394363" u="1"/>
        <n v="0.76098901098901095" u="1"/>
        <n v="0.87749003984063745" u="1"/>
        <n v="0.73053892215568861" u="1"/>
        <n v="0.33972602739726027" u="1"/>
        <n v="0.78978978978978975" u="1"/>
        <n v="0.93606557377049182" u="1"/>
        <n v="0.33953997809419495" u="1"/>
        <n v="0.20491803278688525" u="1"/>
        <n v="0.74246575342465748" u="1"/>
        <n v="0.70958083832335328" u="1"/>
        <n v="0.88486842105263153" u="1"/>
        <n v="0.7857142857142857" u="1"/>
        <n v="0.97423191278493559" u="1"/>
        <n v="0.87636165577342051" u="1"/>
        <n v="0.23770491803278687" u="1"/>
        <n v="0.38202247191011235" u="1"/>
        <n v="0.99562363238512031" u="1"/>
        <n v="0.84239130434782605" u="1"/>
        <n v="0.88319672131147542" u="1"/>
        <n v="0.91079812206572774" u="1"/>
        <n v="0.54381161007667034" u="1"/>
        <n v="0.38630136986301372" u="1"/>
        <n v="0.550561797752809" u="1"/>
        <n v="0.74346405228758172" u="1"/>
        <n v="0.39643347050754457" u="1"/>
        <n v="0.16981132075471697" u="1"/>
        <n v="0.98249452954048144" u="1"/>
        <n v="0.30065717415115006" u="1"/>
        <n v="0.81043956043956045" u="1"/>
        <n v="0.83561643835616439" u="1"/>
        <n v="0.17127071823204421" u="1"/>
        <n v="0.60326086956521741" u="1"/>
        <n v="0.99672131147540988" u="1"/>
        <n v="0.27491785323110624" u="1"/>
        <n v="0.21358159912376778" u="1"/>
        <n v="0.96936542669584247" u="1"/>
        <n v="0.73553719008264462" u="1"/>
        <n v="0.43287671232876712" u="1"/>
        <n v="0.76859504132231404" u="1"/>
        <n v="0.91873141724479679" u="1"/>
        <n v="0.21546961325966851" u="1"/>
        <n v="0.43867924528301888" u="1"/>
        <n v="0.52127659574468088" u="1"/>
        <n v="0.95738354806739345" u="1"/>
        <n v="0.10410958904109589" u="1"/>
        <n v="0.45544554455445546" u="1"/>
        <n v="0.55342465753424652" u="1"/>
        <n v="0.91712707182320441" u="1"/>
        <n v="0.4940119760479042" u="1"/>
        <n v="0.55859802847754658" u="1"/>
        <n v="0.98584905660377353" u="1"/>
        <n v="0.43564356435643564" u="1"/>
        <n v="0.43154435925520263" u="1"/>
        <n v="0.69302325581395352" u="1"/>
        <n v="0.81374501992031878" u="1"/>
        <n v="0.80620155038759689" u="1"/>
        <n v="0.92622950819672134" u="1"/>
        <n v="0.77934272300469487" u="1"/>
        <n v="0.99164345403899723" u="1"/>
        <n v="0.84640522875816993" u="1"/>
        <n v="0.47945205479452052" u="1"/>
        <n v="0.77995642701525059" u="1"/>
        <n v="0.92409240924092406" u="1"/>
        <n v="0.85995623632385121" u="1"/>
        <n v="0.51173708920187788" u="1"/>
        <n v="0.71350762527233114" u="1"/>
        <n v="0.82453416149068326" u="1"/>
        <n v="0.69135802469135799" u="1"/>
        <n v="0.15342465753424658" u="1"/>
        <n v="0.85459533607681759" u="1"/>
        <n v="0.88448844884488453" u="1"/>
        <n v="0.85339168490153172" u="1"/>
        <n v="0.7005494505494505" u="1"/>
        <n v="0.47305389221556887" u="1"/>
        <n v="0.8557377049180328" u="1"/>
        <n v="0.84682713347921224" u="1"/>
        <n v="0.4467005076142132" u="1"/>
        <n v="0.91549295774647887" u="1"/>
        <n v="0.41624365482233505" u="1"/>
        <n v="0.99400774663932556" u="1"/>
        <n v="0.84026258205689275" u="1"/>
        <n v="0.9868852459016394" u="1"/>
        <n v="0.65016501650165015" u="1"/>
        <n v="0.99493670886075947" u="1"/>
        <n v="0.97262773722627738" u="1"/>
        <n v="0.3168724279835391" u="1"/>
        <n v="0.96926229508196726" u="1"/>
        <n v="0.97222222222222221" u="1"/>
        <n v="0.63237311385459538" u="1"/>
        <n v="0.98356807511737088" u="1"/>
        <n v="0.61056105610561051" u="1"/>
        <n v="0.647887323943662" u="1"/>
        <n v="0.72527472527472525" u="1"/>
        <n v="0.92335766423357668" u="1"/>
        <n v="0.82713347921225377" u="1"/>
        <n v="0.58307210031347967" u="1"/>
        <n v="0.63197969543147203" u="1"/>
        <n v="0.87408759124087587" u="1"/>
        <n v="0.98913043478260865" u="1"/>
        <n v="0.57106598984771573" u="1"/>
        <n v="0.5470974808324206" u="1"/>
        <n v="0.660377358490566" u="1"/>
        <n v="0.82481751824817517" u="1"/>
        <n v="0.94934640522875813" u="1"/>
        <n v="0.49780941949616647" u="1"/>
        <n v="0.7992700729927007" u="1"/>
        <n v="0.3023001095290252" u="1"/>
        <n v="0.81644880174291934" u="1"/>
        <n v="0.62944162436548223" u="1"/>
        <n v="0.6067415730337079" u="1"/>
        <n v="0.66511627906976745" u="1"/>
        <n v="0.75" u="1"/>
        <n v="0.797752808988764" u="1"/>
        <n v="0.91769547325102885" u="1"/>
        <n v="0.93147208121827407" u="1"/>
        <n v="0.89147286821705429" u="1"/>
        <n v="0.96708860759493676" u="1"/>
        <n v="0.2" u="1"/>
        <n v="0.80964467005076146" u="1"/>
        <n v="0.92529880478087645" u="1"/>
        <n v="0.72428884026258211" u="1"/>
        <n v="0.784037558685446" u="1"/>
        <n v="0.88114754098360659" u="1"/>
        <n v="0.71475409836065573" u="1"/>
        <n v="0.71772428884026263" u="1"/>
        <n v="0.61336254107338439" u="1"/>
        <n v="0.92893401015228427" u="1"/>
        <n v="0.51086956521739135" u="1"/>
        <n v="0.45892661555312159" u="1"/>
        <n v="0.56188389923329685" u="1"/>
        <n v="0.84462151394422313" u="1"/>
        <n v="0.51643192488262912" u="1"/>
        <n v="0.84590163934426232" u="1"/>
        <n v="0.80208333333333337" u="1"/>
        <n v="0.43318729463307776" u="1"/>
        <n v="0.93092105263157898" u="1"/>
        <n v="0.69547325102880664" u="1"/>
        <n v="0.9770491803278688" u="1"/>
        <n v="0.66188524590163933" u="1"/>
        <n v="0.97267759562841527" u="1"/>
        <n v="6.8493150684931503E-2" u="1"/>
        <n v="0.69146608315098468" u="1"/>
        <n v="0.91938997821350765" u="1"/>
        <n v="0.68490153172866519" u="1"/>
        <n v="0.8529411764705882" u="1"/>
        <n v="0.62814895947426064" u="1"/>
        <n v="0.64010989010989006" u="1"/>
        <n v="0.92418032786885251" u="1"/>
        <n v="0.72004357298474941" u="1"/>
        <n v="0.90655737704918038" u="1"/>
        <n v="0.94223107569721121" u="1"/>
        <n v="0.24550898203592814" u="1"/>
        <n v="0.75045537340619306" u="1"/>
        <n v="0.46226415094339623" u="1"/>
        <n v="0.34282584884994521" u="1"/>
        <n v="0.2475355969331873" u="1"/>
        <n v="0.57377049180327866" u="1"/>
        <n v="0.98810703666997024" u="1"/>
        <n v="0.97674418604651159" u="1"/>
        <n v="0.58205689277899342" u="1"/>
        <n v="0.84549689440993792" u="1"/>
        <n v="0.6648351648351648" u="1"/>
        <n v="0.86155378486055778" u="1"/>
        <n v="0.92181069958847739" u="1"/>
        <n v="0.70491803278688525" u="1"/>
        <n v="0.57549234135667393" u="1"/>
        <n v="0.55038335158817087" u="1"/>
        <n v="0.56892778993435444" u="1"/>
        <n v="0.83606557377049184" u="1"/>
        <n v="0.83233532934131738" u="1"/>
        <n v="0.75235109717868343" u="1"/>
        <n v="0.78087649402390436" u="1"/>
        <n v="0.96657381615598881" u="1"/>
        <n v="0.93993993993993996" u="1"/>
        <n v="0.56236323851203496" u="1"/>
        <n v="0.7975206611570248" u="1"/>
        <n v="0.2782037239868565" u="1"/>
        <n v="0.68956043956043955" u="1"/>
        <n v="0.95588235294117652" u="1"/>
        <n v="0.52112676056338025" u="1"/>
        <n v="0.83057851239669422" u="1"/>
        <n v="0.55579868708971558" u="1"/>
        <n v="0.53635116598079557" u="1"/>
        <n v="0.43209876543209874" u="1"/>
        <n v="0.69958847736625518" u="1"/>
        <n v="0.86363636363636365" u="1"/>
        <n v="0.81137724550898205" u="1"/>
        <n v="0.82298474945533773" u="1"/>
        <n v="0.5492341356673961" u="1"/>
        <n v="0.93260654112983155" u="1"/>
        <n v="0.8539325842696629" u="1"/>
        <n v="0.9712586719524281" u="1"/>
        <n v="0.61664841182913477" u="1"/>
        <n v="0.77557755775577553" u="1"/>
        <n v="0.43483023001095289" u="1"/>
        <n v="0.79041916167664672" u="1"/>
        <n v="0.735973597359736" u="1"/>
        <n v="0.95659722222222221" u="1"/>
        <n v="0.87848605577689243" u="1"/>
        <n v="0.42561983471074383" u="1"/>
        <n v="0.18291347207009859" u="1"/>
        <n v="0.44214876033057854" u="1"/>
        <n v="0.98263888888888884" u="1"/>
        <n v="0.76946107784431139" u="1"/>
        <n v="0.88431677018633537" u="1"/>
        <n v="0.45867768595041325" u="1"/>
        <n v="0.94883720930232562" u="1"/>
        <n v="0.69508196721311477" u="1"/>
        <n v="0.9157581764122894" u="1"/>
        <n v="0.797808764940239" u="1"/>
        <n v="0.52868852459016391" u="1"/>
        <n v="0.6314348302300109" u="1"/>
        <n v="0.73404255319148937" u="1"/>
        <n v="0.97310756972111556" u="1"/>
        <n v="0.734375" u="1"/>
        <n v="0.46364883401920437" u="1"/>
        <n v="0.37020810514786417" u="1"/>
        <n v="0.92592592592592593" u="1"/>
        <n v="0.6598360655737705" u="1"/>
        <n v="0.34446878422782035" u="1"/>
        <n v="0.76041666666666663" u="1"/>
        <n v="0.65203761755485889" u="1"/>
        <n v="0.99186991869918695" u="1"/>
        <n v="0.60439560439560436" u="1"/>
        <n v="0.5258215962441315" u="1"/>
        <n v="0.78645833333333337" u="1"/>
        <n v="0.55366922234392113" u="1"/>
        <n v="0.35253772290809327" u="1"/>
        <n v="0.94383561643835612" u="1"/>
        <n v="0.54046639231824412" u="1"/>
        <n v="0.75609756097560976" u="1"/>
        <n v="0.89473684210526316" u="1"/>
        <n v="0.70370370370370372" u="1"/>
        <n v="0.50219058050383347" u="1"/>
        <n v="0.54790419161676651" u="1"/>
        <n v="0.91891891891891897" u="1"/>
        <n v="0.30558598028477546" u="1"/>
        <n v="0.87460815047021945" u="1"/>
        <n v="9.4339622641509441E-2" u="1"/>
        <n v="0.27984665936473163" u="1"/>
        <n v="0.92682926829268297" u="1"/>
        <n v="0.80978260869565222" u="1"/>
        <n v="0.62912087912087911" u="1"/>
        <n v="0.69105691056910568" u="1"/>
        <n v="0.52694610778443118" u="1"/>
        <n v="0.81474103585657376" u="1"/>
        <n v="0.84931506849315064" u="1"/>
        <n v="0.99003984063745021" u="1"/>
        <n v="0.36065573770491804" u="1"/>
        <n v="0.45751633986928103" u="1"/>
        <n v="0.57065217391304346" u="1"/>
        <n v="0.46221248630887185" u="1"/>
        <n v="0.89596949891067534" u="1"/>
        <n v="0.829520697167756" u="1"/>
        <n v="0.42622950819672129" u="1"/>
        <n v="0.43647316538882802" u="1"/>
        <n v="0.65384615384615385" u="1"/>
        <n v="0.76307189542483655" u="1"/>
        <n v="0.90390390390390385" u="1"/>
        <n v="0.62601626016260159" u="1"/>
        <n v="0.49180327868852458" u="1"/>
        <n v="0.94246575342465755" u="1"/>
        <n v="0.38408779149519889" u="1"/>
        <n v="0.60356652949245537" u="1"/>
        <n v="0.76680384087791498" u="1"/>
        <n v="0.93004115226337447" u="1"/>
        <n v="0.74019607843137258" u="1"/>
        <n v="0.98905109489051091" u="1"/>
        <n v="0.17086527929901424" u="1"/>
        <n v="0.942021803766105" u="1"/>
        <n v="0.93978102189781021" u="1"/>
        <n v="0.63472070098576128" u="1"/>
        <n v="0.66027397260273968" u="1"/>
        <n v="0.24836601307189543" u="1"/>
        <n v="0.9415041782729805" u="1"/>
        <n v="0.59874608150470221" u="1"/>
        <n v="0.86496350364963503" u="1"/>
        <n v="0.79192546583850931" u="1"/>
        <n v="0.54458161865569277" u="1"/>
        <n v="0.81569343065693434" u="1"/>
        <n v="0.24917853231106243" u="1"/>
        <n v="0.90099009900990101" u="1"/>
        <n v="0.84860248447204967" u="1"/>
        <n v="0.76642335766423353" u="1"/>
        <n v="0.93246187363834421" u="1"/>
        <n v="0.86138613861386137" u="1"/>
        <n v="0.86601307189542487" u="1"/>
        <n v="0.54395604395604391" u="1"/>
        <n v="0.75099601593625498" u="1"/>
        <n v="0.79956427015250542" u="1"/>
        <n v="0.75342465753424659" u="1"/>
        <n v="0.85950413223140498" u="1"/>
        <n v="0.92629482071713143" u="1"/>
        <n v="0.94097222222222221" u="1"/>
        <n v="0.50547645125958374" u="1"/>
        <n v="0.8925619834710744" u="1"/>
        <n v="0.36792452830188677" u="1"/>
        <n v="0.92561983471074383" u="1"/>
        <n v="0.77668845315904145" u="1"/>
        <n v="0.39178082191780822" u="1"/>
        <n v="0.6270627062706271" u="1"/>
        <n v="0.99686520376175547" u="1"/>
        <n v="0.28148959474260676" u="1"/>
        <n v="0.96701388888888884" u="1"/>
        <n v="0.56868131868131866" u="1"/>
        <n v="0.3712574850299401" u="1"/>
        <n v="0.4671280276816609" u="1"/>
        <n v="0.92896174863387981" u="1"/>
        <n v="0.98513379583746286" u="1"/>
        <n v="0.84657534246575339" u="1"/>
        <n v="0.93396226415094341" u="1"/>
        <n v="0.30452674897119342" u="1"/>
        <n v="0.6232201533406353" u="1"/>
        <n v="0.75227686703096541" u="1"/>
        <n v="0.46776406035665297" u="1"/>
        <n v="0.60768175582990402" u="1"/>
        <n v="0.46385542168674698" u="1"/>
        <n v="6.5573770491803282E-2" u="1"/>
        <n v="0.88288288288288286" u="1"/>
        <n v="0.43835616438356162" u="1"/>
        <n v="0.88342440801457189" u="1"/>
        <n v="0.59340659340659341" u="1"/>
        <n v="0.74479166666666663" u="1"/>
        <n v="0.96895424836601307" u="1"/>
        <n v="0.56438356164383563" u="1"/>
        <n v="0.90250544662309373" u="1"/>
        <n v="0.83074534161490687" u="1"/>
        <n v="0.77083333333333337" u="1"/>
        <n v="0.9397260273972603" u="1"/>
        <n v="0.83788706739526408" u="1"/>
        <n v="0.36956521739130432" u="1"/>
        <n v="0.48493150684931507" u="1"/>
        <n v="0.63800657174151154" u="1"/>
        <n v="0.74673202614379086" u="1"/>
        <n v="0.65753424657534243" u="1"/>
        <n v="0.11049723756906077" u="1"/>
        <n v="0.86254980079681276" u="1"/>
        <n v="0.86786786786786785" u="1"/>
        <n v="0.15616438356164383" u="1"/>
        <n v="0.37349397590361444" u="1"/>
        <n v="0.72100313479623823" u="1"/>
        <n v="0.89221556886227549" u="1"/>
        <n v="0.25" u="1"/>
        <n v="0.4993141289437586" u="1"/>
        <n v="0.83401920438957478" u="1"/>
        <n v="0.67906976744186043" u="1"/>
        <n v="0.15224534501642936" u="1"/>
        <n v="0.78187250996015933" u="1"/>
        <n v="0.84883720930232553" u="1"/>
        <n v="0.60849056603773588" u="1"/>
        <n v="0.87125748502994016" u="1"/>
        <n v="0.49175824175824173" u="1"/>
        <n v="0.75068493150684934" u="1"/>
        <n v="0.50876232201533411" u="1"/>
        <n v="0.87254901960784315" u="1"/>
        <n v="0.54060913705583757" u="1"/>
        <n v="0.85029940119760483" u="1"/>
        <n v="0.77503429355281206" u="1"/>
        <n v="0.45939086294416243" u="1"/>
        <n v="0.28313253012048195" u="1"/>
        <n v="0.13043478260869565" u="1"/>
        <n v="0.86956521739130432" u="1"/>
        <n v="0.50824175824175821" u="1"/>
        <n v="0.7208121827411168" u="1"/>
        <n v="0.65989847715736039" u="1"/>
        <n v="0.53807106598984766" u="1"/>
        <n v="0.71677559912854028" u="1"/>
        <n v="0.84383561643835614" u="1"/>
        <n v="0.53038674033149169" u="1"/>
        <n v="0.8293413173652695" u="1"/>
        <n v="0.20273972602739726" u="1"/>
        <n v="0.84010152284263961" u="1"/>
        <n v="0.46549835706462211" u="1"/>
        <n v="0.63043478260869568" u="1"/>
        <n v="0.71827411167512689" u="1"/>
        <n v="0.43975903614457829" u="1"/>
        <n v="7.0754716981132074E-2" u="1"/>
        <n v="0.95939086294416243" u="1"/>
        <n v="0.53296703296703296" u="1"/>
        <n v="0.89847715736040612" u="1"/>
        <n v="0.34983498349834985" u="1"/>
        <n v="0.8375634517766497" u="1"/>
        <n v="0.79880478087649398" u="1"/>
        <n v="0.56164383561643838" u="1"/>
        <n v="0.44565217391304346" u="1"/>
        <n v="0.97410358565737054" u="1"/>
        <n v="0.39150943396226418" u="1"/>
        <n v="0.93698630136986305" u="1"/>
        <n v="0.97549019607843135" u="1"/>
        <n v="0.62874251497005984" u="1"/>
        <n v="0.46405228758169936" u="1"/>
        <n v="0.92534722222222221" u="1"/>
        <n v="0.95589692765113976" u="1"/>
        <n v="0.65116279069767447" u="1"/>
        <n v="0.29589041095890412" u="1"/>
        <n v="0.66771159874608155" u="1"/>
        <n v="0.41975308641975306" u="1"/>
        <n v="0.99069767441860468" u="1"/>
        <n v="0.83813443072702332" u="1"/>
        <n v="0.89342629482071712" u="1"/>
        <n v="0.71287128712871284" u="1"/>
        <n v="0.37513691128148957" u="1"/>
        <n v="0.60778443113772451" u="1"/>
        <n v="0.65479452054794518" u="1"/>
        <n v="0.84326018808777425" u="1"/>
        <n v="0.81971677559912859" u="1"/>
        <n v="0.85170807453416153" u="1"/>
        <n v="0.75326797385620914" u="1"/>
        <n v="0.72368421052631582" u="1"/>
        <n v="0.35294117647058826" u="1"/>
        <n v="0.24931506849315069" u="1"/>
        <n v="0.6868191721132898" u="1"/>
        <n v="0.90838509316770188" u="1"/>
        <n v="6.0273972602739728E-2" u="1"/>
        <n v="0.34246575342465752" u="1"/>
        <n v="0.61591220850480111" u="1"/>
        <n v="0.95454545454545459" u="1"/>
        <n v="0.58682634730538918" u="1"/>
        <n v="0.46153846153846156" u="1"/>
        <n v="0.56352683461117192" u="1"/>
        <n v="0.90039643211100095" u="1"/>
        <n v="0.96557377049180326" u="1"/>
        <n v="0.51204819277108438" u="1"/>
        <n v="0.83183183183183185" u="1"/>
        <n v="0.31051478641840086" u="1"/>
        <n v="0.56586826347305386" u="1"/>
        <n v="0.93032786885245899" u="1"/>
        <n v="0.94553376906318087" u="1"/>
        <n v="0.38904109589041097" u="1"/>
        <n v="0.90123456790123457" u="1"/>
        <n v="0.21851040525739321" u="1"/>
        <n v="0.87908496732026142" u="1"/>
        <n v="9.3150684931506855E-2" u="1"/>
        <n v="0.23204419889502761" u="1"/>
        <n v="0.91035856573705176" u="1"/>
        <n v="0.89508196721311473" u="1"/>
        <n v="0.27358490566037735" u="1"/>
        <n v="0.46714129244249725" u="1"/>
        <n v="0.85620915032679734" u="1"/>
        <n v="0.62325581395348839" u="1"/>
        <n v="0.54132231404958675" u="1"/>
        <n v="0.789760348583878" u="1"/>
        <n v="0.65566037735849059" u="1"/>
        <n v="0.72331154684095855" u="1"/>
        <n v="0.57438016528925617" u="1"/>
        <n v="0.48626373626373626" u="1"/>
        <n v="0.67901234567901236" u="1"/>
        <n v="0.93065693430656937" u="1"/>
        <n v="0.94195250659630603" u="1"/>
        <n v="0.13150684931506848" u="1"/>
        <n v="0.18619934282584885" u="1"/>
        <n v="0.83211678832116787" u="1"/>
        <n v="0.42215568862275449" u="1"/>
        <n v="0.82459016393442619" u="1"/>
        <n v="0.94350842418235881" u="1"/>
        <n v="0.95604395604395609" u="1"/>
        <n v="0.98216055500495536" u="1"/>
        <n v="0.97336065573770492" u="1"/>
        <n v="0.54304635761589404" u="1"/>
        <n v="0.5005476451259584" u="1"/>
        <n v="0.95573770491803278" u="1"/>
        <n v="0.98202614379084963" u="1"/>
        <n v="0.91557734204793029" u="1"/>
        <n v="0.93078324225865205" u="1"/>
        <n v="0.98076923076923073" u="1"/>
        <n v="0.92729083665338641" u="1"/>
        <n v="0.75409836065573765" u="1"/>
        <n v="0.43234323432343236" u="1"/>
        <n v="0.82625272331154687" u="1"/>
        <n v="0.93036211699164351" u="1"/>
        <n v="0.88524590163934425" u="1"/>
        <n v="0.41254125412541254" u="1"/>
        <n v="0.92666005946481667" u="1"/>
        <n v="0.56681270536692219" u="1"/>
        <n v="0.89136490250696376" u="1"/>
        <n v="0.90534979423868311" u="1"/>
        <n v="0.69335511982570808" u="1"/>
        <n v="0.93382352941176472" u="1"/>
        <n v="0.51533406352683464" u="1"/>
        <n v="0.59534883720930232" u="1"/>
        <n v="0.17808219178082191" u="1"/>
        <n v="0.82170542635658916" u="1"/>
        <n v="0.31215772179627599" u="1"/>
        <n v="0.20283018867924529" u="1"/>
        <n v="0.83970856102003644" u="1"/>
        <n v="0.87267080745341619" u="1"/>
        <n v="0.23220153340635269" u="1"/>
        <n v="0.76593625498007967" u="1"/>
        <n v="0.87788778877887785" u="1"/>
        <n v="0.28641840087623222" u="1"/>
        <n v="0.90972222222222221" u="1"/>
        <n v="0.66598360655737709" u="1"/>
        <n v="0.83828382838283833" u="1"/>
        <n v="0.51989026063100141" u="1"/>
        <n v="0.81475409836065571" u="1"/>
        <n v="0.42386831275720166" u="1"/>
        <n v="0.6831275720164609" u="1"/>
        <n v="0.95206971677559915" u="1"/>
        <n v="0.93576388888888884" u="1"/>
        <n v="0.58159912376779843" u="1"/>
        <n v="0.29041916167664672" u="1"/>
        <n v="0.44304490690032861" u="1"/>
        <n v="0.92827868852459017" u="1"/>
        <n v="0.60396039603960394" u="1"/>
        <n v="0.45604395604395603" u="1"/>
        <n v="0.86274509803921573" u="1"/>
        <n v="0.98974358974358978" u="1"/>
        <n v="0.5643564356435643" u="1"/>
        <n v="0.79629629629629628" u="1"/>
        <n v="0.74426229508196717" u="1"/>
        <n v="0.86354581673306774" u="1"/>
        <n v="0.96977205153617441" u="1"/>
        <n v="0.52475247524752477" u="1"/>
        <n v="0.89560439560439564" u="1"/>
        <n v="0.87540983606557377" u="1"/>
        <n v="0.50383351588170866" u="1"/>
        <n v="0.70901639344262291" u="1"/>
        <n v="0.79813664596273293" u="1"/>
        <n v="0.91222570532915359" u="1"/>
        <n v="0.99391660970608342" u="1"/>
        <n v="0.8401639344262295" u="1"/>
        <n v="0.74622770919067216" u="1"/>
        <n v="0.90946502057613166" u="1"/>
        <n v="0.93931398416886547" u="1"/>
        <n v="0.29716981132075471" u="1"/>
        <n v="0.91149068322981364" u="1"/>
        <n v="0.92032967032967028" u="1"/>
        <n v="0.90697674418604646" u="1"/>
        <n v="0.70283018867924529" u="1"/>
        <n v="0.13934426229508196" u="1"/>
        <n v="0.80491803278688523" u="1"/>
        <n v="0.57009857612267256" u="1"/>
        <n v="0.79245283018867929" u="1"/>
        <n v="0.84042553191489366" u="1"/>
        <n v="0.96710526315789469" u="1"/>
        <n v="0.68724279835390945" u="1"/>
        <n v="0.94505494505494503" u="1"/>
        <n v="0.60327868852459021" u="1"/>
        <n v="0.7663398692810458" u="1"/>
        <n v="0.75204918032786883" u="1"/>
        <n v="0.35947712418300654" u="1"/>
        <n v="0.69989106753812635" u="1"/>
        <n v="0.73442622950819669" u="1"/>
        <n v="0.56353591160220995" u="1"/>
        <n v="0.79980079681274896" u="1"/>
        <n v="0.7415730337078652" u="1"/>
        <n v="0.68862275449101795" u="1"/>
        <n v="0.45081967213114754" u="1"/>
        <n v="0.63636363636363635" u="1"/>
        <n v="0.47042716319824751" u="1"/>
        <n v="0.97509960159362552" u="1"/>
        <n v="0.89742319127849357" u="1"/>
        <n v="0.9059080962800875" u="1"/>
        <n v="0.83695652173913049" u="1"/>
        <n v="0.44468784227820374" u="1"/>
        <n v="0.53278688524590168" u="1"/>
        <n v="0.74033149171270718" u="1"/>
        <n v="0.89934354485776802" u="1"/>
        <n v="0.66766467065868262" u="1"/>
        <n v="0.66393442622950816" u="1"/>
        <n v="0.89277899343544853" u="1"/>
        <n v="0.59782608695652173" u="1"/>
        <n v="0.87906976744186049" u="1"/>
        <n v="0.88621444201312916" u="1"/>
        <n v="0.79508196721311475" u="1"/>
        <n v="0.90529247910863508" u="1"/>
        <n v="0.7503429355281207" u="1"/>
        <n v="0.9135802469135802" u="1"/>
        <n v="0.8351648351648352" u="1"/>
        <n v="0.86928104575163401" u="1"/>
        <n v="0.6467065868263473" u="1"/>
        <n v="0.9506849315068493" u="1"/>
        <n v="0.87308533916849018" u="1"/>
        <n v="0.5957446808510638" u="1"/>
        <n v="0.59344262295081962" u="1"/>
        <n v="0.52812071330589849" u="1"/>
        <n v="0.85989010989010994" u="1"/>
        <n v="0.72459016393442621" u="1"/>
        <n v="0.92013888888888884" u="1"/>
        <n v="0.15553121577217963" u="1"/>
        <n v="0.94053518334985131" u="1"/>
        <n v="0.51655629139072845" u="1"/>
        <n v="0.57338444687842283" u="1"/>
        <n v="0.81909937888198758" u="1"/>
        <n v="0.68976897689768979" u="1"/>
        <n v="0.32487309644670048" u="1"/>
        <n v="0.88461538461538458" u="1"/>
        <n v="0.87577639751552794" u="1"/>
        <n v="0.60927152317880795" u="1"/>
        <n v="0.9366754617414248" u="1"/>
        <n v="0.97668038408779145" u="1"/>
        <n v="0.9963503649635036" u="1"/>
        <n v="0.23384446878422782" u="1"/>
        <n v="0.76164383561643834" u="1"/>
        <n v="0.93245341614906829" u="1"/>
        <n v="0.28970427163198248" u="1"/>
        <n v="0.94931506849315073" u="1"/>
        <n v="0.70198675496688745" u="1"/>
        <n v="0.75054704595185995" u="1"/>
        <n v="0.83932461873638342" u="1"/>
        <n v="0.8978102189781022" u="1"/>
        <n v="0.77287581699346408" u="1"/>
        <n v="0.45209580838323354" u="1"/>
        <n v="0.44416243654822335" u="1"/>
        <n v="0.84854014598540151" u="1"/>
        <n v="0.79470198675496684" u="1"/>
        <n v="0.4137055837563452" u="1"/>
        <n v="0.63964950711938662" u="1"/>
        <n v="0.93260473588342441" u="1"/>
        <n v="0.73741794310722097" u="1"/>
        <n v="0.75862068965517238" u="1"/>
        <n v="0.59122085048010975" u="1"/>
        <n v="0.56852791878172593" u="1"/>
        <n v="0.73085339168490149" u="1"/>
        <n v="0.96096096096096095" u="1"/>
        <n v="0.88741721854304634" u="1"/>
        <n v="0.77372262773722633" u="1"/>
        <n v="0.85479452054794525" u="1"/>
        <n v="0.9887640449438202" u="1"/>
        <n v="0.58360655737704914" u="1"/>
        <n v="0.25082146768893759" u="1"/>
        <n v="0.74873096446700504" u="1"/>
        <n v="0.20153340635268346" u="1"/>
        <n v="0.39560439560439559" u="1"/>
        <n v="0.62690355329949243" u="1"/>
        <n v="0.839622641509434" u="1"/>
        <n v="0.98364717542120916" u="1"/>
        <n v="0.80710659898477155" u="1"/>
        <n v="0.57260273972602738" u="1"/>
        <n v="0.98119122257053293" u="1"/>
        <n v="0.74619289340101524" u="1"/>
        <n v="0.77472527472527475" u="1"/>
        <n v="0.98153034300791553" u="1"/>
        <n v="0.62800875273522971" u="1"/>
        <n v="0.94794520547945205" u="1"/>
        <n v="0.92639593908629436" u="1"/>
        <n v="0.94226579520697162" u="1"/>
        <n v="0.30136986301369861" u="1"/>
        <n v="0.38170865279299016" u="1"/>
        <n v="0.87581699346405228" u="1"/>
        <n v="0.92018779342723001" u="1"/>
        <n v="0.84760956175298807" u="1"/>
        <n v="0.61487964989059085" u="1"/>
        <n v="0.7429193899782135" u="1"/>
        <n v="0.7994505494505495" u="1"/>
        <n v="0.66575342465753429" u="1"/>
        <n v="0.49108367626886146" u="1"/>
        <n v="0.8175582990397805" u="1"/>
        <n v="0.92814667988107036" u="1"/>
        <n v="0.98079561042524011" u="1"/>
        <n v="0.96679881070366702" u="1"/>
        <n v="0.98826291079812212" u="1"/>
        <n v="0.76693227091633465" u="1"/>
        <n v="0.60175054704595188" u="1"/>
        <n v="0.84530386740331487" u="1"/>
        <n v="0.59518599562363239" u="1"/>
        <n v="0.34794520547945207" u="1"/>
        <n v="0.82417582417582413" u="1"/>
        <n v="0.22641509433962265" u="1"/>
        <n v="0.31708652792990144" u="1"/>
        <n v="0.47712418300653597" u="1"/>
        <n v="0.50331125827814571" u="1"/>
        <n v="0.37997256515775035" u="1"/>
        <n v="0.59533607681755829" u="1"/>
        <n v="0.75890410958904109" u="1"/>
        <n v="0.75857338820301778" u="1"/>
        <n v="0.22179627601314347" u="1"/>
        <n v="0.94657534246575348" u="1"/>
        <n v="0.78873239436619713" u="1"/>
        <n v="0.59602649006622521" u="1"/>
        <n v="0.97875816993464049" u="1"/>
        <n v="0.60377358490566035" u="1"/>
        <n v="0.76446280991735538" u="1"/>
        <n v="0.64293537787513688" u="1"/>
        <n v="0.84006211180124224" u="1"/>
        <n v="0.39452054794520547" u="1"/>
        <n v="0.47371303395399783" u="1"/>
        <n v="0.8458605664488017" u="1"/>
        <n v="0.99101796407185627" u="1"/>
        <n v="0.447973713033954" u="1"/>
        <n v="0.36601307189542481" u="1"/>
        <n v="0.8547854785478548" u="1"/>
        <n v="0.852054794520548" u="1"/>
        <n v="0.90451388888888884" u="1"/>
        <n v="0.25246440306681273" u="1"/>
        <n v="0.7814569536423841" u="1"/>
        <n v="0.92789968652037613" u="1"/>
        <n v="0.81518151815181517" u="1"/>
        <n v="0.18948521358159912" u="1"/>
        <n v="0.69008714596949894" u="1"/>
        <n v="0.92488262910798125" u="1"/>
        <n v="0.8741721854304636" u="1"/>
        <n v="0.93055555555555558" u="1"/>
        <n v="0.95916334661354585" u="1"/>
        <n v="0.74193548387096775" u="1"/>
        <n v="0.44109589041095892" u="1"/>
        <n v="0.7142857142857143" u="1"/>
        <n v="0.56986301369863013" u="1"/>
        <n v="0.3925619834710744" u="1"/>
        <n v="0.13424657534246576" u="1"/>
        <n v="0.51369112814895945" u="1"/>
        <n v="0.9668874172185431" u="1"/>
        <n v="0.41152263374485598" u="1"/>
        <n v="0.65843621399176955" u="1"/>
        <n v="0.40909090909090912" u="1"/>
        <n v="0.92492492492492495" u="1"/>
        <n v="0.9452054794520548" u="1"/>
        <n v="0.99295774647887325" u="1"/>
        <n v="0.54125412541254125" u="1"/>
        <n v="0.4697674418604651" u="1"/>
        <n v="0.6093023255813953" u="1"/>
        <n v="0.99384825700615176" u="1"/>
        <n v="0.94880174291939001" u="1"/>
        <n v="0.50165016501650161" u="1"/>
        <n v="0.73901098901098905" u="1"/>
        <n v="0.48767123287671232" u="1"/>
        <n v="0.11780821917808219" u="1"/>
        <n v="0.88235294117647056" u="1"/>
        <n v="0.15717415115005476" u="1"/>
        <n v="0.66301369863013704" u="1"/>
        <n v="0.81590413943355122" u="1"/>
        <n v="0.97889182058047497" u="1"/>
        <n v="0.74945533769063177" u="1"/>
        <n v="0.60501567398119127" u="1"/>
        <n v="0.74850299401197606" u="1"/>
        <n v="0.8788819875776398" u="1"/>
        <n v="0.8867924528301887" u="1"/>
        <n v="0.79342723004694837" u="1"/>
        <n v="0.76373626373626369" u="1"/>
        <n v="0.23548740416210295" u="1"/>
        <n v="0.9760956175298805" u="1"/>
        <n v="0.97697368421052633" u="1"/>
        <n v="0.72754491017964074" u="1"/>
        <n v="0.75616438356164384" u="1"/>
        <n v="0.18082191780821918" u="1"/>
        <n v="0.8847736625514403" u="1"/>
        <n v="0.82758620689655171" u="1"/>
        <n v="0.64622124863088715" u="1"/>
        <n v="0.47535596933187296" u="1"/>
        <n v="0.70658682634730541" u="1"/>
        <n v="0.92957746478873238" u="1"/>
        <n v="0.77348066298342544" u="1"/>
        <n v="0.98529411764705888" u="1"/>
        <n v="0.91884531590413943" u="1"/>
        <n v="0.29508196721311475" u="1"/>
        <n v="0.3319615912208505" u="1"/>
        <n v="0.2031763417305586" u="1"/>
        <n v="0.85239651416122009" u="1"/>
        <n v="0.49519890260631" u="1"/>
        <n v="0.66255144032921809" u="1"/>
        <n v="0.99389382547277283" u="1"/>
        <n v="0.82578875171467769" u="1"/>
        <n v="0.99765258215962438" u="1"/>
        <n v="0.78594771241830064" u="1"/>
        <n v="0.25205479452054796" u="1"/>
        <n v="0.95027624309392267" u="1"/>
        <n v="0.58139534883720934" u="1"/>
        <n v="0.86434108527131781" u="1"/>
        <n v="0.92093023255813955" u="1"/>
        <n v="0.51697699890470972" u="1"/>
        <n v="0.56712328767123288" u="1"/>
        <n v="0.69662309368191722" u="1"/>
        <n v="0.91770186335403725" u="1"/>
        <n v="0.56521739130434778" u="1"/>
        <n v="0.86092715231788075" u="1"/>
        <n v="0.22739726027397261" u="1"/>
        <n v="5.4794520547945202E-2" u="1"/>
        <n v="0.65094339622641506" u="1"/>
        <n v="0.29863013698630136" u="1"/>
        <n v="0.7981220657276995" u="1"/>
        <n v="0.85515320334261835" u="1"/>
        <n v="0.95364238410596025" u="1"/>
        <n v="0.93442622950819676" u="1"/>
        <n v="0.56382978723404253" u="1"/>
        <n v="0.91235059760956172" u="1"/>
        <n v="0.6785714285714286" u="1"/>
        <n v="0.41304347826086957" u="1"/>
        <n v="0.98067393458870167" u="1"/>
        <n v="0.86284722222222221" u="1"/>
        <n v="0.96350364963503654" u="1"/>
        <n v="0.98050139275766013" u="1"/>
        <n v="0.98019801980198018" u="1"/>
        <n v="0.95533769063180829" u="1"/>
        <n v="0.94059405940594054" u="1"/>
        <n v="0.96747967479674801" u="1"/>
        <n v="0.88888888888888884" u="1"/>
        <n v="0.32673267326732675" u="1"/>
        <n v="0.29347826086956524" u="1"/>
        <n v="0.8224400871459695" u="1"/>
        <n v="0.34520547945205482" u="1"/>
        <n v="0.83941605839416056" u="1"/>
        <n v="0.3203723986856517" u="1"/>
        <n v="8.2191780821917804E-2" u="1"/>
        <n v="0.70329670329670335" u="1"/>
        <n v="0.36678200692041524" u="1"/>
        <n v="0.77429467084639503" u="1"/>
        <n v="0.79338842975206614" u="1"/>
        <n v="0.93427230046948362" u="1"/>
        <n v="0.82644628099173556" u="1"/>
        <n v="0.74087591240875916" u="1"/>
        <n v="0.84335154826958103" u="1"/>
        <n v="0.84631147540983609" u="1"/>
        <n v="0.90243902439024393" u="1"/>
        <n v="0.9950819672131147" u="1"/>
        <n v="0.84316770186335399" u="1"/>
        <n v="0.92517343904856297" u="1"/>
        <n v="0.41563786008230452" u="1"/>
        <n v="0.55348837209302326" u="1"/>
        <n v="0.66666666666666663" u="1"/>
        <n v="0.97449908925318762" u="1"/>
        <n v="0.47699890470974809" u="1"/>
        <n v="0.17924528301886791" u="1"/>
        <n v="0.45125958378970427" u="1"/>
        <n v="0.95652173913043481" u="1"/>
        <n v="0.94683544303797473" u="1"/>
        <n v="0.79344262295081969" u="1"/>
        <n v="0.25575027382256299" u="1"/>
        <n v="0.92459016393442628" u="1"/>
        <n v="0.19112814895947425" u="1"/>
        <n v="0.45754716981132076" u="1"/>
        <n v="0.56953642384105962" u="1"/>
        <n v="0.71739130434782605" u="1"/>
        <n v="0.75819672131147542" u="1"/>
        <n v="0.9253812636165577" u="1"/>
        <n v="0.84860557768924305" u="1"/>
        <n v="0.52026286966045998" u="1"/>
        <n v="0.52486187845303867" u="1"/>
        <n v="0.88934426229508201" u="1"/>
        <n v="0.66225165562913912" u="1"/>
        <n v="0.41237677984665938" u="1"/>
        <n v="0.29281767955801102" u="1"/>
        <n v="0.4891304347826087" u="1"/>
        <n v="0.94078947368421051" u="1"/>
        <n v="0.76792828685258963" u="1"/>
        <n v="0.75496688741721851" u="1"/>
        <n v="0.35029940119760478" u="1"/>
        <n v="0.76960784313725494" u="1"/>
        <n v="0.7016574585635359" u="1"/>
        <n v="0.72976680384087789" u="1"/>
        <n v="0.89300411522633749" u="1"/>
        <n v="0.61813186813186816" u="1"/>
        <n v="0.6739811912225705" u="1"/>
        <n v="0.15881708652792989" u="1"/>
        <n v="0.84768211920529801" u="1"/>
        <n v="0.98524590163934422" u="1"/>
        <n v="0.93896713615023475" u="1"/>
        <n v="0.87845303867403313" u="1"/>
        <n v="0.42790697674418604" u="1"/>
        <n v="0.58652792990142388" u="1"/>
        <n v="0.94039735099337751" u="1"/>
        <n v="0.33607681755829905" u="1"/>
        <n v="0.50754458161865568" u="1"/>
        <n v="0.67078189300411528" u="1"/>
        <n v="0.78360655737704921" u="1"/>
        <n v="0.93237704918032782" u="1"/>
        <n v="0.6428571428571429" u="1"/>
        <n v="0.12264150943396226" u="1"/>
        <n v="0.89542483660130723" u="1"/>
        <n v="0.91475409836065569" u="1"/>
        <n v="0.69811320754716977" u="1"/>
        <n v="0.78486055776892427" u="1"/>
        <n v="0.47864184008762323" u="1"/>
        <n v="0.66758241758241754" u="1"/>
        <n v="0.71311475409836067" u="1"/>
        <n v="0.73965141612200436" u="1"/>
        <n v="0.80751173708920188" u="1"/>
        <n v="0.96015936254980083" u="1"/>
        <n v="0.78773584905660377" u="1"/>
        <n v="0.23952095808383234" u="1"/>
        <n v="0.39847715736040606" u="1"/>
        <n v="0.67320261437908502" u="1"/>
        <n v="0.40924092409240925" u="1"/>
        <n v="0.84426229508196726" u="1"/>
        <n v="0.84722222222222221" u="1"/>
        <n v="0.20481927710843373" u="1"/>
        <n v="0.87948207171314741" u="1"/>
        <n v="0.95543175487465182" u="1"/>
        <n v="0.97540983606557374" u="1"/>
        <n v="0.86413043478260865" u="1"/>
        <n v="0.36762688614540467" u="1"/>
        <n v="0.87326388888888884" u="1"/>
        <n v="0.65736040609137059" u="1"/>
        <n v="0.89711934156378603" u="1"/>
        <n v="0.59644670050761417" u="1"/>
        <n v="0.53553299492385786" u="1"/>
        <n v="0.64262295081967213" u="1"/>
        <n v="0.48730964467005078" u="1"/>
        <n v="0.41401971522453451" u="1"/>
        <n v="0.80838323353293418" u="1"/>
        <n v="0.83168316831683164" u="1"/>
        <n v="0.55629139072847678" u="1"/>
        <n v="0.89930555555555558" u="1"/>
        <n v="0.71573604060913709" u="1"/>
        <n v="0.86546840958605664" u="1"/>
        <n v="0.62068965517241381" u="1"/>
        <n v="0.65482233502538068" u="1"/>
        <n v="0.83720930232558144" u="1"/>
        <n v="0.79207920792079212" u="1"/>
        <n v="0.64900662251655628" u="1"/>
        <n v="0.75614754098360659" u="1"/>
        <n v="0.89593908629441621" u="1"/>
        <n v="0.90491803278688521" u="1"/>
        <n v="0.676056338028169" u="1"/>
        <n v="0.99454905847373642" u="1"/>
        <n v="0.8350253807106599" u="1"/>
        <n v="0.51165980795610422" u="1"/>
        <n v="0.7741116751269036" u="1"/>
        <n v="0.84259259259259256" u="1"/>
        <n v="0.55769230769230771" u="1"/>
        <n v="0.88729508196721307" u="1"/>
        <n v="0.74172185430463577" u="1"/>
        <n v="0.70969498910675377" u="1"/>
        <n v="0.58981380065717415" u="1"/>
        <n v="0.76646706586826352" u="1"/>
        <n v="0.83443708609271527" u="1"/>
        <n v="0.88842975206611574" u="1"/>
        <n v="0.17105263157894737" u="1"/>
        <n v="0.5181518151815182" u="1"/>
        <n v="0.53688524590163933" u="1"/>
        <n v="0.92148760330578516" u="1"/>
        <n v="0.58241758241758246" u="1"/>
        <n v="0.83442622950819667" u="1"/>
        <n v="0.92715231788079466" u="1"/>
        <n v="0.22508214676889376" u="1"/>
        <n v="0.66803278688524592" u="1"/>
        <n v="0.93904856293359762" u="1"/>
        <n v="0.98684210526315785" u="1"/>
        <n v="0.97770069375619428" u="1"/>
        <n v="0.96840958605664484" u="1"/>
        <n v="0.81573705179282874" u="1"/>
        <n v="0.76986301369863008" u="1"/>
        <n v="0.79918032786885251" u="1"/>
        <n v="0.6292134831460674" u="1"/>
        <n v="0.8202247191011236" u="1"/>
        <n v="0.18784530386740331" u="1"/>
        <n v="0.90460526315789469" u="1"/>
        <n v="0.95753424657534247" u="1"/>
        <n v="0.6071428571428571" u="1"/>
        <n v="0.8066298342541437" u="1"/>
        <n v="0.936247723132969" u="1"/>
        <n v="0.45454545454545453" u="1"/>
        <n v="0.57475994513031547" u="1"/>
        <n v="0.45130315500685869" u="1"/>
        <n v="0.73799725651577508" u="1"/>
        <n v="0.76393442622950825" u="1"/>
        <n v="0.47107438016528924" u="1"/>
        <n v="0.25903614457831325" u="1"/>
        <n v="0.80930232558139537" u="1"/>
        <n v="0.81263616557734208" u="1"/>
        <n v="0.92248062015503873" u="1"/>
        <n v="0.54491017964071853" u="1"/>
        <n v="0.74618736383442263" u="1"/>
        <n v="0.6797385620915033" u="1"/>
        <n v="0.86301369863013699" u="1"/>
        <n v="0.89071038251366119" u="1"/>
        <n v="0.92220019821605548" u="1"/>
        <n v="0.13207547169811321" u="1"/>
        <n v="0.51577503429355276" u="1"/>
        <n v="0.41566265060240964" u="1"/>
        <n v="0.5239520958083832" u="1"/>
        <n v="0.38992332968236582" u="1"/>
        <n v="0.58082191780821912" u="1"/>
        <n v="0.9051094890510949" u="1"/>
        <n v="0.74294670846394983" u="1"/>
        <n v="0.93845315904139437" u="1"/>
        <n v="0.95616438356164379" u="1"/>
        <n v="0.16046002190580505" u="1"/>
        <n v="0.49590163934426229" u="1"/>
        <n v="0.48285322359396432" u="1"/>
        <n v="0.47194719471947194" u="1"/>
        <n v="0.59309967141292441" u="1"/>
        <n v="0.49315068493150682" u="1"/>
        <n v="0.63576158940397354" u="1"/>
        <n v="0.75199203187250996" u="1"/>
        <n v="0.62295081967213117" u="1"/>
        <n v="0.84912854030501095" u="1"/>
        <n v="0.67397260273972603" u="1"/>
        <n v="0.68248175182481752" u="1"/>
        <n v="0.83159722222222221" u="1"/>
        <n v="0.3253012048192771" u="1"/>
        <n v="0.72847682119205293" u="1"/>
        <n v="0.71623093681917216" u="1"/>
        <n v="0.96935933147632314" u="1"/>
        <n v="0.52197802197802201" u="1"/>
        <n v="0.85763888888888884" u="1"/>
        <n v="0.37174211248285322" u="1"/>
        <n v="0.57887517146776402" u="1"/>
        <n v="0.26797385620915032" u="1"/>
        <n v="0.74211248285322362" u="1"/>
        <n v="0.82119205298013243" u="1"/>
        <n v="0.95709570957095713" u="1"/>
        <n v="0.99387104123946224" u="1"/>
        <n v="0.88368055555555558" u="1"/>
        <n v="0.76712328767123283" u="1"/>
        <n v="0.91390728476821192" u="1"/>
        <n v="0.48192771084337349" u="1"/>
        <n v="0.95479452054794522" u="1"/>
        <n v="0.54670329670329665" u="1"/>
        <n v="0.97494553376906323" u="1"/>
        <n v="0.8764044943820225" u="1"/>
        <n v="0.20646221248630886" u="1"/>
        <n v="0.38023952095808383" u="1"/>
        <n v="0.50943396226415094" u="1"/>
        <n v="0.64356435643564358" u="1"/>
        <n v="0.92391304347826086" u="1"/>
        <n v="0.86027397260273974" u="1"/>
        <n v="0.81917211328976036" u="1"/>
        <n v="0.25753424657534246" u="1"/>
        <n v="0.30939226519337015" u="1"/>
        <n v="0.41730558598028478" u="1"/>
        <n v="0.59905660377358494" u="1"/>
        <n v="0.5161290322580645" u="1"/>
        <n v="0.40329218106995884" u="1"/>
        <n v="0.64197530864197527" u="1"/>
        <n v="0.39156626506024095" u="1"/>
        <n v="0.80521262002743488" u="1"/>
        <n v="0.37024221453287198" u="1"/>
        <n v="0.96844993141289437" u="1"/>
        <n v="0.68478260869565222" u="1"/>
        <n v="0.57808219178082187" u="1"/>
        <n v="0.73480662983425415" u="1"/>
        <n v="0.86520376175548586" u="1"/>
        <n v="0.95065789473684215" u="1"/>
        <n v="0.95342465753424654" u="1"/>
        <n v="0.23013698630136986" u="1"/>
        <n v="0.64786418400876233" u="1"/>
        <n v="0.95041322314049592" u="1"/>
        <n v="0.30410958904109592" u="1"/>
        <n v="0.26946107784431139" u="1"/>
        <n v="0.78078078078078073" u="1"/>
        <n v="0.29218106995884774" u="1"/>
        <n v="0.59638554216867468" u="1"/>
        <n v="0.94498910675381265" u="1"/>
        <n v="0.48618784530386738" u="1"/>
        <n v="0.98347107438016534" u="1"/>
        <n v="0.58299039780521267" u="1"/>
        <n v="0.67123287671232879" u="1"/>
        <n v="0.92211328976034856" u="1"/>
        <n v="0.9518599562363238" u="1"/>
        <n v="0.48076923076923078" u="1"/>
        <n v="0.96115537848605581" u="1"/>
        <n v="0.94529540481400443" u="1"/>
        <n v="0.99157581764122893" u="1"/>
        <n v="0.35068493150684932" u="1"/>
        <n v="0.72276688453159044" u="1"/>
        <n v="0.25409836065573771" u="1"/>
        <n v="0.96323529411764708" u="1"/>
        <n v="0.86831275720164613" u="1"/>
        <n v="0.93873085339168494" u="1"/>
        <n v="0.96273291925465843" u="1"/>
        <n v="0.50413223140495866" u="1"/>
        <n v="0.93216630196936545" u="1"/>
        <n v="0.48357064622124862" u="1"/>
        <n v="0.76438356164383559" u="1"/>
        <n v="0.88047808764940239" u="1"/>
        <n v="0.80794701986754969" u="1"/>
        <n v="0.53719008264462809" u="1"/>
        <n v="0.86826347305389218" u="1"/>
        <n v="0.57024793388429751" u="1"/>
        <n v="0.38524590163934425" u="1"/>
        <n v="0.26232201533406352" u="1"/>
        <n v="0.91903719912472648" u="1"/>
        <n v="0.90066225165562919" u="1"/>
        <n v="0.39726027397260272" u="1"/>
        <n v="0.96978021978021978" u="1"/>
        <n v="0.48696844993141292" u="1"/>
        <n v="0.19441401971522454" u="1"/>
        <n v="0.99337748344370858" u="1"/>
        <n v="0.93607532210109023" u="1"/>
        <n v="0.8575342465753425" u="1"/>
        <n v="0.98198198198198194" u="1"/>
        <n v="0.89215686274509809" u="1"/>
        <n v="0.39320920043811608" u="1"/>
        <n v="0.8161925601750547" u="1"/>
        <n v="0.82570806100217864" u="1"/>
        <n v="0.99450549450549453" u="1"/>
        <n v="0.94428969359331472" u="1"/>
        <n v="0.44383561643835617" u="1"/>
        <n v="0.10684931506849316" u="1"/>
        <n v="0.58710562414266121" u="1"/>
        <n v="0.7592592592592593" u="1"/>
        <n v="0.57534246575342463" u="1"/>
        <n v="0.80962800875273522" u="1"/>
        <n v="0.69281045751633985" u="1"/>
        <n v="0.88819875776397517" u="1"/>
        <n v="0.86805555555555558" u="1"/>
        <n v="0.89741035856573703" u="1"/>
        <n v="0.94487577639751552" u="1"/>
        <n v="0.75975975975975973" u="1"/>
        <n v="0.79649890590809624" u="1"/>
        <n v="0.59967141292442494" u="1"/>
        <n v="0.8085808580858086" u="1"/>
        <n v="0.55660377358490565" u="1"/>
        <n v="0.49041095890410957" u="1"/>
        <n v="0.62574850299401197" u="1"/>
        <n v="0.87242798353909468" u="1"/>
        <n v="0.76897689768976896" u="1"/>
        <n v="0.81673306772908372" u="1"/>
        <n v="0.66849315068493154" u="1"/>
        <n v="0.26886792452830188" u="1"/>
        <n v="0.89253187613843354" u="1"/>
        <n v="0.15890410958904111" u="1"/>
        <n v="0.77680525164113789" u="1"/>
        <n v="0.45054945054945056" u="1"/>
        <n v="0.66298342541436461" u="1"/>
        <n v="0.60479041916167664" u="1"/>
        <n v="0.40740740740740738" u="1"/>
        <n v="0.48521358159912376" u="1"/>
        <n v="0.79575163398692805" u="1"/>
        <n v="0.83977900552486184" u="1"/>
        <n v="0.97814207650273222" u="1"/>
        <n v="0.58383233532934131" u="1"/>
        <n v="0.91447368421052633" u="1"/>
        <n v="0.97080291970802923" u="1"/>
        <n v="0.26396495071193865" u="1"/>
        <n v="0.67396061269146612" u="1"/>
        <n v="0.80145719489981782" u="1"/>
        <n v="0.85116279069767442" u="1"/>
        <n v="0.92701863354037262" u="1"/>
        <n v="0.90934065934065933" u="1"/>
        <n v="0.87226277372262773" u="1"/>
        <n v="0.56287425149700598" u="1"/>
        <n v="0.29629629629629628" u="1"/>
        <n v="0.35279187817258884" u="1"/>
        <n v="0.66083150984682715" u="1"/>
        <n v="0.53669222343921141" u="1"/>
        <n v="0.20547945205479451" u="1"/>
        <n v="0.42059145673603504" u="1"/>
        <n v="4.9315068493150684E-2" u="1"/>
        <n v="0.92279411764705888" u="1"/>
        <n v="0.98133333333333328" u="1"/>
        <n v="0.25479452054794521" u="1"/>
        <n v="0.64770240700218817" u="1"/>
        <n v="0.93416927899686519" u="1"/>
        <n v="0.74817518248175185" u="1"/>
        <n v="0.39485213581599121" u="1"/>
        <n v="0.48788927335640137" u="1"/>
        <n v="0.98013245033112584" u="1"/>
        <n v="0.93406593406593408" u="1"/>
        <n v="0.19672131147540983" u="1"/>
        <n v="0.64113785557986869" u="1"/>
        <n v="0.75298804780876494" u="1"/>
        <n v="0.96514161220043571" u="1"/>
        <n v="0.4720812182741117" u="1"/>
        <n v="0.41037735849056606" u="1"/>
        <n v="0.44162436548223349" u="1"/>
        <n v="0.43895747599451301" u="1"/>
        <n v="0.43113772455089822" u="1"/>
        <n v="0.92828685258964139" u="1"/>
        <n v="0.87654320987654322" u="1"/>
        <n v="0.68527918781725883" u="1"/>
        <n v="0.22950819672131148" u="1"/>
        <n v="0.92924528301886788" u="1"/>
        <n v="0.36842105263157893" u="1"/>
        <n v="0.76579520697167758" u="1"/>
        <n v="0.80456852791878175" u="1"/>
        <n v="0.95879120879120883" u="1"/>
        <n v="7.1232876712328766E-2" u="1"/>
        <n v="0.98155737704918034" u="1"/>
        <n v="0.98477157360406087" u="1"/>
        <n v="0.9639344262295082" u="1"/>
        <n v="0.32784636488340191" u="1"/>
        <n v="0.65432098765432101" u="1"/>
        <n v="0.86294416243654826" u="1"/>
        <n v="0.80203045685279184" u="1"/>
        <n v="0.22836801752464403" u="1"/>
        <n v="0.42032967032967034" u="1"/>
        <n v="0.80034722222222221" u="1"/>
        <n v="0.41017964071856289" u="1"/>
        <n v="0.96583850931677018" u="1"/>
        <n v="0.82325581395348835" u="1"/>
        <n v="0.59917355371900827" u="1"/>
        <n v="0.63223140495867769" u="1"/>
        <n v="0.48685651697699889" u="1"/>
        <n v="0.66528925619834711" u="1"/>
        <n v="0.89344262295081966" u="1"/>
        <n v="0.94521912350597614" u="1"/>
        <n v="0.86873638344226578" u="1"/>
        <n v="0.93399339933993397" u="1"/>
        <n v="0.84890109890109888" u="1"/>
        <n v="0.94995044598612488" u="1"/>
        <n v="0.98860257680872154" u="1"/>
        <n v="0.86454183266932272" u="1"/>
        <n v="0.89438943894389444" u="1"/>
        <n v="0.29245283018867924" u="1"/>
        <n v="0.93403693931398413" u="1"/>
        <n v="0.71296296296296291" u="1"/>
        <n v="0.71742112482853226" u="1"/>
        <n v="0.82295081967213113" u="1"/>
        <n v="0.53997809419496168" u="1"/>
        <n v="0.88065843621399176" u="1"/>
        <n v="0.32596685082872928" u="1"/>
        <n v="0.69339622641509435" u="1"/>
        <n v="0.95409836065573772" u="1"/>
        <n v="0.76795580110497241" u="1"/>
        <n v="0.69736842105263153" u="1"/>
        <n v="0.87362637362637363" u="1"/>
        <n v="0.4143646408839779" u="1"/>
        <n v="0.62046204620462042" u="1"/>
        <n v="0.16374589266155531" u="1"/>
        <n v="0.58085808580858089" u="1"/>
        <n v="0.65217391304347827" u="1"/>
        <n v="0.75245901639344259" u="1"/>
        <n v="0.97167755991285398" u="1"/>
        <n v="0.93310208126858274" u="1"/>
        <n v="0.89835164835164838" u="1"/>
        <n v="0.20261437908496732" u="1"/>
        <n v="0.83877995642701531" u="1"/>
        <n v="0.87828947368421051" u="1"/>
        <n v="0.88360655737704918" u="1"/>
        <n v="0.71721311475409832" u="1"/>
        <n v="0.45652173913043476" u="1"/>
        <n v="0.92814371257485029" u="1"/>
        <n v="0.39010989010989011" u="1"/>
        <n v="0.68300653594771243" u="1"/>
        <n v="0.5284775465498357" u="1"/>
        <n v="0.97950819672131151" u="1"/>
        <n v="0.33695652173913043" u="1"/>
        <n v="0.90990990990990994" u="1"/>
        <n v="0.43396226415094341" u="1"/>
        <n v="0.80079681274900394" u="1"/>
        <n v="0.81311475409836065" u="1"/>
        <n v="0.48849945235487402" u="1"/>
        <n v="0.78056426332288398" u="1"/>
        <n v="0.37370242214532873" u="1"/>
        <n v="0.80851063829787229" u="1"/>
        <n v="0.29299014238773274" u="1"/>
        <n v="0.94426229508196724" u="1"/>
        <n v="0.44307270233196161" u="1"/>
        <n v="0.26725082146768891" u="1"/>
        <n v="0.20974808324205915" u="1"/>
        <n v="0.94172113289760351" u="1"/>
        <n v="0.76024590163934425" u="1"/>
        <n v="0.78846153846153844" u="1"/>
        <n v="0.87527233115468406" u="1"/>
        <n v="0.5947426067907996" u="1"/>
        <n v="0.74262295081967211" u="1"/>
        <n v="0.80882352941176472" u="1"/>
        <n v="0.89435336976320579" u="1"/>
        <n v="0.54326396495071194" u="1"/>
        <n v="0.42387732749178531" u="1"/>
        <n v="0.87123287671232874" u="1"/>
        <n v="0.39813800657174153" u="1"/>
        <n v="0.68562874251497008" u="1"/>
        <n v="0.78472222222222221" u="1"/>
        <n v="0.80434782608695654" u="1"/>
        <n v="0.81318681318681318" u="1"/>
        <n v="0.7194989106753813" u="1"/>
        <n v="0.54098360655737709" u="1"/>
        <n v="0.67213114754098358" u="1"/>
        <n v="0.97996357012750457" u="1"/>
        <n v="0.66467065868263475" u="1"/>
        <n v="0.78463648834019206" u="1"/>
        <n v="0.60952902519167584" u="1"/>
        <n v="0.94787379972565156" u="1"/>
        <n v="0.80327868852459017" u="1"/>
        <n v="0.96438356164383565" u="1"/>
        <n v="0.83791208791208793" u="1"/>
        <n v="0.97821350762527237" u="1"/>
        <n v="0.33351588170865282" u="1"/>
        <n v="0.64371257485029942" u="1"/>
        <n v="0.91176470588235292" u="1"/>
        <n v="0.66115702479338845" u="1"/>
        <n v="0.74056603773584906" u="1"/>
        <n v="0.84531590413943358" u="1"/>
        <n v="0.69613259668508287" u="1"/>
        <n v="0.98722627737226276" u="1"/>
        <n v="0.68219178082191778" u="1"/>
        <n v="0.93795620437956206" u="1"/>
        <n v="0.99746835443037973" u="1"/>
        <n v="0.36351165980795608" u="1"/>
        <n v="0.72727272727272729" u="1"/>
        <n v="0.53176341730558596" u="1"/>
        <n v="0.73278688524590163" u="1"/>
        <n v="0.78547854785478544" u="1"/>
        <n v="0.83018867924528306" u="1"/>
        <n v="0.91240875912408759" u="1"/>
        <n v="0.5168539325842697" u="1"/>
        <n v="0.8729281767955801" u="1"/>
        <n v="0.49014238773274915" u="1"/>
        <n v="0.7151639344262295" u="1"/>
        <n v="0.86313868613138689" u="1"/>
        <n v="0.74587458745874591" u="1"/>
        <n v="0.68954248366013071" u="1"/>
        <n v="0.29463307776560788" u="1"/>
        <n v="0.81386861313868608" u="1"/>
        <n v="0.24861878453038674" u="1"/>
        <n v="0.76459854014598538" u="1"/>
        <n v="0.5311475409836065" u="1"/>
        <n v="0.77534246575342469" u="1"/>
        <n v="0.9762532981530343" u="1"/>
        <n v="0.71532846715328469" u="1"/>
        <n v="0.94984326018808773" u="1"/>
        <n v="0.96301369863013697" u="1"/>
        <n v="0.96382556987115953" u="1"/>
        <n v="0.1976998904709748" u="1"/>
        <n v="0.92434210526315785" u="1"/>
        <n v="0.46107784431137727" u="1"/>
        <n v="0.72802197802197799" u="1"/>
        <n v="0.59802847754654986" u="1"/>
        <n v="0.75398406374501992" u="1"/>
        <n v="0.40273972602739727" u="1"/>
        <n v="0.87387387387387383" u="1"/>
        <n v="0.48366013071895425" u="1"/>
        <n v="0.54654983570646221" u="1"/>
        <n v="0.94825708061002179" u="1"/>
        <n v="0.42552026286966044" u="1"/>
        <n v="0.62704918032786883" u="1"/>
        <n v="0.39506172839506171" u="1"/>
        <n v="0.815359477124183" u="1"/>
        <n v="0.86849315068493149" u="1"/>
        <n v="0.62551440329218111" u="1"/>
        <n v="0.7887517146776406" u="1"/>
        <n v="0.95108695652173914" u="1"/>
        <n v="0.75274725274725274" u="1"/>
        <n v="0.79248366013071891" u="1"/>
        <n v="0.44931506849315067" u="1"/>
        <n v="0.90832507433102083" u="1"/>
        <n v="0.44011976047904194" u="1"/>
        <n v="0.9469772051536175" u="1"/>
        <n v="0.50471698113207553" u="1"/>
        <n v="0.58630136986301373" u="1"/>
        <n v="0.71195652173913049" u="1"/>
        <n v="0.61281489594742611" u="1"/>
        <n v="0.62695924764890287" u="1"/>
        <n v="0.9616438356164384" u="1"/>
        <n v="0.56652949245541839" u="1"/>
        <n v="0.77747252747252749" u="1"/>
        <n v="0.33515881708652795" u="1"/>
        <n v="0.8253105590062112" u="1"/>
        <n v="0.24370208105147864" u="1"/>
        <n v="0.71162790697674416" u="1"/>
        <n v="0.67008196721311475" u="1"/>
        <n v="0.49589041095890413" u="1"/>
        <n v="0.67945205479452053" u="1"/>
        <n v="0.65245901639344261" u="1"/>
        <n v="0.16164383561643836" u="1"/>
        <n v="0.9183006535947712" u="1"/>
        <n v="0.53504928806133623" u="1"/>
        <n v="0.84952978056426331" u="1"/>
        <n v="0.85185185185185186" u="1"/>
        <n v="0.4098360655737705" u="1"/>
        <n v="0.76909722222222221" u="1"/>
        <n v="0.49134948096885811" u="1"/>
        <n v="0.8655378486055777" u="1"/>
        <n v="0.93322981366459623" u="1"/>
        <n v="0.47540983606557374" u="1"/>
        <n v="0.7640449438202247" u="1"/>
        <n v="0.79513888888888884" u="1"/>
        <n v="0.76252723311546844" u="1"/>
        <n v="0.77260273972602744" u="1"/>
        <n v="0.58196721311475408" u="1"/>
        <n v="0.69607843137254899" u="1"/>
        <n v="0.96027397260273972" u="1"/>
        <n v="0.62962962962962965" u="1"/>
        <n v="0.99373433583959903" u="1"/>
        <n v="0.82118055555555558" u="1"/>
        <n v="0.60131434830230013" u="1"/>
        <n v="0.34254143646408841" u="1"/>
        <n v="0.54983570646221247" u="1"/>
        <n v="0.42716319824753557" u="1"/>
        <n v="0.30710659898477155" u="1"/>
        <n v="0.80110497237569056" u="1"/>
        <n v="0.80745341614906829" u="1"/>
        <n v="0.99442896935933145" u="1"/>
        <n v="0.4014238773274918" u="1"/>
        <n v="0.97361477572559363" u="1"/>
        <n v="0.86575342465753424" u="1"/>
        <n v="0.20821917808219179" u="1"/>
        <n v="0.91089108910891092" u="1"/>
        <n v="0.69230769230769229" u="1"/>
        <n v="0.17907995618838993" u="1"/>
        <n v="0.9880239520958084" u="1"/>
        <n v="0.26027397260273971" u="1"/>
        <n v="0.88834422657952072" u="1"/>
        <n v="0.87128712871287128" u="1"/>
        <n v="0.9732408325074331" u="1"/>
        <n v="0.94366197183098588" u="1"/>
        <n v="0.83783783783783783" u="1"/>
        <n v="0.42639593908629442" u="1"/>
        <n v="0.88247011952191234" u="1"/>
        <n v="0.58356164383561648" u="1"/>
        <n v="0.39593908629441626" u="1"/>
        <n v="0.96706586826347307" u="1"/>
        <n v="0.59390862944162437" u="1"/>
        <n v="0.7990196078431373" u="1"/>
        <n v="0.53299492385786806" u="1"/>
        <n v="0.71703296703296704" u="1"/>
        <n v="0.95890410958904104" u="1"/>
        <n v="0.73257080610021785" u="1"/>
        <n v="0.8559670781893004" u="1"/>
        <n v="0.30684931506849317" u="1"/>
        <n v="0.71319796954314718" u="1"/>
        <n v="0.88815789473684215" u="1"/>
        <n v="0.59735973597359737" u="1"/>
        <n v="0.79623824451410663" u="1"/>
        <n v="0.65228426395939088" u="1"/>
        <n v="0.59137055837563457" u="1"/>
        <n v="0.8223140495867769" u="1"/>
        <n v="0.94610778443113774" u="1"/>
        <n v="0.97709163346613548" u="1"/>
        <n v="0.55775577557755773" u="1"/>
        <n v="0.89340101522842641" u="1"/>
        <n v="0.67671232876712328" u="1"/>
        <n v="0.8324873096446701" u="1"/>
        <n v="0.53833515881708649" u="1"/>
        <n v="0.74175824175824179" u="1"/>
        <n v="0.9177403369672944" u="1"/>
        <n v="0.71065989847715738" u="1"/>
        <n v="0.49342825848849947" u="1"/>
        <n v="0.3991769547325103" u="1"/>
        <n v="0.85063752276867033" u="1"/>
        <n v="0.23584905660377359" u="1"/>
        <n v="0.63374485596707819" u="1"/>
        <n v="0.95177664974619292" u="1"/>
        <n v="0.79698216735253768" u="1"/>
        <n v="0.8908629441624365" u="1"/>
        <n v="0.29791894852135814" u="1"/>
        <n v="0.35342465753424657" u="1"/>
        <n v="0.92483660130718959" u="1"/>
        <n v="0.81220657276995301" u="1"/>
        <n v="0.84627329192546585" u="1"/>
        <n v="0.55188679245283023" u="1"/>
        <n v="0.27217962760131437" u="1"/>
        <n v="0.23684210526315788" u="1"/>
        <n v="0.19934282584884994" u="1"/>
        <n v="0.64150943396226412" u="1"/>
        <n v="0.83551198257080606" u="1"/>
        <n v="0.60460021905805039" u="1"/>
        <n v="0.2880658436213992" u="1"/>
        <n v="0.76906318082788672" u="1"/>
        <n v="0.72455089820359286" u="1"/>
        <n v="0.4" u="1"/>
        <n v="0.42880613362541076" u="1"/>
        <n v="9.5890410958904104E-2" u="1"/>
        <n v="0.94835680751173712" u="1"/>
        <n v="0.95419254658385089" u="1"/>
        <n v="0.99402390438247012" u="1"/>
        <n v="0.70359281437125754" u="1"/>
        <n v="0.63186813186813184" u="1"/>
        <n v="0.68075117370892024" u="1"/>
        <n v="0.96085232903865214" u="1"/>
        <n v="0.16703176341730558" u="1"/>
        <n v="0.43072702331961593" u="1"/>
        <n v="0.86008230452674894" u="1"/>
        <n v="0.9133466135458167" u="1"/>
        <n v="0.49019607843137253" u="1"/>
        <n v="0.6959247648902821" u="1"/>
        <n v="0.96132897603485834" u="1"/>
        <n v="0.44657534246575342" u="1"/>
        <n v="0.97810218978102192" u="1"/>
        <n v="0.68263473053892221" u="1"/>
        <n v="0.37716262975778547" u="1"/>
        <n v="0.13698630136986301" u="1"/>
        <n v="0.65659340659340659" u="1"/>
        <n v="0.87956204379562042" u="1"/>
        <n v="0.87200435729847492" u="1"/>
        <n v="0.24534501642935377" u="1"/>
        <n v="0.53260869565217395" u="1"/>
        <n v="0.63786008230452673" u="1"/>
        <n v="8.1643835616438357E-2" u="1"/>
        <n v="0.78102189781021902" u="1"/>
        <n v="0.91849529780564265" u="1"/>
        <n v="0.81690140845070425" u="1"/>
        <n v="0.73910675381263613" u="1"/>
        <n v="0.53191489361702127" u="1"/>
        <n v="0.90535183349851334" u="1"/>
        <n v="0.94400396432111" u="1"/>
        <n v="0.92452830188679247" u="1"/>
        <n v="0.68131868131868134" u="1"/>
        <n v="0.54929577464788737" u="1"/>
        <n v="0.65693430656934304" u="1"/>
        <n v="0.99669966996699666" u="1"/>
        <n v="0.38604651162790699" u="1"/>
        <n v="0.2738225629791895" u="1"/>
        <n v="0.95305164319248825" u="1"/>
        <n v="0.18356164383561643" u="1"/>
        <n v="0.20915032679738563" u="1"/>
        <n v="0.76237623762376239" u="1"/>
        <n v="4.3835616438356165E-2" u="1"/>
        <n v="0.60788608981380066" u="1"/>
        <n v="0.84960159362549803" u="1"/>
        <n v="0.72277227722772275" u="1"/>
        <n v="0.92658227848101271" u="1"/>
        <n v="0.3511659807956104" u="1"/>
        <n v="0.68544600938967137" u="1"/>
        <n v="0.90849673202614378" u="1"/>
        <n v="0.81055900621118016" u="1"/>
        <n v="0.70096021947873799" u="1"/>
        <n v="0.86419753086419748" u="1"/>
        <n v="0.84204793028322444" u="1"/>
        <n v="0.98565573770491799" u="1"/>
        <n v="0.85197368421052633" u="1"/>
        <n v="0.64263322884012541" u="1"/>
        <n v="0.70915032679738566" u="1"/>
        <n v="0.5714285714285714" u="1"/>
        <n v="0.99781181619256021" u="1"/>
        <n v="0.93278688524590159" u="1"/>
        <n v="0.99124726477024072" u="1"/>
        <n v="0.82159624413145538" u="1"/>
        <n v="0.85123966942148765" u="1"/>
        <n v="0.68867924528301883" u="1"/>
        <n v="0.59615384615384615" u="1"/>
        <n v="0.89754098360655743" u="1"/>
        <n v="0.96786492374727673" u="1"/>
        <n v="0.97811816192560175" u="1"/>
        <n v="0.9173553719008265" u="1"/>
        <n v="0.75348837209302322" u="1"/>
        <n v="0.81007751937984496" u="1"/>
        <n v="0.86229508196721316" u="1"/>
        <n v="0.96498905908096277" u="1"/>
        <n v="0.93161546085232905" u="1"/>
        <n v="0.95774647887323938" u="1"/>
        <n v="0.79270186335403725" u="1"/>
        <n v="0.62087912087912089" u="1"/>
        <n v="0.81209150326797386" u="1"/>
        <n v="0.98798798798798804" u="1"/>
        <n v="0.99344262295081964" u="1"/>
        <n v="0.49671412924424974" u="1"/>
        <n v="0.74564270152505452" u="1"/>
        <n v="0.78585657370517925" u="1"/>
        <n v="0.67919389978213507" u="1"/>
        <n v="0.30120481927710846" u="1"/>
        <n v="0.80942622950819676" u="1"/>
        <n v="0.6901408450704225" u="1"/>
        <n v="0.27546549835706463" u="1"/>
        <n v="0.86870897155361049" u="1"/>
        <n v="0.43484224965706447" u="1"/>
        <n v="0.79180327868852463" u="1"/>
        <n v="0.94057377049180324" u="1"/>
        <n v="0.2009857612267251" u="1"/>
        <n v="0.54231974921630099" u="1"/>
        <n v="8.2872928176795577E-2" u="1"/>
        <n v="0.85557986870897151" u="1"/>
        <n v="0.61117196056955092" u="1"/>
        <n v="0.76388888888888884" u="1"/>
        <n v="0.18867924528301888" u="1"/>
        <n v="0.55969331872946326" u="1"/>
        <n v="0.84245076586433265" u="1"/>
        <n v="0.78993055555555558" u="1"/>
        <n v="0.82629107981220662" u="1"/>
        <n v="0.44751381215469616" u="1"/>
        <n v="0.88346613545816732" u="1"/>
        <n v="0.97169811320754718" u="1"/>
        <n v="0.72131147540983609" u="1"/>
        <n v="0.91503267973856206" u="1"/>
        <n v="0.76489028213166144" u="1"/>
        <n v="0.97472745292368679" u="1"/>
        <n v="0.51098901098901095" u="1"/>
        <n v="0.84858387799564272" u="1"/>
        <n v="0.82932166301969368" u="1"/>
        <n v="0.16867469879518071" u="1"/>
        <n v="0.78213507625272327" u="1"/>
        <n v="0.85245901639344257" u="1"/>
        <n v="0.72558139534883725" u="1"/>
        <n v="0.89534883720930236" u="1"/>
        <n v="0.55868544600938963" u="1"/>
        <n v="0.82275711159737419" u="1"/>
        <n v="0.71568627450980393" u="1"/>
        <n v="0.8027888446215139" u="1"/>
        <n v="0.98328690807799446" u="1"/>
        <n v="0.98360655737704916" u="1"/>
        <n v="0.83152173913043481" u="1"/>
        <n v="0.49480968858131485" u="1"/>
        <n v="0.5357142857142857" u="1"/>
        <n v="0.88778877887788776" u="1"/>
        <n v="0.98746081504702199" u="1"/>
        <n v="0.9726027397260274" u="1"/>
        <n v="0.84818481848184824" u="1"/>
        <n v="0.49673202614379086" u="1"/>
        <n v="0.71991247264770242" u="1"/>
        <n v="0.91922695738354809" u="1"/>
        <n v="0.69483568075117375" u="1"/>
        <n v="0.95787908820614465" u="1"/>
        <n v="0.96696696696696693" u="1"/>
        <n v="0.355281207133059" u="1"/>
        <n v="0.54595336076817558" u="1"/>
        <n v="0.54819277108433739" u="1"/>
        <n v="0.56043956043956045" u="1"/>
        <n v="0.49835706462212487" u="1"/>
        <n v="0.89549180327868849" u="1"/>
        <n v="0.70678336980306344" u="1"/>
        <n v="0.95152505446623092" u="1"/>
        <n v="0.58032786885245902" u="1"/>
        <n v="0.30284775465498359" u="1"/>
        <n v="0.88507625272331159" u="1"/>
        <n v="0.57425742574257421" u="1"/>
        <n v="0.81862745098039214" u="1"/>
        <n v="0.38562091503267976" u="1"/>
        <n v="0.71147540983606561" u="1"/>
        <n v="0.21467688937568455" u="1"/>
        <n v="0.69365426695842447" u="1"/>
        <n v="0.53465346534653468" u="1"/>
        <n v="0.83098591549295775" u="1"/>
        <n v="0.73584905660377353" u="1"/>
        <n v="0.9950199203187251" u="1"/>
        <n v="0.99671052631578949" u="1"/>
        <n v="0.74468085106382975" u="1"/>
        <n v="0.81366459627329191" u="1"/>
        <n v="0.69767441860465118" u="1"/>
        <n v="0.78356164383561644" u="1"/>
        <n v="0.90237859266600595" u="1"/>
        <n v="0.45947426067907998" u="1"/>
        <n v="0.56297918948521353" u="1"/>
        <n v="0.97377049180327868" u="1"/>
        <n v="0.80737704918032782" u="1"/>
        <n v="0.56338028169014087" u="1"/>
        <n v="0.99452554744525545" u="1"/>
        <n v="0.91434262948207168" u="1"/>
        <n v="0.27450980392156865" u="1"/>
        <n v="0.94525547445255476" u="1"/>
        <n v="0.38683127572016462" u="1"/>
        <n v="0.93852459016393441" u="1"/>
        <n v="0.60905349794238683" u="1"/>
        <n v="0.50136986301369868" u="1"/>
        <n v="0.18236582694414019" u="1"/>
        <n v="0.13114754098360656" u="1"/>
        <n v="0.88714733542319746" u="1"/>
        <n v="0.47527472527472525" u="1"/>
        <n v="0.72972972972972971" u="1"/>
        <n v="0.87671232876712324" u="1"/>
        <n v="0.57768052516411383" u="1"/>
        <n v="0.16393442622950818" u="1"/>
        <n v="0.97048611111111116" u="1"/>
        <n v="0.90327868852459015" u="1"/>
        <n v="0.94628099173553715" u="1"/>
        <n v="0.82116788321167888" u="1"/>
        <n v="0.92156862745098034" u="1"/>
        <n v="0.54191616766467066" u="1"/>
        <n v="0.97933884297520657" u="1"/>
        <n v="0.77189781021897808" u="1"/>
        <n v="0.99375712007290951" u="1"/>
        <n v="0.78867102396514166" u="1"/>
        <n v="0.57049180327868854" u="1"/>
        <n v="0.72262773722627738" u="1"/>
        <n v="0.56455142231947486" u="1"/>
        <n v="0.27572016460905352" u="1"/>
        <n v="0.96202531645569622" u="1"/>
        <n v="0.17679558011049723" u="1"/>
        <n v="0.41116751269035534" u="1"/>
        <n v="0.59452054794520548" u="1"/>
        <n v="0.15686274509803921" u="1"/>
        <n v="0.52095808383233533" u="1"/>
        <n v="0.73913043478260865" u="1"/>
        <n v="0.5025380710659898" u="1"/>
        <n v="0.55142231947483589" u="1"/>
        <n v="0.96986301369863015" u="1"/>
        <n v="0.74826388888888884" u="1"/>
        <n v="0.94549058473736369" u="1"/>
        <n v="0.83278688524590161" u="1"/>
        <n v="0.98414271555996036" u="1"/>
        <n v="0.22099447513812154" u="1"/>
        <n v="0.31232876712328766" u="1"/>
        <n v="0.55147864184008766" u="1"/>
        <n v="0.93127490039840632" u="1"/>
        <n v="0.62182741116751272" u="1"/>
        <n v="0.56091370558375631" u="1"/>
        <n v="0.77430555555555558" u="1"/>
        <n v="0.85248447204968947" u="1"/>
        <n v="0.5" u="1"/>
        <n v="0.83539094650205759" u="1"/>
        <n v="0.5955056179775281" u="1"/>
        <n v="0.68767123287671228" u="1"/>
        <n v="0.53305785123966942" u="1"/>
        <n v="0.30449069003285872" u="1"/>
        <n v="0.63114754098360659" u="1"/>
        <n v="0.68020304568527923" u="1"/>
        <n v="0.56611570247933884" u="1"/>
        <n v="0.61928934010152281" u="1"/>
        <n v="0.2787513691128149" u="1"/>
        <n v="0.85059760956175301" u="1"/>
        <n v="0.98351648351648346" u="1"/>
        <n v="0.38043478260869568" u="1"/>
        <n v="0.76229508196721307" u="1"/>
        <n v="0.86040609137055835" u="1"/>
        <n v="0.35890410958904112" u="1"/>
        <n v="0.79949238578680204" u="1"/>
        <n v="0.89161220043572986" u="1"/>
        <n v="0.73857868020304573" u="1"/>
        <n v="0.30727023319615915" u="1"/>
        <n v="0.93093093093093093" u="1"/>
        <n v="0.47050754458161864" u="1"/>
        <n v="0.61316872427983538" u="1"/>
        <n v="0.92864222001982155" u="1"/>
        <n v="0.77640603566529487" u="1"/>
        <n v="0.75871459694989107" u="1"/>
        <n v="0.97969543147208127" u="1"/>
        <n v="0.5662650602409639" u="1"/>
        <n v="0.78082191780821919" u="1"/>
        <n v="0.2608695652173913" u="1"/>
        <n v="0.97359735973597361" u="1"/>
        <n v="0.34323432343234322" u="1"/>
        <n v="0.43537787513691129" u="1"/>
        <n v="0.56065573770491806" u="1"/>
        <n v="0.32343234323432341" u="1"/>
        <n v="0.38922155688622756" u="1"/>
        <n v="0.69180327868852454" u="1"/>
        <n v="0.40547945205479452" u="1"/>
        <n v="0.73927392739273923" u="1"/>
        <n v="0.67418032786885251" u="1"/>
        <n v="0.17031763417305587" u="1"/>
        <n v="0.14150943396226415" u="1"/>
        <n v="0.95220588235294112" u="1"/>
        <n v="0.87397260273972599" u="1"/>
        <n v="0.83462732919254656" u="1"/>
        <n v="0.91591591591591592" u="1"/>
        <n v="0.6996699669966997" u="1"/>
        <n v="0.63253012048192769" u="1"/>
        <n v="0.89130434782608692" u="1"/>
        <n v="0.64186046511627903" u="1"/>
        <n v="0.45205479452054792" u="1"/>
        <n v="0.86821705426356588" u="1"/>
        <n v="0.98139534883720925" u="1"/>
        <n v="0.59178082191780823" u="1"/>
        <n v="0.86165577342047928" u="1"/>
        <n v="0.24863088718510407" u="1"/>
        <n v="0.36826347305389223" u="1"/>
        <n v="0.83950617283950613" u="1"/>
        <n v="0.13972602739726028" u="1"/>
        <n v="0.79520697167755994" u="1"/>
        <n v="0.78685258964143423" u="1"/>
        <n v="0.87264150943396224" u="1"/>
        <n v="0.96052631578947367" u="1"/>
        <n v="0.9671232876712329" u="1"/>
        <n v="0.96215139442231079" u="1"/>
        <n v="0.55476451259583792" u="1"/>
        <n v="0.55799373040752354" u="1"/>
        <n v="0.46978021978021978" u="1"/>
        <n v="0.70588235294117652" u="1"/>
        <n v="0.49863013698630138" u="1"/>
        <n v="0.12054794520547946" u="1"/>
        <n v="0.55081967213114758" u="1"/>
        <n v="0.30613362541073386" u="1"/>
        <n v="0.39094650205761317" u="1"/>
        <n v="0.61728395061728392" u="1"/>
        <n v="0.68493150684931503" u="1"/>
        <n v="0.78052126200274352" u="1"/>
        <n v="0.85428051001821492" u="1"/>
        <n v="0.21631982475355968" u="1"/>
        <n v="0.92307692307692313" u="1"/>
        <n v="0.84269662921348309" u="1"/>
        <n v="0.95486111111111116" u="1"/>
        <n v="0.98542805100182151" u="1"/>
        <n v="0.9162537165510406" u="1"/>
        <n v="0.46276013143483025" u="1"/>
        <n v="0.98090277777777779" u="1"/>
        <n v="0.96459694989106759" u="1"/>
        <n v="0.56955093099671417" u="1"/>
        <n v="0.77808219178082194" u="1"/>
        <n v="0.43702081051478642" u="1"/>
        <n v="0.99733333333333329" u="1"/>
        <n v="0.18630136986301371" u="1"/>
        <n v="0.94780219780219777" u="1"/>
        <n v="0.39215686274509803" u="1"/>
        <n v="0.9561128526645768" u="1"/>
        <n v="0.24850299401197604" u="1"/>
        <n v="0.7632058287795993" u="1"/>
        <n v="0.97894736842105268" u="1"/>
        <n v="0.61395348837209307" u="1"/>
        <n v="0.76490066225165565" u="1"/>
        <n v="0.18400876232201532" u="1"/>
        <n v="0.95348837209302328" u="1"/>
        <n v="0.8652694610778443" u="1"/>
        <n v="0.74237472766884527" u="1"/>
        <n v="0.75868055555555558" u="1"/>
        <n v="0.89489489489489493" u="1"/>
        <n v="0.42249657064471879" u="1"/>
        <n v="0.68038408779149517" u="1"/>
        <n v="0.85761589403973515" u="1"/>
        <n v="0.97252747252747251" u="1"/>
        <n v="0.84362139917695478" u="1"/>
        <n v="0.45491803278688525" u="1"/>
        <n v="0.89840637450199201" u="1"/>
        <n v="0.63581599123767796" u="1"/>
        <n v="0.28104575163398693" u="1"/>
        <n v="0.26301369863013696" u="1"/>
        <n v="0.95033112582781454" u="1"/>
        <n v="0.34665936473165387" u="1"/>
        <n v="0.58904109589041098" u="1"/>
        <n v="0.95936570862239845" u="1"/>
        <n v="0.15169769989047097" u="1"/>
        <n v="0.64473684210526316" u="1"/>
        <n v="0.79891304347826086" u="1"/>
        <n v="0.62139917695473246" u="1"/>
        <n v="0.56198347107438018" u="1"/>
        <n v="0.93314763231197773" u="1"/>
        <n v="0.934640522875817" u="1"/>
        <n v="0.23287671232876711" u="1"/>
        <n v="0.86819172113289755" u="1"/>
        <n v="0.38613861386138615" u="1"/>
        <n v="0.55805038335158819" u="1"/>
        <n v="0.30958904109589042" u="1"/>
        <n v="0.62809917355371903" u="1"/>
        <n v="0.55978260869565222" u="1"/>
        <n v="0.43956043956043955" u="1"/>
        <n v="0.99601593625498008" u="1"/>
        <n v="0.86468646864686471" u="1"/>
        <n v="0.99736842105263157" u="1"/>
        <n v="0.23001095290251916" u="1"/>
        <n v="0.28203723986856516" u="1"/>
        <n v="0.82508250825082508" u="1"/>
        <n v="0.71241830065359479" u="1"/>
        <n v="0.86263736263736268" u="1"/>
        <n v="0.92558139534883721" u="1"/>
        <n v="0.90386521308225964" u="1"/>
        <n v="0.93613138686131392" u="1"/>
        <n v="0.35616438356164382" u="1"/>
        <n v="0.94251734390485631" u="1"/>
        <n v="0.62431544359255198" u="1"/>
        <n v="8.4931506849315067E-2" u="1"/>
        <n v="0.40566037735849059" u="1"/>
        <n v="0.88686131386861311" u="1"/>
        <n v="0.4982698961937716" u="1"/>
        <n v="0.57283680175246443" u="1"/>
        <n v="0.91981132075471694" u="1"/>
        <n v="0.43866374589266155" u="1"/>
        <n v="0.83466135458167334" u="1"/>
        <n v="0.34293552812071332" u="1"/>
        <n v="0.88736263736263732" u="1"/>
        <n v="0.68449931412894371" u="1"/>
        <n v="0.78832116788321172" u="1"/>
        <n v="0.55115511551155116" u="1"/>
        <n v="0.84773662551440332" u="1"/>
        <n v="0.96962025316455691" u="1"/>
        <n v="0.73905109489051091" u="1"/>
        <n v="0.97113289760348587" u="1"/>
        <n v="0.51155115511551152" u="1"/>
        <n v="0.68978102189781021" u="1"/>
        <n v="0.83823529411764708" u="1"/>
        <n v="0.83773291925465843" u="1"/>
        <n v="0.66423357664233573" u="1"/>
        <n v="0.91208791208791207" u="1"/>
        <n v="0.89440993788819878" u="1"/>
        <n v="0.37404162102957283" u="1"/>
        <n v="0.55988023952095811" u="1"/>
        <n v="0.68246187363834421" u="1"/>
        <n v="0.93923611111111116" u="1"/>
        <n v="0.9322709163346613" u="1"/>
        <n v="0.98562933597621405" u="1"/>
        <n v="0.9370860927152318" u="1"/>
        <n v="0.96527777777777779" u="1"/>
        <n v="0.85885885885885882" u="1"/>
        <n v="0.85159362549800799" u="1"/>
        <n v="0.91083676268861458" u="1"/>
        <n v="0.56133625410733845" u="1"/>
        <n v="0.5017301038062284" u="1"/>
        <n v="0.59433962264150941" u="1"/>
        <n v="0.99131944444444442" u="1"/>
        <n v="0.50985761226725079" u="1"/>
        <n v="0.71701388888888884" u="1"/>
        <n v="0.94117647058823528" u="1"/>
        <n v="0.27868852459016391" u="1"/>
        <n v="0.30941949616648412" u="1"/>
        <n v="0.80250783699059558" u="1"/>
        <n v="0.77091633466135456" u="1"/>
        <n v="0.98975409836065575" u="1"/>
        <n v="0.28368017524644029" u="1"/>
        <n v="0.21796276013143484" u="1"/>
        <n v="0.34426229508196721" u="1"/>
        <n v="0.41916167664670656" u="1"/>
        <n v="0.80219780219780223" u="1"/>
        <n v="0.81987577639751552" u="1"/>
        <n v="0.97213114754098362" u="1"/>
        <n v="0.52537722908093276" u="1"/>
        <n v="0.68861454046639237" u="1"/>
        <n v="0.78540305010893241" u="1"/>
        <n v="0.84384384384384381" u="1"/>
        <n v="0.48844884488448848" u="1"/>
        <n v="0.71895424836601307" u="1"/>
        <n v="0.46604600219058051" u="1"/>
        <n v="0.44030668127053668" u="1"/>
        <n v="0.46864686468646866" u="1"/>
        <n v="0.2541436464088398" u="1"/>
        <n v="0.82692307692307687" u="1"/>
        <n v="0.90163934426229508" u="1"/>
        <n v="0.62430939226519333" u="1"/>
        <n v="0.86852589641434264" u="1"/>
        <n v="0.18565169769989048" u="1"/>
        <n v="0.9080779944289693" u="1"/>
        <n v="0.1650943396226415" u="1"/>
        <n v="0.99009900990099009" u="1"/>
        <n v="0.98373983739837401" u="1"/>
        <n v="0.91122004357298469" u="1"/>
        <n v="0.95049504950495045" u="1"/>
        <n v="0.85164835164835162" u="1"/>
        <n v="0.74796747967479671" u="1"/>
        <n v="0.85610200364298727" u="1"/>
        <n v="0.78784860557768921" u="1"/>
        <n v="0.39869281045751637" u="1"/>
        <n v="0.78947368421052633" u="1"/>
        <n v="0.96314741035856577" u="1"/>
        <n v="0.45816186556927296" u="1"/>
        <n v="0.75171467764060351" u="1"/>
        <n v="0.98724954462659376" u="1"/>
        <n v="0.42924528301886794" u="1"/>
        <n v="0.68372093023255809" u="1"/>
        <n v="0.80201863354037262" u="1"/>
        <n v="0.82189542483660127" u="1"/>
        <n v="0.91869918699186992" u="1"/>
        <n v="0.65702479338842978" u="1"/>
        <n v="0.73841059602649006" u="1"/>
        <n v="0.96698113207547165" u="1"/>
        <n v="0.75544662309368193" u="1"/>
        <n v="0.96229508196721314" u="1"/>
        <n v="0.1533406352683461" u="1"/>
        <n v="0.69008264462809921" u="1"/>
        <n v="0.68899782135076248" u="1"/>
        <n v="0.67656765676567654" u="1"/>
        <n v="0.94171220400728595" u="1"/>
        <n v="0.94467213114754101" u="1"/>
        <n v="0.83112582781456956" u="1"/>
        <n v="0.3350253807106599" u="1"/>
        <n v="0.30456852791878175" u="1"/>
        <n v="0.97039473684210531" u="1"/>
        <n v="0.5294924554183813" u="1"/>
        <n v="0.69272976680384091" u="1"/>
        <n v="0.61956521739130432" u="1"/>
        <n v="0.92384105960264906" u="1"/>
        <n v="0.61788617886178865" u="1"/>
        <n v="0.28532311062431542" u="1"/>
        <n v="0.8918032786885246" u="1"/>
        <n v="0.45431472081218272" u="1"/>
        <n v="0.94771241830065356" u="1"/>
        <n v="0.42385786802030456" u="1"/>
        <n v="0.44021739130434784" u="1"/>
        <n v="0.88126361655773422" u="1"/>
        <n v="0.95639246778989095" u="1"/>
        <n v="0.97178683385579934" u="1"/>
        <n v="0.64974619289340096" u="1"/>
        <n v="0.99504459861248762" u="1"/>
        <n v="0.92514970059880242" u="1"/>
        <n v="0.63088718510405262" u="1"/>
        <n v="0.85655737704918034" u="1"/>
        <n v="0.98007968127490042" u="1"/>
        <n v="0.46768893756845564" u="1"/>
        <n v="0.82994923857868019" u="1"/>
        <n v="0.38842975206611569" u="1"/>
        <n v="0.92361111111111116" u="1"/>
        <n v="0.76903553299492389" u="1"/>
        <n v="0.98770491803278693" u="1"/>
        <n v="0.64720812182741116" u="1"/>
        <n v="0.7919389978213508" u="1"/>
        <n v="0.76648351648351654" u="1"/>
        <n v="0.82131147540983607" u="1"/>
        <n v="0.949238578680203" u="1"/>
        <n v="0.72549019607843135" u="1"/>
        <n v="0.89940239043824699" u="1"/>
        <n v="0.90419161676646709" u="1"/>
        <n v="0.8883248730964467" u="1"/>
        <n v="0.49302325581395351" u="1"/>
        <n v="0.97945205479452058" u="1"/>
        <n v="0.23045267489711935" u="1"/>
        <n v="0.37860082304526749" u="1"/>
        <n v="0.65581395348837213" u="1"/>
        <n v="0.95245901639344266" u="1"/>
        <n v="0.75582990397805216" u="1"/>
        <n v="0.35526315789473684" u="1"/>
        <n v="0.9467005076142132" u="1"/>
        <n v="0.90089197224975226" u="1"/>
        <n v="0.93954410307234881" u="1"/>
        <n v="0.88323353293413176" u="1"/>
        <n v="0.73113207547169812" u="1"/>
        <n v="0.50164293537787519" u="1"/>
        <n v="0.76844262295081966" u="1"/>
        <n v="0.79120879120879117" u="1"/>
        <n v="0.50326797385620914" u="1"/>
        <n v="0.3773274917853231" u="1"/>
        <n v="0.64890282131661448" u="1"/>
        <n v="0.8849315068493151" u="1"/>
        <n v="0.89959016393442626" u="1"/>
        <n v="0.91775599128540308" u="1"/>
        <n v="0.88196721311475412" u="1"/>
        <n v="0.81593406593406592" u="1"/>
        <n v="0.894880174291939" u="1"/>
        <n v="0.60273972602739723" u="1"/>
        <n v="0.76198257080610021" u="1"/>
        <n v="0.87147335423197492" u="1"/>
        <n v="0.68032786885245899" u="1"/>
        <n v="0.51642935377875132" u="1"/>
        <n v="0.9780821917808219" u="1"/>
        <n v="0.81893004115226342" u="1"/>
        <n v="0.72928176795580113" u="1"/>
        <n v="0.31270536692223438" u="1"/>
        <n v="0.66167664670658688" u="1"/>
        <n v="0.81788079470198671" u="1"/>
        <n v="0.81147540983606559" u="1"/>
        <n v="0.92200557103064062" u="1"/>
        <n v="0.28696604600219056" u="1"/>
        <n v="0.97721518987341771" u="1"/>
        <n v="0.88300835654596099" u="1"/>
        <n v="0.83565737051792832" u="1"/>
        <n v="0.94262295081967218" u="1"/>
        <n v="0.91059602649006621" u="1"/>
        <n v="0.69589041095890414" u="1"/>
        <n v="0.47906976744186047" u="1"/>
        <n v="0.64071856287425155" u="1"/>
        <n v="0.72992700729927007" u="1"/>
        <n v="0.96744186046511627" u="1"/>
        <n v="0.63417305585980288" u="1"/>
        <n v="0.46933187294633077" u="1"/>
        <n v="0.5967078189300411" u="1"/>
        <n v="0.95424836601307195" u="1"/>
        <n v="0.46227709190672156" u="1"/>
        <n v="0.84158415841584155" u="1"/>
        <n v="0.44359255202628695" u="1"/>
        <n v="0.74098360655737705" u="1"/>
        <n v="0.61976047904191611" u="1"/>
        <n v="0.80198019801980203" u="1"/>
        <n v="0.70604395604395609" u="1"/>
        <n v="0.72336065573770492" u="1"/>
        <n v="0.93014705882352944" u="1"/>
        <n v="0.87213114754098364" u="1"/>
        <n v="0.78904109589041094" u="1"/>
        <n v="0.18729463307776562" u="1"/>
        <n v="0.70967741935483875" u="1"/>
        <n v="0.97671232876712333" u="1"/>
        <n v="0.85450819672131151" u="1"/>
        <n v="0.93421052631578949" u="1"/>
        <n v="0.73202614379084963" u="1"/>
        <n v="0.40138408304498269" u="1"/>
        <n v="0.5377229080932785" u="1"/>
        <n v="0.52249134948096887" u="1"/>
        <n v="0.50492880613362545" u="1"/>
        <n v="0.40470974808324206" u="1"/>
        <n v="0.73076923076923073" u="1"/>
        <n v="0.92348284960422167" u="1"/>
        <n v="0.50684931506849318" u="1"/>
        <n v="0.528052805280528" u="1"/>
        <n v="0.80512422360248448" u="1"/>
        <n v="0.80163934426229511" u="1"/>
        <n v="0.88219178082191785" u="1"/>
        <n v="0.63524590163934425" u="1"/>
        <n v="0.26849315068493151" u="1"/>
        <n v="0.50980392156862742" u="1"/>
        <n v="0.49382716049382713" u="1"/>
        <n v="0.82304526748971196" u="1"/>
        <n v="0.15498357064622126" u="1"/>
        <n v="0.81818181818181823" u="1"/>
        <n v="0.98628257887517146" u="1"/>
        <n v="0.89873417721518989" u="1"/>
        <n v="0.91847826086956519" u="1"/>
        <n v="0.75549450549450547" u="1"/>
        <n v="0.91466083150984678" u="1"/>
        <n v="0.76639344262295084" u="1"/>
        <n v="0.90798611111111116" u="1"/>
        <n v="0.46511627906976744" u="1"/>
        <n v="0.57119386637458924" u="1"/>
        <n v="0.6" u="1"/>
        <n v="0.90809628008752741" u="1"/>
        <n v="0.93953488372093019" u="1"/>
        <n v="0.99612403100775193" u="1"/>
        <n v="0.5197152245345017" u="1"/>
        <n v="0.93402777777777779" u="1"/>
        <n v="0.33490566037735847" u="1"/>
        <n v="0.97534246575342465" u="1"/>
        <n v="0.73114754098360657" u="1"/>
        <n v="0.23561643835616439" u="1"/>
        <n v="0.67934782608695654" u="1"/>
        <n v="0.31434830230010952" u="1"/>
        <n v="0.83496732026143794" u="1"/>
        <n v="0.23329682365826945" u="1"/>
        <n v="0.31506849315068491" u="1"/>
        <n v="0.38271604938271603" u="1"/>
        <n v="0.60082304526748975" u="1"/>
        <n v="0.76851851851851849" u="1"/>
        <n v="0.96006944444444442" u="1"/>
        <n v="0.70206971677559915" u="1"/>
        <n v="0.95263157894736838" u="1"/>
        <n v="0.88840262582056895" u="1"/>
        <n v="0.85792349726775952" u="1"/>
        <n v="0.29411764705882354" u="1"/>
        <n v="0.42814371257485029" u="1"/>
        <n v="0.69315068493150689" u="1"/>
        <n v="0.80463576158940397" u="1"/>
        <n v="0.47097480832420591" u="1"/>
        <n v="0.87527352297592997" u="1"/>
        <n v="0.81238615664845171" u="1"/>
        <n v="0.36164383561643837" u="1"/>
        <n v="0.64560439560439564" u="1"/>
        <n v="0.9435336976320583" u="1"/>
        <n v="0.78884462151394419" u="1"/>
        <n v="0.99006622516556286" u="1"/>
        <n v="0.65745856353591159" u="1"/>
        <n v="0.78630136986301369" u="1"/>
        <n v="0.7668488160291439" u="1"/>
        <n v="0.61842105263157898" u="1"/>
        <n v="0.91476709613478691" u="1"/>
        <n v="0.97397260273972608" u="1"/>
        <n v="0.3944636678200692" u="1"/>
        <n v="0.95729813664596275" u="1"/>
        <n v="0.5901639344262295" u="1"/>
        <n v="0.83425414364640882" u="1"/>
        <n v="0.7178683385579937" u="1"/>
        <n v="0.8714596949891068" u="1"/>
        <n v="0.66392318244170101" u="1"/>
        <n v="0.40635268346111719" u="1"/>
        <n v="0.8271604938271605" u="1"/>
        <n v="0.40821917808219177" u="1"/>
        <n v="0.67032967032967028" u="1"/>
        <n v="0.79844961240310075" u="1"/>
        <n v="0.50410958904109593" u="1"/>
        <n v="0.73856209150326801" u="1"/>
        <n v="0.8794520547945206" u="1"/>
        <n v="0.75273522975929974" u="1"/>
        <n v="0.75075075075075071" u="1"/>
        <n v="0.96699669966996704" u="1"/>
        <n v="0.30315500685871055" u="1"/>
        <n v="0.54245283018867929" u="1"/>
        <n v="0.94043887147335425" u="1"/>
        <n v="0.69505494505494503" u="1"/>
        <n v="0.60493827160493829" u="1"/>
        <n v="0.9273927392739274" u="1"/>
        <n v="0.32013201320132012" u="1"/>
        <n v="0.73960612691466088" u="1"/>
        <n v="0.45479452054794522" u="1"/>
        <n v="0.57447973713033951" u="1"/>
        <n v="0.89791873141724476" u="1"/>
        <n v="0.1095890410958904" u="1"/>
        <n v="0.59726027397260273" u="1"/>
        <n v="0.98502994011976053" u="1"/>
        <n v="0.96244131455399062" u="1"/>
        <n v="0.73304157549234139" u="1"/>
        <n v="0.29640718562874252" u="1"/>
        <n v="0.82608695652173914" u="1"/>
        <n v="0.98026315789473684" u="1"/>
        <n v="0.31599123767798465" u="1"/>
        <n v="0.9810756972111554" u="1"/>
        <n v="0.29025191675794088" u="1"/>
        <n v="0.5393258426966292" u="1"/>
        <n v="0.89802631578947367" u="1"/>
        <n v="0.9640718562874252" u="1"/>
        <n v="0.90795206971677556" u="1"/>
        <n v="0.89026063100137176" u="1"/>
        <n v="0.65346534653465349" u="1"/>
        <n v="0.84150326797385622" u="1"/>
        <n v="0.58695652173913049" u="1"/>
        <n v="0.69041095890410964" u="1"/>
        <n v="0.16438356164383561" u="1"/>
        <n v="0.63019693654266962" u="1"/>
        <n v="0.94311377245508987" u="1"/>
        <n v="0.44687842278203727" u="1"/>
        <n v="0.62363238512035013" u="1"/>
        <n v="0.42391304347826086" u="1"/>
        <n v="0.54418604651162794" u="1"/>
        <n v="0.25136911281489593" u="1"/>
        <n v="0.61706783369803064" u="1"/>
        <n v="0.88372093023255816" u="1"/>
        <n v="0.49794238683127573" u="1"/>
        <n v="0.83127572016460904" u="1"/>
        <n v="0.5851648351648352" u="1"/>
        <n v="0.89236111111111116" u="1"/>
        <n v="0.61050328227571116" u="1"/>
        <n v="0.66457680250783702" u="1"/>
        <n v="0.18893756845564075" u="1"/>
        <n v="0.88410596026490063" u="1"/>
        <n v="0.35849056603773582" u="1"/>
        <n v="0.30434782608695654" u="1"/>
        <n v="0.82547169811320753" u="1"/>
        <n v="0.91840277777777779" u="1"/>
        <n v="0.51150054764512598" u="1"/>
        <n v="0.59737417943107218" u="1"/>
        <n v="0.97682119205298013" u="1"/>
        <n v="0.80822981366459623" u="1"/>
        <n v="0.60989010989010994" u="1"/>
        <n v="0.96897810218978098" u="1"/>
        <n v="0.3822562979189485" u="1"/>
        <n v="0.94444444444444442" u="1"/>
        <n v="0.21739130434782608" u="1"/>
        <n v="0.81914893617021278" u="1"/>
        <n v="0.8801652892561983" u="1"/>
        <n v="0.91970802919708028" u="1"/>
        <n v="0.58424507658643321" u="1"/>
        <n v="0.96713615023474175" u="1"/>
        <n v="0.81154684095860563" u="1"/>
        <n v="0.21095890410958903" u="1"/>
        <n v="0.74509803921568629" u="1"/>
        <n v="0.26575342465753427" u="1"/>
        <n v="0.97826086956521741" u="1"/>
        <n v="0.51903114186851207" u="1"/>
        <n v="0.63461538461538458" u="1"/>
        <n v="0.79562043795620441" u="1"/>
        <n v="0.30327868852459017" u="1"/>
        <n v="0.8943758573388203" u="1"/>
        <n v="0.7463503649635036" u="1"/>
        <n v="0.76243093922651939" u="1"/>
        <n v="0.31979695431472083" u="1"/>
        <n v="0.36885245901639346" u="1"/>
        <n v="0.52287581699346408" u="1"/>
        <n v="0.67964071856287422" u="1"/>
        <n v="0.4344262295081967" u="1"/>
        <n v="0.85581395348837208" u="1"/>
        <n v="7.3972602739726029E-2" u="1"/>
        <n v="0.48347107438016529" u="1"/>
        <n v="0.5089163237311386" u="1"/>
        <n v="0.56426332288401249" u="1"/>
        <n v="0.46954314720812185" u="1"/>
        <n v="0.64403066812705367" u="1"/>
        <n v="0.47426067907995617" u="1"/>
        <n v="0.7865168539325843" u="1"/>
        <n v="0.24528301886792453" u="1"/>
        <n v="0.40862944162436549" u="1"/>
        <n v="0.91448801742919394" u="1"/>
        <n v="0.4485213581599124" u="1"/>
        <n v="0.55837563451776651" u="1"/>
        <n v="0.84704968944099379" u="1"/>
        <n v="0.589622641509434" u="1"/>
        <n v="0.871866295264624" u="1"/>
        <n v="0.78159041394335516" u="1"/>
        <n v="0.90375586854460099" u="1"/>
        <n v="0.25301204819277107" u="1"/>
        <n v="0.20262869660460023" u="1"/>
        <n v="0.52472527472527475" u="1"/>
        <n v="0.67766497461928932" u="1"/>
        <n v="0.36303630363036304" u="1"/>
        <n v="0.5558375634517766" u="1"/>
        <n v="0.9604037267080745" u="1"/>
        <n v="0.78683385579937304" u="1"/>
        <n v="0.96729435084241822" u="1"/>
        <n v="0.971830985915493" u="1"/>
        <n v="0.69226579520697162" u="1"/>
        <n v="0.90632911392405058" u="1"/>
        <n v="0.85786802030456855" u="1"/>
        <n v="0.47904191616766467" u="1"/>
        <n v="0.73604060913705582" u="1"/>
        <n v="0.81848184818481851" u="1"/>
        <n v="0.40963855421686746" u="1"/>
        <n v="0.94407894736842102" u="1"/>
        <n v="0.77290836653386452" u="1"/>
        <n v="0.77887788778877887" u="1"/>
        <n v="0.5494505494505495" u="1"/>
        <n v="0.85974499089253187" u="1"/>
        <n v="0.91624365482233505" u="1"/>
        <n v="0.85532994923857864" u="1"/>
        <n v="0.44993141289437588" u="1"/>
        <n v="0.96357615894039739" u="1"/>
        <n v="0.82790697674418601" u="1"/>
        <n v="0.81420765027322406" u="1"/>
        <n v="0.88453159041394336" u="1"/>
        <n v="0.57417582417582413" u="1"/>
        <n v="0.81808278867102402" u="1"/>
        <n v="0.58105147864184004" u="1"/>
        <n v="0.50495049504950495" u="1"/>
        <n v="0.94535519125683065" u="1"/>
        <n v="0.82919254658385089" u="1"/>
        <n v="0.84037558685446012" u="1"/>
        <n v="3.287671232876712E-2" u="1"/>
        <n v="0.76867030965391625" u="1"/>
        <n v="0.88586956521739135" u="1"/>
        <n v="0.72875816993464049" u="1"/>
        <n v="0.90277777777777779" u="1"/>
        <n v="0.90845070422535212" u="1"/>
        <n v="0.40484429065743943" u="1"/>
        <n v="0.90090090090090091" u="1"/>
        <n v="0.96226415094339623" u="1"/>
        <n v="0.52941176470588236" u="1"/>
        <n v="0.34210526315789475" u="1"/>
        <n v="0.64673913043478259" u="1"/>
        <n v="0.78984063745019917" u="1"/>
        <n v="0.64731653888280394" u="1"/>
        <n v="0.92881944444444442" u="1"/>
        <n v="0.97652582159624413" u="1"/>
        <n v="0.287292817679558" u="1"/>
        <n v="0.45016429353778753" u="1"/>
        <n v="0.18852459016393441" u="1"/>
        <n v="0.3473053892215569" u="1"/>
        <n v="0.2546549835706462" u="1"/>
        <n v="0.69060773480662985" u="1"/>
        <n v="0.8844621513944223" u="1"/>
        <n v="0.22131147540983606" u="1"/>
        <n v="0.37569060773480661" u="1"/>
        <n v="0.19058050383351588" u="1"/>
        <n v="0.22633744855967078" u="1"/>
        <n v="0.37037037037037035" u="1"/>
        <n v="0.90909090909090906" u="1"/>
        <n v="0.90260631001371738" u="1"/>
        <n v="0.94214876033057848" u="1"/>
        <n v="0.76525054466230935" u="1"/>
        <n v="0.97520661157024791" u="1"/>
        <n v="0.93114754098360653" u="1"/>
        <n v="0.49450549450549453" u="1"/>
        <n v="0.32634730538922158" u="1"/>
        <n v="0.26415094339622641" u="1"/>
        <n v="0.25925925925925924" u="1"/>
        <n v="0.84507042253521125" u="1"/>
        <n v="0.51714677640603568" u="1"/>
        <n v="0.98161764705882348" u="1"/>
        <n v="0.46534653465346537" u="1"/>
        <n v="0.6367924528301887" u="1"/>
        <n v="0.44554455445544555" u="1"/>
        <n v="0.51373626373626369" u="1"/>
        <n v="0.57746478873239437" u="1"/>
        <n v="0.86065573770491799" u="1"/>
        <n v="0.95751633986928109" u="1"/>
        <n v="0.72641509433962259" u="1"/>
        <n v="0.89106753812636164" u="1"/>
        <n v="0.52892561983471076" u="1"/>
        <n v="0.99180327868852458" u="1"/>
        <n v="0.99725274725274726" u="1"/>
        <n v="0.80246913580246915" u="1"/>
        <n v="0.97214484679665736" u="1"/>
        <n v="0.98122065727699526" u="1"/>
        <n v="0.94389438943894388" u="1"/>
        <n v="0.98630136986301364" u="1"/>
        <n v="0.63322884012539182" u="1"/>
        <n v="0.90429042904290424" u="1"/>
        <n v="0.82071713147410363" u="1"/>
        <n v="0.51557093425605538" u="1"/>
        <n v="0.73529411764705888" u="1"/>
        <n v="0.90789473684210531" u="1"/>
        <n v="0.6506024096385542" u="1"/>
        <n v="0.79016393442622945" u="1"/>
        <n v="0.71361502347417838" u="1"/>
        <n v="0.47754654983570644" u="1"/>
        <n v="0.58024691358024694" u="1"/>
        <n v="0.77254098360655743" u="1"/>
        <n v="0.45180722891566266" u="1"/>
        <n v="0.70410958904109588" u="1"/>
        <n v="0.92131147540983604" u="1"/>
        <n v="0.53594771241830064" u="1"/>
        <n v="0.98540145985401462" u="1"/>
        <n v="0.586046511627907" u="1"/>
        <n v="0.90368852459016391" u="1"/>
        <n v="0.63036303630363033" u="1"/>
        <n v="0.98116947472745297" u="1"/>
        <n v="0.86486486486486491" u="1"/>
        <n v="0.91058394160583944" u="1"/>
        <n v="0.17880794701986755" u="1"/>
        <n v="0.40760869565217389" u="1"/>
        <n v="0.84976525821596249" u="1"/>
        <n v="0.86131386861313863" u="1"/>
        <n v="0.52126200274348422" u="1"/>
        <n v="0.86111111111111116" u="1"/>
        <n v="0.79726027397260268" u="1"/>
        <n v="0.41292442497261772" u="1"/>
        <n v="0.71276595744680848" u="1"/>
        <n v="0.85081967213114751" u="1"/>
        <n v="0.81204379562043794" u="1"/>
        <n v="0.98493150684931507" u="1"/>
        <n v="0.68442622950819676" u="1"/>
        <n v="0.76277372262773724" u="1"/>
        <n v="0.88715277777777779" u="1"/>
        <n v="0.9178403755868545" u="1"/>
        <n v="0.41369863013698632" u="1"/>
        <n v="0.83764940239043828" u="1"/>
        <n v="0.51506849315068493" u="1"/>
        <n v="0.70533769063180829" u="1"/>
        <n v="0.64918032786885249" u="1"/>
        <n v="0.61878453038674031" u="1"/>
        <n v="0.92566897918731417" u="1"/>
        <n v="0.48559670781893005" u="1"/>
        <n v="0.63910186199342822" u="1"/>
        <n v="0.80658436213991769" u="1"/>
        <n v="0.94672131147540983" u="1"/>
        <n v="0.96432111000991083" u="1"/>
        <n v="0.8904109589041096" u="1"/>
        <n v="0.75697211155378485" u="1"/>
        <n v="0.78032786885245897" u="1"/>
        <n v="0.9417721518987342" u="1"/>
        <n v="0.79558011049723754" u="1"/>
        <n v="0.8889751552795031" u="1"/>
        <n v="0.57993730407523514" u="1"/>
        <n v="0.46027397260273972" u="1"/>
        <n v="0.71830985915492962" u="1"/>
        <n v="0.93681318681318682" u="1"/>
        <n v="0.94565217391304346" u="1"/>
        <n v="0.60821917808219184" u="1"/>
        <n v="0.53892215568862278" u="1"/>
        <n v="0.96405228758169936" u="1"/>
        <n v="0.22453450164293537" u="1"/>
        <n v="0.37448559670781895" u="1"/>
        <n v="0.58436213991769548" u="1"/>
        <n v="0.55813953488372092" u="1"/>
        <n v="0.72745901639344257" u="1"/>
        <n v="0.74759945130315497" u="1"/>
        <n v="0.84108527131782951" u="1"/>
        <n v="0.98356164383561639" u="1"/>
        <n v="0.75548589341692785" u="1"/>
        <n v="0.85860655737704916" u="1"/>
        <n v="0.70652173913043481" u="1"/>
        <n v="0.90882061446977203" u="1"/>
        <n v="0.47918948521358162" u="1"/>
        <n v="0.51796407185628746" u="1"/>
        <n v="0.84098360655737703" u="1"/>
        <n v="0.96153846153846156" u="1"/>
        <n v="0.80827886710239649" u="1"/>
        <n v="0.9927140255009107" u="1"/>
        <n v="0.70136986301369864" u="1"/>
        <n v="0.74183006535947715" u="1"/>
        <n v="0.26337448559670784" u="1"/>
        <n v="0.50819672131147542" u="1"/>
        <n v="0.81602914389799641" u="1"/>
        <n v="0.9780564263322884" u="1"/>
        <n v="0.77358490566037741" u="1"/>
        <n v="0.7739043824701195" u="1"/>
        <n v="0.63934426229508201" u="1"/>
        <n v="0.94717668488160289" u="1"/>
        <n v="0.52595155709342556" u="1"/>
        <n v="0.98626373626373631" u="1"/>
        <n v="0.3641304347826087" u="1"/>
        <n v="0.77049180327868849" u="1"/>
        <n v="0.79452054794520544" u="1"/>
        <n v="0.98607242339832868" u="1"/>
        <n v="0.81069958847736623" u="1"/>
        <n v="0.98219178082191783" u="1"/>
        <n v="0.38882803943044908" u="1"/>
        <n v="0.92779503105590067" u="1"/>
        <n v="0.93409586056644878" u="1"/>
        <n v="0.94707520891364905" u="1"/>
        <n v="0.19867549668874171" u="1"/>
        <n v="0.87171052631578949" u="1"/>
        <n v="0.15991237677984665" u="1"/>
        <n v="0.51232876712328768" u="1"/>
        <n v="0.64238773274917849" u="1"/>
        <n v="0.79537953795379535" u="1"/>
        <n v="0.9263565891472868" u="1"/>
        <n v="0.77832244008714602" u="1"/>
        <n v="0.88767123287671235" u="1"/>
        <n v="0.58847736625514402" u="1"/>
        <n v="0.59090909090909094" u="1"/>
        <n v="0.21369863013698631" u="1"/>
        <n v="0.68237704918032782" u="1"/>
        <n v="0.97435897435897434" u="1"/>
        <n v="0.71187363834422657" u="1"/>
        <n v="0.62396694214876036" u="1"/>
        <n v="0.27123287671232876" u="1"/>
        <n v="0.32420591456736036" u="1"/>
        <n v="0.71617161716171618" u="1"/>
        <n v="0.3772455089820359" u="1"/>
        <n v="0.87637362637362637" u="1"/>
        <n v="0.60547945205479448" u="1"/>
        <n v="0.84548611111111116" u="1"/>
        <n v="0.45879120879120877" u="1"/>
        <n v="0.87379972565157749" u="1"/>
        <n v="0.98082191780821915" u="1"/>
        <n v="0.93508424182358774" u="1"/>
        <n v="0.53773584905660377" u="1"/>
        <n v="0.54696132596685088" u="1"/>
        <n v="0.76065573770491801" u="1"/>
        <n v="0.31780821917808222" u="1"/>
        <n v="0.88545816733067728" u="1"/>
        <n v="0.59154929577464788" u="1"/>
        <n v="0.87152777777777779" u="1"/>
        <n v="0.30386740331491713" u="1"/>
        <n v="0.59426229508196726" u="1"/>
        <n v="0.90109890109890112" u="1"/>
        <n v="0.45509309967141293" u="1"/>
        <n v="0.69863013698630139" u="1"/>
        <n v="0.72540983606557374" u="1"/>
        <n v="0.61413043478260865" u="1"/>
        <n v="0.72375690607734811" u="1"/>
        <n v="0.39340101522842641" u="1"/>
        <n v="0.89756944444444442" u="1"/>
        <n v="0.20591456736035049" u="1"/>
        <n v="0.32647462277091904" u="1"/>
        <n v="0.35628742514970058" u="1"/>
        <n v="0.48971193415637859" u="1"/>
        <n v="0.81481481481481477" u="1"/>
        <n v="0.74836601307189543" u="1"/>
        <n v="0.16339869281045752" u="1"/>
        <n v="0.36438356164383562" u="1"/>
        <n v="0.68191721132897598" u="1"/>
        <n v="0.92582417582417587" u="1"/>
        <n v="0.5279299014238773" u="1"/>
        <n v="0.58629441624365486" u="1"/>
        <n v="0.8418604651162791" u="1"/>
        <n v="0.41621029572836804" u="1"/>
        <n v="0.95934959349593496" u="1"/>
        <n v="0.48223350253807107" u="1"/>
        <n v="0.79178082191780819" u="1"/>
        <n v="0.39047097480832421" u="1"/>
        <n v="0.72357723577235777" u="1"/>
        <n v="0.76649746192893398" u="1"/>
        <n v="0.59259259259259256" u="1"/>
        <n v="0.64467005076142136" u="1"/>
        <n v="0.41095890410958902" u="1"/>
        <n v="0.61967213114754094" u="1"/>
        <n v="0.94063180827886705" u="1"/>
        <n v="0.97819623389494548" u="1"/>
        <n v="9.8630136986301367E-2" u="1"/>
        <n v="0.82487309644670048" u="1"/>
        <n v="0.53633217993079585" u="1"/>
        <n v="0.89430894308943087" u="1"/>
        <n v="0.50958904109589043" u="1"/>
        <n v="0.64567360350492886" u="1"/>
        <n v="0.17218543046357615" u="1"/>
        <n v="0.5941949616648412" u="1"/>
        <n v="0.39344262295081966" u="1"/>
        <n v="0.88324873096446699" u="1"/>
        <n v="0.82171314741035861" u="1"/>
        <n v="0.45901639344262296" u="1"/>
        <n v="0.78485838779956429" u="1"/>
        <n v="0.99701195219123506" u="1"/>
        <n v="0.24251497005988024" u="1"/>
        <n v="0.73684210526315785" u="1"/>
        <n v="0.82445141065830718" u="1"/>
        <n v="0.2185430463576159" u="1"/>
        <n v="0.45753424657534247" u="1"/>
        <n v="0.2261774370208105" u="1"/>
        <n v="0.54918032786885251" u="1"/>
        <n v="0.14246575342465753" u="1"/>
        <n v="0.6179775280898876" u="1"/>
        <n v="0.8413173652694611" u="1"/>
        <n v="0.42857142857142855" u="1"/>
        <n v="0.97627737226277367" u="1"/>
        <n v="0.92269573835480678" u="1"/>
        <n v="0.41015089163237312" u="1"/>
        <n v="0.65569272976680382" u="1"/>
        <n v="0.76630434782608692" u="1"/>
        <n v="0.92700729927007297" u="1"/>
        <n v="0.48247535596933189" u="1"/>
        <n v="0.96100278551532037" u="1"/>
        <n v="0.84065934065934067" u="1"/>
        <n v="0.91776315789473684" u="1"/>
        <n v="0.81395348837209303" u="1"/>
        <n v="0.82035928143712578" u="1"/>
        <n v="0.92079207920792083" u="1"/>
        <n v="0.90322580645161288" u="1"/>
        <n v="0.77919708029197077" u="1"/>
        <n v="0.88118811881188119" u="1"/>
        <n v="0.19386637458926614" u="1"/>
        <n v="0.7536496350364964" u="1"/>
        <n v="0.79940119760479045" u="1"/>
        <n v="0.22169811320754718" u="1"/>
        <n v="0.70437956204379559" u="1"/>
        <n v="0.87422360248447206" u="1"/>
        <n v="0.8877995642701525" u="1"/>
        <n v="0.80645161290322576" u="1"/>
        <n v="0.86538461538461542" u="1"/>
        <n v="0.53121577217962757" u="1"/>
        <n v="0.41785323110624317" u="1"/>
        <n v="0.75490196078431371" u="1"/>
        <n v="0.96061269146608319" u="1"/>
        <n v="0.94936708860759489" u="1"/>
        <n v="0.9540481400437637" u="1"/>
        <n v="0.18904109589041096" u="1"/>
        <n v="0.75796812749003983" u="1"/>
        <n v="0.60726072607260728" u="1"/>
        <n v="0.86338797814207646" u="1"/>
        <n v="0.44170096021947874" u="1"/>
        <n v="0.71879286694101507" u="1"/>
        <n v="0.93326693227091628" u="1"/>
        <n v="0.94748358862144422" u="1"/>
        <n v="0.88203017832647457" u="1"/>
        <n v="0.65289256198347112" u="1"/>
        <n v="0.59880239520958078" u="1"/>
        <n v="0.65193370165745856" u="1"/>
        <n v="0.99453551912568305" u="1"/>
        <n v="0.85590277777777779" u="1"/>
        <n v="0.93435448577680524" u="1"/>
        <n v="0.19337016574585636" u="1"/>
        <n v="0.32894736842105265" u="1"/>
        <n v="0.59748083242059147" u="1"/>
        <n v="0.14569536423841059" u="1"/>
        <n v="0.81785063752276865" u="1"/>
        <n v="0.7711598746081505" u="1"/>
        <n v="7.3770491803278687E-2" u="1"/>
        <n v="0.57784431137724546" u="1"/>
        <n v="0.92122538293216627" u="1"/>
        <n v="0.65980795610425236" u="1"/>
        <n v="6.3013698630136991E-2" u="1"/>
        <n v="0.23986856516976998" u="1"/>
        <n v="0.78604651162790695" u="1"/>
        <n v="0.23756906077348067" u="1"/>
        <n v="0.89922480620155043" u="1"/>
        <n v="0.99434951013898387" u="1"/>
        <n v="0.19205298013245034" u="1"/>
        <n v="0.55688622754491013" u="1"/>
        <n v="0.40522875816993464" u="1"/>
        <n v="0.54671280276816614" u="1"/>
        <n v="0.79139433551198257" u="1"/>
        <n v="0.39835164835164832" u="1"/>
        <n v="0.90346083788706744" u="1"/>
        <n v="0.99373040752351094" u="1"/>
        <n v="0.72494553376906323" u="1"/>
        <n v="0.91304347826086951" u="1"/>
        <n v="0.6741573033707865" u="1"/>
        <n v="0.77490039840637448" u="1"/>
        <n v="1.3698630136986301E-2" u="1"/>
        <n v="0.8651685393258427" u="1"/>
        <n v="0.5359281437125748" u="1"/>
        <n v="0.78021978021978022" u="1"/>
        <n v="0.26286966046002191" u="1"/>
        <n v="0.67391304347826086" u="1"/>
        <n v="0.7567567567567568" u="1"/>
        <n v="0.86792452830188682" u="1"/>
        <n v="0.86952191235059761" u="1"/>
        <n v="0.9836601307189542" u="1"/>
        <n v="0.42452830188679247" u="1"/>
        <n v="0.58598028477546549" u="1"/>
        <n v="0.79868708971553615" u="1"/>
        <n v="0.22222222222222221" u="1"/>
        <n v="0.36213991769547327" u="1"/>
        <n v="0.80494505494505497" u="1"/>
        <n v="0.88614540466392322" u="1"/>
        <n v="0.95754716981132071" u="1"/>
        <n v="0.46739130434782611" u="1"/>
        <n v="0.53450164293537783" u="1"/>
        <n v="0.79212253829321666" u="1"/>
        <n v="0.4194961664841183" u="1"/>
        <n v="0.96078431372549022" u="1"/>
        <n v="0.39375684556407448" u="1"/>
        <n v="0.67084639498432597" u="1"/>
        <n v="0.77899343544857769" u="1"/>
        <n v="0.82788671023965144" u="1"/>
        <n v="0.34782608695652173" u="1"/>
        <n v="0.17524644030668127" u="1"/>
        <n v="0.76143790849673199" u="1"/>
        <n v="0.40718562874251496" u="1"/>
        <n v="0.99207135777998012" u="1"/>
        <n v="0.82967032967032972" u="1"/>
        <n v="0.98449612403100772" u="1"/>
        <n v="0.25102880658436216" u="1"/>
        <n v="0.5006858710562414" u="1"/>
        <n v="0.93593314763231195" u="1"/>
        <n v="0.60076670317634173" u="1"/>
        <n v="0.88157894736842102" u="1"/>
        <n v="0.67614879649890591" u="1"/>
        <n v="0.88645418326693226" u="1"/>
        <n v="0.22782037239868566" u="1"/>
        <n v="0.93657086223984143" u="1"/>
        <n v="0.97522299306243809" u="1"/>
        <n v="0.58011049723756902" u="1"/>
        <n v="0.63207547169811318" u="1"/>
        <n v="0.65645514223194745" u="1"/>
        <n v="0.80577689243027883" u="1"/>
        <n v="0.93082788671023964" u="1"/>
        <n v="0.97049180327868856" u="1"/>
        <n v="0.73267326732673266" u="1"/>
        <n v="0.48576122672508215" u="1"/>
        <n v="0.9945205479452055" u="1"/>
        <n v="0.71978021978021978" u="1"/>
        <n v="0.56378600823045266" u="1"/>
        <n v="0.64332603938730848" u="1"/>
        <n v="0.73148148148148151" u="1"/>
        <n v="0.72702331961591216" u="1"/>
        <n v="0.75690607734806625" u="1"/>
        <n v="0.26451259583789705" u="1"/>
        <n v="0.7357357357357357" u="1"/>
        <n v="0.2119205298013245" u="1"/>
        <n v="0.40883977900552487" u="1"/>
        <n v="0.9213483146067416" u="1"/>
        <n v="0.1955093099671413" u="1"/>
        <n v="0.93370165745856348" u="1"/>
        <n v="0.9" u="1"/>
        <n v="0.58926615553121575" u="1"/>
        <n v="0.91972249752229929" u="1"/>
        <n v="0.98947368421052628" u="1"/>
        <n v="0.49723756906077349" u="1"/>
        <n v="0.74450549450549453" u="1"/>
        <n v="0.42113910186199344" u="1"/>
        <n v="0.50480109739368995" u="1"/>
        <n v="0.86475409836065575" u="1"/>
        <n v="0.92215568862275454" u="1"/>
        <n v="0.80547945205479454" u="1"/>
        <n v="0.78099173553719003" u="1"/>
        <n v="0.9673202614379085" u="1"/>
        <n v="0.17452830188679244" u="1"/>
        <n v="0.99315068493150682" u="1"/>
        <n v="0.82270916334661359" u="1"/>
        <n v="0.76923076923076927" u="1"/>
        <n v="0.82950819672131149" u="1"/>
        <n v="0.16319824753559695" u="1"/>
        <n v="0.99800796812749004" u="1"/>
        <n v="0.84012539184952983" u="1"/>
        <n v="0.83442265795206971" u="1"/>
        <n v="0.90119760479041922" u="1"/>
        <n v="0.47736625514403291" u="1"/>
        <n v="0.79012345679012341" u="1"/>
        <n v="0.95336076817558302" u="1"/>
        <n v="0.96065573770491808" u="1"/>
        <n v="0.604052573932092" u="1"/>
        <n v="0.99270072992700731" u="1"/>
        <n v="0.52328767123287667" u="1"/>
        <n v="0.35651697699890472" u="1"/>
        <n v="0.94343065693430661" u="1"/>
        <n v="0.8941605839416058" u="1"/>
        <n v="0.89863013698630134" u="1"/>
        <n v="0.88023952095808389" u="1"/>
        <n v="0.98481012658227851" u="1"/>
        <n v="0.67864923747276684" u="1"/>
        <n v="0.86861313868613144" u="1"/>
        <n v="0.36625514403292181" u="1"/>
        <n v="0.5679012345679012" u="1"/>
        <n v="0.96283448959365714" u="1"/>
        <n v="0.73113854595336081" u="1"/>
        <n v="0.41735537190082644" u="1"/>
        <n v="0.91614906832298137" u="1"/>
        <n v="0.85928143712574845" u="1"/>
        <n v="0.61643835616438358" u="1"/>
        <n v="0.13907284768211919" u="1"/>
        <n v="0.86520947176684881" u="1"/>
        <n v="0.99178082191780825" u="1"/>
        <n v="0.51627906976744187" u="1"/>
        <n v="0.65934065934065933" u="1"/>
        <n v="0.93736383442265792" u="1"/>
        <n v="0.32328767123287672" u="1"/>
        <n v="0.26615553121577218" u="1"/>
        <n v="0.99635701275045541" u="1"/>
        <n v="0.20920043811610076" u="1"/>
        <n v="0.41176470588235292" u="1"/>
        <n v="0.73369565217391308" u="1"/>
        <n v="0.91820580474934033" u="1"/>
        <n v="0.18543046357615894" u="1"/>
        <n v="0.92192192192192191" u="1"/>
        <n v="0.81967213114754101" u="1"/>
        <n v="0.6586826347305389" u="1"/>
        <n v="0.70958904109589038" u="1"/>
        <n v="0.59255202628696602" u="1"/>
        <n v="0.75896414342629481" u="1"/>
        <n v="0.91086350974930363" u="1"/>
        <n v="0.34771573604060912" u="1"/>
        <n v="0.89726027397260277" u="1"/>
        <n v="0.95081967213114749" u="1"/>
        <n v="0.93426294820717126" u="1"/>
        <n v="0.68406593406593408" u="1"/>
        <n v="0.7398119122257053" u="1"/>
        <n v="0.71514161220043571" u="1"/>
        <n v="0.36986301369863012" u="1"/>
        <n v="0.7741347905282332" u="1"/>
        <n v="0.39704271631982474" u="1"/>
        <n v="0.89768976897689767" u="1"/>
        <n v="0.23178807947019867" u="1"/>
        <n v="0.63100137174211246" u="1"/>
        <n v="0.30065359477124182" u="1"/>
        <n v="0.79423868312757206" u="1"/>
        <n v="0.95747599451303156" u="1"/>
        <n v="0.85808580858085803" u="1"/>
        <n v="0.49746192893401014" u="1"/>
        <n v="0.46700507614213199" u="1"/>
        <n v="0.80273972602739729" u="1"/>
        <n v="0.70879120879120883" u="1"/>
        <n v="0.73155737704918034" u="1"/>
        <n v="0.67512690355329952" u="1"/>
        <n v="0.64893617021276595" u="1"/>
        <n v="0.76886792452830188" u="1"/>
        <n v="0.61676646706586824" u="1"/>
        <n v="0.88032786885245906" u="1"/>
        <n v="0.6142131979695431" u="1"/>
        <n v="0.79861111111111116" u="1"/>
        <n v="0.5532994923857868" u="1"/>
        <n v="0.95496894409937894" u="1"/>
        <n v="0.96238244514106586" u="1"/>
        <n v="0.60733844468784226" u="1"/>
        <n v="0.97385620915032678" u="1"/>
        <n v="0.41643835616438357" u="1"/>
        <n v="0.57201646090534974" u="1"/>
        <n v="0.90740740740740744" u="1"/>
        <n v="0.52054794520547942" u="1"/>
        <n v="0.73350253807106602" u="1"/>
        <n v="0.67258883248730961" u="1"/>
        <n v="0.84095860566448799" u="1"/>
        <n v="0.33242059145673603" u="1"/>
        <n v="0.96306068601583117" u="1"/>
        <n v="0.77450980392156865" u="1"/>
        <n v="0.67868852459016393" u="1"/>
        <n v="0.89589041095890409" u="1"/>
        <n v="0.91370558375634514" u="1"/>
        <n v="0.16993464052287582" u="1"/>
        <n v="0.85279187817258884" u="1"/>
        <n v="0.79187817258883253" u="1"/>
        <n v="0.85069444444444442" u="1"/>
        <n v="0.95044598612487607" u="1"/>
        <n v="0.80983606557377052" u="1"/>
        <n v="0.98909811694747274" u="1"/>
        <n v="0.75163398692810457" u="1"/>
        <n v="0.64344262295081966" u="1"/>
        <n v="0.46301369863013697" u="1"/>
        <n v="0.85733882030178321" u="1"/>
        <n v="0.68518518518518523" u="1"/>
        <n v="0.91116751269035534" u="1"/>
        <n v="0.94098360655737701" u="1"/>
        <n v="0.61369863013698633" u="1"/>
        <n v="0.48904709748083242" u="1"/>
        <n v="0.14520547945205478" u="1"/>
        <n v="0.77459016393442626" u="1"/>
        <n v="0.87051792828685259" u="1"/>
        <n v="0.29353778751369114" u="1"/>
        <n v="0.989041095890411" u="1"/>
        <n v="0.59890109890109888" u="1"/>
        <n v="0.90573770491803274" u="1"/>
        <n v="0.26779846659364731" u="1"/>
        <n v="0.31824417009602196" u="1"/>
        <n v="0.48148148148148145" u="1"/>
        <n v="0.635116598079561" u="1"/>
        <n v="0.43712574850299402" u="1"/>
        <n v="0.79835390946502061" u="1"/>
        <n v="0.47169811320754718" u="1"/>
        <n v="0.68652037617554862" u="1"/>
        <n v="0.12328767123287671" u="1"/>
        <n v="0.9438997821350763" u="1"/>
        <n v="0.59583789704271628" u="1"/>
        <n v="0.70684931506849313" u="1"/>
        <n v="0.93359762140733404" u="1"/>
        <n v="0.87745098039215685" u="1"/>
        <n v="0.54435925520262873" u="1"/>
        <n v="0.81100217864923752" u="1"/>
        <n v="0.80991735537190079" u="1"/>
        <n v="0.47368421052631576" u="1"/>
        <n v="0.62362637362637363" u="1"/>
        <n v="0.4244249726177437" u="1"/>
        <n v="0.68647540983606559" u="1"/>
        <n v="0.39868565169769987" u="1"/>
        <n v="0.66885245901639345" u="1"/>
        <n v="0.5761316872427984" u="1"/>
        <n v="0.39534883720930231" u="1"/>
        <n v="0.8" u="1"/>
        <n v="0.16484118291347208" u="1"/>
        <n v="0.19178082191780821" u="1"/>
        <n v="0.64835164835164838" u="1"/>
        <n v="0.98767123287671232" u="1"/>
        <n v="0.48360655737704916" u="1"/>
        <n v="0.51780821917808217" u="1"/>
        <n v="0.59836065573770492" u="1"/>
        <n v="0.80677290836653381" u="1"/>
        <n v="0.98039215686274506" u="1"/>
        <n v="0.24315443592552027" u="1"/>
        <n v="0.12735849056603774" u="1"/>
        <n v="0.89315068493150684" u="1"/>
        <n v="0.98207171314741037" u="1"/>
        <n v="0.72950819672131151" u="1"/>
        <n v="0.91394335511982572" u="1"/>
        <n v="0.27397260273972601" u="1"/>
        <n v="7.7348066298342538E-2" u="1"/>
        <n v="0.53285870755750275" u="1"/>
        <n v="0.33701657458563539" u="1"/>
        <n v="0.49069003285870755" u="1"/>
        <n v="0.40192043895747598" u="1"/>
        <n v="0.61095890410958908" u="1"/>
        <n v="0.52786885245901638" u="1"/>
        <n v="0.75816993464052285" u="1"/>
        <n v="0.9604221635883905" u="1"/>
        <n v="0.29518072289156627" u="1"/>
        <n v="0.79005524861878451" u="1"/>
        <n v="0.99013157894736847" u="1"/>
        <n v="0.53846153846153844" u="1"/>
        <n v="0.23835616438356164" u="1"/>
        <n v="5.7534246575342465E-2" u="1"/>
        <n v="0.98203592814371254" u="1"/>
        <n v="0.32054794520547947" u="1"/>
        <n v="0.79347826086956519" u="1"/>
        <n v="0.78298611111111116" u="1"/>
        <n v="0.38139534883720932" u="1"/>
        <n v="0.92120911793855298" u="1"/>
        <n v="0.95986124876114964" u="1"/>
        <n v="0.80877742946708464" u="1"/>
        <n v="0.94186046511627908" u="1"/>
        <n v="0.80902777777777779" u="1"/>
        <n v="0.96107784431137722" u="1"/>
        <n v="0.547645125958379" u="1"/>
        <n v="0.5629139072847682" u="1"/>
        <n v="0.82370517928286857" u="1"/>
        <n v="0.31578947368421051" u="1"/>
        <n v="0.66996699669966997" u="1"/>
        <n v="0.55434782608695654" u="1"/>
        <n v="0.56318681318681318" u="1"/>
        <n v="0.88398692810457513" u="1"/>
        <n v="0.83506944444444442" u="1"/>
        <n v="0.36712328767123287" u="1"/>
        <n v="0.41830065359477125" u="1"/>
        <n v="0.6556291390728477" u="1"/>
        <n v="8.7671232876712329E-2" u="1"/>
        <n v="0.17853231106243153" u="1"/>
        <n v="0.94011976047904189" u="1"/>
        <n v="0.53979238754325265" u="1"/>
        <n v="0.43347050754458161" u="1"/>
        <n v="0.7023319615912208" u="1"/>
        <n v="0.7483443708609272" u="1"/>
        <n v="0.8655692729766804" u="1"/>
        <n v="0.91832669322709159" u="1"/>
        <n v="0.95807453416149069" u="1"/>
        <n v="0.58791208791208793" u="1"/>
        <n v="0.83576642335766427" u="1"/>
        <n v="0.90436075322101095" u="1"/>
        <n v="0.72821350762527237" u="1"/>
        <n v="0.84105960264900659" u="1"/>
        <n v="0.99817850637522765" u="1"/>
        <n v="0.78649635036496346" u="1"/>
        <n v="0.73722627737226276" u="1"/>
        <n v="0.33570646221248629" u="1"/>
        <n v="0.93377483443708609" u="1"/>
        <n v="0.3223593964334705" u="1"/>
        <n v="0.64334705075445819" u="1"/>
        <n v="0.56401384083044981" u="1"/>
        <n v="0.9859154929577465" u="1"/>
        <n v="0.83229813664596275" u="1"/>
        <n v="0.5056179775280899" u="1"/>
        <n v="0.98692810457516345" u="1"/>
        <n v="0.53614457831325302" u="1"/>
        <n v="0.7441860465116279" u="1"/>
        <n v="0.85403050108932466" u="1"/>
        <n v="0.90710382513661203" u="1"/>
        <n v="0.75996015936254979" u="1"/>
        <n v="0.27108433734939757" u="1"/>
        <n v="0.93525896414342624" u="1"/>
        <n v="0.48901098901098899" u="1"/>
        <n v="0.83115468409586057" u="1"/>
        <n v="0.94021739130434778" u="1"/>
        <n v="0.59210526315789469" u="1"/>
        <n v="0.76470588235294112" u="1"/>
        <n v="0.19879518072289157" u="1"/>
        <n v="0.91392405063291138" u="1"/>
        <n v="0.94747274529236869" u="1"/>
        <n v="0.69825708061002179" u="1"/>
        <n v="0.9049586776859504" u="1"/>
        <n v="0.85458167330677293" u="1"/>
        <n v="0.93103448275862066" u="1"/>
        <n v="0.21810699588477367" u="1"/>
        <n v="0.35390946502057613" u="1"/>
        <n v="0.85446009389671362" u="1"/>
        <n v="0.55093099671412926" u="1"/>
        <n v="0.93801652892561982" u="1"/>
        <n v="0.95778364116094983" u="1"/>
        <n v="0.16712328767123288" u="1"/>
        <n v="0.42771084337349397" u="1"/>
        <n v="0.50274725274725274" u="1"/>
        <n v="0.97107438016528924" u="1"/>
        <n v="0.40197152245345019" u="1"/>
        <n v="0.98399999999999999" u="1"/>
        <n v="0.54248366013071891" u="1"/>
        <n v="0.71823204419889508" u="1"/>
        <n v="0.54255319148936165" u="1"/>
        <n v="0.54966887417218546" u="1"/>
        <n v="0.81444099378881984" u="1"/>
        <n v="0.95697167755991286" u="1"/>
        <n v="0.89052287581699341" u="1"/>
        <n v="0.8632075471698113" u="1"/>
        <n v="0.52747252747252749" u="1"/>
        <n v="0.99061032863849763" u="1"/>
        <n v="0.61719605695509305" u="1"/>
        <n v="0.89502762430939231" u="1"/>
        <n v="0.952191235059761" u="1"/>
        <n v="0.87458745874587462" u="1"/>
        <n v="0.95394736842105265" u="1"/>
        <n v="0.36308871851040525" u="1"/>
        <n v="0.71627906976744182" u="1"/>
        <n v="0.8294573643410853" u="1"/>
        <n v="0.83498349834983498" u="1"/>
        <n v="0.73474945533769065" u="1"/>
        <n v="0.41522491349480967" u="1"/>
        <n v="0.72300469483568075" u="1"/>
        <n v="0.24479737130339541" u="1"/>
        <n v="0.82781456953642385" u="1"/>
        <n v="0.87151394422310757" u="1"/>
        <n v="0.9327846364883402" u="1"/>
        <n v="0.79340277777777779" u="1"/>
        <n v="0.65517241379310343" u="1"/>
        <n v="0.92052980132450335" u="1"/>
        <n v="0.53943044906900328" u="1"/>
        <n v="0.49397590361445781" u="1"/>
        <n v="0.79083665338645415" u="1"/>
        <n v="0.81944444444444442" u="1"/>
        <n v="0.56105610561056107" u="1"/>
        <n v="0.7528089887640449" u="1"/>
        <n v="0.29846659364731654" u="1"/>
        <n v="0.99346405228758172" u="1"/>
        <n v="0.85915492957746475" u="1"/>
        <n v="0.92701525054466227" u="1"/>
        <n v="0.54732510288065839" u="1"/>
        <n v="0.81381381381381379" u="1"/>
        <n v="0.97373637264618429" u="1"/>
        <n v="0.60569550930996718" u="1"/>
        <n v="0.25943396226415094" u="1"/>
        <n v="0.83769063180827885" u="1"/>
        <n v="0.55421686746987953" u="1"/>
        <n v="0.77124183006535951" u="1"/>
        <n v="0.4293537787513691" u="1"/>
        <n v="0.62735849056603776" u="1"/>
        <n v="0.70479302832244006" u="1"/>
        <n v="0.99530516431924887" u="1"/>
        <n v="0.3020304568527919" u="1"/>
        <n v="0.68837209302325586" u="1"/>
        <n v="0.18017524644030669" u="1"/>
        <n v="0.96118012422360244" u="1"/>
        <n v="0.72769953051643188" u="1"/>
        <n v="0.80776892430278879" u="1"/>
        <n v="0.5490196078431373" u="1"/>
        <n v="0.91823587710604559" u="1"/>
        <n v="0.98157894736842111" u="1"/>
        <n v="0.48351648351648352" u="1"/>
        <n v="0.45177664974619292" u="1"/>
        <n v="0.96350762527233114" u="1"/>
        <n v="0.46913580246913578" u="1"/>
        <n v="0.77366255144032925" u="1"/>
        <n v="0.39086294416243655" u="1"/>
        <n v="0.26229508196721313" u="1"/>
        <n v="0.9505494505494505" u="1"/>
        <n v="0.32786885245901637" u="1"/>
        <n v="0.8354037267080745" u="1"/>
        <n v="0.87418300653594772" u="1"/>
        <n v="0.70304568527918787" u="1"/>
        <n v="0.64213197969543145" u="1"/>
        <n v="0.72185430463576161" u="1"/>
        <n v="0.80773420479302838" u="1"/>
        <n v="0.52030456852791873" u="1"/>
        <n v="0.9068493150684932" u="1"/>
        <n v="0.55144032921810704" u="1"/>
        <n v="0.77742946708463945" u="1"/>
        <n v="0.54271631982475355" u="1"/>
        <n v="0.35359116022099446" u="1"/>
        <n v="0.82233502538071068" u="1"/>
        <n v="0.97527472527472525" u="1"/>
        <n v="0.31372549019607843" u="1"/>
        <n v="0.81456953642384111" u="1"/>
        <n v="0.40094339622641512" u="1"/>
        <n v="0.70050761421319796" u="1"/>
        <n v="0.59624413145539901" u="1"/>
        <n v="0.88071065989847719" u="1"/>
        <n v="0.81979695431472077" u="1"/>
        <n v="0.27437020810514784" u="1"/>
        <n v="0.62465753424657533" u="1"/>
        <n v="0.87465181058495822" u="1"/>
        <n v="0.56055363321799312" u="1"/>
        <n v="0.96134786917740334" u="1"/>
        <n v="0.93355119825708066" u="1"/>
        <n v="0.60898138006571745" u="1"/>
        <n v="0.76422764227642281" u="1"/>
        <n v="0.99343544857768051" u="1"/>
        <n v="0.90145985401459849" u="1"/>
        <n v="0.55750273822562979" u="1"/>
        <n v="0.75173611111111116" u="1"/>
        <n v="0.43099671412924423" u="1"/>
        <n v="0.73239436619718312" u="1"/>
        <n v="0.31683168316831684" u="1"/>
        <n v="0.91067538126361658" u="1"/>
        <n v="0.95446265938069219" u="1"/>
        <n v="0.71780821917808224" u="1"/>
        <n v="0.98030634573304154" u="1"/>
        <n v="0.3895747599451303" u="1"/>
        <n v="0.6145404663923183" u="1"/>
        <n v="0.77777777777777779" u="1"/>
        <n v="0.69918699186991873" u="1"/>
        <n v="0.92950819672131146" u="1"/>
        <n v="0.71132897603485834" u="1"/>
        <n v="0.52173913043478259" u="1"/>
        <n v="0.96717724288840268" u="1"/>
        <n v="0.16812705366922234" u="1"/>
        <n v="0.91188524590163933" u="1"/>
        <n v="0.90584737363726464" u="1"/>
        <n v="0.4532967032967033" u="1"/>
        <n v="0.64686468646864681" u="1"/>
        <n v="0.62376779846659369" u="1"/>
        <n v="0.58677685950413228" u="1"/>
        <n v="0.81095890410958904" u="1"/>
        <n v="0.6198347107438017" u="1"/>
        <n v="0.63414634146341464" u="1"/>
        <n v="0.55555555555555558" u="1"/>
        <n v="0.89010989010989006" u="1"/>
        <n v="0.34063526834611174" u="1"/>
        <n v="0.85901639344262293" u="1"/>
        <n v="0.52317880794701987" u="1"/>
        <n v="0.93661971830985913" u="1"/>
        <n v="0.60093896713615025" u="1"/>
        <n v="0.75748502994011979" u="1"/>
        <n v="0.67452830188679247" u="1"/>
        <n v="0.27173913043478259" u="1"/>
        <n v="0.52876712328767128" u="1"/>
        <n v="0.99016393442622952" u="1"/>
        <n v="0.75531914893617025" u="1"/>
        <n v="0.82377049180327866" u="1"/>
        <n v="0.97209302325581393" u="1"/>
        <n v="0.54600219058050381" u="1"/>
        <n v="0.90410958904109584" u="1"/>
        <n v="0.88071895424836599" u="1"/>
        <n v="0.9148351648351648" u="1"/>
        <n v="0.49726177437020813" u="1"/>
        <n v="0.73652694610778446" u="1"/>
        <n v="0.27945205479452057" u="1"/>
        <n v="0.81427015250544665" u="1"/>
        <n v="0.95491803278688525" u="1"/>
        <n v="0.70860927152317876" u="1"/>
        <n v="0.46052631578947367" u="1"/>
        <n v="0.3017524644030668" u="1"/>
        <n v="0.7478213507625272" u="1"/>
        <n v="0.78852459016393439" u="1"/>
        <n v="0.7996894409937888" u="1"/>
        <n v="0.68137254901960786" u="1"/>
        <n v="0.85557768924302791" u="1"/>
        <n v="0.83807439824945296" u="1"/>
        <n v="0.21412924424972618" u="1"/>
        <n v="0.62191780821917808" u="1"/>
        <n v="0.80132450331125826" u="1"/>
        <n v="0.91967213114754098" u="1"/>
        <n v="0.83150984682713347" u="1"/>
        <n v="0.98761149653121905" u="1"/>
        <n v="0.93956043956043955" u="1"/>
        <n v="0.82494529540481398" u="1"/>
        <n v="0.99726027397260275" u="1"/>
        <n v="0.24109589041095891" u="1"/>
        <n v="0.47325102880658437" u="1"/>
        <n v="0.61865569272976684" u="1"/>
        <n v="0.89403973509933776" u="1"/>
        <n v="0.61226725082146771" u="1"/>
        <n v="0.78189300411522633" u="1"/>
        <n v="0.32602739726027397" u="1"/>
        <n v="0.43263964950711936" u="1"/>
        <n v="0.71803278688524586" u="1"/>
        <n v="0.98675496688741726" u="1"/>
        <n v="0.86680327868852458" u="1"/>
        <n v="0.71506849315068488" u="1"/>
        <n v="0.42560553633217996" u="1"/>
        <n v="0.84918032786885245" u="1"/>
        <n v="0.5709342560553633" u="1"/>
        <n v="0.51497005988023947" u="1"/>
        <n v="0.99795081967213117" u="1"/>
        <n v="0.18181818181818182" u="1"/>
        <n v="0.91721132897603486" u="1"/>
        <n v="0.963963963963964" u="1"/>
        <n v="0.55967078189300412" u="1"/>
        <n v="0.72210065645514221" u="1"/>
        <n v="0.98032786885245904" u="1"/>
        <n v="0.93211100099108024" u="1"/>
        <n v="0.85076252723311552" u="1"/>
        <n v="0.9707631318136769" u="1"/>
        <n v="0.37260273972602742" u="1"/>
        <n v="0.71553610503282272" u="1"/>
        <n v="0.78431372549019607" u="1"/>
        <n v="0.92817679558011046" u="1"/>
        <n v="0.9595588235294118" u="1"/>
        <n v="0.62705366922234396" u="1"/>
        <n v="0.64754098360655743" u="1"/>
        <n v="0.87250996015936255" u="1"/>
      </sharedItems>
    </cacheField>
    <cacheField name="Diferencia" numFmtId="9">
      <sharedItems containsMixedTypes="1" containsNumber="1" minValue="-0.94246575342465755" maxValue="1" count="6258">
        <n v="0.15158135670315875"/>
        <n v="1.0914575735657461E-2"/>
        <n v="0.99539487006205918"/>
        <n v="0"/>
        <n v="7.0867013806706125E-2"/>
        <n v="0.91490588381949634"/>
        <n v="1"/>
        <n v="2.1469476861166736E-3"/>
        <n v="0.19613035324901873"/>
        <n v="2.0447438056292455E-5"/>
        <n v="0.18231754905253272"/>
        <n v="0.20425387341869117"/>
        <n v="0.1096605825242718"/>
        <n v="4.9839837191194225E-2"/>
        <n v="5.3285522645165506E-2"/>
        <n v="9.5237999999999712E-3"/>
        <n v="1.6701999999999551E-3"/>
        <n v="4.9777117384844027E-2"/>
        <n v="1.66702229797977E-7"/>
        <n v="0.12244680851063827"/>
        <n v="0.17326829268292687"/>
        <n v="2.8585339716381553E-3"/>
        <n v="0.49256875365710939"/>
        <n v="0.10023158991437298"/>
        <n v="0.26352103271756067"/>
        <n v="1.6986168405175306E-6"/>
        <n v="4.8336625074825834E-2"/>
        <n v="0.46257434919473428"/>
        <n v="1.4285714285714457E-3"/>
        <n v="0.17094155930378929"/>
        <n v="6.8986244019138776E-2"/>
        <n v="8.4991137524762839E-2"/>
        <n v="4.8416269249340615E-6"/>
        <n v="9.9007098363030566E-2"/>
        <n v="0.17779015143086607"/>
        <n v="1.821747992448719E-4"/>
        <n v="0.10343103959879807"/>
        <n v="2.8883149527131002E-2"/>
        <n v="0.16052631578947374"/>
        <n v="1.4999999997655777E-7"/>
        <n v="9.4821298322389502E-4"/>
        <n v="1.1624612271665669E-6"/>
        <n v="4.5814577851389648E-3"/>
        <n v="2.4395326504481396E-2"/>
        <n v="0.44999999999999996"/>
        <n v="0.16894277172752514"/>
        <n v="8.6669685990338197E-3"/>
        <n v="6.4415073275370105E-10"/>
        <n v="0.642092"/>
        <n v="5.5702785717315351E-8"/>
        <n v="0.58332499999999998"/>
        <n v="0.14940303708164848"/>
        <n v="1.3500313003229847E-2"/>
        <n v="2.365140988965786E-4"/>
        <n v="1.5653841840079119E-2"/>
        <n v="1.3690080219135314E-3"/>
        <n v="2.1441808967067155E-2"/>
        <n v="0.41317332556360853"/>
        <n v="1.0117441675927541E-4"/>
        <n v="0.2609590142315551"/>
        <n v="0.44389204545454541"/>
        <n v="7.1963049022905068E-5"/>
        <n v="8.9086903719912458E-2"/>
        <n v="6.6122376168875618E-5"/>
        <n v="2.1180711880893544E-2"/>
        <e v="#DIV/0!"/>
        <n v="0.82565695661685168"/>
        <n v="3.8136274316258323E-7"/>
        <n v="0.24509467963732678"/>
        <n v="4.4152644873562963E-9"/>
        <n v="6.3329547368421002E-2"/>
        <n v="4.8755571428571454E-3"/>
        <n v="0.52694580888888887"/>
        <n v="0.78148148148148144"/>
        <n v="7.7562528256508112E-2"/>
        <n v="5.5663000000000018E-2"/>
        <n v="1.2121218181818216E-2"/>
        <n v="6.0606181818181337E-3"/>
        <n v="4.7860525520990627E-2"/>
        <n v="0.37575757575757573"/>
        <n v="0.36333333980582527"/>
        <n v="0.11111111650485439"/>
        <n v="3.0887136677726357E-4"/>
        <n v="0.75704854545454547"/>
        <n v="0.43155359293456441"/>
        <n v="0.60792000000000002"/>
        <n v="5.2744346210519599E-2"/>
        <n v="4.1176301038836627E-6"/>
        <n v="1.1145536453066596E-3"/>
        <n v="1.2360327698348605E-3"/>
        <n v="2.000376670974191E-6"/>
        <n v="9.9999999999999978E-2"/>
        <n v="5.9261542340038886E-9"/>
        <n v="4.1343256144205864E-2"/>
        <n v="0.28426343197616688"/>
        <n v="9.3859724888035845E-2"/>
        <n v="6.0643391679350622E-2"/>
        <n v="0.61339897260273979"/>
        <n v="4.8167644831503265E-2"/>
        <n v="6.8638704783159366E-3"/>
        <n v="0.45574298839458416"/>
        <n v="5.6053169734116004E-5"/>
        <n v="0.29424778761061943"/>
        <n v="9.9999957811824691E-2"/>
        <n v="0.3700597371565113"/>
        <n v="2.1669533374347405E-2"/>
        <n v="1.3241525431695322E-8"/>
        <n v="0.16736457726487175" u="1"/>
        <n v="0.76063800667277215" u="1"/>
        <n v="0.2153773807587761" u="1"/>
        <n v="0.26160179830045649" u="1"/>
        <n v="0.70518178560050981" u="1"/>
        <n v="0.80821917808219179" u="1"/>
        <n v="6.3991231468559118E-2" u="1"/>
        <n v="0.49066028033828557" u="1"/>
        <n v="0.25792346393442628" u="1"/>
        <n v="0.77868852459016391" u="1"/>
        <n v="-2.739726027397249E-3" u="1"/>
        <n v="0.28162781154620509" u="1"/>
        <n v="1.6183576685656398E-2" u="1"/>
        <n v="0.37757268112598064" u="1"/>
        <n v="0.43144963751023746" u="1"/>
        <n v="6.8961740845717823E-2" u="1"/>
        <n v="0.1321720604313249" u="1"/>
        <n v="0.31665897554222422" u="1"/>
        <n v="8.535518346866855E-2" u="1"/>
        <n v="-0.85479452054794525" u="1"/>
        <n v="0.41917808219178082" u="1"/>
        <n v="0.53422873422873418" u="1"/>
        <n v="-0.20547945205479456" u="1"/>
        <n v="7.7540983606557368E-2" u="1"/>
        <n v="4.8366026405228801E-2" u="1"/>
        <n v="0.52602739726027392" u="1"/>
        <n v="-0.25479452054794516" u="1"/>
        <n v="-2.9197080291970767E-2" u="1"/>
        <n v="0.15524490365637356" u="1"/>
        <n v="-0.11854580551285521" u="1"/>
        <n v="0.11586132192192189" u="1"/>
        <n v="-0.39560439560439564" u="1"/>
        <n v="0.10174862609161939" u="1"/>
        <n v="0.86427165627073654" u="1"/>
        <n v="0.22687315392498153" u="1"/>
        <n v="9.4970505018310947E-2" u="1"/>
        <n v="2.5241547700149192E-2" u="1"/>
        <n v="0.20915034013071893" u="1"/>
        <n v="0.16262857894736837" u="1"/>
        <n v="0.38235107526277057" u="1"/>
        <n v="0.90136986301369859" u="1"/>
        <n v="9.3934426229508206E-2" u="1"/>
        <n v="0.50993377483443714" u="1"/>
        <n v="-1.2692044204357433E-2" u="1"/>
        <n v="0.21697216382597162" u="1"/>
        <n v="-0.57260273972602738" u="1"/>
        <n v="0.11032786885245893" u="1"/>
        <n v="0.71872183900810149" u="1"/>
        <n v="0.1694099750177489" u="1"/>
        <n v="5.4647294094620547E-2" u="1"/>
        <n v="0.2838797947540983" u="1"/>
        <n v="0.78600823045267487" u="1"/>
        <n v="-3.1325584577028276E-2" u="1"/>
        <n v="0.20349486844262293" u="1"/>
        <n v="0.60264900662251653" u="1"/>
        <n v="0.26041921334479468" u="1"/>
        <n v="0.26578668306396991" u="1"/>
        <n v="0.46575342465753422" u="1"/>
        <n v="0.2623223434699184" u="1"/>
        <n v="0.11232876712328767" u="1"/>
        <n v="0.21318591318591318" u="1"/>
        <n v="0.34945356524590165" u="1"/>
        <n v="0.11174864721311473" u="1"/>
        <n v="-0.44874884775921536" u="1"/>
        <n v="-0.30136986301369861" u="1"/>
        <n v="0.69536423841059603" u="1"/>
        <n v="-7.1232876712328808E-2" u="1"/>
        <n v="0.2335157591077785" u="1"/>
        <n v="0.57986870897155363" u="1"/>
        <n v="-2.0497904567745695E-2" u="1"/>
        <n v="0.87912087912087911" u="1"/>
        <n v="0.30660377358490565" u="1"/>
        <n v="0.10248430854490864" u="1"/>
        <n v="0.11127049180327864" u="1"/>
        <n v="0.14070434676494681" u="1"/>
        <n v="0.57330415754923414" u="1"/>
        <n v="0.14334230940217307" u="1"/>
        <n v="0.78807947019867552" u="1"/>
        <n v="-0.66575342465753429" u="1"/>
        <n v="0.19355190478014406" u="1"/>
        <n v="0.72169811320754718" u="1"/>
        <n v="0.26683047289107287" u="1"/>
        <n v="-7.0491803278688536E-2" u="1"/>
        <n v="0.56673960612691465" u="1"/>
        <n v="-0.42032967032967028" u="1"/>
        <n v="0.26317678428801783" u="1"/>
        <n v="0.30772175547224112" u="1"/>
        <n v="0.61032863849765262" u="1"/>
        <n v="0.24780328699622595" u="1"/>
        <n v="0.40524161130221137" u="1"/>
        <n v="0.67727480885632363" u="1"/>
        <n v="0.12341302857267233" u="1"/>
        <n v="0.18465511919776634" u="1"/>
        <n v="0.71232876712328763" u="1"/>
        <n v="-0.34794520547945207" u="1"/>
        <n v="0.90384615384615385" u="1"/>
        <n v="0.16986301369863013" u="1"/>
        <n v="0.11448084098360656" u="1"/>
        <n v="0.55361050328227568" u="1"/>
        <n v="0.3249720391941392" u="1"/>
        <n v="0.64876033057851235" u="1"/>
        <n v="0.54704595185995619" u="1"/>
        <n v="6.5629281278718365E-2" u="1"/>
        <n v="0.68181818181818177" u="1"/>
        <n v="0.16745498069089571" u="1"/>
        <n v="0.15430327868852456" u="1"/>
        <n v="0.71487603305785119" u="1"/>
        <n v="-5.4704595185995575E-2" u="1"/>
        <n v="0.19725276343397702" u="1"/>
        <n v="0.34283913073770489" u="1"/>
        <n v="0.2270660671361503" u="1"/>
        <n v="3.3961201438529098E-2" u="1"/>
        <n v="0.21442707331427358" u="1"/>
        <n v="-0.39452054794520552" u="1"/>
        <n v="0.27218127218127225" u="1"/>
        <n v="0.30345788968416265" u="1"/>
        <n v="5.066323034960063E-2" u="1"/>
        <n v="-0.18681318681318682" u="1"/>
        <n v="0.22128186550359186" u="1"/>
        <n v="0.10880898021308982" u="1"/>
        <n v="0.79988886940178738" u="1"/>
        <n v="0.10695307582441116" u="1"/>
        <n v="0.87660557697076258" u="1"/>
        <n v="0.58315643747115831" u="1"/>
        <n v="-7.2847682119205337E-2" u="1"/>
        <n v="0.522242731887402" u="1"/>
        <n v="-0.10672395772869747" u="1"/>
        <n v="0.77020712889111842" u="1"/>
        <n v="5.2429291323110916E-2" u="1"/>
        <n v="0.1966147656174112" u="1"/>
        <n v="0.38429752066115702" u="1"/>
        <n v="5.2054794520547946E-2" u="1"/>
        <n v="0.27671232876712326" u="1"/>
        <n v="-0.13424657534246576" u="1"/>
        <n v="0.41343161949221952" u="1"/>
        <n v="0.70244577757268112" u="1"/>
        <n v="-1.6483516483516536E-2" u="1"/>
        <n v="0.11142129466726153" u="1"/>
        <n v="0.58061836640516851" u="1"/>
        <n v="0.19420221737089205" u="1"/>
        <n v="0.1407404349965824" u="1"/>
        <n v="7.9175298046633369E-2" u="1"/>
        <n v="0.3702980646702772" u="1"/>
        <n v="0.21263012801152337" u="1"/>
        <n v="0.21913350303803358" u="1"/>
        <n v="0.6705001805522075" u="1"/>
        <n v="0.2829729108101201" u="1"/>
        <n v="0.81868131868131866" u="1"/>
        <n v="3.4918032786885211E-2" u="1"/>
        <n v="0.58940397350993379" u="1"/>
        <n v="0.69990770650669132" u="1"/>
        <n v="7.4942911993692851E-3" u="1"/>
        <n v="0.55737704918032782" u="1"/>
        <n v="0.74438837386164858" u="1"/>
        <n v="0.78304050468424524" u="1"/>
        <n v="-0.11780821917808215" u="1"/>
        <n v="0.49947328141636138" u="1"/>
        <n v="0.56003909154924947" u="1"/>
        <n v="-0.23995763896800659" u="1"/>
        <n v="0.48466130628587289" u="1"/>
        <n v="5.3023849661966049E-2" u="1"/>
        <n v="0.44820813057583131" u="1"/>
        <n v="0.68211920529801329" u="1"/>
        <n v="7.6712328767123292E-2" u="1"/>
        <n v="-0.39010989010989006" u="1"/>
        <n v="0.2573160269820105" u="1"/>
        <n v="0.69118663253285595" u="1"/>
        <n v="0.19497461031762137" u="1"/>
        <n v="0.2322198221311475" u="1"/>
        <n v="0.46485932608785308" u="1"/>
        <n v="0.20784191427041132" u="1"/>
        <n v="0.11668033232976949" u="1"/>
        <n v="4.812954641264644E-2" u="1"/>
        <n v="5.1311475409836049E-2" u="1"/>
        <n v="0.20417690417690415" u="1"/>
        <n v="0.77483443708609268" u="1"/>
        <n v="0.84340659340659341" u="1"/>
        <n v="0.17503409794871783" u="1"/>
        <n v="0.27271012530358874" u="1"/>
        <n v="4.6679166604580713E-2" u="1"/>
        <n v="0.13238412285389034" u="1"/>
        <n v="0.29475225897435897" u="1"/>
        <n v="7.6358123086067597E-2" u="1"/>
        <n v="0.15584698674735709" u="1"/>
        <n v="0.15409214865550491" u="1"/>
        <n v="0.28265976270491799" u="1"/>
        <n v="-0.18082191780821921" u="1"/>
        <n v="8.7796590216507986E-2" u="1"/>
        <n v="0.23403609215441745" u="1"/>
        <n v="0.47920088092426916" u="1"/>
        <n v="0.34823353319672135" u="1"/>
        <n v="0.24842421270491799" u="1"/>
        <n v="0.10849032475166098" u="1"/>
        <n v="0.330188679245283" u="1"/>
        <n v="-1.0833546769793423E-2" u="1"/>
        <n v="0.16037735849056603" u="1"/>
        <n v="0.44452822647130641" u="1"/>
        <n v="0.797879178839074" u="1"/>
        <n v="-8.0291970802919721E-2" u="1"/>
        <n v="0.1819078664505136" u="1"/>
        <n v="8.8309433735904719E-3" u="1"/>
        <n v="8.0631145379096103E-2" u="1"/>
        <n v="-0.38293216630196936" u="1"/>
        <n v="-4.178743780709715E-2" u="1"/>
        <n v="0.74021294887094891" u="1"/>
        <n v="-0.3351648351648352" u="1"/>
        <n v="0.23793107822410153" u="1"/>
        <n v="0.27292658191228436" u="1"/>
        <n v="0.31947753369963372" u="1"/>
        <n v="0.15703831402422896" u="1"/>
        <n v="0.73351648351648346" u="1"/>
        <n v="0.30026944168465952" u="1"/>
        <n v="-0.37636761487964987" u="1"/>
        <n v="0.13919019479796868" u="1"/>
        <n v="0.15137232719024318" u="1"/>
        <n v="-5.8638957649325252E-2" u="1"/>
        <n v="6.7041352899732232E-2" u="1"/>
        <n v="0.1098612526902214" u="1"/>
        <n v="0.36132437196753298" u="1"/>
        <n v="0.51495712433613472" u="1"/>
        <n v="0.36842243781049666" u="1"/>
        <n v="0.7557224010731054" u="1"/>
        <n v="0.77674307660353681" u="1"/>
        <n v="-0.38830928731965486" u="1"/>
        <n v="-7.4175824175824134E-2" u="1"/>
        <n v="0.6461046653197412" u="1"/>
        <n v="-5.4794520547945202E-2" u="1"/>
        <n v="0.35159230614466219" u="1"/>
        <n v="1.9173172594040166E-2" u="1"/>
        <n v="0.22941348497652581" u="1"/>
        <n v="0.45296839145409534" u="1"/>
        <n v="0.25275313059033988" u="1"/>
        <n v="0.27502538071065991" u="1"/>
        <n v="0.25054024553990606" u="1"/>
        <n v="0.80930413203806095" u="1"/>
        <n v="5.3651278158365567E-2" u="1"/>
        <n v="8.0121709358893511E-5" u="1"/>
        <n v="3.5294130980392135E-2" u="1"/>
        <n v="0.82051824619373015" u="1"/>
        <n v="0.23379743985803991" u="1"/>
        <n v="0.29200843438357538" u="1"/>
        <n v="0.39541360147420146" u="1"/>
        <n v="0.71074380165289253" u="1"/>
        <n v="0.88043478260869568" u="1"/>
        <n v="-0.3216630196936543" u="1"/>
        <n v="-0.10596026490066224" u="1"/>
        <n v="0.74380165289256195" u="1"/>
        <n v="0.6752344354797909" u="1"/>
        <n v="6.8826714168637726E-2" u="1"/>
        <n v="0.11219806943927968" u="1"/>
        <n v="0.52960526315789469" u="1"/>
        <n v="0.78296703296703296" u="1"/>
        <n v="0.34746435397816133" u="1"/>
        <n v="0.77685950413223137" u="1"/>
        <n v="0.21589041488551552" u="1"/>
        <n v="0.23113207547169812" u="1"/>
        <n v="-0.31509846827133481" u="1"/>
        <n v="-0.15409836065573768" u="1"/>
        <n v="0.22651933701657459" u="1"/>
        <n v="0.64130434782608692" u="1"/>
        <n v="0.29469312413474846" u="1"/>
        <n v="3.0958198435526052E-2" u="1"/>
        <n v="0.28688524590163933" u="1"/>
        <n v="0.53301886792452835" u="1"/>
        <n v="0.34239108792609113" u="1"/>
        <n v="0.75380363649792215" u="1"/>
        <n v="0.23425254876311319" u="1"/>
        <n v="-0.30853391684901532" u="1"/>
        <n v="0.24744745350805342" u="1"/>
        <n v="0.46090534979423869" u="1"/>
        <n v="0.75720164609053497" u="1"/>
        <n v="0.83142494094226937" u="1"/>
        <n v="0.35245901639344263" u="1"/>
        <n v="0.19654963521126767" u="1"/>
        <n v="0.62264150943396224" u="1"/>
        <n v="0.71052631578947367" u="1"/>
        <n v="0.19516789516789523" u="1"/>
        <n v="0.41803278688524592" u="1"/>
        <n v="-0.15659340659340659" u="1"/>
        <n v="-2.7372262773722622E-2" u="1"/>
        <n v="0.26347726818744849" u="1"/>
        <n v="0.12672131147540988" u="1"/>
        <n v="0.97368421052631582" u="1"/>
        <n v="0.76041723675385653" u="1"/>
        <n v="6.9997285646722807E-2" u="1"/>
        <n v="0.15950819672131145" u="1"/>
        <n v="0.17228684520146509" u="1"/>
        <n v="3.8711039114540879E-2" u="1"/>
        <n v="0.608797203715992" u="1"/>
        <n v="0.80441512655149228" u="1"/>
        <n v="0.1296368701066376" u="1"/>
        <n v="0.2892577534798535" u="1"/>
        <n v="0.1464052420915033" u="1"/>
        <n v="4.0418713333333245E-2" u="1"/>
        <n v="0.57800327613384994" u="1"/>
        <n v="0.67307692307692313" u="1"/>
        <n v="7.3229174218806592E-2" u="1"/>
        <n v="0.45271019662363454" u="1"/>
        <n v="0.6404494382022472" u="1"/>
        <n v="6.0623389712150422E-2" u="1"/>
        <n v="-3.2786885245901232E-3" u="1"/>
        <n v="-1.2676056338028152E-2" u="1"/>
        <n v="0.11976788432267882" u="1"/>
        <n v="0.2376194376194376" u="1"/>
        <n v="0.78153930955802831" u="1"/>
        <n v="0.22585056022725553" u="1"/>
        <n v="-0.10657276995305165" u="1"/>
        <n v="-1.7370892018779394E-2" u="1"/>
        <n v="3.1885091048282188E-2" u="1"/>
        <n v="0.55704519230151461" u="1"/>
        <n v="0.55403784033225656" u="1"/>
        <n v="0.30785785686333916" u="1"/>
        <n v="0.79691562856927978" u="1"/>
        <n v="0.70417691283491279" u="1"/>
        <n v="0.21594957012824573" u="1"/>
        <n v="0.20813569911315799" u="1"/>
        <n v="0.15353535959595965" u="1"/>
        <n v="0.19393939999999998" u="1"/>
        <n v="0.36108777556868393" u="1"/>
        <n v="0.32843759955399804" u="1"/>
        <n v="-9.6721311475409855E-2" u="1"/>
        <n v="0.27315573770491797" u="1"/>
        <n v="0.31569752175812182" u="1"/>
        <n v="0.24092258435905967" u="1"/>
        <n v="-2.9617463466065197E-2" u="1"/>
        <n v="0.53608710846917929" u="1"/>
        <n v="-0.32967032967032972" u="1"/>
        <n v="0.2351838254768488" u="1"/>
        <n v="-0.11311475409836069" u="1"/>
        <n v="0.67741935483870963" u="1"/>
        <n v="0.72252747252747251" u="1"/>
        <n v="0.1448143177289376" u="1"/>
        <n v="0.51512902463684396" u="1"/>
        <n v="0.72602739726027399" u="1"/>
        <n v="0.85834231676000661" u="1"/>
        <n v="0.24466349244633157" u="1"/>
        <n v="0.74141513302914119" u="1"/>
        <n v="-0.77260273972602733" u="1"/>
        <n v="0.58393213693848056" u="1"/>
        <n v="0.17249288740936741" u="1"/>
        <n v="0.22478843084903088" u="1"/>
        <n v="0.41429857677172488" u="1"/>
        <n v="0.44736842105263158" u="1"/>
        <n v="4.5683150668325734E-2" u="1"/>
        <n v="0.53909465020576131" u="1"/>
        <n v="0.81917808219178079" u="1"/>
        <n v="0.29537607645989539" u="1"/>
        <n v="0.18961749967213115" u="1"/>
        <n v="9.7320856005322254E-2" u="1"/>
        <n v="0.12981147324794851" u="1"/>
        <n v="0.22057643479853484" u="1"/>
        <n v="0.22502867291379136" u="1"/>
        <n v="0.18913934426229506" u="1"/>
        <n v="0.26150500197476945" u="1"/>
        <n v="0.33188740193816335" u="1"/>
        <n v="0.60865741166375531" u="1"/>
        <n v="-0.86575342465753424" u="1"/>
        <n v="0.42465753424657532" u="1"/>
        <n v="3.5057650987809885E-2" u="1"/>
        <n v="0.31427847965987499" u="1"/>
        <n v="0.25903797326007327" u="1"/>
        <n v="0.53698630136986303" u="1"/>
        <n v="0.77598697598697597" u="1"/>
        <n v="0.98765432098765427" u="1"/>
        <n v="0.61263736263736268" u="1"/>
        <n v="0.22875816993464052" u="1"/>
        <n v="0.31448411118190506" u="1"/>
        <n v="-7.3708920187793403E-2" u="1"/>
        <n v="0.18615888615888621" u="1"/>
        <n v="0.16073042638734591" u="1"/>
        <n v="0.9123287671232877" u="1"/>
        <n v="0.29104449543127831" u="1"/>
        <n v="0.21311475409836064" u="1"/>
        <n v="0.45117674203968627" u="1"/>
        <n v="-0.58356164383561637" u="1"/>
        <n v="0.13437193268226133" u="1"/>
        <n v="0.42071988924780801" u="1"/>
        <n v="0.51207674371451739" u="1"/>
        <n v="5.5846986747357108E-2" u="1"/>
        <n v="0.39026303645592986" u="1"/>
        <n v="0.27124251523325849" u="1"/>
        <n v="0.39662921348314611" u="1"/>
        <n v="0.24590163934426229" u="1"/>
        <n v="0.47123287671232877" u="1"/>
        <n v="0.63736263736263732" u="1"/>
        <n v="0.46502057613168724" u="1"/>
        <n v="0.63013698630136983" u="1"/>
        <n v="-0.30684931506849311" u="1"/>
        <n v="0.36974097729115973" u="1"/>
        <n v="0.80578512396694213" u="1"/>
        <n v="0.8814950068754086" u="1"/>
        <n v="-0.2994505494505495" u="1"/>
        <n v="-0.19037199124726478" u="1"/>
        <n v="-0.67671232876712328" u="1"/>
        <n v="0.12418300653594772" u="1"/>
        <n v="4.0000019417475774E-2" u="1"/>
        <n v="0.28928471093894781" u="1"/>
        <n v="0.10457517673202615" u="1"/>
        <n v="4.1699086923305817E-2" u="1"/>
        <n v="9.8238478874520085E-2" u="1"/>
        <n v="0.1722326142431595" u="1"/>
        <n v="5.2655262222110588E-2" u="1"/>
        <n v="-7.9470198675496651E-2" u="1"/>
        <n v="0.42308419431189875" u="1"/>
        <n v="-0.58241758241758235" u="1"/>
        <n v="0.66814087679887679" u="1"/>
        <n v="0.54320987654320985" u="1"/>
        <n v="0.72328767123287674" u="1"/>
        <n v="-0.35342465753424657" u="1"/>
        <n v="1.5449807850554942E-2" u="1"/>
        <n v="0.76767876038295668" u="1"/>
        <n v="0.16233162414414959" u="1"/>
        <n v="0.24776873823850576" u="1"/>
        <n v="0.85560259073260936" u="1"/>
        <n v="0.14452635058695062" u="1"/>
        <n v="0.28251362786885253" u="1"/>
        <n v="0.82786885245901642" u="1"/>
        <n v="-0.35259500160536916" u="1"/>
        <n v="6.1807229284556842E-2" u="1"/>
        <n v="0.50127349472342142" u="1"/>
        <n v="-2.7472527472527486E-2" u="1"/>
        <n v="0.28459546049343698" u="1"/>
        <n v="0.13681320299441657" u="1"/>
        <n v="-0.76986301369863019" u="1"/>
        <n v="9.1560107127729995E-2" u="1"/>
        <n v="0.1176839655244023" u="1"/>
        <n v="0.39618268336590245" u="1"/>
        <n v="0.95901639344262291" u="1"/>
        <n v="0.42975206611570249" u="1"/>
        <n v="7.0460701096742295E-2" u="1"/>
        <n v="0.46608029104944504" u="1"/>
        <n v="-0.60714285714285721" u="1"/>
        <n v="-1.7505470459518557E-2" u="1"/>
        <n v="0.30053062280981208" u="1"/>
        <n v="0.31943255629993139" u="1"/>
        <n v="0.90595714285714291" u="1"/>
        <n v="6.7891240805860731E-2" u="1"/>
        <n v="0.27065247065247067" u="1"/>
        <n v="-0.12637362637362637" u="1"/>
        <n v="0.54507365461199009" u="1"/>
        <n v="0.46280991735537191" u="1"/>
        <n v="0.81643835616438354" u="1"/>
        <n v="0.758118830255196" u="1"/>
        <n v="-0.4" u="1"/>
        <n v="0.29963057610191157" u="1"/>
        <n v="0.24384310939625831" u="1"/>
        <n v="8.7189304029300363E-4" u="1"/>
        <n v="-0.15973741794310725" u="1"/>
        <n v="0.17043768810988441" u="1"/>
        <n v="0.30846995868852456" u="1"/>
        <n v="-0.86301369863013699" u="1"/>
        <n v="8.5680826150593581E-2" u="1"/>
        <n v="0.46698113207547171" u="1"/>
        <n v="-1.1475409836065542E-2" u="1"/>
        <n v="0.21577942184002186" u="1"/>
        <n v="0.53424657534246578" u="1"/>
        <n v="0.71554741554741552" u="1"/>
        <n v="-5.0234741784037529E-2" u="1"/>
        <n v="0.55219780219780223" u="1"/>
        <n v="-6.241270607491245E-3" u="1"/>
        <n v="0.24480682014971655" u="1"/>
        <n v="0.37789895760289216" u="1"/>
        <n v="0.76954732510288071" u="1"/>
        <n v="0.90958904109589045" u="1"/>
        <n v="-0.44657534246575348" u="1"/>
        <n v="0.21917808219178081" u="1"/>
        <n v="1.8044666778525453E-2" u="1"/>
        <n v="0.22029621076597827" u="1"/>
        <n v="0.57294312594946961" u="1"/>
        <n v="0.25409189079502131" u="1"/>
        <n v="-0.58082191780821923" u="1"/>
        <n v="-0.15317286652078776" u="1"/>
        <n v="0.2604690984389933" u="1"/>
        <n v="0.28219178082191781" u="1"/>
        <n v="0.81079075245431453" u="1"/>
        <n v="-0.13698630136986301" u="1"/>
        <n v="3.77150231782859E-2" u="1"/>
        <n v="0.24668294960853099" u="1"/>
        <n v="0.61107521919704666" u="1"/>
        <n v="0.5843862109818716" u="1"/>
        <n v="0.55016151361329024" u="1"/>
        <n v="0.20875815088702154" u="1"/>
        <n v="0.74027269027269027" u="1"/>
        <n v="0.57692307692307687" u="1"/>
        <n v="7.3879773632603007E-2" u="1"/>
        <n v="5.9627373775895443E-2" u="1"/>
        <n v="0.2732034286885246" u="1"/>
        <n v="0.62739726027397258" u="1"/>
        <n v="-0.17951807852844615" u="1"/>
        <n v="0.25601049648026397" u="1"/>
        <n v="0.18478260869565216" u="1"/>
        <n v="0.79461120498286486" u="1"/>
        <n v="-0.49315068493150682" u="1"/>
        <n v="0.16224664735756233" u="1"/>
        <n v="-7.2584539256372538E-2" u="1"/>
        <n v="-0.26923076923076927" u="1"/>
        <n v="0.13381147540983607" u="1"/>
        <n v="-0.67397260273972603" u="1"/>
        <n v="-4.117646144423226E-3" u="1"/>
        <n v="0.32876712328767121" u="1"/>
        <n v="0.28940781926229509" u="1"/>
        <n v="0.30878397416536951" u="1"/>
        <n v="9.4117660392156854E-2" u="1"/>
        <n v="0.10666665887850468" u="1"/>
        <n v="0.16659836065573763" u="1"/>
        <n v="0.76499796499796491" u="1"/>
        <n v="9.885245901639339E-2" u="1"/>
        <n v="0.15031375972067929" u="1"/>
        <n v="0.53947368421052633" u="1"/>
        <n v="0.84782608695652173" u="1"/>
        <n v="0.72054794520547949" u="1"/>
        <n v="0.19938524590163931" u="1"/>
        <n v="-6.6225165562913912E-2" u="1"/>
        <n v="0.11524590163934423" u="1"/>
        <n v="0.63541434374004457" u="1"/>
        <n v="-5.0397199407567039E-2" u="1"/>
        <n v="5.6171787682340879E-2" u="1"/>
        <n v="0.38146637269824213" u="1"/>
        <n v="0.11524590163934434" u="1"/>
        <n v="0.33323512624227769" u="1"/>
        <n v="-4.6853534887587256E-2" u="1"/>
        <n v="0.24151781901934488" u="1"/>
        <n v="0.63788351565480805" u="1"/>
        <n v="-0.76712328767123283" u="1"/>
        <n v="0.15683187468290216" u="1"/>
        <n v="0.37534246575342467" u="1"/>
        <n v="0.21960141960141955" u="1"/>
        <n v="0.57595048838752483" u="1"/>
        <n v="0.60869565217391308" u="1"/>
        <n v="-0.18356164383561646" u="1"/>
        <n v="0.43986745819602779" u="1"/>
        <n v="0.17210261598688048" u="1"/>
        <n v="1.0798122065727722E-2" u="1"/>
        <n v="0.25519907680852538" u="1"/>
        <n v="0.81369863013698629" u="1"/>
        <n v="0.19758435748465197" u="1"/>
        <n v="0.36374556374556377" u="1"/>
        <n v="0.43442817129764844" u="1"/>
        <n v="0.61692543182247273" u="1"/>
        <n v="0.43478260869565216" u="1"/>
        <n v="0.1355173415779416" u="1"/>
        <n v="0.17592138198198193" u="1"/>
        <n v="-1.7430166440534078E-2" u="1"/>
        <n v="3.3730959433265983E-2" u="1"/>
        <n v="4.9763533340751009E-2" u="1"/>
        <n v="0.1972067373645241" u="1"/>
        <n v="0.23617485559981621" u="1"/>
        <n v="4.4687134732070755E-2" u="1"/>
        <n v="-0.5714285714285714" u="1"/>
        <n v="0.42191780821917807" u="1"/>
        <n v="0.26519337016574585" u="1"/>
        <n v="0.25383891922031465" u="1"/>
        <n v="0.10136986301369863" u="1"/>
        <n v="0.65510785510785507" u="1"/>
        <n v="0.10384927132659894" u="1"/>
        <n v="2.961102789412795E-2" u="1"/>
        <n v="0.53150684931506853" u="1"/>
        <n v="0.15371047518836822" u="1"/>
        <n v="-0.25753424657534252" u="1"/>
        <n v="0.24234742689007405" u="1"/>
        <n v="0.5959673479901374" u="1"/>
        <n v="0.31521739130434784" u="1"/>
        <n v="4.6980678134931897E-2" u="1"/>
        <n v="0.25263445263445261" u="1"/>
        <n v="0.60655737704918034" u="1"/>
        <n v="0.14380948508935842" u="1"/>
        <n v="0.25830146826745326" u="1"/>
        <n v="-0.57808219178082187" u="1"/>
        <n v="0.78226595432925317" u="1"/>
        <n v="0.73770491803278693" u="1"/>
        <n v="6.6038766038766017E-2" u="1"/>
        <n v="0.25627732411065213" u="1"/>
        <n v="0.18372702573017485" u="1"/>
        <n v="0.6635603345280765" u="1"/>
        <n v="0.67983312983312982" u="1"/>
        <n v="-1.0192795970696E-2" u="1"/>
        <n v="0.46849315068493153" u="1"/>
        <n v="0.51648351648351654" u="1"/>
        <n v="-0.23013698630136992" u="1"/>
        <n v="0.12146830601095315" u="1"/>
        <n v="0.20677041283101283" u="1"/>
        <n v="0.11245412446308334" u="1"/>
        <n v="0.87188859583868705" u="1"/>
        <n v="0.60750736699585861" u="1"/>
        <n v="0.36686013108242299" u="1"/>
        <n v="-0.30410958904109586" u="1"/>
        <n v="8.5798556698439832E-2" u="1"/>
        <n v="0.14794520547945206" u="1"/>
        <n v="0.17382603563116494" u="1"/>
        <n v="0.25979695431472083" u="1"/>
        <n v="0.96694214876033058" u="1"/>
        <n v="0.33744855967078191" u="1"/>
        <n v="8.6149969581547969E-2" u="1"/>
        <n v="0.25913752060678275" u="1"/>
        <n v="0.10219199932139067" u="1"/>
        <n v="0.27856419394558929" u="1"/>
        <n v="0.49056603773584906" u="1"/>
        <n v="-3.9344262295081922E-2" u="1"/>
        <n v="-1.0948905109489093E-2" u="1"/>
        <n v="0.27985485040983604" u="1"/>
        <n v="0.80114715269528314" u="1"/>
        <n v="0.78155388426799144" u="1"/>
        <n v="0.11858544194434151" u="1"/>
        <n v="0.26338799147540981" u="1"/>
        <n v="0.17647058823529413" u="1"/>
        <n v="0.24510014813544001" u="1"/>
        <n v="0.21754895801872554" u="1"/>
        <n v="-0.35068493150684932" u="1"/>
        <n v="-4.7540983606557341E-2" u="1"/>
        <n v="8.3647299908636064E-2" u="1"/>
        <n v="9.8662314311751431E-2" u="1"/>
        <n v="0.55393258426966296" u="1"/>
        <n v="-0.25409836065573765" u="1"/>
        <n v="9.7850076103500716E-2" u="1"/>
        <n v="0.29019609176470584" u="1"/>
        <n v="6.2396735311355256E-2" u="1"/>
        <n v="-0.29215544116580872" u="1"/>
        <n v="0.2351991580364301" u="1"/>
        <n v="0.16814086814086815" u="1"/>
        <n v="4.0703070987050838E-2" u="1"/>
        <n v="0.57339719999286065" u="1"/>
        <n v="-5.573770491803276E-2" u="1"/>
        <n v="0.22896956861180406" u="1"/>
        <n v="5.1659246285855609E-2" u="1"/>
        <n v="-9.6280087527352287E-2" u="1"/>
        <n v="0.39915701236442935" u="1"/>
        <n v="0.75182481751824815" u="1"/>
        <n v="0.22491473007810037" u="1"/>
        <n v="0.46463148824006484" u="1"/>
        <n v="0.61108381974181969" u="1"/>
        <n v="0.25987645425501449" u="1"/>
        <n v="0.4518577656123276" u="1"/>
        <n v="0.10773204227468947" u="1"/>
        <n v="0.4398104967172532" u="1"/>
        <n v="-9.5765053619108476E-2" u="1"/>
        <n v="0.72605338872785263" u="1"/>
        <n v="4.6575342465753428E-2" u="1"/>
        <n v="0.10548732113675829" u="1"/>
        <n v="7.8431385882352933E-2" u="1"/>
        <n v="7.2094688024846865E-2" u="1"/>
        <n v="-0.51098901098901095" u="1"/>
        <n v="0.57960039025167243" u="1"/>
        <n v="0.13679245283018868" u="1"/>
        <n v="0.21059241059241052" u="1"/>
        <n v="0.30199130437189581" u="1"/>
        <n v="0.69528499318859371" u="1"/>
        <n v="0.80487804878048785" u="1"/>
        <n v="0.14147540983606566" u="1"/>
        <n v="0.77119072568003255" u="1"/>
        <n v="0.19007643054619805" u="1"/>
        <n v="0.50328947368421051" u="1"/>
        <n v="0.51305701462437314" u="1"/>
        <n v="0.51440329218106995" u="1"/>
        <n v="-0.10684931506849316" u="1"/>
        <n v="0.11732764860956812" u="1"/>
        <n v="0.12650833256893257" u="1"/>
        <n v="0.97560975609756095" u="1"/>
        <n v="6.575342465753424E-2" u="1"/>
        <n v="-2.1214119529602282E-2" u="1"/>
        <n v="0.16168594932021374" u="1"/>
        <n v="-8.0962800875273522E-2" u="1"/>
        <n v="-9.7100496110863688E-2" u="1"/>
        <n v="0.12032968651090004" u="1"/>
        <n v="-3.6760367185723952E-2" u="1"/>
        <n v="0.61939356939356938" u="1"/>
        <n v="0.47802197802197804" u="1"/>
        <n v="-4.9450549450549497E-2" u="1"/>
        <n v="0.19621222762058355" u="1"/>
        <n v="1.2560388279859391E-2" u="1"/>
        <n v="0.82978723404255317" u="1"/>
        <n v="-2.4338006937276724E-2" u="1"/>
        <n v="0.48277174862507077" u="1"/>
        <n v="0.24284990823130359" u="1"/>
        <n v="0.27152317880794702" u="1"/>
        <n v="0.30585929657430694" u="1"/>
        <n v="0.68421052631578949" u="1"/>
        <n v="0.23379744245544254" u="1"/>
        <n v="0.5586793393841466" u="1"/>
        <n v="0.91056910569105687" u="1"/>
        <n v="1.8717781706764081E-2" u="1"/>
        <n v="4.7675182540835692E-2" u="1"/>
        <n v="-3.5203786920686819E-2" u="1"/>
        <n v="0.12781473729021237" u="1"/>
        <n v="5.7659603915138136E-2" u="1"/>
        <n v="0.64411884411884412" u="1"/>
        <n v="0.76916538079921049" u="1"/>
        <n v="0.67479674796747968" u="1"/>
        <n v="0.42830267733145472" u="1"/>
        <n v="0.80781751162180715" u="1"/>
        <n v="0.11914042288932086" u="1"/>
        <n v="0.10871941402599239" u="1"/>
        <n v="0.39425708662955555" u="1"/>
        <n v="0.23885556068297187" u="1"/>
        <n v="0.22503789477121228" u="1"/>
        <n v="0.22362713428703274" u="1"/>
        <n v="0.579418550992155" u="1"/>
        <n v="0.20839870789109372" u="1"/>
        <n v="0.80768310040770142" u="1"/>
        <n v="0.9642857142857143" u="1"/>
        <n v="0.44262295081967212" u="1"/>
        <n v="0.86930122086959571" u="1"/>
        <n v="9.8097253520850192E-2" u="1"/>
        <n v="0.45267489711934156" u="1"/>
        <n v="0.7407407407407407" u="1"/>
        <n v="0.48265487668480422" u="1"/>
        <n v="0.66884411884411876" u="1"/>
        <n v="0.6097560975609756" u="1"/>
        <n v="0.61011235955056176" u="1"/>
        <n v="0.1173016597024068" u="1"/>
        <n v="8.0941636248214599E-2" u="1"/>
        <n v="0.30607575318300262" u="1"/>
        <n v="0.40734459349911939" u="1"/>
        <n v="0.50771503965811959" u="1"/>
        <n v="0.65020302597547897" u="1"/>
        <n v="0.16013687435897439" u="1"/>
        <n v="0.55494207566462173" u="1"/>
        <n v="0.75231701608166834" u="1"/>
        <n v="0.44175701585682992" u="1"/>
        <n v="0.53768291427857484" u="1"/>
        <n v="0.34156378600823045" u="1"/>
        <n v="6.7973869542483634E-2" u="1"/>
        <n v="0.24667513412300135" u="1"/>
        <n v="-0.13114754098360659" u="1"/>
        <n v="0.4082446143052143" u="1"/>
        <n v="0.4219550356588101" u="1"/>
        <n v="-0.47527472527472525" u="1"/>
        <n v="0.21552497301347345" u="1"/>
        <n v="-0.16393442622950816" u="1"/>
        <n v="-3.6496350364964014E-3" u="1"/>
        <n v="-4.9315068493150704E-2" u="1"/>
        <n v="2.4259818717127568E-2" u="1"/>
        <n v="0.20874313606557371" u="1"/>
        <n v="0.2621679594262295" u="1"/>
        <n v="-8.6092715231788075E-2" u="1"/>
        <n v="0.20874313606557376" u="1"/>
        <n v="0.29076008273134185" u="1"/>
        <n v="3.2734943497011004E-2" u="1"/>
        <n v="7.8961761967213051E-2" u="1"/>
        <n v="-0.19672131147540983" u="1"/>
        <n v="0.99586776859504134" u="1"/>
        <n v="4.3691118795815775E-2" u="1"/>
        <n v="0.24153002131147544" u="1"/>
        <n v="0.59956236323851209" u="1"/>
        <n v="0.77772667339245083" u="1"/>
        <n v="0.40549146285186899" u="1"/>
        <n v="0.34457775726811257" u="1"/>
        <n v="0.5929978118161926" u="1"/>
        <n v="1.4360483231818599E-2" u="1"/>
        <n v="0.74018406502986067" u="1"/>
        <n v="0.35285732289378674" u="1"/>
        <n v="7.8483606557377072E-2" u="1"/>
        <n v="0.12797813428834071" u="1"/>
        <n v="0.29656615038534695" u="1"/>
        <n v="0.16314428960019289" u="1"/>
        <n v="0.2232597961134119" u="1"/>
        <n v="0.58643326039387311" u="1"/>
        <n v="-5.6966082981230182E-3" u="1"/>
        <n v="9.4877049180327799E-2" u="1"/>
        <n v="0.13655737704918025" u="1"/>
        <n v="0.11184728476190464" u="1"/>
        <n v="0.43421052631578949" u="1"/>
        <n v="0.16076501953424238" u="1"/>
        <n v="-0.2142857142857143" u="1"/>
        <n v="0.56003276869076868" u="1"/>
        <n v="8.1693955737704882E-2" u="1"/>
        <n v="0.16934426229508193" u="1"/>
        <n v="0.2270853011623748" u="1"/>
        <n v="0.49432395016151365" u="1"/>
        <n v="0.7954290081530262" u="1"/>
        <n v="3.6691637915914455E-2" u="1"/>
        <n v="0.26490066225165565" u="1"/>
        <n v="0.58367928367928368" u="1"/>
        <n v="0.15790336396396398" u="1"/>
        <n v="0.15349089036998864" u="1"/>
        <n v="0.23529411764705882" u="1"/>
        <n v="0.67680567134343084" u="1"/>
        <n v="0.31125827814569534" u="1"/>
        <n v="0.18732917779894531" u="1"/>
        <n v="0.42582724077119638" u="1"/>
        <n v="0.54934210526315785" u="1"/>
        <n v="9.4840262317589907E-2" u="1"/>
        <n v="0.40784315058823528" u="1"/>
        <n v="0.61570247933884292" u="1"/>
        <n v="0.12958859698032454" u="1"/>
        <n v="0.35761589403973509" u="1"/>
        <n v="0.81521739130434778" u="1"/>
        <n v="0.21906466086179188" u="1"/>
        <n v="0.39622641509433965" u="1"/>
        <n v="0.48355263157894735" u="1"/>
        <n v="0.60840455840455832" u="1"/>
        <n v="6.0836906263377344E-3" u="1"/>
        <n v="0.22478843344643351" u="1"/>
        <n v="0.47252747252747251" u="1"/>
        <n v="0.52263374485596703" u="1"/>
        <n v="0.65584758751109551" u="1"/>
        <n v="1.8006027902351951E-3" u="1"/>
        <n v="-1.6589854485486888E-2" u="1"/>
        <n v="0.28714562378499831" u="1"/>
        <n v="0.9285714285714286" u="1"/>
        <n v="0.57608695652173914" u="1"/>
        <n v="0.18212438248474838" u="1"/>
        <n v="0.18875239481299477" u="1"/>
        <n v="0.29673203947712423" u="1"/>
        <n v="0.63488950367876018" u="1"/>
        <n v="-0.11803278688524588" u="1"/>
        <n v="3.9707055050795859E-2" u="1"/>
        <n v="0.82739726027397265" u="1"/>
        <n v="0.10303031867975587" u="1"/>
        <n v="0.1908207770025071" u="1"/>
        <n v="0.22631773591444093" u="1"/>
        <n v="-0.44505494505494503" u="1"/>
        <n v="0.2752049180327869" u="1"/>
        <n v="0.5280898876404494" u="1"/>
        <n v="0.23531444174293881" u="1"/>
        <n v="2.8617117192073049E-2" u="1"/>
        <n v="0.26363636363636367" u="1"/>
        <n v="-6.7859329168593607E-3" u="1"/>
        <n v="-2.1739130434782594E-2" u="1"/>
        <n v="0.54520547945205478" u="1"/>
        <n v="0.20651575571642111" u="1"/>
        <n v="0.15355973254623034" u="1"/>
        <n v="0.28288175799691989" u="1"/>
        <n v="0.92054794520547945" u="1"/>
        <n v="0.20240240846300839" u="1"/>
        <n v="0.36391202932355882" u="1"/>
        <n v="0.82894736842105265" u="1"/>
        <n v="0.22575161493930906" u="1"/>
        <n v="0.46332132048423064" u="1"/>
        <n v="0.1250980201680672" u="1"/>
        <n v="0.72308014789534525" u="1"/>
        <n v="-0.59178082191780823" u="1"/>
        <n v="0.4567901234567901" u="1"/>
        <n v="0.74897119341563789" u="1"/>
        <n v="-0.10164835164835162" u="1"/>
        <n v="3.6630407039015211E-2" u="1"/>
        <n v="0.16461732451761901" u="1"/>
        <n v="0.15738962161172165" u="1"/>
        <n v="0.63835616438356169" u="1"/>
        <n v="-0.15901639344262297" u="1"/>
        <n v="0.57547169811320753" u="1"/>
        <n v="-2.8419177429545028E-2" u="1"/>
        <n v="0.63899400092293501" u="1"/>
        <n v="0.10613039376465827" u="1"/>
        <n v="0.5780802953391786" u="1"/>
        <n v="0.5187578651383058" u="1"/>
        <n v="-0.49863013698630132" u="1"/>
        <n v="0.2474447352953531" u="1"/>
        <n v="0.35573107858059516" u="1"/>
        <n v="0.41485374163700167" u="1"/>
        <n v="-0.68493150684931514" u="1"/>
        <n v="0.1206612805615751" u="1"/>
        <n v="4.5406234865805528E-2" u="1"/>
        <n v="0.66509433962264153" u="1"/>
        <n v="0.96739130434782605" u="1"/>
        <n v="0.29892884960848887" u="1"/>
        <n v="0.33671854277914282" u="1"/>
        <n v="0.6364559298569451" u="1"/>
        <n v="-0.11920529801324509" u="1"/>
        <n v="0.43543440794809407" u="1"/>
        <n v="0.25827814569536423" u="1"/>
        <n v="0.10808080808080811" u="1"/>
        <n v="0.73150684931506849" u="1"/>
        <n v="0.28631732318067327" u="1"/>
        <n v="0.72826086956521741" u="1"/>
        <n v="0.54796499796499798" u="1"/>
        <n v="-6.8493150684931781E-3" u="1"/>
        <n v="-2.0947152960432369E-2" u="1"/>
        <n v="0.30463576158940397" u="1"/>
        <n v="2.2058458040836726E-2" u="1"/>
        <n v="0.22808503237704914" u="1"/>
        <n v="-0.77808219178082194" u="1"/>
        <n v="0.11884386957978454" u="1"/>
        <n v="0.38082191780821917" u="1"/>
        <n v="0.97530864197530864" u="1"/>
        <n v="-3.9387308533916809E-2" u="1"/>
        <n v="0.27190036783358706" u="1"/>
        <n v="0.7661921399667031" u="1"/>
        <n v="-8.7912087912087933E-2" u="1"/>
        <n v="5.2798220275547814E-2" u="1"/>
        <n v="0.86813186813186816" u="1"/>
        <n v="0.8246575342465754" u="1"/>
        <n v="6.3285025961018815E-2" u="1"/>
        <n v="-8.9416058394160558E-2" u="1"/>
        <n v="-0.4148351648351648" u="1"/>
        <n v="0.32524284135203146" u="1"/>
        <n v="0.21577942443742448" u="1"/>
        <n v="0.40362628619093749" u="1"/>
        <n v="0.75308641975308643" u="1"/>
        <n v="9.9697313919413943E-2" u="1"/>
        <n v="0.18004185692541852" u="1"/>
        <n v="0.35028104402164018" u="1"/>
        <n v="0.54246575342465753" u="1"/>
        <n v="-0.26301369863013702" u="1"/>
        <n v="0.34044943820224721" u="1"/>
        <n v="5.1251152240784692E-2" u="1"/>
        <n v="-0.34135667396061264" u="1"/>
        <n v="0.20880768392284582" u="1"/>
        <n v="-2.6489189970795746E-2" u="1"/>
        <n v="0.72340425531914898" u="1"/>
        <n v="0.9178082191780822" u="1"/>
        <n v="0.11946479350739303" u="1"/>
        <n v="0.51315789473684215" u="1"/>
        <n v="0.17974338580398586" u="1"/>
        <n v="7.4035378709103761E-2" u="1"/>
        <n v="-0.58904109589041098" u="1"/>
        <n v="-6.2043795620437936E-2" u="1"/>
        <n v="0.19450551068672428" u="1"/>
        <n v="0.91758241758241754" u="1"/>
        <n v="0.14510542638734591" u="1"/>
        <n v="0.17889344262295082" u="1"/>
        <n v="-3.2095139926739957E-2" u="1"/>
        <n v="3.1738927560756025E-2" u="1"/>
        <n v="0.47397260273972602" u="1"/>
        <n v="-1.5073821443227997E-2" u="1"/>
        <n v="-0.23287671232876717" u="1"/>
        <n v="-0.30958904109589036" u="1"/>
        <n v="4.1797976340623433E-2" u="1"/>
        <n v="0.13812154696132597" u="1"/>
        <n v="0.63561643835616444" u="1"/>
        <n v="0.15068493150684931" u="1"/>
        <n v="-0.18406593406593408" u="1"/>
        <n v="1.772387100470918E-2" u="1"/>
        <n v="0.180273753683655" u="1"/>
        <n v="0.7251979338559339" u="1"/>
        <n v="0.21168032786885249" u="1"/>
        <n v="0.64462809917355368" u="1"/>
        <n v="0.79079856881728738" u="1"/>
        <n v="0.23256718899568607" u="1"/>
        <n v="0.6776859504132231" u="1"/>
        <n v="0.24446721311475406" u="1"/>
        <n v="-0.68219178082191778" u="1"/>
        <n v="0.19339339945399947" u="1"/>
        <n v="0.18232044198895028" u="1"/>
        <n v="6.3380091074955902E-2" u="1"/>
        <n v="0.16689428265354711" u="1"/>
        <n v="0.97942386831275718" u="1"/>
        <n v="0.76792275182382341" u="1"/>
        <n v="0.26794218520025515" u="1"/>
        <n v="0.57518098954916319" u="1"/>
        <n v="0.4992294623201633" u="1"/>
        <n v="-4.1970802919708006E-2" u="1"/>
        <n v="0.43541434374004456" u="1"/>
        <n v="-4.1208791208791173E-2" u="1"/>
        <n v="0.72876712328767124" u="1"/>
        <n v="-0.35616438356164382" u="1"/>
        <n v="0.875" u="1"/>
        <n v="0.59355387862376552" u="1"/>
        <n v="-8.0616979627347263E-2" u="1"/>
        <n v="0.7696624665817503" u="1"/>
        <n v="0.59867697613231796" u="1"/>
        <n v="-5.2221871467586722E-2" u="1"/>
        <n v="0.20988287526427063" u="1"/>
        <n v="-0.77534246575342469" u="1"/>
        <n v="7.8797806419488303E-2" u="1"/>
        <n v="0.79245576732051881" u="1"/>
        <n v="1.1092509375609461E-2" u="1"/>
        <n v="0.80769230769230771" u="1"/>
        <n v="0.1009220604313249" u="1"/>
        <n v="0.31870052476112476" u="1"/>
        <n v="0.48936170212765956" u="1"/>
        <n v="-2.5304451435377961E-2" u="1"/>
        <n v="0.62441314553990612" u="1"/>
        <n v="-0.26695842450765861" u="1"/>
        <n v="0.8058774956867949" u="1"/>
        <n v="-0.23721038622075385" u="1"/>
        <n v="0.2420304568527919" u="1"/>
        <n v="0.25011270187274737" u="1"/>
        <n v="0.82191780821917804" u="1"/>
        <n v="-0.40273972602739727" u="1"/>
        <n v="0.11158469166538987" u="1"/>
        <n v="0.32650627014582601" u="1"/>
        <n v="-0.38461538461538458" u="1"/>
        <n v="0.31725488291316528" u="1"/>
        <n v="0.20509466152315858" u="1"/>
        <n v="0.15624091959262854" u="1"/>
        <n v="0.29215505306875866" u="1"/>
        <n v="-0.26039387308533912" u="1"/>
        <n v="0.18300653594771241" u="1"/>
        <n v="0.26169820027688051" u="1"/>
        <n v="0.78688524590163933" u="1"/>
        <n v="0.29167349167349166" u="1"/>
        <n v="-0.86849315068493149" u="1"/>
        <n v="0.83241758241758246" u="1"/>
        <n v="0.12016393442622952" u="1"/>
        <n v="-5.3540947149989249E-3" u="1"/>
        <n v="5.5816974416433185E-2" u="1"/>
        <n v="0.53972602739726028" u="1"/>
        <n v="0.91803278688524592" u="1"/>
        <n v="0.1389044605174915" u="1"/>
        <n v="0.58324975846051752" u="1"/>
        <n v="0.11363553624645117" u="1"/>
        <n v="0.91506849315068495" u="1"/>
        <n v="-0.44931506849315073" u="1"/>
        <n v="-6.6880715891083464E-2" u="1"/>
        <n v="0.46404494382022471" u="1"/>
        <n v="-0.58630136986301373" u="1"/>
        <n v="-6.3934426229508179E-2" u="1"/>
        <n v="0.28493150684931506" u="1"/>
        <n v="0.29633024606890823" u="1"/>
        <n v="3.3049446361870571E-2" u="1"/>
        <n v="0.10858706275251573" u="1"/>
        <n v="-3.0846488445741338E-2" u="1"/>
        <n v="0.30554818631349068" u="1"/>
        <n v="0.12716984139194143" u="1"/>
        <n v="0.27487120795606634" u="1"/>
        <n v="-8.0327868852459017E-2" u="1"/>
        <n v="8.7579617834394941E-2" u="1"/>
        <n v="0.63287671232876708" u="1"/>
        <n v="0.34044497844786958" u="1"/>
        <n v="0.56564690187957956" u="1"/>
        <n v="0.77419354838709675" u="1"/>
        <n v="6.0112117218746652E-2" u="1"/>
        <n v="-0.49589041095890407" u="1"/>
        <n v="0.77754897319717764" u="1"/>
        <n v="0.24383561643835616" u="1"/>
        <n v="0.17916061370326086" u="1"/>
        <n v="0.13491406646372406" u="1"/>
        <n v="-0.67945205479452053" u="1"/>
        <n v="-3.8356164383561597E-2" u="1"/>
        <n v="0.33150684931506852" u="1"/>
        <n v="-0.16164383561643836" u="1"/>
        <n v="2.2081169479654772E-2" u="1"/>
        <n v="0.48850669456729456" u="1"/>
        <n v="0.20219585770639714" u="1"/>
        <n v="0.31398302820512825" u="1"/>
        <n v="0.14662164735756233" u="1"/>
        <n v="-5.1519459887547914E-3" u="1"/>
        <n v="-2.1881838074397919E-3" u="1"/>
        <n v="0.44339622641509435" u="1"/>
        <n v="0.20078449469312409" u="1"/>
        <n v="0.13644294205071594" u="1"/>
        <n v="0.19229486760738723" u="1"/>
        <n v="8.216774765832302E-2" u="1"/>
        <n v="0.18555606829718507" u="1"/>
        <n v="0.77445869953624169" u="1"/>
        <n v="0.14156734186330611" u="1"/>
        <n v="0.68916189781989778" u="1"/>
        <n v="0.2527116254098361" u="1"/>
        <n v="0.18239387750837732" u="1"/>
        <n v="0.13468875972067929" u="1"/>
        <n v="0.38139933099713286" u="1"/>
        <n v="0.1008463164957536" u="1"/>
        <n v="0.37808219178082192" u="1"/>
        <n v="-9.124087591240837E-3" u="1"/>
        <n v="9.0410958904109592E-2" u="1"/>
        <n v="0.74725274725274726" u="1"/>
        <n v="0.47599470724356902" u="1"/>
        <n v="-0.18131868131868134" u="1"/>
        <n v="0.77619841429416858" u="1"/>
        <n v="0.2813637209016393" u="1"/>
        <n v="0.35972559997272108" u="1"/>
        <n v="0.26891601598360659" u="1"/>
        <n v="0.46375899570207568" u="1"/>
        <n v="0.15635245901639339" u="1"/>
        <n v="0.34693749139344254" u="1"/>
        <n v="-0.35439560439560436" u="1"/>
        <n v="-0.20350109409190376" u="1"/>
        <n v="0.11812546942335311" u="1"/>
        <n v="0.11315335362312107" u="1"/>
        <n v="0.15647761598688048" u="1"/>
        <n v="0.65789473684210531" u="1"/>
        <n v="0.29139072847682118" u="1"/>
        <n v="2.0896430944236877E-2" u="1"/>
        <n v="3.2334339440968973E-2" u="1"/>
        <n v="0.4075073669958586" u="1"/>
        <n v="0.77197802197802201" u="1"/>
        <n v="-0.20821917808219181" u="1"/>
        <n v="0.33774834437086093" u="1"/>
        <n v="0.21849635018325764" u="1"/>
        <n v="-0.26027397260273977" u="1"/>
        <n v="0.18803526168217288" u="1"/>
        <n v="0.53773992513539337" u="1"/>
        <n v="0.12602739726027398" u="1"/>
        <n v="0.31084647562929812" u="1"/>
        <n v="4.7650265435881689E-2" u="1"/>
        <n v="0.16300651690009338" u="1"/>
        <n v="9.9071799071799083E-2" u="1"/>
        <n v="0.17455637455637452" u="1"/>
        <n v="0.56134681670721809" u="1"/>
        <n v="-0.40754005655042413" u="1"/>
        <n v="0.12056963355861594" u="1"/>
        <n v="0.49027269027269027" u="1"/>
        <n v="9.571372709799153E-2" u="1"/>
        <n v="0.70661157024793386" u="1"/>
        <n v="0.79670329670329665" u="1"/>
        <n v="0.70364935182292576" u="1"/>
        <n v="0.3598061836640517" u="1"/>
        <n v="-0.21147540983606561" u="1"/>
        <n v="0.28260869565217389" u="1"/>
        <n v="0.2736554736554736" u="1"/>
        <n v="0.32934933087217355" u="1"/>
        <n v="-0.23446313347350101" u="1"/>
        <n v="0.19889705305164318" u="1"/>
        <n v="0.77272727272727271" u="1"/>
        <n v="4.8032786885245926E-2" u="1"/>
        <n v="-0.15384615384615385" u="1"/>
        <n v="2.7397260273972601E-2" u="1"/>
        <n v="0.32547169811320753" u="1"/>
        <n v="8.689117199391172E-2" u="1"/>
        <n v="0.21958512254037543" u="1"/>
        <n v="-8.3454104473763779E-2" u="1"/>
        <n v="0.2545097848739496" u="1"/>
        <n v="-0.17286652078774623" u="1"/>
        <n v="0.3569672546634225" u="1"/>
        <n v="-1.208577363446306E-2" u="1"/>
        <n v="0.22492936172820704" u="1"/>
        <n v="0.47909552376557452" u="1"/>
        <n v="0.16953959245421235" u="1"/>
        <n v="0.56557377049180324" u="1"/>
        <n v="0.18213360434216941" u="1"/>
        <n v="0.21568628784313731" u="1"/>
        <n v="0.30956886016080892" u="1"/>
        <n v="0.72427983539094654" u="1"/>
        <n v="-6.7592147010369086E-2" u="1"/>
        <n v="0.37883849689399074" u="1"/>
        <n v="0.17260273972602741" u="1"/>
        <n v="-1.9953242258377468E-2" u="1"/>
        <n v="4.1095890410958902E-2" u="1"/>
        <n v="0.80633089120555335" u="1"/>
        <n v="0.25758249906103292" u="1"/>
        <n v="0.39669421487603307" u="1"/>
        <n v="-8.480614950951948E-2" u="1"/>
        <n v="6.8986044657097234E-2" u="1"/>
        <n v="-0.26885245901639343" u="1"/>
        <n v="0.12557112718415819" u="1"/>
        <n v="0.73271567367732926" u="1"/>
        <n v="6.5014078003060471E-2" u="1"/>
        <n v="0.78099464724865997" u="1"/>
        <n v="0.48818291685241277" u="1"/>
        <n v="0.68681318681318682" u="1"/>
        <n v="3.7783253432690511E-2" u="1"/>
        <n v="0.40250806262465605" u="1"/>
        <n v="0.25936304713114744" u="1"/>
        <n v="-0.19767441860465118" u="1"/>
        <n v="0.13765080286398285" u="1"/>
        <n v="0.82471878451793235" u="1"/>
        <n v="0.16143489153218027" u="1"/>
        <n v="9.1018297078897081E-2" u="1"/>
        <n v="-0.32417582417582413" u="1"/>
        <n v="0.33614645480072436" u="1"/>
        <n v="0.23243657272959606" u="1"/>
        <n v="0.352331893852459" u="1"/>
        <n v="4.1048936390859936E-2" u="1"/>
        <n v="-9.589041095890416E-2" u="1"/>
        <n v="0.32054519743589738" u="1"/>
        <n v="0.47826086956521741" u="1"/>
        <n v="-3.3752740180220675E-3" u="1"/>
        <n v="3.4299518714641986E-2" u="1"/>
        <n v="0.13620498069089571" u="1"/>
        <n v="0.18461369947920014" u="1"/>
        <n v="-9.6135263894053691E-2" u="1"/>
        <n v="0.71153846153846156" u="1"/>
        <n v="8.4631147540983553E-2" u="1"/>
        <n v="0.11033900907214006" u="1"/>
        <n v="0.75083039566541476" u="1"/>
        <n v="0.7894825264880112" u="1"/>
        <n v="2.1949189426517135E-2" u="1"/>
        <n v="0.28476821192052981" u="1"/>
        <n v="0.35869565217391303" u="1"/>
        <n v="0.13162879281630258" u="1"/>
        <n v="0.46722483302007745" u="1"/>
        <n v="0.10102459016393439" u="1"/>
        <n v="5.2180151860343527E-2" u="1"/>
        <n v="-1.108975769820808E-2" u="1"/>
        <n v="0.32379083062558356" u="1"/>
        <n v="0.52358490566037741" u="1"/>
        <n v="-7.1428571428571397E-2" u="1"/>
        <n v="0.23097131537323989" u="1"/>
        <n v="0.33112582781456956" u="1"/>
        <n v="0.11741803278688523" u="1"/>
        <n v="6.5878781997329883E-2" u="1"/>
        <n v="3.7424511739765687E-2" u="1"/>
        <n v="0.49902102303304269" u="1"/>
        <n v="7.8245355194003219E-3" u="1"/>
        <n v="-1.3866542938645865E-2" u="1"/>
        <n v="0.37748344370860926" u="1"/>
        <n v="0.42740625790027381" u="1"/>
        <n v="4.2005006227106234E-2" u="1"/>
        <n v="0.72839506172839508" u="1"/>
        <n v="-0.34890109890109888" u="1"/>
        <n v="0.2178291820512821" u="1"/>
        <n v="0.23410832065727705" u="1"/>
        <n v="0.65430138663121662" u="1"/>
        <n v="8.3213797435897408E-2" u="1"/>
        <n v="0.10054201380623662" u="1"/>
        <n v="-8.0938207423961739E-3" u="1"/>
        <n v="0.25992991690140843" u="1"/>
        <n v="0.73398203094787262" u="1"/>
        <n v="9.0441500341794878E-2" u="1"/>
        <n v="6.9997237474565099E-2" u="1"/>
        <n v="0.16554736554736549" u="1"/>
        <n v="0.54762344254730044" u="1"/>
        <n v="-0.12910284463894972" u="1"/>
        <n v="-0.17377049180327864" u="1"/>
        <n v="0.1102210496806203" u="1"/>
        <n v="0.13071895424836602" u="1"/>
        <n v="0.14012738853503182" u="1"/>
        <n v="0.66691278264882325" u="1"/>
        <n v="-0.20655737704918031" u="1"/>
        <n v="1.3493165473832391E-9" u="1"/>
        <n v="4.274507899159663E-2" u="1"/>
        <n v="0.54508537148131064" u="1"/>
        <n v="0.68876404494382015" u="1"/>
        <n v="-0.40204555105591866" u="1"/>
        <n v="0.4847781847781848" u="1"/>
        <n v="0.63182614740303622" u="1"/>
        <n v="0.47947141859206743" u="1"/>
        <n v="0.13163396788048554" u="1"/>
        <n v="0.81752423421768228" u="1"/>
        <n v="-0.23934426229508199" u="1"/>
        <n v="0.27891517111010122" u="1"/>
        <n v="0.66437471158283345" u="1"/>
        <n v="0.13781419986211119" u="1"/>
        <n v="0.45966943839404761" u="1"/>
        <n v="8.2443271902842508E-2" u="1"/>
        <n v="7.6822244299571851E-2" u="1"/>
        <n v="-2.5547445255474477E-2" u="1"/>
        <n v="0.21310489956518119" u="1"/>
        <n v="0.55207867931814003" u="1"/>
        <n v="-2.2065727699530524E-2" u="1"/>
        <n v="0.62637362637362637" u="1"/>
        <n v="0.80263157894736847" u="1"/>
        <n v="-0.15109890109890112" u="1"/>
        <n v="-2.4310540733323061E-2" u="1"/>
        <n v="3.355621809886522E-2" u="1"/>
        <n v="0.13163296687272086" u="1"/>
        <n v="0.17060108510801297" u="1"/>
        <n v="-4.3835616438356206E-2" u="1"/>
        <n v="0.2012444708920188" u="1"/>
        <n v="0.28073577120553872" u="1"/>
        <n v="0.13632060086752895" u="1"/>
        <n v="1.5650130458764622E-2" u="1"/>
        <n v="0.16441985211862253" u="1"/>
        <n v="-0.29395604395604391" u="1"/>
        <n v="0.17351245538638804" u="1"/>
        <n v="6.947753369963372E-2" u="1"/>
        <n v="0.25645646251706244" u="1"/>
        <n v="0.65109890109890112" u="1"/>
        <n v="0.12312213832678953" u="1"/>
        <n v="1.0003184756873007E-2" u="1"/>
        <n v="7.0481921471553854E-2" u="1"/>
        <n v="0.78927030971900514" u="1"/>
        <n v="-0.88219178082191785" u="1"/>
        <n v="0.27465130532202275" u="1"/>
        <n v="0.24502148549125291" u="1"/>
        <n v="0.18278158295281577" u="1"/>
        <n v="3.0676330308844812E-2" u="1"/>
        <n v="0.45247065853125856" u="1"/>
        <n v="-4.9180327868852958E-3" u="1"/>
        <n v="0.80165289256198347" u="1"/>
        <n v="0.44855967078189302" u="1"/>
        <n v="5.5942622950819643E-2" u="1"/>
        <n v="1.3366572529763698E-2" u="1"/>
        <n v="-0.34710049611086369" u="1"/>
        <n v="0.20352900592819467" u="1"/>
        <n v="0.83471074380165289" u="1"/>
        <n v="0.92876712328767119" u="1"/>
        <n v="0.13406595024716383" u="1"/>
        <n v="0.26227733474178405" u="1"/>
        <n v="-0.12457302358339117" u="1"/>
        <n v="3.0676330308844868E-2" u="1"/>
        <n v="0.86776859504132231" u="1"/>
        <n v="0.19362801582918476" u="1"/>
        <n v="0.67582417582417587" u="1"/>
        <n v="0.27814569536423839" u="1"/>
        <n v="0.24451490409836069" u="1"/>
        <n v="0.41865470562580687" u="1"/>
        <n v="9.1837307486744568E-2" u="1"/>
        <n v="0.32450331125827814" u="1"/>
        <n v="0.14884339318635059" u="1"/>
        <n v="0.3413595474201474" u="1"/>
        <n v="-0.31868131868131866" u="1"/>
        <n v="0.64657534246575343" u="1"/>
        <n v="0.12578831402422896" u="1"/>
        <n v="0.15705754830669982" u="1"/>
        <n v="0.51028806584362141" u="1"/>
        <n v="0.13894240308734068" u="1"/>
        <n v="0.34405161878149854" u="1"/>
        <n v="0.13931981223443213" u="1"/>
        <n v="0.13060891287409915" u="1"/>
        <n v="-0.69315068493150678" u="1"/>
        <n v="0.30724992663934425" u="1"/>
        <n v="0.27725409836065573" u="1"/>
        <n v="3.2176955091575032E-2" u="1"/>
        <n v="0.41721854304635764" u="1"/>
        <n v="0.24056603773584906" u="1"/>
        <n v="0.16339579812000082" u="1"/>
        <n v="0.8202060150905881" u="1"/>
        <n v="0.57075471698113212" u="1"/>
        <n v="0.73972602739726023" u="1"/>
        <n v="0.19618268336590239" u="1"/>
        <n v="0.28771573604060913" u="1"/>
        <n v="0.46357615894039733" u="1"/>
        <n v="-8.4199198449639301E-3" u="1"/>
        <n v="0.87204094689699296" u="1"/>
        <n v="9.4425842708942831E-2" u="1"/>
        <n v="0.15653835653835646" u="1"/>
        <n v="9.0062790062790055E-2" u="1"/>
        <n v="0.10896681873824154" u="1"/>
        <n v="0.23761944368004373" u="1"/>
        <n v="0.49342105263157898" u="1"/>
        <n v="-9.2488262910798147E-2" u="1"/>
        <n v="0.51213501266079609" u="1"/>
        <n v="-0.78630136986301369" u="1"/>
        <n v="9.3922651933701654E-2" u="1"/>
        <n v="0.21508192930402936" u="1"/>
        <n v="-0.17677082578119341" u="1"/>
        <n v="0.27075932291751226" u="1"/>
        <n v="0.7838914151576124" u="1"/>
        <n v="-0.12512077114043052" u="1"/>
        <n v="0.2505159909857585" u="1"/>
        <n v="0.5866793896857333" u="1"/>
        <n v="-0.26373626373626369" u="1"/>
        <n v="0.83287671232876714" u="1"/>
        <n v="-0.40821917808219177" u="1"/>
        <n v="0.73662551440329216" u="1"/>
        <n v="0.64985673205765493" u="1"/>
        <n v="6.6648064931165041E-2" u="1"/>
        <n v="0.59812247471813529" u="1"/>
        <n v="0.7647055195504493" u="1"/>
        <n v="0.30328946867086404" u="1"/>
        <n v="-0.50410958904109582" u="1"/>
        <n v="1.9902520242181976E-2" u="1"/>
        <n v="5.5754818743801171E-2" u="1"/>
        <n v="0.80335765037304596" u="1"/>
        <n v="0.75400895400895396" u="1"/>
        <n v="0.79406654267349652" u="1"/>
        <n v="8.4116340659340705E-2" u="1"/>
        <n v="0.27692662667281953" u="1"/>
        <n v="0.56000294298314668" u="1"/>
        <n v="0.16339870614379087" u="1"/>
        <n v="-0.8794520547945206" u="1"/>
        <n v="0.55068493150684927" u="1"/>
        <n v="-0.31688071589108346" u="1"/>
        <n v="0.92602739726027394" u="1"/>
        <n v="-1.6393442622950838E-2" u="1"/>
        <n v="-0.45479452054794522" u="1"/>
        <n v="0.77873422873422871" u="1"/>
        <n v="0.61538461538461542" u="1"/>
        <n v="-0.59726027397260273" u="1"/>
        <n v="0.28303039744754976" u="1"/>
        <n v="0.17799118292290872" u="1"/>
        <n v="0.77293044043795944" u="1"/>
        <n v="0.2547131147540983" u="1"/>
        <n v="0.74785715483290716" u="1"/>
        <n v="-0.28846153846153844" u="1"/>
        <n v="0.1482727921025887" u="1"/>
        <n v="0.26892147930221444" u="1"/>
        <n v="0.64383561643835618" u="1"/>
        <n v="-2.4590163934426257E-2" u="1"/>
        <n v="0.33032677833800184" u="1"/>
        <n v="0.43445264051324051" u="1"/>
        <n v="0.2448398749692321" u="1"/>
        <n v="0.24657534246575341" u="1"/>
        <n v="-0.56043956043956045" u="1"/>
        <n v="0.31788079470198677" u="1"/>
        <n v="0.31147540983606559" u="1"/>
        <n v="0.12842150751811199" u="1"/>
        <n v="0.36995317516918114" u="1"/>
        <n v="-0.69041095890410964" u="1"/>
        <n v="0.33698630136986302" u="1"/>
        <n v="0.36061169929055548" u="1"/>
        <n v="0.58105378971178967" u="1"/>
        <n v="-0.16438356164383561" u="1"/>
        <n v="0.76411011565824616" u="1"/>
        <n v="0.36423841059602646" u="1"/>
        <n v="0.34080971909253577" u="1"/>
        <n v="0.27876653165947129" u="1"/>
        <n v="0.1313186974999111" u="1"/>
        <n v="0.73698630136986298" u="1"/>
        <n v="0.31276968005831585" u="1"/>
        <n v="3.3519077976386757E-2" u="1"/>
        <n v="0.84552845528455289" u="1"/>
        <n v="0.41059602649006621" u="1"/>
        <n v="0.90217391304347827" u="1"/>
        <n v="-6.5645514223194756E-2" u="1"/>
        <n v="0.5768804799261652" u="1"/>
        <n v="0.28661198852459013" u="1"/>
        <n v="0.4971649527805565" u="1"/>
        <n v="0.1228136098427195" u="1"/>
        <n v="-0.78356164383561644" u="1"/>
        <n v="0.48136097625286955" u="1"/>
        <n v="0.38356164383561642" u="1"/>
        <n v="-6.1269146608315062E-2" u="1"/>
        <n v="-1.0598569082436726E-2" u="1"/>
        <n v="0.35218575901639337" u="1"/>
        <n v="0.66304347826086951" u="1"/>
        <n v="-0.24175824175824179" u="1"/>
        <n v="0.78048780487804881" u="1"/>
        <n v="8.2933573403340843E-2" u="1"/>
        <n v="0.43820224719101125" u="1"/>
        <n v="-0.1676056338028169" u="1"/>
        <n v="0.83013698630136989" u="1"/>
        <n v="0.21178343949044587" u="1"/>
        <n v="-0.60989010989010994" u="1"/>
        <n v="0.27306968845108381" u="1"/>
        <n v="0.41775952950819673" u="1"/>
        <n v="0.23181511623519813" u="1"/>
        <n v="-0.50136986301369868" u="1"/>
        <n v="0.53021978021978022" u="1"/>
        <n v="8.4077258830947188E-2" u="1"/>
        <n v="0.89669421487603307" u="1"/>
        <n v="0.25471698113207547" u="1"/>
        <n v="-0.87671232876712324" u="1"/>
        <n v="0.43013698630136987" u="1"/>
        <n v="-0.21095890410958906" u="1"/>
        <n v="0.61792452830188682" u="1"/>
        <n v="0.80060249038591502" u="1"/>
        <n v="0.54794520547945202" u="1"/>
        <n v="0.96280991735537191" u="1"/>
        <n v="-0.26575342465753427" u="1"/>
        <n v="0.12876712328767123" u="1"/>
        <n v="-5.2657003024488502E-2" u="1"/>
        <n v="-0.28666093567130324" u="1"/>
        <n v="-6.2888341290341376E-2" u="1"/>
        <n v="0.24118844411402551" u="1"/>
        <n v="0.56240818900384948" u="1"/>
        <n v="0.9117169117451891" u="1"/>
        <n v="0.64721820963021415" u="1"/>
        <n v="0.92328767123287669" u="1"/>
        <n v="-1.8342745683619377E-3" u="1"/>
        <n v="0.55494505494505497" u="1"/>
        <n v="0.38638650966678406" u="1"/>
        <n v="0.70754716981132071" u="1"/>
        <n v="-1.4754098360655776E-2" u="1"/>
        <n v="5.8804274453711614E-2" u="1"/>
        <n v="-0.59452054794520548" u="1"/>
        <n v="0.10010928182932433" u="1"/>
        <n v="0.81317676575978759" u="1"/>
        <n v="-0.17402357303394067" u="1"/>
        <n v="8.8496712978524683E-2" u="1"/>
        <n v="0.15150111669774313" u="1"/>
        <n v="6.7813235290562823E-2" u="1"/>
        <n v="0.31412090447623442" u="1"/>
        <n v="0.47671232876712327" u="1"/>
        <n v="-1.9679621844108985E-2" u="1"/>
        <n v="0.11506849315068493" u="1"/>
        <n v="0.27518427518427518" u="1"/>
        <n v="0.10868852459016387" u="1"/>
        <n v="0.71463661977438619" u="1"/>
        <n v="0.64109589041095894" u="1"/>
        <n v="0.79328108651911478" u="1"/>
        <n v="-0.31232876712328772" u="1"/>
        <n v="0.17467992464476301" u="1"/>
        <n v="0.54838709677419351" u="1"/>
        <n v="0.20662823937084795" u="1"/>
        <n v="0.46283681250672698" u="1"/>
        <n v="0.74301994301994301" u="1"/>
        <n v="-7.3972602739726057E-2" u="1"/>
        <n v="0.57967032967032972" u="1"/>
        <n v="3.3968326369073543E-2" u="1"/>
        <n v="0.27730178934426236" u="1"/>
        <n v="0.85644638990630506" u="1"/>
        <n v="0.13633881114754098" u="1"/>
        <n v="-0.68767123287671228" u="1"/>
        <n v="0.10707573736988718" u="1"/>
        <n v="0.43341024457775734" u="1"/>
        <n v="0.66497531867375448" u="1"/>
        <n v="0.14939057717834425" u="1"/>
        <n v="0.63157894736842102" u="1"/>
        <n v="0.36542842583444873" u="1"/>
        <n v="0.71781788501429755" u="1"/>
        <n v="0.13586065573770489" u="1"/>
        <n v="0.16912569639344255" u="1"/>
        <n v="-0.31138621039657799" u="1"/>
        <n v="-2.3722627737226332E-2" u="1"/>
        <n v="0.29350617991803274" u="1"/>
        <n v="0.13948958707933434" u="1"/>
        <n v="0.83548830607396973" u="1"/>
        <n v="0.73424657534246573" u="1"/>
        <n v="-0.35890410958904106" u="1"/>
        <n v="0.16864754098360657" u="1"/>
        <n v="0.77064606337066444" u="1"/>
        <n v="-6.8852459016393475E-2" u="1"/>
        <n v="1.009859867355456E-2" u="1"/>
        <n v="0.41643462249522245" u="1"/>
        <n v="0.24421634848582263" u="1"/>
        <n v="0.20143442622950813" u="1"/>
        <n v="0.2019263626827682" u="1"/>
        <n v="-0.11538461538461542" u="1"/>
        <n v="-8.5245901639344313E-2" u="1"/>
        <n v="0.51853672459732458" u="1"/>
        <n v="0.1683570744172409" u="1"/>
        <n v="-0.78082191780821919" u="1"/>
        <n v="0.19339622641509435" u="1"/>
        <n v="0.1920898519901465" u="1"/>
        <n v="2.5314459857107008E-2" u="1"/>
        <n v="0.36011710959541066" u="1"/>
        <n v="0.19202537258375829" u="1"/>
        <n v="-0.10163934426229504" u="1"/>
        <n v="0.40397350993377484" u="1"/>
        <n v="-1.098901098901095E-2" u="1"/>
        <n v="-5.0328227571115991E-2" u="1"/>
        <n v="0.7262274362855673" u="1"/>
        <n v="0.26758168029878626" u="1"/>
        <n v="0.81723277425808072" u="1"/>
        <n v="0.21031938424484697" u="1"/>
        <n v="0.22898951125510902" u="1"/>
        <n v="0.23433375044294052" u="1"/>
        <n v="7.1238785909689128E-2" u="1"/>
        <n v="-0.40547945205479452" u="1"/>
        <n v="7.4154591178410056E-2" u="1"/>
        <n v="0.45033112582781459" u="1"/>
        <n v="-1.7350429297525172E-2" u="1"/>
        <n v="-1.2777218319909522E-2" u="1"/>
        <n v="0.10150645273072922" u="1"/>
        <n v="0.19838375113258833" u="1"/>
        <n v="0.52897636908711698" u="1"/>
        <n v="1.5693438608058496E-2" u="1"/>
        <n v="-4.2155441165808716E-2" u="1"/>
        <n v="0.23685292139556857" u="1"/>
        <n v="0.40569296007684763" u="1"/>
        <n v="0.22222223555555559" u="1"/>
        <n v="0.49668874172185429" u="1"/>
        <n v="0.61393141984642485" u="1"/>
        <n v="-0.25644115545152302" u="1"/>
        <n v="0.20285486806187447" u="1"/>
        <n v="0.79797592219986591" u="1"/>
        <n v="0.65785510785510781" u="1"/>
        <n v="0.49725274725274726" u="1"/>
        <n v="-0.45205479452054798" u="1"/>
        <n v="0.30340423792290405" u="1"/>
        <n v="7.4638290899627036E-2" u="1"/>
        <n v="0.22191780821917809" u="1"/>
        <n v="0.25181545787605786" u="1"/>
        <n v="0.28767123287671231" u="1"/>
        <n v="0.59297333601408952" u="1"/>
        <n v="-0.13972602739726026" u="1"/>
        <n v="0.76173227871794191" u="1"/>
        <n v="-3.2876712328767099E-2" u="1"/>
        <n v="0.34640522875816993" u="1"/>
        <n v="0.80038440954053858" u="1"/>
        <n v="0.61475409836065575" u="1"/>
        <n v="2.1949237598674842E-2" u="1"/>
        <n v="4.5973213450541062E-2" u="1"/>
        <n v="8.1053781053781027E-2" u="1"/>
        <n v="0.21960142566202567" u="1"/>
        <n v="0.97802197802197799" u="1"/>
        <n v="0.12501105047257766" u="1"/>
        <n v="-0.23901098901098905" u="1"/>
        <n v="5.5534240076887231E-2" u="1"/>
        <n v="0.74590163934426235" u="1"/>
        <n v="0.52669390328956389" u="1"/>
        <n v="0.57201525218175409" u="1"/>
        <n v="0.51923076923076927" u="1"/>
        <n v="0.14818985841959753" u="1"/>
        <n v="0.30710379180327868" u="1"/>
        <n v="-0.1205479452054794" u="1"/>
        <n v="0.27830188679245282" u="1"/>
        <n v="0.74621895487695489" u="1"/>
        <n v="0.786002335862796" u="1"/>
        <n v="-0.37417943107221008" u="1"/>
        <n v="0.11343357765567763" u="1"/>
        <n v="0.17136866636661729" u="1"/>
        <n v="0.33424657534246577" u="1"/>
        <n v="0.11838853391628623" u="1"/>
        <n v="7.9452054794520555E-2" u="1"/>
        <n v="0.52145130339438339" u="1"/>
        <n v="0.24864169975934503" u="1"/>
        <n v="0.47193075831305753" u="1"/>
        <n v="-0.28116643017679777" u="1"/>
        <n v="-1.3245033112582738E-2" u="1"/>
        <n v="0.5755422242731888" u="1"/>
        <n v="0.19454747431363717" u="1"/>
        <n v="0.51462851868943238" u="1"/>
        <n v="-0.36761487964989059" u="1"/>
        <n v="0.74488391400039977" u="1"/>
        <n v="4.8224960329327993E-2" u="1"/>
        <n v="0.13099664735756233" u="1"/>
        <n v="0.19529814713114751" u="1"/>
        <n v="0.6339178587909553" u="1"/>
        <n v="0.39427760994975886" u="1"/>
        <n v="0.19839058234758877" u="1"/>
        <n v="0.57300415320719889" u="1"/>
        <n v="-0.3610503282275711" u="1"/>
        <n v="0.20930630774131892" u="1"/>
        <n v="0.10498478952743673" u="1"/>
        <n v="0.33306012262295082" u="1"/>
        <n v="0.37339061232765614" u="1"/>
        <n v="0.77718201108308271" u="1"/>
        <n v="7.2810438468720817E-2" u="1"/>
        <n v="-0.18630136986301371" u="1"/>
        <n v="1.2277247911027356E-2" u="1"/>
        <n v="9.0536316243905235E-2" u="1"/>
        <n v="0.73120393986193988" u="1"/>
        <n v="0.95867768595041325" u="1"/>
        <n v="0.24090509020767692" u="1"/>
        <n v="0.3606168896999189" u="1"/>
        <n v="0.39863389311475406" u="1"/>
        <n v="-0.21153846153846156" u="1"/>
        <n v="-0.35448577680525162" u="1"/>
        <n v="0.99173553719008267" u="1"/>
        <n v="0.11348902353682944" u="1"/>
        <n v="0.59315211425386494" u="1"/>
        <n v="0.29004651391941394" u="1"/>
        <n v="0.39841660447720451" u="1"/>
        <n v="0.11905998644010485" u="1"/>
        <n v="0.72799869254525373" u="1"/>
        <n v="0.26540360569662902" u="1"/>
        <n v="0.21814206871457026" u="1"/>
        <n v="0.57890827604512274" u="1"/>
        <n v="0.18458192505169257" u="1"/>
        <n v="0.43080022693674141" u="1"/>
        <n v="8.3936368808113671E-2" u="1"/>
        <n v="0.14085261598688048" u="1"/>
        <n v="0.57233417351646254" u="1"/>
        <n v="0.55336083078964826" u="1"/>
        <n v="0.4109982467387216" u="1"/>
        <n v="0.21096866389424529" u="1"/>
        <n v="0.82000180338585693" u="1"/>
        <n v="-9.435324336361095E-2" u="1"/>
        <n v="0.22816912820503576" u="1"/>
        <n v="-8.0336591111896949E-3" u="1"/>
        <n v="0.70348171450006913" u="1"/>
        <n v="8.5711245759051757E-2" u="1"/>
        <n v="0.24153369451973689" u="1"/>
        <n v="0.14610655737704914" u="1"/>
        <n v="0.18934259924289376" u="1"/>
        <n v="-0.14380379281416045" u="1"/>
        <n v="0.12835247337748912" u="1"/>
        <n v="0.54545454545454541" u="1"/>
        <n v="0.7119341563786008" u="1"/>
        <n v="0.11475409836065574" u="1"/>
        <n v="0.32243388220966607" u="1"/>
        <n v="0.14748686843775333" u="1"/>
        <n v="0.57851239669421484" u="1"/>
        <n v="2.9066365584759724E-2" u="1"/>
        <n v="0.7978723404255319" u="1"/>
        <n v="-0.29321663019693656" u="1"/>
        <n v="9.8302747359325759E-2" u="1"/>
        <n v="-5.6164383561643882E-2" u="1"/>
        <n v="5.1397520268855579E-2" u="1"/>
        <n v="0.37043696093353629" u="1"/>
        <n v="0.2946764946764947" u="1"/>
        <n v="0.28774416539827496" u="1"/>
        <n v="0.94230769230769229" u="1"/>
        <n v="1.4455897148500041E-2" u="1"/>
        <n v="0.16450891898363129" u="1"/>
        <n v="0.23538902212785529" u="1"/>
        <n v="-0.25094664995701754" u="1"/>
        <n v="0.21059241665301665" u="1"/>
        <n v="0.22088615448656423" u="1"/>
        <n v="-0.28008752735229758" u="1"/>
        <n v="-8.4931506849315053E-2" u="1"/>
        <n v="0.2750861015401192" u="1"/>
        <n v="0.96703296703296704" u="1"/>
        <n v="0.16187007177036628" u="1"/>
        <n v="0.15464236886446892" u="1"/>
        <n v="0.3226503388183618" u="1"/>
        <n v="7.098360655737701E-2" u="1"/>
        <n v="4.6700699805549029E-2" u="1"/>
        <n v="0.51225071225071217" u="1"/>
        <n v="0.65573770491803274" u="1"/>
        <n v="0.20663314117578835" u="1"/>
        <n v="0.23759383192953121" u="1"/>
        <n v="0.26642085264712562" u="1"/>
        <n v="0.78033005043132042" u="1"/>
        <n v="-0.24726477024070026" u="1"/>
        <n v="0.51046229240537233" u="1"/>
        <n v="0.65839974728695438" u="1"/>
        <n v="0.22402310081967219" u="1"/>
        <n v="0.75478260517584606" u="1"/>
        <n v="0.967741935483871" u="1"/>
        <n v="0.69516790382590388" u="1"/>
        <n v="0.14765026543588167" u="1"/>
        <n v="-2.6027397260273921E-2" u="1"/>
        <n v="0.14765026543588178" u="1"/>
        <n v="0.77560740260297667" u="1"/>
        <n v="0.10314043965883379" u="1"/>
        <n v="0.15072372540014189" u="1"/>
        <n v="0.31622988767077254" u="1"/>
        <n v="-0.22319474835886211" u="1"/>
        <n v="0.81425953342557333" u="1"/>
        <n v="-1.2872632236590964E-2" u="1"/>
        <n v="0.39536854559492779" u="1"/>
        <n v="0.10431056250113613" u="1"/>
        <n v="0.26626632008196727" u="1"/>
        <n v="0.15622950819672132" u="1"/>
        <n v="0.41222890778926602" u="1"/>
        <n v="0.12250761035007607" u="1"/>
        <n v="0.1091000320146519" u="1"/>
        <n v="0.87096774193548387" u="1"/>
        <n v="0.3983928362872074" u="1"/>
        <n v="0.12070400512408697" u="1"/>
        <n v="0.75674004070292034" u="1"/>
        <n v="-0.20155038759689925" u="1"/>
        <n v="0.56170126170126167" u="1"/>
        <n v="5.738880567190574E-2" u="1"/>
        <n v="0.22202201002313426" u="1"/>
        <n v="-0.15329930019445093" u="1"/>
        <n v="-0.40934065934065933" u="1"/>
        <n v="0.69812448994447274" u="1"/>
        <n v="0.18183467230443973" u="1"/>
        <n v="-9.5092444637003837E-3" u="1"/>
        <n v="0.57640449438202257" u="1"/>
        <n v="7.5362661881056114E-2" u="1"/>
        <n v="0.22826086956521738" u="1"/>
        <n v="0.13043594932021374" u="1"/>
        <n v="0.21209684780540705" u="1"/>
        <n v="0.88186813186813184" u="1"/>
        <n v="0.79733451652970566" u="1"/>
        <n v="0.12087219180377018" u="1"/>
        <n v="0.26347226987579864" u="1"/>
        <n v="0.75875903788543453" u="1"/>
        <n v="0.9423868312757202" u="1"/>
        <n v="0.86717161470661164" u="1"/>
        <n v="0.43480927669934011" u="1"/>
        <n v="-1.9230769230769273E-2" u="1"/>
        <n v="0.55921052631578949" u="1"/>
        <n v="0.74794520547945209" u="1"/>
        <n v="0.27665847665847665" u="1"/>
        <n v="6.5629281890618008E-2" u="1"/>
        <n v="0.54642362713428705" u="1"/>
        <n v="0.11507727563814052" u="1"/>
        <n v="9.3094414025992389E-2" u="1"/>
        <n v="0.28773025673168151" u="1"/>
        <n v="0.72016460905349799" u="1"/>
        <n v="-3.4114462301950477E-2" u="1"/>
        <n v="0.16086377473363778" u="1"/>
        <n v="-0.43406593406593408" u="1"/>
        <n v="0.56603773584905659" u="1"/>
        <n v="0.14044497844786963" u="1"/>
        <n v="0.22981993624843333" u="1"/>
        <n v="9.0092740548181061E-3" u="1"/>
        <n v="0.16557155909690668" u="1"/>
        <n v="-0.18599562363238509" u="1"/>
        <n v="0.20057723124794868" u="1"/>
        <n v="0.84109589041095889" u="1"/>
        <n v="0.19701211992673984" u="1"/>
        <n v="0.27732893126727964" u="1"/>
        <n v="0.54347826086956519" u="1"/>
        <n v="-0.51232876712328768" u="1"/>
        <n v="0.1732318636937713" u="1"/>
        <n v="0.21110376570436573" u="1"/>
        <n v="0.21705485375798433" u="1"/>
        <n v="0.10486391761808117" u="1"/>
        <n v="0.14452636017579734" u="1"/>
        <n v="3.9734301323337662E-2" u="1"/>
        <n v="0.6318954917027122" u="1"/>
        <n v="0.67414688280488277" u="1"/>
        <n v="0.45636910836104438" u="1"/>
        <n v="0.20601874893967287" u="1"/>
        <n v="-0.88767123287671235" u="1"/>
        <n v="0.32368654716131928" u="1"/>
        <n v="0.43561643835616437" u="1"/>
        <n v="0.23428257365138561" u="1"/>
        <n v="0.55890410958904113" u="1"/>
        <n v="0.7673780895144553" u="1"/>
        <n v="0.43656712816302456" u="1"/>
        <n v="6.1278435751934923E-2" u="1"/>
        <n v="3.4780202257529869E-2" u="1"/>
        <n v="0.40217391304347827" u="1"/>
        <n v="0.27049180327868855" u="1"/>
        <n v="0.27479994477265268" u="1"/>
        <n v="0.50587405885609382" u="1"/>
        <n v="3.1639344262295088E-2" u="1"/>
        <n v="-3.2149109035685464E-2" u="1"/>
        <n v="-0.17868852459016393" u="1"/>
        <n v="0.15912281902311354" u="1"/>
        <n v="0.41676514796500475" u="1"/>
        <n v="0.20713562251701789" u="1"/>
        <n v="0.9342465753424658" u="1"/>
        <n v="0.58506944444444442" u="1"/>
        <n v="0.33606557377049179" u="1"/>
        <n v="-0.60547945205479459" u="1"/>
        <n v="0.11253976282331429" u="1"/>
        <n v="0.47349167955227955" u="1"/>
        <n v="0.76911780427238208" u="1"/>
        <n v="0.29508984189199422" u="1"/>
        <n v="-1.505128147406376E-2" u="1"/>
        <n v="0.40163934426229508" u="1"/>
        <n v="0.48219178082191783" u="1"/>
        <n v="0.94650205761316875" u="1"/>
        <n v="0.20193558454018923" u="1"/>
        <n v="0.65205479452054793" u="1"/>
        <n v="-0.31780821917808222" u="1"/>
        <n v="8.7345232687156327E-2" u="1"/>
        <n v="0.14273223264899648" u="1"/>
        <n v="0.52862628619093743" u="1"/>
        <n v="0.8214285714285714" u="1"/>
        <n v="0.78502266523925024" u="1"/>
        <n v="0.15131147540983614" u="1"/>
        <n v="0.27053607898457421" u="1"/>
        <n v="1.281462477191142E-2" u="1"/>
        <n v="0.16116821677599069" u="1"/>
        <n v="0.34419353203568526" u="1"/>
        <n v="0.41818181818181821" u="1"/>
        <n v="0.11668033294166913" u="1"/>
        <n v="0.38772496538994006" u="1"/>
        <n v="0.39864047709201056" u="1"/>
        <n v="0.32681125980618364" u="1"/>
        <n v="0.23420693420693417" u="1"/>
        <n v="0.37677592295081963" u="1"/>
        <n v="0.80387046424212416" u="1"/>
        <n v="0.19900182872095867" u="1"/>
        <n v="-0.43226533127569888" u="1"/>
        <n v="-0.36438356164383556" u="1"/>
        <n v="0.74520547945205484" u="1"/>
        <n v="-8.5164835164835195E-2" u="1"/>
        <n v="0.6190542614465826" u="1"/>
        <n v="0.84615384615384615" u="1"/>
        <n v="0.39355387862376551" u="1"/>
        <n v="0.1617253677859678" u="1"/>
        <n v="0.23389676600624409" u="1"/>
        <n v="-4.4469933483090585E-2" u="1"/>
        <n v="0.35983013005317444" u="1"/>
        <n v="0.18825133278688522" u="1"/>
        <n v="0.37575041519676389" u="1"/>
        <n v="-0.79178082191780819" u="1"/>
        <n v="0.6263012855245832" u="1"/>
        <n v="1.2929073808064961E-2" u="1"/>
        <n v="0.47655745269958472" u="1"/>
        <n v="-5.479452054794498E-3" u="1"/>
        <n v="1.9926318824559086E-4" u="1"/>
        <n v="0.20508701091901727" u="1"/>
        <n v="0.99486575373738961" u="1"/>
        <n v="-0.40384615384615385" u="1"/>
        <n v="0.28675812336065576" u="1"/>
        <n v="0.72952216969911143" u="1"/>
        <n v="0.25676229508196724" u="1"/>
        <n v="3.8325624844019024E-2" u="1"/>
        <n v="0.13825757309188247" u="1"/>
        <n v="0.3896253063167221" u="1"/>
        <n v="0.17641336095600813" u="1"/>
        <n v="0.20377084369395848" u="1"/>
        <n v="0.83835616438356164" u="1"/>
        <n v="-0.41095890410958902" u="1"/>
        <n v="9.6950061172161206E-2" u="1"/>
        <n v="0.87087912087912089" u="1"/>
        <n v="6.8237704918032716E-2" u="1"/>
        <n v="0.42105263157894735" u="1"/>
        <n v="0.44967891776988483" u="1"/>
        <n v="-0.50958904109589043" u="1"/>
        <n v="0.30848852271062277" u="1"/>
        <n v="0.27024297024297028" u="1"/>
        <n v="0.14438342224612699" u="1"/>
        <n v="0.25061067778977653" u="1"/>
        <n v="-0.8849315068493151" u="1"/>
        <n v="0.42091504601307195" u="1"/>
        <n v="0.13369568930346321" u="1"/>
        <n v="0.27070641471098822" u="1"/>
        <n v="0.60526315789473684" u="1"/>
        <n v="0.14004197936916979" u="1"/>
        <n v="0.55616438356164388" u="1"/>
        <n v="4.38676618543824E-2" u="1"/>
        <n v="0.17717030749202867" u="1"/>
        <n v="0.27637810442003108" u="1"/>
        <n v="0.18901100519221881" u="1"/>
        <n v="0.1434416362482146" u="1"/>
        <n v="8.7886080692659019E-2" u="1"/>
        <n v="0.13014098927015988" u="1"/>
        <n v="4.9052418716509893E-2" u="1"/>
        <n v="0.93150684931506844" u="1"/>
        <n v="0.31706403060502797" u="1"/>
        <n v="0.52302631578947367" u="1"/>
        <n v="-0.45753424657534247" u="1"/>
        <n v="-2.4554172326824775E-2" u="1"/>
        <n v="0.25657612422201126" u="1"/>
        <n v="0.22465753424657534" u="1"/>
        <n v="0.31422331422331423" u="1"/>
        <n v="0.77391403722687357" u="1"/>
        <n v="0.22298636839751135" u="1"/>
        <n v="1.1818608835656441E-2" u="1"/>
        <n v="-0.60273972602739723" u="1"/>
        <n v="3.8504813456166076E-3" u="1"/>
        <n v="-0.1424657534246575" u="1"/>
        <n v="0.29315068493150687" u="1"/>
        <n v="-0.1785714285714286" u="1"/>
        <n v="-0.12472647702407003" u="1"/>
        <n v="6.2131317785827589E-2" u="1"/>
        <n v="0.13551735116678831" u="1"/>
        <n v="-1.9510377289376768E-3" u="1"/>
        <n v="4.9795265444702586E-2" u="1"/>
        <n v="0.6132075471698113" u="1"/>
        <n v="0.18142077836065573" u="1"/>
        <n v="0.23839389996984262" u="1"/>
        <n v="0.318096343852459" u="1"/>
        <n v="0.11111112444444443" u="1"/>
        <n v="0.11828317154243595" u="1"/>
        <n v="0.64931506849315068" u="1"/>
        <n v="0.12237637775995924" u="1"/>
        <n v="0.1942648671794871" u="1"/>
        <n v="-0.14098360655737707" u="1"/>
        <n v="-2.97727895459724E-2" u="1"/>
        <n v="0.4187648555016843" u="1"/>
        <n v="0.66797248327492831" u="1"/>
        <n v="0.10477442658693847" u="1"/>
        <n v="0.20062272520473157" u="1"/>
        <n v="0.37960039025167253" u="1"/>
        <n v="0.77263416177046929" u="1"/>
        <n v="0.76098901098901095" u="1"/>
        <n v="0.44626674918774217" u="1"/>
        <n v="-0.69589041095890414" u="1"/>
        <n v="0.24699454885245897" u="1"/>
        <n v="0.33972602739726027" u="1"/>
        <n v="0.4554736615342615" u="1"/>
        <n v="0.190641196979915" u="1"/>
        <n v="0.24651639344262288" u="1"/>
        <n v="-3.0011628961574277E-2" u="1"/>
        <n v="0.20438836976976515" u="1"/>
        <n v="0.23228756265172734" u="1"/>
        <n v="0.82047603583278028" u="1"/>
        <n v="0.20491803278688525" u="1"/>
        <n v="0.74246575342465748" u="1"/>
        <n v="0.12186732792792787" u="1"/>
        <n v="0.10502731461620962" u="1"/>
        <n v="0.26648939432660357" u="1"/>
        <n v="0.88486842105263153" u="1"/>
        <n v="0.7857142857142857" u="1"/>
        <n v="0.23770491803278687" u="1"/>
        <n v="0.12142075723916035" u="1"/>
        <n v="0.60346100599907704" u="1"/>
        <n v="0.32661051050814283" u="1"/>
        <n v="0.38202247191011235" u="1"/>
        <n v="-0.10940919037199126" u="1"/>
        <n v="0.1198363839556329" u="1"/>
        <n v="-0.78904109589041094" u="1"/>
        <n v="0.12142075723916046" u="1"/>
        <n v="0.38630136986301372" u="1"/>
        <n v="0.550561797752809" u="1"/>
        <n v="-0.18904109589041096" u="1"/>
        <n v="0.19331443558440786" u="1"/>
        <n v="0.42530866535540685" u="1"/>
        <n v="9.8846081626819182E-2" u="1"/>
        <n v="0.62339574386197738" u="1"/>
        <n v="0.19639639639639639" u="1"/>
        <n v="0.16981132075471697" u="1"/>
        <n v="-3.0014060487052796E-2" u="1"/>
        <n v="0.18341344548539795" u="1"/>
        <n v="0.22519792519792525" u="1"/>
        <n v="0.81043956043956045" u="1"/>
        <n v="0.83561643835616439" u="1"/>
        <n v="0.11523952424977002" u="1"/>
        <n v="0.16679233970695961" u="1"/>
        <n v="0.17127071823204421" u="1"/>
        <n v="1.0822592899401462E-2" u="1"/>
        <n v="-0.50684931506849318" u="1"/>
        <n v="0.27826874249084255" u="1"/>
        <n v="2.6887716347287038E-2" u="1"/>
        <n v="0.10849031455091462" u="1"/>
        <n v="0.15271635877695877" u="1"/>
        <n v="0.73553719008264462" u="1"/>
        <n v="0.5308659267479191" u="1"/>
        <n v="0.19615843949044587" u="1"/>
        <n v="-7.3770491803278659E-2" u="1"/>
        <n v="8.5012300661737816E-2" u="1"/>
        <n v="0.43287671232876712" u="1"/>
        <n v="-3.2967032967032961E-2" u="1"/>
        <n v="0.76859504132231404" u="1"/>
        <n v="-0.42677082578119335" u="1"/>
        <n v="-6.4133463143830727E-2" u="1"/>
        <n v="0.21546961325966851" u="1"/>
        <n v="0.43867924528301888" u="1"/>
        <n v="0.52127659574468088" u="1"/>
        <n v="0.10410958904109589" u="1"/>
        <n v="0.55342465753424652" u="1"/>
        <n v="0.11440825026991941" u="1"/>
        <n v="0.2661201852459017" u="1"/>
        <n v="-0.26849315068493151" u="1"/>
        <n v="-6.3013698630136949E-2" u="1"/>
        <n v="-1.1295983356582884E-3" u="1"/>
        <n v="0.31421547025114838" u="1"/>
        <n v="0.2218300463118581" u="1"/>
        <n v="0.36564690187957943" u="1"/>
        <n v="0.12890303880333331" u="1"/>
        <n v="0.55447808110469365" u="1"/>
        <n v="0.45825866602184639" u="1"/>
        <n v="0.22320282500620703" u="1"/>
        <n v="0.26408389815469679" u="1"/>
        <n v="-0.6" u="1"/>
        <n v="-0.10655737704918034" u="1"/>
        <n v="0.31226883683529594" u="1"/>
        <n v="0.43845668582382669" u="1"/>
        <n v="0.25222495222495223" u="1"/>
        <n v="0.1694109819429015" u="1"/>
        <n v="0.1587443832853605" u="1"/>
        <n v="0.31044151404873654" u="1"/>
        <n v="0.47945205479452052" u="1"/>
        <n v="-0.23561643835616441" u="1"/>
        <n v="0.11519385049048059" u="1"/>
        <n v="0.49715826838597282" u="1"/>
        <n v="0.51173708920187788" u="1"/>
        <n v="0.22968931998234332" u="1"/>
        <n v="0.69135802469135799" u="1"/>
        <n v="-0.31506849315068497" u="1"/>
        <n v="0.15342465753424658" u="1"/>
        <n v="0.79889778912428477" u="1"/>
        <n v="-5.7408889235546878E-2" u="1"/>
        <n v="0.28542084185516009" u="1"/>
        <n v="0.37575758181818186" u="1"/>
        <n v="0.20759322909836064" u="1"/>
        <n v="0.29620529620529618" u="1"/>
        <n v="0.13094843655621047" u="1"/>
        <n v="0.24038011434426226" u="1"/>
        <n v="0.12650834215777929" u="1"/>
        <n v="0.23757351691976925" u="1"/>
        <n v="0.3168724279835391" u="1"/>
        <n v="0.38604715727486177" u="1"/>
        <n v="-2.0547945205479423E-2" u="1"/>
        <n v="-0.36164383561643831" u="1"/>
        <n v="-1.4244839235413309E-2" u="1"/>
        <n v="9.8265769631464828E-3" u="1"/>
        <n v="-6.4411554515230174E-3" u="1"/>
        <n v="0.647887323943662" u="1"/>
        <n v="0.72527472527472525" u="1"/>
        <n v="0.10058980213089797" u="1"/>
        <n v="0.31969009528322934" u="1"/>
        <n v="0.30707498100960173" u="1"/>
        <n v="0.98913043478260865" u="1"/>
        <n v="0.660377358490566" u="1"/>
        <n v="9.1018299676299708E-2" u="1"/>
        <n v="0.25680998606557376" u="1"/>
        <n v="0.74339729358414619" u="1"/>
        <n v="-0.34340659340659341" u="1"/>
        <n v="-1.1783307617854621E-2" u="1"/>
        <n v="0.10644012277987958" u="1"/>
        <n v="0.11307483820910269" u="1"/>
        <n v="0.11040610087586833" u="1"/>
        <n v="0.1461935807362279" u="1"/>
        <n v="0.6067415730337079" u="1"/>
        <n v="0.12561475409836065" u="1"/>
        <n v="0.75" u="1"/>
        <n v="0.91769547325102885" u="1"/>
        <n v="5.3031507196960259E-2" u="1"/>
        <n v="0.19999999999999996" u="1"/>
        <n v="0.2" u="1"/>
        <n v="-9.8504779646505725E-2" u="1"/>
        <n v="0.27301437663934425" u="1"/>
        <n v="0.28517766497461927" u="1"/>
        <n v="0.26462475258215967" u="1"/>
        <n v="-3.9975843604198591E-2" u="1"/>
        <n v="0.32816596486909538" u="1"/>
        <n v="0.15840163934426232" u="1"/>
        <n v="0.52667528386050277" u="1"/>
        <n v="-3.0219780219780223E-2" u="1"/>
        <n v="0.19118852459016389" u="1"/>
        <n v="-0.39655104556141318" u="1"/>
        <n v="0.51086956521739135" u="1"/>
        <n v="-2.6029996742032768E-2" u="1"/>
        <n v="0.15879122497243858" u="1"/>
        <n v="0.12268633833577547" u="1"/>
        <n v="0.26099488883209809" u="1"/>
        <n v="-2.4759789126009735E-2" u="1"/>
        <n v="0.51643192488262912" u="1"/>
        <n v="-5.8091785633184179E-2" u="1"/>
        <n v="0.69547325102880664" u="1"/>
        <n v="1.2121220779220732E-2" u="1"/>
        <n v="0.21571083486292331" u="1"/>
        <n v="-0.1095890410958904" u="1"/>
        <n v="-0.16556291390728473" u="1"/>
        <n v="0.18722986806187447" u="1"/>
        <n v="6.8493150684931503E-2" u="1"/>
        <n v="0.42745099372549022" u="1"/>
        <n v="0.12169979219443194" u="1"/>
        <n v="0.25485484983857942" u="1"/>
        <n v="9.9650048551906178E-2" u="1"/>
        <n v="0.30484540839870788" u="1"/>
        <n v="0.14370734976794974" u="1"/>
        <n v="0.27438855560682973" u="1"/>
        <n v="0.25746138159840537" u="1"/>
        <n v="0.78650928565550382" u="1"/>
        <n v="8.8305610268915036E-3" u="1"/>
        <n v="0.16404508695970688" u="1"/>
        <n v="0.27283647889707896" u="1"/>
        <n v="0.24886682588648362" u="1"/>
        <n v="0.8152848222537814" u="1"/>
        <n v="0.78698593265171013" u="1"/>
        <n v="0.30381899749244512" u="1"/>
        <n v="0.13765379249112131" u="1"/>
        <n v="0.24227423274400017" u="1"/>
        <n v="0.31633988261437906" u="1"/>
        <n v="-7.4817518248175174E-2" u="1"/>
        <n v="0.46226415094339623" u="1"/>
        <n v="0.35017661338648487" u="1"/>
        <n v="0.12038434588744928" u="1"/>
        <n v="0.66468034577002844" u="1"/>
        <n v="0.19045749729225026" u="1"/>
        <n v="0.10640841351504304" u="1"/>
        <n v="0.28274416287964854" u="1"/>
        <n v="0.58205689277899342" u="1"/>
        <n v="0.6648351648351648" u="1"/>
        <n v="5.1979267628704862E-2" u="1"/>
        <n v="0.65945045679530145" u="1"/>
        <n v="0.13345446049749321" u="1"/>
        <n v="0.17455638061698064" u="1"/>
        <n v="0.92181069958847739" u="1"/>
        <n v="0.15899431527623487" u="1"/>
        <n v="0.70491803278688525" u="1"/>
        <n v="-0.20149610050646805" u="1"/>
        <n v="0.15732293401152381" u="1"/>
        <n v="0.35773956380016381" u="1"/>
        <n v="0.57549234135667393" u="1"/>
        <n v="0.26697217042253518" u="1"/>
        <n v="0.73100879011536501" u="1"/>
        <n v="6.1355311355311359E-2" u="1"/>
        <n v="0.70758007515580679" u="1"/>
        <n v="0.76966092093796168" u="1"/>
        <n v="0.31696367251604707" u="1"/>
        <n v="0.27818727818727823" u="1"/>
        <n v="0.56892778993435444" u="1"/>
        <n v="0.83606557377049184" u="1"/>
        <n v="-0.31318681318681318" u="1"/>
        <n v="-2.403796486952281E-2" u="1"/>
        <n v="0.22694206723509058" u="1"/>
        <n v="5.1202356037193697E-2" u="1"/>
        <n v="0.53955774561834557" u="1"/>
        <n v="1.2831110751456709E-3" u="1"/>
        <n v="0.56236323851203496" u="1"/>
        <n v="0.7975206611570248" u="1"/>
        <n v="3.7538247309670147E-2" u="1"/>
        <n v="0.56603877469677466" u="1"/>
        <n v="7.8630635737265253E-2" u="1"/>
        <n v="0.68956043956043955" u="1"/>
        <n v="0.13657255948717939" u="1"/>
        <n v="0.52112676056338025" u="1"/>
        <n v="0.83057851239669422" u="1"/>
        <n v="0.57434240886017529" u="1"/>
        <n v="0.55579868708971558" u="1"/>
        <n v="0.26718526342513566" u="1"/>
        <n v="0.43209876543209874" u="1"/>
        <n v="0.69958847736625518" u="1"/>
        <n v="0.86363636363636365" u="1"/>
        <n v="0.29767840076457469" u="1"/>
        <n v="8.5024156395801409E-2" u="1"/>
        <n v="0.21264924009524239" u="1"/>
        <n v="-5.5891704902072514E-2" u="1"/>
        <n v="0.2634614077868852" u="1"/>
        <n v="0.5492341356673961" u="1"/>
        <n v="0.47528089887640451" u="1"/>
        <n v="0.20274824999623248" u="1"/>
        <n v="-5.0684931506849273E-2" u="1"/>
        <n v="-6.8681318681318659E-2" u="1"/>
        <n v="0.24580945187005188" u="1"/>
        <n v="0.35558305348038427" u="1"/>
        <n v="2.8544654093616284E-3" u="1"/>
        <n v="0.1799999809523809" u="1"/>
        <n v="0.4194376254982255" u="1"/>
        <n v="0.31256831934426232" u="1"/>
        <n v="0.47620686894822117" u="1"/>
        <n v="0.23631748961698196" u="1"/>
        <n v="0.52454273060333056" u="1"/>
        <n v="0.12522761598688048" u="1"/>
        <n v="7.5901639344262306E-2" u="1"/>
        <n v="0.42561983471074383" u="1"/>
        <n v="0.44398084353563294" u="1"/>
        <n v="0.30653903416114858" u="1"/>
        <n v="0.11285831891891895" u="1"/>
        <n v="0.14259111076445319" u="1"/>
        <n v="0.21233467655677662" u="1"/>
        <n v="-0.13907284768211925" u="1"/>
        <n v="-2.0177419187786816E-2" u="1"/>
        <n v="0.44214876033057854" u="1"/>
        <n v="-0.19344262295081971" u="1"/>
        <n v="0.45867768595041325" u="1"/>
        <n v="0.78762932050431322" u="1"/>
        <n v="0.70983294839120736" u="1"/>
        <n v="0.16919255737636407" u="1"/>
        <n v="0.26740172003383134" u="1"/>
        <n v="0.73404255319148937" u="1"/>
        <n v="0.40769791670571831" u="1"/>
        <n v="0.2071799071799072" u="1"/>
        <n v="9.3381600752502236E-2" u="1"/>
        <n v="0.92592592592592593" u="1"/>
        <n v="0.38789593650769849" u="1"/>
        <n v="-2.2045932997012851E-2" u="1"/>
        <n v="3.7594225225619171E-2" u="1"/>
        <n v="0.66249810794269204" u="1"/>
        <n v="0.79352188036412841" u="1"/>
        <n v="0.6004156534219971" u="1"/>
        <n v="0.68082888122449903" u="1"/>
        <n v="0.33228119120654392" u="1"/>
        <n v="0.35579951008907995" u="1"/>
        <n v="0.37249653899400093" u="1"/>
        <n v="0.22172834288078802" u="1"/>
        <n v="0.34203968620212277" u="1"/>
        <n v="0.1660655737704918" u="1"/>
        <n v="0.31158283341024462" u="1"/>
        <n v="-1.5068493150684925E-2" u="1"/>
        <n v="0.99186991869918695" u="1"/>
        <n v="0.60439560439560436" u="1"/>
        <n v="0.21182735278177811" u="1"/>
        <n v="0.5258215962441315" u="1"/>
        <n v="0.75727241746918073" u="1"/>
        <n v="0.2894521194189178" u="1"/>
        <n v="0.75609756097560976" u="1"/>
        <n v="0.89473684210526316" u="1"/>
        <n v="0.26974676021652766" u="1"/>
        <n v="-4.5951859956236296E-2" u="1"/>
        <n v="-0.28296703296703296" u="1"/>
        <n v="0.24963144963144956" u="1"/>
        <n v="0.49178587909552385" u="1"/>
        <n v="0.46132902630364558" u="1"/>
        <n v="0.77238577812859122" u="1"/>
        <n v="9.4339622641509441E-2" u="1"/>
        <n v="0.32252023790163331" u="1"/>
        <n v="-5.247359905436344E-3" u="1"/>
        <n v="6.6730280952380983E-2" u="1"/>
        <n v="0.92682926829268297" u="1"/>
        <n v="0.62912087912087911" u="1"/>
        <n v="0.56858032948315651" u="1"/>
        <n v="-2.3287671232876672E-2" u="1"/>
        <n v="0.26464185516725192" u="1"/>
        <n v="0.75222496088296087" u="1"/>
        <n v="6.262627827571543E-2" u="1"/>
        <n v="6.7734668724301117E-2" u="1"/>
        <n v="2.5893805645232137E-2" u="1"/>
        <n v="0.69105691056910568" u="1"/>
        <n v="0.84931506849315064" u="1"/>
        <n v="0.16051053624645117" u="1"/>
        <n v="0.23952697999674744" u="1"/>
        <n v="0.16554737160797162" u="1"/>
        <n v="0.79357213840929908" u="1"/>
        <n v="0.33972154578214586" u="1"/>
        <n v="0.36065573770491804" u="1"/>
        <n v="0.50231049671725314" u="1"/>
        <n v="-0.33611148512185274" u="1"/>
        <n v="0.26656949209775549" u="1"/>
        <n v="5.70297570297571E-2" u="1"/>
        <n v="-0.89589041095890409" u="1"/>
        <n v="0.74042405275163858" u="1"/>
        <n v="0.42622950819672129" u="1"/>
        <n v="0.65384615384615385" u="1"/>
        <n v="0.62601626016260159" u="1"/>
        <n v="0.77261405457696375" u="1"/>
        <n v="7.9241179649259585E-2" u="1"/>
        <n v="6.828205185926961E-2" u="1"/>
        <n v="9.5634622272210312E-2" u="1"/>
        <n v="0.94246575342465755" u="1"/>
        <n v="1.253573397956842E-4" u="1"/>
        <n v="0.35599679874862888" u="1"/>
        <n v="0.50776361651689594" u="1"/>
        <n v="0.32351225816977808" u="1"/>
        <n v="-0.38730853391684905" u="1"/>
        <n v="0.93004115226337447" u="1"/>
        <n v="-1.7338150537354213E-2" u="1"/>
        <n v="-0.61369863013698622" u="1"/>
        <n v="0.33007071812059952" u="1"/>
        <n v="0.15903129411114625" u="1"/>
        <n v="0.75165597074462842" u="1"/>
        <n v="-3.6065573770491799E-2" u="1"/>
        <n v="3.9959611772123593E-2" u="1"/>
        <n v="-8.5153337616454827E-3" u="1"/>
        <n v="0.13382530673992665" u="1"/>
        <n v="0.17036650487576932" u="1"/>
        <n v="0.40141960748020744" u="1"/>
        <n v="-0.38074398249452956" u="1"/>
        <n v="0.26757518295657834" u="1"/>
        <n v="0.66027397260273968" u="1"/>
        <n v="-0.11126760563380289" u="1"/>
        <n v="0.18306792926754178" u="1"/>
        <n v="0.24836601307189543" u="1"/>
        <n v="-4.4262295081967218E-2" u="1"/>
        <n v="0.64457968720277359" u="1"/>
        <n v="0.16775952950819673" u="1"/>
        <n v="0.4339869414379085" u="1"/>
        <n v="0.21205445252421995" u="1"/>
        <n v="-0.15894039735099341" u="1"/>
        <n v="-0.70684931506849313" u="1"/>
        <n v="-3.1010076423307775E-2" u="1"/>
        <n v="0.1542720329863656" u="1"/>
        <n v="0.293029916035905" u="1"/>
        <n v="0.55105716834941876" u="1"/>
        <n v="4.3661971830985857E-2" u="1"/>
        <n v="0.13894596651445967" u="1"/>
        <n v="-0.18852459016393441" u="1"/>
        <n v="0.33686272605042011" u="1"/>
        <n v="-0.10808950709987464" u="1"/>
        <n v="7.456761281972013E-2" u="1"/>
        <n v="0.23333329999999997" u="1"/>
        <n v="0.31134828729508202" u="1"/>
        <n v="-5.4945054945054972E-2" u="1"/>
        <n v="-1.8223841413591457E-2" u="1"/>
        <n v="0.45915703568532029" u="1"/>
        <n v="0.78353604482299644" u="1"/>
        <n v="9.8662314923651073E-2" u="1"/>
        <n v="9.6479963417329673E-2" u="1"/>
        <n v="0.75342465753424659" u="1"/>
        <n v="0.2092553805369845" u="1"/>
        <n v="0.85950413223140498" u="1"/>
        <n v="-0.17127632028668782" u="1"/>
        <n v="1.0198933113553021E-2" u="1"/>
        <n v="-0.32603938730853388" u="1"/>
        <n v="7.4385245901639307E-2" u="1"/>
        <n v="0.19817089817089817" u="1"/>
        <n v="0.32287583032679734" u="1"/>
        <n v="0.8925619834710744" u="1"/>
        <n v="0.36792452830188677" u="1"/>
        <n v="0.53009908451708343" u="1"/>
        <n v="4.5488962067724459E-2" u="1"/>
        <n v="-0.25274725274725274" u="1"/>
        <n v="0.51209044762344258" u="1"/>
        <n v="0.27822089777836373" u="1"/>
        <n v="0.92561983471074383" u="1"/>
        <n v="-0.8" u="1"/>
        <n v="0.23363660985997037" u="1"/>
        <n v="0.39178082191780822" u="1"/>
        <n v="0.41249999999999998" u="1"/>
        <n v="0.33693158027390213" u="1"/>
        <n v="-3.5010940919037226E-2" u="1"/>
        <n v="0.12836065573770494" u="1"/>
        <n v="0.29230045768185309" u="1"/>
        <n v="0.57614445274011339" u="1"/>
        <n v="8.1369087912087967E-2" u="1"/>
        <n v="0.48586312829620065" u="1"/>
        <n v="0.56868131868131866" u="1"/>
        <n v="0.69229349330872181" u="1"/>
        <n v="0.1256893317499318" u="1"/>
        <n v="0.63137978772496539" u="1"/>
        <n v="6.3910014699303352E-2" u="1"/>
        <n v="0.57046608214120909" u="1"/>
        <n v="1.8584494731066492E-3" u="1"/>
        <n v="9.383735890712358E-2" u="1"/>
        <n v="0.16114754098360662" u="1"/>
        <n v="0.34784316707218166" u="1"/>
        <n v="0.5091410006847481" u="1"/>
        <n v="0.50955237655745278" u="1"/>
        <n v="0.84657534246575339" u="1"/>
        <n v="-1.8061869251992935E-2" u="1"/>
        <n v="2.8359061062015467E-3" u="1"/>
        <n v="0.30452674897119342" u="1"/>
        <n v="-0.51780821917808217" u="1"/>
        <n v="0.10548732174865794" u="1"/>
        <n v="0.37521158127218135" u="1"/>
        <n v="0.27401442394366193" u="1"/>
        <n v="6.5573770491803282E-2" u="1"/>
        <n v="0.72803554928285763" u="1"/>
        <n v="0.23882351036414562" u="1"/>
        <n v="-0.89315068493150684" u="1"/>
        <n v="0.7567562067562067" u="1"/>
        <n v="0.25581793564829564" u="1"/>
        <n v="0.43835616438356162" u="1"/>
        <n v="0.59340659340659341" u="1"/>
        <n v="0.65940330091514709" u="1"/>
        <n v="8.0264622665369822E-2" u="1"/>
        <n v="0.24062244062244065" u="1"/>
        <n v="0.18552130898021302" u="1"/>
        <n v="-0.30634573304157553" u="1"/>
        <n v="0.56438356164383563" u="1"/>
        <n v="-0.51373626373626369" u="1"/>
        <n v="-0.27397260273972601" u="1"/>
        <n v="0.9397260273972603" u="1"/>
        <n v="0.21934407452198362" u="1"/>
        <n v="0.32315030289568603" u="1"/>
        <n v="0.14050192121389826" u="1"/>
        <n v="0.15653836259896259" u="1"/>
        <n v="-2.9018044550797817E-2" u="1"/>
        <n v="-0.61095890410958908" u="1"/>
        <n v="0.26383688576672315" u="1"/>
        <n v="-7.8403755868544645E-2" u="1"/>
        <n v="0.14809363866565295" u="1"/>
        <n v="-7.4260091429090291E-3" u="1"/>
        <n v="6.6599485329680297E-2" u="1"/>
        <n v="0.36956521739130432" u="1"/>
        <n v="2.0187793427229983E-2" u="1"/>
        <n v="4.8674208722014667E-2" u="1"/>
        <n v="0.48493150684931507" u="1"/>
        <n v="-0.23835616438356166" u="1"/>
        <n v="0.23821748898634154" u="1"/>
        <n v="8.8511835927289839E-2" u="1"/>
        <n v="0.52022471910112356" u="1"/>
        <n v="-6.896135085057542E-2" u="1"/>
        <n v="0.65753424657534243" u="1"/>
        <n v="0.15531238399476088" u="1"/>
        <n v="-0.32054794520547947" u="1"/>
        <n v="0.11049723756906077" u="1"/>
        <n v="0.15616438356164383" u="1"/>
        <n v="0.25881147540983607" u="1"/>
        <n v="0.22831649888733163" u="1"/>
        <n v="-0.25164113785557984" u="1"/>
        <n v="-8.5790952917331631E-2" u="1"/>
        <n v="2.1804751541408596E-2" u="1"/>
        <n v="-0.10519323490854637" u="1"/>
        <n v="0.62611201815864925" u="1"/>
        <n v="0.25" u="1"/>
        <n v="0.4134648179320014" u="1"/>
        <n v="0.54836312829620071" u="1"/>
        <n v="0.10974321625376948" u="1"/>
        <n v="-0.20516431924882628" u="1"/>
        <n v="-0.70410958904109588" u="1"/>
        <n v="-0.13245033112582782" u="1"/>
        <n v="0.22836599402427638" u="1"/>
        <n v="5.6666836911510643E-2" u="1"/>
        <n v="0.60849056603773588" u="1"/>
        <n v="-0.56318681318681318" u="1"/>
        <n v="0.77114754135421548" u="1"/>
        <n v="0.64686609686609686" u="1"/>
        <n v="0.49175824175824173" u="1"/>
        <n v="0.80979967217681215" u="1"/>
        <n v="0.22779143385203382" u="1"/>
        <n v="-1.6069837379482976E-2" u="1"/>
        <n v="0.75068493150684934" u="1"/>
        <n v="-0.36712328767123292" u="1"/>
        <n v="0.64194116477533303" u="1"/>
        <n v="0.20592224394587216" u="1"/>
        <n v="-0.23626373626373631" u="1"/>
        <n v="0.3169312542426499" u="1"/>
        <n v="-0.79726027397260268" u="1"/>
        <n v="0.19796862229366924" u="1"/>
        <n v="0.13043478260869565" u="1"/>
        <n v="0.26208067746207286" u="1"/>
        <n v="0.28375984906049478" u="1"/>
        <n v="0.86956521739130432" u="1"/>
        <n v="0.50824175824175821" u="1"/>
        <n v="5.3383698909829636E-2" u="1"/>
        <n v="0.20930719977696721" u="1"/>
        <n v="0.84383561643835614" u="1"/>
        <n v="-0.41369863013698627" u="1"/>
        <n v="0.18946201091901727" u="1"/>
        <n v="0.33030906371761071" u="1"/>
        <n v="0.20273972602739726" u="1"/>
        <n v="0.3004060913705584" u="1"/>
        <n v="0.37553816686098751" u="1"/>
        <n v="-8.1642510270865332E-2" u="1"/>
        <n v="4.5169083932033227E-2" u="1"/>
        <n v="-0.51506849315068493" u="1"/>
        <n v="0.16420264860956812" u="1"/>
        <n v="0.75429917663667334" u="1"/>
        <n v="-0.17230046948356814" u="1"/>
        <n v="-2.8123176898900315E-2" u="1"/>
        <n v="0.2346802378712356" u="1"/>
        <n v="0.18916188916188914" u="1"/>
        <n v="0.23956095403287048" u="1"/>
        <n v="-0.27567192468229229" u="1"/>
        <n v="0.35573618666296769" u="1"/>
        <n v="0.54043016702582758" u="1"/>
        <n v="0.78545767355342788" u="1"/>
        <n v="0.24697790563450284" u="1"/>
        <n v="7.0754716981132074E-2" u="1"/>
        <n v="0.37666667961165046" u="1"/>
        <n v="0.69631664631664625" u="1"/>
        <n v="-0.8904109589041096" u="1"/>
        <n v="0.27411762801120454" u="1"/>
        <n v="8.791711987818529E-2" u="1"/>
        <n v="0.37245008516376066" u="1"/>
        <n v="5.6305260315358985E-2" u="1"/>
        <n v="0.46055542917099201" u="1"/>
        <n v="0.56164383561643838" u="1"/>
        <n v="9.769381656515197E-2" u="1"/>
        <n v="0.72923515992037158" u="1"/>
        <n v="0.44565217391304346" u="1"/>
        <n v="0.10245605903485966" u="1"/>
        <n v="0.39150943396226418" u="1"/>
        <n v="0.59820504141446329" u="1"/>
        <n v="0.93698630136986305" u="1"/>
        <n v="-0.46027397260273972" u="1"/>
        <n v="6.6994282643719871E-2" u="1"/>
        <n v="0.1243684096324692" u="1"/>
        <n v="0.54276315789473684" u="1"/>
        <n v="0.24179981810243667" u="1"/>
        <n v="0.68679604604182365" u="1"/>
        <n v="-0.60821917808219172" u="1"/>
        <n v="0.56515544175110222" u="1"/>
        <n v="0.29589041095890412" u="1"/>
        <n v="0.48892781571107574" u="1"/>
        <n v="0.41975308641975306" u="1"/>
        <n v="0.28397630566919052" u="1"/>
        <n v="0.2591601292108906" u="1"/>
        <n v="-0.48901098901098905" u="1"/>
        <n v="0.10303027050759817" u="1"/>
        <n v="0.23161343161343162" u="1"/>
        <n v="0.28455200842490846" u="1"/>
        <n v="-2.7271902934177028E-2" u="1"/>
        <n v="0.65479452054794518" u="1"/>
        <n v="0.38514284328647741" u="1"/>
        <n v="-0.19912472647702406" u="1"/>
        <n v="0.33691159683051297" u="1"/>
        <n v="0.26831383090688599" u="1"/>
        <n v="0.81206042924211941" u="1"/>
        <n v="-2.5033980805777789E-2" u="1"/>
        <n v="0.72368421052631582" u="1"/>
        <n v="-7.8688524590163955E-2" u="1"/>
        <n v="0.24931506849315069" u="1"/>
        <n v="-0.12316231389308108" u="1"/>
        <n v="6.0273972602739728E-2" u="1"/>
        <n v="0.14039351851851856" u="1"/>
        <n v="-0.70136986301369864" u="1"/>
        <n v="0.73578195687058501" u="1"/>
        <n v="0.34246575342465752" u="1"/>
        <n v="0.37441046176259246" u="1"/>
        <n v="-0.16712328767123286" u="1"/>
        <n v="0.95454545454545459" u="1"/>
        <n v="-0.50274725274725274" u="1"/>
        <n v="-3.9726027397260277E-2" u="1"/>
        <n v="-9.5081967213114793E-2" u="1"/>
        <n v="0.25320259533146594" u="1"/>
        <n v="0.58642653642653642" u="1"/>
        <n v="0.85345237793025719" u="1"/>
        <n v="-0.11263736263736268" u="1"/>
        <n v="0.31270365639905345" u="1"/>
        <n v="0.17936764358974355" u="1"/>
        <n v="0.18659534649564102" u="1"/>
        <n v="0.20246203633341542" u="1"/>
        <n v="0.71482387303824968" u="1"/>
        <n v="7.1210731111025605E-2" u="1"/>
        <n v="0.16122099927390343" u="1"/>
        <n v="0.1706967213114754" u="1"/>
        <n v="-0.15231788079470199" u="1"/>
        <n v="0.83249429409792186" u="1"/>
        <n v="0.38904109589041097" u="1"/>
        <n v="0.90123456790123457" u="1"/>
        <n v="0.61115181115181116" u="1"/>
        <n v="9.3150684931506855E-2" u="1"/>
        <n v="9.4487931544819714E-2" u="1"/>
        <n v="0.20348360655737707" u="1"/>
        <n v="0.23204419889502761" u="1"/>
        <n v="0.49597306875708391" u="1"/>
        <n v="-9.1767048534861506E-2" u="1"/>
        <n v="1.7995170888554957E-2" u="1"/>
        <n v="1.8173119397395965E-2" u="1"/>
        <n v="0.27647558947368422" u="1"/>
        <n v="0.63930264234789225" u="1"/>
        <n v="0.74191067316789239" u="1"/>
        <n v="0.81153621026558642" u="1"/>
        <n v="0.27358490566037735" u="1"/>
        <n v="0.32941177803921573" u="1"/>
        <n v="0.79025390650791927" u="1"/>
        <n v="0.54132231404958675" u="1"/>
        <n v="0.20753386892451264" u="1"/>
        <n v="0.65566037735849059" u="1"/>
        <n v="0.19699344500466853" u="1"/>
        <n v="3.2429753357650415E-2" u="1"/>
        <n v="0.57438016528925617" u="1"/>
        <n v="0.6358770858770858" u="1"/>
        <n v="0.51217891776988478" u="1"/>
        <n v="-0.1305555537491262" u="1"/>
        <n v="0.10423494638089148" u="1"/>
        <n v="-0.21369863013698631" u="1"/>
        <n v="0.54547801925213346" u="1"/>
        <n v="0.12186413046893163" u="1"/>
        <n v="0.1224407529223242" u="1"/>
        <n v="-0.27123287671232876" u="1"/>
        <n v="0.13150684931506848" u="1"/>
        <n v="-0.16192560175054704" u="1"/>
        <n v="-2.3041948933267831E-2" u="1"/>
        <n v="0.24393170281495158" u="1"/>
        <n v="0.22870327641901245" u="1"/>
        <n v="0.61093740787037687" u="1"/>
        <n v="0.54304635761589404" u="1"/>
        <n v="-5.7377049180327822E-2" u="1"/>
        <n v="-0.45879120879120883" u="1"/>
        <n v="0.52426526668191242" u="1"/>
        <n v="0.18992076286543491" u="1"/>
        <n v="0.29460509863048956" u="1"/>
        <n v="-7.5342465753424626E-2" u="1"/>
        <n v="-1.7808219178082174E-2" u="1"/>
        <n v="0.14528474429382376" u="1"/>
        <n v="0.22270764811133648" u="1"/>
        <n v="8.9630898021308969E-2" u="1"/>
        <n v="0.75409836065573765" u="1"/>
        <n v="0.31120215245901639" u="1"/>
        <n v="0.11149332714276428" u="1"/>
        <n v="0.76029747949266868" u="1"/>
        <n v="0.88524590163934425" u="1"/>
        <n v="8.6519804054779881E-2" u="1"/>
        <n v="0.56902124020570621" u="1"/>
        <n v="0.43515635579082335" u="1"/>
        <n v="0.10223753678018388" u="1"/>
        <n v="0.24337480408999801" u="1"/>
        <n v="0.81056784112170599" u="1"/>
        <n v="0.41535437559280353" u="1"/>
        <n v="0.52419855614163613" u="1"/>
        <n v="-4.7338982453406953E-2" u="1"/>
        <n v="0.15148651766603127" u="1"/>
        <n v="0.17557483820910269" u="1"/>
        <n v="0.2334738139909881" u="1"/>
        <n v="0.20283018867924529" u="1"/>
        <n v="-8.7545875536916729E-2" u="1"/>
        <n v="-0.20604395604395609" u="1"/>
        <n v="0.28805157172131146" u="1"/>
        <n v="0.64411685277485276" u="1"/>
        <n v="-9.1240875912408814E-2" u="1"/>
        <n v="0.27158471278688523" u="1"/>
        <n v="-0.1258278145695364" u="1"/>
        <n v="0.50657894736842102" u="1"/>
        <n v="0.27905750293040299" u="1"/>
        <n v="-5.7920222148044598E-3" u="1"/>
        <n v="0.32405153582491886" u="1"/>
        <n v="0.49304304204852428" u="1"/>
        <n v="0.42386831275720166" u="1"/>
        <n v="0.4156437471158283" u="1"/>
        <n v="0.6831275720164609" u="1"/>
        <n v="0.38518689432395015" u="1"/>
        <n v="0.16974494966619946" u="1"/>
        <n v="0.25441459470761796" u="1"/>
        <n v="0.17908741955718699" u="1"/>
        <n v="0.7681743005217081" u="1"/>
        <n v="-4.6703296703296648E-2" u="1"/>
        <n v="0.15984395956718955" u="1"/>
        <n v="-9.8630136986301409E-2" u="1"/>
        <n v="0.25864045864045859" u="1"/>
        <n v="0.2458094544674545" u="1"/>
        <n v="0.13437211433939261" u="1"/>
        <n v="0.17607841232493004" u="1"/>
        <n v="0.45604395604395603" u="1"/>
        <n v="-1.6045192176118661E-2" u="1"/>
        <n v="0.79678985422033755" u="1"/>
        <n v="-0.13830928731965486" u="1"/>
        <n v="0.23186089724229264" u="1"/>
        <n v="-0.13412121800267007" u="1"/>
        <n v="0.89560439560439564" u="1"/>
        <n v="0.20977341583401587" u="1"/>
        <n v="0.30189195327868851" u="1"/>
        <n v="-0.11597374179431075" u="1"/>
        <n v="6.8618508024727132E-2" u="1"/>
        <n v="0.26497027827868846" u="1"/>
        <n v="0.11821779865122417" u="1"/>
        <n v="2.8072454882704823E-2" u="1"/>
        <n v="0.28065357572362282" u="1"/>
        <n v="-0.4285714285714286" u="1"/>
        <n v="0.14815573770491797" u="1"/>
        <n v="5.3066197620229127E-2" u="1"/>
        <n v="9.9327803493256539E-2" u="1"/>
        <n v="0.1262882669473212" u="1"/>
        <n v="0.22707268350118059" u="1"/>
        <n v="0.47262364606562596" u="1"/>
        <n v="0.1004640271623497" u="1"/>
        <n v="0.29716981132075471" u="1"/>
        <n v="0.92032967032967028" u="1"/>
        <n v="0.18094262295081964" u="1"/>
        <n v="0.32405073853164684" u="1"/>
        <n v="0.70283018867924529" u="1"/>
        <n v="0.81128629259306573" u="1"/>
        <n v="0.13934426229508196" u="1"/>
        <n v="0.34718641501974307" u="1"/>
        <n v="2.7955195432523117E-2" u="1"/>
        <n v="0.22342342948402949" u="1"/>
        <n v="-0.25737704918032789" u="1"/>
        <n v="-7.7869726880094414E-2" u="1"/>
        <n v="0.91901618181818179" u="1"/>
        <n v="7.1550025715478749E-2" u="1"/>
        <n v="0.1711438711438712" u="1"/>
        <n v="0.84042553191489366" u="1"/>
        <n v="0.94505494505494503" u="1"/>
        <n v="0.76683342720508696" u="1"/>
        <n v="0.23260350680752107" u="1"/>
        <n v="0.79492859057730592" u="1"/>
        <n v="0.20321542568341777" u="1"/>
        <n v="0.6761119000924235" u="1"/>
        <n v="0.25973854304388422" u="1"/>
        <n v="-0.23606557377049175" u="1"/>
        <n v="-4.5205479452054775E-2" u="1"/>
        <n v="0.20113863568128287" u="1"/>
        <n v="0.35731136925755225" u="1"/>
        <n v="0.45081967213114754" u="1"/>
        <n v="0.63636363636363635" u="1"/>
        <n v="4.4316910247069186E-2" u="1"/>
        <n v="0.15723693552888351" u="1"/>
        <n v="0.21359541359541356" u="1"/>
        <n v="0.54000922934933093" u="1"/>
        <n v="0.83695652173913049" u="1"/>
        <n v="7.2798732100320951E-3" u="1"/>
        <n v="0.53278688524590168" u="1"/>
        <n v="0.15842096402873795" u="1"/>
        <n v="0.53544892761482321" u="1"/>
        <n v="-2.0402490651064142E-2" u="1"/>
        <n v="0.47713001480635109" u="1"/>
        <n v="0.57230085335102854" u="1"/>
        <n v="-4.5410626212894267E-2" u="1"/>
        <n v="9.2495899672309756E-2" u="1"/>
        <n v="0.60808081673881675" u="1"/>
        <n v="0.59838486386709744" u="1"/>
        <n v="-6.7862666064742005E-2" u="1"/>
        <n v="0.16515817154243595" u="1"/>
        <n v="0.8577376524424607" u="1"/>
        <n v="0.2786289365422" u="1"/>
        <n v="0.59782608695652173" u="1"/>
        <n v="0.47806064621986621" u="1"/>
        <n v="0.79508196721311475" u="1"/>
        <n v="0.64006550653074235" u="1"/>
        <n v="0.33594772575163401" u="1"/>
        <n v="0.8351648351648352" u="1"/>
        <n v="0.23289616707522609" u="1"/>
        <n v="-0.25245901639344259" u="1"/>
        <n v="0.40435058152307152" u="1"/>
        <n v="-0.20329670329670335" u="1"/>
        <n v="0.10084626832359589" u="1"/>
        <n v="0.30055089130454959" u="1"/>
        <n v="0.9506849315068493" u="1"/>
        <n v="0.2970296752078308" u="1"/>
        <n v="-9.4091903719912495E-2" u="1"/>
        <n v="0.5957446808510638" u="1"/>
        <n v="-0.39835164835164838" u="1"/>
        <n v="-1.7065853315737955E-2" u="1"/>
        <n v="0.21695871888389384" u="1"/>
        <n v="0.11675699739303869" u="1"/>
        <n v="0.33593845122950816" u="1"/>
        <n v="0.24562838196721304" u="1"/>
        <n v="0.85989010989010994" u="1"/>
        <n v="0.19696970909090905" u="1"/>
        <n v="0.27205627554045897" u="1"/>
        <n v="-2.5114404452804662E-2" u="1"/>
        <n v="3.5741795695960032E-2" u="1"/>
        <n v="0.47270523355935851" u="1"/>
        <n v="0.29207651606557372" u="1"/>
        <n v="6.3035763035763082E-2" u="1"/>
        <n v="0.20076440682500685" u="1"/>
        <n v="-0.14413145539906103" u="1"/>
        <n v="0.78218969969721874" u="1"/>
        <n v="0.26316646609204741" u="1"/>
        <n v="8.0532786885245899E-2" u="1"/>
        <n v="0.14470586330532215" u="1"/>
        <n v="0.75374602872687246" u="1"/>
        <n v="0.51655629139072845" u="1"/>
        <n v="-0.71506849315068499" u="1"/>
        <n v="-0.4514961005064681" u="1"/>
        <n v="0.16724864501102854" u="1"/>
        <n v="0.87141644978654453" u="1"/>
        <n v="-1.3698630136986356E-2" u="1"/>
        <n v="9.6926229508196737E-2" u="1"/>
        <n v="0.88461538461538458" u="1"/>
        <n v="0.60927152317880795" u="1"/>
        <n v="0.14130068054880385" u="1"/>
        <n v="8.2677747359325759E-2" u="1"/>
        <n v="0.11331967213114746" u="1"/>
        <n v="0.40633640791584191" u="1"/>
        <n v="0.76164383561643834" u="1"/>
        <n v="-2.6490066225165587E-2" u="1"/>
        <n v="3.0262343641165534E-2" u="1"/>
        <n v="-0.17582417582417587" u="1"/>
        <n v="0.10898518175286942" u="1"/>
        <n v="0.70198675496688745" u="1"/>
        <n v="-7.877461706783373E-2" u="1"/>
        <n v="7.7335708742107045E-2" u="1"/>
        <n v="0.77336937491750524" u="1"/>
        <n v="5.0308195650119236E-2" u="1"/>
        <n v="0.44471666932143999" u="1"/>
        <n v="0.22432543075392786" u="1"/>
        <n v="4.2973029918365713E-2" u="1"/>
        <n v="0.78204942440674263" u="1"/>
        <n v="-0.80821917808219179" u="1"/>
        <n v="0.8207015552293393" u="1"/>
        <n v="-8.1806889172311714E-2" u="1"/>
        <n v="0.38459560647469521" u="1"/>
        <n v="0.79470198675496684" u="1"/>
        <n v="0.19151761443223436" u="1"/>
        <n v="-3.365477712361209E-2" u="1"/>
        <n v="0.16213486213486217" u="1"/>
        <n v="0.62151450138531494" u="1"/>
        <n v="0.14886763933740677" u="1"/>
        <n v="1.7179208695341064E-2" u="1"/>
        <n v="0.32771929194139193" u="1"/>
        <n v="0.22569088008721394" u="1"/>
        <n v="0.42283322879514851" u="1"/>
        <n v="-0.16557377049180333" u="1"/>
        <n v="0.85479452054794525" u="1"/>
        <n v="0.58705979571779576" u="1"/>
        <n v="-0.41917808219178088" u="1"/>
        <n v="0.74119749616580677" u="1"/>
        <n v="0.13424834696545285" u="1"/>
        <n v="-0.52602739726027403" u="1"/>
        <n v="-0.19836065573770489" u="1"/>
        <n v="0.17899180111680102" u="1"/>
        <n v="0.16278604377657235" u="1"/>
        <n v="0.55039791159772911" u="1"/>
        <n v="0.14488553624645117" u="1"/>
        <n v="-0.90136986301369859" u="1"/>
        <n v="-0.23114754098360657" u="1"/>
        <n v="0.57260273972602738" u="1"/>
        <n v="0.77472527472527475" u="1"/>
        <n v="0.10248431813375536" u="1"/>
        <n v="0.35940754916883044" u="1"/>
        <n v="0.24456557160860426" u="1"/>
        <n v="0.72654892886660405" u="1"/>
        <n v="0.76520105968920049" u="1"/>
        <n v="0.11408681408681409" u="1"/>
        <n v="0.56197966941714994" u="1"/>
        <n v="0.94794520547945205" u="1"/>
        <n v="-0.46575342465753422" u="1"/>
        <n v="-6.3457330415754964E-2" u="1"/>
        <n v="0.36426652473641519" u="1"/>
        <n v="-0.61917808219178083" u="1"/>
        <n v="0.11516677506706963" u="1"/>
        <n v="0.54556375162435167" u="1"/>
        <n v="0.30136986301369861" u="1"/>
        <n v="-4.1580352866998904E-3" u="1"/>
        <n v="0.16090636696696692" u="1"/>
        <n v="0.7994505494505495" u="1"/>
        <n v="0.66575342465753429" u="1"/>
        <n v="5.580122327855086E-2" u="1"/>
        <n v="0.60175054704595188" u="1"/>
        <n v="0.15474150487576932" u="1"/>
        <n v="0.24710659898477155" u="1"/>
        <n v="0.56066010086264106" u="1"/>
        <n v="-0.71232876712328763" u="1"/>
        <n v="0.59518599562363239" u="1"/>
        <n v="0.10096179042136111" u="1"/>
        <n v="0.34794520547945207" u="1"/>
        <n v="0.50116295645088937" u="1"/>
        <n v="-3.0301826136373111E-2" u="1"/>
        <n v="0.22779143644943645" u="1"/>
        <n v="-8.2417582417582458E-2" u="1"/>
        <n v="0.82417582417582413" u="1"/>
        <n v="0.78872564740963702" u="1"/>
        <n v="0.22641509433962265" u="1"/>
        <n v="0.50331125827814571" u="1"/>
        <n v="0.57643253417220019" u="1"/>
        <n v="0.12514281899352186" u="1"/>
        <n v="0.75890410958904109" u="1"/>
        <n v="-1.0117117948717946E-2" u="1"/>
        <n v="4.7499511721611709E-2" u="1"/>
        <n v="0.239807204029304" u="1"/>
        <n v="-0.3928571428571429" u="1"/>
        <n v="0.19175539781599782" u="1"/>
        <n v="0.59602649006622521" u="1"/>
        <n v="0.10143051133080583" u="1"/>
        <n v="0.17091885546150265" u="1"/>
        <n v="2.1536507170286545E-2" u="1"/>
        <n v="0.60377358490566035" u="1"/>
        <n v="0.76446280991735538" u="1"/>
        <n v="-0.80547945205479454" u="1"/>
        <n v="9.4202808424908469E-2" u="1"/>
        <n v="0.39452054794520547" u="1"/>
        <n v="0.29749951172161171" u="1"/>
        <n v="-1.1915646688829495E-2" u="1"/>
        <n v="0.16360350076103503" u="1"/>
        <n v="0.49573154934883218" u="1"/>
        <n v="0.2225502301942523" u="1"/>
        <n v="0.852054794520548" u="1"/>
        <n v="0.29085648401639341" u="1"/>
        <n v="0.7814569536423841" u="1"/>
        <n v="0.26086065573770489" u="1"/>
        <n v="-0.44600159501196257" u="1"/>
        <n v="-0.52328767123287667" u="1"/>
        <n v="0.28228104730526571" u="1"/>
        <n v="0.26627449075630255" u="1"/>
        <n v="0.57180433779418549" u="1"/>
        <n v="-0.89863013698630134" u="1"/>
        <n v="0.74193548387096775" u="1"/>
        <n v="0.44109589041095892" u="1"/>
        <n v="-0.21643835616438356" u="1"/>
        <n v="-0.12786885245901636" u="1"/>
        <n v="0.25228759503267972" u="1"/>
        <n v="0.7142857142857143" u="1"/>
        <n v="0.56986301369863013" u="1"/>
        <n v="-0.27671232876712326" u="1"/>
        <n v="0.3925619834710744" u="1"/>
        <n v="-0.17307692307692313" u="1"/>
        <n v="0.13424657534246576" u="1"/>
        <n v="6.8591517202190255E-2" u="1"/>
        <n v="0.10549017703081232" u="1"/>
        <n v="-6.5628067317738625E-2" u="1"/>
        <n v="0.48069736303617866" u="1"/>
        <n v="0.41152263374485598" u="1"/>
        <n v="0.65843621399176955" u="1"/>
        <n v="0.9452054794520548" u="1"/>
        <n v="0.22108906322104294" u="1"/>
        <n v="-0.16065573770491803" u="1"/>
        <n v="0.10786650487576932" u="1"/>
        <n v="0.2058606368251038" u="1"/>
        <n v="-6.5870634192232047E-2" u="1"/>
        <n v="0.10606061818181822" u="1"/>
        <n v="-0.61643835616438358" u="1"/>
        <n v="0.18899453757438389" u="1"/>
        <n v="0.19063221042916478" u="1"/>
        <n v="-0.33791208791208793" u="1"/>
        <n v="-8.7782984789841589E-2" u="1"/>
        <n v="0.44730187710175789" u="1"/>
        <n v="0.33699113334551301" u="1"/>
        <n v="0.17909354747537398" u="1"/>
        <n v="0.86062202123424014" u="1"/>
        <n v="8.1016508179235336E-2" u="1"/>
        <n v="0.48767123287671232" u="1"/>
        <n v="0.11780821917808219" u="1"/>
        <n v="-0.32328767123287672" u="1"/>
        <n v="0.3427245487851488" u="1"/>
        <n v="0.3695862519250675" u="1"/>
        <n v="0.76208187524883875" u="1"/>
        <n v="-7.6712328767123306E-2" u="1"/>
        <n v="5.6458862819275257E-3" u="1"/>
        <n v="8.5012252489580109E-2" u="1"/>
        <n v="3.6787051832595896E-2" u="1"/>
        <n v="0.13327868852459013" u="1"/>
        <n v="-0.70958904109589049" u="1"/>
        <n v="0.15604397222518585" u="1"/>
        <n v="-9.466499570175424E-4" u="1"/>
        <n v="0.25550038333759262" u="1"/>
        <n v="0.76373626373626369" u="1"/>
        <n v="0.3767481682064352" u="1"/>
        <n v="0.21577868852459015" u="1"/>
        <n v="0.3156975156975157" u="1"/>
        <n v="0.12057998069089571" u="1"/>
        <n v="0.3650783522822717" u="1"/>
        <n v="-1.9867549668874163E-2" u="1"/>
        <n v="0.32404779576131126" u="1"/>
        <n v="0.75616438356164384" u="1"/>
        <n v="1.6408619937240077E-2" u="1"/>
        <n v="-0.36986301369863017" u="1"/>
        <n v="0.18082191780821918" u="1"/>
        <n v="0.24856557377049182" u="1"/>
        <n v="0.8847736625514403" u="1"/>
        <n v="0.18785568165958078" u="1"/>
        <n v="9.1837259314586861E-2" u="1"/>
        <n v="0.19410565053414763" u="1"/>
        <n v="0.13731661680378393" u="1"/>
        <n v="-0.80273972602739729" u="1"/>
        <n v="0.22981799148718673" u="1"/>
        <n v="0.19646200491050014" u="1"/>
        <n v="0.40041532071988928" u="1"/>
        <n v="3.7671460586080507E-2" u="1"/>
        <n v="0.36995846792801113" u="1"/>
        <n v="0.29508196721311475" u="1"/>
        <n v="-1.9408579949009241E-2" u="1"/>
        <n v="-0.41643835616438352" u="1"/>
        <n v="0.52843759955399805" u="1"/>
        <n v="-9.9999999999999978E-2" u="1"/>
        <n v="0.66255144032921809" u="1"/>
        <n v="-0.4157818147921824" u="1"/>
        <n v="0.78644127034234201" u="1"/>
        <n v="0.3098329483912074" u="1"/>
        <n v="-0.52054794520547953" u="1"/>
        <n v="-7.9814857299801756E-2" u="1"/>
        <n v="0.25205479452054796" u="1"/>
        <n v="0.18274638880698879" u="1"/>
        <n v="0.26974686066393755" u="1"/>
        <n v="-0.11639344262295082" u="1"/>
        <n v="0.58762725237541191" u="1"/>
        <n v="0.14857764860956812" u="1"/>
        <n v="0.48924780802953394" u="1"/>
        <n v="0.56712328767123288" u="1"/>
        <n v="-0.19874884775921531" u="1"/>
        <n v="9.5032660690943072E-2" u="1"/>
        <n v="0.23705995128205126" u="1"/>
        <n v="6.7352109006638683E-3" u="1"/>
        <n v="0.56521739130434778" u="1"/>
        <n v="3.0578695990225446E-2" u="1"/>
        <n v="0.12675498630489301" u="1"/>
        <n v="-0.46301369863013697" u="1"/>
        <n v="0.22739726027397261" u="1"/>
        <n v="-0.30769230769230771" u="1"/>
        <n v="5.4794520547945202E-2" u="1"/>
        <n v="0.65094339622641506" u="1"/>
        <n v="0.73720994586794586" u="1"/>
        <n v="-0.14520547945205475" u="1"/>
        <n v="3.7236300225282681E-2" u="1"/>
        <n v="0.3216585081967982" u="1"/>
        <n v="-4.3763676148796948E-3" u="1"/>
        <n v="0.20275573729524177" u="1"/>
        <n v="0.93442622950819676" u="1"/>
        <n v="0.56382978723404253" u="1"/>
        <n v="0.19639640245700241" u="1"/>
        <n v="0.6785714285714286" u="1"/>
        <n v="0.35243585662996435" u="1"/>
        <n v="0.41304347826086957" u="1"/>
        <n v="0.40136608688524589" u="1"/>
        <n v="0.37821458427518428" u="1"/>
        <n v="0.33263387643194453" u="1"/>
        <n v="-0.33916849015317285" u="1"/>
        <n v="0.72357568803409644" u="1"/>
        <n v="0.96747967479674801" u="1"/>
        <n v="0.88888888888888884" u="1"/>
        <n v="0.3493477749327375" u="1"/>
        <n v="0.29347826086956524" u="1"/>
        <n v="-0.12328767123287676" u="1"/>
        <n v="0.34520547945205482" u="1"/>
        <n v="0.12061278147116083" u="1"/>
        <n v="0.1875717504018517" u="1"/>
        <n v="8.2191780821917804E-2" u="1"/>
        <n v="0.70329670329670335" u="1"/>
        <n v="0.79338842975206614" u="1"/>
        <n v="0.30255417433744275" u="1"/>
        <n v="1.4168697786277384E-2" u="1"/>
        <n v="0.10265817154243595" u="1"/>
        <n v="0.82644628099173556" u="1"/>
        <n v="0.28678825819265141" u="1"/>
        <n v="0.16806283936816713" u="1"/>
        <n v="0.74087591240875916" u="1"/>
        <n v="0.70973980307995777" u="1"/>
        <n v="0.90243902439024393" u="1"/>
        <n v="0.56682126926196263" u="1"/>
        <n v="2.7955243604680824E-2" u="1"/>
        <n v="-0.33241758241758246" u="1"/>
        <n v="-7.1846729809761922E-2" u="1"/>
        <n v="0.32470653076713085" u="1"/>
        <n v="0.4848125893736272" u="1"/>
        <n v="0.66666666666666663" u="1"/>
        <n v="5.4901974117647079E-2" u="1"/>
        <n v="0.5647013677077114" u="1"/>
        <n v="0.14069907524172243" u="1"/>
        <n v="0.23392936629589145" u="1"/>
        <n v="5.748633100965217E-2" u="1"/>
        <n v="0.20938245155832891" u="1"/>
        <n v="0.2477982886845761" u="1"/>
        <n v="0.17924528301886791" u="1"/>
        <n v="0.68878171924762244" u="1"/>
        <n v="-0.19178082191780821" u="1"/>
        <n v="0.39711324006488236" u="1"/>
        <n v="9.3276042271302484E-2" u="1"/>
        <n v="0.95652173913043481" u="1"/>
        <n v="0.29767949767949764" u="1"/>
        <n v="0.26090834672131152" u="1"/>
        <n v="0.38433951743714512" u="1"/>
        <n v="0.14288834894894897" u="1"/>
        <n v="-0.27789934354485779" u="1"/>
        <n v="0.58942664243298604" u="1"/>
        <n v="0.15329671947793311" u="1"/>
        <n v="5.0603866540728903E-2" u="1"/>
        <n v="0.2411505741784038" u="1"/>
        <n v="0.45754716981132076" u="1"/>
        <n v="0.56953642384105962" u="1"/>
        <n v="0.71739130434782605" u="1"/>
        <n v="0.62884171665897559" u="1"/>
        <n v="0.27711273729508201" u="1"/>
        <n v="0.56792801107521917" u="1"/>
        <n v="7.6132999047618943E-2" u="1"/>
        <n v="-2.3765878423954834E-2" u="1"/>
        <n v="2.377912425718387E-3" u="1"/>
        <n v="0.6263535315195754" u="1"/>
        <n v="-0.1428571428571429" u="1"/>
        <n v="0.66225165562913912" u="1"/>
        <n v="-6.438356164383563E-2" u="1"/>
        <n v="0.4891304347826087" u="1"/>
        <n v="0.6872173511767421" u="1"/>
        <n v="0.26425225472202218" u="1"/>
        <n v="-0.26477024070021882" u="1"/>
        <n v="0.22650274557377048" u="1"/>
        <n v="0.7701014010612961" u="1"/>
        <n v="0.75496688741721851" u="1"/>
        <n v="-0.27747252747252749" u="1"/>
        <n v="0.34372366697245982" u="1"/>
        <n v="1.5536866526498994E-2" u="1"/>
        <n v="0.22602459016393439" u="1"/>
        <n v="0.89300411522633749" u="1"/>
        <n v="0.14926880803884368" u="1"/>
        <n v="0.26178522600732601" u="1"/>
        <n v="0.31702573240712784" u="1"/>
        <n v="4.5950897175173755E-2" u="1"/>
        <n v="0.29849850455910454" u="1"/>
        <n v="0.22483661464052285" u="1"/>
        <n v="0.61813186813186816" u="1"/>
        <n v="0.45306877832804104" u="1"/>
        <n v="-5.7534246575342451E-2" u="1"/>
        <n v="0.15009386957978454" u="1"/>
        <n v="0.28192597164702132" u="1"/>
        <n v="0.2367797272494947" u="1"/>
        <n v="-7.6586971427327621E-2" u="1"/>
        <n v="-6.3878602319722089E-2" u="1"/>
        <n v="0.43326679813002122" u="1"/>
        <n v="0.51580404795552237" u="1"/>
        <n v="0.20828672441314555" u="1"/>
        <n v="-0.33061697962734726" u="1"/>
        <n v="0.22271991877861996" u="1"/>
        <n v="0.16998837103842579" u="1"/>
        <n v="0.12264150943396226" u="1"/>
        <n v="0.22806415796645158" u="1"/>
        <n v="0.6925996280660196" u="1"/>
        <n v="0.24733846571933682" u="1"/>
        <n v="-0.19600159501196257" u="1"/>
        <n v="0.26660706611404317" u="1"/>
        <n v="-9.8360655737704805E-3" u="1"/>
        <n v="0.17021212535338481" u="1"/>
        <n v="7.9346386181139095E-2" u="1"/>
        <n v="-5.1094890510948954E-2" u="1"/>
        <n v="1.8363856416760527E-2" u="1"/>
        <n v="0.1603111352543749" u="1"/>
        <n v="-8.7671232876712302E-2" u="1"/>
        <n v="0.29130476859748622" u="1"/>
        <n v="2.3879951665608967E-2" u="1"/>
        <n v="0.24287880193438782" u="1"/>
        <n v="0.25189540578898229" u="1"/>
        <n v="0.69811320754716977" u="1"/>
        <n v="0.15041014515536499" u="1"/>
        <n v="0.66758241758241754" u="1"/>
        <n v="0.2715027883994664" u="1"/>
        <n v="0.12002497124924782" u="1"/>
        <n v="0.13107805399267392" u="1"/>
        <n v="0.27636184178403755" u="1"/>
        <n v="-1.3462181545106144E-2" u="1"/>
        <n v="0.20022867589519133" u="1"/>
        <n v="0.71311475409836067" u="1"/>
        <n v="0.90979689366786143" u="1"/>
        <n v="-0.58791208791208793" u="1"/>
        <n v="0.32635334387754944" u="1"/>
        <n v="0.29086505296992604" u="1"/>
        <n v="-0.3553422543526219" u="1"/>
        <n v="7.7158462157193242E-2" u="1"/>
        <n v="0.52898708199342559" u="1"/>
        <n v="4.0118993538229564E-3" u="1"/>
        <n v="0.4120540455598003" u="1"/>
        <n v="0.27039848386730286" u="1"/>
        <n v="0.3066885127491128" u="1"/>
        <n v="0.45954733882251636" u="1"/>
        <n v="0.79295130745927001" u="1"/>
        <n v="0.67139491896034809" u="1"/>
        <n v="8.5737704918032787E-2" u="1"/>
        <n v="9.355190478014408E-2" u="1"/>
        <n v="0.39225206536178048" u="1"/>
        <n v="0.89711934156378603" u="1"/>
        <n v="0.26755976844262286" u="1"/>
        <n v="0.80222786065029861" u="1"/>
        <n v="0.10213114754098362" u="1"/>
        <n v="0.55629139072847678" u="1"/>
        <n v="-1.5611623443223421E-2" u="1"/>
        <n v="0.29126399126399127" u="1"/>
        <n v="0.27966147966147958" u="1"/>
        <n v="-0.20568927789934355" u="1"/>
        <n v="0.76339802980095128" u="1"/>
        <n v="3.0700352512864293E-2" u="1"/>
        <n v="0.13795182249446969" u="1"/>
        <n v="0.47364385757215832" u="1"/>
        <n v="0.31666667999999998" u="1"/>
        <n v="8.4946994847289403E-2" u="1"/>
        <n v="0.13387933993993995" u="1"/>
        <n v="0.11852459016393446" u="1"/>
        <n v="0.64900662251655628" u="1"/>
        <n v="0.676056338028169" u="1"/>
        <n v="6.4469415693692245E-2" u="1"/>
        <n v="0.28680595218734761" u="1"/>
        <n v="0.38224045049180322" u="1"/>
        <n v="0.721041921041921" u="1"/>
        <n v="1.8440691355311234E-2" u="1"/>
        <n v="0.27377813822769514" u="1"/>
        <n v="-4.7649946660314191E-2" u="1"/>
        <n v="0.55769230769230771" u="1"/>
        <n v="0.11994536852459015" u="1"/>
        <n v="0.85302067131038517" u="1"/>
        <n v="0.74172185430463577" u="1"/>
        <n v="0.17715846215719322" u="1"/>
        <n v="0.77610294274172786" u="1"/>
        <n v="0.11946721311475406" u="1"/>
        <n v="0.24549306187443132" u="1"/>
        <n v="0.36253274646104716" u="1"/>
        <n v="0.27307777438702774" u="1"/>
        <n v="0.88842975206611574" u="1"/>
        <n v="-0.30039719940756704" u="1"/>
        <n v="0.17105263157894737" u="1"/>
        <n v="0.2099453474030949" u="1"/>
        <n v="0.77837706353164138" u="1"/>
        <n v="0.92148760330578516" u="1"/>
        <n v="0.23949238578680204" u="1"/>
        <n v="0.24349799201877931" u="1"/>
        <n v="0.25327579418900792" u="1"/>
        <n v="0.74576719576719575" u="1"/>
        <n v="3.4672370444547296E-3" u="1"/>
        <n v="0.27870925962441317" u="1"/>
        <n v="0.28048048654108648" u="1"/>
        <n v="0.12267756229508198" u="1"/>
        <n v="6.8888869841269851E-2" u="1"/>
        <n v="2.9225747350866138E-3" u="1"/>
        <n v="0.2566220581449008" u="1"/>
        <n v="-0.17505470459518602" u="1"/>
        <n v="0.42188139602182073" u="1"/>
        <n v="9.1018306667743909E-2" u="1"/>
        <n v="-0.27197802197802201" u="1"/>
        <n v="0.76986301369863008" u="1"/>
        <n v="6.1028745571392706E-2" u="1"/>
        <n v="0.6292134831460674" u="1"/>
        <n v="0.4764946825552826" u="1"/>
        <n v="0.36292134831460671" u="1"/>
        <n v="0.18784530386740331" u="1"/>
        <n v="6.3983028205128245E-2" u="1"/>
        <n v="0.6071428571428571" u="1"/>
        <n v="0.45454545454545453" u="1"/>
        <n v="0.2218995357285467" u="1"/>
        <n v="-3.1391150755109565E-2" u="1"/>
        <n v="-0.81643835616438354" u="1"/>
        <n v="0.66513787379587375" u="1"/>
        <n v="0.18507016633924644" u="1"/>
        <n v="0.18094923384556039" u="1"/>
        <n v="0.47107438016528924" u="1"/>
        <n v="0.34045134095796981" u="1"/>
        <n v="7.2683802600079228E-2" u="1"/>
        <n v="0.12442258864468869" u="1"/>
        <n v="0.16634322678843227" u="1"/>
        <n v="9.784331349275055E-2" u="1"/>
        <n v="-0.16849015317286653" u="1"/>
        <n v="0.57029806467027711" u="1"/>
        <n v="-0.32512247413284168" u="1"/>
        <n v="0.27035320735549406" u="1"/>
        <n v="0.14691385847043681" u="1"/>
        <n v="0.86301369863013699" u="1"/>
        <n v="0.21063414225352117" u="1"/>
        <n v="-0.53424657534246578" u="1"/>
        <n v="0.10547068784598079" u="1"/>
        <n v="0.13207547169811321" u="1"/>
        <n v="-0.55219780219780223" u="1"/>
        <n v="0.24102877616014562" u="1"/>
        <n v="0.10967638737125218" u="1"/>
        <n v="0.24153954493622876" u="1"/>
        <n v="-3.2786885245901676E-2" u="1"/>
        <n v="-0.90958904109589045" u="1"/>
        <n v="0.79057812643325109" u="1"/>
        <n v="0.58082191780821912" u="1"/>
        <n v="4.1830078692810413E-2" u="1"/>
        <n v="-1.2328767123287676E-2" u="1"/>
        <n v="0.35401103922454891" u="1"/>
        <n v="-4.0983606557377095E-2" u="1"/>
        <n v="0.14953317154243595" u="1"/>
        <n v="-0.23351648351648346" u="1"/>
        <n v="0.20274006041508275" u="1"/>
        <n v="6.0656779528114879E-2" u="1"/>
        <n v="0.12833080124542118" u="1"/>
        <n v="0.33249429409792181" u="1"/>
        <n v="0.95616438356164379" u="1"/>
        <n v="0.33420905902652909" u="1"/>
        <n v="-0.26721311475409837" u="1"/>
        <n v="0.19824642362713429" u="1"/>
        <n v="0.18301799723119516" u="1"/>
        <n v="-0.62739726027397258" u="1"/>
        <n v="-4.9180327868852514E-2" u="1"/>
        <n v="0.66060236060236055" u="1"/>
        <n v="0.76962004260091577" u="1"/>
        <n v="0.14533083679185044" u="1"/>
        <n v="0.24963145569205569" u="1"/>
        <n v="8.1898609593474392E-2" u="1"/>
        <n v="0.23552694566098442" u="1"/>
        <n v="0.2810566774647888" u="1"/>
        <n v="-0.17540983606557381" u="1"/>
        <n v="0.49315068493150682" u="1"/>
        <n v="0.20655994702971447" u="1"/>
        <n v="0.63576158940397354" u="1"/>
        <n v="0.62295081967213117" u="1"/>
        <n v="0.67397260273972603" u="1"/>
        <n v="-0.20819672131147537" u="1"/>
        <n v="-0.32876712328767121" u="1"/>
        <n v="0.27324597324597322" u="1"/>
        <n v="0.78317329648613287" u="1"/>
        <n v="5.9649482564102518E-2" u="1"/>
        <n v="-0.27017741918778682" u="1"/>
        <n v="2.7522617613768285E-2" u="1"/>
        <n v="0.72847682119205293" u="1"/>
        <n v="-0.1053422543526219" u="1"/>
        <n v="0.24261140063596742" u="1"/>
        <n v="0.45495833598884317" u="1"/>
        <n v="0.6853276353276353" u="1"/>
        <n v="0.24861326475409834" u="1"/>
        <n v="-0.24098360655737705" u="1"/>
        <n v="0.52197802197802201" u="1"/>
        <n v="-3.6939027042702799E-3" u="1"/>
        <n v="-0.72054794520547949" u="1"/>
        <n v="0.13945354412440625" u="1"/>
        <n v="0.26797385620915032" u="1"/>
        <n v="-1.7229930711536556E-2" u="1"/>
        <n v="0.78491301124405966" u="1"/>
        <n v="0.82119205298013243" u="1"/>
        <n v="0.54239108792609114" u="1"/>
        <n v="-0.13129102844638951" u="1"/>
        <n v="0.1480327868852459" u="1"/>
        <n v="0.23656449044585992" u="1"/>
        <n v="0.14000001941747575" u="1"/>
        <n v="0.76712328767123283" u="1"/>
        <n v="-0.37534246575342467" u="1"/>
        <n v="0.55416643076209127" u="1"/>
        <n v="3.2879001750337089E-2" u="1"/>
        <n v="9.2422294784687997E-2" u="1"/>
        <n v="0.31544664795081967" u="1"/>
        <n v="0.54670329670329665" u="1"/>
        <n v="-0.12253829321663023" u="1"/>
        <n v="-0.48351648351648346" u="1"/>
        <n v="4.2970258619695834E-2" u="1"/>
        <n v="-0.81369863013698629" u="1"/>
        <n v="0.17964593976520937" u="1"/>
        <n v="0.48651685393258431" u="1"/>
        <n v="0.56795937093563365" u="1"/>
        <n v="-0.29490269391306145" u="1"/>
        <n v="0.50943396226415094" u="1"/>
        <n v="-2.9508196721311442E-2" u="1"/>
        <n v="0.80682643134430476" u="1"/>
        <n v="0.57889170548736613" u="1"/>
        <n v="0.92391304347826086" u="1"/>
        <n v="0.86027397260273974" u="1"/>
        <n v="0.17763797556741467" u="1"/>
        <n v="-0.42191780821917813" u="1"/>
        <n v="0.45847666453726454" u="1"/>
        <n v="-0.53150684931506853" u="1"/>
        <n v="0.25753424657534246" u="1"/>
        <n v="0.11763285204797536" u="1"/>
        <n v="0.59905660377358494" u="1"/>
        <n v="0.24584540985915493" u="1"/>
        <n v="0.13497888456729235" u="1"/>
        <n v="0.5161290322580645" u="1"/>
        <n v="-5.0845408821589944E-2" u="1"/>
        <n v="0.47246691036128147" u="1"/>
        <n v="0.26373069079920275" u="1"/>
        <n v="0.40329218106995884" u="1"/>
        <n v="0.64197530864197527" u="1"/>
        <n v="-0.90684931506849309" u="1"/>
        <n v="0.62910183775983775" u="1"/>
        <n v="-7.3698652014652088E-3" u="1"/>
        <n v="0.18384809374838829" u="1"/>
        <n v="0.47401938163359481" u="1"/>
        <n v="0.57808219178082187" u="1"/>
        <n v="-2.5483089981010232E-2" u="1"/>
        <n v="0.58053089482793796" u="1"/>
        <n v="0.34736555342615338" u="1"/>
        <n v="6.1905485912957525E-3" u="1"/>
        <n v="0.3614932962436721" u="1"/>
        <n v="0.95342465753424654" u="1"/>
        <n v="-0.46849315068493147" u="1"/>
        <n v="9.3881180399574604E-2" u="1"/>
        <n v="0.23013698630136986" u="1"/>
        <n v="0.6001628001628001" u="1"/>
        <n v="-0.62465753424657533" u="1"/>
        <n v="0.95041322314049592" u="1"/>
        <n v="-0.147945205479452" u="1"/>
        <n v="0.2471743994084743" u="1"/>
        <n v="0.75132593580416596" u="1"/>
        <n v="0.30410958904109592" u="1"/>
        <n v="0.78997806662676262" u="1"/>
        <n v="0.12138917898668877" u="1"/>
        <n v="0.29218106995884774" u="1"/>
        <n v="0.36135579925017042" u="1"/>
        <n v="0.54895321922624063" u="1"/>
        <n v="0.98347107438016534" u="1"/>
        <n v="-5.4347826086956763E-3" u="1"/>
        <n v="0.19862603264976497" u="1"/>
        <n v="0.4801798052845766" u="1"/>
        <n v="0.67123287671232879" u="1"/>
        <n v="1.8415470791292132E-2" u="1"/>
        <n v="-1.0460814714381428E-3" u="1"/>
        <n v="0.28855563809340462" u="1"/>
        <n v="0.62488807488807485" u="1"/>
        <n v="0.48076923076923078" u="1"/>
        <n v="0.26290983606557372" u="1"/>
        <n v="0.78970924419855115" u="1"/>
        <n v="-0.71780821917808213" u="1"/>
        <n v="0.35068493150684932" u="1"/>
        <n v="-0.20985915492957752" u="1"/>
        <n v="1.4905145541186826E-2" u="1"/>
        <n v="0.15954135954135951" u="1"/>
        <n v="0.25409836065573771" u="1"/>
        <n v="0.14168569254185692" u="1"/>
        <n v="0.22301740588143759" u="1"/>
        <n v="0.24062244668304678" u="1"/>
        <n v="0.86831275720164613" u="1"/>
        <n v="-0.23076923076923073" u="1"/>
        <n v="-0.17049180327868851" u="1"/>
        <n v="0.46666667272727269" u="1"/>
        <n v="0.36906869417346544" u="1"/>
        <n v="0.50413223140495866" u="1"/>
        <n v="0.73447757108662381" u="1"/>
        <n v="0.76438356164383559" u="1"/>
        <n v="0.2510916664730618" u="1"/>
        <n v="0.10449825468736085" u="1"/>
        <n v="0.25522795522795527" u="1"/>
        <n v="0.6496133496133496" u="1"/>
        <n v="0.80794701986754969" u="1"/>
        <n v="0.19234677857305155" u="1"/>
        <n v="0.53719008264462809" u="1"/>
        <n v="0.82614493628437291" u="1"/>
        <n v="-0.10065645514223198" u="1"/>
        <n v="4.1593598700228163E-2" u="1"/>
        <n v="6.1807277456714549E-2" u="1"/>
        <n v="0.57024793388429751" u="1"/>
        <n v="-0.45329670329670335" u="1"/>
        <n v="0.38524590163934425" u="1"/>
        <n v="0.31020977724784626" u="1"/>
        <n v="0.13668876113933004" u="1"/>
        <n v="0.20381269428246174" u="1"/>
        <n v="-0.81095890410958904" u="1"/>
        <n v="0.39726027397260272" u="1"/>
        <n v="-0.19452054794520546" u="1"/>
        <n v="0.13453551133752106" u="1"/>
        <n v="-3.9089559732307766E-2" u="1"/>
        <n v="0.21395747053201658" u="1"/>
        <n v="0.26683047548847549" u="1"/>
        <n v="0.44705883686274506" u="1"/>
        <n v="0.7657345416018575" u="1"/>
        <n v="0.14311475409836061" u="1"/>
        <n v="0.22961694673199506" u="1"/>
        <n v="-2.1978021978022011E-2" u="1"/>
        <n v="0.8575342465753425" u="1"/>
        <n v="4.7135635710591539E-2" u="1"/>
        <n v="0.106763286830584" u="1"/>
        <n v="-0.52876712328767117" u="1"/>
        <n v="-0.17699530516431927" u="1"/>
        <n v="0.35" u="1"/>
        <n v="0.49417094080450863" u="1"/>
        <n v="0.53747115828334102" u="1"/>
        <n v="0.17432671728926896" u="1"/>
        <n v="-0.90410958904109595" u="1"/>
        <n v="0.44383561643835617" u="1"/>
        <n v="0.75975281718330057" u="1"/>
        <n v="0.19198059834157344" u="1"/>
        <n v="0.10684931506849316" u="1"/>
        <n v="0.10635277926739917" u="1"/>
        <n v="0.57534246575342463" u="1"/>
        <n v="-0.27945205479452051" u="1"/>
        <n v="-6.5753424657534199E-2" u="1"/>
        <n v="2.0416944238861312E-3" u="1"/>
        <n v="0.42595625081967214" u="1"/>
        <n v="0.65676049838486394" u="1"/>
        <n v="0.19750552523628884" u="1"/>
        <n v="0.59584679280110753" u="1"/>
        <n v="0.1800546114754098" u="1"/>
        <n v="-8.5339168490153217E-2" u="1"/>
        <n v="0.11764707215686276" u="1"/>
        <n v="0.44045864651924649" u="1"/>
        <n v="0.53972323972323966" u="1"/>
        <n v="-0.62191780821917808" u="1"/>
        <n v="0.65422242731887403" u="1"/>
        <n v="0.55660377358490565" u="1"/>
        <n v="0.49041095890410957" u="1"/>
        <n v="-0.24109589041095891" u="1"/>
        <n v="0.87242798353909468" u="1"/>
        <n v="-0.10491803278688527" u="1"/>
        <n v="-3.4431174639140028E-2" u="1"/>
        <n v="0.24386314113032859" u="1"/>
        <n v="0.66849315068493154" u="1"/>
        <n v="-0.32602739726027397" u="1"/>
        <n v="0.26886792452830188" u="1"/>
        <n v="4.3749427433893762E-2" u="1"/>
        <n v="0.2453594580765639" u="1"/>
        <n v="0.45054945054945056" u="1"/>
        <n v="0.83083977196512415" u="1"/>
        <n v="8.8834304483741633E-2" u="1"/>
        <n v="0.38339249769073619" u="1"/>
        <n v="8.3532596521578961E-2" u="1"/>
        <n v="-0.13556203457240212" u="1"/>
        <n v="0.18110084100113555" u="1"/>
        <n v="0.2291136444950399" u="1"/>
        <n v="0.40740740740740738" u="1"/>
        <n v="0.47658213669873012" u="1"/>
        <n v="0.76074119844043953" u="1"/>
        <n v="0.12733022434950902" u="1"/>
        <n v="0.73278794489453714" u="1"/>
        <n v="-0.37260273972602742" u="1"/>
        <n v="0.58917378917378915" u="1"/>
        <n v="0.16011710959541059" u="1"/>
        <n v="-8.9041095890410982E-2" u="1"/>
        <n v="0.10332952815829521" u="1"/>
        <n v="0.33671853671853669" u="1"/>
        <n v="0.85045836595420921" u="1"/>
        <n v="-0.42307692307692313" u="1"/>
        <n v="0.13071896758169937" u="1"/>
        <n v="0.27364536393838723" u="1"/>
        <n v="8.270688714897223E-3" u="1"/>
        <n v="2.8521703275391608E-2" u="1"/>
        <n v="0.90934065934065933" u="1"/>
        <n v="2.579660476302148E-2" u="1"/>
        <n v="0.71182986106220181" u="1"/>
        <n v="0.36243441385840086" u="1"/>
        <n v="0.65392559491684843" u="1"/>
        <n v="0.23161343767403775" u="1"/>
        <n v="0.29629629629629628" u="1"/>
        <n v="0.36547102558761896" u="1"/>
        <n v="0.12527116656432846" u="1"/>
        <n v="0.20601094229508199" u="1"/>
        <n v="8.7059787059787119E-2" u="1"/>
        <n v="0.82950028212187388" u="1"/>
        <n v="0.13337750286118433" u="1"/>
        <n v="0.2055327868852459" u="1"/>
        <n v="0.23879782754098355" u="1"/>
        <n v="0.20547945205479451" u="1"/>
        <n v="-0.10124450567390297" u="1"/>
        <n v="0.23490194173669465" u="1"/>
        <n v="4.9315068493150684E-2" u="1"/>
        <n v="0.25479452054794521" u="1"/>
        <n v="-9.6153846153846145E-2" u="1"/>
        <n v="0.74817518248175185" u="1"/>
        <n v="0.28541584354351024" u="1"/>
        <n v="0.57412053933495533" u="1"/>
        <n v="0.52204733882251642" u="1"/>
        <n v="0.19672131147540983" u="1"/>
        <n v="0.80854219828953855" u="1"/>
        <n v="1.157819612084332E-2" u="1"/>
        <n v="0.41037735849056606" u="1"/>
        <n v="0.20474835360417842" u="1"/>
        <n v="0.22950819672131148" u="1"/>
        <n v="4.1300480732013756E-2" u="1"/>
        <n v="0.10718955581699341" u="1"/>
        <n v="0.54269662921348316" u="1"/>
        <n v="-0.44780219780219777" u="1"/>
        <n v="0.28119028119028117" u="1"/>
        <n v="0.80385319051179716" u="1"/>
        <n v="0.76628876489571884" u="1"/>
        <n v="0.40076287510137876" u="1"/>
        <n v="0.36842105263157893" u="1"/>
        <n v="0.30758983318185257" u="1"/>
        <n v="-0.11232876712328765" u="1"/>
        <n v="0.83553460764587528" u="1"/>
        <n v="0.10793907216117216" u="1"/>
        <n v="0.31309644670050762" u="1"/>
        <n v="0.19839138293403014" u="1"/>
        <n v="0.28263959390862942" u="1"/>
        <n v="0.95879120879120883" u="1"/>
        <n v="7.1232876712328766E-2" u="1"/>
        <n v="0.30967383039939311" u="1"/>
        <n v="0.35149280210867795" u="1"/>
        <n v="9.1886073396626577E-2" u="1"/>
        <n v="0.3439115485704265" u="1"/>
        <n v="0.607943395894329" u="1"/>
        <n v="8.3989241283095373E-2" u="1"/>
        <n v="0.65432098765432101" u="1"/>
        <n v="-2.0456019359636923E-2" u="1"/>
        <n v="0.50400895400895396" u="1"/>
        <n v="9.9490284032931142E-2" u="1"/>
        <n v="0.4307631809493469" u="1"/>
        <n v="0.50222053416361412" u="1"/>
        <n v="3.3364378790849969E-3" u="1"/>
        <n v="0.14313324454591581" u="1"/>
        <n v="0.24055188285218287" u="1"/>
        <n v="0.42244062850122854" u="1"/>
        <n v="0.59917355371900827" u="1"/>
        <n v="-0.16986301369863011" u="1"/>
        <n v="0.29782202762819754" u="1"/>
        <n v="0.74835269497165857" u="1"/>
        <n v="-0.2005494505494505" u="1"/>
        <n v="0.63223140495867769" u="1"/>
        <n v="0.48671575299699488" u="1"/>
        <n v="0.27185048454083982" u="1"/>
        <n v="0.3153005131147541" u="1"/>
        <n v="0.36339579812000078" u="1"/>
        <n v="0.66528925619834711" u="1"/>
        <n v="0.89344262295081966" u="1"/>
        <n v="0.55702976568776574" u="1"/>
        <n v="0.52873422873422871" u="1"/>
        <n v="6.7737389549901383E-2" u="1"/>
        <n v="1.8946186423514089E-2" u="1"/>
        <n v="0.29258691565716222" u="1"/>
        <n v="0.3293335463989413" u="1"/>
        <n v="-5.2516411378555783E-2" u="1"/>
        <n v="5.6299481053169398E-2" u="1"/>
        <n v="0.24326091901728852" u="1"/>
        <n v="0.51644736842105265" u="1"/>
        <n v="0.30953156620092148" u="1"/>
        <n v="0.84890109890109888" u="1"/>
        <n v="0.29245283018867924" u="1"/>
        <n v="8.2569303210291212E-2" u="1"/>
        <n v="0.19939650778688522" u="1"/>
        <n v="0.69339622641509435" u="1"/>
        <n v="0.21398690905695611" u="1"/>
        <n v="0.34125684393442623" u="1"/>
        <n v="0.73150433025411643" u="1"/>
        <n v="0.22636639174778717" u="1"/>
        <n v="0.31870051870051863" u="1"/>
        <n v="0.33030303030303032" u="1"/>
        <n v="-1.812682681305311E-2" u="1"/>
        <n v="0.78164503738785052" u="1"/>
        <n v="0.9050799125357859" u="1"/>
        <n v="0.69736842105263153" u="1"/>
        <n v="0.87362637362637363" u="1"/>
        <n v="0.13006624458303861" u="1"/>
        <n v="0.40683061442622948" u="1"/>
        <n v="-5.8898522638447193E-2" u="1"/>
        <n v="0.20879651777240371" u="1"/>
        <n v="0.45359478457516345" u="1"/>
        <n v="-5.2054794520547953E-2" u="1"/>
        <n v="0.41680969257725392" u="1"/>
        <n v="0.1988955276733938" u="1"/>
        <n v="0.65217391304347827" u="1"/>
        <n v="6.5683052321127589E-2" u="1"/>
        <n v="0.66667793782827256" u="1"/>
        <n v="0.67624195633206119" u="1"/>
        <n v="0.89835164835164838" u="1"/>
        <n v="0.20261437908496732" u="1"/>
        <n v="0.18877036168498162" u="1"/>
        <n v="0.14807056281924769" u="1"/>
        <n v="0.24466849075798142" u="1"/>
        <n v="0.30599031393442627" u="1"/>
        <n v="0.32222478644688646" u="1"/>
        <n v="0.45652173913043476" u="1"/>
        <n v="0.23879663330300283" u="1"/>
        <n v="-3.8461538461538436E-2" u="1"/>
        <n v="-7.5122474132841677E-2" u="1"/>
        <n v="9.8469937567029264E-2" u="1"/>
        <n v="0.83507457597876578" u="1"/>
        <n v="0.20352939271708681" u="1"/>
        <n v="0.81724642634904776" u="1"/>
        <n v="0.11294436122746132" u="1"/>
        <n v="0.45144459406377579" u="1"/>
        <n v="0.32219470450819676" u="1"/>
        <n v="0.13446886957978454" u="1"/>
        <n v="0.1148633801899801" u="1"/>
        <n v="0.18299180327868847" u="1"/>
        <n v="0.73653442999336427" u="1"/>
        <n v="0.33695652173913043" u="1"/>
        <n v="0.21406181662701729" u="1"/>
        <n v="0.84830369017830975" u="1"/>
        <n v="0.43396226415094341" u="1"/>
        <n v="0.71098698473788979" u="1"/>
        <n v="0.12344262295081965" u="1"/>
        <n v="0.80851063829787229" u="1"/>
        <n v="0.23724062457403716" u="1"/>
        <n v="0.6124468387524884" u="1"/>
        <n v="0.42996646809701788" u="1"/>
        <n v="0.1260475640798564" u="1"/>
        <n v="0.24172949462243426" u="1"/>
        <n v="0.78846153846153844" u="1"/>
        <n v="-6.7213114754098413E-2" u="1"/>
        <n v="-0.37199124726477029" u="1"/>
        <n v="1.3815820922450373E-2" u="1"/>
        <n v="0.28135569401660826" u="1"/>
        <n v="0.41016448789899818" u="1"/>
        <n v="0.15292645853423237" u="1"/>
        <n v="0.80931708733580598" u="1"/>
        <n v="0.18081329474157326" u="1"/>
        <n v="0.12290446051749149" u="1"/>
        <n v="0.28543274297875321" u="1"/>
        <n v="0.40285620420516083" u="1"/>
        <n v="0.14432483820910269" u="1"/>
        <n v="0.30904476234425471" u="1"/>
        <n v="8.333333333333337E-2" u="1"/>
        <n v="0.19307187637721757" u="1"/>
        <n v="0.87123287671232874" u="1"/>
        <n v="0.19863525450718589" u="1"/>
        <n v="0.80434782608695654" u="1"/>
        <n v="0.81318681318681318" u="1"/>
        <n v="0.24638706523337661" u="1"/>
        <n v="0.54098360655737709" u="1"/>
        <n v="-9.5864541422456817E-3" u="1"/>
        <n v="-0.35886214442013131" u="1"/>
        <n v="-0.1816901408450704" u="1"/>
        <n v="0.31712547693990867" u="1"/>
        <n v="0.12216557650221671" u="1"/>
        <n v="0.81772831439683191" u="1"/>
        <n v="0.34058806741874836" u="1"/>
        <n v="0.45879095523765578" u="1"/>
        <n v="0.67213114754098358" u="1"/>
        <n v="0.78818098510026879" u="1"/>
        <n v="0.10783688653064882" u="1"/>
        <n v="0.41333261745121525" u="1"/>
        <n v="0.39787724965389937" u="1"/>
        <n v="-0.13686094403006743" u="1"/>
        <n v="0.10003885847043681" u="1"/>
        <n v="0.12139511186487928" u="1"/>
        <n v="0.36742039686202121" u="1"/>
        <n v="0.39203981702600399" u="1"/>
        <n v="-0.35229759299781183" u="1"/>
        <n v="0.80327868852459017" u="1"/>
        <n v="0.16817160271424991" u="1"/>
        <n v="0.96438356164383565" u="1"/>
        <n v="0.83791208791208793" u="1"/>
        <n v="0.21189542774465331" u="1"/>
        <n v="0.5625" u="1"/>
        <n v="0.37223783682798417" u="1"/>
        <n v="-0.63561643835616444" u="1"/>
        <n v="0.31228501228501226" u="1"/>
        <n v="0.30068250068250069" u="1"/>
        <n v="2.198575556297333E-2" u="1"/>
        <n v="0.66115702479338845" u="1"/>
        <n v="-5.492957746478877E-2" u="1"/>
        <n v="0.7793606603205554" u="1"/>
        <n v="0.14411684411684411" u="1"/>
        <n v="0.68219178082191778" u="1"/>
        <n v="0.36914975513075732" u="1"/>
        <n v="0.18076924695046048" u="1"/>
        <n v="0.21359541965601969" u="1"/>
        <n v="0.13251433251433253" u="1"/>
        <n v="0.18261436003734832" u="1"/>
        <n v="0.77171010058315981" u="1"/>
        <n v="0.21037150375996505" u="1"/>
        <n v="0.76222781885669311" u="1"/>
        <n v="0.39237453361887992" u="1"/>
        <n v="0.80087994967928977" u="1"/>
        <n v="-5.0930395148407359E-2" u="1"/>
        <n v="0.24432585204918034" u="1"/>
        <n v="0.5168539325842697" u="1"/>
        <n v="0.10814260614267129" u="1"/>
        <n v="0.29617487672131149" u="1"/>
        <n v="-6.188657044721213E-2" u="1"/>
        <n v="-1.8224789869660807E-3" u="1"/>
        <n v="0.75648484332709143" u="1"/>
        <n v="-0.72876712328767124" u="1"/>
        <n v="-0.29759299781181614" u="1"/>
        <n v="-0.17032967032967028" u="1"/>
        <n v="8.9869262783882742E-2" u="1"/>
        <n v="0.51027918607706935" u="1"/>
        <n v="0.14442541856925417" u="1"/>
        <n v="0.21257612598885323" u="1"/>
        <n v="0.44178097372405367" u="1"/>
        <n v="0.21883092525942227" u="1"/>
        <n v="3.7783205260532804E-2" u="1"/>
        <n v="0.75075201675082448" u="1"/>
        <n v="0.24861878453038674" u="1"/>
        <n v="0.11706101787454237" u="1"/>
        <n v="0.77534246575342469" u="1"/>
        <n v="0.71384774914902738" u="1"/>
        <n v="-1.0958904109588996E-2" u="1"/>
        <n v="0.2453630112347549" u="1"/>
        <n v="0.86842243781049666" u="1"/>
        <n v="0.18602310893772889" u="1"/>
        <n v="0.30150150756210747" u="1"/>
        <n v="0.68707476618756658" u="1"/>
        <n v="0.13674164933616645" u="1"/>
        <n v="-0.18524590163934429" u="1"/>
        <n v="0.10259577734946568" u="1"/>
        <n v="2.7527792573336707E-2" u="1"/>
        <n v="0.31673028095238098" u="1"/>
        <n v="0.72802197802197799" u="1"/>
        <n v="0.72979393291848915" u="1"/>
        <n v="0.43360959042984593" u="1"/>
        <n v="-0.82191780821917804" u="1"/>
        <n v="-0.28446389496717728" u="1"/>
        <n v="0.40273972602739727" u="1"/>
        <n v="0.49751570357630359" u="1"/>
        <n v="0.74537945413915097" u="1"/>
        <n v="3.3961249610686806E-2" u="1"/>
        <n v="0.43181526472329224" u="1"/>
        <n v="0.19614661152800694" u="1"/>
        <n v="0.39506172839506171" u="1"/>
        <n v="0.70717991583791584" u="1"/>
        <n v="0.86849315068493149" u="1"/>
        <n v="0.62551440329218111" u="1"/>
        <n v="0.37156579480940788" u="1"/>
        <n v="5.7868852459016407E-2" u="1"/>
        <n v="0.66782363541528711" u="1"/>
        <n v="0.12766393442622948" u="1"/>
        <n v="2.3429953497250633E-2" u="1"/>
        <n v="0.25000587784308714" u="1"/>
        <n v="-0.53972602739726028" u="1"/>
        <n v="0.75274725274725274" u="1"/>
        <n v="0.13128885847043681" u="1"/>
        <n v="0.46650624844932842" u="1"/>
        <n v="0.38214058959830211" u="1"/>
        <n v="-0.91506849315068495" u="1"/>
        <n v="0.53191575987514805" u="1"/>
        <n v="0.44931506849315067" u="1"/>
        <n v="0.12268633894767511" u="1"/>
        <n v="-0.3571428571428571" u="1"/>
        <n v="0.21486338018998002" u="1"/>
        <n v="0.24892008921311248" u="1"/>
        <n v="0.50471698113207553" u="1"/>
        <n v="0.58630136986301373" u="1"/>
        <n v="-0.28493150684931512" u="1"/>
        <n v="-0.24945295404814005" u="1"/>
        <n v="0.64686555158295178" u="1"/>
        <n v="0.16000052845623813" u="1"/>
        <n v="0.24621894621894624" u="1"/>
        <n v="-4.6946331403387442E-2" u="1"/>
        <n v="0.56538994000922937" u="1"/>
        <n v="0.41085718089095691" u="1"/>
        <n v="0.9616438356164384" u="1"/>
        <n v="0.50447623442547307" u="1"/>
        <n v="-5.7902506702192214E-2" u="1"/>
        <n v="2.6343054037918812E-2" u="1"/>
        <n v="-0.63287671232876708" u="1"/>
        <n v="-7.664233576642332E-2" u="1"/>
        <n v="0.47287075852606086" u="1"/>
        <n v="-6.1386210396577989E-2" u="1"/>
        <n v="0.37494922746097487" u="1"/>
        <n v="0.12260830291488123" u="1"/>
        <n v="0.68467928011075219" u="1"/>
        <n v="0.258823542745098" u="1"/>
        <n v="0.62590746775061645" u="1"/>
        <n v="0.27691293446593968" u="1"/>
        <n v="4.8769622638696108E-2" u="1"/>
        <n v="0.56285186894323957" u="1"/>
        <n v="0.49589041095890413" u="1"/>
        <n v="-0.24383561643835616" u="1"/>
        <n v="0.67945205479452053" u="1"/>
        <n v="-0.33150684931506846" u="1"/>
        <n v="0.16164383561643836" u="1"/>
        <n v="0.78849144621050882" u="1"/>
        <n v="-7.967032967032972E-2" u="1"/>
        <n v="0.27473115256836189" u="1"/>
        <n v="0.14481495014106283" u="1"/>
        <n v="0.81176697429425326" u="1"/>
        <n v="-1.9857828341696027E-2" u="1"/>
        <n v="0.60494938391828113" u="1"/>
        <n v="0.18011311545239472" u="1"/>
        <n v="0.4098360655737705" u="1"/>
        <n v="0.18128179078495943" u="1"/>
        <n v="-0.72602739726027399" u="1"/>
        <n v="0.33090872899352586" u="1"/>
        <n v="9.4830525137103439E-2" u="1"/>
        <n v="0.28266448266448263" u="1"/>
        <n v="0.29426699426699432" u="1"/>
        <n v="0.23431269853479852" u="1"/>
        <n v="-2.2924671935039553E-2" u="1"/>
        <n v="0.16542434996699706" u="1"/>
        <n v="0.7630207910395097" u="1"/>
        <n v="0.12682396159538445" u="1"/>
        <n v="0.77260273972602744" u="1"/>
        <n v="-0.37808219178082192" u="1"/>
        <n v="0.28651050073260076" u="1"/>
        <n v="0.62962962962962965" u="1"/>
        <n v="0.22093949044585992" u="1"/>
        <n v="-0.81917808219178079" u="1"/>
        <n v="-2.1881838074398252E-2" u="1"/>
        <n v="0.52631578947368418" u="1"/>
        <n v="0.77164308149296668" u="1"/>
        <n v="5.2798268447705521E-2" u="1"/>
        <n v="0.71577679646728221" u="1"/>
        <n v="0.43185602575782001" u="1"/>
        <n v="0.13251434877568502" u="1"/>
        <n v="0.3473717561828833" u="1"/>
        <n v="0.68615889481689485" u="1"/>
        <n v="0.15124181101774042" u="1"/>
        <n v="-4.2962267658367526E-2" u="1"/>
        <n v="8.68005703777881E-2" u="1"/>
        <n v="6.9344262295081949E-2" u="1"/>
        <n v="0.86575342465753424" u="1"/>
        <n v="-6.5934065934065922E-2" u="1"/>
        <n v="-1.2940048717948738E-2" u="1"/>
        <n v="-0.42465753424657537" u="1"/>
        <n v="-5.3918442957172297E-2" u="1"/>
        <n v="1.108426144938468E-2" u="1"/>
        <n v="0.20821917808219179" u="1"/>
        <n v="0.19234969344262298" u="1"/>
        <n v="0.36099573908888177" u="1"/>
        <n v="0.14554306315334731" u="1"/>
        <n v="-0.53698630136986303" u="1"/>
        <n v="7.0765040655737632E-2" u="1"/>
        <n v="0.26027397260273971" u="1"/>
        <n v="-0.12602739726027401" u="1"/>
        <n v="0.22513657868852455" u="1"/>
        <n v="0.29495484467213118" u="1"/>
        <n v="-0.9123287671232877" u="1"/>
        <n v="0.47949768555828554" u="1"/>
        <n v="8.715848327868847E-2" u="1"/>
        <n v="0.61525156176767715" u="1"/>
        <n v="-0.32692307692307687" u="1"/>
        <n v="3.9257753479853497E-2" u="1"/>
        <n v="-0.21311475409836067" u="1"/>
        <n v="0.58356164383561648" u="1"/>
        <n v="9.2662470912154626E-2" u="1"/>
        <n v="0.32329245018315012" u="1"/>
        <n v="-1.9323653433289678E-3" u="1"/>
        <n v="5.1942182578223806E-2" u="1"/>
        <n v="7.0286885245901654E-2" u="1"/>
        <n v="7.7719291941391933E-2" u="1"/>
        <n v="0.77668041539482413" u="1"/>
        <n v="0.95890410958904104" u="1"/>
        <n v="-0.47123287671232872" u="1"/>
        <n v="0.12303131102476594" u="1"/>
        <n v="0.8559670781893004" u="1"/>
        <n v="8.6680327868852491E-2" u="1"/>
        <n v="-0.63013698630136994" u="1"/>
        <n v="0.26741116751269034" u="1"/>
        <n v="0.30684931506849317" u="1"/>
        <n v="7.3497234426229463E-2" u="1"/>
        <n v="1.0547847066241234E-2" u="1"/>
        <n v="0.8223140495867769" u="1"/>
        <n v="0.22192071810205249" u="1"/>
        <n v="-2.4215126816641508E-2" u="1"/>
        <n v="0.15054946673068026" u="1"/>
        <n v="0.57960012342402123" u="1"/>
        <n v="0.11016331402422896" u="1"/>
        <n v="0.3209342147180631" u="1"/>
        <n v="6.9270503813150919E-2" u="1"/>
        <n v="0.14078429467787112" u="1"/>
        <n v="0.81475507356432453" u="1"/>
        <n v="0.67671232876712328" u="1"/>
        <n v="8.9890677049180301E-2" u="1"/>
        <n v="0.74175824175824179" u="1"/>
        <n v="0.23720993720993722" u="1"/>
        <n v="0.17782158317250268" u="1"/>
        <n v="0.3991769547325103" u="1"/>
        <n v="-0.14010989010989006" u="1"/>
        <n v="-1.6423357664233529E-2" u="1"/>
        <n v="0.23584905660377359" u="1"/>
        <n v="0.25024650240469171" u="1"/>
        <n v="0.63374485596707819" u="1"/>
        <n v="-0.72328767123287674" u="1"/>
        <n v="-0.17260273972602735" u="1"/>
        <n v="0.35342465753424657" u="1"/>
        <n v="0.20267121823884104" u="1"/>
        <n v="0.14157112718415821" u="1"/>
        <n v="7.0816286465723577E-2" u="1"/>
        <n v="0.55188679245283023" u="1"/>
        <n v="0.25875774922751671" u="1"/>
        <n v="0.23684210526315788" u="1"/>
        <n v="-3.8978203913347609E-2" u="1"/>
        <n v="0.60316290616924984" u="1"/>
        <n v="-4.1095890410958957E-2" u="1"/>
        <n v="-4.993437921215238E-2" u="1"/>
        <n v="0.23545810348474272" u="1"/>
        <n v="0.31153122691262225" u="1"/>
        <n v="-6.0890554510957151E-2" u="1"/>
        <n v="0.25629072051282054" u="1"/>
        <n v="0.64150943396226412" u="1"/>
        <n v="0.39290399484131222" u="1"/>
        <n v="0.76955673875192798" u="1"/>
        <n v="0.2880658436213992" u="1"/>
        <n v="0.35724057291272188" u="1"/>
        <n v="0.75925457802418572" u="1"/>
        <n v="0.4" u="1"/>
        <n v="0.48752543752543753" u="1"/>
        <n v="9.5890410958904104E-2" u="1"/>
        <n v="1.8946234595671796E-2" u="1"/>
        <n v="0.31499769266266731" u="1"/>
        <n v="6.2626278887615072E-2" u="1"/>
        <n v="0.30026141886087776" u="1"/>
        <n v="0.22703247616685251" u="1"/>
        <n v="-6.0439560439560447E-2" u="1"/>
        <n v="-3.8164249401300088E-2" u="1"/>
        <n v="-0.1190785180888857" u="1"/>
        <n v="0.63186813186813184" u="1"/>
        <n v="8.9622191803770179E-2" u="1"/>
        <n v="0.68075117370892024" u="1"/>
        <n v="-0.19325434226470983" u="1"/>
        <n v="0.23156544578754579" u="1"/>
        <n v="0.13716628992327951" u="1"/>
        <n v="0.86008230452674894" u="1"/>
        <n v="2.0991844860918318E-2" u="1"/>
        <n v="0.10697467240828873" u="1"/>
        <n v="0.30698072634597007" u="1"/>
        <n v="-0.29670329670329665" u="1"/>
        <n v="-0.21917808219178081" u="1"/>
        <n v="0.21870030899333226" u="1"/>
        <n v="0.29935938050695549" u="1"/>
        <n v="0.43323154934883218" u="1"/>
        <n v="-0.14442013129102849" u="1"/>
        <n v="0.42209785263051647" u="1"/>
        <n v="-0.28219178082191776" u="1"/>
        <n v="0.13698630136986301" u="1"/>
        <n v="7.6451986499792457E-2" u="1"/>
        <n v="0.3113956930866294" u="1"/>
        <n v="0.65659340659340659" u="1"/>
        <n v="9.5203094377274589E-2" u="1"/>
        <n v="-0.14262295081967213" u="1"/>
        <n v="-4.4857751735349893E-8" u="1"/>
        <n v="7.125605671163715E-3" u="1"/>
        <n v="0.26546547152607147" u="1"/>
        <n v="0.53260869565217395" u="1"/>
        <n v="0.80604911347959685" u="1"/>
        <n v="6.6849816849816834E-2" u="1"/>
        <n v="0.63786008230452673" u="1"/>
        <n v="0.11159653700022543" u="1"/>
        <n v="0.53191489361702127" u="1"/>
        <n v="-0.34984774885811643" u="1"/>
        <n v="6.8719808569714491E-2" u="1"/>
        <n v="0.46147966754026748" u="1"/>
        <n v="-4.5950315467132463E-2" u="1"/>
        <n v="-7.8082191780821875E-2" u="1"/>
        <n v="-5.6906490765937234E-2" u="1"/>
        <n v="9.224150487576932E-2" u="1"/>
        <n v="0.48257365461199014" u="1"/>
        <n v="9.2370624048706218E-2" u="1"/>
        <n v="-0.60164835164835173" u="1"/>
        <n v="0.54929577464788737" u="1"/>
        <n v="-3.0549187061500338E-2" u="1"/>
        <n v="0.46666668" u="1"/>
        <n v="0.3503212112579876" u="1"/>
        <n v="0.26535949045751639" u="1"/>
        <n v="0.12760035911091239" u="1"/>
        <n v="0.2040929183150183" u="1"/>
        <n v="0.20934891006223905" u="1"/>
        <n v="0.54272334572968939" u="1"/>
        <n v="0.34099071574642126" u="1"/>
        <n v="6.2404363796537465E-2" u="1"/>
        <n v="0.19944791996322914" u="1"/>
        <n v="0.11149331149331143" u="1"/>
        <n v="0.18356164383561643" u="1"/>
        <n v="0.20915032679738563" u="1"/>
        <n v="0.28131144669284203" u="1"/>
        <n v="-2.1311475409836023E-2" u="1"/>
        <n v="0.74686607455540477" u="1"/>
        <n v="4.3835616438356165E-2" u="1"/>
        <n v="0.28545081967213115" u="1"/>
        <n v="0.78551820537800143" u="1"/>
        <n v="0.22820092820092819" u="1"/>
        <n v="0.68544600938967137" u="1"/>
        <n v="0.70674579110390978" u="1"/>
        <n v="0.29302723797387703" u="1"/>
        <n v="0.86419753086419748" u="1"/>
        <n v="6.2352922128851573E-2" u="1"/>
        <n v="0.56744862045496414" u="1"/>
        <n v="0.36308401975706572" u="1"/>
        <n v="0.12294197401774465" u="1"/>
        <n v="3.5697727213859554E-2" u="1"/>
        <n v="5.3842595135757065E-2" u="1"/>
        <n v="0.21006534042950514" u="1"/>
        <n v="0.31485277330110129" u="1"/>
        <n v="-2.8219994514916413E-2" u="1"/>
        <n v="-2.7472527472527375E-3" u="1"/>
        <n v="0.7347781847781848" u="1"/>
        <n v="0.5714285714285714" u="1"/>
        <n v="0.68578770727157445" u="1"/>
        <n v="-0.13736263736263732" u="1"/>
        <n v="0.3174941587757385" u="1"/>
        <n v="-0.10136986301369866" u="1"/>
        <n v="0.77783240122227315" u="1"/>
        <n v="0.16589222734336084" u="1"/>
        <n v="0.38306792926754174" u="1"/>
        <n v="0.62134831460674156" u="1"/>
        <n v="-6.9343065693430628E-2" u="1"/>
        <n v="0.33058047786885253" u="1"/>
        <n v="0.54178418092777947" u="1"/>
        <n v="-0.26648351648351654" u="1"/>
        <n v="0.73001770983786263" u="1"/>
        <n v="0.85123966942148765" u="1"/>
        <n v="0.15599123724435093" u="1"/>
        <n v="0.25823095823095821" u="1"/>
        <n v="0.66482962343923913" u="1"/>
        <n v="-5.2922427020917318E-2" u="1"/>
        <n v="0.28121109795081967" u="1"/>
        <n v="0.30603672141811677" u="1"/>
        <n v="9.1175331645099167E-2" u="1"/>
        <n v="3.0742911624501046E-2" u="1"/>
        <n v="0.1282377938508249" u="1"/>
        <n v="0.38264882325796035" u="1"/>
        <n v="0.68867924528301883" u="1"/>
        <n v="0.75950345950345943" u="1"/>
        <n v="-0.13960067005746468" u="1"/>
        <n v="0.16249999999999998" u="1"/>
        <n v="0.59615384615384615" u="1"/>
        <n v="2.5349143335863911E-2" u="1"/>
        <n v="0.25093308492282063" u="1"/>
        <n v="-8.2191780821917471E-3" u="1"/>
        <n v="0.21842801284778468" u="1"/>
        <n v="-0.10722100656455147" u="1"/>
        <n v="0.70053062280981204" u="1"/>
        <n v="0.9173553719008265" u="1"/>
        <n v="0.90036293140371049" u="1"/>
        <n v="0.30016447144607533" u="1"/>
        <n v="0.1572150131359038" u="1"/>
        <n v="0.19528688524590165" u="1"/>
        <n v="0.20852702274877477" u="1"/>
        <n v="-0.3196279686383362" u="1"/>
        <n v="0.19666719630660573" u="1"/>
        <n v="0.22807377049180322" u="1"/>
        <n v="0.30221130221130227" u="1"/>
        <n v="-1.3114754098360604E-2" u="1"/>
        <n v="4.9184210042589327E-2" u="1"/>
        <n v="0.47148131056760501" u="1"/>
        <n v="0.62087912087912089" u="1"/>
        <n v="-3.9865957247835704E-2" u="1"/>
        <n v="0.61408682274482274" u="1"/>
        <n v="-0.1905070895174571" u="1"/>
        <n v="0.26563111778930715" u="1"/>
        <n v="5.8608058608058622E-2" u="1"/>
        <n v="-3.013698630136985E-2" u="1"/>
        <n v="1.9303439531576427E-2" u="1"/>
        <n v="0.55537900935114337" u="1"/>
        <n v="0.51577504895510373" u="1"/>
        <n v="0.11481094932021374" u="1"/>
        <n v="6.6994234471562164E-2" u="1"/>
        <n v="0.75396406753680034" u="1"/>
        <n v="-9.1903719912472592E-2" u="1"/>
        <n v="8.2872928176795577E-2" u="1"/>
        <n v="0.77312970190922048" u="1"/>
        <n v="0.18867924528301888" u="1"/>
        <n v="0.84237384605175847" u="1"/>
        <n v="-3.798218797709263E-2" u="1"/>
        <n v="0.11886432492492494" u="1"/>
        <n v="0.28575151314553993" u="1"/>
        <n v="1.8284119273751731E-2" u="1"/>
        <n v="-4.8938363275897401E-2" u="1"/>
        <n v="0.1891503077497666" u="1"/>
        <n v="-4.6575342465753455E-2" u="1"/>
        <n v="0.72131147540983609" u="1"/>
        <n v="0.74383370006635696" u="1"/>
        <n v="-1.767917910422323E-2" u="1"/>
        <n v="4.4412324163750627E-2" u="1"/>
        <n v="0.47697368421052633" u="1"/>
        <n v="0.67262364606562608" u="1"/>
        <n v="0.1119672131147541" u="1"/>
        <n v="0.15573096407814302" u="1"/>
        <n v="-0.12362637362637363" u="1"/>
        <n v="0.78262863417676454" u="1"/>
        <n v="0.29480870983606555" u="1"/>
        <n v="0.85245901639344257" u="1"/>
        <n v="0.20134566556776556" u="1"/>
        <n v="-0.16303456204492961" u="1"/>
        <n v="0.55868544600938963" u="1"/>
        <n v="0.12616848599840391" u="1"/>
        <n v="0.36038248032786879" u="1"/>
        <n v="0.25048594303409433" u="1"/>
        <n v="0.98360655737704916" u="1"/>
        <n v="2.9706441810809392E-2" u="1"/>
        <n v="0.10548731154791158" u="1"/>
        <n v="0.30679736657329604" u="1"/>
        <n v="0.14671035277095279" u="1"/>
        <n v="0.69906389906389899" u="1"/>
        <n v="0.10586375120567482" u="1"/>
        <n v="0.28642925596989832" u="1"/>
        <n v="0.25519127016393439" u="1"/>
        <n v="0.19174225649020715" u="1"/>
        <n v="0.9726027397260274" u="1"/>
        <n v="-1.3321880629277749E-2" u="1"/>
        <n v="0.26166040154668263" u="1"/>
        <n v="4.9380862412421456E-2" u="1"/>
        <n v="0.41725362331422333" u="1"/>
        <n v="0.22961747855063586" u="1"/>
        <n v="-0.28940818841855598" u="1"/>
        <n v="-2.3221216114586607E-2" u="1"/>
        <n v="-1.3468441719885371E-2" u="1"/>
        <n v="0.59330872173511773" u="1"/>
        <n v="0.10275563861401793" u="1"/>
        <n v="0.53239501615136131" u="1"/>
        <n v="0.35005819160193125" u="1"/>
        <n v="0.4732128569721733" u="1"/>
        <n v="7.8085973427897026E-2" u="1"/>
        <n v="0.22851123027596437" u="1"/>
        <n v="-6.4808640801338191E-3" u="1"/>
        <n v="6.8306248173454209E-3" u="1"/>
        <n v="6.8632284281721412E-2" u="1"/>
        <n v="0.22317163330300283" u="1"/>
        <n v="0.65168435625288423" u="1"/>
        <n v="0.59077065066912782" u="1"/>
        <n v="0.16246653749845708" u="1"/>
        <n v="-0.10989010989010994" u="1"/>
        <n v="-0.26098901098901095" u="1"/>
        <n v="0.17387313809523808" u="1"/>
        <n v="0.43845598165717992" u="1"/>
        <n v="-0.73698630136986298" u="1"/>
        <n v="6.0032760032760035E-2" u="1"/>
        <n v="-4.4954299530877484E-2" u="1"/>
        <n v="0.17272809706582304" u="1"/>
        <n v="0.3637455698061699" u="1"/>
        <n v="6.8463478363772867E-2" u="1"/>
        <n v="0.24819282769953055" u="1"/>
        <n v="2.6758847879481129E-2" u="1"/>
        <n v="0.28809893098591555" u="1"/>
        <n v="0.64471666932143989" u="1"/>
        <n v="0.79939332926303597" u="1"/>
        <n v="3.2020383010015419E-2" u="1"/>
        <n v="0.28549851065573767" u="1"/>
        <n v="0.50559997040146376" u="1"/>
        <n v="-0.50549450549450547" u="1"/>
        <n v="-4.8345902475338653E-2" u="1"/>
        <n v="6.1235775457875508E-2" u="1"/>
        <n v="0.74468085106382975" u="1"/>
        <n v="0.78356164383561644" u="1"/>
        <n v="0.67889155056564288" u="1"/>
        <n v="0.26187685815537831" u="1"/>
        <n v="0.23137256235294112" u="1"/>
        <n v="0.45225477313983797" u="1"/>
        <n v="0.12167533589743595" u="1"/>
        <n v="0.13995901639344255" u="1"/>
        <n v="0.27189543816993467" u="1"/>
        <n v="0.56338028169014087" u="1"/>
        <n v="0.27450980392156865" u="1"/>
        <n v="0.29572171189540675" u="1"/>
        <n v="0.30170290122950816" u="1"/>
        <n v="0.31415060614754098" u="1"/>
        <n v="0.25263445869505874" u="1"/>
        <n v="-0.83013698630136989" u="1"/>
        <n v="0.17274590163934422" u="1"/>
        <n v="8.9738613502957643E-2" u="1"/>
        <n v="0.4560060050114873" u="1"/>
        <n v="0.60905349794238683" u="1"/>
        <n v="0.35027464821062693" u="1"/>
        <n v="0.50136986301369868" u="1"/>
        <n v="-0.53021978021978022" u="1"/>
        <n v="0.13114754098360656" u="1"/>
        <n v="3.9091042340726023E-2" u="1"/>
        <n v="0.70913076801695185" u="1"/>
        <n v="-4.5901639344262279E-2" u="1"/>
        <n v="0.24881245487305492" u="1"/>
        <n v="0.42544363150423148" u="1"/>
        <n v="0.18228465101891222" u="1"/>
        <n v="9.4585224475048912E-3" u="1"/>
        <n v="0.87671232876712324" u="1"/>
        <n v="-0.43013698630136987" u="1"/>
        <n v="0.57768052516411383" u="1"/>
        <n v="0.16393442622950818" u="1"/>
        <n v="0.32074746572830803" u="1"/>
        <n v="0.36209151660130723" u="1"/>
        <n v="0.94628099173553715" u="1"/>
        <n v="0.23746854668118506" u="1"/>
        <n v="-0.54794520547945202" u="1"/>
        <n v="0.12869983820910269" u="1"/>
        <n v="0.23491715895333831" u="1"/>
        <n v="0.74389283372289738" u="1"/>
        <n v="-6.5645514223194867E-3" u="1"/>
        <n v="-2.2036477579168823E-2" u="1"/>
        <n v="0.97933884297520657" u="1"/>
        <n v="-0.22802197802197799" u="1"/>
        <n v="0.78916458188918281" u="1"/>
        <n v="0.2242469608465183" u="1"/>
        <n v="0.64884921120538464" u="1"/>
        <n v="5.2928387708757962E-2" u="1"/>
        <n v="0.34489489390037614" u="1"/>
        <n v="0.56455142231947486" u="1"/>
        <n v="5.2786987329634494E-2" u="1"/>
        <n v="0.27572016460905352" u="1"/>
        <n v="2.8997874638862609E-2" u="1"/>
        <n v="-6.2295081967213117E-2" u="1"/>
        <n v="0.17679558011049723" u="1"/>
        <n v="0.33464723006676506" u="1"/>
        <n v="-2.708581789644493E-2" u="1"/>
        <n v="0.63862433862433854" u="1"/>
        <n v="0.54857309407948096" u="1"/>
        <n v="0.59452054794520548" u="1"/>
        <n v="0.15686274509803921" u="1"/>
        <n v="0.34147633002606553" u="1"/>
        <n v="0.24651561006690031" u="1"/>
        <n v="0.73913043478260865" u="1"/>
        <n v="0.11968333533277242" u="1"/>
        <n v="0.89075652036698894" u="1"/>
        <n v="0.55142231947483589" u="1"/>
        <n v="0.96986301369863015" u="1"/>
        <n v="0.201065441535209" u="1"/>
        <n v="-0.47671232876712333" u="1"/>
        <n v="4.9281026704014907E-2" u="1"/>
        <n v="0.25098040549019607" u="1"/>
        <n v="0.78758411445720322" u="1"/>
        <n v="0.13465784311708351" u="1"/>
        <n v="-4.0970235785857567E-2" u="1"/>
        <n v="-0.64109589041095894" u="1"/>
        <n v="0.22099447513812154" u="1"/>
        <n v="0.31232876712328766" u="1"/>
        <n v="2.4766816006971171E-2" u="1"/>
        <n v="-0.25918840819877575" u="1"/>
        <n v="-1.3937884069471496E-3" u="1"/>
        <n v="-5.1926411084662338E-2" u="1"/>
        <n v="0.22745218037776171" u="1"/>
        <n v="-6.5338162444778358E-2" u="1"/>
        <n v="0.29044634882629106" u="1"/>
        <n v="0.66334961334961329" u="1"/>
        <n v="0.22872768688466005" u="1"/>
        <n v="-5.2197802197802234E-2" u="1"/>
        <n v="0.5" u="1"/>
        <n v="0.83539094650205759" u="1"/>
        <n v="0.34043785091980294" u="1"/>
        <n v="0.5955056179775281" u="1"/>
        <n v="0.72704446900535524" u="1"/>
        <n v="0.68767123287671228" u="1"/>
        <n v="0.76662603062486789" u="1"/>
        <n v="0.53305785123966942" u="1"/>
        <n v="-0.16028730929767687" u="1"/>
        <n v="9.5515167327679174E-2" u="1"/>
        <n v="0.13720882502335174" u="1"/>
        <n v="-0.10157004650274937" u="1"/>
        <n v="0.63114754098360659" u="1"/>
        <n v="-0.11596244131455402" u="1"/>
        <n v="0.56611570247933884" u="1"/>
        <n v="-9.3065693430656959E-2" u="1"/>
        <n v="0.32051824619373021" u="1"/>
        <n v="0.11149332775466392" u="1"/>
        <n v="0.38043478260869568" u="1"/>
        <n v="0.39923560529620528" u="1"/>
        <n v="-0.73424657534246573" u="1"/>
        <n v="0.76229508196721307" u="1"/>
        <n v="0.35890410958904112" u="1"/>
        <n v="0.53218840878406937" u="1"/>
        <n v="0.78700482579425501" u="1"/>
        <n v="0.36893750679498083" u="1"/>
        <n v="5.3576169506328375E-2" u="1"/>
        <n v="0.74566794679253257" u="1"/>
        <n v="-0.47252747252747251" u="1"/>
        <n v="0.61316872427983538" u="1"/>
        <n v="0.75920815487393245" u="1"/>
        <n v="0.25173611111111116" u="1"/>
        <n v="0.34913552659696101" u="1"/>
        <n v="0.63138707506557035" u="1"/>
        <n v="0.78082191780821919" u="1"/>
        <n v="0.2608695652173913" u="1"/>
        <n v="8.3933941429525927E-4" u="1"/>
        <n v="0.21239017677522892" u="1"/>
        <n v="0.1473202423902894" u="1"/>
        <n v="0.34604744489973427" u="1"/>
        <n v="-0.82739726027397253" u="1"/>
        <n v="0.31954500860655743" u="1"/>
        <n v="1.5000559457868268E-2" u="1"/>
        <n v="0.29214993237704912" u="1"/>
        <n v="0.33022611905860633" u="1"/>
        <n v="0.15204987083179045" u="1"/>
        <n v="0.14150943396226415" u="1"/>
        <n v="0.87397260273972599" u="1"/>
        <n v="-0.13281478182514939" u="1"/>
        <n v="9.2827868852458972E-2" u="1"/>
        <n v="-0.54520547945205478" u="1"/>
        <n v="2.2774784134461212E-2" u="1"/>
        <n v="-4.7942347339642422E-2" u="1"/>
        <n v="0.25951709058748085" u="1"/>
        <n v="0.89130434782608692" u="1"/>
        <n v="0.21869750787141362" u="1"/>
        <n v="0.13034450524999908" u="1"/>
        <n v="-0.92054794520547945" u="1"/>
        <n v="1.1637171684977687E-2" u="1"/>
        <n v="0.10922131147540981" u="1"/>
        <n v="0.45205479452054792" u="1"/>
        <n v="-0.22191780821917806" u="1"/>
        <n v="0.29279376666666668" u="1"/>
        <n v="0.57818477818477809" u="1"/>
        <n v="0.22311665765930477" u="1"/>
        <n v="0.59178082191780823" u="1"/>
        <n v="0.17383872709799153" u="1"/>
        <n v="-0.28767123287671237" u="1"/>
        <n v="0.13972602739726028" u="1"/>
        <n v="-7.4455432234432628E-3" u="1"/>
        <n v="1.7628457088027738E-2" u="1"/>
        <n v="0.26815085844388176" u="1"/>
        <n v="0.9671232876712329" u="1"/>
        <n v="-0.63835616438356158" u="1"/>
        <n v="0.58872761613941338" u="1"/>
        <n v="3.1340428738913961E-2" u="1"/>
        <n v="0.50051870657930653" u="1"/>
        <n v="7.4262295081967133E-2" u="1"/>
        <n v="-1.0053906773068499E-2" u="1"/>
        <n v="0.31333331428571431" u="1"/>
        <n v="0.64621068877794396" u="1"/>
        <n v="0.60291005291005284" u="1"/>
        <n v="7.4262295081967244E-2" u="1"/>
        <n v="0.10985531591591591" u="1"/>
        <n v="0.26906863893442623" u="1"/>
        <n v="0.49863013698630138" u="1"/>
        <n v="-8.3098591549295775E-2" u="1"/>
        <n v="0.29453579605662372" u="1"/>
        <n v="0.1313465848389378" u="1"/>
        <n v="0.90806727670869269" u="1"/>
        <n v="0.12054794520547946" u="1"/>
        <n v="0.46012123134893584" u="1"/>
        <n v="0.68493150684931503" u="1"/>
        <n v="-0.33424657534246571" u="1"/>
        <n v="7.3252533023955846E-2" u="1"/>
        <n v="-0.19016393442622948" u="1"/>
        <n v="-7.9452054794520555E-2" u="1"/>
        <n v="0.77456442736606401" u="1"/>
        <n v="0.15452539278595767" u="1"/>
        <n v="0.8095271307232913" u="1"/>
        <n v="0.92307692307692313" u="1"/>
        <n v="-0.22527472527472525" u="1"/>
        <n v="0.14365335787545785" u="1"/>
        <n v="0.37415730337078651" u="1"/>
        <n v="0.56419012459621598" u="1"/>
        <n v="-0.22295081967213115" u="1"/>
        <n v="0.81326845314807072" u="1"/>
        <n v="-0.38512035010940915" u="1"/>
        <n v="-0.73150684931506849" u="1"/>
        <n v="0.17689320040083578" u="1"/>
        <n v="-0.44230769230769229" u="1"/>
        <n v="4.285738312035603E-2" u="1"/>
        <n v="0.13" u="1"/>
        <n v="0.4497684482950377" u="1"/>
        <n v="0.77808219178082194" u="1"/>
        <n v="-0.38082191780821917" u="1"/>
        <n v="-3.3002108295817734E-2" u="1"/>
        <n v="0.12869233475293473" u="1"/>
        <n v="0.18630136986301371" u="1"/>
        <n v="0.94780219780219777" u="1"/>
        <n v="-3.7199124726477018E-2" u="1"/>
        <n v="2.0782752261951254E-2" u="1"/>
        <n v="0.18954249699346409" u="1"/>
        <n v="0.53227669912012021" u="1"/>
        <n v="6.2907205128205357E-3" u="1"/>
        <n v="0.16278688524590157" u="1"/>
        <n v="0.24931659872952661" u="1"/>
        <n v="2.3798639025456203E-2" u="1"/>
        <n v="-4.3958283594622505E-2" u="1"/>
        <n v="0.76574410258635073" u="1"/>
        <n v="6.7178936838413472E-3" u="1"/>
        <n v="0.84492427900737765" u="1"/>
        <n v="0.49587946001911437" u="1"/>
        <n v="0.23377941855099216" u="1"/>
        <n v="0.11584009285631758" u="1"/>
        <n v="0.15823295146513849" u="1"/>
        <n v="-0.8246575342465754" u="1"/>
        <n v="-1.668526840216833E-2" u="1"/>
        <n v="0.38121758727818733" u="1"/>
        <n v="0.21843723470520571" u="1"/>
        <n v="0.20531449044585992" u="1"/>
        <n v="0.75776795760793192" u="1"/>
        <n v="0.24362544362544358" u="1"/>
        <n v="0.79642008843052858" u="1"/>
        <n v="0.62874855263812979" u="1"/>
        <n v="0.84362139917695478" u="1"/>
        <n v="-0.42739726027397262" u="1"/>
        <n v="-0.10273972602739723" u="1"/>
        <n v="0.28104575163398693" u="1"/>
        <n v="0.28800443856448288" u="1"/>
        <n v="-0.54246575342465753" u="1"/>
        <n v="0.11202612474323065" u="1"/>
        <n v="0.18481254600938968" u="1"/>
        <n v="0.26301369863013696" u="1"/>
        <n v="-1.4598540145985384E-2" u="1"/>
        <n v="-0.19780219780219777" u="1"/>
        <n v="0.72820093685893683" u="1"/>
        <n v="-0.32385120350109409" u="1"/>
        <n v="0.26820245836646306" u="1"/>
        <n v="0.54364564892629863" u="1"/>
        <n v="0.15954136560196563" u="1"/>
        <n v="0.3888193138747128" u="1"/>
        <n v="3.4512988678441658E-2" u="1"/>
        <n v="0.27823498718204176" u="1"/>
        <n v="0.58904109589041098" u="1"/>
        <n v="0.64473684210526316" u="1"/>
        <n v="0.22812146147540985" u="1"/>
        <n v="0.42855569572481678" u="1"/>
        <n v="-0.11475409836065575" u="1"/>
        <n v="0.33696354407014306" u="1"/>
        <n v="0.56198347107438018" u="1"/>
        <n v="0.17908498065359479" u="1"/>
        <n v="0.30650669127826491" u="1"/>
        <n v="-0.47397260273972608" u="1"/>
        <n v="0.40875371552679696" u="1"/>
        <n v="0.80223647731401959" u="1"/>
        <n v="-0.31072210065645511" u="1"/>
        <n v="-3.5616438356164348E-2" u="1"/>
        <n v="0.30958904109589042" u="1"/>
        <n v="2.9273130262762681E-2" u="1"/>
        <n v="-0.15068493150684936" u="1"/>
        <n v="0.62809917355371903" u="1"/>
        <n v="0.74091959289039" u="1"/>
        <n v="0.27150324892623712" u="1"/>
        <n v="0.23017348395798487" u="1"/>
        <n v="0.22027249385897496" u="1"/>
        <n v="0.48670973696354414" u="1"/>
        <n v="0.45625288417166587" u="1"/>
        <n v="0.22361913900053443" u="1"/>
        <n v="1.8790720389441296E-2" u="1"/>
        <n v="-3.9974219849602588E-2" u="1"/>
        <n v="-1.2232556010541296E-2" u="1"/>
        <n v="0.86263736263736268" u="1"/>
        <n v="0.38940759546819548" u="1"/>
        <n v="0.12803532656079208" u="1"/>
        <n v="2.9746895688246067E-2" u="1"/>
        <n v="0.14229669648505883" u="1"/>
        <n v="0.35616438356164382" u="1"/>
        <n v="0.68657713443771895" u="1"/>
        <n v="0.78110037507848229" u="1"/>
        <n v="0.10066757525159153" u="1"/>
        <n v="8.4931506849315067E-2" u="1"/>
        <n v="0.40566037735849059" u="1"/>
        <n v="0.18474199839741617" u="1"/>
        <n v="0.25394615064655113" u="1"/>
        <n v="0.15654362953418627" u="1"/>
        <n v="-0.41208791208791207" u="1"/>
        <n v="-7.5187083719229775E-2" u="1"/>
        <n v="0.49775280898876401" u="1"/>
        <n v="0.2784514437907375" u="1"/>
        <n v="0.2697418623522877" u="1"/>
        <n v="-0.15245901639344261" u="1"/>
        <n v="9.7149154255783743E-2" u="1"/>
        <n v="6.2859625079771941E-3" u="1"/>
        <n v="0.88736263736263732" u="1"/>
        <n v="0.3189732488755424" u="1"/>
        <n v="0.17439294245483183" u="1"/>
        <n v="0.73905109489051091" u="1"/>
        <n v="3.6209131279178353E-2" u="1"/>
        <n v="0.2697774443540244" u="1"/>
        <n v="0.24444445050505048" u="1"/>
        <n v="0.37141644978654453" u="1"/>
        <n v="-0.19726027397260271" u="1"/>
        <n v="9.6015768298699733E-2" u="1"/>
        <n v="0.19216489216489219" u="1"/>
        <n v="0.84746435397816133" u="1"/>
        <n v="0.42083586780210869" u="1"/>
        <n v="-9.3406593406593408E-2" u="1"/>
        <n v="0.12508196721311471" u="1"/>
        <n v="-2.1042566877113922E-2" u="1"/>
        <n v="0.12508196721311482" u="1"/>
        <n v="-8.2417582417582125E-3" u="1"/>
        <n v="-1.280193056072032E-2" u="1"/>
        <n v="0.82650627014582601" u="1"/>
        <n v="-0.43681318681318682" u="1"/>
        <n v="0.17949913569857789" u="1"/>
        <n v="0.35879207218167075" u="1"/>
        <n v="0.35529394977168949" u="1"/>
        <n v="4.050427408149182E-2" u="1"/>
        <n v="0.10519181941391942" u="1"/>
        <n v="1.6798688516931337E-2" u="1"/>
        <n v="0.11241952231981689" u="1"/>
        <n v="0.102484318745655" u="1"/>
        <n v="-3.5990156104582671E-2" u="1"/>
        <n v="0.4679724832749283" u="1"/>
        <n v="0.62611003021068923" u="1"/>
        <n v="5.3998404988037429E-2" u="1"/>
        <n v="0.23461643461643455" u="1"/>
        <n v="0.80554818631349068" u="1"/>
        <n v="0.59433962264150941" u="1"/>
        <n v="0.65867015769353299" u="1"/>
        <n v="0.28749999999999998" u="1"/>
        <n v="-2.6143686876016758E-3" u="1"/>
        <n v="0.69216490082290083" u="1"/>
        <n v="0.27868852459016391" u="1"/>
        <n v="0.19991509565041443" u="1"/>
        <n v="0.33716628992327946" u="1"/>
        <n v="0.4251399894964113" u="1"/>
        <n v="-7.932669745472487E-2" u="1"/>
        <n v="0.34426229508196721" u="1"/>
        <n v="0.80219780219780223" u="1"/>
        <n v="-0.19505494505494503" u="1"/>
        <n v="0.35071070919154557" u="1"/>
        <n v="0.62122750346100608" u="1"/>
        <n v="0.78589660803297368" u="1"/>
        <n v="0.56031379787724966" u="1"/>
        <n v="2.4436330488777025E-2" u="1"/>
        <n v="0.30000000810105709" u="1"/>
        <n v="-6.0218978102189791E-2" u="1"/>
        <n v="0.29524415416950694" u="1"/>
        <n v="0.17546782309322029" u="1"/>
        <n v="-3.4539912112263593E-4" u="1"/>
        <n v="0.61868943239501617" u="1"/>
        <n v="0.24997666445757277" u="1"/>
        <n v="0.5839913000859458" u="1"/>
        <n v="0.11457834815556589" u="1"/>
        <n v="0.2541436464088398" u="1"/>
        <n v="0.82692307692307687" u="1"/>
        <n v="-9.0410958904109551E-2" u="1"/>
        <n v="0.31939887377049181" u="1"/>
        <n v="0.90163934426229508" u="1"/>
        <n v="0.37138957745017742" u="1"/>
        <n v="0.21542167361224729" u="1"/>
        <n v="0.1650943396226415" u="1"/>
        <n v="0.56303321625361047" u="1"/>
        <n v="0.81029521231556334" u="1"/>
        <n v="0.17802199420320775" u="1"/>
        <n v="0.98373983739837401" u="1"/>
        <n v="-3.2006092359562754E-2" u="1"/>
        <n v="0.24820855885814885" u="1"/>
        <n v="8.3006767549414717E-2" u="1"/>
        <n v="0.85164835164835162" u="1"/>
        <n v="0.74796747967479671" u="1"/>
        <n v="2.576283194322615E-2" u="1"/>
        <n v="4.9440425832946278E-2" u="1"/>
        <n v="0.78947368421052633" u="1"/>
        <n v="0.25141880911835479" u="1"/>
        <n v="-0.16758241758241754" u="1"/>
        <n v="-4.3599032009995764E-2" u="1"/>
        <n v="0.54207513242127514" u="1"/>
        <n v="0.42924528301886794" u="1"/>
        <n v="-0.40659340659340659" u="1"/>
        <n v="0.16919109180200675" u="1"/>
        <n v="0.85900878604963116" u="1"/>
        <n v="0.21608367251216953" u="1"/>
        <n v="0.23543544149604145" u="1"/>
        <n v="0.91869918699186992" u="1"/>
        <n v="0.65702479338842978" u="1"/>
        <n v="1.6634546385972837E-2" u="1"/>
        <n v="4.9218871031382894E-2" u="1"/>
        <n v="0.69008264462809921" u="1"/>
        <n v="0.18327585619047615" u="1"/>
        <n v="0.23790851006535951" u="1"/>
        <n v="0.14062588109564855" u="1"/>
        <n v="0.53336125578176785" u="1"/>
        <n v="0.31123577545787551" u="1"/>
        <n v="0.3363797003837512" u="1"/>
        <n v="0.75479471677542453" u="1"/>
        <n v="0.10830600314079974" u="1"/>
        <n v="0.67114387980187984" u="1"/>
        <n v="1.6563713504179178E-2" u="1"/>
        <n v="0.75113297013934965" u="1"/>
        <n v="-2.7397260273972601E-2" u="1"/>
        <n v="-7.2375221385588939E-2" u="1"/>
        <n v="6.3991279640716825E-2" u="1"/>
        <n v="0.12469944576375058" u="1"/>
        <n v="0.12524733637747332" u="1"/>
        <n v="0.61788617886178865" u="1"/>
        <n v="7.9589373787105733E-2" u="1"/>
        <n v="0.1168852459016394" u="1"/>
        <n v="0.1933993587807542" u="1"/>
        <n v="0.31008867459016393" u="1"/>
        <n v="0.24152869620808703" u="1"/>
        <n v="1.3911234839131925E-2" u="1"/>
        <n v="0.24687293539591865" u="1"/>
        <n v="7.0735048676100476E-2" u="1"/>
        <n v="0.83094505648603401" u="1"/>
        <n v="0.46101174295482295" u="1"/>
        <n v="-0.22072686973723732" u="1"/>
        <n v="0.15225409836065573" u="1"/>
        <n v="0.27803919663865539" u="1"/>
        <n v="0.35819296621066876" u="1"/>
        <n v="4.391638153810451E-2" u="1"/>
        <n v="0.18551913901639339" u="1"/>
        <n v="0.33874077008196724" u="1"/>
        <n v="0.32629306516393441" u="1"/>
        <n v="0.38842975206611569" u="1"/>
        <n v="0.35345600749623213" u="1"/>
        <n v="-0.35164835164835162" u="1"/>
        <n v="-0.15754923413566735" u="1"/>
        <n v="0.26487309644670048" u="1"/>
        <n v="0.79243255574539195" u="1"/>
        <n v="0.18504098360655741" u="1"/>
        <n v="2.3770800070716191E-2" u="1"/>
        <n v="0.32733022434950898" u="1"/>
        <n v="0.18192738798798802" u="1"/>
        <n v="0.76648351648351654" u="1"/>
        <n v="-9.344262295081962E-2" u="1"/>
        <n v="0.60285620420516084" u="1"/>
        <n v="0.21782786885245897" u="1"/>
        <n v="0.13831263274003891" u="1"/>
        <n v="0.20456877358158632" u="1"/>
        <n v="0.23045267489711935" u="1"/>
        <n v="0.37860082304526749" u="1"/>
        <n v="0.17410768508050156" u="1"/>
        <n v="0.35526315789473684" u="1"/>
        <n v="8.0586080586080633E-2" u="1"/>
        <n v="-0.83835616438356164" u="1"/>
        <n v="-0.4047928038031714" u="1"/>
        <n v="9.8783141183888312E-2" u="1"/>
        <n v="0.24881245747045755" u="1"/>
        <n v="0.26923664707385631" u="1"/>
        <n v="0.79120879120879117" u="1"/>
        <n v="5.9277377744452742E-2" u="1"/>
        <n v="0.50917438888909716" u="1"/>
        <n v="0.25408398707891089" u="1"/>
        <n v="0.8849315068493151" u="1"/>
        <n v="-8.9645821543321569E-3" u="1"/>
        <n v="0.56516853932584277" u="1"/>
        <n v="0.33666444122547906" u="1"/>
        <n v="0.66832638904973929" u="1"/>
        <n v="-0.37637362637362637" u="1"/>
        <n v="0.21277641883701881" u="1"/>
        <n v="0.20096263426971717" u="1"/>
        <n v="-0.12691466083150982" u="1"/>
        <n v="0.16267709721974433" u="1"/>
        <n v="0.13070594917302414" u="1"/>
        <n v="-0.93150684931506844" u="1"/>
        <n v="7.8809651754323751E-2" u="1"/>
        <n v="-1.6393442622950616E-3" u="1"/>
        <n v="-0.18638497652582164" u="1"/>
        <n v="0.60273972602739723" u="1"/>
        <n v="0.70441378688487644" u="1"/>
        <n v="0.28101599523809528" u="1"/>
        <n v="0.34291647438855566" u="1"/>
        <n v="0.3832073628726495" u="1"/>
        <n v="0.76247612873014159" u="1"/>
        <n v="0.2450858159113235" u="1"/>
        <n v="0.9780821917808219" u="1"/>
        <n v="-0.64931506849315068" u="1"/>
        <n v="0.15081028884664494" u="1"/>
        <n v="0.17527474145595501" u="1"/>
        <n v="0.27431690655737712" u="1"/>
        <n v="0.47160515292789806" u="1"/>
        <n v="0.79641689772547952" u="1"/>
        <n v="0.22642643248703243" u="1"/>
        <n v="2.1778768198206233E-2" u="1"/>
        <n v="0.57494922746097488" u="1"/>
        <n v="0.94262295081967218" u="1"/>
        <n v="0.17414687414687413" u="1"/>
        <n v="0.33308876234469581" u="1"/>
        <n v="-0.1648351648351648" u="1"/>
        <n v="0.22915089026025887" u="1"/>
        <n v="0.58141980940794802" u="1"/>
        <n v="1.9286640330317129E-3" u="1"/>
        <n v="-4.530073985653138E-2" u="1"/>
        <n v="0.82820533045863676" u="1"/>
        <n v="1.2152676292537024E-2" u="1"/>
        <n v="0.15877442513534012" u="1"/>
        <n v="0.24010532019672409" u="1"/>
        <n v="0.15031728564549796" u="1"/>
        <n v="0.25116632581967213" u="1"/>
        <n v="0.29169043433164915" u="1"/>
        <n v="0.5967078189300411" u="1"/>
        <n v="-0.74246575342465748" u="1"/>
        <n v="-0.3214285714285714" u="1"/>
        <n v="-0.1535211267605634" u="1"/>
        <n v="0.24972674262295086" u="1"/>
        <n v="0.10491159538136285" u="1"/>
        <n v="0.76871608860711194" u="1"/>
        <n v="0.14684153749845708" u="1"/>
        <n v="0.30027323737704914" u="1"/>
        <n v="-3.4659124611318703E-2" u="1"/>
        <n v="-0.11378555798687084" u="1"/>
        <n v="0.38342381948134518" u="1"/>
        <n v="0.70604395604395609" u="1"/>
        <n v="0.24070831315801378" u="1"/>
        <n v="0.10849032413976134" u="1"/>
        <n v="0.78904109589041094" u="1"/>
        <n v="-0.38630136986301367" u="1"/>
        <n v="0.26324417533119793" u="1"/>
        <n v="0.38605049378783052" u="1"/>
        <n v="0.70967741935483875" u="1"/>
        <n v="0.12009282009282007" u="1"/>
        <n v="9.8975409836065564E-2" u="1"/>
        <n v="0.21659841659841661" u="1"/>
        <n v="0.24139363174896167" u="1"/>
        <n v="0.38039848571468826" u="1"/>
        <n v="0.74775800477477661" u="1"/>
        <n v="-0.37457302358339117" u="1"/>
        <n v="-3.6133729773317746E-3" u="1"/>
        <n v="3.2974415667018642E-2" u="1"/>
        <n v="0.22616520535302265" u="1"/>
        <n v="0.19065210603350147" u="1"/>
        <n v="-0.83561643835616439" u="1"/>
        <n v="0.62009282875082872" u="1"/>
        <n v="0.1153688524590164" u="1"/>
        <n v="0.18569420754138055" u="1"/>
        <n v="0.35773955773955768" u="1"/>
        <n v="0.73076923076923073" u="1"/>
        <n v="0.11621233508367046" u="1"/>
        <n v="0.12079987083179045" u="1"/>
        <n v="0.16863039376465827" u="1"/>
        <n v="0.46451648948861235" u="1"/>
        <n v="0.50684931506849318" u="1"/>
        <n v="0.13251433857493866" u="1"/>
        <n v="0.72679992094244128" u="1"/>
        <n v="0.88219178082191785" u="1"/>
        <n v="-0.43287671232876712" u="1"/>
        <n v="0.17579321744237075" u="1"/>
        <n v="0.42089923683773151" u="1"/>
        <n v="0.22668348962061263" u="1"/>
        <n v="-0.55342465753424652" u="1"/>
        <n v="-0.34615384615384615" u="1"/>
        <n v="0.26849315068493151" u="1"/>
        <n v="5.8804226281553906E-2" u="1"/>
        <n v="0.49382716049382713" u="1"/>
        <n v="0.59217389518023877" u="1"/>
        <n v="0.82304526748971196" u="1"/>
        <n v="0.1297131147540983" u="1"/>
        <n v="-0.92876712328767119" u="1"/>
        <n v="0.75549450549450547" u="1"/>
        <n v="0.31913527397260272" u="1"/>
        <n v="0.15305607597069593" u="1"/>
        <n v="0.16445916762039481" u="1"/>
        <n v="0.80732197148305596" u="1"/>
        <n v="0.19607844470588237" u="1"/>
        <n v="1.8332501163501602E-3" u="1"/>
        <n v="0.29365880286885249" u="1"/>
        <n v="0.1121916362482146" u="1"/>
        <n v="0.25079621501831506" u="1"/>
        <n v="0.6" u="1"/>
        <n v="0.33490566037735847" u="1"/>
        <n v="0.97534246575342465" u="1"/>
        <n v="-0.47945205479452058" u="1"/>
        <n v="0.48203093203093195" u="1"/>
        <n v="0.16388031106070416" u="1"/>
        <n v="-0.64657534246575343" u="1"/>
        <n v="0.31506849315068491" u="1"/>
        <n v="0.31744713569530469" u="1"/>
        <n v="0.45189077867403876" u="1"/>
        <n v="0.60082304526748975" u="1"/>
        <n v="-0.15342465753424661" u="1"/>
        <n v="0.20376740982800989" u="1"/>
        <n v="0.29764515549728487" u="1"/>
        <n v="-1.8863917639641126E-2" u="1"/>
        <n v="8.4413858470436809E-2" u="1"/>
        <n v="0.19917732296350987" u="1"/>
        <n v="0.29411764705882354" u="1"/>
        <n v="0.37209700541573754" u="1"/>
        <n v="3.0808965351612483E-2" u="1"/>
        <n v="0.27784317529926505" u="1"/>
        <n v="0.2044927118636134" u="1"/>
        <n v="0.62291345577456847" u="1"/>
        <n v="0.38011075219197044" u="1"/>
        <n v="-1.3736263736263687E-2" u="1"/>
        <n v="0.22899450956675876" u="1"/>
        <n v="0.2536730397324658" u="1"/>
        <n v="0.75182147594291715" u="1"/>
        <n v="0.15992984447249159" u="1"/>
        <n v="0.27798851845828598" u="1"/>
        <n v="3.6146975606546228E-2" u="1"/>
        <n v="-3.9735099337748325E-2" u="1"/>
        <n v="-0.29120879120879117" u="1"/>
        <n v="0.21595305624607952" u="1"/>
        <n v="0.3407796675629276" u="1"/>
        <n v="-0.73972602739726034" u="1"/>
        <n v="0.36164383561643837" u="1"/>
        <n v="0.45625786513830585" u="1"/>
        <n v="0.27552148974358981" u="1"/>
        <n v="0.2174174234780234" u="1"/>
        <n v="0.60195537194223314" u="1"/>
        <n v="0.64560439560439564" u="1"/>
        <n v="7.0601085108012884E-2" u="1"/>
        <n v="0.1651378651378651" u="1"/>
        <n v="0.78630136986301369" u="1"/>
        <n v="0.61842105263157898" u="1"/>
        <n v="7.9180327868852429E-2" u="1"/>
        <n v="0.91536654678168539" u="1"/>
        <n v="-0.16721311475409839" u="1"/>
        <n v="-8.7527352297592786E-3" u="1"/>
        <n v="0.84358670904623423" u="1"/>
        <n v="1.7794704453186316E-2" u="1"/>
        <n v="0.19861806187443132" u="1"/>
        <n v="0.17553294427616284" u="1"/>
        <n v="0.59907180772980773" u="1"/>
        <n v="0.30518178560050974" u="1"/>
        <n v="-6.3186813186813184E-2" u="1"/>
        <n v="-0.83287671232876714" u="1"/>
        <n v="0.80550445117022873" u="1"/>
        <n v="0.8271604938271605" u="1"/>
        <n v="-0.19999999999999996" u="1"/>
        <n v="0.40821917808219177" u="1"/>
        <n v="0.67032967032967028" u="1"/>
        <n v="-2.5988765024941296E-3" u="1"/>
        <n v="0.81682640079628399" u="1"/>
        <n v="0.13432856899501899" u="1"/>
        <n v="0.50410958904109593" u="1"/>
        <n v="0.1483577584686735" u="1"/>
        <n v="0.28289847515716121" u="1"/>
        <n v="-3.5207572154667965E-2" u="1"/>
        <n v="0.24041654344262292" u="1"/>
        <n v="1.0643260982922786E-2" u="1"/>
        <n v="0.8794520547945206" u="1"/>
        <n v="0.34583519656395778" u="1"/>
        <n v="-0.31593406593406592" u="1"/>
        <n v="0.13125682281293094" u="1"/>
        <n v="-0.55068493150684938" u="1"/>
        <n v="0.25000773163416318" u="1"/>
        <n v="0.1324573169999641" u="1"/>
        <n v="0.20758940758940758" u="1"/>
        <n v="0.32603321636593796" u="1"/>
        <n v="0.53173433474067844" u="1"/>
        <n v="7.4972039194139195E-2" u="1"/>
        <n v="0.13983606557377048" u="1"/>
        <n v="9.1018258495586202E-2" u="1"/>
        <n v="0.54245283018867929" u="1"/>
        <n v="3.2987419789470618E-2" u="1"/>
        <n v="0.69505494505494503" u="1"/>
        <n v="-2.3561609421748786E-2" u="1"/>
        <n v="0.60493827160493829" u="1"/>
        <n v="0.11171285552289689" u="1"/>
        <n v="-0.92602739726027394" u="1"/>
        <n v="7.5976426966059329E-2" u="1"/>
        <n v="0.55757576363636363" u="1"/>
        <n v="0.45479452054794522" u="1"/>
        <n v="0.78436834893469143" u="1"/>
        <n v="0.1095890410958904" u="1"/>
        <n v="0.13796910139522922" u="1"/>
        <n v="0.59726027397260273" u="1"/>
        <n v="-0.29041095890410962" u="1"/>
        <n v="0.33972153972153973" u="1"/>
        <n v="-6.8493150684931559E-2" u="1"/>
        <n v="0.82608695652173914" u="1"/>
        <n v="0.1611479093422491" u="1"/>
        <n v="0.11559153749845708" u="1"/>
        <n v="-0.64383561643835618" u="1"/>
        <n v="9.7843265320592843E-2" u="1"/>
        <n v="7.2639350334215091E-2" u="1"/>
        <n v="0.5393258426966292" u="1"/>
        <n v="-0.24657534246575341" u="1"/>
        <n v="-0.13461538461538458" u="1"/>
        <n v="0.58695652173913049" u="1"/>
        <n v="0.77554802415497814" u="1"/>
        <n v="-0.33698630136986296" u="1"/>
        <n v="0.69041095890410964" u="1"/>
        <n v="0.16438356164383561" u="1"/>
        <n v="-6.0148615262944127E-2" u="1"/>
        <n v="1.5802672580676358E-2" u="1"/>
        <n v="0.58118488419122782" u="1"/>
        <n v="2.5798391728550585E-2" u="1"/>
        <n v="0.32403402137140547" u="1"/>
        <n v="0.52985694508537151" u="1"/>
        <n v="-3.3112582781456901E-2" u="1"/>
        <n v="0.10698330291488123" u="1"/>
        <n v="0.42391304347826086" u="1"/>
        <n v="4.4861572556437301E-2" u="1"/>
        <n v="0.3005422159236113" u="1"/>
        <n v="0.25181546047346048" u="1"/>
        <n v="0.49794238683127573" u="1"/>
        <n v="0.19475840081900087" u="1"/>
        <n v="0.83127572016460904" u="1"/>
        <n v="0.5851648351648352" u="1"/>
        <n v="0.54774400958203628" u="1"/>
        <n v="0.64914628518689432" u="1"/>
        <n v="0.61050328227571116" u="1"/>
        <n v="8.2519868173849709E-2" u="1"/>
        <n v="0.52731887401938171" u="1"/>
        <n v="0.35849056603773582" u="1"/>
        <n v="1.2821910220395472E-2" u="1"/>
        <n v="-0.38356164383561642" u="1"/>
        <n v="0.30434782608695654" u="1"/>
        <n v="0.70752191970466083" u="1"/>
        <n v="0.24987287745901643" u="1"/>
        <n v="5.0403609566800678E-2" u="1"/>
        <n v="0.10606925418569257" u="1"/>
        <n v="0.59737417943107218" u="1"/>
        <n v="6.4556294685502169E-2" u="1"/>
        <n v="0.72258460775659406" u="1"/>
        <n v="0.77323972323972323" u="1"/>
        <n v="-0.11633126534163296" u="1"/>
        <n v="-3.770491803278686E-2" u="1"/>
        <n v="0.15683842107082047" u="1"/>
        <n v="0.60989010989010994" u="1"/>
        <n v="-8.8888887082459456E-2" u="1"/>
        <n v="0.21739130434782608" u="1"/>
        <n v="0.81914893617021278" u="1"/>
        <n v="0.8801652892561983" u="1"/>
        <n v="0.58424507658643321" u="1"/>
        <n v="0.31138415845275996" u="1"/>
        <n v="4.8792272337830345E-2" u="1"/>
        <n v="0.30050773921429952" u="1"/>
        <n v="0.24481814905234822" u="1"/>
        <n v="-0.2857142857142857" u="1"/>
        <n v="-0.10398423170130022" u="1"/>
        <n v="0.21095890410958903" u="1"/>
        <n v="0.21320580349882678" u="1"/>
        <n v="0.22241219156262371" u="1"/>
        <n v="0.26575342465753427" u="1"/>
        <n v="0.78254496454549405" u="1"/>
        <n v="0.82119709536809049" u="1"/>
        <n v="-0.12876712328767126" u="1"/>
        <n v="-0.1622950819672131" u="1"/>
        <n v="0.45065789473684215" u="1"/>
        <n v="0.97826086956521741" u="1"/>
        <n v="0.12418301986928104" u="1"/>
        <n v="0.42666613806401466" u="1"/>
        <n v="0.63461538461538458" u="1"/>
        <n v="0.26265188682572538" u="1"/>
        <n v="0.43129668930750265" u="1"/>
        <n v="0.56303577169377172" u="1"/>
        <n v="0.11784632201177503" u="1"/>
        <n v="0.47105243720103074" u="1"/>
        <n v="0.30327868852459017" u="1"/>
        <n v="0.7463503649635036" u="1"/>
        <n v="-0.19508196721311477" u="1"/>
        <n v="0.36885245901639346" u="1"/>
        <n v="0.85091928571428577" u="1"/>
        <n v="0.52302564882400648" u="1"/>
        <n v="-0.1150684931506849" u="1"/>
        <n v="0.42448550283860498" u="1"/>
        <n v="0.4344262295081967" u="1"/>
        <n v="0.11108381108381105" u="1"/>
        <n v="7.3972602739726029E-2" u="1"/>
        <n v="0.48347107438016529" u="1"/>
        <n v="-0.57967032967032961" u="1"/>
        <n v="-1.1238645308486395E-2" u="1"/>
        <n v="0.14710981512236165" u="1"/>
        <n v="0.57657752861850586" u="1"/>
        <n v="0.12231609180200675" u="1"/>
        <n v="0.52153972760032763" u="1"/>
        <n v="0.26490212833345983" u="1"/>
        <n v="0.29767059229486814" u="1"/>
        <n v="0.50266204236892154" u="1"/>
        <n v="0.76569659982795191" u="1"/>
        <n v="0.19859841282051283" u="1"/>
        <n v="0.2058261157264103" u="1"/>
        <n v="0.24528301886792453" u="1"/>
        <n v="0.44157303370786521" u="1"/>
        <n v="0.12971006425271137" u="1"/>
        <n v="-5.4744525547445466E-3" u="1"/>
        <n v="0.15490036096096094" u="1"/>
        <n v="0.78208397186739642" u="1"/>
        <n v="0.38873948699300065" u="1"/>
        <n v="0.589622641509434" u="1"/>
        <n v="0.1390710049180327" u="1"/>
        <n v="0.24586143812012423" u="1"/>
        <n v="-0.60439560439560447" u="1"/>
        <n v="-0.1753424657534246" u="1"/>
        <n v="0.27032243570383108" u="1"/>
        <n v="0.40956280819672131" u="1"/>
        <n v="0.17712636566416828" u="1"/>
        <n v="0.40545338549379362" u="1"/>
        <n v="8.5056864189110737E-2" u="1"/>
        <n v="0.14379086300653598" u="1"/>
        <n v="0.17185789016393438" u="1"/>
        <n v="3.0155690203496177E-2" u="1"/>
        <n v="0.3856514052957738" u="1"/>
        <n v="0.19166241362232966" u="1"/>
        <n v="-2.786885245901638E-2" u="1"/>
        <n v="0.26778698109637811" u="1"/>
        <n v="0.54547059847694213" u="1"/>
        <n v="0.33241311349693248" u="1"/>
        <n v="0.25397123811475408" u="1"/>
        <n v="0.36584942509775409" u="1"/>
        <n v="-4.8140043763676199E-2" u="1"/>
        <n v="2.0026984249084223E-2" u="1"/>
        <n v="0.556913683509344" u="1"/>
        <n v="0.24797383716153132" u="1"/>
        <n v="0.24840047816844335" u="1"/>
        <n v="0.5494505494505495" u="1"/>
        <n v="0.15465101571483331" u="1"/>
        <n v="0.29956016236139488" u="1"/>
        <n v="0.18574939180999184" u="1"/>
        <n v="0.23849948806943344" u="1"/>
        <n v="0.12798997962317626" u="1"/>
        <n v="0.70375177912786191" u="1"/>
        <n v="-0.25549450549450547" u="1"/>
        <n v="8.8428078897846318E-2" u="1"/>
        <n v="0.58163895823461886" u="1"/>
        <n v="0.10303030909090904" u="1"/>
        <n v="0.73752543752543753" u="1"/>
        <n v="0.57417582417582413" u="1"/>
        <n v="0.32814924770885401" u="1"/>
        <n v="0.13333334666666663" u="1"/>
        <n v="0.26647711432102117" u="1"/>
        <n v="1.6541593646671737E-2" u="1"/>
        <n v="0.1935637501149795" u="1"/>
        <n v="-5.3424657534246522E-2" u="1"/>
        <n v="0.68279369529552658" u="1"/>
        <n v="0.74922195787995793" u="1"/>
        <n v="2.495219242952007E-2" u="1"/>
        <n v="0.24456852791878175" u="1"/>
        <n v="0.55165260198041111" u="1"/>
        <n v="0.22579071626048375" u="1"/>
        <n v="0.42656640577396132" u="1"/>
        <n v="0.34024283855204784" u="1"/>
        <n v="3.287671232876712E-2" u="1"/>
        <n v="0.19939940546000545" u="1"/>
        <n v="0.29723119520073837" u="1"/>
        <n v="7.3997191803770179E-2" u="1"/>
        <n v="0.38422059028119027" u="1"/>
        <n v="-2.4725274725274748E-2" u="1"/>
        <n v="0.66183561146319125" u="1"/>
        <n v="0.34210526315789475" u="1"/>
        <n v="0.7919602271817674" u="1"/>
        <n v="0.19733606557377048" u="1"/>
        <n v="0.10439428265354711" u="1"/>
        <n v="0.11734179025641012" u="1"/>
        <n v="0.23012295081967216" u="1"/>
        <n v="0.88251983145321833" u="1"/>
        <n v="-1.3417294545959191E-2" u="1"/>
        <n v="0.83916423456822586" u="1"/>
        <n v="0.18852459016393441" u="1"/>
        <n v="7.4273337262319661E-2" u="1"/>
        <n v="0.19639180764317565" u="1"/>
        <n v="-0.54395604395604402" u="1"/>
        <n v="0.78397968546781682" u="1"/>
        <n v="5.9567454909378537E-2" u="1"/>
        <n v="0.22935294463870848" u="1"/>
        <n v="0.18957138957138953" u="1"/>
        <n v="0.22131147540983606" u="1"/>
        <n v="0.7886199195798147" u="1"/>
        <n v="0.22633744855967078" u="1"/>
        <n v="0.24814020500223544" u="1"/>
        <n v="0.37037037037037035" u="1"/>
        <n v="0.43954509966169303" u="1"/>
        <n v="0.57188065951615985" u="1"/>
        <n v="-0.34354485776805255" u="1"/>
        <n v="0.90909090909090906" u="1"/>
        <n v="0.56165205353022607" u="1"/>
        <n v="0.40174843273555694" u="1"/>
        <n v="0.30368550368550362" u="1"/>
        <n v="0.94214876033057848" u="1"/>
        <n v="0.50475432419861632" u="1"/>
        <n v="0.56099573908888178" u="1"/>
        <n v="0.12180327868852459" u="1"/>
        <n v="0.22470492763050898" u="1"/>
        <n v="0.97520661157024791" u="1"/>
        <n v="3.8451900663787564E-2" u="1"/>
        <n v="0.21855099215505303" u="1"/>
        <n v="0.49450549450549453" u="1"/>
        <n v="0.1171077584686735" u="1"/>
        <n v="0.55911398246423627" u="1"/>
        <n v="0.54605263157894735" u="1"/>
        <n v="0.203322565759114" u="1"/>
        <n v="0.18809413936317487" u="1"/>
        <n v="-0.15754005655042413" u="1"/>
        <n v="0.68154990430911355" u="1"/>
        <n v="0.26415094339622641" u="1"/>
        <n v="8.8834256311583926E-2" u="1"/>
        <n v="0.25925925925925924" u="1"/>
        <n v="0.32843398855058198" u="1"/>
        <n v="0.34513268660055407" u="1"/>
        <n v="0.3078064187625027" u="1"/>
        <n v="0.2971346454464151" u="1"/>
        <n v="0.21277642143442144" u="1"/>
        <n v="0.6367924528301887" u="1"/>
        <n v="0.10345207497111464" u="1"/>
        <n v="-8.1967213114754078E-2" u="1"/>
        <n v="0.11702815829528157" u="1"/>
        <n v="0.57366519470092325" u="1"/>
        <n v="-2.4657534246575352E-2" u="1"/>
        <n v="0.67708587708587709" u="1"/>
        <n v="0.51373626373626369" u="1"/>
        <n v="-4.4902693913061453E-2" u="1"/>
        <n v="0.57746478873239437" u="1"/>
        <n v="0.29890707049180326" u="1"/>
        <n v="0.34700235549704994" u="1"/>
        <n v="-0.46703296703296704" u="1"/>
        <n v="-0.9397260273972603" u="1"/>
        <n v="0.30450451056511052" u="1"/>
        <n v="0.52892561983471076" u="1"/>
        <n v="0.99725274725274726" u="1"/>
        <n v="0.80246913580246915" u="1"/>
        <n v="0.24997546415600469" u="1"/>
        <n v="0.28726270610171667" u="1"/>
        <n v="9.5539363641863329E-3" u="1"/>
        <n v="-0.27841917742954503" u="1"/>
        <n v="0.54592467252033305" u="1"/>
        <n v="0.98630136986301364" u="1"/>
        <n v="-0.27571115973741789" u="1"/>
        <n v="3.7331714141964123E-2" u="1"/>
        <n v="0.21660128814192342" u="1"/>
        <n v="0.33362032199575642" u="1"/>
        <n v="-0.65753424657534243" u="1"/>
        <n v="0.81822385453558311" u="1"/>
        <n v="0.90789473684210531" u="1"/>
        <n v="0.71318592184392182" u="1"/>
        <n v="1.3840017236634861E-3" u="1"/>
        <n v="0.28004773070418421" u="1"/>
        <n v="0.3248634013114754" u="1"/>
        <n v="-0.26914660831509851" u="1"/>
        <n v="0.70410958904109588" u="1"/>
        <n v="0.17634560973220609" u="1"/>
        <n v="0.53308876234469582" u="1"/>
        <n v="6.571622561652013E-2" u="1"/>
        <n v="8.3647299296736422E-2" u="1"/>
        <n v="0.39043717180327864" u="1"/>
        <n v="0.83642450854082862" u="1"/>
        <n v="0.36488232579603141" u="1"/>
        <n v="0.10384931949875664" u="1"/>
        <n v="0.33442547300415326" u="1"/>
        <n v="-0.26258205689277903" u="1"/>
        <n v="0.16644461963319618" u="1"/>
        <n v="-0.49175824175824179" u="1"/>
        <n v="0.2872992611721612" u="1"/>
        <n v="0.13998533877730535" u="1"/>
        <n v="-0.75068493150684934" u="1"/>
        <n v="0.79169991659340411" u="1"/>
        <n v="0.1634220604313249" u="1"/>
        <n v="0.22036940491205204" u="1"/>
        <n v="0.10874937637057103" u="1"/>
        <n v="-0.24507658643326036" u="1"/>
        <n v="0.64357216635050329" u="1"/>
        <n v="0.12555333587011674" u="1"/>
        <n v="-1.5595943783431987E-2" u="1"/>
        <n v="0.11892808315018322" u="1"/>
        <n v="0.17880794701986755" u="1"/>
        <n v="9.5483947481074694E-2" u="1"/>
        <n v="0.5154683914540954" u="1"/>
        <n v="0.72407122817284786" u="1"/>
        <n v="0.7627233589954443" u="1"/>
        <n v="0.79726027397260268" u="1"/>
        <n v="0.71276595744680848" u="1"/>
        <n v="0.45371481310567607" u="1"/>
        <n v="0.11264676801055562" u="1"/>
        <n v="6.3924753384324018E-2" u="1"/>
        <n v="-1.9793860492272053E-3" u="1"/>
        <n v="0.1104792950219422" u="1"/>
        <n v="-0.84383561643835614" u="1"/>
        <n v="-0.23851203501094087" u="1"/>
        <n v="0.41369863013698632" u="1"/>
        <n v="0.64382022471910116" u="1"/>
        <n v="-7.9706714522772559E-3" u="1"/>
        <n v="0.14200819672131149" u="1"/>
        <n v="0.45733221816707215" u="1"/>
        <n v="0.13288892701332777" u="1"/>
        <n v="0.51506849315068493" u="1"/>
        <n v="-5.9016393442622994E-2" u="1"/>
        <n v="0.10303031168831167" u="1"/>
        <n v="-0.22252747252747251" u="1"/>
        <n v="0.17479508196721305" u="1"/>
        <n v="0.48559670781893005" u="1"/>
        <n v="0.80658436213991769" u="1"/>
        <n v="0.8904109589041096" u="1"/>
        <n v="0.29726999726999725" u="1"/>
        <n v="0.19532570261676163" u="1"/>
        <n v="0.28566748566748568" u="1"/>
        <n v="0.77401976505669579" u="1"/>
        <n v="0.61664631664631664" u="1"/>
        <n v="-0.56164383561643838" u="1"/>
        <n v="0.12889248062746683" u="1"/>
        <n v="0.21860863332271424" u="1"/>
        <n v="-4.903381461869144E-2" u="1"/>
        <n v="0.13688234294294288" u="1"/>
        <n v="-0.24754098360655741" u="1"/>
        <n v="-0.93698630136986305" u="1"/>
        <n v="0.46027397260273972" u="1"/>
        <n v="0.22961806594744416" u="1"/>
        <n v="0.50518178560050964" u="1"/>
        <n v="4.9795217272544878E-2" u="1"/>
        <n v="0.93681318681318682" u="1"/>
        <n v="0.94565217391304346" u="1"/>
        <n v="0.60821917808219184" u="1"/>
        <n v="-0.29589041095890412" u="1"/>
        <n v="5.6902229816849781E-2" u="1"/>
        <n v="0.22195767488325624" u="1"/>
        <n v="0.44366032599914157" u="1"/>
        <n v="0.37448559670781895" u="1"/>
        <n v="0.11189942513534012" u="1"/>
        <n v="0.21971707584843425" u="1"/>
        <n v="-1.0869565217391353E-2" u="1"/>
        <n v="0.98356164383561639" u="1"/>
        <n v="-9.4890510948905105E-2" u="1"/>
        <n v="0.60972669988922412" u="1"/>
        <n v="0.80583535106680215" u="1"/>
        <n v="4.5973261622698769E-2" u="1"/>
        <n v="0.27159251943147622" u="1"/>
        <n v="-0.65479452054794518" u="1"/>
        <n v="0.24834441372580907" u="1"/>
        <n v="0.28064018954542524" u="1"/>
        <n v="-0.20787746170678334" u="1"/>
        <n v="0.4331023534863796" u="1"/>
        <n v="8.751581999103486E-2" u="1"/>
        <n v="0.96153846153846156" u="1"/>
        <n v="0.80877242502643787" u="1"/>
        <n v="0.78459010248115535" u="1"/>
        <n v="0.32699780543946499" u="1"/>
        <n v="0.70136986301369864" u="1"/>
        <n v="-0.34246575342465757" u="1"/>
        <n v="0.34982752228130531" u="1"/>
        <n v="0.26337448559670784" u="1"/>
        <n v="0.33254921488803052" u="1"/>
        <n v="-5.9602649006622488E-2" u="1"/>
        <n v="0.26881650906363025" u="1"/>
        <n v="0.83368478251343137" u="1"/>
        <n v="0.32950028212187388" u="1"/>
        <n v="0.89564595027163496" u="1"/>
        <n v="-0.46153846153846156" u="1"/>
        <n v="8.7581712679738577E-2" u="1"/>
        <n v="0.37335542133350474" u="1"/>
        <n v="0.30735941721122184" u="1"/>
        <n v="0.48250068856128858" u="1"/>
        <n v="0.38577913359337529" u="1"/>
        <n v="-0.74794520547945198" u="1"/>
        <n v="0.76363201864882002" u="1"/>
        <n v="0.10913172506188396" u="1"/>
        <n v="2.9161779501441276E-2" u="1"/>
        <n v="0.24702573542163758" u="1"/>
        <n v="-0.20131291028446385" u="1"/>
        <n v="0.14314942513534012" u="1"/>
        <n v="0.50496778691086686" u="1"/>
        <n v="0.75033485552666335" u="1"/>
        <n v="0.77049180327868849" u="1"/>
        <n v="0.55777572681125986" u="1"/>
        <n v="0.79452054794520544" u="1"/>
        <n v="-0.38904109589041092" u="1"/>
        <n v="-4.3956043956043911E-2" u="1"/>
        <n v="0.18263478836634561" u="1"/>
        <n v="0.81069958847736623" u="1"/>
        <n v="0.74267393481648469" u="1"/>
        <n v="0.53148148148148144" u="1"/>
        <n v="-8.6111485121852738E-2" u="1"/>
        <n v="0.27466802248226413" u="1"/>
        <n v="0.61615136132902637" u="1"/>
        <n v="0.30854219828953855" u="1"/>
        <n v="-0.84109589041095889" u="1"/>
        <n v="-1.969365426695846E-2" u="1"/>
        <n v="0.19867549668874171" u="1"/>
        <n v="0.87171052631578949" u="1"/>
        <n v="0.51232876712328768" u="1"/>
        <n v="0.72171585098414937" u="1"/>
        <n v="-1.3351781827148912E-3" u="1"/>
        <n v="0.7" u="1"/>
        <n v="0.77881599801118728" u="1"/>
        <n v="0.27978143409836065" u="1"/>
        <n v="0.88767123287671235" u="1"/>
        <n v="-0.43561643835616437" u="1"/>
        <n v="0.59090909090909094" u="1"/>
        <n v="-0.10187793427230052" u="1"/>
        <n v="0.15300539376465827" u="1"/>
        <n v="0.2176221521647993" u="1"/>
        <n v="-0.55890410958904102" u="1"/>
        <n v="7.5519117894898069E-2" u="1"/>
        <n v="0.62396694214876036" u="1"/>
        <n v="0.27123287671232876" u="1"/>
        <n v="-0.13150684931506851" u="1"/>
        <n v="0.32006743448458674" u="1"/>
        <n v="-0.27049180327868849" u="1"/>
        <n v="0.2571618474548707" u="1"/>
        <n v="-0.17067833698030632" u="1"/>
        <n v="7.9547692500995026E-2" u="1"/>
        <n v="-2.5090088521850351E-2" u="1"/>
        <n v="-5.9997210301508286E-2" u="1"/>
        <n v="0.78055571276911406" u="1"/>
        <n v="-0.9342465753424658" u="1"/>
        <n v="8.4098360655737614E-2" u="1"/>
        <n v="8.5810734907867725E-2" u="1"/>
        <n v="0.87637362637362637" u="1"/>
        <n v="0.60547945205479448" u="1"/>
        <n v="0.10146004309860468" u="1"/>
        <n v="0.2712471887088348" u="1"/>
        <n v="0.58093203093203094" u="1"/>
        <n v="0.7934468475980212" u="1"/>
        <n v="0.12337239369621422" u="1"/>
        <n v="0.45879120879120877" u="1"/>
        <n v="0.98082191780821915" u="1"/>
        <n v="-0.48219178082191783" u="1"/>
        <n v="-0.20983606557377055" u="1"/>
        <n v="0.10049180327868856" u="1"/>
        <n v="0.27925197925197931" u="1"/>
        <n v="-3.1021897810219023E-2" u="1"/>
        <n v="9.3977615986880481E-2" u="1"/>
        <n v="-2.1491815269800596E-2" u="1"/>
        <n v="-0.65205479452054793" u="1"/>
        <n v="0.53773584905660377" u="1"/>
        <n v="0.31780821917808222" u="1"/>
        <n v="-0.24262295081967211" u="1"/>
        <n v="0.59154929577464788" u="1"/>
        <n v="0.50015896475660448" u="1"/>
        <n v="0.90109890109890112" u="1"/>
        <n v="0.13815885238095238" u="1"/>
        <n v="-9.1884081987757549E-3" u="1"/>
        <n v="0.3977969266067084" u="1"/>
        <n v="0.37516341202614378" u="1"/>
        <n v="0.14109288838670142" u="1"/>
        <n v="0.22938107418032783" u="1"/>
        <n v="0.31580356869650839" u="1"/>
        <n v="0.69863013698630139" u="1"/>
        <n v="0.62347150778324845" u="1"/>
        <n v="0.37799494640868858" u="1"/>
        <n v="0.27316699959016388" u="1"/>
        <n v="0.48971193415637859" u="1"/>
        <n v="-0.43131868131868134" u="1"/>
        <n v="0.81481481481481477" u="1"/>
        <n v="5.2876958167999533E-2" u="1"/>
        <n v="0.1738797736326031" u="1"/>
        <n v="0.24356552780918084" u="1"/>
        <n v="0.19014962469227181" u="1"/>
        <n v="-0.74520547945205484" u="1"/>
        <n v="0.16339869281045752" u="1"/>
        <n v="0.36438356164383562" u="1"/>
        <n v="0.92582417582417587" u="1"/>
        <n v="-0.17808219178082196" u="1"/>
        <n v="0.77659848288047906" u="1"/>
        <n v="0.53790349546933458" u="1"/>
        <n v="0.95934959349593496" u="1"/>
        <n v="0.79178082191780819" u="1"/>
        <n v="-0.26557377049180331" u="1"/>
        <n v="0.72357723577235777" u="1"/>
        <n v="0.16431370644257703" u="1"/>
        <n v="0.219490364453514" u="1"/>
        <n v="0.27454284526626183" u="1"/>
        <n v="7.1579565010955193E-2" u="1"/>
        <n v="0.46448267054327053" u="1"/>
        <n v="0.54877834928513669" u="1"/>
        <n v="9.3491915608564735E-2" u="1"/>
        <n v="0.25474086506824201" u="1"/>
        <n v="0.41095890410958902" u="1"/>
        <n v="0.55592105263157898" u="1"/>
        <n v="0.24653108340919239" u="1"/>
        <n v="0.29279187817258884" u="1"/>
        <n v="0.89430894308943087" u="1"/>
        <n v="0.50958904109589043" u="1"/>
        <n v="-0.19230769230769229" u="1"/>
        <n v="-6.9014084507042273E-2" u="1"/>
        <n v="0.17218543046357615" u="1"/>
        <n v="0.2498223521800601" u="1"/>
        <n v="0.48573701768009769" u="1"/>
        <n v="0.39344262295081966" u="1"/>
        <n v="5.5210156434432944E-2" u="1"/>
        <n v="0.1327327584686735" u="1"/>
        <n v="-0.55616438356164388" u="1"/>
        <n v="9.4840310489747615E-2" u="1"/>
        <n v="0.20088692088369919" u="1"/>
        <n v="0.78535194572360556" u="1"/>
        <n v="0.73684210526315785" u="1"/>
        <n v="0.38989435993082383" u="1"/>
        <n v="0.52756559671491576" u="1"/>
        <n v="-0.22465753424657531" u="1"/>
        <n v="0.2185430463576159" u="1"/>
        <n v="0.45753424657534247" u="1"/>
        <n v="-1.2327969927222848E-2" u="1"/>
        <n v="0.54918032786885251" u="1"/>
        <n v="0.10971439843568609" u="1"/>
        <n v="-0.29315068493150687" u="1"/>
        <n v="0.14246575342465753" u="1"/>
        <n v="0.6179775280898876" u="1"/>
        <n v="0.81971047495183691" u="1"/>
        <n v="0.31245962159667739" u="1"/>
        <n v="0.52049247049247049" u="1"/>
        <n v="0.25154591601292109" u="1"/>
        <n v="0.16667448664459095" u="1"/>
        <n v="0.68298991122138053" u="1"/>
        <n v="2.4952240601677778E-2" u="1"/>
        <n v="0.10158522909349105" u="1"/>
        <n v="0.30329926768431986" u="1"/>
        <n v="0.49117692882846076" u="1"/>
        <n v="0.84065934065934067" u="1"/>
        <n v="0.19946137189049262" u="1"/>
        <n v="0.27878324881971267" u="1"/>
        <n v="0.32273288633293462" u="1"/>
        <n v="-0.13934426229508201" u="1"/>
        <n v="0.14258872709799153" u="1"/>
        <n v="0.90322580645161288" u="1"/>
        <n v="0.18415297213114756" u="1"/>
        <n v="0.23224825713639419" u="1"/>
        <n v="0.24362544968604971" u="1"/>
        <n v="-8.0821917808219124E-2" u="1"/>
        <n v="0.3029309061349148" u="1"/>
        <n v="-0.33972602739726032" u="1"/>
        <n v="0.24174621178267569" u="1"/>
        <n v="-0.17213114754098358" u="1"/>
        <n v="1.7083794778659511E-2" u="1"/>
        <n v="0.49017893349553932" u="1"/>
        <n v="0.88603953923491352" u="1"/>
        <n v="-0.40109890109890112" u="1"/>
        <n v="-3.1935813064477681E-2" u="1"/>
        <n v="0.27856140204918034" u="1"/>
        <n v="5.1979219456547154E-2" u="1"/>
        <n v="0.2133364197649168" u="1"/>
        <n v="0.7536496350364964" u="1"/>
        <n v="-7.2655438149609508E-2" u="1"/>
        <n v="-1.9178082191780854E-2" u="1"/>
        <n v="0.22169811320754718" u="1"/>
        <n v="0.26123396123396125" u="1"/>
        <n v="8.5523788118524902E-2" u="1"/>
        <n v="0.7642099794116981" u="1"/>
        <n v="3.8196721311475446E-2" u="1"/>
        <n v="0.26739515643284251" u="1"/>
        <n v="0.80286211023429477" u="1"/>
        <n v="0.34413517254098358" u="1"/>
        <n v="0.80645161290322576" u="1"/>
        <n v="0.86538461538461542" u="1"/>
        <n v="6.6188524590163889E-2" u="1"/>
        <n v="0.3241826608220354" u="1"/>
        <n v="0.42813513787510138" u="1"/>
        <n v="0.31375277232688226" u="1"/>
        <n v="8.2581967213114726E-2" u="1"/>
        <n v="0.47021884499612543" u="1"/>
        <n v="0.26591371883930026" u="1"/>
        <n v="0.52533681250672704" u="1"/>
        <n v="0.62083298535580789" u="1"/>
        <n v="-0.45424335325372084" u="1"/>
        <n v="0.3052143052143052" u="1"/>
        <n v="-9.065934065934067E-2" u="1"/>
        <n v="0.11076571198998852" u="1"/>
        <n v="0.36011038822092201" u="1"/>
        <n v="0.65289256198347112" u="1"/>
        <n v="0.13541159963369964" u="1"/>
        <n v="0.19559519764039046" u="1"/>
        <n v="0.58957083525611442" u="1"/>
        <n v="0.14263930253959711" u="1"/>
        <n v="-7.257261595661757E-3" u="1"/>
        <n v="0.19337016574585636" u="1"/>
        <n v="0.32894736842105265" u="1"/>
        <n v="-2.5671924682292291E-2" u="1"/>
        <n v="0.14569536423841059" u="1"/>
        <n v="0.74736161469415596" u="1"/>
        <n v="0.5067604030246593" u="1"/>
        <n v="0.58703276419012462" u="1"/>
        <n v="-4.0642354763363642E-2" u="1"/>
        <n v="7.3770491803278687E-2" u="1"/>
        <n v="0.18740237194501908" u="1"/>
        <n v="0.25045045651105646" u="1"/>
        <n v="-0.10410958904109591" u="1"/>
        <n v="0.10967226957256415" u="1"/>
        <n v="0.41215852978655626" u="1"/>
        <n v="0.84447034200211346" u="1"/>
        <n v="8.2987934212210734E-2" u="1"/>
        <n v="6.3013698630136991E-2" u="1"/>
        <n v="0.23756906077348067" u="1"/>
        <n v="0.33046654468864467" u="1"/>
        <n v="0.54704225071678869" u="1"/>
        <n v="0.35944040188235293" u="1"/>
        <n v="3.4780250429687576E-2" u="1"/>
        <n v="0.19205298013245034" u="1"/>
        <n v="0.24289618819672132" u="1"/>
        <n v="0.24530227252001924" u="1"/>
        <n v="0.13170019604270211" u="1"/>
        <n v="-0.14508012211225918" u="1"/>
        <n v="0.82351225816977813" u="1"/>
        <n v="0.24241803278688523" u="1"/>
        <n v="0.91304347826086951" u="1"/>
        <n v="0.406915759875148" u="1"/>
        <n v="0.66568786662229873" u="1"/>
        <n v="9.8234837459530988E-3" u="1"/>
        <n v="-7.6923076923076872E-2" u="1"/>
        <n v="0.13891894137181016" u="1"/>
        <n v="-5.6569343065693389E-2" u="1"/>
        <n v="1.3698630136986301E-2" u="1"/>
        <n v="7.409796007952163E-2" u="1"/>
        <n v="0.26374214157935083" u="1"/>
        <n v="0.78021978021978022" u="1"/>
        <n v="0.33535354141414142" u="1"/>
        <n v="-8.7077292879560952E-2" u="1"/>
        <n v="0.8025541743374428" u="1"/>
        <n v="0.48024251218559222" u="1"/>
        <n v="-2.934788717948722E-2" u="1"/>
        <n v="0.12138036182370426" u="1"/>
        <n v="0.51973684210526316" u="1"/>
        <n v="0.67391304347826086" u="1"/>
        <n v="4.4752258974358972E-2" u="1"/>
        <n v="0.77075179120048665" u="1"/>
        <n v="-0.37087912087912089" u="1"/>
        <n v="-3.5983969670195903E-2" u="1"/>
        <n v="3.3423664059705316E-2" u="1"/>
        <n v="0.84738341265041761" u="1"/>
        <n v="0.34965389940009228" u="1"/>
        <n v="0.42452830188679247" u="1"/>
        <n v="0.79047360676551381" u="1"/>
        <n v="0.22222222222222221" u="1"/>
        <n v="0.78159609050510748" u="1"/>
        <n v="0.36213991769547327" u="1"/>
        <n v="9.033114524529029E-2" u="1"/>
        <n v="0.80494505494505497" u="1"/>
        <n v="0.34272454272454267" u="1"/>
        <n v="0.46739130434782611" u="1"/>
        <n v="2.1441093253605104E-2" u="1"/>
        <n v="0.38169935973856206" u="1"/>
        <n v="0.19533492447418255" u="1"/>
        <n v="-8.3150984682713314E-2" u="1"/>
        <n v="0.26077263987655108" u="1"/>
        <n v="0.2231372358543417" u="1"/>
        <n v="0.23461644067704068" u="1"/>
        <n v="-0.42402357303394062" u="1"/>
        <n v="0.39820504141446317" u="1"/>
        <n v="0.15353535353535352" u="1"/>
        <n v="0.46894323950161521" u="1"/>
        <n v="-1.4347237398589785E-3" u="1"/>
        <n v="0.34782608695652173" u="1"/>
        <n v="0.43848638670973694" u="1"/>
        <n v="0.76193146642077325" u="1"/>
        <n v="0.28457514435107378" u="1"/>
        <n v="-6.3526568241879744E-2" u="1"/>
        <n v="0.82967032967032972" u="1"/>
        <n v="0.25102880658436216" u="1"/>
        <n v="0.30713025577059083" u="1"/>
        <n v="0.58099728810989781" u="1"/>
        <n v="0.88981910152621102" u="1"/>
        <n v="4.8356807511737099E-2" u="1"/>
        <n v="-0.16208791208791207" u="1"/>
        <n v="0.27058824862745101" u="1"/>
        <n v="3.6111112917540544E-2" u="1"/>
        <n v="0.73497311122537501" u="1"/>
        <n v="0.88157894736842102" u="1"/>
        <n v="0.35348787166463058" u="1"/>
        <n v="0.21058916701766406" u="1"/>
        <n v="0.79127895554080951" u="1"/>
        <n v="5.4227054946526021E-2" u="1"/>
        <n v="0.56003920427756249" u="1"/>
        <n v="4.0643837371781899E-2" u="1"/>
        <n v="7.081623829356587E-2" u="1"/>
        <n v="0.17778135069597056" u="1"/>
        <n v="0.13163220665486408" u="1"/>
        <n v="0.27588752804571737" u="1"/>
        <n v="0.13513137560114308" u="1"/>
        <n v="0.30024676446886445" u="1"/>
        <n v="0.36254909506475075" u="1"/>
        <n v="0.20707117372696171" u="1"/>
        <n v="-8.8779000726096569E-2" u="1"/>
        <n v="-6.7833698030634548E-2" u="1"/>
        <n v="0.11341223433366443" u="1"/>
        <n v="0.34274711486673093" u="1"/>
        <n v="-3.5714285714285698E-2" u="1"/>
        <n v="0.53908112044522716" u="1"/>
        <n v="-6.9627968638336202E-2" u="1"/>
        <n v="0.1971701836279518" u="1"/>
        <n v="0.23628175368852455" u="1"/>
        <n v="0.26905737704918031" u="1"/>
        <n v="0.33778202630500948" u="1"/>
        <n v="0.63207547169811318" u="1"/>
        <n v="6.7192727240533157E-2" u="1"/>
        <n v="-9.0599960710135985E-3" u="1"/>
        <n v="0.41502733573770489" u="1"/>
        <n v="0.9945205479452055" u="1"/>
        <n v="0.79842384114844211" u="1"/>
        <n v="0.51812303661289183" u="1"/>
        <n v="1.2946185860805759E-2" u="1"/>
        <n v="0.13344131930316316" u="1"/>
        <n v="-0.21523236424273184" u="1"/>
        <n v="0.2119205298013245" u="1"/>
        <n v="0.450022731965812" u="1"/>
        <n v="2.0236964416064374E-2" u="1"/>
        <n v="0.38425155304237019" u="1"/>
        <n v="3.8481521723357281E-2" u="1"/>
        <n v="0.3666744866445909" u="1"/>
        <n v="0.27880694564696268" u="1"/>
        <n v="0.81673723411932952" u="1"/>
        <n v="0.66304934419485795" u="1"/>
        <n v="-8.7793427230047016E-2" u="1"/>
        <n v="4.2138261009596389E-2" u="1"/>
        <n v="-0.10327868852459021" u="1"/>
        <n v="0.74450549450549453" u="1"/>
        <n v="0.77728773891290492" u="1"/>
        <n v="0.26481765532786883" u="1"/>
        <n v="0.74633272971160303" u="1"/>
        <n v="-0.75890410958904109" u="1"/>
        <n v="-0.11967213114754094" u="1"/>
        <n v="0.21593269414995669" u="1"/>
        <n v="-1.2773722627737238E-2" u="1"/>
        <n v="0.18709016393442623" u="1"/>
        <n v="0.80547945205479454" u="1"/>
        <n v="0.42994207566462167" u="1"/>
        <n v="0.2747073963212916" u="1"/>
        <n v="0.60591015891650257" u="1"/>
        <n v="0.78099173553719003" u="1"/>
        <n v="0.17452830188679244" u="1"/>
        <n v="0.76923076923076927" u="1"/>
        <n v="0.2198770491803278" u="1"/>
        <n v="-2.1917808219178103E-2" u="1"/>
        <n v="0.78698293546132858" u="1"/>
        <n v="0.58569450853714811" u="1"/>
        <n v="-8.0810873236056735E-2" u="1"/>
        <n v="0.10026492007972743" u="1"/>
        <n v="0.34426453800698364" u="1"/>
        <n v="0.34419002867155146" u="1"/>
        <n v="0.47736625514403291" u="1"/>
        <n v="0.486072078658074" u="1"/>
        <n v="0.79012345679012341" u="1"/>
        <n v="0.76123673857919072" u="1"/>
        <n v="0.17132216976016723" u="1"/>
        <n v="0.32470652470652472" u="1"/>
        <n v="0.88248296445338703" u="1"/>
        <n v="0.52328767123287667" u="1"/>
        <n v="3.6123036217294846E-3" u="1"/>
        <n v="3.0978535153150299E-2" u="1"/>
        <n v="0.12087272217060585" u="1"/>
        <n v="0.70498384863867103" u="1"/>
        <n v="0.15718259172523885" u="1"/>
        <n v="0.56527999945015328" u="1"/>
        <n v="0.89863013698630134" u="1"/>
        <n v="-0.44109589041095887" u="1"/>
        <n v="0.11239969891809309" u="1"/>
        <n v="0.1445263445263445" u="1"/>
        <n v="0.1234437280267473" u="1"/>
        <n v="-0.56986301369863013" u="1"/>
        <n v="0.27002698424908422" u="1"/>
        <n v="0.52567603905411364" u="1"/>
        <n v="0.47928418092777952" u="1"/>
        <n v="-1.8903224328581048E-2" u="1"/>
        <n v="4.0801384346366709E-2" u="1"/>
        <n v="0.36625514403292181" u="1"/>
        <n v="0.5679012345679012" u="1"/>
        <n v="0.41735537190082644" u="1"/>
        <n v="0.2161524568739045" u="1"/>
        <n v="0.17681278541939138" u="1"/>
        <n v="0.16978023596144953" u="1"/>
        <n v="0.61643835616438358" u="1"/>
        <n v="6.4102564102564097E-2" u="1"/>
        <n v="0.13907284768211919" u="1"/>
        <n v="0.13937198248275795" u="1"/>
        <n v="0.30450608872949936" u="1"/>
        <n v="0.99178082191780825" u="1"/>
        <n v="-0.48767123287671232" u="1"/>
        <n v="0.24844720799100106" u="1"/>
        <n v="0.13794109180200675" u="1"/>
        <n v="0.65934065934065933" u="1"/>
        <n v="-0.66301369863013693" u="1"/>
        <n v="-0.15934065934065933" u="1"/>
        <n v="5.9125675271947231E-2" u="1"/>
        <n v="5.0928953960471923E-2" u="1"/>
        <n v="0.32328767123287672" u="1"/>
        <n v="0.20631420548838575" u="1"/>
        <n v="0.28470410853147965" u="1"/>
        <n v="0.75102756539235416" u="1"/>
        <n v="0.12798706240487057" u="1"/>
        <n v="0.80495978886086039" u="1"/>
        <n v="1.608988407660461E-2" u="1"/>
        <n v="0.31160061506145564" u="1"/>
        <n v="0.18543046357615894" u="1"/>
        <n v="0.23910109073428731" u="1"/>
        <n v="8.7733924788135575E-2" u="1"/>
        <n v="0.80434873065054857" u="1"/>
        <n v="-0.31043956043956045" u="1"/>
        <n v="0.12600820416512371" u="1"/>
        <n v="0.1969283458621881" u="1"/>
        <n v="0.44505734588983326" u="1"/>
        <n v="7.556362875597511E-2" u="1"/>
        <n v="0.70958904109589038" u="1"/>
        <n v="0.14517774735932576" u="1"/>
        <n v="0.34398903770491795" u="1"/>
        <n v="0.95081967213114749" u="1"/>
        <n v="0.3496679845904298" u="1"/>
        <n v="-7.2842745746016901E-2" u="1"/>
        <n v="0.68406593406593408" u="1"/>
        <n v="0.75522796388596392" u="1"/>
        <n v="-0.75616438356164384" u="1"/>
        <n v="6.4167598017812466E-3" u="1"/>
        <n v="0.24444445777777779" u="1"/>
        <n v="0.36986301369863012" u="1"/>
        <n v="0.23178807947019867" u="1"/>
        <n v="0.79423868312757206" u="1"/>
        <n v="-0.15821596244131453" u="1"/>
        <n v="0.78382368662532331" u="1"/>
        <n v="0.29126465057901718" u="1"/>
        <n v="0.53146067415730336" u="1"/>
        <n v="0.1477970604313249" u="1"/>
        <n v="0.14230770848892205" u="1"/>
        <n v="0.26643756980736705" u="1"/>
        <n v="0.55701046582614455" u="1"/>
        <n v="0.80273972602739729" u="1"/>
        <n v="0.30437159803278691" u="1"/>
        <n v="0.50652471258531262" u="1"/>
        <n v="0.70879120879120883" u="1"/>
        <n v="0.66041082176741739" u="1"/>
        <n v="0.38938052164283199" u="1"/>
        <n v="0.64893617021276595" u="1"/>
        <n v="0.74884823511040977" u="1"/>
        <n v="0.38823530745098034" u="1"/>
        <n v="-0.13186813186813184" u="1"/>
        <n v="-0.84931506849315075" u="1"/>
        <n v="-2.3670464507273392E-2" u="1"/>
        <n v="0.41643835616438357" u="1"/>
        <n v="0.17456240487062402" u="1"/>
        <n v="0.52054794520547942" u="1"/>
        <n v="-0.25205479452054791" u="1"/>
        <n v="0.74476399279872874" u="1"/>
        <n v="0.77500336184560981" u="1"/>
        <n v="0.31183698180968966" u="1"/>
        <n v="0.29111109206349206" u="1"/>
        <n v="0.14756157047619034" u="1"/>
        <n v="0.89589041095890409" u="1"/>
        <n v="0.10177496958154797" u="1"/>
        <n v="0.11341803062499767" u="1"/>
        <n v="0.16993464052287582" u="1"/>
        <n v="-0.56712328767123288" u="1"/>
        <n v="0.24987011128895709" u="1"/>
        <n v="0.67602504243066053" u="1"/>
        <n v="0.15126083991135364" u="1"/>
        <n v="0.27712419633986929" u="1"/>
        <n v="0.72380590896639341" u="1"/>
        <n v="-0.12535211267605639" u="1"/>
        <n v="-0.94246575342465755" u="1"/>
        <n v="-0.36980306345733038" u="1"/>
        <n v="-0.22739726027397256" u="1"/>
        <n v="0.46301369863013697" u="1"/>
        <n v="0.30668850668850667" u="1"/>
        <n v="0.31829101829101836" u="1"/>
        <n v="6.7595501265935276E-2" u="1"/>
        <n v="2.1031372021004469E-2" u="1"/>
        <n v="0.42882125274724425" u="1"/>
        <n v="0.61369863013698633" u="1"/>
        <n v="-0.29863013698630136" u="1"/>
        <n v="0.14520547945205478" u="1"/>
        <n v="8.9507851863544818E-2" u="1"/>
        <n v="0.13176229508196724" u="1"/>
        <n v="0.16502733573770489" u="1"/>
        <n v="-6.4874618255977068E-2" u="1"/>
        <n v="0.989041095890411" u="1"/>
        <n v="0.10205111504009745" u="1"/>
        <n v="0.76225071225071217" u="1"/>
        <n v="0.13551733551733547" u="1"/>
        <n v="0.1645491803278688" u="1"/>
        <n v="-8.678696885358661E-2" u="1"/>
        <n v="0.21659842265902274" u="1"/>
        <n v="0.59890109890109888" u="1"/>
        <n v="-0.66027397260273979" u="1"/>
        <n v="0.30757311602161119" u="1"/>
        <n v="-1.0990336357821873E-2" u="1"/>
        <n v="-8.8100566267176328E-3" u="1"/>
        <n v="0.22332368754578757" u="1"/>
        <n v="0.26699950746927492" u="1"/>
        <n v="0.48148148148148145" u="1"/>
        <n v="9.3188753089047616E-2" u="1"/>
        <n v="-0.35667396061269152" u="1"/>
        <n v="0.79835390946502061" u="1"/>
        <n v="0.47169811320754718" u="1"/>
        <n v="-4.0845070422535268E-2" u="1"/>
        <n v="0.12328767123287671" u="1"/>
        <n v="-0.28021978021978022" u="1"/>
        <n v="5.6844143362537514E-2" u="1"/>
        <n v="0.21045855075157405" u="1"/>
        <n v="5.5801271450708567E-2" u="1"/>
        <n v="0.14452636078769698" u="1"/>
        <n v="0.64087752763085593" u="1"/>
        <n v="0.70684931506849313" u="1"/>
        <n v="-0.34520547945205482" u="1"/>
        <n v="0.73420694286494281" u="1"/>
        <n v="-8.2191780821917804E-2" u="1"/>
        <n v="0.31977298515438057" u="1"/>
        <n v="0.32514997692662673" u="1"/>
        <n v="0.80991735537190079" u="1"/>
        <n v="0.47368421052631576" u="1"/>
        <n v="0.62362637362637363" u="1"/>
        <n v="0.47368421052631582" u="1"/>
        <n v="2.0447182551550203E-2" u="1"/>
        <n v="0.85697238619774385" u="1"/>
        <n v="-0.75342465753424659" u="1"/>
        <n v="0.17114709305401266" u="1"/>
        <n v="0.6199194437985206" u="1"/>
        <n v="0.22585471501686449" u="1"/>
        <n v="-3.2822757111597323E-2" u="1"/>
        <n v="0.10540983606557375" u="1"/>
        <n v="0.5761316872427984" u="1"/>
        <n v="-4.0593964490842516E-2" u="1"/>
        <n v="0.23119895420469611" u="1"/>
        <n v="-0.3333642323746" u="1"/>
        <n v="0.27287665859053223" u="1"/>
        <n v="-0.39178082191780816" u="1"/>
        <n v="0.8" u="1"/>
        <n v="0.73288479495686787" u="1"/>
        <n v="0.64835164835164838" u="1"/>
        <n v="-3.0634573304157531E-2" u="1"/>
        <n v="5.1518049629265206E-2" u="1"/>
        <n v="0.77511186246422548" u="1"/>
        <n v="0.81376399328682192" u="1"/>
        <n v="0.32210804511378693" u="1"/>
        <n v="0.59896135996618527" u="1"/>
        <n v="0.13532458493127397" u="1"/>
        <n v="0.48360655737704916" u="1"/>
        <n v="0.1509289539604719" u="1"/>
        <n v="0.24570712584261151" u="1"/>
        <n v="-0.12087912087912089" u="1"/>
        <n v="-3.6352655198401473E-2" u="1"/>
        <n v="-4.1516715335500054E-3" u="1"/>
        <n v="-0.84657534246575339" u="1"/>
        <n v="0.13476108069265902" u="1"/>
        <n v="3.6510500732600759E-2" u="1"/>
        <n v="0.19585116007326009" u="1"/>
        <n v="-2.2022526757204508E-2" u="1"/>
        <n v="0.51780821917808217" u="1"/>
        <n v="0.59836065573770492" u="1"/>
        <n v="8.1539724373504985E-2" u="1"/>
        <n v="0.12696281150545863" u="1"/>
        <n v="0.39241059847119841" u="1"/>
        <n v="0.18371583920637358" u="1"/>
        <n v="0.60102269810662645" u="1"/>
        <n v="0.12735849056603774" u="1"/>
        <n v="0.55657591139824636" u="1"/>
        <n v="0.89315068493150684" u="1"/>
        <n v="-0.43835616438356162" u="1"/>
        <n v="-7.8818841363546777E-2" u="1"/>
        <n v="0.38166390725592664" u="1"/>
        <n v="0.72950819672131151" u="1"/>
        <n v="1.9262444016132307E-2" u="1"/>
        <n v="-0.56438356164383563" u="1"/>
        <n v="0.24922194922194929" u="1"/>
        <n v="9.6953661801581714E-2" u="1"/>
        <n v="7.7348066298342538E-2" u="1"/>
        <n v="4.5176449724261825E-2" u="1"/>
        <n v="-0.35808950709987464" u="1"/>
        <n v="0.13738039376465827" u="1"/>
        <n v="-2.7294684183908791E-2" u="1"/>
        <n v="-0.28227571115973737" u="1"/>
        <n v="0.13956045574166931" u="1"/>
        <n v="0.75826349774668333" u="1"/>
        <n v="7.6822292471729559E-2" u="1"/>
        <n v="0.53448158748793118" u="1"/>
        <n v="0.61095890410958908" u="1"/>
        <n v="0.75866349256456411" u="1"/>
        <n v="0.11403368584619766" u="1"/>
        <n v="0.51390141276700074" u="1"/>
        <n v="0.20604858002923582" u="1"/>
        <n v="0.27055279614481559" u="1"/>
        <n v="0.70181115181115172" u="1"/>
        <n v="-0.48493150684931507" u="1"/>
        <n v="0.27575648975409828" u="1"/>
        <n v="0.22923493934426231" u="1"/>
        <n v="0.23835616438356164" u="1"/>
        <n v="-0.12912087912087911" u="1"/>
        <n v="0.12013246974860159" u="1"/>
        <n v="0.2211533629351915" u="1"/>
        <n v="0.12421555875820589" u="1"/>
        <n v="5.7534246575342465E-2" u="1"/>
        <n v="-0.11768286183828658" u="1"/>
        <n v="0.32054794520547947" u="1"/>
        <n v="-0.15616438356164386" u="1"/>
        <n v="0.23763098544522704" u="1"/>
        <n v="0.79347826086956519" u="1"/>
        <n v="0.71913527397260268" u="1"/>
        <n v="-3.6986301369863028E-2" u="1"/>
        <n v="7.2336065573770481E-2" u="1"/>
        <n v="0.186246599831216" u="1"/>
        <n v="0.10132850422188833" u="1"/>
        <n v="9.6566636248214599E-2" u="1"/>
        <n v="0.69969680575280091" u="1"/>
        <n v="-0.25" u="1"/>
        <n v="8.6255908068419873E-2" u="1"/>
        <n v="2.4804481026495684E-2" u="1"/>
        <n v="0.28955320493460035" u="1"/>
        <n v="6.8632284893621054E-2" u="1"/>
        <n v="0.5629139072847682" u="1"/>
        <n v="0.31578947368421051" u="1"/>
        <n v="9.2355933747620189E-2" u="1"/>
        <n v="0.55434782608695654" u="1"/>
        <n v="0.3159522081471382" u="1"/>
        <n v="0.12650832650832644" u="1"/>
        <n v="0.20261439241830065" u="1"/>
        <n v="0.20758941365001371" u="1"/>
        <n v="0.36712328767123287" u="1"/>
        <n v="0.6556291390728477" u="1"/>
        <n v="4.2970210447538126E-2" u="1"/>
        <n v="-3.4426229508196737E-2" u="1"/>
        <n v="8.7671232876712329E-2" u="1"/>
        <n v="7.3571596883465151E-2" u="1"/>
        <n v="0.28837607518317937" u="1"/>
        <n v="0.17651055221836143" u="1"/>
        <n v="0.59537522197088255" u="1"/>
        <n v="0.7483443708609272" u="1"/>
        <n v="-7.0850713873506943E-2" u="1"/>
        <n v="-5.7692307692307709E-2" u="1"/>
        <n v="-4.2622950819672156E-2" u="1"/>
        <n v="0.88132255810283799" u="1"/>
        <n v="0.13551735177868796" u="1"/>
        <n v="-0.11358401259438022" u="1"/>
        <n v="-3.1216302081682468E-3" u="1"/>
        <n v="0.58791208791208793" u="1"/>
        <n v="0.69817090682890681" u="1"/>
        <n v="-9.2763064471116485E-2" u="1"/>
        <n v="0.15269090721134759" u="1"/>
        <n v="-0.50824175824175821" u="1"/>
        <n v="0.2092974374642631" u="1"/>
        <n v="-0.18226533127569888" u="1"/>
        <n v="-5.494505494505475E-3" u="1"/>
        <n v="0.3623442547300415" u="1"/>
        <n v="-0.14918032786885249" u="1"/>
        <n v="-5.0819672131147575E-2" u="1"/>
        <n v="0.25267519631147539" u="1"/>
        <n v="0.14278991711233768" u="1"/>
        <n v="0.6870882718771183" u="1"/>
        <n v="-0.22100656455142231" u="1"/>
        <n v="0.39375786513830585" u="1"/>
        <n v="0.11856207245564893" u="1"/>
        <n v="0.35489263617766548" u="1"/>
        <n v="-0.27472527472527475" u="1"/>
        <n v="0.21512768281478145" u="1"/>
        <n v="0.73722627737226276" u="1"/>
        <n v="-4.918971115335502E-2" u="1"/>
        <n v="0.31168834235905984" u="1"/>
        <n v="-0.20273972602739732" u="1"/>
        <n v="0.12657434461222694" u="1"/>
        <n v="0.56317163422546634" u="1"/>
        <n v="0.20522669271577154" u="1"/>
        <n v="3.7780962534650797E-2" u="1"/>
        <n v="0.48550369156429152" u="1"/>
        <n v="0.19538524373975186" u="1"/>
        <n v="0.49671052631578949" u="1"/>
        <n v="0.16853665443983301" u="1"/>
        <n v="0.19899774294091777" u="1"/>
        <n v="4.2799089001027135E-2" u="1"/>
        <n v="0.22817212898565342" u="1"/>
        <n v="0.5056179775280899" u="1"/>
        <n v="0.19215687607843135" u="1"/>
        <n v="0.69122829722841672" u="1"/>
        <n v="0.23951905604645407" u="1"/>
        <n v="-0.32786972688009441" u="1"/>
        <n v="0.23706411245798287" u="1"/>
        <n v="-1.7134516794855004E-2" u="1"/>
        <n v="0.25144053503523867" u="1"/>
        <n v="0.54217768921913012" u="1"/>
        <n v="0.29764703977591034" u="1"/>
        <n v="-0.55769230769230771" u="1"/>
        <n v="-9.9847748858116425E-2" u="1"/>
        <n v="0.11968333594467206" u="1"/>
        <n v="0.50257372882309059" u="1"/>
        <n v="0.27816760393374829" u="1"/>
        <n v="0.64137159137159139" u="1"/>
        <n v="0.48901098901098899" u="1"/>
        <n v="4.3322999545014285E-2" u="1"/>
        <n v="0.27366446563363978" u="1"/>
        <n v="0.12307693925815288" u="1"/>
        <n v="0.28366014405228757" u="1"/>
        <n v="-1.6438356164383605E-2" u="1"/>
        <n v="0.20033161023190471" u="1"/>
        <n v="0.59210526315789469" u="1"/>
        <n v="0.19310390732600735" u="1"/>
        <n v="-0.1547928038031714" u="1"/>
        <n v="0.10688743663601885" u="1"/>
        <n v="0.11333331428571425" u="1"/>
        <n v="0.62270389648307889" u="1"/>
        <n v="0.24021294021294026" u="1"/>
        <n v="4.3887011372574225E-3" u="1"/>
        <n v="0.27442258681108633" u="1"/>
        <n v="0.9049586776859504" u="1"/>
        <n v="0.59715645122760441" u="1"/>
        <n v="-6.02739726027397E-2" u="1"/>
        <n v="0.25549453335723815" u="1"/>
        <n v="0.21810699588477367" u="1"/>
        <n v="0.16773137379197378" u="1"/>
        <n v="0.93801652892561982" u="1"/>
        <n v="-2.6229508196721318E-2" u="1"/>
        <n v="-8.4794936981076652E-2" u="1"/>
        <n v="0.16712328767123288" u="1"/>
        <n v="0.66609686609686602" u="1"/>
        <n v="0.50274725274725274" u="1"/>
        <n v="0.97107438016528924" u="1"/>
        <n v="-1.0137395928542237E-3" u="1"/>
        <n v="-8.206642348212223E-2" u="1"/>
        <n v="0.51085876368039695" u="1"/>
        <n v="5.799180327868847E-2" u="1"/>
        <n v="0.11913608069265902" u="1"/>
        <n v="0.366760490345301" u="1"/>
        <n v="-0.1838074398249453" u="1"/>
        <n v="0.31852924388933657" u="1"/>
        <n v="-6.3868613138686081E-2" u="1"/>
        <n v="0.1415362616164727" u="1"/>
        <n v="0.54255319148936165" u="1"/>
        <n v="0.54966887417218546" u="1"/>
        <n v="0.35659080373447666" u="1"/>
        <n v="-0.27292467193503955" u="1"/>
        <n v="0.78898698634926001" u="1"/>
        <n v="0.5349356615313221" u="1"/>
        <n v="0.3119730832007877" u="1"/>
        <n v="-9.31506849315068E-2" u="1"/>
        <n v="0.12434699237363156" u="1"/>
        <n v="0.6663352272727272" u="1"/>
        <n v="-2.2676553805218491E-2" u="1"/>
        <n v="0.217677963127754" u="1"/>
        <n v="0.10810455611577963" u="1"/>
        <n v="0.1291018291018291" u="1"/>
        <n v="0.80169181500465125" u="1"/>
        <n v="-0.17724288840262581" u="1"/>
        <n v="0.25806959877049185" u="1"/>
        <n v="-0.24725274725274726" u="1"/>
        <n v="0.55966093625659674" u="1"/>
        <n v="-3.7439595462276376E-3" u="1"/>
        <n v="0.82781456953642385" u="1"/>
        <n v="4.3772247937700959E-2" u="1"/>
        <n v="0.70917421370137879" u="1"/>
        <n v="1.3705471323592899E-2" u="1"/>
        <n v="0.25210211404986083" u="1"/>
        <n v="0.61361329026303646" u="1"/>
        <n v="-0.48626373626373631" u="1"/>
        <n v="0.13134052118625406" u="1"/>
        <n v="0.12650834276967893" u="1"/>
        <n v="0.66213487079287081" u="1"/>
        <n v="2.4733263423998286E-3" u="1"/>
        <n v="1.2789613779246145E-2" u="1"/>
        <n v="0.73348649080912121" u="1"/>
        <n v="0.77213862163171787" u="1"/>
        <n v="0.11558882451514496" u="1"/>
        <n v="0.70075776715181404" u="1"/>
        <n v="-0.29764994666031419" u="1"/>
        <n v="0.23360390484552612" u="1"/>
        <n v="5.842513218126566E-3" u="1"/>
        <n v="-0.17704918032786887" u="1"/>
        <n v="0.54732510288065839" u="1"/>
        <n v="0.46748567354627357" u="1"/>
        <n v="0.67979968331947871" u="1"/>
        <n v="-0.14660831509846828" u="1"/>
        <n v="0.11459453750915738" u="1"/>
        <n v="0.50538872106087007" u="1"/>
        <n v="0.25943396226415094" u="1"/>
        <n v="0.12487033093093092" u="1"/>
        <n v="-0.21978021978021978" u="1"/>
        <n v="0.77173538798940067" u="1"/>
        <n v="6.1437921830065356E-2" u="1"/>
        <n v="0.65884159948714338" u="1"/>
        <n v="0.26704194907734846" u="1"/>
        <n v="0.62735849056603776" u="1"/>
        <n v="0.60565730565730558" u="1"/>
        <n v="0.35637456243516241" u="1"/>
        <n v="0.85286286470521211" u="1"/>
        <n v="0.28146066425519245" u="1"/>
        <n v="0.60149793364299931" u="1"/>
        <n v="0.23217213114754098" u="1"/>
        <n v="0.77347510274732767" u="1"/>
        <n v="-0.14004376367614879" u="1"/>
        <n v="0.23120393120393123" u="1"/>
        <n v="-4.2465753424657526E-2" u="1"/>
        <n v="0.11149331755391756" u="1"/>
        <n v="0.19360629232284143" u="1"/>
        <n v="6.7813283462720531E-2" u="1"/>
        <n v="0.29434482546428165" u="1"/>
        <n v="0.15872236478296475" u="1"/>
        <n v="0.27110655737704914" u="1"/>
        <n v="1.6908230624680387E-3" u="1"/>
        <n v="0.15922896740139347" u="1"/>
        <n v="0.46913580246913578" u="1"/>
        <n v="0.77366255144032925" u="1"/>
        <n v="0.26229508196721313" u="1"/>
        <n v="0.32077284730032862" u="1"/>
        <n v="-9.1803278688524559E-2" u="1"/>
        <n v="-0.86027397260273974" u="1"/>
        <n v="0.32786885245901637" u="1"/>
        <n v="-0.1081967213114754" u="1"/>
        <n v="0.80822776271706953" u="1"/>
        <n v="0.24587281391043569" u="1"/>
        <n v="0.72185430463576161" u="1"/>
        <n v="-0.45604395604395609" u="1"/>
        <n v="-2.8996392030444351E-2" u="1"/>
        <n v="1.8268533314077406E-2" u="1"/>
        <n v="5.2486844887592032E-2" u="1"/>
        <n v="0.35452235796205644" u="1"/>
        <n v="0.42719942064934741" u="1"/>
        <n v="0.9068493150684932" u="1"/>
        <n v="-4.6077137372059318E-2" u="1"/>
        <n v="0.15032681071895426" u="1"/>
        <n v="7.4638290287727393E-2" u="1"/>
        <n v="9.9999860940969354E-2" u="1"/>
        <n v="0.97527472527472525" u="1"/>
        <n v="0.31372549019607843" u="1"/>
        <n v="0.81456953642384111" u="1"/>
        <n v="0.40094339622641512" u="1"/>
        <n v="-0.26743016644053408" u="1"/>
        <n v="0.18957139563199565" u="1"/>
        <n v="0.59624413145539901" u="1"/>
        <n v="-0.11159737417943105" u="1"/>
        <n v="0.5095039473983185" u="1"/>
        <n v="0.13388760139868927" u="1"/>
        <n v="0.30300543114754097" u="1"/>
        <n v="0.62465753424657533" u="1"/>
        <n v="-0.10439560439560436" u="1"/>
        <n v="3.3002069668562783E-2" u="1"/>
        <n v="0.31608830953823625" u="1"/>
        <n v="0.36857920163934421" u="1"/>
        <n v="0.45280898876404491" u="1"/>
        <n v="0.17011183001212449" u="1"/>
        <n v="0.51870405064713065" u="1"/>
        <n v="0.13251434816378538" u="1"/>
        <n v="0.34253486653095444" u="1"/>
        <n v="0.63735100928148924" u="1"/>
        <n v="-0.67123287671232879" u="1"/>
        <n v="0.76422764227642281" u="1"/>
        <n v="6.2968972869267392E-2" u="1"/>
        <n v="-0.48076923076923073" u="1"/>
        <n v="-9.7946858096952305E-2" u="1"/>
        <n v="0.1165470604313249" u="1"/>
        <n v="5.848852271062277E-2" u="1"/>
        <n v="0.33944678483372759" u="1"/>
        <n v="0.11618083040293037" u="1"/>
        <n v="0.14329271242131381" u="1"/>
        <n v="0.71780821917808224" u="1"/>
        <n v="-3.6660935671303241E-2" u="1"/>
        <n v="0.34037840332256575" u="1"/>
        <n v="0.77827133570181894" u="1"/>
        <n v="0.85012313867781486" u="1"/>
        <n v="0.15166939674521629" u="1"/>
        <n v="-4.141875227889158E-2" u="1"/>
        <n v="0.3099215505306876" u="1"/>
        <n v="0.25166734196036522" u="1"/>
        <n v="5.9492910482542904E-2" u="1"/>
        <n v="0.13986929437908502" u="1"/>
        <n v="0.77777777777777779" u="1"/>
        <n v="4.8464972818715868E-3" u="1"/>
        <n v="0.26041943252105704" u="1"/>
        <n v="0.69918699186991873" u="1"/>
        <n v="5.0737005073645314E-2" u="1"/>
        <n v="1.5279432985566554E-3" u="1"/>
        <n v="-0.76438356164383559" u="1"/>
        <n v="0.52173913043478259" u="1"/>
        <n v="0.18445628199111797" u="1"/>
        <n v="0.22529816793742019" u="1"/>
        <n v="2.9173477369622502E-2" u="1"/>
        <n v="0.21539717783841028" u="1"/>
        <n v="0.4532967032967033" u="1"/>
        <n v="0.10531908889630659" u="1"/>
        <n v="0.5047774736415247" u="1"/>
        <n v="3.0958246607683759E-2" u="1"/>
        <n v="0.34453332972347822" u="1"/>
        <n v="0.58677685950413228" u="1"/>
        <n v="0.81095890410958904" u="1"/>
        <n v="-0.39726027397260277" u="1"/>
        <n v="0.6198347107438017" u="1"/>
        <n v="0.63414634146341464" u="1"/>
        <n v="0.33835654441714436" u="1"/>
        <n v="0.89010989010989006" u="1"/>
        <n v="-0.21703296703296704" u="1"/>
        <n v="0.2020430364596999" u="1"/>
        <n v="0.28854822677111858" u="1"/>
        <n v="-7.4396133459271097E-2" u="1"/>
        <n v="0.1084903084903085" u="1"/>
        <n v="0.19339339339339345" u="1"/>
        <n v="0.43293111977872684" u="1"/>
        <n v="5.0039734582381756E-2" u="1"/>
        <n v="0.52317880794701987" u="1"/>
        <n v="0.60093896713615025" u="1"/>
        <n v="0.67452830188679247" u="1"/>
        <n v="0.51361917373576715" u="1"/>
        <n v="-0.11062801751724205" u="1"/>
        <n v="5.9661837555221586E-2" u="1"/>
        <n v="0.27173913043478259" u="1"/>
        <n v="0.52876712328767128" u="1"/>
        <n v="4.1545895526236221E-2" u="1"/>
        <n v="-0.42582417582417587" u="1"/>
        <n v="0.14405737704918031" u="1"/>
        <n v="0.75531914893617025" u="1"/>
        <n v="0.78601374551675263" u="1"/>
        <n v="0.17732241770491797" u="1"/>
        <n v="6.1201441837483106E-2" u="1"/>
        <n v="0.90410958904109584" u="1"/>
        <n v="-0.44383561643835612" u="1"/>
        <n v="0.10244456666666668" u="1"/>
        <n v="0.14971335577395584" u="1"/>
        <n v="-0.57534246575342474" u="1"/>
        <n v="0.2531425278724076" u="1"/>
        <n v="0.28484849090909092" u="1"/>
        <n v="0.70860927152317876" u="1"/>
        <n v="0.46052631578947367" u="1"/>
        <n v="-1.6140606092800103E-2" u="1"/>
        <n v="0.58449469312413471" u="1"/>
        <n v="0.17787164735756233" u="1"/>
        <n v="0.3447497863321739" u="1"/>
        <n v="0.62191780821917808" u="1"/>
        <n v="0.80132450331125826" u="1"/>
        <n v="0.20000001618122976" u="1"/>
        <n v="0.10151255896708533" u="1"/>
        <n v="0.29934266334671411" u="1"/>
        <n v="0.34091682254325401" u="1"/>
        <n v="0.93956043956043955" u="1"/>
        <n v="0.99726027397260275" u="1"/>
        <n v="-0.49041095890410957" u="1"/>
        <n v="0.24109589041095891" u="1"/>
        <n v="0.25442163330300283" u="1"/>
        <n v="0.78189300411522633" u="1"/>
        <n v="-0.66849315068493143" u="1"/>
        <n v="0.16593875972067929" u="1"/>
        <n v="0.32602739726027397" u="1"/>
        <n v="0.73051324997661382" u="1"/>
        <n v="-0.15890410958904111" u="1"/>
        <n v="-0.18956043956043955" u="1"/>
        <n v="-7.483477761852686E-2" u="1"/>
        <n v="5.8631357839640463E-2" u="1"/>
        <n v="0.51907537898810707" u="1"/>
        <n v="0.11888251149931461" u="1"/>
        <n v="-0.4505494505494505" u="1"/>
        <n v="0.16060162253611393" u="1"/>
        <n v="0.23806169449019154" u="1"/>
        <n v="0.33848231805001761" u="1"/>
        <n v="0.10586122867612979" u="1"/>
        <n v="0.82943576565000787" u="1"/>
        <n v="0.18181818181818177" u="1"/>
        <n v="0.35921719364280769" u="1"/>
        <n v="4.8660471575091457E-2" u="1"/>
        <n v="0.16260390307367056" u="1"/>
        <n v="0.43131464698679595" u="1"/>
        <n v="-0.12065727699530515" u="1"/>
        <n v="0.5900627987207987" u="1"/>
        <n v="-0.76164383561643834" u="1"/>
        <n v="1.0292728794029316E-2" u="1"/>
        <n v="0.37260273972602742" u="1"/>
        <n v="0.50950345950345943" u="1"/>
        <n v="-8.33642323746E-2" u="1"/>
        <n v="0.64754098360655743" u="1"/>
        <n v="0.36220458983619341" u="1"/>
      </sharedItems>
    </cacheField>
    <cacheField name="Tiempo restante de ejecución (días)" numFmtId="1">
      <sharedItems containsMixedTypes="1" containsNumber="1" containsInteger="1" minValue="247" maxValue="247"/>
    </cacheField>
    <cacheField name="Ejecución completa Recursos" numFmtId="0">
      <sharedItems containsBlank="1" count="5">
        <s v="NO"/>
        <s v="SI"/>
        <e v="#DIV/0!"/>
        <m/>
        <e v="#N/A" u="1"/>
      </sharedItems>
    </cacheField>
  </cacheFields>
  <extLst>
    <ext xmlns:x14="http://schemas.microsoft.com/office/spreadsheetml/2009/9/main" uri="{725AE2AE-9491-48be-B2B4-4EB974FC3084}">
      <x14:pivotCacheDefinition pivotCacheId="2"/>
    </ext>
  </extLst>
</pivotCacheDefinition>
</file>

<file path=xl/pivotCache/pivotCacheDefinition4.xml><?xml version="1.0" encoding="utf-8"?>
<pivotCacheDefinition xmlns="http://schemas.openxmlformats.org/spreadsheetml/2006/main" xmlns:r="http://schemas.openxmlformats.org/officeDocument/2006/relationships" r:id="rId1" refreshOnLoad="1" refreshedBy="NESTOR ARLEY RAMÍREZ RAMÍREZ" refreshedDate="43643.290609837961" createdVersion="4" refreshedVersion="5" minRefreshableVersion="3" recordCount="12">
  <cacheSource type="worksheet">
    <worksheetSource ref="AN277:AO289" sheet="Hoja2"/>
  </cacheSource>
  <cacheFields count="2">
    <cacheField name="MES" numFmtId="0">
      <sharedItems count="12">
        <s v="Enero"/>
        <s v="Febrero"/>
        <s v="Marzo"/>
        <s v="Abril"/>
        <s v="Mayo"/>
        <s v="Junio"/>
        <s v="Julio"/>
        <s v="Agosto"/>
        <s v="Septiembre"/>
        <s v="Octubre"/>
        <s v="Noviembre"/>
        <s v="Diciembre"/>
      </sharedItems>
    </cacheField>
    <cacheField name="# Contratos" numFmtId="0">
      <sharedItems containsSemiMixedTypes="0" containsString="0" containsNumber="1" containsInteger="1" minValue="161" maxValue="250"/>
    </cacheField>
  </cacheFields>
  <extLst>
    <ext xmlns:x14="http://schemas.microsoft.com/office/spreadsheetml/2009/9/main" uri="{725AE2AE-9491-48be-B2B4-4EB974FC3084}">
      <x14:pivotCacheDefinition/>
    </ext>
  </extLst>
</pivotCacheDefinition>
</file>

<file path=xl/pivotCache/pivotCacheDefinition5.xml><?xml version="1.0" encoding="utf-8"?>
<pivotCacheDefinition xmlns="http://schemas.openxmlformats.org/spreadsheetml/2006/main" xmlns:r="http://schemas.openxmlformats.org/officeDocument/2006/relationships" r:id="rId1" refreshOnLoad="1" refreshedBy="NESTOR ARLEY RAMÍREZ RAMÍREZ" refreshedDate="43643.290609837961" createdVersion="4" refreshedVersion="5" minRefreshableVersion="3" recordCount="12">
  <cacheSource type="worksheet">
    <worksheetSource ref="AH277:AI289" sheet="Hoja2"/>
  </cacheSource>
  <cacheFields count="2">
    <cacheField name="MES" numFmtId="0">
      <sharedItems count="12">
        <s v="Enero"/>
        <s v="Febrero"/>
        <s v="Marzo"/>
        <s v="Abril"/>
        <s v="Mayo"/>
        <s v="Junio"/>
        <s v="Julio"/>
        <s v="Agosto"/>
        <s v="Septiembre"/>
        <s v="Octubre"/>
        <s v="Noviembre"/>
        <s v="Diciembre"/>
      </sharedItems>
    </cacheField>
    <cacheField name="# Contratos" numFmtId="0">
      <sharedItems containsSemiMixedTypes="0" containsString="0" containsNumber="1" containsInteger="1" minValue="13" maxValue="68"/>
    </cacheField>
  </cacheFields>
  <extLst>
    <ext xmlns:x14="http://schemas.microsoft.com/office/spreadsheetml/2009/9/main" uri="{725AE2AE-9491-48be-B2B4-4EB974FC3084}">
      <x14:pivotCacheDefinition/>
    </ext>
  </extLst>
</pivotCacheDefinition>
</file>

<file path=xl/pivotCache/pivotCacheDefinition6.xml><?xml version="1.0" encoding="utf-8"?>
<pivotCacheDefinition xmlns="http://schemas.openxmlformats.org/spreadsheetml/2006/main" xmlns:r="http://schemas.openxmlformats.org/officeDocument/2006/relationships" r:id="rId1" refreshOnLoad="1" refreshedBy="NESTOR ARLEY RAMÍREZ RAMÍREZ" refreshedDate="43643.290609953707" createdVersion="4" refreshedVersion="5" minRefreshableVersion="3" recordCount="12">
  <cacheSource type="worksheet">
    <worksheetSource ref="AK277:AL289" sheet="Hoja2"/>
  </cacheSource>
  <cacheFields count="2">
    <cacheField name="MES" numFmtId="0">
      <sharedItems count="12">
        <s v="Enero"/>
        <s v="Febrero"/>
        <s v="Marzo"/>
        <s v="Abril"/>
        <s v="Mayo"/>
        <s v="Junio"/>
        <s v="Julio"/>
        <s v="Agosto"/>
        <s v="Septiembre"/>
        <s v="Octubre"/>
        <s v="Noviembre"/>
        <s v="Diciembre"/>
      </sharedItems>
    </cacheField>
    <cacheField name="# Contratos" numFmtId="0">
      <sharedItems containsSemiMixedTypes="0" containsString="0" containsNumber="1" containsInteger="1" minValue="74" maxValue="152"/>
    </cacheField>
  </cacheFields>
  <extLst>
    <ext xmlns:x14="http://schemas.microsoft.com/office/spreadsheetml/2009/9/main" uri="{725AE2AE-9491-48be-B2B4-4EB974FC3084}">
      <x14:pivotCacheDefinition/>
    </ext>
  </extLst>
</pivotCacheDefinition>
</file>

<file path=xl/pivotCache/pivotCacheDefinition7.xml><?xml version="1.0" encoding="utf-8"?>
<pivotCacheDefinition xmlns="http://schemas.openxmlformats.org/spreadsheetml/2006/main" xmlns:r="http://schemas.openxmlformats.org/officeDocument/2006/relationships" r:id="rId1" refreshOnLoad="1" refreshedBy="NESTOR ARLEY RAMÍREZ RAMÍREZ" refreshedDate="43643.290610069445" createdVersion="4" refreshedVersion="5" minRefreshableVersion="3" recordCount="246">
  <cacheSource type="worksheet">
    <worksheetSource ref="E6:AC252" sheet="Base de Datos"/>
  </cacheSource>
  <cacheFields count="25">
    <cacheField name="Número de contrato" numFmtId="0">
      <sharedItems containsBlank="1" count="253">
        <s v="010000-768-0-2008"/>
        <s v="040000-1118-7-2008"/>
        <s v="040000-1120-0-2008"/>
        <s v="040000-821-0-2009"/>
        <s v="120000-727-0-2009"/>
        <s v="120000-436-0-2011"/>
        <s v="050000-275-0-2011"/>
        <s v="120000-255-0-2011"/>
        <s v="120000-260-0-2011"/>
        <s v="120000-281-0-2011"/>
        <s v="120000-297-0-2011"/>
        <s v="120000-307-0-2011"/>
        <s v="120000-331-0-2011"/>
        <s v="120000-361-0-2011"/>
        <s v="120000-440-0-2011"/>
        <s v="040000-221-0-2012"/>
        <s v="040000-357-0-2012"/>
        <s v="040000-410-0-2012"/>
        <s v="050000-120-0-2012"/>
        <s v="050000-131-0-2012"/>
        <s v="120000-463-0-2012"/>
        <s v="050000-155-0-2012"/>
        <s v="050000-222-0-2012"/>
        <s v="050000-290-0-2012"/>
        <s v="050000-324-0-2012"/>
        <s v="050000-333-0-2012"/>
        <s v="050000-340-0-2012"/>
        <s v="050000-342-0-2012"/>
        <s v="050000-346-0-2012"/>
        <s v="050000-348-0-2012"/>
        <s v="050000-349-0-2012"/>
        <s v="050000-353-0-2012"/>
        <s v="050000-356-0-2012"/>
        <s v="050000-358-0-2012"/>
        <s v="120000-371-0-2012"/>
        <s v="050000-386-0-2012"/>
        <s v="050000-395-0-2012"/>
        <s v="050000-427-0-2012"/>
        <s v="050000-433-0-2012"/>
        <s v="050000-468-0-2012"/>
        <s v="050000-498-0-2012"/>
        <s v="050000-501-0-2012"/>
        <s v="120000-125-0-2012"/>
        <s v="120000-151-0-2012"/>
        <s v="120000-177-0-2012"/>
        <s v="120000-223-0-2012"/>
        <s v="120000-289-0-2012"/>
        <s v="120000-312-0-2012"/>
        <s v="120000-328-0-2012"/>
        <s v="120000-368-0-2012"/>
        <s v="120000-376-0-2012"/>
        <s v="120000-381-0-2012"/>
        <s v="120000-390-0-2012"/>
        <s v="120000-396-0-2012"/>
        <s v="120000-398-0-2012"/>
        <s v="120000-399-0-2012"/>
        <s v="120000-402-0-2012"/>
        <s v="120000-196-0-2012"/>
        <s v="120000-403-0-2012"/>
        <s v="120000-406-0-2012"/>
        <s v="120000-416-0-2012"/>
        <s v="120000-420-0-2012"/>
        <s v="120000-425-0-2012"/>
        <s v="120000-442-0-2012"/>
        <s v="120000-451-0-2012"/>
        <s v="120000-456-0-2012"/>
        <s v="120000-464-0-2012"/>
        <s v="120000-466-0-2012"/>
        <s v="120000-478-0-2012"/>
        <s v="120000-483-0-2012"/>
        <s v="120000-490-0-2012"/>
        <s v="120000-494-0-2012"/>
        <s v="130326-0-2013"/>
        <s v="120000-521-0-2012"/>
        <s v="120000-523-0-2012"/>
        <s v="120000-453-0-2012"/>
        <s v="120000-504-0-2012"/>
        <s v="120000-507-0-2012"/>
        <s v="120000-525-0-2012"/>
        <s v="120000-535-0-2012"/>
        <s v="130019-0-2013"/>
        <s v="130023-0-2013"/>
        <s v="130036-0-2013"/>
        <s v="130044-0-2013"/>
        <s v="130048-0-2013"/>
        <s v="130091-0-2013"/>
        <s v="130106-0-2013"/>
        <s v="130116-0-2013"/>
        <s v="130121-0-2013"/>
        <s v="130126-0-2013"/>
        <s v="130129-0-2013"/>
        <s v="130130-0-2013"/>
        <s v="130133-0-2013"/>
        <s v="130136-0-2013"/>
        <s v="130139-0-2013"/>
        <s v="130141-0-2013"/>
        <s v="130142-0-2013"/>
        <s v="130146-0-2013"/>
        <s v="130147-0-2013"/>
        <s v="130150-0-2013"/>
        <s v="130152-0-2013"/>
        <s v="130154-0-2013"/>
        <s v="130156-0-2013"/>
        <s v="130161-0-2013"/>
        <s v="130162-0-2013"/>
        <s v="130163-0-2013"/>
        <s v="130164-0-2013"/>
        <s v="130166-0-2013"/>
        <s v="130186-0-2013"/>
        <s v="130190-0-2013"/>
        <s v="130194-0-2013"/>
        <s v="130196-0-2013"/>
        <s v="130198-0-2013"/>
        <s v="130200-0-2013"/>
        <s v="130202-0-2013"/>
        <s v="130204-0-2013"/>
        <s v="130207-0-2013"/>
        <s v="130209-0-2013"/>
        <s v="130211-0-2013"/>
        <s v="130214-0-2013"/>
        <s v="130217-0-2013"/>
        <s v="130220-0-2013"/>
        <s v="130227-0-2013"/>
        <s v="130228-0-2013"/>
        <s v="130229-0-2013"/>
        <s v="130237-0-2013"/>
        <s v="130241-0-2013"/>
        <s v="130242-0-2013"/>
        <s v="130244-0-2013"/>
        <s v="130249-0-2013"/>
        <s v="130254-0-2013"/>
        <s v="130260-0-2013"/>
        <s v="130261-0-2013"/>
        <s v="130265-0-2013"/>
        <s v="130270-0-2013"/>
        <s v="130276-0-2013"/>
        <s v="130281-0-2013"/>
        <s v="130286-0-2013"/>
        <s v="130297-0-2013"/>
        <s v="130298-0-2013"/>
        <s v="130299-0-2013"/>
        <s v="130301-0-2013"/>
        <s v="130309-0-2013"/>
        <s v="130321-0-2013"/>
        <s v="130325-0-2013"/>
        <s v="120000-518-0-2012"/>
        <s v="130334-0-2013"/>
        <s v="130336-0-2013"/>
        <s v="130340-0-2013"/>
        <s v="130346-0-2013"/>
        <s v="130349-0-2013"/>
        <s v="130352-0-2013"/>
        <s v="130355-0-2013"/>
        <s v="130361-0-2013"/>
        <s v="130362-0-2013"/>
        <s v="130363-0-2013"/>
        <s v="130364-0-2013"/>
        <s v="130365-0-2013"/>
        <s v="130368-0-2013"/>
        <s v="130370-0-2013"/>
        <s v="130372-0-2013"/>
        <s v="130373-0-2013"/>
        <s v="130375-0-2013"/>
        <s v="130378-0-2013"/>
        <s v="130380-0-2013"/>
        <s v="130384-0-2013"/>
        <s v="130385-0-2013"/>
        <s v="130386-0-2013"/>
        <s v="140174-0-2014"/>
        <s v="140034-0-2014"/>
        <s v="140136-0-2014"/>
        <s v="140138-0-2014"/>
        <s v="140140-0-2014"/>
        <s v="140152-0-2014"/>
        <s v="140153-0-2014"/>
        <s v="140154-0-2014"/>
        <s v="140157-0-2014"/>
        <s v="140158-0-2014"/>
        <s v="140159-0-2014"/>
        <s v="140160-0-2014"/>
        <s v="140161-0-2014"/>
        <s v="140162-0-2014"/>
        <s v="140164-0-2014"/>
        <s v="140166-0-2014"/>
        <s v="140167-0-2014"/>
        <s v="140168-0-2014"/>
        <s v="140169-0-2014"/>
        <s v="140171-0-2014"/>
        <s v="140172-0-2014"/>
        <s v="140173-0-2014"/>
        <s v="140176-0-2014"/>
        <s v="140178-0-2014"/>
        <s v="140179-0-2014"/>
        <s v="140181-0-2014"/>
        <s v="140186-0-2014"/>
        <s v="140188-0-2014"/>
        <s v="140190-0-2014"/>
        <s v="140191-0-2014"/>
        <s v="140193-0-2014"/>
        <s v="140198-0-2014"/>
        <s v="140200-0-2014"/>
        <s v="140201-0-2014"/>
        <s v="140260-0-2014"/>
        <s v="140207-0-2014"/>
        <s v="140212-0-2014"/>
        <s v="140215-0-2014"/>
        <s v="140216-0-2014"/>
        <s v="140219-0-2014"/>
        <s v="140220-0-2014"/>
        <s v="140221-0-2014"/>
        <s v="140222-0-2014"/>
        <s v="140228-0-2014"/>
        <s v="140233-0-2014"/>
        <s v="140234-0-2014"/>
        <s v="140236-0-2014"/>
        <s v="140241-0-2014"/>
        <s v="140184-0-2014"/>
        <s v="140210-0-2014"/>
        <s v="140224-0-2014"/>
        <s v="140238-0-2014"/>
        <s v="140243-0-2014"/>
        <s v="140244-0-2014"/>
        <s v="140249-0-2014"/>
        <s v="140252-0-2014"/>
        <s v="140274-0-2014"/>
        <s v="140276-0-2014"/>
        <s v="140279-0-2014"/>
        <s v="140281-0-2014"/>
        <s v="140282-0-2014"/>
        <s v="140288-0-2014"/>
        <s v="140290-0-2014"/>
        <s v="140291-0-2014"/>
        <s v="140292-0-2014"/>
        <s v="140296-0-2014"/>
        <s v="140299-0-2014"/>
        <s v="140306-0-2014"/>
        <s v="140312-0-2014"/>
        <s v="140316-0-2014 "/>
        <s v="140317-0-2014"/>
        <s v="140319-0-2014"/>
        <s v="140322-0-2014"/>
        <s v="140330-0-2014"/>
        <s v="140342-0-2014"/>
        <s v="140344-0-2014"/>
        <s v="140315-0-2014"/>
        <s v="140334-0-2014"/>
        <m u="1"/>
        <s v="140169-0-2014 CESION" u="1"/>
        <s v="120000-466-12" u="1"/>
        <s v="140158-02014" u="1"/>
        <s v="120000-466-2012" u="1"/>
        <s v="050000-371-0-2012" u="1"/>
        <s v="140174-0-2013" u="1"/>
      </sharedItems>
    </cacheField>
    <cacheField name="Nombre" numFmtId="0">
      <sharedItems containsBlank="1" count="200">
        <s v="FONDO DE VIGILANCIA Y SEGURIDAD DE BOGOTÁ"/>
        <s v="COLOMBIANA DE SOFTWARE Y HARDWARE COLSOF S.A."/>
        <s v="COMPUFACIL"/>
        <s v="DATAPOINT DE COLOMBIA S A S"/>
        <s v="D&amp;D AIRE ACONDICIONADO LTDA."/>
        <s v="POLÍTICAS MEDIOS E INVESTIGACIONES"/>
        <s v="J.A. ZABALA &amp; CONSULTORES ASOCIADOS LTDA."/>
        <s v="COTECNA CERTIFICADORA SEVICES LIMITADA"/>
        <s v="CONSERAUTO"/>
        <s v="PC MICROS LTDA."/>
        <s v="ELECTRIMEK LTDA."/>
        <s v="KEY MARKEY S.A."/>
        <s v="PAPELERÍA  LOS  LAGOS  LTDA."/>
        <s v="CONTROL SISTEMAS DE COMUNICACIONES C.S.C. LTDA."/>
        <s v="FACTOR VISUAL EAT"/>
        <s v="LILIA FANNY GUEVARA PARRADO"/>
        <s v="EMPRESA DE TELECOMUNICACIONES DE BOGOTÁ S.A.-ETB-ESP"/>
        <s v="ACE SEGUROS S.A."/>
        <s v="MELCO DE COLOMBIA LIMITADA "/>
        <s v="ALPUNTO SOLUCIONES SAS 12000-463-0-2012"/>
        <s v="EDITORIAL EL GLOBO S.A"/>
        <s v="PRODYGRAF LTDA."/>
        <s v="INGENIERÍA DE BOMBAS Y PLANTAS LIMITADA"/>
        <s v="JAKO IMPORTACIONES S.A.S"/>
        <s v="POSITIVA COMPAÑÍA DE SEGUROS S A"/>
        <s v="UNIÓN TEMPORAL SEGUROS GENERALES SURAMERICANA S.A. PREVISORA S.A. COMPAÑÍA DE SEGUROS Y QBE SEGUROS S.A."/>
        <s v="COMUNICAN S.A"/>
        <s v="EDITORIAL LA UNIDAD"/>
        <s v="PUBLICACIONES SEMANA S.A."/>
        <s v="INTEGRA SECURITY SYSTEMS S A"/>
        <s v="YAMILE MARIVEL MOLANO GUZMÁN"/>
        <s v="AMANDA LILIANA RICO DÍAZ"/>
        <s v="CALIDAD COMPORTAMIENTO EMPRESARIAL LTDA"/>
        <s v="ORGANIZACIÓN TERPEL S.A."/>
        <s v="JUAN MANUEL GÓMEZ DUARTE"/>
        <s v="KARINA BELTRÁN MEJÍA"/>
        <s v="JORGE ENRIQUE AVILAN "/>
        <s v="CARLOS EDUARDO PINEDA AMÓRTEGUI"/>
        <s v="DAMTON ARTÍCULOS PUBLICITARIOS LTDA"/>
        <s v="CORPORACIÓN INSTITUTO COLOMBIANO DE CUALIFICACIÓN EMPRESARIAL -CICCE"/>
        <s v="CESAR ALEJANDRO GUERRERO BARRIGA"/>
        <s v="REVISTA EL CONGRESO SIGLO XXI LTDA"/>
        <s v="SOCIEDAD ENTORNO COMPAÑÍA LTDA"/>
        <s v="CANAL CAPITAL"/>
        <s v="SECURITY TECH  CONTROL LTDA"/>
        <s v="SEGUROS DEL ESTADO S.A"/>
        <s v="SOLUCIONES Y DIAGNÓSTICOS EN INGENIERÍA ELÉCTRICA LTDA"/>
        <s v="PORTES DE COLOMBIA LTDA"/>
        <s v="UNIÓN TEMPORAL EMINSER-SOLOASEO "/>
        <s v="NELSON EDUARDO MUÑOZ MORENO"/>
        <s v="SOLUTION COPY LTDA"/>
        <s v="UNIÓN TEMPORAL INTERPOSTAL URBANEX"/>
        <s v="CENTRO DE RECURSOS EDUCATIVOS PARA LA COMPETITIVIDAD EMPRESARIAL LTDA - CRECE"/>
        <s v="ECO COLSULTORES"/>
        <s v="UNIVERSIDAD LA GRAN COLOMBIA"/>
        <s v="INSTITUTO DISTRITAL DEL PATRIMONIO CULTURAL - IDCP"/>
        <s v="SGS COLOMBIA S.A."/>
        <s v="INCTEC INGENIEROS CIVILES ARQUITECTOS LTDA"/>
        <s v="GRUPO EDITORIAL EL PERIÓDICO S.A.S"/>
        <s v="COMPAÑÍA COLOMBIANA DE CONSTRUCCIÓN COD S.A. "/>
        <s v="MEDIDORES TÉCNICA EQUIPOS S.A. "/>
        <s v="INDUARCHIVOS LTDA"/>
        <s v="UNIÓN TEMPORAL VISE - VIGILANCIA ACOSTA - COSERVICREA - RUMBO"/>
        <s v="CAJA DE COMPENSACIÓN FAMILIAR COMPENSAR - BIENESTAR"/>
        <s v="MIGUEL ANDRÉS GUTIÉRREZ ROMERO"/>
        <s v="CR TROFEOS LTDA"/>
        <s v="JARDÍN BOTÁNICO"/>
        <s v="CAJA COLOMBIANA DE SUBSIDIO FAMILIAR - COLSUBSIDIO - BONOS"/>
        <s v="SERVIMEDIOS LTDA"/>
        <s v="SISTEMAS INTEGRALES DE TRATAMIENTOS DE AGUAS LTDA - ACUANATURA"/>
        <s v="DIRECTV COLOMBIA LTDA"/>
        <s v="INFOSOURCES LTDA"/>
        <s v="DB SYSTEM LTDA"/>
        <s v="HERNANDO  BULLA ORJUELA"/>
        <s v="PAPELERÍA  LOS  LAGOS  LTDA"/>
        <s v="CAJA DE COMPENSACIÓN FAMILIAR COMPENSAR"/>
        <s v="GAMMA INGENIEROS S A"/>
        <s v="CONTROLES EMPRESARIALES LTDA"/>
        <s v="NEWNET S.A"/>
        <s v="AMBICOL SERVICES S.A.S. "/>
        <s v="SYSTEM NET INGENIERÍA LTDA"/>
        <s v="MELCO DE COLOMBIA LIMITADA"/>
        <s v="CASA EDITORIAL EL TIEMPO SA"/>
        <s v="DPC LTDA PUBLICACIONES DESPACHOS PÚBLICOS DE COLOMBIA LTDA"/>
        <s v="EDGARDO ANDRÉS MALDONADO CORTES"/>
        <s v="ROSA ENRIQUELINA GÓMEZ CORREDOR"/>
        <s v="SEGURIDAD NUEVA ERA"/>
        <s v="MOTORES Y MAQUINAS MOTORYSA"/>
        <s v="LILIANA ALFONSO JAIMES"/>
        <s v="AGR SOLUCIONES S.A.S."/>
        <s v="BUSINESS TECHNOLOGIES COMPANY"/>
        <s v="CANAL REGIONAL DE TELEVISION TEVEANDINA LTDA - TEVEANDINA LTDA"/>
        <s v="MUDANZAS LEMUS"/>
        <s v="AUGUSTO MEDIVELSO OJEDA"/>
        <s v="KHAANKO NORBERTO RUIZ RODRÍGUEZ"/>
        <s v="EDELMIRA ATARA GIL"/>
        <s v="RICOH COLOMBIA S.A."/>
        <s v="INVERSIONES MATAY SAS"/>
        <s v="CARLOS ALFONSO RESTREPO"/>
        <s v="EDGAR EULICES GONZÁLEZ"/>
        <s v="INGTEL LTDA"/>
        <s v="DESCONT S.A."/>
        <s v="CONSORCIO CJ"/>
        <s v="SEGUROS GENERALES SURAMERICANA S.A"/>
        <s v="SODINLEC LTDA"/>
        <s v="WIESNER FABIÁN ROBAYO SALCEDO"/>
        <s v="KARENN ANDREA SUAREZ LINARES"/>
        <s v="ACABADOS ALTAPISOS INVERSIONES  S.A.S."/>
        <s v="INVERSIONES LIGOL - INVERLIGOL LTD A"/>
        <s v="CONTRONET LTDA"/>
        <s v="INGEAL S.A."/>
        <s v="CAJA DE COMPENSACIÓN FAMILIAR COMPENSAR SALONES"/>
        <s v="PROCOLDEXT LIMITADA"/>
        <s v="UNIVERSIDAD DISTRITAL FRANCISCO JOSÉ DE CALDAS"/>
        <s v="TECNOLOGÍA BIOMÉDICA"/>
        <s v="ITELCO IT S.A.S"/>
        <s v="CJS CANECAS Y CIA LTDA"/>
        <s v="COMERCIALIZADORA INTERNACIONAL MEDICA DENTAL S.A.S"/>
        <s v="SOLUCIONES INTEGRALES DE OFICINAS      SAS"/>
        <s v="3D CONSULTING GROUP LTDA"/>
        <s v="COMPENSAR BIENESTAR"/>
        <s v="UNIÓN TEMPORAL VIGILANCIA ACOSTA LTDA  - RUMBO ASOCIADOS"/>
        <s v="EMPRESA DE TELECOMUNICACIONES DE BOGOTA S.A.   ESP"/>
        <s v="SI CAPIT@L"/>
        <s v="NEX COMPUTER S.A.  - NEXCOM"/>
        <s v="RIELCO   LTDA"/>
        <s v="RIGOBERTO GÓMEZ JAIMES"/>
        <s v="PUBBLICA S.A.S."/>
        <s v="INSTITUCIONAL STAR SERVICES LTDA"/>
        <s v="CAJA COLOMBIANA SUBSIDIO FAMILIAR - COLSUBSIDIO"/>
        <s v="ANDREA SUSANA BELLO CANTOR"/>
        <s v="JORGE ORLANDO RUBIANO CARRANZA"/>
        <s v="UNIÓN TEMPORAL AVALÚOS PATRIMONIALES H-SD"/>
        <s v="FERNANDO SOTOMONTE AMAYA"/>
        <s v="JORGE ALBERTO GALVIS  ESTUPIÑAN"/>
        <s v="UNIPLES S.A."/>
        <s v="VICTOR MANUEL ARMELLA VELÁSQUEZ"/>
        <s v="DIANA PATRICIA JAIME - SERVIMATEC DNO"/>
        <s v="COMUNICACIONES E INFORMÁTICA  S.A..S"/>
        <s v="NORMA CONSTANZA MEZA GÓMEZ"/>
        <s v="LORENZA SANTOS BARBOSA (Cesionaria) - Antes VICTOR MANUEL ARMELLA VELASQUEZ"/>
        <s v="MITSUBISHIS ELECTRIC DE COLOMBIA LTDA"/>
        <s v="JORGE LUIS TRUJILLO VERA"/>
        <s v="MATILDE NIETO CONTRERAS (Cesionaria) / antes ELIS ALEXANDER MORENO SALAMANCA"/>
        <s v="SONA GREEN TECHNOLOGIES SAS"/>
        <s v="K 10 DESIGN   S.A.S"/>
        <s v="MODULARES OFIMA LTDA"/>
        <s v="SECURITYCOM S.A.S"/>
        <s v="KONNEN SERVICES    S.A.S"/>
        <s v="GRANADOS Y CONDECORACIONES"/>
        <s v="A&amp;V EXPRESS S.A."/>
        <s v="UNIDAD NACIONAL DE PROTECCIÓN  UNP"/>
        <s v="IDENTICO SAS"/>
        <s v="MUDANZAS EL NOGAL SAS"/>
        <s v="UNIDAD NACIONAL DE PROTECCIÓN"/>
        <s v="MARKETGROUP SAS"/>
        <s v="JOSÉ SADY SUAVITA ROJAS"/>
        <s v="T Y G MINOLTA"/>
        <s v="ELKIN MAURICIO DIMAS MONTAYA"/>
        <s v="DIVIEXPORT EU"/>
        <s v="SEGUROS GENERALES SURAMERICANA"/>
        <s v="H &amp; D OFIMAGEN"/>
        <s v="SISTEMA Y SEGURIDAD INDUSTRIAL COLOMBIANA E.U."/>
        <s v="COMPENSAR SALONES"/>
        <s v="INDUSTRIAS QUÍMICAS FIQ LTDA"/>
        <s v="LINALCA INFORMATICA"/>
        <s v="SUPERIOR DE DOTACIONES SAS"/>
        <s v="CENTRO DE DIAGNOSTICO Y TRATAMIENTO CENDIATRA LTDA"/>
        <s v="NAYIVE CARRASCO PATIÑO"/>
        <s v="JUAN SEBASTIÁN RAMÍREZ"/>
        <s v="LIZETH  GONZÁLEZ VARGAS"/>
        <s v="I3NET  S.A.S"/>
        <s v="CRISTIAN DAVID PARDO MARTINEZ"/>
        <s v="SOLUCIONES EN INGENIERIA Y SOFTWARE SAS"/>
        <s v="SUMIMAS SAS"/>
        <s v="EDITORES CONARTE SAS"/>
        <s v="GUSTAVO ADOLFO BARRETO CASANOVA"/>
        <s v="PROSEGUR TECNOLOGÍA S.A.S."/>
        <m u="1"/>
        <s v="ELIS ALEXANDER MORENO SALAMANCA /" u="1"/>
        <s v="MATILDE NIETO CONTRERAS" u="1"/>
        <s v="INSTITUTO DISTRITAL DE PATRIMONIO CULTURAL" u="1"/>
        <s v="INGEAL  S. A." u="1"/>
        <s v="ELIS ALEXANDER MORENO SALAMANCA" u="1"/>
        <s v="RIGOBERTO GÓMEZ JAIME" u="1"/>
        <s v="NAYIBE CARRASCO PATIÑO" u="1"/>
        <s v="WIIESNER FABIÁN ROBAYO SALCEDO" u="1"/>
        <s v="SISTEMAS Y SEGURIDAD INDUSTRIAL COLOMBIANA E U" u="1"/>
        <s v="MUDANZAS DEL NOGAL SAS" u="1"/>
        <s v="EDITORIAL LA UNIDAD S.A" u="1"/>
        <s v="CAJA COLOMBINA SUBSIDIO FAMILIAR - COLSUBSIDIO" u="1"/>
        <s v="COMUNICAN SA" u="1"/>
        <s v="TERPEL" u="1"/>
        <s v="D.P.C LTDA PUBLICACIONES DESPACHOS PÚBLICOS DE COLOMBIA LTDA" u="1"/>
        <s v="INGENIERIA DE BOMBAS Y PLANTAS" u="1"/>
        <s v="LILIA FANNY GUEVARA" u="1"/>
        <s v="CANAL 13" u="1"/>
        <s v="SGS COLOMBIA" u="1"/>
        <s v="GAMMA  INGENIEROS" u="1"/>
        <s v="UNIÓN TEMPORAL EMINSER SOLOASEO" u="1"/>
      </sharedItems>
    </cacheField>
    <cacheField name="NIT o ID" numFmtId="0">
      <sharedItems containsString="0" containsBlank="1" containsNumber="1" containsInteger="1" minValue="4831" maxValue="1073156298"/>
    </cacheField>
    <cacheField name="Objeto del contrato" numFmtId="0">
      <sharedItems containsBlank="1" count="258" longText="1">
        <s v="La SDH y el Fondo de Vigilancia y Seguridad social de Bogotá D.C. se asocian con el fin de realizar de manera conjunta la contratación del arrendamiento operativo de vehículos para garantizar la movilidad de los Honorables Concejales y adelantar el proceso de selección  y las etapas precontractual y postcontractual, que redunden en una eficiente gestión administrativa y ahorro de esfuerzos económicos, logísticos y técnicos en los términos y condiciones que establece en el presente convenio interadministrativo de asociación."/>
        <s v="Contratar la gestión integral de servicios de mesas de ayuda, soporte informático, mantenimiento preventivo y correctivo de la infraestructura tecnológica con suministro de repuestos para la Secretaria Distrital de Hacienda ."/>
        <s v="Contratar la gestión integral de servicios de impresión, para la secretaria de Distrital de Hacienda, de conformidad con los requerimientos establecidos en el pliego de condiciones del proceso de selección Abreviada SDH-SIP-015-2008 ÍTEM 2 y en el acta de audiencia de adjudicación"/>
        <s v="Adquisición de elementos de Tecnología Informática como estaciones de trabajo entre computadores de escritorio y computadores portátiles, con destino al Concejo de Bogotá, con el fin de efectuar la renovación de la infraestructura tecnológica de conformidad con lo establecido en el pliego de condiciones, los estudios previos y el acta de adjudicación del proceso SDH-SIE-018-2009."/>
        <s v="Contratar la adquisición de elementos de tecnología y Licencias de Software, con destino al Concejo de Bogotá para atender las necesidades de procesamiento y almacenamiento de conformidad con lo establecido en el pliego de condiciones y los estudios previos del proceso SDH-SIE-013-2009"/>
        <s v="Contratar los servicios de mantenimiento preventivo y correctivo, soporte técnico especializado y suministro de repuestos por demanda, de los sistemas de aire acondicionado del Concejo de Bogotá."/>
        <s v="Suscripción al servicio de información jurídica a través de boletines informativos por correo electrónico, consultas en página WEB y biblioteca digital de legislación y jurisprudencia colombiana actualizada."/>
        <s v="Desarrollar las actividades contenidas en los planes de bienestar  e incentivos del Concejo de Bogotá de conformidad con los requerimientos establecidos en los pliegos de Condiciones del proceso de selección Abreviada de Menor Cuantía SDH-SAMC-001-2011"/>
        <s v="Realizar las pre-auditorias, auditorias y certificación al Sistema de Gestión Ambiental bajo los estándares de calidad de la norma ISO 14001: 2004 y el Sistema de Gestión de Seguridad y Salud Ocupacional cumpliendo con la norma OHSAS 18001: 2007 respectivamente para el Concejo de Bogotá D.C., de conformidad con lo establecido en el anexo definitivo de los estudios previos del Proceso No. SDH-SAMC-002-2011."/>
        <s v="Prestar el servicio de mantenimiento correctivo con suministro de repuestos de los automotores marca MITSUBISHI al servicio del Concejo de Bogotá."/>
        <s v="Adquisición y /o actualización, mantenimiento y soporte de licencias de software antivirus para el Concejo de Bogotá, de conformidad con lo establecido en la presente invitación pública."/>
        <s v="Prestar el servicio de mantenimiento preventivo y correctivo (incluyendo repuestos), de los equipos de aseo (brilladoras y aspiradoras) del Concejo de Bogotá D.C., de conformidad con lo establecido en la invitación pública del proceso citado en asusto y la propuesta presentada por la firma que usted representa."/>
        <s v="Adquirir medios de almacenamiento cintas Tape Backup y CD, para garantizar la protección a la información."/>
        <s v="Suministrar papelería y útiles de escritorio por el sistema de precios unitarios fijos, en la modalidad de proveeduría integral (outsourcing) para el Concejo de Bogotá D.C., de conformidad con los requerimientos establecidos en el pliego de condiciones y "/>
        <s v="Adquirir un sistema biométrico de control de acceso y control de horarios para  el Concejo de Bogotá, D.C. de conformidad con lo establecido en la invitación pública del proceso de selección citado en el asunto."/>
        <s v="Mantenimiento, soporte y actualización al software Prontus (Página web e Intranet)"/>
        <s v="Adquirir medios de almacenamiento (CD, DVD, DVD/R) para el Concejo de Bogotá, de conformidad con las especificaciones técnicas previstas en la Invitación Pública del proceso de selección SDH-SMINC-026-2012."/>
        <s v="Prestar los servicios de conectividad de canales de comunicación, dedicados e internet y servicios complementarios para la secretaria Distrital de Hacienda y Concejo de Bogotá, de conformidad con lo establecido en los estudios previos."/>
        <s v="Contratar la Póliza de Responsabilidad Civil Servidores Públicos para el Concejo de Bogotá D.C."/>
        <s v="Prestar el servicio de mantenimiento preventivo y correctivo ocasional a los ascensores marca Mitsubishi ubicados en el Concejo de Bogotá."/>
        <s v="CONTRATAR  EL MANTENIMIENTO (CON SUMINISTRO DE REPUESTOS) Y RECARGA DE LOS EXTINTORES Y LA REVISIÓN Y MANTENIMIENTO DE LOS GABINETES CONTRA INCENDIO DE LAS SEDES DEL CONCEJO DE BOGOTÁ."/>
        <s v="SUSCRIPCIÓN AL DIARIO LA REPÚBLICA, POR EL TÉRMINO DE UN AÑO, PARA EL CONCEJO DE BOGOTÁ_x000a_"/>
        <s v="Realizar el mantenimiento correctivo y preventivo para las máquinas: Impresora Litográfica MULTILITIH modelo 1250, Compaginadora DUPLO DC 10, Guillotina y Cizalla manual; ubicadas en la oficina de Anales y Publicaciones del Concejo de Bogotá, Calle 36 No. 28 a-41 Bogotá D.C., de conformidad con lo establecido en la invitación pública."/>
        <s v="Contratar el servicio de mantenimiento preventivo y correctivo para los tanques de almacenamiento y equipos de bombeo hidráulicos de agua potable, residual y aguas negras de las instalaciones del Centro Administrativo Distrital CAD ."/>
        <s v="Prestar el servicio de mantenimiento periódico preventivo al parque automotor de la Secretaría Distrital de Hacienda y el Concejo de Bogotá D.C."/>
        <s v="Expedición de pólizas de seguros EL CONCEJO DE BOGOTA que conforman el Grupo No 4 &quot;SEGUROS DE VIDA CONCEJALES&quot;, del pliego de condiciones de la Licitación Pública No. SDH-LP-001-2012 y la propuesta por el contratista el POSITIVA COMPAÑÍA DE SEGUROS S.A."/>
        <s v="La Secretaria Distrital de Hacienda, están interesadas en contratar las pólizas de seguros requeridas para la adecuada protección de los bienes e intereses patrimoniales de propiedad de las mismas y del Concejo de Bogotá D.C., o de aquellos por los cuales sean o llegaren a ser legalmente responsables, así como los seguros de Grupo Vida de los CONCEJALES DE BOGOTÁ D.C.- AUTOMÓVILES"/>
        <s v="SUSCRIPCIÓN AL DIARIO EL ESPECTADOR, POR EL TÉRMINO DE UN AÑO, PARA EL CONCEJO DE BOGOTÁ."/>
        <s v="Realizar la suscripción a periódicos, revistas, medios de comunicación impresos, para el Concejo de Bogotá _EL NUEVO SIGLO"/>
        <s v="SUSCRIPCIÓN A LA REVISTA SEMANA, POR EL TÉRMINO DE UN AÑO, PARA EL CONCEJO DE BOGOTÁ"/>
        <s v="Prestar el servicio de mantenimiento preventivo y correctivo con suministro de repuestos, del sistema de alarmas de emergencia, ubicado en las sedes del Concejo de Bogotá D.C."/>
        <s v="Prestar los servicios profesionales para asesorar Jurídicamente a los miembros  mesa directiva del Concejo de Bogotá D.C., en ala prevención del daño antijurídico"/>
        <s v="PRESTAR LOS SERVICIOS PROFESIONALES PARA EFECTUAR EL APOYO AL SEGUIMIENTO Y LA VERIFICACIÓN DE CUMPLIMIENTO DE LOS ASPECTOS JURÍDICOS, TÉCNICOS, ADMINISTRATIVOS Y ECONÓMICOS DE LAS ACTIVIDADES DE SUPERVISIÓN, DELEGADAS A LA DIRECCIÓN ADMINISTRATIVA Y FINANCIERA DEL CONCEJO DE BOGOTÁ D.C., DE CONFORMIDAD CON LOS ESTUDIOS PREVIOS."/>
        <s v="Adquirir a título de compraventa elementos de protección personal para los servidores públicos  del Concejo de Bogotá,  de conformidad con los establecido en la invitación pública del proceso de selección mínima cuantía No. SDH-SMINC-25-2012 y la propuesta por ustedes presentada."/>
        <s v="Suministro de combustible para el Concejo de Bogotá D.C., de conformidad con los pliegos de condiciones del proceso de selección abreviada de menor cuantía No. SDH-SAMC-002-2012 y la propuesta."/>
        <s v="Prestar los servicios profesionales para apoyar a la oficina de sistemas del Concejo de Bogotá en el soporte técnico y mantenimiento de Hardware y software de los equipos de computo de la Corporación."/>
        <s v="Adquirir a título de compraventa de uniformes y elementos deportivos para el Concejo de Bogotá, D.C._x000a_"/>
        <s v="CONTRATAR LOS SERVICIOS PROFESIONALES PARA ELABORAR LA PLANEACIÓN, EJECUCIÓN Y SEGUIMIENTO A PROYECTOS DE INFRAESTRUCTURA FÍSICA, QUE REQUIERA EL  CONCEJO DE BOGOTÁ D.C."/>
        <s v="Prestar los servicios profesionales para diseñar el plan estratégico del talento humano-PETH para el Concejo de Bogotá."/>
        <s v="Adquirir a título de compraventa por el sistema de precios unitarios de elementos, medicamentos e insumos  para dotar los botiquines, consultorio y brigadas de emergencia del Concejo de Bogotá, D.C."/>
        <s v="EJECUTAR ACTIVIDADES DE CAPACITACIÓN PARA EL CONCEJO DE BOGOTÁ, EN EL EJE TEMÁTICO DEL SISTEMA DE INFORMACIÓN Y GESTIÓN DOCUMENTAL DE ARCHIVO Y CORRESPONDENCIA, DE CONFORMIDAD CON LOS DOCUMENTOS QUE HACEN PARTE DE LA PRESENTE CONTRATACIÓN Y  LO ESTABLECIDO EN LA PRESENTE INVITACIÓN PÚBLICA"/>
        <s v="Contratar el servicio para la elaboración del retrato sobre lienzo al óleo del Honorable Concejal de Bogotá D.C., doctor Darío Fernando Cepeda Peña, actual Presidente de la Mesa Directiva del Concejo de Bogotá D.C.k, de conformidad con los estudios previo"/>
        <s v="Suscripción a la  revista El Congreso Siglo XXI, con destino al Concejo de Bogotá, D.C., de acuerdo con lo establecido en los estudios previos"/>
        <s v="Contratar el servicio de exámenes médicos ocupacionales y paraclínicos y suministro y aplicación de vacunas"/>
        <s v="Contratar la preproducción, producción, emisión y postproducción de 140 programas de televisión, con un término de duración de treinta (30) minutos cada uno, que permita a los bogotanos conocer el diario transcurrir de la Corporación, así como las opiniones de los Honorables Concejales que representan los intereses de los diferentes sectores sociales de la Capital, de conformidad con lo establecido en los estudios previos."/>
        <s v="Alquiler de medios tecnológicos para ser utilizados como apoyo en el esquema de seguridad para la permanencia y adecuada protección de los bienes muebles e inmuebles de propiedad del Concejo de Bogotá D.C., de conformidad con lo establecido en la Invitación Pública No. SHD-SMINC-015-2012 y la propuesta presentada por el contratista."/>
        <s v="Contratar con una compañía de seguros legalmente autorizada para funcionar en el país, las pólizas de Seguro Obligatorio SOAT requerida para la adecuada protección de los vehículos de propiedad de la SECRETARIA DE HACIENDA y del CONCEJO DE BOGOTÁ"/>
        <s v="Prestar el servicio de mantenimiento preventivo y correctivo al sistema eléctrico del  Centro Administrativo Distrital CAD y al Sistema de Generación y Transferencia Eléctrica de Emergencia  del Concejo de Bogotá, DC."/>
        <s v="Contrata el transporte  de bienes muebles, equipos de oficina y cajas de archivo documental  para la Secretaría Distrital de Hacienda, dentro el perímetro urbano de Bogotá, D.C."/>
        <s v="Prestar el servicio integral de aseo y cafetería  para las instalaciones del Concejo de Bogotá y la Secretaria de Hacienda "/>
        <s v="Prestar el servicio de empaste y/o encuadernación de documentos de archivo en libros tamaños carta, oficio o extra-oficio para el Concejo de Bogotá D.C:, de conformidad con lo establecido en las especificaciones enunciadas en el Anexo Técnico - Especifica"/>
        <s v="Contratar la prestación de servicio de fotocopiado y servicios afines para el Concejo de Bogotá y la Secretaría de Hacienda"/>
        <s v="Contratar la prestación de los servicio de mensajería expresa masiva del Concejo de  Bogotá  de conformidad con los pliegos de condiciones del proceso de Selección Abreviada de Menor Cuantía No. SDH-SAMC-003-2012 y la propuesta presentada."/>
        <s v="Realizar la ejecución de actividades de capacitación para el Concejo de Bogotá, D.C., correspondientes a los Grupos 4: Eje temático: Administración Pública; 5: Eje temático: Componente Jurídico y 9: Eje temático: Sistema Integrado de Gestión,  de la Licitación Pública SDH-LP-002-2012, de conformidad con lo establecido en el pliego de condiciones."/>
        <s v="Realizar la ejecución de actividades de capacitación para el Concejo de Bogotá, D.C., correspondientes al Grupo 8: Ejes temáticos : Comunicación Organizacional y Calidad de Vida Laboral para los grupos de apoyo normativo, de la Licitación Pública SDH-LP-002-2012, de conformidad con lo establecido en el pliego de condiciones, el Anexo técnico y la propuesta"/>
        <s v="Realizar la ejecución de actividades de capacitación para el Concejo de Bogotá, D.C., correspondientes al Grupo 7: Eje temático: Sistemas y Herramientas Informáticas,  de la Licitación Pública SDH-LP-002-2012, de conformidad con lo establecido en el pliego"/>
        <s v="LA SECRETARÍA DISTRITAL DE HACIENDA Y EL INSTITUTO DISTRITAL DE PATRIMONIO CULTURAL, se comprometen a aunar esfuerzos, recursos técnicos, humanos y financieros para la intervención y realización de las actividades asociadas a la restauración - conservación de los bienes muebles de carácter patrimonial del Honorable Concejo de Bogotá D.C."/>
        <s v="REALIZAR LAS  AUDITORIAS DE SEGUIMIENTO AL SISTEMA DE GESTIÓN DE CALIDAD DEL CONCEJO DE BOGOTÁ"/>
        <s v="Realizar la interventoría técnica, administrativa, ambiental, contable, contractual, financiera, legal y presupuestal, para el contrato de “Mantenimiento integral locativo, con el suministro de personal, materiales y repuestos para las instalaciones físicas del Concejo D.C.&quot;, de conformidad con lo establecido en la invitación pública del proceso SDH-SMINC-029-2012 y la propuesta presentada."/>
        <s v="Suscripción  al diario Periódico de Bogotá, con destino al Concejo de Bogotá, DC., de conformidad con los estudios previos."/>
        <s v="Contratar el servicio de mantenimiento integral locativo con el suministro de personal, equipo y repuestos en las instalaciones físicas del Concejo de Bogotá y la Secretaría de Hacienda"/>
        <s v="Revisión general de los sistemas de transporte vertical del CAD y del Concejo de Bogotá y Expedir la certificación de conformidad con la normatividad vigente sobre el tema"/>
        <s v="Contratar el servicio de mantenimiento preventivo y correctivo de los sistemas de archivos rodantes, de propiedad del Concejo de Bogotá y la Secretaría de Hacienda"/>
        <s v="Prestar el servicio integral de vigilancia y seguridad privada para la permanente y adecuada protección de las personas (funcionarios, visitantes, contribuyentes), los bienes muebles e inmuebles de propiedad de la entidad contratante, así como de aquellos por los que les correspondiere velar en virtud de disposición legal, contractual o convencional, para el Concejo de Bogotá D.C., de conformidad con lo establecido en el pliego de condiciones del proceso de selección SDH-LP-003-2012, sus anexos y la propuesta presentada."/>
        <s v="Prestar los servicios integrales para desarrollar las actividades contenidas en los planes de bienestar e incentivos del Concejo de Bogotá, de conformidad con lo establecido en el pliego de condiciones del Proceso de Selección de Menor Cuantía SDH-SAMC-005-2012 y la propuesta."/>
        <s v="Realizar el servicio de mantenimiento correctivo, incluyendo los repuestos y/o elementos nuevos que requieran las sillas existentes en el Concejo de Bogotá."/>
        <s v="Suministrar elementos de promoción institucional y actos protocolarios del Concejo de Bogotá D.C., de acuerdo a las especificaciones técnicas y en las cantidades solicitadas, de conformidad con lo establecido en la Invitación Pública No. SDH-SMINC-046-2012"/>
        <s v="La SDH Y EL JARDÍN BOTÁNICO, se compromete a aunar esfuerzos y recursos técnicos, humanos financieros para realizar actividades de arborización y manejo integral de arboles en el Concejo de Bogotá"/>
        <s v="Entregar a título de compraventa bonos del Plan de Bienestar para el Concejo de Bogotá D.C. de conformidad con los establecido en el proceso SDJH-SAMC-006-2012 y el anexo Técnico N° 1"/>
        <s v="Prestar el servicio integral en comunicación, consistente en el diseño, producción y ejecución de las estrategias de divulgación en medios de comunicación de carácter masivo, alternativo y comunitario al servicio del Concejo de Bogotá D.C., de conformidad con lo establecido en los pliegos de condiciones del proceso No. SDH-SIE-06-2012 y Oferta económica."/>
        <s v="Realizar el mantenimiento preventivo y correctivo (con suministro de repuestos) a las plantas purificadoras y dispensadores de agua del Concejo de Bogotá, D.C., de conformidad con la Invitación Pública del proceso de Selección de Mínima Cuantía No. SDH-SMINC-054-2012."/>
        <s v="Suscripción al Sistema de Televisión Satelital para ser instalado en la sede del Concejo de Bogotá, D.C"/>
        <s v="Aunar esfuerzos técnicos, humanos y financieros para la intervención y realización de las actividades asociadas a la restauración - conservación de los bienes de carácter patrimonial del Honorable Concejo de Bogotá, D.C., fase II, que incluye los bienes en el segundo orden de prioridad para restauración. "/>
        <s v="Adquirir a título de compra el  libro memorias y luchas urbanas por el derecho a una vida digna, autor Doctor Álvaro Oviedo Hernández, de conformidad con lo establecido en la Invitación Pública SDH-SMINC-59-2012."/>
        <s v="Contratar los servicios de mantenimiento, soporte técnico especializado, administración, seguridad y comunicaciones de las plataformas Oracle y Microsoft del Concejo de Bogotá, de conformidad con lo establecido en el pliego de condiciones y los anexos del proceso de selección abreviada de menor cuantía N° SDH-SAMC-016-2012"/>
        <s v="Prestación del servicio de mantenimiento correctivo con suministro de repuestos de los automotores marca CHEVROLET al servicio del Concejo de Bogotá."/>
        <s v="Prestar los servicios integrales para desarrollar las actividades contenidas en los planes de bienestar e incentivos del Concejo de Bogotá, de conformidad con lo establecido en el pliego de condiciones del Proceso de Selección de Menor Cuantía SDH-SAMC-00"/>
        <s v="Adquisición de un sistema de control de contenidos para el Concejo de Bogotá"/>
        <s v="Adquisición de licencias Exchange, licencias directorio activo Windows Server, para el Concejo de Bogotá  D.C."/>
        <s v="Adquisición de licencias e implementación del Software para la gestión de la mesa de ayuda de la TIC'S para el Concejo de Bogotá D.C., de conformidad con lo establecido en pliego de condiciones del proceso de selección No. SDH -SIE-12-2012, y la propuesta presentada por el contratista."/>
        <s v="Prestar el servicio integral a todo costo de desinsectación, desinfección y desratización, para el control o manejo integrado de plagas en las instalaciones de la Secretaria de Hacienda, zonas comunes del Centro Administrativo Distrital CAD y el Concejo de Bogotá."/>
        <s v="Realizar el mantenimiento correctivo y preventivo para las maquinas: Impresora Litográfica MULTILITH modelo 1250, compaginadora DUPLO DC 10 , Guillotina de Cizalla Manual; ubicadas en la oficina de Anales y Publicaciones del Concejo de Bogotá."/>
        <s v="Entregar tres ejemplares de cada uno de los diarios, El Tiempo, y Portafolio por el término de un (1) año para el Concejo de Bogotá D.C."/>
        <s v="Adquirir a título de compraventa ejemplares del Directorio de Despachos Públicos de Colombia, 22ª publicación, edición 2012-2013, para el Concejo de Bogotá, de conformidad con lo señalado en los estudios previos"/>
        <s v="Prestar servicios profesionales para apoyar a la Dirección Financiera del Concejo de Bogotá en la supervisión de los contratos que le sean asignados, implementando mecanismos que le permitan contribuir efectivamente al seguimiento técnico, administrativo, financiero  contable y jurídico sobre el cumplimiento del objeto de cada contrato asignado"/>
        <s v="Prestar servicios profesionales para acompañar la definición, contratación, intervención y seguimiento de los temas relacionados con la infraestructura del Concejo de Bogotá D.C. "/>
        <s v="Contratar los servicios de impresión, para la Secretaria Distrital de hacienda y el Concejo de Bogotá de conformidad con los requerimientos establecidos en el pliego de condiciones"/>
        <s v="Contratar la prestación del servicio de mantenimiento preventivo y correctivo con suministro de repuestos del sistema de alarmas de emergencia, ubicado en las sedes del Concejo de Bogotá D.C."/>
        <s v="Contratar la prestación del servicio de mantenimiento correctivo con suministro de repuestos de los automotores marca MITSUBISHI al servicio del Concejo de Bogotá."/>
        <s v="Suscripción a la revista EL CONGRESO Siglo XXI, con destino al Concejo de Bogotá D.C. "/>
        <s v="Contratar los servicios de mantenimiento, preventivo y correctivo con suministro de repuestos de la puerta eléctrica y talanqueras de acceso vehicular en el Concejo de Bogotá. "/>
        <s v="Contratar la suscripción al servicio de información jurídica a través de boletines informativos por correo electrónico, consultas en pagina WEB y biblioteca digital de la legislación y jurisprudencia colombiana actualizada"/>
        <s v="Contratar la preproducción, emisión y posproducción de programas de televisión que permita a los bogotanos conocer el diario trascurrir de la Corporación, así como las opiniones de los Honorables Concejales que representan los intereses de los diferentes sectores sociales de la capital."/>
        <s v="Servicio de trasporte de bienes muebles y cajas de archivo documental para el Concejo de Bogotá, D.C."/>
        <s v="Prestar servicios profesionales de asesoría jurídica en orden a la identificación de riesgos potenciales a los que se encuentra expuesto el Concejo de Bogotá."/>
        <s v="Realizar la auditoria de seguimiento al sistema de Gestión de calidad del Concejo de Bogotá D.C. bajo las normas ISO 9001-2008 y la NTC-GP 1000;2009"/>
        <s v="Prestar servicios profesionales para llevar a cabo el seguimiento de todas las solicitudes registradas en el aplicativo Mesa de Ayuda del proceso de sistemas del Concejo de Bogotá D.C."/>
        <s v="Formular una propuesta de &quot;Manual de Manejo de Conflictos&quot; a partir del diagnóstico del clima laboral, de forma tal que se permita detectar, prevenir e intervenir de manera oportuna los riesgos potenciales en materia de relaciones interpersonales de los servidores públicos en el Concejo de Bogotá D.C. previo diagnóstico del clima organizacional actual."/>
        <s v="Adquisición de impresoras para el Concejo de Bogotá, de conformidad con los requerimientos establecidos en el pliego de condiciones del proceso SDH-SIE-02-2013"/>
        <s v="Contratar a titulo de arrendamiento un inmueble para uso de parqueadero, para el Concejo de Bogotá D.C."/>
        <s v="Suministrar elementos de promoción institucional y actos protocolarios del Concejo de Bogotá D.C., de acuerdo con las especificaciones técnicas y en las cantidades solicitadas de conformidad con lo establecido en la presente Invitación Pública."/>
        <s v="Prestar el servicio integral de aseo y cafetería  para las instalaciones del Concejo de Bogotá y la Secretaria de Hacienda"/>
        <s v="Realizar la interventoría técnica, administrativa, ambiental, contractual, financiera, legal y presupuestal para el contrato de mantenimiento integral locativo con el suministro de personal, equipo y repuestos en las instalaciones del Concejo de Bogotá."/>
        <s v="Prestar los servicios profesionales para apoyar a la Dirección Financiera del Concejo de Bogotá D.C., en la revisión y estudio de las historias laborales de los funcionarios para establecer la definición técnica y jurídica del cumplimiento de los requisitos en los diferentes regímenes de pensión."/>
        <s v="Contratar la adquisición de medios de almacenamiento (cintas para tape backup, CD, DVD y Felpas)"/>
        <s v="Realizar la recolección, trasporte, tratamiento y disposición final de los residuos peligrosos existentes en el Concejo de Bogotá D.C. atendiendo los lineamientos y directrices normativas en ésta materia."/>
        <s v="Contratar el mantenimiento integral locativo con el suministro de personal, equipo y repuestos en las instalaciones físicas del Concejo de Bogotá, de conformidad con lo establecido en el pliego de condiciones del proceso SDH-SAMC-004-2013."/>
        <s v="SUSCRIPCIÓN AL DIARIO EL NUEVO SIGLO, PARA EL CONCEJO DE BOGOTÁ D.C."/>
        <s v="Contratar la expedición de las pólizas de seguro obligatorio SOAT para los vehículos del CONCEJO DE BOGOTÁ, de conformidad con lo establecido en la invitación publica de mínima Cuantía  No SDH-SMINC-31-2013"/>
        <s v="Prestar el servicio de mantenimiento preventivo y correctivo al sistema de generación y trasferencia eléctrica de emergencia del concejo de Bogotá D.C., de conformidad con lo establecido en la invitación pública SDH-SMINC-023-2013,"/>
        <s v="Prestar los servicios profesionales para apoyar a la Dirección Financiera del Concejo de Bogotá D.C. en la revisión  y estudio de las historias laborales de los funcionarios para establecer la definición técnica y jurídica del cumplimiento de  los requisitos  en los diferentes regímenes de pensión."/>
        <s v="SUSCRIPCIÓN A LA REVISTA SEMANA, PARA EL CONCEJO DE BOGOTÁ"/>
        <s v="SUSCRIPCIÓN AL DIARIO EL ESPECTADOR, PARA EL CONCEJO DE BOGOTÁ."/>
        <s v="Contratar le prestación de servicios de empaste y/ o encuadernación de documentos del Concejo de Bogotá D.C.,  de conformidad con lo establecido en la invitación publica del proceso citado en el asunto y la propuesta por usted presentada. "/>
        <s v="Contratar la gestión integral de servicio de mesa  de ayuda, soporte informático, mantenimiento preventivo y correctivo d  la infraestructura tecnológica con suministros de repuestos  para el Concejo de Bogotá de conformidad con los estudios previos, los anexos técnicos y la prepuesta presentada del proceso de selección Subasta Inversa Electrónica SDH-SMINC-005-2013."/>
        <s v="Contratar el servicio de mantenimiento correctivo, traslado, incluyendo los repuestos y/o elementos nuevos que requieran los sistemas de archivos rodantes, existentes en las diferentes dependencias del Concejo de Bogotá, de conformidad con lo establecido en la invitación Publica."/>
        <s v="Prestar los servicios de mantenimiento periódico preventivo del parque automotor al servicio del Concejo de Bogotá D.C. de conformidad con lo establecido en la invitación Publica del proceso No SDH-SMINC-038-2013 y la propuesta presentada por el contratista."/>
        <s v="Contratar los servicios de mantenimiento correctivo por demanda, con repuestos, soporte técnico especializado y actualización para el sistema integrado de la red de cableado estructurado  (voz y datos), fibra óptica, energía eléctrica (normal y regulada) de la Secretaria Distrital de Hacienda y el Concejo de Bogotá, de conformidad con el pliego de Condiciones Proceso SDH-SIE-07-2013."/>
        <s v="Prestar los servicios de mantenimiento preventivo y correctivo con repuesto y bienes fungibles para el sistema de corriente regulada (UPS APC) Para el concejo de Bogotá D.C: en las condiciones descritas en el pliego de condiciones del proceso de selección SDH-SIE-08-2013, el anexo técnico No 1 Ítem 3 y la propuesta presentada para el Ítem 3"/>
        <s v="Contratar el alquiler diferentes tipos de escenarios: salones, auditorios y espacios abiertos de diversas capacidades donde en forma adicional al espacio se suministre el apoyo logístico, alimentación, equipamiento y personal necesario para el desarrollo de eventos, actos de orden institucional y protocolario en cumplimiento de las funciones del Concejo de Bogotá, de conformidad con las condiciones establecidas en el pliego de condiciones del proceso SDH-SAMC-06-2013"/>
        <s v="Realizar el mantenimiento, revisión, recarga general y suministro de repuesto de los extintores de las sedes del Concejo de Bogotá, y la revisión, mantenimiento y suministro de repuestos de los gabinetes contra incendio de la Corporación, de conformidad con lo establecido en la Invitación Pública SDH-SMINC-39-2013."/>
        <s v="Contratar los servicios integrales para la ejecución y desarrollo de plan institucional de capacitación del Concejo de Bogotá D.C. de conformidad con la normatividad vigente."/>
        <s v="Adquirir a titulo de compraventa mediante el sistema de precios unitarios, elementos, medicamentos e insumos para dotar el consultorio medico, brigada de emergencia y los botiquines del Concejo de Bogotá D.C. de conformidad con lo establecido en la invitación del proceso No SDH-SMINC-40-2013 Y  la propuesta presentada por el contratista."/>
        <s v="Contratar la adquisición, mantenimiento y soporte de licencias de software antivirus para la plataforma del Concejo de Bogotá D.C, de conformidad con lo establecido en el pliego de condiciones del proceso No SDH-SMINC-43-2013"/>
        <s v="Prestar el servicio de mantenimiento, soporte y actualización al software &quot;Prontus&quot; (pagina web e intranet)"/>
        <s v="Contratar el suministro de elementos necesarios para la recolección y manejo integral de residuos solidos del  Concejo de Bogotá D.C. de conformidad con lo estipulado en la invitación Publica del proceso SDH-SMINC-042-2013"/>
        <s v="Adquirir a titulo de compraventa elementos de protección personal  para los servidores Públicos del concejo de Bogotá D.C. de conformidad con lo establecido en la invitación publica No SDH-SMINC-45-2013"/>
        <s v="Suscripción al diario El Periódico, con destino al Concejo de Bogotá D.C. , de conformidad con los estudios previos."/>
        <s v="Adquirir a titulo de compraventa los elementos descritos en el Ítem 2 de la invitación publica SDH-SMINC-44-2013 que tiene por objeto &quot;Adquirir a titulo de compraventa por el sistema de precios unitarios mobiliario y equipos de oficinas consistentes en sillas y elementos ergonómicos, para adecuar los puestos de trabajo de los servidores Públicos del Concejo de Bogotá D.C.&quot;"/>
        <s v="Adquirir a titulo de compraventa los elementos descritos en el ítem 1 de la invitación publica SDH-SMINC-44-2013, que tiene por objeto &quot;Adquirir a titulo de Compraventa por el sistema de precios unitarios mobiliario y equipos de oficina consistentes en sillas y elementos ergonómicos, para adecuar los puestos de trabajo de los servidores públicos del Concejo de Bogotá D.C.&quot;"/>
        <s v="Aunar esfuerzos para el desarrollo de las actividades contenidas en los planes de bienestar e incentivos del Concejo de Bogotá D.C."/>
        <s v="Prestar los servicios de vigilancia privada para la permanente y adecuada protección de las personas (funcionarios, contratista, visitantes, contribuyentes) los bienes muebles e inmuebles de propiedad de la entidad contratante, así como de aquellos por los  que les correspondiere salvaguardar en virtud de disposición legal, contractual o convencional. para el Concejo de Bogotá D.C. de conformidad con lo establecido en le pliego de condiciones del proceso de selección SDH-SIE-11-2013,  sus anexos y la propuesta presentada"/>
        <s v="Prestar los Servicios de conectividad de canales de comunicación, dedicados e Internet y servicios complementarios para la Secretaría Distrital de Hacienda y Concejo de Bogotá."/>
        <s v="Suministrar por parte de la SECRETARIA DISTRITAL DE HACIENDA el sistema de información Hacendario SI CAPIT@L, entregando copia de los programas fuentes y documentación del software como manuales técnico y de usuario, al Concejo de Bogotá D.C., autorizando su uso en virtud de la cooperación interinstitucional. "/>
        <s v="LA SECRETARÍA DISTRITAL DE HACIENDA Y EL INSTITUTO DISTRITAL DE PATRIMONIO CULTURAL, se comprometen a aunar esfuerzos y recursos técnicos, humanos y financieros, para adelantar las actividades requeridas en la actualización física y tecnológica del inmueble denominado Edificio del Claustro del Concejo de Bogotá, D. C., ubicado en la calle 36 No. 28 A 41 de la ciudad de Bogotá., de conformidad con lo establecido en los estudios previos y los Anexos Nos. 1, 2 y 3."/>
        <s v="Adquisición de equipos PC`s para el Concejo de Bogotá, de conformidad con lo establecido en el pliego de condiciones y en la propuesta presentada por NEX COMPUTER S.A., dentro del procesos de selección abreviada a través del procedimiento de subasta inversa electrónica Nº SDH-SIE-010-2013"/>
        <s v="Contratar el servicio para la elaboración del retrato sobre lienzo al óleo de la Honorable Concejal de Bogotá D.C., Doctora  María Clara Name Ramírez, actual Presidenta de la Mesa Directiva del Concejo de Bogotá D.C., de conformidad con los estudios previos."/>
        <s v="Suministrar e instalar plantas purificadoras de agua semi-industriales en las dependencias del Concejo de Bogotá D.C., de acuerdo con las especificaciones y condiciones descritas en los estudios previos y anexo Técnico de conformidad con lo establecido en la invitación publica SDH-SMINC-53-2013"/>
        <s v="Prestar el servicio de alquiler, instalación y desmonte de la decoración navideña para la sede principal del Concejo de Bogotá D.C., de conformidad con los establecidos en la invitación publica SDH-SMINC-58-2013."/>
        <s v="Prestar el servicio integral en comunicación, consistente en el diseño, producción y ejecución de las estrategias de divulgación en medios de carácter masivo, alternativo y comunitario al servicio del Concejo de Bogotá D.C."/>
        <s v="Suministrar papelería y útiles de escritorio por el sistema de precios unitarios fijos, en la modalidad de proveeduría integral (outsourcing) para el Concejo de Bogotá D.C., de conformidad con los requerimientos establecidos en el pliego de condiciones."/>
        <s v="Adquirir a titulo de compraventa bonos para el Concejo de Bogotá"/>
        <s v="Prestar servicios profesionales al Concejo de Bogotá D.C. para realización de actividades de identificación, clasificación, depuración organización y actualización de la normativa de los acuerdos distritales."/>
        <s v="Realizar el avaluó de los bienes muebles considerados de carácter patrimonial para el concejo de Bogotá D. C. de conformidad con lo establecido en el pliego de condiciones del proceso de selección SDH-SAMC-11-2013,  el Anexo No 1 y la propuesta."/>
        <s v="La adquisición de dispositivos de entrada para pantallas Touch del Sistema de Voto Electrónico para el Concejo de Bogotá, de conformidad con lo establecido en la invitación publica SDH-SMINC-51-2013"/>
        <s v="Contratar el suministro de tóner para los equipos de impresión del Concejo de Bogotá D.C"/>
        <s v="Compra de dos (2) impresoras de tickets para el Concejo de Bogotá D.C. de acuerdo con las especificaciones y condiciones descritas en los estudios previos y anexo técnico, de conformidad con lo establecido en la invitación publica SDH-SMINC-60-2013"/>
        <s v="Prestación de servicios de mantenimiento preventivo y correctivo de los aires acondicionado del Concejo de Bogotá D.C. de acuerdo con las especificaciones y condiciones descritas en los estudios previos y anexo técnico de conformidad con lo establecido en la invitación publica SDH-SMINC-55-2013"/>
        <s v="Prestar el servicio de arrendamiento de sistemas UPS y Aire acondicionado para el Concejo de Bogotá, de conformidad con lo establecido en la invitación publica No SDH-SMINC-67-2013"/>
        <s v="Contratar la adquisición de medios magnéticos para copias de respaldo (cintas para tape backup ) para el Concejo de Bogotá D.C. de conformidad con lo establecido en la invitación publica SDH-SMINC-68-2013."/>
        <s v="Adquisición de unidades de aire acondicionado para el cuarto de las UPS y la Subestación Eléctrica del Concejo de Bogotá de conformidad con el pliego de condiciones del proceso de selección abreviada mediante subasta inversa electrónica SDH-SIE-015-2013  y la propuesta presentada."/>
        <s v="Prestar servicios profesionales para apoyar al Concejo de Bogotá D.C. para realización de actividades de identificación, clasificación, depuración organización y actualización de la normativa de los acuerdos distritales."/>
        <s v="Adquisición de elementos de  tecnología informática, servicio de mantenimiento y actualización de licencias de software y traslado de Data center del Concejo de Bogotá D.C., de conformidad con lo establecido en le pliego de condiciones de la subasta inversa Electrónica No SDH-SIE-18-2013 y la propuestas presentada por el contratista."/>
        <s v="Prestar servicio de mantenimiento correctivo con suministro de repuestos de los automotores marca MITSUBISHI, al servicio del  Concejo de Bogotá D.C., de conformidad con lo establecido en el proceso SDH-SMINC-002-2014."/>
        <s v="Suscripción a la revista el congreso siglo XXI con destino al Concejo de Bogotá D.C., de conformidad con lo previsto en le documento de estudios previos."/>
        <s v="Prestar servicios profesionales para ejecutar acciones que contribuyan a la identificación de riesgos potenciales en materia de seguridad informática y su regulación en los mapas de riesgos y manuales de contingencia."/>
        <s v="Suscripción a los diarios el TIEMPO Y PORTAFOLIO con destino al concejo de Bogotá D.C."/>
        <s v="Adquirir a titulo de compra ejemplares del Directorio de Despachos Públicos de Colombia 2014, para el Concejo de Bogotá D.C."/>
        <s v="Prestar los servicios profesionales para acompañar técnicamente los temas relacionados con la intervención y seguimiento a los proyectos de infraestructura y reforzamiento estructural del Concejo de Bogotá D.C., de conformidad con los estudios previos."/>
        <s v="Prestar servicios profesionales para la actualización, administración, publicación y salvaguardar de la información publica en la pagina WEB oficial del Concejo de Bogotá D. C."/>
        <s v="Prestar servicios profesionales para apoyar a la dirección financiera del Concejo de Bogotá D. C., en la revisión y estudio de las historias laborales de los funcionarios para establecer la definición técnica y jurídica del cumplimiento de los requisitos en los diferentes regímenes de pensión, en la articulación con cada uno de los funcionarios que lo requiera, de conformidad con los estudios previos."/>
        <s v="Prestar servicios profesionales al Concejo de Bogotá D.C. para realización de actividades de identificación, clasificación, depuración organización y actualización de la normativa de los acuerdos distritales en segunda y tercera fases, de conformidad con los estudios previos."/>
        <s v="Prestar servicios profesionales para apoyar al Concejo de Bogotá D.C. en la realización de actividades de identificación, clasificación, depuración organización y actualización de la normativa de los acuerdos distritales en  segunda y tercera fases, de conformidad con los estudios previos."/>
        <s v="Prestar servicios profesionales al Concejo de Bogotá D.C. para la realización de actividades de identificación, clasificación, depuración organización y actualización de la normativa de los acuerdos distritales en segunda y tercera fases."/>
        <s v="Prestar el servicio de mantenimiento preventivo y correctivo ocasional a los ascensores marca Mitsubishi ubicados en el Concejo de Bogotá. D.C., de conformidad con lo previsto en los estudios previos y la propuesta presentada."/>
        <s v="Prestar servicios profesionales para el apoyo en la implementación del manual de convivencia adoptado por el Concejo de Bogotá D.C., para el mejoramiento del clima laboral, de conformidad con los estudios previos."/>
        <s v="Prestar servicios profesionales para apoyar a la dirección financiera del Concejo de Bogotá en la supervisión de los contratos que le sean asignados, implementado mecanismos que le permitan contribuir efectivamente al seguimiento técnico, administrativo, financiero, contable, y jurídico sobre el cumplimiento del objeto de cada contrato asignado."/>
        <s v="Prestar servicios de apoyo al Concejo de Bogotá D.C., en la elaboración y actualización de las bases de datos para el control, depuración y actualización de la normativa de los acuerdos distritales en segunda y tercera fases."/>
        <s v="Prestar servicios profesionales para apoyar a la dirección financiera del Concejo de Bogotá D. C., en la supervisión de los contratos que le sean asignados, implementado mecanismos que le permitan contribuir efectivamente al seguimiento técnico, administrativo, financiero, contable, y jurídico sobre el cumplimiento del objeto de cada contrato asignado."/>
        <s v="Adquisición de equipos para control Ambiental (aires acondicionados), conectividad (Switc de borde) y Energía Regulada (UPS) para el Concejo de Bogotá. I ítem No 1, de conformidad con el pliego de condiciones del proceso de selección abreviada mediante subasta inversa electrónica SDH-SIE-019-2013 y la propuesta presentada."/>
        <s v="Adquisición de equipos para control Ambiental (aires acondicionados), conectividad (Switc de borde) y Energía Regulada (UPS) para el Concejo de Bogotá. I ítem No 2, de conformidad con el pliego de condiciones del proceso de selección abreviada mediante subasta inversa electrónica SDH-SIE-019-2013 y la propuesta presentada."/>
        <s v="Adquisición, entrega y montaje de mobiliario de oficina para el Concejo de Bogotá D.C."/>
        <s v="Prestar el servicio de mantenimiento preventivo y correctivo con suministro de repuestos de la puerta eléctrica y talanqueras de acceso vehicular al Concejo de Bogotá D.C., de conformidad con lo establecido en la invitación Pública del proceso No SDH-SMINC-01-2014"/>
        <s v="Contratar la suscripción al sistema de Televisión Satelital para ser instalado en la sede del Concejo de Bogotá D.C., de conformidad con lo establecido en la invitación Publica SDH-SMINC-03-2014."/>
        <s v="Prestar el servicio de mantenimiento preventivo y correctivo para las maquinas: Impresora Litográfica MULTILITH modelo 1250, Compaginadora DUPLO DC 10, Guillotina y Cizalla manual, ubicadas en la oficina de Anales y Publicaciones del Concejo de Bogotá D.C., de conformidad con lo establecido en la invitación publica del proceso SDH-SMINC-05-2014."/>
        <s v="Prestar el servicio de mantenimiento correctivo, incluyendo el suministro de repuestos y/o elementos nuevos que requieran las sillas existentes en el  Concejo de Bogotá D.C., de conformidad con lo establecido en la invitación Publica del proceso No SDH-SMINC-08-2014"/>
        <s v="Prestar servicio de mantenimiento preventivo y correctivo con suministro de repuestos del sistema de alarmas de emergencias y botones de pánico ubicados en la sedes del  Concejo de Bogotá D.C., de conformidad con lo establecido en la invitación pública del proceso SDH-SMINC-06-2014"/>
        <s v="Prestar el servicio de mantenimiento preventivo y correctivo con suministro de repuestos del parque automotor marca Chevrolet al servicio del Concejo de Bogotá D.C. de conformidad con lo establecido en la invitación pública del proceso No SDH-SMINc-015-2014 y la propuesta presentada por el contratista."/>
        <s v="Alquiler del dispositivo de Hw y Sw (tipo aplliance) en tecnología UTM para controlar y administrar la seguridad perimetral y las aplicaciones Web, para el Concejo de Bogotá de conformidad con lo establecido en la invitación Publica SDH-SMINC-16-2014"/>
        <s v="Adquirir diademas de un solo auricular para el concejo de Bogotá D.C., de conformidad con lo establecido en la invitación pública del proceso No SDH-SMINC-13-2014 y la propuesta presentada por el contratista."/>
        <s v="Suministrar elementos de promoción institucional y actos protocolarios del Concejo de Bogotá D.C.,  de conformidad con lo establecido en la Invitación Pública No. SDH-SMINC-010-2014"/>
        <s v="Contratar la prestación de los servicios de mensajería expresa masiva para el Concejo de Bogotá de conformidad con lo establecido en el pliego de condiciones y documentos soportes del proceso de selección SDH-SIE-001-2014 y a la propuesta presentada"/>
        <s v="Aunar esfuerzos humanos, técnicos, logísticos y administrativos para garantizar la protección integral de los miembros del Concejo de Bogotá que se encuentren en situación de riesgo extraordinario o extremo como consecuencia directa del ejercicio de las funciones del cargo de elección popular en el cual se encuentran posesionados."/>
        <s v="La adquisición de medios magnéticos para copias de respaldo, para la Secretaria distrital de Hacienda y el Concejo de Bogotá, de conformidad con lo establecido en la invitación publica SDH-SMINC-020-2014."/>
        <s v="Adquisición de impresoras de tarjetas para el Concejo de Bogotá, D.C."/>
        <s v="Servicio de transporte de bienes muebles, equipos de oficina y cajas de archivo documental para el Concejo de Bogotá D.C., de conformidad con lo establecido en la invitación publica del proceso SDH-SMINC-22-2014"/>
        <s v="Adquirir a titulo de compraventa elementos, medicamentos e insumos para dotar el consultorio medico y los botiquines del Concejo de Bogotá D.C., de conformidad con lo establecido en la invitación publica SDH-SMINC-26-2014"/>
        <s v="Presentar los servicios integrales de aseo y cafetería y servicio de fumigación para las instalaciones del Concejo de Bogotá, y los inmuebles por lo que sea legalmente responsables, según el pliego de condiciones de la subasta inversa electrónica SDH-SIE-03-201 y la propuesta presentada."/>
        <s v="Aunar esfuerzos humanos, técnicos, logísticos y administrativos para implementar el esquema de seguridad requerido por los Concejales del distrito Capital que se  encuentran en situación de riesgo extraordinario o extremo como consecuencia directa del ejercicio de sus funciones."/>
        <s v="Adquisidor de chalecos tipo alpinista para el Concejo de Bogotá D.C., de conformidad con lo establecido en la invitación pública SDH-SMINC-032-2014."/>
        <s v="Suministro de combustible para el Concejo de Bogotá D.C."/>
        <s v="Prestar el servicio de mantenimiento preventivo y correctivo para los tanques de almacenamiento y equipos de bombeo hidráulicos de agua potable, residual y aguas negras de las instalaciones del  Concejo de Bogotá."/>
        <s v="Adquirir a titulo de compraventa lockers y bancas para vestier para el Concejo de Bogotá D.C."/>
        <s v="Prestar el servicio integral de fotocopiado y servicios afines para el Concejo de Bogotá  bajo la modalidad de outsourcing."/>
        <s v="Realizar la interventoría técnica, administrativa, ambiental,  financiera, legal y  contable  para el contrato de mantenimiento integral locativo con el suministro de personal, equipo y repuestos en las instalaciones del Concejo de Bogotá D.C., de conformidad con lo establecido en la invitación publica del Proceso SDH-SMINC-034-2014"/>
        <s v="Suscripción al servicio de información de boletines informáticos por correo electrónico consultas en pagina Web y biblioteca de la legislación y jurisprudencia colombiana actualizada para el Concejo de Bogotá D.C., de conformidad con lo establecido en la invitación publica SDH-SMINC-037-2014"/>
        <s v="Contratar la realización del servicio de mantenimiento correctivo y traslado, incluyendo los repuestos y/o elementos nuevos que requieran los sistemas de archivo rodante, existente en las diferentes dependencias del Concejo de Bogotá D.C.; de conformidad con lo establecido en la invitación pública  SDH-SMINC-035-2014."/>
        <s v="Expedir las pólizas de seguro obligatorio SOAT para los vehículos del Concejo de Bogotá, D.C., de conformidad con lo establecido en el Acuerdo Marco de Precios CCE-070-1AMP-2013."/>
        <s v="Prestar el servicio de mantenimiento preventivo y correctivo con suministro de al sistema de generación y transferencia eléctrica de emergencia del Concejo de Bogotá, D.C., de conformidad con lo establecido en la invitación pública del proceso No. SDH-SMINC-012-2014."/>
        <s v="Prestar el servicio de mantenimiento integral locativo con el suministro de personal, equipo y  repuestos, en las instalaciones físicas del  Concejo Bogotá, D.C., de acuerdo con lo establecido en el pliego de condiciones del proceso de selección abreviada  de menor cuantía  No. SDH-SAMC-01-2014 y la propuesta económica presentada por el contratista."/>
        <s v="Revisión, mantenimiento y recarga de extintores y gabinetes contra incendio, con suminstro de repuestos y otros elementos de seguridad industrial para el Concejo de Bogotá, D.C., de conformidad con lo establecido en la invitación pública y propuesta por ustedes presentada."/>
        <s v="Prestar servicios de alquiler de escenarios como salones, auditorios y espacios  abiertos, apoyo logísticos y servicios de catering  para el desarrollo de eventos que requieran el Concejo de Bogotá D.C., de conformidad con lo establecido en le pliego de condiciones del proceso de selección abreviada de menor cuantía No SDH-SAMC-02-2014 y la propuesta presentada por el contratista. "/>
        <s v="Realizar auditorias de seguimiento a los sistemas de gestión ambiental y seguridad y salud ocupacional bajo las normas ISO14001:2014 y OHSAS 18001:2007 al Concejo de Bogotá, de conformidad con los estudios previos."/>
        <s v="Servicio de manejo Integral de los residuos peligrosos existentes en la sede del Concejo de Bogotá, D.C."/>
        <s v="Contratar a título de arrendamiento un inmueble para uso de parqueadero, por parte del Concejo de Bogotá D.C., de acuerdo con lo establecido en el documento de estudios previos."/>
        <s v="Contratar la actuallización, mantenimiento y soporte de licencias de software antivirus para la plataforma del Concejo de Bogotá D.C."/>
        <s v="Suscripción a LA REVISTA SEMANA, para el Concejo de Bogotá."/>
        <s v="Suscripción al Diario El Espectador, para el Concejo de Bogotá, D.C."/>
        <s v="Suscripción al Diario el Nuevo Siglo, para el Concejo de Bogotá,  D.C."/>
        <s v="Adquirir a título de compraventa elementos de protección para los servidores públicos del Concejo de Bogotá, D.C., de conformidad con lo establecido en la presente invitación pública."/>
        <s v="Suscripción al diario el Periódico, con destino al Concejo de Bogotá."/>
        <s v="Realizar las auditorias de seguimiento a los sistemas de gestión de calidad bajo las normas ISO 9001:2008 y NTC-GP 100:2009 al Concejo de Bogotá."/>
        <s v="Prestar el servicio de exámenes médicos ocupacionales y complementarios y aplicaciones de vacunas para los funcionarios del Concejo de Bogotá, D.C., de conformidad con el pliego de condiciones del proceso de selección abreviada de menor cuantía SDH-SAMC-004-2014"/>
        <s v="Prestar Servicios Profesionales para realizar acompañamiento y seguimiento a los procesos de adquisición de bienes y servicios y seguimiento a la ejecución de contratos para el Concejo de Bogotá, D.C."/>
        <s v="Prestar Servicios Profesionales para elaborar las especificaciones y condiciones técnicas de los procesos para la adquisición de bienes y servicios y apoyar la función de supervisión de los contratos del Concejo de Bogotá, D.C."/>
        <s v="Contratar la Adqusión de UPS para el Concejo de Bogotá D.C., de conformidad con lo establecido en el pliego de condiciones del proceso SDH-SIE-10-2014 y la propuesta presentada por el contratista."/>
        <s v="Prestar servicios profesionales para sistematizar y consolidar la información de los trámites contractuales a cargo de la Dirección Financiera de los procesos administrativos y financieros del Concejo de Bogotá, D.C."/>
        <s v="Adquisición de computadores de escritorio y portátiles, para el Concejo de Bogotá"/>
        <s v="Prestar servicios profesionales para apoyar la gestión administrativa, documental y contractual en los asuntos de competencia de la Dirección Financiera del Concejo de Bogotá, D.C."/>
        <s v="Prestar el servicio técnico de actualización del Software de contabilidad SIIGO OFICIAL e instalación en nuevo equipo servidor para el Concejo de Bogotá"/>
        <s v="Prestar el servicio de actualización, mantenimiento y soporte al sitio web e intranet del Concejo de Bogotá."/>
        <s v="Realizar la preproducción, producción, postproducción y emisión de programas de televisión para el Concejo de Bogotá"/>
        <s v="Adquisión de equipos y licencias para la actualización de la plataforma tecnológica del Concejo de Bogotá, de conformidad con lo establecido en el pliego de condiciones SDH-SIE-12-2014 y la propuesta presentada por el contratista."/>
        <s v="Adquisición e instalación de cortinas enrollables tipo Blackout, para el Concejo de Bogotá, D.C., de conformidad con lo establecido en la presente invitación pública SDH-SMINC-55-2014 y la propuesta por ustedes presentadas."/>
        <s v="Prestar el servicio de empaste y/o encuadernación de documentos del Concejo de Bogotá D.C."/>
        <s v="Prestar los servicios profesionales para apoyar en el desarrollo e implementación de la ERP del Sistema Hacendario SiCapital en el Concejo de Bogotá, bajo versión en Oracle IDS 10G."/>
        <s v="Llevar a cabo la actualización de hardware y software para el sistema de voto electrónico del Concejo de Bogotá."/>
        <s v="Suscripción al diário  La República, para el Concejo de Bogotá D.C."/>
        <m u="1"/>
        <s v="Prestar el servicio de alquiler, instalación y desmonte de la decoración navideña para la sede principal del Concejo de Bogotá D.C., de conformidad con los establecidos en la invitación publica SDH=SMINC-58-2013." u="1"/>
        <s v="Adquirir a titulo de compraventa los elementos descritos en el ítem 1 de la invitación publica SD-SMINC-44-2013, que tiene por objeto &quot;Adquirir a titulo de Compraventa por el sistema de precios unitarios mobiliario y equipos de oficina consistentes en sillas y elementos ergonómicos, para adecuar los puestos de trabajo de los servidores públicos del Concejo de Bogotá D.C.&quot;" u="1"/>
        <s v="La Secretaria Distrital de Hacienda y la Unidad Administrativa Especial de Catastro Distrital, están interesadas en contratar las pólizas de seguros requeridas para la adecuada protección de los bienes e intereses patrimoniales de propiedad de las mismas " u="1"/>
        <s v="Contratar el mantenimiento integral locativo con el suministro de personal, equipo y repuestos en las instalaciones físicas del Concejo de Bogotá, de conformidad con lo establecido en el pliego de condiciones del proceso SDH" u="1"/>
        <s v="Prestar el servicio de examenes medicos ocupacionales y complementarios y aplicaciones de vacunas para los funcionarios del Concejo de Bogotá, D.C., de conformidad con el pliego de condiciones del proceso de selección abreviada de menor cuantia SDH-SAMC-004" u="1"/>
        <s v="Prestar servicios profesionales para apoyar a la Dirección Financiera del Concejo de Bogotá en la supervisión de los contratos que le sean asignados, implementando mecanismos que le permitan contribuir efectivamente al seguimiento técnico, administrativo, financiero, contable, y jurídico sobre el cumplimiento del objeto de cada contrato asignado." u="1"/>
        <s v="Adquisión de equipos y licencias para la actualización de la plataforma tecnológica del Concejo de Bogotá." u="1"/>
        <s v="Prestar el servicio de mantenimiento preventivo y correctivo con suministro de repuestos del parque automotor marca Cherolet al servicio del Concejo de Bogotá D.C. de conformidad con lo establecido en la invitación pública del proceso No SDH-SMINc-015-2014 y la propuesta presentada por el contratista." u="1"/>
        <s v="Prestar servicios profesionales para apoyar al Concejo de Bogotá D.C. para realización de actividades de identificación, clasificación, depuración organización y actualización de la normativa de los acuerdos distritales en  segunda y tercera fases, de conformidad con los estudios previos." u="1"/>
        <s v="Realizar el mantenimiento correctivo y preventivo para las máquinas: Impresora Litográfica MULTILITIH modelo 1250, Compaginadora DUPLO DC 10, Guillotina y Cizalla manual; ubicadas en la oficina de Anales y Publicaciones del Concejo de Bogotá, Calle 36 No. " u="1"/>
        <s v="Contratar la Adqusión de UPS para el Cocejo de Bogotá D.C., de conformidad con lo establecido en el pliego de condiciones del proceso SDH-SIE-10-2014 y la propuesta presentada por el contratista." u="1"/>
        <s v="Prestar el servicio de examenes medicos ocupacionales y complementarios y aplicaciones de vacunas para los funcionarios del Concejo de Bogotá, D.C., de conformidad con el pliego de condiciones del proceso de selección abreviada de menor cuantia SDH-SAMC-004-2014" u="1"/>
        <s v="Aunar esfuerzos técnicos, humanos y financieros para la intervención y realización de las actividades asociadas a la restauración - conservación de los bienes de carácter patrimonial del Honorable Concejo de Bogotá, D.C., fase II, que incluye los bienes en el segundo orden de prioridad d para restauración. " u="1"/>
        <s v="Prestar servicio de mantenimiento preventivo y correctivo con suministro de repuestos del sistema de alarmas de emergencias y botones de pánico ubicados en la sedes del  Concejo de Bogotá D.C., de conformidad con lo establecido en la invitación pública del proceso SDH=SMINC-06-2014" u="1"/>
        <s v="Contratar los servicios de mantenimiento, soporte técnico especializado, administración, seguridad y comunicaciones de las plataformas Oracle y Microsoft del Concejo de Bogotá, de conformidad con lo establecido en el pliego de condiciones y los anexos del" u="1"/>
        <s v="Suministrar elementos de promoción institucional y actos protocolarios del Concejo de Bogotá D.C., de acuerdo a las especificaciones técnicas y en las cantidades solicitadas, de conformidad con lo establecido en la Invitación Pública No. SDH-SMINC-046-201" u="1"/>
        <s v="Prestar el servicio de mantenimiento preventivo t correctivo con suministro de al sistema de generación y transferencia eléctrica de emergencia del Concejo de Bogotá, D.C., de conformidad con lo establecido en la invitación pública del proceso No. SDH-SMINC-012-2014." u="1"/>
        <s v="Revisión, mantenimiento y recarga de extintores  y gabinetes contra incendio, con suministro de repuestos y otros elementos de seguridad industrial  parael Concejo de Bogotá." u="1"/>
        <s v="Presta el servicio integral en comunicación, consistente en el diseño, producción y ejecución de las estrategias de divulgación en medios de carácter masivo, alternativo y comunitario al servicio del Concejo de Bogotá D.C." u="1"/>
        <s v="Prestar servcios profesionales para sistematizar y consolidar la información de los trámites contractuales a cargo de la Dirección Financiera de los procesos administrativos y financieros del Concejo de Bogotá, D.C." u="1"/>
        <s v="Prestar el servicio integral a todo costo de desinsectación, desifección y desratización, para el control o manejo integrado de plagas en las instalaciones de la Secretaria de Hacienda, zonas comunes del Centro Administrativo Distrital CAD y el Concejo de Bogotá." u="1"/>
        <s v="Contratar la gestión integral de servicios de impresión, para ña secretaria de Distrital de Hacienda, de conformidad con los requerimientos establecidos en el pliego de condiciones del proceso de selección Abreviada SDH-SIP-015-2008 ÍTEM 2 y en el acta de audiencia de adjudicación" u="1"/>
        <s v="Contratar la actuallización, mantenimiento y soporte de licencias de sofware antivirus para la plataforma del Concejo de Bogotá D.C." u="1"/>
        <s v="Prestar servicios profesionales para apopyar la gestión administrativa, documental t contractual en los asuntos de competencia de la Dirección Financiera del Concejo de Bogotá, D.C." u="1"/>
        <s v="Ptrestar el servicio técnico de actualización del Software de contabilidad SIIGO OFICIALe instalación en nuevo equipo servidor para el Concejo de Bogotá" u="1"/>
        <s v="Prestar servicios de servicios profesionales para el apoyo en la implementación del manual de convivencia adoptado por el Concejo de Bogotá D.C., para el mejoramiento del clima laboral, de conformidad con los estudios previos." u="1"/>
        <s v="Prestar el servicio integral de vigilancia y seguridad privada para la permanente y adecuada protección de las personas (funcionarios, visitantes, contribuyentes), los bienes muebles e inmuebles de propiedad de la entidad contratante, así como de aquellos" u="1"/>
        <s v="Ptrestar el servicio técnico de actualización del Software de contabilidad SIIGO OFICIAL e instalación en nuevo equipo servidor para el Concejo de Bogotá" u="1"/>
        <s v="Realizar la ejecución de actividades de capacitación para el Concejo de Bogotá, D.C., correspondientes al Grupo 8: Ejes temáticos : Comunicación Organizacional y Calidad de Vida Laboral para los grupos de apoyo normativo, de la Licitación Pública SDH-LP-0" u="1"/>
      </sharedItems>
    </cacheField>
    <cacheField name="Valor Inicial ($)" numFmtId="171">
      <sharedItems containsSemiMixedTypes="0" containsString="0" containsNumber="1" containsInteger="1" minValue="0" maxValue="7329236109"/>
    </cacheField>
    <cacheField name="Proceso_SECOP" numFmtId="0">
      <sharedItems containsMixedTypes="1" containsNumber="1" containsInteger="1" minValue="130209" maxValue="140034"/>
    </cacheField>
    <cacheField name="Año Suscripción" numFmtId="0">
      <sharedItems containsSemiMixedTypes="0" containsString="0" containsNumber="1" containsInteger="1" minValue="2008" maxValue="2014"/>
    </cacheField>
    <cacheField name="Fecha de Suscripción" numFmtId="15">
      <sharedItems containsDate="1" containsMixedTypes="1" minDate="2008-12-26T00:00:00" maxDate="2014-01-25T00:00:00"/>
    </cacheField>
    <cacheField name="Fecha de inicio" numFmtId="0">
      <sharedItems containsNonDate="0" containsDate="1" containsString="0" containsBlank="1" minDate="2008-10-03T00:00:00" maxDate="2014-11-28T00:00:00"/>
    </cacheField>
    <cacheField name="Fecha de terminación" numFmtId="0">
      <sharedItems containsNonDate="0" containsDate="1" containsString="0" containsBlank="1" minDate="2012-01-14T00:00:00" maxDate="2016-02-26T00:00:00"/>
    </cacheField>
    <cacheField name="Número de adiciones realizadas" numFmtId="1">
      <sharedItems containsSemiMixedTypes="0" containsString="0" containsNumber="1" containsInteger="1" minValue="0" maxValue="4"/>
    </cacheField>
    <cacheField name="Valor total de adiciones ($)" numFmtId="171">
      <sharedItems containsSemiMixedTypes="0" containsString="0" containsNumber="1" containsInteger="1" minValue="0" maxValue="1210934978"/>
    </cacheField>
    <cacheField name="Número de prorrogas realizadas" numFmtId="1">
      <sharedItems containsSemiMixedTypes="0" containsString="0" containsNumber="1" containsInteger="1" minValue="0" maxValue="4"/>
    </cacheField>
    <cacheField name="Tiempo total Prórroga o suspensión" numFmtId="0">
      <sharedItems/>
    </cacheField>
    <cacheField name="Fecha terminación última prórroga" numFmtId="169">
      <sharedItems containsDate="1" containsMixedTypes="1" minDate="2012-10-31T00:00:00" maxDate="2020-03-01T00:00:00"/>
    </cacheField>
    <cacheField name="Fecha de terminación final" numFmtId="169">
      <sharedItems containsSemiMixedTypes="0" containsNonDate="0" containsDate="1" containsString="0" minDate="2012-01-14T00:00:00" maxDate="2020-03-01T00:00:00"/>
    </cacheField>
    <cacheField name="Valor Total ($)" numFmtId="171">
      <sharedItems containsSemiMixedTypes="0" containsString="0" containsNumber="1" containsInteger="1" minValue="0" maxValue="7329236109"/>
    </cacheField>
    <cacheField name="Giros ($)" numFmtId="171">
      <sharedItems containsSemiMixedTypes="0" containsString="0" containsNumber="1" minValue="0" maxValue="6218260556"/>
    </cacheField>
    <cacheField name="Saldos ($)" numFmtId="171">
      <sharedItems containsSemiMixedTypes="0" containsString="0" containsNumber="1" minValue="0" maxValue="3220371734"/>
    </cacheField>
    <cacheField name="Forma de pago" numFmtId="0">
      <sharedItems containsBlank="1" longText="1"/>
    </cacheField>
    <cacheField name="% Ejecución recursos" numFmtId="172">
      <sharedItems containsMixedTypes="1" containsNumber="1" minValue="0" maxValue="1"/>
    </cacheField>
    <cacheField name="% Ejecución física" numFmtId="172">
      <sharedItems containsSemiMixedTypes="0" containsString="0" containsNumber="1" minValue="-2.7397260273972603E-3" maxValue="1" count="4762">
        <n v="1"/>
        <n v="0.99437229437229435"/>
        <n v="0.80821917808219179" u="1"/>
        <n v="0.70240700218818386" u="1"/>
        <n v="0.77868852459016391" u="1"/>
        <n v="0.34227820372398687" u="1"/>
        <n v="0.984375" u="1"/>
        <n v="0.84499314128943759" u="1"/>
        <n v="0.96381578947368418" u="1"/>
        <n v="0.79183266932270913" u="1"/>
        <n v="0.9098360655737705" u="1"/>
        <n v="0.84639498432601878" u="1"/>
        <n v="0.41917808219178082" u="1"/>
        <n v="0.68927789934354489" u="1"/>
        <n v="0.37953795379537952" u="1"/>
        <n v="0.96713147410358569" u="1"/>
        <n v="0.52602739726027392" u="1"/>
        <n v="-2.7397260273972603E-3" u="1"/>
        <n v="0.74178403755868549" u="1"/>
        <n v="0.91526263627353821" u="1"/>
        <n v="0.90136986301369859" u="1"/>
        <n v="0.50993377483443714" u="1"/>
        <n v="0.85148514851485146" u="1"/>
        <n v="0.85439560439560436" u="1"/>
        <n v="0.70819672131147537" u="1"/>
        <n v="0.76215277777777779" u="1"/>
        <n v="0.3936899862825789" u="1"/>
        <n v="0.62277091906721538" u="1"/>
        <n v="0.78600823045267487" u="1"/>
        <n v="0.81188118811881194" u="1"/>
        <n v="0.95370370370370372" u="1"/>
        <n v="0.60264900662251653" u="1"/>
        <n v="0.38622754491017963" u="1"/>
        <n v="0.88725490196078427" u="1"/>
        <n v="0.83934426229508197" u="1"/>
        <n v="0.46575342465753422" u="1"/>
        <n v="0.7722772277227723" u="1"/>
        <n v="0.11232876712328767" u="1"/>
        <n v="0.78819444444444442" u="1"/>
        <n v="0.61917808219178083" u="1"/>
        <n v="0.75435729847494548" u="1"/>
        <n v="0.69536423841059603" u="1"/>
        <n v="0.57986870897155363" u="1"/>
        <n v="0.87912087912087911" u="1"/>
        <n v="0.30660377358490565" u="1"/>
        <n v="0.61555312157721798" u="1"/>
        <n v="0.46002190580503832" u="1"/>
        <n v="0.57330415754923414" u="1"/>
        <n v="0.78807947019867552" u="1"/>
        <n v="0.53795379537953791" u="1"/>
        <n v="0.72169811320754718" u="1"/>
        <n v="0.56673960612691465" u="1"/>
        <n v="0.80876494023904377" u="1"/>
        <n v="0.82065217391304346" u="1"/>
        <n v="0.61032863849765262" u="1"/>
        <n v="0.76885245901639343" u="1"/>
        <n v="0.8424908424908425" u="1"/>
        <n v="0.88079470198675491" u="1"/>
        <n v="0.71232876712328763" u="1"/>
        <n v="0.98406374501992033" u="1"/>
        <n v="0.60245901639344257" u="1"/>
        <n v="0.90384615384615385" u="1"/>
        <n v="0.16986301369863013" u="1"/>
        <n v="0.9429429429429429" u="1"/>
        <n v="0.55361050328227568" u="1"/>
        <n v="0.97350993377483441" u="1"/>
        <n v="0.64876033057851235" u="1"/>
        <n v="0.54704595185995619" u="1"/>
        <n v="0.68181818181818177" u="1"/>
        <n v="0.71487603305785119" u="1"/>
        <n v="0.63033953997809422" u="1"/>
        <n v="0.39285714285714285" u="1"/>
        <n v="0.36966046002190578" u="1"/>
        <n v="0.7931034482758621" u="1"/>
        <n v="0.79084967320261434" u="1"/>
        <n v="0.9866071428571429" u="1"/>
        <n v="0.31412894375857336" u="1"/>
        <n v="0.92792792792792789" u="1"/>
        <n v="0.62688614540466392" u="1"/>
        <n v="0.64549180327868849" u="1"/>
        <n v="0.70152505446623092" u="1"/>
        <n v="0.50109529025191679" u="1"/>
        <n v="0.56862745098039214" u="1"/>
        <n v="0.77959927140255014" u="1"/>
        <n v="0.79395604395604391" u="1"/>
        <n v="0.80279503105590067" u="1"/>
        <n v="0.21643835616438356" u="1"/>
        <n v="0.38429752066115702" u="1"/>
        <n v="5.2054794520547946E-2" u="1"/>
        <n v="0.30503833515881706" u="1"/>
        <n v="0.27671232876712326" u="1"/>
        <n v="0.75901639344262295" u="1"/>
        <n v="0.4585635359116022" u="1"/>
        <n v="0.27929901423877329" u="1"/>
        <n v="0.91220850480109739" u="1"/>
        <n v="0.84306569343065696" u="1"/>
        <n v="0.92031872509960155" u="1"/>
        <n v="0.46311475409836067" u="1"/>
        <n v="0.57499999999999996" u="1"/>
        <n v="0.960239651416122" u="1"/>
        <n v="0.87209302325581395" u="1"/>
        <n v="0.48184818481848185" u="1"/>
        <n v="0.81868131868131866" u="1"/>
        <n v="0.58940397350993379" u="1"/>
        <n v="0.55737704918032782" u="1"/>
        <n v="0.46166484118291345" u="1"/>
        <n v="0.82734204793028321" u="1"/>
        <n v="0.46204620462046203" u="1"/>
        <n v="0.56736035049288058" u="1"/>
        <n v="0.34567901234567899" u="1"/>
        <n v="0.43592552026286968" u="1"/>
        <n v="0.68852459016393441" u="1"/>
        <n v="0.96875" u="1"/>
        <n v="0.68211920529801329" u="1"/>
        <n v="0.83832335329341312" u="1"/>
        <n v="7.6712328767123292E-2" u="1"/>
        <n v="0.68998628257887518" u="1"/>
        <n v="0.44224422442244227" u="1"/>
        <n v="0.85322359396433467" u="1"/>
        <n v="0.92763157894736847" u="1"/>
        <n v="0.77483443708609268" u="1"/>
        <n v="0.94986072423398327" u="1"/>
        <n v="0.84340659340659341" u="1"/>
        <n v="0.38095238095238093" u="1"/>
        <n v="0.69278996865203757" u="1"/>
        <n v="0.72048611111111116" u="1"/>
        <n v="0.97689768976897695" u="1"/>
        <n v="0.18346111719605696" u="1"/>
        <n v="0.945986124876115" u="1"/>
        <n v="0.98463825569871155" u="1"/>
        <n v="0.81736526946107779" u="1"/>
        <n v="0.99423558897243103" u="1"/>
        <n v="0.86754966887417218" u="1"/>
        <n v="0.50828729281767959" u="1"/>
        <n v="0.74652777777777779" u="1"/>
        <n v="0.36263736263736263" u="1"/>
        <n v="0.9888392857142857" u="1"/>
        <n v="0.96026490066225167" u="1"/>
        <n v="0.84161490683229812" u="1"/>
        <n v="0.49456521739130432" u="1"/>
        <n v="0.330188679245283" u="1"/>
        <n v="0.56747404844290661" u="1"/>
        <n v="0.9069069069069069" u="1"/>
        <n v="0.93028322440087141" u="1"/>
        <n v="0.16037735849056603" u="1"/>
        <n v="0.34517766497461927" u="1"/>
        <n v="0.34432234432234432" u="1"/>
        <n v="0.1511500547645126" u="1"/>
        <n v="0.79738562091503273" u="1"/>
        <n v="0.375" u="1"/>
        <n v="0.85657370517928288" u="1"/>
        <n v="0.62376237623762376" u="1"/>
        <n v="0.92913776015857286" u="1"/>
        <n v="0.1" u="1"/>
        <n v="0.67441860465116277" u="1"/>
        <n v="0.5558598028477546" u="1"/>
        <n v="0.85833333333333328" u="1"/>
        <n v="0.85849056603773588" u="1"/>
        <n v="0.6116751269035533" u="1"/>
        <n v="0.550761421319797" u="1"/>
        <n v="0.73351648351648346" u="1"/>
        <n v="0.3066812705366922" u="1"/>
        <n v="0.7080610021786492" u="1"/>
        <n v="0.46446700507614214" u="1"/>
        <n v="0.79487179487179482" u="1"/>
        <n v="0.94852941176470584" u="1"/>
        <n v="0.22946330777656079" u="1"/>
        <n v="0.73096446700507611" u="1"/>
        <n v="0.57516339869281041" u="1"/>
        <n v="0.6091370558375635" u="1"/>
        <n v="0.53086419753086422" u="1"/>
        <n v="0.42935528120713307" u="1"/>
        <n v="0.69410150891632372" u="1"/>
        <n v="0.78934010152284262" u="1"/>
        <n v="0.75824175824175821" u="1"/>
        <n v="0.46330777656078859" u="1"/>
        <n v="0.95526315789473681" u="1"/>
        <n v="0.9709821428571429" u="1"/>
        <n v="0.57064622124863085" u="1"/>
        <n v="0.96954314720812185" u="1"/>
        <n v="0.96677559912854028" u="1"/>
        <n v="0.90862944162436543" u="1"/>
        <n v="0.71074380165289253" u="1"/>
        <n v="0.88043478260869568" u="1"/>
        <n v="0.83387799564270149" u="1"/>
        <n v="0.7216117216117216" u="1"/>
        <n v="0.74380165289256195" u="1"/>
        <n v="0.78296703296703296" u="1"/>
        <n v="0.77685950413223137" u="1"/>
        <n v="0.23113207547169812" u="1"/>
        <n v="0.22651933701657459" u="1"/>
        <n v="0.64130434782608692" u="1"/>
        <n v="0.28688524590163933" u="1"/>
        <n v="0.53301886792452835" u="1"/>
        <n v="0.76158940397350994" u="1"/>
        <n v="0.79282868525896411" u="1"/>
        <n v="0.9910714285714286" u="1"/>
        <n v="0.67810457516339873" u="1"/>
        <n v="0.64651162790697669" u="1"/>
        <n v="0.98604651162790702" u="1"/>
        <n v="0.46090534979423869" u="1"/>
        <n v="0.75720164609053497" u="1"/>
        <n v="0.35245901639344263" u="1"/>
        <n v="0.92043895747599447" u="1"/>
        <n v="0.16117216117216118" u="1"/>
        <n v="0.62264150943396224" u="1"/>
        <n v="0.71052631578947367" u="1"/>
        <n v="0.85430463576158944" u="1"/>
        <n v="0.41803278688524592" u="1"/>
        <n v="0.41616766467065869" u="1"/>
        <n v="0.94701986754966883" u="1"/>
        <n v="1.0958904109589041E-2" u="1"/>
        <n v="0.97368421052631582" u="1"/>
        <n v="0.953125" u="1"/>
        <n v="0.9368191721132898" u="1"/>
        <n v="0.55914567360350498" u="1"/>
        <n v="0.34979423868312759" u="1"/>
        <n v="0.50766703176341732" u="1"/>
        <n v="0.86257763975155277" u="1"/>
        <n v="0.67307692307692313" u="1"/>
        <n v="0.97916666666666663" u="1"/>
        <n v="0.30832420591456738" u="1"/>
        <n v="0.4290657439446367" u="1"/>
        <n v="0.6404494382022472" u="1"/>
        <n v="0.57785467128027679" u="1"/>
        <n v="0.92479108635097496" u="1"/>
        <n v="0.28258488499452356" u="1"/>
        <n v="0.21741511500547644" u="1"/>
        <n v="0.78104575163398693" u="1"/>
        <n v="0.61325966850828728" u="1"/>
        <n v="0.39520958083832336" u="1"/>
        <n v="0.80976095617529875" u="1"/>
        <n v="0.98353909465020573" u="1"/>
        <n v="0.5816993464052288" u="1"/>
        <n v="0.57393209200438111" u="1"/>
        <n v="0.43921139101861995" u="1"/>
        <n v="0.78877887788778878" u="1"/>
        <n v="0.82695810564663019" u="1"/>
        <n v="0.76175548589341691" u="1"/>
        <n v="0.81666666666666665" u="1"/>
        <n v="0.95813953488372094" u="1"/>
        <n v="0.74917491749174914" u="1"/>
        <n v="0.21666666666666667" u="1"/>
        <n v="0.90566037735849059" u="1"/>
        <n v="0.95810564663023678" u="1"/>
        <n v="0.85585585585585588" u="1"/>
        <n v="0.38134430727023322" u="1"/>
        <n v="0.67741935483870963" u="1"/>
        <n v="0.72252747252747251" u="1"/>
        <n v="0.76131687242798352" u="1"/>
        <n v="0.78142076502732238" u="1"/>
        <n v="0.72602739726027399" u="1"/>
        <n v="0.78804347826086951" u="1"/>
        <n v="0.9933035714285714" u="1"/>
        <n v="0.99528301886792447" u="1"/>
        <n v="0.51485148514851486" u="1"/>
        <n v="0.98357664233576647" u="1"/>
        <n v="0.75108932461873634" u="1"/>
        <n v="0.44736842105263158" u="1"/>
        <n v="0.53909465020576131" u="1"/>
        <n v="0.95802919708029199" u="1"/>
        <n v="0.86703096539162117" u="1"/>
        <n v="0.81917808219178079" u="1"/>
        <n v="0.90875912408759119" u="1"/>
        <n v="0.15279299014238773" u="1"/>
        <n v="0.9553571428571429" u="1"/>
        <n v="0.91916167664670656" u="1"/>
        <n v="0.74601593625498008" u="1"/>
        <n v="0.56243154435925524" u="1"/>
        <n v="0.81021897810218979" u="1"/>
        <n v="0.26347305389221559" u="1"/>
        <n v="0.42465753424657532" u="1"/>
        <n v="0.53698630136986303" u="1"/>
        <n v="0.82441700960219477" u="1"/>
        <n v="0.96455696202531649" u="1"/>
        <n v="0.98765432098765427" u="1"/>
        <n v="0.61263736263736268" u="1"/>
        <n v="0.22875816993464052" u="1"/>
        <n v="0.30996714129244252" u="1"/>
        <n v="5.8333333333333334E-2" u="1"/>
        <n v="0.89820359281437123" u="1"/>
        <n v="0.59069767441860466" u="1"/>
        <n v="0.67399267399267404" u="1"/>
        <n v="0.87690631808278863" u="1"/>
        <n v="0.9123287671232877" u="1"/>
        <n v="0.93023255813953487" u="1"/>
        <n v="0.21311475409836064" u="1"/>
        <n v="0.84063745019920322" u="1"/>
        <n v="0.6966292134831461" u="1"/>
        <n v="0.9754464285714286" u="1"/>
        <n v="0.24590163934426229" u="1"/>
        <n v="0.47123287671232877" u="1"/>
        <n v="0.8772455089820359" u="1"/>
        <n v="0.62869660460021903" u="1"/>
        <n v="0.70846394984326022" u="1"/>
        <n v="0.82686335403726707" u="1"/>
        <n v="0.91598360655737709" u="1"/>
        <n v="0.92616451932606536" u="1"/>
        <n v="0.63736263736263732" u="1"/>
        <n v="0.78758169934640521" u="1"/>
        <n v="0.46502057613168724" u="1"/>
        <n v="0.46659364731653891" u="1"/>
        <n v="0.60219478737997256" u="1"/>
        <n v="0.63013698630136983" u="1"/>
        <n v="0.76543209876543206" u="1"/>
        <n v="0.72113289760348587" u="1"/>
        <n v="0.80578512396694213" u="1"/>
        <n v="0.89836065573770496" u="1"/>
        <n v="0.44085432639649508" u="1"/>
        <n v="0.58823529411764708" u="1"/>
        <n v="0.83483483483483478" u="1"/>
        <n v="0.85628742514970058" u="1"/>
        <n v="0.12418300653594772" u="1"/>
        <n v="0.60073260073260071" u="1"/>
        <n v="0.9375" u="1"/>
        <n v="0.66208791208791207" u="1"/>
        <n v="0.54320987654320985" u="1"/>
        <n v="0.54143646408839774" u="1"/>
        <n v="0.72328767123287674" u="1"/>
        <n v="0.91095890410958902" u="1"/>
        <n v="0.97984749455337694" u="1"/>
        <n v="0.82786885245901642" u="1"/>
        <n v="0.91339869281045749" u="1"/>
        <n v="0.99416723627249948" u="1"/>
        <n v="0.65568862275449102" u="1"/>
        <n v="0.85756972111553786" u="1"/>
        <n v="0.95901639344262291" u="1"/>
        <n v="0.42975206611570249" u="1"/>
        <n v="0.98958333333333337" u="1"/>
        <n v="0.71527777777777779" u="1"/>
        <n v="0.95379537953795379" u="1"/>
        <n v="0.49657064471879286" u="1"/>
        <n v="0.82853223593964331" u="1"/>
        <n v="0.9575892857142857" u="1"/>
        <n v="0.82407407407407407" u="1"/>
        <n v="0.99176954732510292" u="1"/>
        <n v="0.46280991735537191" u="1"/>
        <n v="0.81643835616438354" u="1"/>
        <n v="0.77689243027888444" u="1"/>
        <n v="0.75762527233115473" u="1"/>
        <n v="0.80900621118012417" u="1"/>
        <n v="0.75737704918032789" u="1"/>
        <n v="0.56571741511500551" u="1"/>
        <n v="0.95283018867924529" u="1"/>
        <n v="0.73975409836065575" u="1"/>
        <n v="0.46698113207547171" u="1"/>
        <n v="0.53424657534246578" u="1"/>
        <n v="0.55219780219780223" u="1"/>
        <n v="0.38545953360768176" u="1"/>
        <n v="0.6063100137174211" u="1"/>
        <n v="0.87090163934426235" u="1"/>
        <n v="0.76954732510288071" u="1"/>
        <n v="0.28587075575027382" u="1"/>
        <n v="0.90958904109589045" u="1"/>
        <n v="0.21917808219178081" u="1"/>
        <n v="0.9776785714285714" u="1"/>
        <n v="0.28219178082191781" u="1"/>
        <n v="0.94989106753812635" u="1"/>
        <n v="0.60066006600660071" u="1"/>
        <n v="0.6319824753559693" u="1"/>
        <n v="0.46823658269441404" u="1"/>
        <n v="0.57692307692307687" u="1"/>
        <n v="0.83072100313479624" u="1"/>
        <n v="0.58050383351588175" u="1"/>
        <n v="0.62739726027397258" u="1"/>
        <n v="0.9438202247191011" u="1"/>
        <n v="0.2783882783882784" u="1"/>
        <n v="0.44249726177437021" u="1"/>
        <n v="0.65163934426229508" u="1"/>
        <n v="0.99421280473912055" u="1"/>
        <n v="0.86056644880174293" u="1"/>
        <n v="0.94918032786885242" u="1"/>
        <n v="0.5743944636678201" u="1"/>
        <n v="0.18478260869565216" u="1"/>
        <n v="0.79382470119521908" u="1"/>
        <n v="0.78278688524590168" u="1"/>
        <n v="0.9397321428571429" u="1"/>
        <n v="0.72766884531590414" u="1"/>
        <n v="0.32876712328767121" u="1"/>
        <n v="0.18674698795180722" u="1"/>
        <n v="0.96912350597609564" u="1"/>
        <n v="0.60164835164835162" u="1"/>
        <n v="0.26007326007326009" u="1"/>
        <n v="0.91393442622950816" u="1"/>
        <n v="0.53947368421052633" u="1"/>
        <n v="0.74754098360655741" u="1"/>
        <n v="0.84782608695652173" u="1"/>
        <n v="0.72054794520547949" u="1"/>
        <n v="0.83264746227709185" u="1"/>
        <n v="0.87868852459016389" u="1"/>
        <n v="0.79879879879879878" u="1"/>
        <n v="0.37534246575342467" u="1"/>
        <n v="0.60869565217391308" u="1"/>
        <n v="0.9598214285714286" u="1"/>
        <n v="0.15443592552026286" u="1"/>
        <n v="0.95688800792864226" u="1"/>
        <n v="0.99554013875123881" u="1"/>
        <n v="0.95514511873350927" u="1"/>
        <n v="0.30589849108367628" u="1"/>
        <n v="0.81369863013698629" u="1"/>
        <n v="0.82581967213114749" u="1"/>
        <n v="0.82877959927140255" u="1"/>
        <n v="0.55485893416927901" u="1"/>
        <n v="0.43478260869565216" u="1"/>
        <n v="0.56900328587075577" u="1"/>
        <n v="0.58974358974358976" u="1"/>
        <n v="0.3604060913705584" u="1"/>
        <n v="0.83061002178649235" u="1"/>
        <n v="0.95696721311475408" u="1"/>
        <n v="0.29949238578680204" u="1"/>
        <n v="0.51752464403066811" u="1"/>
        <n v="0.95992714025500914" u="1"/>
        <n v="0.42191780821917807" u="1"/>
        <n v="0.26519337016574585" u="1"/>
        <n v="0.69771241830065356" u="1"/>
        <n v="0.10136986301369863" u="1"/>
        <n v="0.31325301204819278" u="1"/>
        <n v="0.53150684931506853" u="1"/>
        <n v="0.921875" u="1"/>
        <n v="0.23274917853231106" u="1"/>
        <n v="0.78324225865209474" u="1"/>
        <n v="0.31521739130434784" u="1"/>
        <n v="0.90131578947368418" u="1"/>
        <n v="0.28751369112814895" u="1"/>
        <n v="0.89574759945130311" u="1"/>
        <n v="0.47969543147208121" u="1"/>
        <n v="0.60655737704918034" u="1"/>
        <n v="0.44923857868020306" u="1"/>
        <n v="0.94791666666666663" u="1"/>
        <n v="0.41878172588832485" u="1"/>
        <n v="0.82996894409937894" u="1"/>
        <n v="0.90537848605577687" u="1"/>
        <n v="0.90138751238850345" u="1"/>
        <n v="0.94003964321110012" u="1"/>
        <n v="0.63526834611171956" u="1"/>
        <n v="0.63959390862944165" u="1"/>
        <n v="0.73770491803278693" u="1"/>
        <n v="0.46987951807228917" u="1"/>
        <n v="0.46849315068493153" u="1"/>
        <n v="0.51648351648351654" u="1"/>
        <n v="0.91364902506963785" u="1"/>
        <n v="0.95297805642633227" u="1"/>
        <n v="0.95642701525054463" u="1"/>
        <n v="0.86885245901639341" u="1"/>
        <n v="0.44414019715224534" u="1"/>
        <n v="0.14794520547945206" u="1"/>
        <n v="0.37623762376237624" u="1"/>
        <n v="0.96694214876033058" u="1"/>
        <n v="0.33744855967078191" u="1"/>
        <n v="0.69796954314720816" u="1"/>
        <n v="0.66046511627906979" u="1"/>
        <n v="0.6735253772290809" u="1"/>
        <n v="0.83676268861454051" u="1"/>
        <n v="0.72569444444444442" u="1"/>
        <n v="0.87817258883248728" u="1"/>
        <n v="0.49056603773584906" u="1"/>
        <n v="0.81725888324873097" u="1"/>
        <n v="0.97445255474452552" u="1"/>
        <n v="0.54120879120879117" u="1"/>
        <n v="0.80065359477124187" u="1"/>
        <n v="0.92518248175182483" u="1"/>
        <n v="0.17647058823529413" u="1"/>
        <n v="0.9974619289340102" u="1"/>
        <n v="0.73420479302832242" u="1"/>
        <n v="0.50602409638554213" u="1"/>
        <n v="0.97904191616766467" u="1"/>
        <n v="0.87591240875912413" u="1"/>
        <n v="3.0136986301369864E-2" u="1"/>
        <n v="0.76567656765676573" u="1"/>
        <n v="0.90371991247264771" u="1"/>
        <n v="0.29341317365269459" u="1"/>
        <n v="0.43252595155709345" u="1"/>
        <n v="0.37951807228915663" u="1"/>
        <n v="0.58477508650519028" u="1"/>
        <n v="0.72607260726072609" u="1"/>
        <n v="0.9620535714285714" u="1"/>
        <n v="0.97215189873417718" u="1"/>
        <n v="0.56593406593406592" u="1"/>
        <n v="0.95808383233532934" u="1"/>
        <n v="0.75182481751824815" u="1"/>
        <n v="0.89059080962800874" u="1"/>
        <n v="0.88402625820568925" u="1"/>
        <n v="0.65328467153284675" u="1"/>
        <n v="0.19452054794520549" u="1"/>
        <n v="0.87746170678336977" u="1"/>
        <n v="0.8416334661354582" u="1"/>
        <n v="4.6575342465753428E-2" u="1"/>
        <n v="0.89986282578875176" u="1"/>
        <n v="0.93712574850299402" u="1"/>
        <n v="0.52081051478641838" u="1"/>
        <n v="0.87089715536105028" u="1"/>
        <n v="0.69262295081967218" u="1"/>
        <n v="0.90359477124183007" u="1"/>
        <n v="0.13679245283018868" u="1"/>
        <n v="0.28333333333333333" u="1"/>
        <n v="0.80487804878048785" u="1"/>
        <n v="0.83714596949891062" u="1"/>
        <n v="0.91616766467065869" u="1"/>
        <n v="0.22070098576122674" u="1"/>
        <n v="0.80232558139534882" u="1"/>
        <n v="0.9525065963060686" u="1"/>
        <n v="0.77069716775599129" u="1"/>
        <n v="0.70424836601307195" u="1"/>
        <n v="0.51440329218106995" u="1"/>
        <n v="0.76415094339622647" u="1"/>
        <n v="0.96630327056491572" u="1"/>
        <n v="0.63855421686746983" u="1"/>
        <n v="0.97560975609756095" u="1"/>
        <n v="6.575342465753424E-2" u="1"/>
        <n v="0.4715224534501643" u="1"/>
        <n v="0.47802197802197804" u="1"/>
        <n v="0.82978723404255317" u="1"/>
        <n v="0.85377358490566035" u="1"/>
        <n v="0.76148796498905913" u="1"/>
        <n v="0.27152317880794702" u="1"/>
        <n v="0.71556886227544914" u="1"/>
        <n v="0.75492341356673964" u="1"/>
        <n v="0.68421052631578949" u="1"/>
        <n v="0.91056910569105687" u="1"/>
        <n v="0.18838992332968238" u="1"/>
        <n v="0.58688524590163937" u="1"/>
        <n v="0.74835886214442016" u="1"/>
        <n v="0.85093167701863359" u="1"/>
        <n v="0.574585635359116" u="1"/>
        <n v="0.67479674796747968" u="1"/>
        <n v="0.69461077844311381" u="1"/>
        <n v="0.90760869565217395" u="1"/>
        <n v="0.94008714596949894" u="1"/>
        <n v="0.73522975929978118" u="1"/>
        <n v="0.87363834422657949" u="1"/>
        <n v="0.77788844621513942" u="1"/>
        <n v="0.9642857142857143" u="1"/>
        <n v="0.44262295081967212" u="1"/>
        <n v="0.75138121546961323" u="1"/>
        <n v="0.80718954248366015" u="1"/>
        <n v="0.45267489711934156" u="1"/>
        <n v="0.7407407407407407" u="1"/>
        <n v="0.95318725099601598" u="1"/>
        <n v="0.93229166666666663" u="1"/>
        <n v="0.6097560975609756" u="1"/>
        <n v="0.66847826086956519" u="1"/>
        <n v="0.67365269461077848" u="1"/>
        <n v="0.50549450549450547" u="1"/>
        <n v="0.51639344262295084" u="1"/>
        <n v="0.62382445141065834" u="1"/>
        <n v="0.15607886089813799" u="1"/>
        <n v="0.94131455399061037" u="1"/>
        <n v="0.43894389438943893" u="1"/>
        <n v="0.88759689922480622" u="1"/>
        <n v="0.95833333333333337" u="1"/>
        <n v="0.98901098901098905" u="1"/>
        <n v="0.65269461077844315" u="1"/>
        <n v="0.41914191419141916" u="1"/>
        <n v="0.79937304075235105" u="1"/>
        <n v="0.62582056892778992" u="1"/>
        <n v="0.34156378600823045" u="1"/>
        <n v="0.51851851851851849" u="1"/>
        <n v="0.68175582990397809" u="1"/>
        <n v="0.59515570934256057" u="1"/>
        <n v="0.31653888280394304" u="1"/>
        <n v="0.61925601750547044" u="1"/>
        <n v="0.93069306930693074" u="1"/>
        <n v="0.95238095238095233" u="1"/>
        <n v="0.29079956188389922" u="1"/>
        <n v="0.94894894894894899" u="1"/>
        <n v="0.61269146608315095" u="1"/>
        <n v="0.9765795206971678" u="1"/>
        <n v="0.91013071895424835" u="1"/>
        <n v="0.99586776859504134" u="1"/>
        <n v="0.43137254901960786" u="1"/>
        <n v="0.47604790419161674" u="1"/>
        <n v="0.79482071713147406" u="1"/>
        <n v="0.59956236323851209" u="1"/>
        <n v="0.77723311546840956" u="1"/>
        <n v="0.47316538882803943" u="1"/>
        <n v="0.97011952191235062" u="1"/>
        <n v="0.5929978118161926" u="1"/>
        <n v="0.44780219780219782" u="1"/>
        <n v="0.44742606790799561" u="1"/>
        <n v="0.72672672672672678" u="1"/>
        <n v="0.58643326039387311" u="1"/>
        <n v="0.25191675794085433" u="1"/>
        <n v="0.61716171617161719" u="1"/>
        <n v="0.20208105147864183" u="1"/>
        <n v="0.43421052631578949" u="1"/>
        <n v="0.8894422310756972" u="1"/>
        <n v="0.8779342723004695" u="1"/>
        <n v="0.57755775577557755" u="1"/>
        <n v="0.99414445203918889" u="1"/>
        <n v="0.96174863387978138" u="1"/>
        <n v="0.74485596707818935" u="1"/>
        <n v="0.26490066225165565" u="1"/>
        <n v="0.45508982035928142" u="1"/>
        <n v="0.6333333333333333" u="1"/>
        <n v="0.89841427155599607" u="1"/>
        <n v="0.23529411764705882" u="1"/>
        <n v="0.51259583789704266" u="1"/>
        <n v="0.91627906976744189" u="1"/>
        <n v="0.97286821705426352" u="1"/>
        <n v="0.40854326396495072" u="1"/>
        <n v="0.31125827814569534" u="1"/>
        <n v="0.61570247933884292" u="1"/>
        <n v="0.91621129326047357" u="1"/>
        <n v="0.92191780821917813" u="1"/>
        <n v="0.35761589403973509" u="1"/>
        <n v="0.81521739130434778" u="1"/>
        <n v="0.39622641509433965" u="1"/>
        <n v="0.47252747252747251" u="1"/>
        <n v="0.88017429193899777" u="1"/>
        <n v="0.52263374485596703" u="1"/>
        <n v="0.90094339622641506" u="1"/>
        <n v="4.7619047619047616E-2" u="1"/>
        <n v="0.98897058823529416" u="1"/>
        <n v="0.74727668845315909" u="1"/>
        <n v="0.87067395264116576" u="1"/>
        <n v="0.9285714285714286" u="1"/>
        <n v="0.57608695652173914" u="1"/>
        <n v="0.74647887323943662" u="1"/>
        <n v="0.50276243093922657" u="1"/>
        <n v="0.82739726027397265" u="1"/>
        <n v="0.52738225629791891" u="1"/>
        <n v="0.72440087145969501" u="1"/>
        <n v="0.90637450199203184" u="1"/>
        <n v="0.34431137724550898" u="1"/>
        <n v="0.8079561042524005" u="1"/>
        <n v="0.5280898876404494" u="1"/>
        <n v="0.9711934156378601" u="1"/>
        <n v="0.6795580110497238" u="1"/>
        <n v="0.41847826086956524" u="1"/>
        <n v="0.99419002050580996" u="1"/>
        <n v="0.37016574585635359" u="1"/>
        <n v="0.4358974358974359" u="1"/>
        <n v="0.95329670329670335" u="1"/>
        <n v="0.54520547945205478" u="1"/>
        <n v="0.91118421052631582" u="1"/>
        <n v="0.98017839444995047" u="1"/>
        <n v="0.99087591240875916" u="1"/>
        <n v="0.92054794520547945" u="1"/>
        <n v="0.85635359116022103" u="1"/>
        <n v="0.88262910798122063" u="1"/>
        <n v="0.47480832420591457" u="1"/>
        <n v="0.82894736842105265" u="1"/>
        <n v="0.94160583941605835" u="1"/>
        <n v="0.98311546840958608" u="1"/>
        <n v="0.5488372093023256" u="1"/>
        <n v="0.58573388203017829" u="1"/>
        <n v="0.4567901234567901" u="1"/>
        <n v="0.74897119341563789" u="1"/>
        <n v="0.88837209302325582" u="1"/>
        <n v="0.91666666666666663" u="1"/>
        <n v="0.4175824175824176" u="1"/>
        <n v="0.85021786492374729" u="1"/>
        <n v="0.78376906318082784" u="1"/>
        <n v="0.95070422535211263" u="1"/>
        <n v="0.86678832116788318" u="1"/>
        <n v="0.63835616438356169" u="1"/>
        <n v="0.97974683544303798" u="1"/>
        <n v="0.94270833333333337" u="1"/>
        <n v="0.57547169811320753" u="1"/>
        <n v="0.81751824817518248" u="1"/>
        <n v="0.19003285870755751" u="1"/>
        <n v="0.86350974930362112" u="1"/>
        <n v="0.92467789890981167" u="1"/>
        <n v="0.71897810218978098" u="1"/>
        <n v="0.52674897119341568" u="1"/>
        <n v="0.69444444444444442" u="1"/>
        <n v="0.51588170865279304" u="1"/>
        <n v="0.66509433962264153" u="1"/>
        <n v="0.96739130434782605" u="1"/>
        <n v="0.41018619934282585" u="1"/>
        <n v="0.9888579387186629" u="1"/>
        <n v="0.99700598802395213" u="1"/>
        <n v="0.25827814569536423" u="1"/>
        <n v="0.73150684931506849" u="1"/>
        <n v="0.84262948207171318" u="1"/>
        <n v="0.91917808219178088" u="1"/>
        <n v="0.72826086956521741" u="1"/>
        <n v="0.44230769230769229" u="1"/>
        <n v="0.30463576158940397" u="1"/>
        <n v="0.9760479041916168" u="1"/>
        <n v="0.48834019204389573" u="1"/>
        <n v="0.86833855799373039" u="1"/>
        <n v="0.38082191780821917" u="1"/>
        <n v="0.97530864197530864" u="1"/>
        <n v="0.95315904139433549" u="1"/>
        <n v="0.74257425742574257" u="1"/>
        <n v="0.58214676889375683" u="1"/>
        <n v="0.88671023965141615" u="1"/>
        <n v="0.86813186813186816" u="1"/>
        <n v="0.8202614379084967" u="1"/>
        <n v="0.70297029702970293" u="1"/>
        <n v="0.8246575342465754" u="1"/>
        <n v="0.88732394366197187" u="1"/>
        <n v="0.86046511627906974" u="1"/>
        <n v="0.83618012422360244" u="1"/>
        <n v="0.83150183150183155" u="1"/>
        <n v="0.58984910836762694" u="1"/>
        <n v="0.75308641975308643" u="1"/>
        <n v="0.73093681917211328" u="1"/>
        <n v="0.42739726027397262" u="1"/>
        <n v="0.96778989098116952" u="1"/>
        <n v="0.8928571428571429" u="1"/>
        <n v="0.90126582278481016" u="1"/>
        <n v="0.54246575342465753" u="1"/>
        <n v="0.95539906103286387" u="1"/>
        <n v="0.7752808988764045" u="1"/>
        <n v="0.72340425531914898" u="1"/>
        <n v="0.9178082191780822" u="1"/>
        <n v="0.51315789473684215" u="1"/>
        <n v="0.99836065573770494" u="1"/>
        <n v="0.75449101796407181" u="1"/>
        <n v="0.94811320754716977" u="1"/>
        <n v="0.45071193866374587" u="1"/>
        <n v="0.59169550173010377" u="1"/>
        <n v="0.37309644670050762" u="1"/>
        <n v="0.91758241758241754" u="1"/>
        <n v="0.25520262869660459" u="1"/>
        <n v="0.47397260273972602" u="1"/>
        <n v="0.96311475409836067" u="1"/>
        <n v="0.73353293413173648" u="1"/>
        <n v="0.13812154696132597" u="1"/>
        <n v="0.63561643835616444" u="1"/>
        <n v="0.92320261437908502" u="1"/>
        <n v="0.15068493150684931" u="1"/>
        <n v="0.43790849673202614" u="1"/>
        <n v="0.6675126903553299" u="1"/>
        <n v="0.755868544600939" u="1"/>
        <n v="0.64462809917355368" u="1"/>
        <n v="0.95094152626362738" u="1"/>
        <n v="0.9278688524590164" u="1"/>
        <n v="0.6776859504132231" u="1"/>
        <n v="0.17948717948717949" u="1"/>
        <n v="0.5191675794085433" u="1"/>
        <n v="0.18232044198895028" u="1"/>
        <n v="0.78680203045685282" u="1"/>
        <n v="0.41182913472070098" u="1"/>
        <n v="0.65294924554183809" u="1"/>
        <n v="0.71257485029940115" u="1"/>
        <n v="0.81618655692729769" u="1"/>
        <n v="0.6649746192893401" u="1"/>
        <n v="0.97942386831275718" u="1"/>
        <n v="0.96700507614213194" u="1"/>
        <n v="0.7009803921568627" u="1"/>
        <n v="0.90609137055837563" u="1"/>
        <n v="0.87687687687687688" u="1"/>
        <n v="0.72876712328767124" u="1"/>
        <n v="0.84517766497461932" u="1"/>
        <n v="0.875" u="1"/>
        <n v="0.94573643410852715" u="1"/>
        <n v="0.41208791208791207" u="1"/>
        <n v="0.892018779342723" u="1"/>
        <n v="0.85737704918032787" u="1"/>
        <n v="0.96446700507614214" u="1"/>
        <n v="0.59396433470507548" u="1"/>
        <n v="0.80769230769230771" u="1"/>
        <n v="0.98852459016393446" u="1"/>
        <n v="0.63586956521739135" u="1"/>
        <n v="0.48936170212765956" u="1"/>
        <n v="0.62441314553990612" u="1"/>
        <n v="0.95969498910675377" u="1"/>
        <n v="0.82191780821917804" u="1"/>
        <n v="0.92708333333333337" u="1"/>
        <n v="0.19726027397260273" u="1"/>
        <n v="0.82679738562091498" u="1"/>
        <n v="0.223986856516977" u="1"/>
        <n v="0.18300653594771241" u="1"/>
        <n v="0.78688524590163933" u="1"/>
        <n v="0.99405351833498512" u="1"/>
        <n v="0.83241758241758246" u="1"/>
        <n v="0.53972602739726028" u="1"/>
        <n v="0.80392156862745101" u="1"/>
        <n v="0.91803278688524592" u="1"/>
        <n v="0.89043824701195218" u="1"/>
        <n v="0.47809419496166483" u="1"/>
        <n v="0.96378830083565459" u="1"/>
        <n v="0.9779411764705882" u="1"/>
        <n v="0.91506849315068495" u="1"/>
        <n v="0.452354874041621" u="1"/>
        <n v="0.8314606741573034" u="1"/>
        <n v="0.90759075907590758" u="1"/>
        <n v="0.28493150684931506" u="1"/>
        <n v="0.25684556407447973" u="1"/>
        <n v="0.8571428571428571" u="1"/>
        <n v="0.87249544626593811" u="1"/>
        <n v="0.32921810699588477" u="1"/>
        <n v="0.86798679867986794" u="1"/>
        <n v="0.9151785714285714" u="1"/>
        <n v="0.49245541838134432" u="1"/>
        <n v="8.4249084249084255E-2" u="1"/>
        <n v="0.19167579408543264" u="1"/>
        <n v="0.63287671232876708" u="1"/>
        <n v="0.69877049180327866" u="1"/>
        <n v="0.71473354231974917" u="1"/>
        <n v="0.82838283828382842" u="1"/>
        <n v="0.84754098360655739" u="1"/>
        <n v="0.93855302279484643" u="1"/>
        <n v="0.77419354838709675" u="1"/>
        <n v="0.82051282051282048" u="1"/>
        <n v="0.82991803278688525" u="1"/>
        <n v="0.24383561643835616" u="1"/>
        <n v="0.9297385620915033" u="1"/>
        <n v="0.97868852459016398" u="1"/>
        <n v="0.41347207009857612" u="1"/>
        <n v="0.33150684931506852" u="1"/>
        <n v="0.96106557377049184" u="1"/>
        <n v="0.59405940594059403" u="1"/>
        <n v="0.59807956104252402" u="1"/>
        <n v="0.64590163934426226" u="1"/>
        <n v="0.37425149700598803" u="1"/>
        <n v="0.44339622641509435" u="1"/>
        <n v="0.93730407523510972" u="1"/>
        <n v="0.5544554455445545" u="1"/>
        <n v="0.77704918032786885" u="1"/>
        <n v="0.90737051792828682" u="1"/>
        <n v="0.77396514161220042" u="1"/>
        <n v="0.15936473165388829" u="1"/>
        <n v="0.61065573770491799" u="1"/>
        <n v="0.64019715224534501" u="1"/>
        <n v="0.70751633986928109" u="1"/>
        <n v="0.90819672131147544" u="1"/>
        <n v="0.37808219178082192" u="1"/>
        <n v="0.53591160220994472" u="1"/>
        <n v="0.58871851040525736" u="1"/>
        <n v="0.92170465807730428" u="1"/>
        <n v="9.0410958904109592E-2" u="1"/>
        <n v="0.74180327868852458" u="1"/>
        <n v="0.74725274725274726" u="1"/>
        <n v="0.2983425414364641" u="1"/>
        <n v="0.88340192043895749" u="1"/>
        <n v="0.82669322709163351" u="1"/>
        <n v="0.98175182481751821" u="1"/>
        <n v="0.87295081967213117" u="1"/>
        <n v="0.84084084084084088" u="1"/>
        <n v="0.3532934131736527" u="1"/>
        <n v="0.98166501486620417" u="1"/>
        <n v="0.38674033149171272" u="1"/>
        <n v="0.65789473684210531" u="1"/>
        <n v="0.29139072847682118" u="1"/>
        <n v="0.88321167883211682" u="1"/>
        <n v="8.3287671232876712E-2" u="1"/>
        <n v="0.77197802197802201" u="1"/>
        <n v="0.8377049180327869" u="1"/>
        <n v="0.88950276243093918" u="1"/>
        <n v="0.41289437585733885" u="1"/>
        <n v="0.33774834437086093" u="1"/>
        <n v="0.78467153284671531" u="1"/>
        <n v="0.12602739726027398" u="1"/>
        <n v="0.46046511627906977" u="1"/>
        <n v="0.65368852459016391" u="1"/>
        <n v="0.45399780941949619" u="1"/>
        <n v="0.859375" u="1"/>
        <n v="0.81045751633986929" u="1"/>
        <n v="0.83881578947368418" u="1"/>
        <n v="0.25848849945235486" u="1"/>
        <n v="0.70661157024793386" u="1"/>
        <n v="0.7848360655737705" u="1"/>
        <n v="0.74400871459694984" u="1"/>
        <n v="0.79670329670329665" u="1"/>
        <n v="0.20536692223439212" u="1"/>
        <n v="0.66058394160583944" u="1"/>
        <n v="0.28260869565217389" u="1"/>
        <n v="0.76721311475409837" u="1"/>
        <n v="0.88541666666666663" u="1"/>
        <n v="0.77272727272727271" u="1"/>
        <n v="0.96481665014866203" u="1"/>
        <n v="2.7397260273972601E-2" u="1"/>
        <n v="0.32547169811320753" u="1"/>
        <n v="0.84362549800796816" u="1"/>
        <n v="0.75943396226415094" u="1"/>
        <n v="0.91145833333333337" u="1"/>
        <n v="0.88401253918495293" u="1"/>
        <n v="0.36996336996336998" u="1"/>
        <n v="0.56557377049180324" u="1"/>
        <n v="0.38937568455640748" u="1"/>
        <n v="0.87810559006211175" u="1"/>
        <n v="0.84905660377358494" u="1"/>
        <n v="0.93627450980392157" u="1"/>
        <n v="0.44444444444444442" u="1"/>
        <n v="0.69672131147540983" u="1"/>
        <n v="0.72427983539094654" u="1"/>
        <n v="0.93478260869565222" u="1"/>
        <n v="0.17260273972602741" u="1"/>
        <n v="0.83532934131736525" u="1"/>
        <n v="4.1095890410958902E-2" u="1"/>
        <n v="0.35164835164835168" u="1"/>
        <n v="0.39669421487603307" u="1"/>
        <n v="0.64348302300109528" u="1"/>
        <n v="0.90931615460852333" u="1"/>
        <n v="0.59200438116100762" u="1"/>
        <n v="0.84694989106753815" u="1"/>
        <n v="0.99339933993399343" u="1"/>
        <n v="0.35313531353135313" u="1"/>
        <n v="0.7805010893246187" u="1"/>
        <n v="0.68681318681318682" u="1"/>
        <n v="0.69565217391304346" u="1"/>
        <n v="0.81437125748502992" u="1"/>
        <n v="0.33333333333333331" u="1"/>
        <n v="0.50205761316872433" u="1"/>
        <n v="0.44651162790697674" u="1"/>
        <n v="0.66529492455418382" u="1"/>
        <n v="0.56279069767441858" u="1"/>
        <n v="0.22562979189485213" u="1"/>
        <n v="0.47826086956521741" u="1"/>
        <n v="0.79341317365269459" u="1"/>
        <n v="0.31501831501831501" u="1"/>
        <n v="0.71153846153846156" u="1"/>
        <n v="0.71947194719471952" u="1"/>
        <n v="0.4813800657174151" u="1"/>
        <n v="0.77988047808764938" u="1"/>
        <n v="0.97276688453159044" u="1"/>
        <n v="0.28476821192052981" u="1"/>
        <n v="0.35869565217391303" u="1"/>
        <n v="0.95061728395061729" u="1"/>
        <n v="0.90631808278867099" u="1"/>
        <n v="0.52358490566037741" u="1"/>
        <n v="0.26013143483022999" u="1"/>
        <n v="0.33112582781456956" u="1"/>
        <n v="0.78369905956112851" u="1"/>
        <n v="0.73626373626373631" u="1"/>
        <n v="0.88344226579520702" u="1"/>
        <n v="0.19331872946330778" u="1"/>
        <n v="0.52049180327868849" u="1"/>
        <n v="0.64088397790055252" u="1"/>
        <n v="0.99108027750247774" u="1"/>
        <n v="0.81699346405228757" u="1"/>
        <n v="0.37748344370860926" u="1"/>
        <n v="0.36488340192043894" u="1"/>
        <n v="0.75054466230936823" u="1"/>
        <n v="0.72839506172839508" u="1"/>
        <n v="0.52902519167579409" u="1"/>
        <n v="0.69963369963369959" u="1"/>
        <n v="0.41675794085432638" u="1"/>
        <n v="0.81767955801104975" u="1"/>
        <n v="0.13071895424836602" u="1"/>
        <n v="0.39101861993428261" u="1"/>
        <n v="0.4325581395348837" u="1"/>
        <n v="0.59477124183006536" u="1"/>
        <n v="0.91985428051001816" u="1"/>
        <n v="0.99447513812154698" u="1"/>
        <n v="0.66300366300366298" u="1"/>
        <n v="0.81782945736434109" u="1"/>
        <n v="0.87441860465116283" u="1"/>
        <n v="0.50617283950617287" u="1"/>
        <n v="0.16100766703176342" u="1"/>
        <n v="0.64676889375684554" u="1"/>
        <n v="0.89692765113974227" u="1"/>
        <n v="0.93557978196233893" u="1"/>
        <n v="0.43944636678200694" u="1"/>
        <n v="0.84375" u="1"/>
        <n v="0.99487179487179489" u="1"/>
        <n v="0.35213581599123767" u="1"/>
        <n v="0.62637362637362637" u="1"/>
        <n v="0.80263157894736847" u="1"/>
        <n v="0.86979166666666663" u="1"/>
        <n v="0.85348583877995643" u="1"/>
        <n v="0.89143426294820716" u="1"/>
        <n v="0.23932092004381161" u="1"/>
        <n v="0.95473251028806583" u="1"/>
        <n v="0.95574534161490687" u="1"/>
        <n v="0.72058823529411764" u="1"/>
        <n v="0.89583333333333337" u="1"/>
        <n v="0.65109890109890112" u="1"/>
        <n v="0.89622641509433965" u="1"/>
        <n v="0.98355263157894735" u="1"/>
        <n v="0.48302300109529023" u="1"/>
        <n v="0.90397350993377479" u="1"/>
        <n v="0.73040752351097182" u="1"/>
        <n v="0.96280087527352298" u="1"/>
        <n v="0.78378378378378377" u="1"/>
        <n v="0.80165289256198347" u="1"/>
        <n v="0.56927297668038412" u="1"/>
        <n v="0.44855967078189302" u="1"/>
        <n v="0.73251028806584362" u="1"/>
        <n v="0.99668874172185429" u="1"/>
        <n v="0.83471074380165289" u="1"/>
        <n v="0.92876712328767119" u="1"/>
        <n v="0.20700985761226726" u="1"/>
        <n v="0.94967177242888401" u="1"/>
        <n v="0.97930283224400871" u="1"/>
        <n v="0.86776859504132231" u="1"/>
        <n v="0.41584158415841582" u="1"/>
        <n v="0.67582417582417587" u="1"/>
        <n v="0.27814569536423839" u="1"/>
        <n v="0.3883248730964467" u="1"/>
        <n v="0.97869177403369678" u="1"/>
        <n v="0.32741116751269034" u="1"/>
        <n v="0.41860465116279072" u="1"/>
        <n v="0.9526462395543176" u="1"/>
        <n v="0.39603960396039606" u="1"/>
        <n v="0.84651162790697676" u="1"/>
        <n v="0.9031007751937985" u="1"/>
        <n v="0.93654266958424504" u="1"/>
        <n v="0.32450331125827814" u="1"/>
        <n v="0.64657534246575343" u="1"/>
        <n v="0.53231106243154436" u="1"/>
        <n v="0.51028806584362141" u="1"/>
        <n v="8.21917808219178E-3" u="1"/>
        <n v="0.82352941176470584" u="1"/>
        <n v="0.57614213197969544" u="1"/>
        <n v="0.51522842639593913" u="1"/>
        <n v="0.76876876876876876" u="1"/>
        <n v="0.7570806100217865" u="1"/>
        <n v="0.84488448844884489" u="1"/>
        <n v="0.69063180827886705" u="1"/>
        <n v="0.93788819875776397" u="1"/>
        <n v="0.91684901531728669" u="1"/>
        <n v="0.69543147208121825" u="1"/>
        <n v="0.1746987951807229" u="1"/>
        <n v="0.80528052805280526" u="1"/>
        <n v="0.41721854304635764" u="1"/>
        <n v="0.90765171503957787" u="1"/>
        <n v="0.24056603773584906" u="1"/>
        <n v="0.82768924302788849" u="1"/>
        <n v="0.57360406091370564" u="1"/>
        <n v="0.99456521739130432" u="1"/>
        <n v="0.94890510948905105" u="1"/>
        <n v="0.65005476451259581" u="1"/>
        <n v="0.87563451776649748" u="1"/>
        <n v="0.92319127849355798" u="1"/>
        <n v="0.57075471698113212" u="1"/>
        <n v="0.73972602739726023" u="1"/>
        <n v="0.48010973936899864" u="1"/>
        <n v="0.46357615894039733" u="1"/>
        <n v="0.56906077348066297" u="1"/>
        <n v="0.95884773662551437" u="1"/>
        <n v="0.60130718954248363" u="1"/>
        <n v="7.18232044198895E-2" u="1"/>
        <n v="0.69289340101522845" u="1"/>
        <n v="0.85036496350364965" u="1"/>
        <n v="0.31491712707182318" u="1"/>
        <n v="0.74701195219123506" u="1"/>
        <n v="0.99492385786802029" u="1"/>
        <n v="0.57095709570957098" u="1"/>
        <n v="0.75543478260869568" u="1"/>
        <n v="0.87309644670050757" u="1"/>
        <n v="0.45098039215686275" u="1"/>
        <n v="0.63009404388714729" u="1"/>
        <n v="0.7458563535911602" u="1"/>
        <n v="0.81400437636761491" u="1"/>
        <n v="0.77554744525547448" u="1"/>
        <n v="9.3922651933701654E-2" u="1"/>
        <n v="0.53135313531353134" u="1"/>
        <n v="0.57338820301783266" u="1"/>
        <n v="0.83287671232876714" u="1"/>
        <n v="0.92647058823529416" u="1"/>
        <n v="0.73662551440329216" u="1"/>
        <n v="0.80087527352297594" u="1"/>
        <n v="0.86002178649237471" u="1"/>
        <n v="0.92265193370165743" u="1"/>
        <n v="0.59065934065934067" u="1"/>
        <n v="0.79357298474945537" u="1"/>
        <n v="0.27245508982035926" u="1"/>
        <n v="0.79431072210065645" u="1"/>
        <n v="0.49171270718232046" u="1"/>
        <n v="0.81860465116279069" u="1"/>
        <n v="0.65201465201465203" u="1"/>
        <n v="0.72712418300653592" u="1"/>
        <n v="0.94430379746835447" u="1"/>
        <n v="0.48466593647316542" u="1"/>
        <n v="0.33986928104575165" u="1"/>
        <n v="0.85266457680250785" u="1"/>
        <n v="0.79801324503311255" u="1"/>
        <n v="0.55068493150684927" u="1"/>
        <n v="0.26341730558598031" u="1"/>
        <n v="0.99405331510594663" u="1"/>
        <n v="0.92602739726027394" u="1"/>
        <n v="0.89072847682119205" u="1"/>
        <n v="0.61538461538461542" u="1"/>
        <n v="0.19496166484118291" u="1"/>
        <n v="0.84868421052631582" u="1"/>
        <n v="0.29041095890410956" u="1"/>
        <n v="0.76394422310756971" u="1"/>
        <n v="0.89520958083832336" u="1"/>
        <n v="0.98344370860927155" u="1"/>
        <n v="0.93924302788844627" u="1"/>
        <n v="0.53559693318729462" u="1"/>
        <n v="0.42004381161007665" u="1"/>
        <n v="0.64383561643835618" u="1"/>
        <n v="0.57875457875457881" u="1"/>
        <n v="0.40054869684499317" u="1"/>
        <n v="0.63648834019204392" u="1"/>
        <n v="0.6783369803063457" u="1"/>
        <n v="0.39430449069003287" u="1"/>
        <n v="0.79972565157750342" u="1"/>
        <n v="0.96296296296296291" u="1"/>
        <n v="0.87425149700598803" u="1"/>
        <n v="0.94339622641509435" u="1"/>
        <n v="0.24657534246575341" u="1"/>
        <n v="0.31788079470198677" u="1"/>
        <n v="0.31147540983606559" u="1"/>
        <n v="0.89651416122004357" u="1"/>
        <n v="0.88020833333333337" u="1"/>
        <n v="0.33698630136986302" u="1"/>
        <n v="0.83006535947712423" u="1"/>
        <n v="0.54212454212454209" u="1"/>
        <n v="0.76361655773420478" u="1"/>
        <n v="0.94736842105263153" u="1"/>
        <n v="0.16265060240963855" u="1"/>
        <n v="0.36423841059602646" u="1"/>
        <n v="0.94945490584737369" u="1"/>
        <n v="0.69716775599128544" u="1"/>
        <n v="0.8532934131736527" u="1"/>
        <n v="0.65864332603938736" u="1"/>
        <n v="0.73698630136986298" u="1"/>
        <n v="0.57680250783699061" u="1"/>
        <n v="0.60186199342825852" u="1"/>
        <n v="0.39069767441860465" u="1"/>
        <n v="0.84552845528455289" u="1"/>
        <n v="0.41059602649006621" u="1"/>
        <n v="0.92465753424657537" u="1"/>
        <n v="0.57750342935528121" u="1"/>
        <n v="0.47854785478547857" u="1"/>
        <n v="0.69166666666666665" u="1"/>
        <n v="0.90217391304347827" u="1"/>
        <n v="0.73273273273273276" u="1"/>
        <n v="0.64551422319474838" u="1"/>
        <n v="0.45874587458745875" u="1"/>
        <n v="0.38356164383561642" u="1"/>
        <n v="0.9050131926121372" u="1"/>
        <n v="0.6389496717724289" u="1"/>
        <n v="0.92757660167130918" u="1"/>
        <n v="0.96721311475409832" u="1"/>
        <n v="0.63238512035010941" u="1"/>
        <n v="0.66304347826086951" u="1"/>
        <n v="0.78048780487804881" u="1"/>
        <n v="0.43820224719101125" u="1"/>
        <n v="0.83013698630136989" u="1"/>
        <n v="0.86282578875171467" u="1"/>
        <n v="0.97029702970297027" u="1"/>
        <n v="0.6629213483146067" u="1"/>
        <n v="0.53021978021978022" u="1"/>
        <n v="0.89669421487603307" u="1"/>
        <n v="0.48630887185104055" u="1"/>
        <n v="0.25471698113207547" u="1"/>
        <n v="0.93300653594771243" u="1"/>
        <n v="0.92167577413479052" u="1"/>
        <n v="0.46195652173913043" u="1"/>
        <n v="0.43013698630136987" u="1"/>
        <n v="0.63173652694610782" u="1"/>
        <n v="0.97492163009404387" u="1"/>
        <n v="0.61792452830188682" u="1"/>
        <n v="0.54794520547945202" u="1"/>
        <n v="0.80010893246187365" u="1"/>
        <n v="0.96280991735537191" u="1"/>
        <n v="0.12876712328767123" u="1"/>
        <n v="0.89672131147540979" u="1"/>
        <n v="0.99256689791873143" u="1"/>
        <n v="0.92328767123287669" u="1"/>
        <n v="0.67403314917127077" u="1"/>
        <n v="0.55494505494505497" u="1"/>
        <n v="0.69636963696369636" u="1"/>
        <n v="0.70754716981132071" u="1"/>
        <n v="0.80384087791495196" u="1"/>
        <n v="0.78476821192052981" u="1"/>
        <n v="0.26739926739926739" u="1"/>
        <n v="0.6107784431137725" u="1"/>
        <n v="0.59036144578313254" u="1"/>
        <n v="0.98666666666666669" u="1"/>
        <n v="0.65676567656765672" u="1"/>
        <n v="0.44982698961937717" u="1"/>
        <n v="0.53888280394304489" u="1"/>
        <n v="0.47671232876712327" u="1"/>
        <n v="0.850828729281768" u="1"/>
        <n v="0.11506849315068493" u="1"/>
        <n v="0.42168674698795183" u="1"/>
        <n v="0.64109589041095894" u="1"/>
        <n v="0.54838709677419351" u="1"/>
        <n v="0.8306010928961749" u="1"/>
        <n v="0.58982035928143717" u="1"/>
        <n v="0.94099378881987583" u="1"/>
        <n v="0.57967032967032972" u="1"/>
        <n v="0.82622950819672136" u="1"/>
        <n v="0.87596899224806202" u="1"/>
        <n v="0.97499999999999998" u="1"/>
        <n v="0.17634173055859803" u="1"/>
        <n v="0.95737704918032784" u="1"/>
        <n v="0.93706640237859262" u="1"/>
        <n v="0.63157894736842102" u="1"/>
        <n v="0.49084249084249082" u="1"/>
        <n v="0.79098360655737709" u="1"/>
        <n v="0.89243027888446214" u="1"/>
        <n v="0.90305010893246185" u="1"/>
        <n v="0.60514786418400879" u="1"/>
        <n v="0.73424657534246573" u="1"/>
        <n v="0.83660130718954251" u="1"/>
        <n v="0.92213114754098358" u="1"/>
        <n v="0.17534246575342466" u="1"/>
        <n v="0.69905956112852663" u="1"/>
        <n v="0.77015250544662306" u="1"/>
        <n v="0.86694101508916321" u="1"/>
        <n v="0.33132530120481929" u="1"/>
        <n v="0.19339622641509435" u="1"/>
        <n v="0.8125" u="1"/>
        <n v="0.88688524590163931" u="1"/>
        <n v="0.98705179282868527" u="1"/>
        <n v="0.40397350993377484" u="1"/>
        <n v="0.2289156626506024" u="1"/>
        <n v="0.43413173652694609" u="1"/>
        <n v="0.99056603773584906" u="1"/>
        <n v="0.45033112582781459" u="1"/>
        <n v="0.40466392318244171" u="1"/>
        <n v="0.644718792866941" u="1"/>
        <n v="0.68524590163934429" u="1"/>
        <n v="0.49668874172185429" u="1"/>
        <n v="0.99342105263157898" u="1"/>
        <n v="0.90237467018469653" u="1"/>
        <n v="0.9101123595505618" u="1"/>
        <n v="0.26670317634173057" u="1"/>
        <n v="0.17499999999999999" u="1"/>
        <n v="0.94754098360655736" u="1"/>
        <n v="0.87309368191721137" u="1"/>
        <n v="0.49725274725274726" u="1"/>
        <n v="0.41317365269461076" u="1"/>
        <n v="0.22191780821917809" u="1"/>
        <n v="0.59364731653888281" u="1"/>
        <n v="0.28767123287671231" u="1"/>
        <n v="0.96532846715328469" u="1"/>
        <n v="0.34640522875816993" u="1"/>
        <n v="0.61475409836065575" u="1"/>
        <n v="0.54216867469879515" u="1"/>
        <n v="0.91605839416058399" u="1"/>
        <n v="0.97802197802197799" u="1"/>
        <n v="0.79736024844720499" u="1"/>
        <n v="0.77152317880794707" u="1"/>
        <n v="0.74590163934426235" u="1"/>
        <n v="0.39759036144578314" u="1"/>
        <n v="0.89051094890510951" u="1"/>
        <n v="0.7173202614379085" u="1"/>
        <n v="0.51923076923076927" u="1"/>
        <n v="0.23443223443223443" u="1"/>
        <n v="0.87704918032786883" u="1"/>
        <n v="0.86423841059602646" u="1"/>
        <n v="0.27830188679245282" u="1"/>
        <n v="0.79197080291970801" u="1"/>
        <n v="0.43621399176954734" u="1"/>
        <n v="0.70781893004115226" u="1"/>
        <n v="0.87105624142661175" u="1"/>
        <n v="0.96333002973240833" u="1"/>
        <n v="0.33424657534246577" u="1"/>
        <n v="0.16429353778751368" u="1"/>
        <n v="0.64576802507836994" u="1"/>
        <n v="7.9452054794520555E-2" u="1"/>
        <n v="0.60220994475138123" u="1"/>
        <n v="0.95695364238410596" u="1"/>
        <n v="0.69343065693430661" u="1"/>
        <n v="0.60843373493975905" u="1"/>
        <n v="0.33149171270718231" u="1"/>
        <n v="0.30239520958083832" u="1"/>
        <n v="0.67540983606557381" u="1"/>
        <n v="0.95189873417721516" u="1"/>
        <n v="0.97603485838779958" u="1"/>
        <n v="0.35870755750273825" u="1"/>
        <n v="0.82131661442006265" u="1"/>
        <n v="0.82178217821782173" u="1"/>
        <n v="0.96195652173913049" u="1"/>
        <n v="0.89789789789789787" u="1"/>
        <n v="0.90958605664488013" u="1"/>
        <n v="0.77900552486187846" u="1"/>
        <n v="0.65778688524590168" u="1"/>
        <n v="0.80655737704918029" u="1"/>
        <n v="0.84313725490196079" u="1"/>
        <n v="0.78217821782178221" u="1"/>
        <n v="0.41988950276243092" u="1"/>
        <n v="0.78893442622950816" u="1"/>
        <n v="0.93770491803278688" u="1"/>
        <n v="0.95867768595041325" u="1"/>
        <n v="0.72282608695652173" u="1"/>
        <n v="0.93333333333333335" u="1"/>
        <n v="0.95580110497237569" u="1"/>
        <n v="0.90782953419226953" u="1"/>
        <n v="0.94648166501486619" u="1"/>
        <n v="0.99173553719008267" u="1"/>
        <n v="0.53066812705366917" u="1"/>
        <n v="0.75381263616557737" u="1"/>
        <n v="0.95508982035928147" u="1"/>
        <n v="0.48959474260679081" u="1"/>
        <n v="0.28143712574850299" u="1"/>
        <n v="0.62091503267973858" u="1"/>
        <n v="0.29408543263964948" u="1"/>
        <n v="0.93415637860082301" u="1"/>
        <n v="0.5082508250825083" u="1"/>
        <n v="0.56967213114754101" u="1"/>
        <n v="0.94023904382470125" u="1"/>
        <n v="0.26834611171960571" u="1"/>
        <n v="0.21029572836801752" u="1"/>
        <n v="0.93413173652694614" u="1"/>
        <n v="0.70081967213114749" u="1"/>
        <n v="0.53442622950819674" u="1"/>
        <n v="0.59693318729463307" u="1"/>
        <n v="0.85956175298804782" u="1"/>
        <n v="0.83196721311475408" u="1"/>
        <n v="0.94607843137254899" u="1"/>
        <n v="0.35665294924554186" u="1"/>
        <n v="0.54545454545454541" u="1"/>
        <n v="0.34263959390862941" u="1"/>
        <n v="0.7119341563786008" u="1"/>
        <n v="0.87962962962962965" u="1"/>
        <n v="0.11475409836065574" u="1"/>
        <n v="0.87517146776406041" u="1"/>
        <n v="0.66557377049180333" u="1"/>
        <n v="0.94409937888198758" u="1"/>
        <n v="0.4249726177437021" u="1"/>
        <n v="0.57851239669421484" u="1"/>
        <n v="0.796875" u="1"/>
        <n v="0.7978723404255319" u="1"/>
        <n v="3.5616438356164383E-2" u="1"/>
        <n v="0.79234972677595628" u="1"/>
        <n v="0.17798466593647316" u="1"/>
        <n v="0.82291666666666663" u="1"/>
        <n v="0.72385620915032678" u="1"/>
        <n v="0.46192893401015228" u="1"/>
        <n v="0.92349726775956287" u="1"/>
        <n v="0.43147208121827413" u="1"/>
        <n v="0.94230769230769229" u="1"/>
        <n v="0.76802507836990597" u="1"/>
        <n v="0.84895833333333337" u="1"/>
        <n v="0.61171960569550932" u="1"/>
        <n v="0.60406091370558379" u="1"/>
        <n v="0.74385245901639341" u="1"/>
        <n v="0.85099337748344372" u="1"/>
        <n v="0.95723684210526316" u="1"/>
        <n v="0.54314720812182737" u="1"/>
        <n v="0.81832298136645965" u="1"/>
        <n v="0.10256410256410256" u="1"/>
        <n v="0.78426395939086291" u="1"/>
        <n v="0.87795992714025506" u="1"/>
        <n v="0.94370860927152322" u="1"/>
        <n v="0.6624365482233503" u="1"/>
        <n v="0.96703296703296704" u="1"/>
        <n v="0.87649402390438247" u="1"/>
        <n v="0.98257080610021785" u="1"/>
        <n v="0.99059561128526641" u="1"/>
        <n v="0.84263959390862941" u="1"/>
        <n v="0.78172588832487311" u="1"/>
        <n v="0.84967320261437906" u="1"/>
        <n v="0.52459016393442626" u="1"/>
        <n v="0.83242258652094714" u="1"/>
        <n v="0.99403053087263615" u="1"/>
        <n v="0.6706586826347305" u="1"/>
        <n v="0.9445910290237467" u="1"/>
        <n v="0.79581673306772904" u="1"/>
        <n v="0.65573770491803274" u="1"/>
        <n v="0.99175824175824179" u="1"/>
        <n v="0.86186186186186187" u="1"/>
        <n v="0.87743732590529244" u="1"/>
        <n v="0.26998904709748084" u="1"/>
        <n v="0.44032921810699588" u="1"/>
        <n v="0.64970059880239517" u="1"/>
        <n v="0.71604938271604934" u="1"/>
        <n v="0.6938997821350763" u="1"/>
        <n v="0.98679867986798675" u="1"/>
        <n v="0.967741935483871" u="1"/>
        <n v="0.62745098039215685" u="1"/>
        <n v="0.89377289377289382" u="1"/>
        <n v="0.1982475355969332" u="1"/>
        <n v="0.94719471947194722" u="1"/>
        <n v="0.43681318681318682" u="1"/>
        <n v="0.60021905805038334" u="1"/>
        <n v="0.88397790055248615" u="1"/>
        <n v="0.89150943396226412" u="1"/>
        <n v="0.87096774193548387" u="1"/>
        <n v="0.4008762322015334" u="1"/>
        <n v="0.95261437908496727" u="1"/>
        <n v="0.55000000000000004" u="1"/>
        <n v="0.97720515361744298" u="1"/>
        <n v="0.67326732673267331" u="1"/>
        <n v="0.98944591029023743" u="1"/>
        <n v="0.22826086956521738" u="1"/>
        <n v="0.8127490039840638" u="1"/>
        <n v="0.63366336633663367" u="1"/>
        <n v="0.99407609933925722" u="1"/>
        <n v="0.88186813186813184" u="1"/>
        <n v="0.98804780876494025" u="1"/>
        <n v="0.47187928669410151" u="1"/>
        <n v="0.7791495198902606" u="1"/>
        <n v="0.79684095860566451" u="1"/>
        <n v="0.9423868312757202" u="1"/>
        <n v="0.73039215686274506" u="1"/>
        <n v="0.74503311258278149" u="1"/>
        <n v="0.36199342825848851" u="1"/>
        <n v="0.96478873239436624" u="1"/>
        <n v="0.74794520547945209" u="1"/>
        <n v="0.24424972617743701" u="1"/>
        <n v="0.93561643835616437" u="1"/>
        <n v="0.90659340659340659" u="1"/>
        <n v="0.4432234432234432" u="1"/>
        <n v="0.96035678889990084" u="1"/>
        <n v="0.55692729766803839" u="1"/>
        <n v="0.78260869565217395" u="1"/>
        <n v="0.93046357615894038" u="1"/>
        <n v="0.44311377245508982" u="1"/>
        <n v="0.72016460905349799" u="1"/>
        <n v="4.3956043956043959E-2" u="1"/>
        <n v="0.78125" u="1"/>
        <n v="0.56603773584905659" u="1"/>
        <n v="0.49288061336254108" u="1"/>
        <n v="0.92265795206971679" u="1"/>
        <n v="0.84109589041095889" u="1"/>
        <n v="0.2973713033953998" u="1"/>
        <n v="0.93131868131868134" u="1"/>
        <n v="0.80729166666666663" u="1"/>
        <n v="0.54347826086956519" u="1"/>
        <n v="0.27163198247535597" u="1"/>
        <n v="4.1666666666666664E-2" u="1"/>
        <n v="0.90693430656934304" u="1"/>
        <n v="0.43561643835616437" u="1"/>
        <n v="0.77674418604651163" u="1"/>
        <n v="0.85766423357664234" u="1"/>
        <n v="0.83333333333333337" u="1"/>
        <n v="0.55890410958904113" u="1"/>
        <n v="0.76688453159041392" u="1"/>
        <n v="0.40217391304347827" u="1"/>
        <n v="0.40659340659340659" u="1"/>
        <n v="0.92105263157894735" u="1"/>
        <n v="0.27049180327868855" u="1"/>
        <n v="0.70043572984749458" u="1"/>
        <n v="0.90485629335976214" u="1"/>
        <n v="0.75912408759124084" u="1"/>
        <n v="0.63398692810457513" u="1"/>
        <n v="0.9342465753424658" u="1"/>
        <n v="0.92430278884462147" u="1"/>
        <n v="0.90140845070422537" u="1"/>
        <n v="0.33606557377049179" u="1"/>
        <n v="0.40251916757940853" u="1"/>
        <n v="0.38827838827838829" u="1"/>
        <n v="0.39231824417009603" u="1"/>
        <n v="0.40163934426229508" u="1"/>
        <n v="0.48219178082191783" u="1"/>
        <n v="0.94650205761316875" u="1"/>
        <n v="0.1796276013143483" u="1"/>
        <n v="0.65205479452054793" u="1"/>
        <n v="0.96948356807511737" u="1"/>
        <n v="0.89270152505446621" u="1"/>
        <n v="0.8214285714285714" u="1"/>
        <n v="0.34806629834254144" u="1"/>
        <n v="0.88278388278388276" u="1"/>
        <n v="0.31137724550898205" u="1"/>
        <n v="0.86982570806100223" u="1"/>
        <n v="0.74520547945205484" u="1"/>
        <n v="0.37293729372937295" u="1"/>
        <n v="0.22500000000000001" u="1"/>
        <n v="0.84615384615384615" u="1"/>
        <n v="0.99401197604790414" u="1"/>
        <n v="0.5083333333333333" u="1"/>
        <n v="0.74883720930232556" u="1"/>
        <n v="0.94123505976095623" u="1"/>
        <n v="0.91860465116279066" u="1"/>
        <n v="0.97085610200364303" u="1"/>
        <n v="0.54052573932092007" u="1"/>
        <n v="0.8463648834019204" u="1"/>
        <n v="0.49452354874041621" u="1"/>
        <n v="0.29901423877327493" u="1"/>
        <n v="0.83835616438356164" u="1"/>
        <n v="0.87087912087912089" u="1"/>
        <n v="0.69021739130434778" u="1"/>
        <n v="0.8605577689243028" u="1"/>
        <n v="0.91721854304635764" u="1"/>
        <n v="0.42105263157894735" u="1"/>
        <n v="0.75907590759075905" u="1"/>
        <n v="0.9061032863849765" u="1"/>
        <n v="0.92919389978213507" u="1"/>
        <n v="0.19989047097480833" u="1"/>
        <n v="0.74863387978142082" u="1"/>
        <n v="0.77289377289377292" u="1"/>
        <n v="0.8035714285714286" u="1"/>
        <n v="0.47599451303155005" u="1"/>
        <n v="0.62414266117969819" u="1"/>
        <n v="0.60526315789473684" u="1"/>
        <n v="0.55616438356164388" u="1"/>
        <n v="0.73667711598746077" u="1"/>
        <n v="0.78737997256515779" u="1"/>
        <n v="0.8797814207650273" u="1"/>
        <n v="0.9741784037558685" u="1"/>
        <n v="0.18315018315018314" u="1"/>
        <n v="0.55531215772179632" u="1"/>
        <n v="0.93150684931506844" u="1"/>
        <n v="0.22465753424657534" u="1"/>
        <n v="0.7734204793028322" u="1"/>
        <n v="0.29315068493150687" u="1"/>
        <n v="0.64052287581699341" u="1"/>
        <n v="0.95789473684210524" u="1"/>
        <n v="0.83424408014571949" u="1"/>
        <n v="0.6132075471698113" u="1"/>
        <n v="0.75149700598802394" u="1"/>
        <n v="0.56515775034293558" u="1"/>
        <n v="0.64931506849315068" u="1"/>
        <n v="0.765625" u="1"/>
        <n v="0.95924764890282133" u="1"/>
        <n v="0.16757940854326397" u="1"/>
        <n v="0.97131147540983609" u="1"/>
        <n v="0.77464788732394363" u="1"/>
        <n v="0.76098901098901095" u="1"/>
        <n v="0.87749003984063745" u="1"/>
        <n v="0.79166666666666663" u="1"/>
        <n v="0.73053892215568861" u="1"/>
        <n v="0.16483516483516483" u="1"/>
        <n v="0.33972602739726027" u="1"/>
        <n v="0.78978978978978975" u="1"/>
        <n v="0.93606557377049182" u="1"/>
        <n v="0.33953997809419495" u="1"/>
        <n v="0.20491803278688525" u="1"/>
        <n v="0.74246575342465748" u="1"/>
        <n v="0.70958083832335328" u="1"/>
        <n v="0.88486842105263153" u="1"/>
        <n v="0.7857142857142857" u="1"/>
        <n v="0.97423191278493559" u="1"/>
        <n v="0.87636165577342051" u="1"/>
        <n v="0.23770491803278687" u="1"/>
        <n v="0.38202247191011235" u="1"/>
        <n v="0.99562363238512031" u="1"/>
        <n v="0.84239130434782605" u="1"/>
        <n v="0.88319672131147542" u="1"/>
        <n v="0.91079812206572774" u="1"/>
        <n v="0.54381161007667034" u="1"/>
        <n v="0.38630136986301372" u="1"/>
        <n v="0.550561797752809" u="1"/>
        <n v="0.74346405228758172" u="1"/>
        <n v="0.39643347050754457" u="1"/>
        <n v="0.16981132075471697" u="1"/>
        <n v="0.98249452954048144" u="1"/>
        <n v="0.30065717415115006" u="1"/>
        <n v="0.81043956043956045" u="1"/>
        <n v="0.83561643835616439" u="1"/>
        <n v="0.17127071823204421" u="1"/>
        <n v="0.60326086956521741" u="1"/>
        <n v="0.99672131147540988" u="1"/>
        <n v="0.27491785323110624" u="1"/>
        <n v="0.21358159912376778" u="1"/>
        <n v="0.96936542669584247" u="1"/>
        <n v="0.73553719008264462" u="1"/>
        <n v="0.43287671232876712" u="1"/>
        <n v="0.76859504132231404" u="1"/>
        <n v="0.91873141724479679" u="1"/>
        <n v="0.21546961325966851" u="1"/>
        <n v="0.43867924528301888" u="1"/>
        <n v="0.52127659574468088" u="1"/>
        <n v="0.95738354806739345" u="1"/>
        <n v="0.10410958904109589" u="1"/>
        <n v="0.45544554455445546" u="1"/>
        <n v="0.55342465753424652" u="1"/>
        <n v="0.91712707182320441" u="1"/>
        <n v="0.4940119760479042" u="1"/>
        <n v="0.55859802847754658" u="1"/>
        <n v="0.98584905660377353" u="1"/>
        <n v="0.43564356435643564" u="1"/>
        <n v="0.43154435925520263" u="1"/>
        <n v="0.69302325581395352" u="1"/>
        <n v="0.81374501992031878" u="1"/>
        <n v="0.80620155038759689" u="1"/>
        <n v="0.92622950819672134" u="1"/>
        <n v="0.77934272300469487" u="1"/>
        <n v="0.99164345403899723" u="1"/>
        <n v="0.84640522875816993" u="1"/>
        <n v="0.47945205479452052" u="1"/>
        <n v="0.77995642701525059" u="1"/>
        <n v="0.92409240924092406" u="1"/>
        <n v="0.85995623632385121" u="1"/>
        <n v="0.51173708920187788" u="1"/>
        <n v="0.71350762527233114" u="1"/>
        <n v="0.82453416149068326" u="1"/>
        <n v="0.69135802469135799" u="1"/>
        <n v="7.6923076923076927E-2" u="1"/>
        <n v="0.15342465753424658" u="1"/>
        <n v="0.85459533607681759" u="1"/>
        <n v="0.88448844884488453" u="1"/>
        <n v="0.85339168490153172" u="1"/>
        <n v="0.7005494505494505" u="1"/>
        <n v="0.47305389221556887" u="1"/>
        <n v="0.8557377049180328" u="1"/>
        <n v="0.84682713347921224" u="1"/>
        <n v="0.4467005076142132" u="1"/>
        <n v="0.91549295774647887" u="1"/>
        <n v="0.41624365482233505" u="1"/>
        <n v="0.99400774663932556" u="1"/>
        <n v="0.84026258205689275" u="1"/>
        <n v="0.9868852459016394" u="1"/>
        <n v="0.65016501650165015" u="1"/>
        <n v="0.99493670886075947" u="1"/>
        <n v="0.97262773722627738" u="1"/>
        <n v="0.3168724279835391" u="1"/>
        <n v="0.96926229508196726" u="1"/>
        <n v="0.97222222222222221" u="1"/>
        <n v="0.63237311385459538" u="1"/>
        <n v="0.98356807511737088" u="1"/>
        <n v="0.61056105610561051" u="1"/>
        <n v="0.647887323943662" u="1"/>
        <n v="0.72527472527472525" u="1"/>
        <n v="0.92335766423357668" u="1"/>
        <n v="0.82713347921225377" u="1"/>
        <n v="0.58307210031347967" u="1"/>
        <n v="0.63197969543147203" u="1"/>
        <n v="0.87408759124087587" u="1"/>
        <n v="0.98913043478260865" u="1"/>
        <n v="0.57106598984771573" u="1"/>
        <n v="0.5470974808324206" u="1"/>
        <n v="0.660377358490566" u="1"/>
        <n v="0.82481751824817517" u="1"/>
        <n v="0.94934640522875813" u="1"/>
        <n v="0.49780941949616647" u="1"/>
        <n v="0.7992700729927007" u="1"/>
        <n v="0.68864468864468864" u="1"/>
        <n v="0.3023001095290252" u="1"/>
        <n v="0.81644880174291934" u="1"/>
        <n v="0.62944162436548223" u="1"/>
        <n v="0.6067415730337079" u="1"/>
        <n v="0.66511627906976745" u="1"/>
        <n v="0.75" u="1"/>
        <n v="0.797752808988764" u="1"/>
        <n v="0.91769547325102885" u="1"/>
        <n v="0.93147208121827407" u="1"/>
        <n v="0.89147286821705429" u="1"/>
        <n v="0.96708860759493676" u="1"/>
        <n v="0.2" u="1"/>
        <n v="0.80964467005076146" u="1"/>
        <n v="0.92529880478087645" u="1"/>
        <n v="0.72428884026258211" u="1"/>
        <n v="0.784037558685446" u="1"/>
        <n v="0.88114754098360659" u="1"/>
        <n v="0.71475409836065573" u="1"/>
        <n v="0.71772428884026263" u="1"/>
        <n v="0.61336254107338439" u="1"/>
        <n v="0.92893401015228427" u="1"/>
        <n v="0.51086956521739135" u="1"/>
        <n v="0.45892661555312159" u="1"/>
        <n v="0.56188389923329685" u="1"/>
        <n v="0.84462151394422313" u="1"/>
        <n v="0.51643192488262912" u="1"/>
        <n v="0.84590163934426232" u="1"/>
        <n v="0.80208333333333337" u="1"/>
        <n v="0.43318729463307776" u="1"/>
        <n v="0.93092105263157898" u="1"/>
        <n v="0.69547325102880664" u="1"/>
        <n v="0.9770491803278688" u="1"/>
        <n v="0.66188524590163933" u="1"/>
        <n v="0.97267759562841527" u="1"/>
        <n v="6.8493150684931503E-2" u="1"/>
        <n v="0.69146608315098468" u="1"/>
        <n v="0.91938997821350765" u="1"/>
        <n v="0.68490153172866519" u="1"/>
        <n v="0.8529411764705882" u="1"/>
        <n v="0.62814895947426064" u="1"/>
        <n v="0.64010989010989006" u="1"/>
        <n v="0.92418032786885251" u="1"/>
        <n v="0.72004357298474941" u="1"/>
        <n v="0.90655737704918038" u="1"/>
        <n v="0.94223107569721121" u="1"/>
        <n v="0.24550898203592814" u="1"/>
        <n v="0.75045537340619306" u="1"/>
        <n v="0.46226415094339623" u="1"/>
        <n v="0.34065934065934067" u="1"/>
        <n v="0.34282584884994521" u="1"/>
        <n v="0.2475355969331873" u="1"/>
        <n v="0.57377049180327866" u="1"/>
        <n v="0.98810703666997024" u="1"/>
        <n v="0.97674418604651159" u="1"/>
        <n v="0.58205689277899342" u="1"/>
        <n v="0.84549689440993792" u="1"/>
        <n v="0.6648351648351648" u="1"/>
        <n v="0.86155378486055778" u="1"/>
        <n v="0.92181069958847739" u="1"/>
        <n v="0.70491803278688525" u="1"/>
        <n v="0.57549234135667393" u="1"/>
        <n v="0.32234432234432236" u="1"/>
        <n v="0.55038335158817087" u="1"/>
        <n v="0.56892778993435444" u="1"/>
        <n v="0.83606557377049184" u="1"/>
        <n v="0.83233532934131738" u="1"/>
        <n v="0.75235109717868343" u="1"/>
        <n v="0.78087649402390436" u="1"/>
        <n v="0.96657381615598881" u="1"/>
        <n v="2.1917808219178082E-2" u="1"/>
        <n v="0.93993993993993996" u="1"/>
        <n v="0.56236323851203496" u="1"/>
        <n v="0.7975206611570248" u="1"/>
        <n v="0.2782037239868565" u="1"/>
        <n v="0.304029304029304" u="1"/>
        <n v="0.68956043956043955" u="1"/>
        <n v="0.95588235294117652" u="1"/>
        <n v="0.52112676056338025" u="1"/>
        <n v="0.83057851239669422" u="1"/>
        <n v="0.55579868708971558" u="1"/>
        <n v="0.53635116598079557" u="1"/>
        <n v="0.43209876543209874" u="1"/>
        <n v="0.69958847736625518" u="1"/>
        <n v="0.86363636363636365" u="1"/>
        <n v="0.81137724550898205" u="1"/>
        <n v="0.82298474945533773" u="1"/>
        <n v="0.5492341356673961" u="1"/>
        <n v="0.93260654112983155" u="1"/>
        <n v="0.8539325842696629" u="1"/>
        <n v="0.9712586719524281" u="1"/>
        <n v="0.61664841182913477" u="1"/>
        <n v="0.2857142857142857" u="1"/>
        <n v="0.77557755775577553" u="1"/>
        <n v="0.43483023001095289" u="1"/>
        <n v="0.79041916167664672" u="1"/>
        <n v="0.735973597359736" u="1"/>
        <n v="0.95659722222222221" u="1"/>
        <n v="0.87848605577689243" u="1"/>
        <n v="0.42561983471074383" u="1"/>
        <n v="0.18291347207009859" u="1"/>
        <n v="0.44214876033057854" u="1"/>
        <n v="0.67765567765567769" u="1"/>
        <n v="0.98263888888888884" u="1"/>
        <n v="0.76946107784431139" u="1"/>
        <n v="0.88431677018633537" u="1"/>
        <n v="0.45867768595041325" u="1"/>
        <n v="0.94883720930232562" u="1"/>
        <n v="0.69508196721311477" u="1"/>
        <n v="0.9157581764122894" u="1"/>
        <n v="0.797808764940239" u="1"/>
        <n v="0.52868852459016391" u="1"/>
        <n v="0.43333333333333335" u="1"/>
        <n v="0.6314348302300109" u="1"/>
        <n v="0.73404255319148937" u="1"/>
        <n v="0.97310756972111556" u="1"/>
        <n v="0.734375" u="1"/>
        <n v="0.46364883401920437" u="1"/>
        <n v="0.37020810514786417" u="1"/>
        <n v="0.92592592592592593" u="1"/>
        <n v="0.64102564102564108" u="1"/>
        <n v="0.6598360655737705" u="1"/>
        <n v="0.34446878422782035" u="1"/>
        <n v="0.76041666666666663" u="1"/>
        <n v="0.65203761755485889" u="1"/>
        <n v="2.9304029304029304E-2" u="1"/>
        <n v="0.99186991869918695" u="1"/>
        <n v="0.60439560439560436" u="1"/>
        <n v="0.5258215962441315" u="1"/>
        <n v="0.78645833333333337" u="1"/>
        <n v="0.55366922234392113" u="1"/>
        <n v="0.35253772290809327" u="1"/>
        <n v="0.94383561643835612" u="1"/>
        <n v="0.54046639231824412" u="1"/>
        <n v="0.75609756097560976" u="1"/>
        <n v="0.89473684210526316" u="1"/>
        <n v="0.70370370370370372" u="1"/>
        <n v="0.50219058050383347" u="1"/>
        <n v="0.54790419161676651" u="1"/>
        <n v="0.91891891891891897" u="1"/>
        <n v="0.30558598028477546" u="1"/>
        <n v="0.56776556776556775" u="1"/>
        <n v="0.87460815047021945" u="1"/>
        <n v="9.4339622641509441E-2" u="1"/>
        <n v="0.27984665936473163" u="1"/>
        <n v="0.92682926829268297" u="1"/>
        <n v="0.80978260869565222" u="1"/>
        <n v="0.62912087912087911" u="1"/>
        <n v="0.69105691056910568" u="1"/>
        <n v="0.52694610778443118" u="1"/>
        <n v="0.81474103585657376" u="1"/>
        <n v="0.84931506849315064" u="1"/>
        <n v="0.13186813186813187" u="1"/>
        <n v="0.99003984063745021" u="1"/>
        <n v="0.36065573770491804" u="1"/>
        <n v="0.45751633986928103" u="1"/>
        <n v="0.57065217391304346" u="1"/>
        <n v="0.46221248630887185" u="1"/>
        <n v="0.89596949891067534" u="1"/>
        <n v="0.829520697167756" u="1"/>
        <n v="0.42622950819672129" u="1"/>
        <n v="0.43647316538882802" u="1"/>
        <n v="0.65384615384615385" u="1"/>
        <n v="0.76307189542483655" u="1"/>
        <n v="0.90390390390390385" u="1"/>
        <n v="0.62601626016260159" u="1"/>
        <n v="0.49180327868852458" u="1"/>
        <n v="0.94246575342465755" u="1"/>
        <n v="0.38408779149519889" u="1"/>
        <n v="0.60356652949245537" u="1"/>
        <n v="0.76680384087791498" u="1"/>
        <n v="0.93004115226337447" u="1"/>
        <n v="0.74019607843137258" u="1"/>
        <n v="0.98905109489051091" u="1"/>
        <n v="0.17086527929901424" u="1"/>
        <n v="0.942021803766105" u="1"/>
        <n v="0.93978102189781021" u="1"/>
        <n v="0.63472070098576128" u="1"/>
        <n v="0.66027397260273968" u="1"/>
        <n v="0.24836601307189543" u="1"/>
        <n v="0.9415041782729805" u="1"/>
        <n v="0.59874608150470221" u="1"/>
        <n v="0.86496350364963503" u="1"/>
        <n v="0.79192546583850931" u="1"/>
        <n v="0.54458161865569277" u="1"/>
        <n v="0.81569343065693434" u="1"/>
        <n v="0.24917853231106243" u="1"/>
        <n v="0.90099009900990101" u="1"/>
        <n v="0.84860248447204967" u="1"/>
        <n v="0.76642335766423353" u="1"/>
        <n v="0.93246187363834421" u="1"/>
        <n v="0.86138613861386137" u="1"/>
        <n v="0.86601307189542487" u="1"/>
        <n v="0.54395604395604391" u="1"/>
        <n v="0.75099601593625498" u="1"/>
        <n v="0.79956427015250542" u="1"/>
        <n v="0.75342465753424659" u="1"/>
        <n v="0.85950413223140498" u="1"/>
        <n v="0.92629482071713143" u="1"/>
        <n v="0.94097222222222221" u="1"/>
        <n v="0.50547645125958374" u="1"/>
        <n v="0.8925619834710744" u="1"/>
        <n v="0.36792452830188677" u="1"/>
        <n v="0.92561983471074383" u="1"/>
        <n v="0.77668845315904145" u="1"/>
        <n v="0.39178082191780822" u="1"/>
        <n v="0.6270627062706271" u="1"/>
        <n v="0.99686520376175547" u="1"/>
        <n v="0.28148959474260676" u="1"/>
        <n v="0.96701388888888884" u="1"/>
        <n v="0.56868131868131866" u="1"/>
        <n v="0.3712574850299401" u="1"/>
        <n v="0.4671280276816609" u="1"/>
        <n v="0.92896174863387981" u="1"/>
        <n v="0.98513379583746286" u="1"/>
        <n v="0.84657534246575339" u="1"/>
        <n v="0.93396226415094341" u="1"/>
        <n v="0.30452674897119342" u="1"/>
        <n v="0.6232201533406353" u="1"/>
        <n v="0.75227686703096541" u="1"/>
        <n v="0.46776406035665297" u="1"/>
        <n v="0.60768175582990402" u="1"/>
        <n v="0.46385542168674698" u="1"/>
        <n v="6.5573770491803282E-2" u="1"/>
        <n v="0.88288288288288286" u="1"/>
        <n v="0.43835616438356162" u="1"/>
        <n v="0.88342440801457189" u="1"/>
        <n v="0.59340659340659341" u="1"/>
        <n v="0.74479166666666663" u="1"/>
        <n v="0.96895424836601307" u="1"/>
        <n v="0.56438356164383563" u="1"/>
        <n v="0.90250544662309373" u="1"/>
        <n v="0.83074534161490687" u="1"/>
        <n v="0.77083333333333337" u="1"/>
        <n v="0.9397260273972603" u="1"/>
        <n v="0.83788706739526408" u="1"/>
        <n v="0.89620253164556962" u="1"/>
        <n v="0.36956521739130432" u="1"/>
        <n v="0.48493150684931507" u="1"/>
        <n v="0.63800657174151154" u="1"/>
        <n v="0.74673202614379086" u="1"/>
        <n v="0.65753424657534243" u="1"/>
        <n v="0.11049723756906077" u="1"/>
        <n v="0.86254980079681276" u="1"/>
        <n v="0.86786786786786785" u="1"/>
        <n v="0.15616438356164383" u="1"/>
        <n v="0.37349397590361444" u="1"/>
        <n v="0.72100313479623823" u="1"/>
        <n v="0.89221556886227549" u="1"/>
        <n v="0.52014652014652019" u="1"/>
        <n v="0.25" u="1"/>
        <n v="0.4993141289437586" u="1"/>
        <n v="0.83401920438957478" u="1"/>
        <n v="0.60833333333333328" u="1"/>
        <n v="0.67906976744186043" u="1"/>
        <n v="0.15224534501642936" u="1"/>
        <n v="0.78187250996015933" u="1"/>
        <n v="0.84883720930232553" u="1"/>
        <n v="0.60849056603773588" u="1"/>
        <n v="0.87125748502994016" u="1"/>
        <n v="0.49175824175824173" u="1"/>
        <n v="0.75068493150684934" u="1"/>
        <n v="0.50876232201533411" u="1"/>
        <n v="0.87254901960784315" u="1"/>
        <n v="0.54060913705583757" u="1"/>
        <n v="0.85029940119760483" u="1"/>
        <n v="0.77503429355281206" u="1"/>
        <n v="0.45939086294416243" u="1"/>
        <n v="0.28313253012048195" u="1"/>
        <n v="0.13043478260869565" u="1"/>
        <n v="0.86956521739130432" u="1"/>
        <n v="0.50824175824175821" u="1"/>
        <n v="0.7208121827411168" u="1"/>
        <n v="0.65989847715736039" u="1"/>
        <n v="0.53807106598984766" u="1"/>
        <n v="0.71677559912854028" u="1"/>
        <n v="0.84383561643835614" u="1"/>
        <n v="0.53038674033149169" u="1"/>
        <n v="0.8293413173652695" u="1"/>
        <n v="0.20273972602739726" u="1"/>
        <n v="0.84010152284263961" u="1"/>
        <n v="0.46549835706462211" u="1"/>
        <n v="0.63043478260869568" u="1"/>
        <n v="0.71827411167512689" u="1"/>
        <n v="0.43975903614457829" u="1"/>
        <n v="7.0754716981132074E-2" u="1"/>
        <n v="0.95939086294416243" u="1"/>
        <n v="0.53296703296703296" u="1"/>
        <n v="0.89847715736040612" u="1"/>
        <n v="0.34983498349834985" u="1"/>
        <n v="0.8375634517766497" u="1"/>
        <n v="0.79880478087649398" u="1"/>
        <n v="0.56164383561643838" u="1"/>
        <n v="0.44565217391304346" u="1"/>
        <n v="0.97410358565737054" u="1"/>
        <n v="0.39150943396226418" u="1"/>
        <n v="0.93698630136986305" u="1"/>
        <n v="0.97549019607843135" u="1"/>
        <n v="0.62874251497005984" u="1"/>
        <n v="0.39166666666666666" u="1"/>
        <n v="0.46405228758169936" u="1"/>
        <n v="0.92534722222222221" u="1"/>
        <n v="0.95589692765113976" u="1"/>
        <n v="0.49816849816849818" u="1"/>
        <n v="0.65116279069767447" u="1"/>
        <n v="0.29589041095890412" u="1"/>
        <n v="0.66771159874608155" u="1"/>
        <n v="0.41975308641975306" u="1"/>
        <n v="0.89166666666666672" u="1"/>
        <n v="0.99069767441860468" u="1"/>
        <n v="0.83813443072702332" u="1"/>
        <n v="0.89342629482071712" u="1"/>
        <n v="0.71287128712871284" u="1"/>
        <n v="0.37513691128148957" u="1"/>
        <n v="0.60778443113772451" u="1"/>
        <n v="0.65479452054794518" u="1"/>
        <n v="0.98113207547169812" u="1"/>
        <n v="0.84326018808777425" u="1"/>
        <n v="0.81971677559912859" u="1"/>
        <n v="0.85170807453416153" u="1"/>
        <n v="0.75326797385620914" u="1"/>
        <n v="0.72368421052631582" u="1"/>
        <n v="0.35294117647058826" u="1"/>
        <n v="0.24931506849315069" u="1"/>
        <n v="0.6868191721132898" u="1"/>
        <n v="0.90838509316770188" u="1"/>
        <n v="6.0273972602739728E-2" u="1"/>
        <n v="0.34246575342465752" u="1"/>
        <n v="0.61591220850480111" u="1"/>
        <n v="0.95454545454545459" u="1"/>
        <n v="0.58682634730538918" u="1"/>
        <n v="0.46153846153846156" u="1"/>
        <n v="0.56352683461117192" u="1"/>
        <n v="0.90039643211100095" u="1"/>
        <n v="0.96557377049180326" u="1"/>
        <n v="0.51204819277108438" u="1"/>
        <n v="0.83183183183183185" u="1"/>
        <n v="0.31051478641840086" u="1"/>
        <n v="0.56586826347305386" u="1"/>
        <n v="0.93032786885245899" u="1"/>
        <n v="0.94553376906318087" u="1"/>
        <n v="0.38904109589041097" u="1"/>
        <n v="0.90123456790123457" u="1"/>
        <n v="0.21851040525739321" u="1"/>
        <n v="0.87908496732026142" u="1"/>
        <n v="9.3150684931506855E-2" u="1"/>
        <n v="0.23204419889502761" u="1"/>
        <n v="0.91035856573705176" u="1"/>
        <n v="0.89508196721311473" u="1"/>
        <n v="0.27358490566037735" u="1"/>
        <n v="0.46714129244249725" u="1"/>
        <n v="0.85620915032679734" u="1"/>
        <n v="0.56666666666666665" u="1"/>
        <n v="0.62325581395348839" u="1"/>
        <n v="0.54132231404958675" u="1"/>
        <n v="0.789760348583878" u="1"/>
        <n v="0.65566037735849059" u="1"/>
        <n v="0.72331154684095855" u="1"/>
        <n v="0.57438016528925617" u="1"/>
        <n v="0.48626373626373626" u="1"/>
        <n v="0.67901234567901236" u="1"/>
        <n v="0.93065693430656937" u="1"/>
        <n v="0.94195250659630603" u="1"/>
        <n v="0.13150684931506848" u="1"/>
        <n v="0.18619934282584885" u="1"/>
        <n v="0.83211678832116787" u="1"/>
        <n v="0.42215568862275449" u="1"/>
        <n v="0.82459016393442619" u="1"/>
        <n v="0.94350842418235881" u="1"/>
        <n v="0.95604395604395609" u="1"/>
        <n v="0.98216055500495536" u="1"/>
        <n v="0.97336065573770492" u="1"/>
        <n v="0.54304635761589404" u="1"/>
        <n v="0.5005476451259584" u="1"/>
        <n v="0.95573770491803278" u="1"/>
        <n v="0.98202614379084963" u="1"/>
        <n v="0.91557734204793029" u="1"/>
        <n v="0.91941391941391937" u="1"/>
        <n v="0.93078324225865205" u="1"/>
        <n v="0.98076923076923073" u="1"/>
        <n v="0.92729083665338641" u="1"/>
        <n v="0.75409836065573765" u="1"/>
        <n v="0.43234323432343236" u="1"/>
        <n v="0.82625272331154687" u="1"/>
        <n v="0.93036211699164351" u="1"/>
        <n v="0.88524590163934425" u="1"/>
        <n v="0.41254125412541254" u="1"/>
        <n v="0.92666005946481667" u="1"/>
        <n v="0.56681270536692219" u="1"/>
        <n v="0.89136490250696376" u="1"/>
        <n v="0.90534979423868311" u="1"/>
        <n v="0.69335511982570808" u="1"/>
        <n v="0.93382352941176472" u="1"/>
        <n v="0.51533406352683464" u="1"/>
        <n v="0.59534883720930232" u="1"/>
        <n v="0.17808219178082191" u="1"/>
        <n v="0.82170542635658916" u="1"/>
        <n v="0.85" u="1"/>
        <n v="0.31215772179627599" u="1"/>
        <n v="0.20283018867924529" u="1"/>
        <n v="0.83970856102003644" u="1"/>
        <n v="0.87267080745341619" u="1"/>
        <n v="0.23220153340635269" u="1"/>
        <n v="0.76593625498007967" u="1"/>
        <n v="0.87788778877887785" u="1"/>
        <n v="0.28641840087623222" u="1"/>
        <n v="0.90972222222222221" u="1"/>
        <n v="0.66598360655737709" u="1"/>
        <n v="0.83828382838283833" u="1"/>
        <n v="0.20146520146520147" u="1"/>
        <n v="0.51989026063100141" u="1"/>
        <n v="0.81475409836065571" u="1"/>
        <n v="0.42386831275720166" u="1"/>
        <n v="0.6831275720164609" u="1"/>
        <n v="0.95206971677559915" u="1"/>
        <n v="0.93576388888888884" u="1"/>
        <n v="0.58159912376779843" u="1"/>
        <n v="0.29041916167664672" u="1"/>
        <n v="0.44304490690032861" u="1"/>
        <n v="0.92827868852459017" u="1"/>
        <n v="0.60396039603960394" u="1"/>
        <n v="0.45604395604395603" u="1"/>
        <n v="0.86274509803921573" u="1"/>
        <n v="0.98974358974358978" u="1"/>
        <n v="0.5643564356435643" u="1"/>
        <n v="0.79629629629629628" u="1"/>
        <n v="0.74426229508196717" u="1"/>
        <n v="0.86354581673306774" u="1"/>
        <n v="0.71354166666666663" u="1"/>
        <n v="0.96977205153617441" u="1"/>
        <n v="0.52475247524752477" u="1"/>
        <n v="0.89560439560439564" u="1"/>
        <n v="0.87540983606557377" u="1"/>
        <n v="0.50383351588170866" u="1"/>
        <n v="0.70901639344262291" u="1"/>
        <n v="0.79813664596273293" u="1"/>
        <n v="0.91222570532915359" u="1"/>
        <n v="0.99391660970608342" u="1"/>
        <n v="0.8401639344262295" u="1"/>
        <n v="0.74622770919067216" u="1"/>
        <n v="0.90946502057613166" u="1"/>
        <n v="0.52500000000000002" u="1"/>
        <n v="0.93931398416886547" u="1"/>
        <n v="0.29716981132075471" u="1"/>
        <n v="0.91149068322981364" u="1"/>
        <n v="0.92032967032967028" u="1"/>
        <n v="0.90697674418604646" u="1"/>
        <n v="0.70283018867924529" u="1"/>
        <n v="0.13934426229508196" u="1"/>
        <n v="0.80491803278688523" u="1"/>
        <n v="0.57009857612267256" u="1"/>
        <n v="1.9178082191780823E-2" u="1"/>
        <n v="0.79245283018867929" u="1"/>
        <n v="0.84042553191489366" u="1"/>
        <n v="0.96710526315789469" u="1"/>
        <n v="0.68724279835390945" u="1"/>
        <n v="0.94505494505494503" u="1"/>
        <n v="0.60327868852459021" u="1"/>
        <n v="0.7663398692810458" u="1"/>
        <n v="0.75204918032786883" u="1"/>
        <n v="0.35947712418300654" u="1"/>
        <n v="0.69989106753812635" u="1"/>
        <n v="0.73442622950819669" u="1"/>
        <n v="0.56353591160220995" u="1"/>
        <n v="0.79980079681274896" u="1"/>
        <n v="0.7415730337078652" u="1"/>
        <n v="0.68862275449101795" u="1"/>
        <n v="0.45081967213114754" u="1"/>
        <n v="0.63636363636363635" u="1"/>
        <n v="0.47042716319824751" u="1"/>
        <n v="0.97509960159362552" u="1"/>
        <n v="0.89742319127849357" u="1"/>
        <n v="0.9059080962800875" u="1"/>
        <n v="0.83695652173913049" u="1"/>
        <n v="0.44468784227820374" u="1"/>
        <n v="0.53278688524590168" u="1"/>
        <n v="0.74033149171270718" u="1"/>
        <n v="0.87179487179487181" u="1"/>
        <n v="0.89934354485776802" u="1"/>
        <n v="0.66766467065868262" u="1"/>
        <n v="0.66393442622950816" u="1"/>
        <n v="0.89277899343544853" u="1"/>
        <n v="0.59782608695652173" u="1"/>
        <n v="0.80833333333333335" u="1"/>
        <n v="0.87906976744186049" u="1"/>
        <n v="0.88621444201312916" u="1"/>
        <n v="0.79508196721311475" u="1"/>
        <n v="0.90529247910863508" u="1"/>
        <n v="0.7503429355281207" u="1"/>
        <n v="0.9135802469135802" u="1"/>
        <n v="0.8351648351648352" u="1"/>
        <n v="0.86928104575163401" u="1"/>
        <n v="0.6467065868263473" u="1"/>
        <n v="0.9506849315068493" u="1"/>
        <n v="0.87308533916849018" u="1"/>
        <n v="0.5957446808510638" u="1"/>
        <n v="0.59344262295081962" u="1"/>
        <n v="0.52812071330589849" u="1"/>
        <n v="0.85989010989010994" u="1"/>
        <n v="0.72459016393442621" u="1"/>
        <n v="0.92013888888888884" u="1"/>
        <n v="0.15553121577217963" u="1"/>
        <n v="0.94053518334985131" u="1"/>
        <n v="0.51655629139072845" u="1"/>
        <n v="0.57338444687842283" u="1"/>
        <n v="0.81909937888198758" u="1"/>
        <n v="0.68976897689768979" u="1"/>
        <n v="0.32487309644670048" u="1"/>
        <n v="0.88461538461538458" u="1"/>
        <n v="0.87577639751552794" u="1"/>
        <n v="0.60927152317880795" u="1"/>
        <n v="0.9366754617414248" u="1"/>
        <n v="0.97668038408779145" u="1"/>
        <n v="0.9963503649635036" u="1"/>
        <n v="0.23384446878422782" u="1"/>
        <n v="0.76164383561643834" u="1"/>
        <n v="0.93245341614906829" u="1"/>
        <n v="0.28970427163198248" u="1"/>
        <n v="0.94931506849315073" u="1"/>
        <n v="0.70198675496688745" u="1"/>
        <n v="0.75054704595185995" u="1"/>
        <n v="0.83932461873638342" u="1"/>
        <n v="0.8978102189781022" u="1"/>
        <n v="0.77287581699346408" u="1"/>
        <n v="0.45209580838323354" u="1"/>
        <n v="0.44416243654822335" u="1"/>
        <n v="0.84854014598540151" u="1"/>
        <n v="0.41391941391941389" u="1"/>
        <n v="0.79470198675496684" u="1"/>
        <n v="0.4137055837563452" u="1"/>
        <n v="0.63964950711938662" u="1"/>
        <n v="0.93260473588342441" u="1"/>
        <n v="0.73741794310722097" u="1"/>
        <n v="0.75862068965517238" u="1"/>
        <n v="0.59122085048010975" u="1"/>
        <n v="0.56852791878172593" u="1"/>
        <n v="0.73085339168490149" u="1"/>
        <n v="0.96096096096096095" u="1"/>
        <n v="0.88741721854304634" u="1"/>
        <n v="0.77372262773722633" u="1"/>
        <n v="0.85479452054794525" u="1"/>
        <n v="0.9887640449438202" u="1"/>
        <n v="0.58360655737704914" u="1"/>
        <n v="0.25082146768893759" u="1"/>
        <n v="0.74873096446700504" u="1"/>
        <n v="0.20153340635268346" u="1"/>
        <n v="0.39560439560439559" u="1"/>
        <n v="0.62690355329949243" u="1"/>
        <n v="0.839622641509434" u="1"/>
        <n v="0.98364717542120916" u="1"/>
        <n v="0.80710659898477155" u="1"/>
        <n v="0.57260273972602738" u="1"/>
        <n v="0.98119122257053293" u="1"/>
        <n v="0.74619289340101524" u="1"/>
        <n v="0.77472527472527475" u="1"/>
        <n v="0.98153034300791553" u="1"/>
        <n v="0.62800875273522971" u="1"/>
        <n v="0.94794520547945205" u="1"/>
        <n v="0.92639593908629436" u="1"/>
        <n v="0.94226579520697162" u="1"/>
        <n v="0.30136986301369861" u="1"/>
        <n v="0.38170865279299016" u="1"/>
        <n v="0.87581699346405228" u="1"/>
        <n v="0.92018779342723001" u="1"/>
        <n v="0.84760956175298807" u="1"/>
        <n v="0.61487964989059085" u="1"/>
        <n v="0.7429193899782135" u="1"/>
        <n v="0.35897435897435898" u="1"/>
        <n v="0.7994505494505495" u="1"/>
        <n v="0.66575342465753429" u="1"/>
        <n v="0.49108367626886146" u="1"/>
        <n v="0.8175582990397805" u="1"/>
        <n v="0.92814667988107036" u="1"/>
        <n v="0.98079561042524011" u="1"/>
        <n v="0.96679881070366702" u="1"/>
        <n v="0.98826291079812212" u="1"/>
        <n v="0.76693227091633465" u="1"/>
        <n v="0.60175054704595188" u="1"/>
        <n v="0.84530386740331487" u="1"/>
        <n v="0.59518599562363239" u="1"/>
        <n v="0.34794520547945207" u="1"/>
        <n v="0.82417582417582413" u="1"/>
        <n v="0.22641509433962265" u="1"/>
        <n v="0.31708652792990144" u="1"/>
        <n v="0.47712418300653597" u="1"/>
        <n v="0.50331125827814571" u="1"/>
        <n v="0.37997256515775035" u="1"/>
        <n v="0.59533607681755829" u="1"/>
        <n v="0.75890410958904109" u="1"/>
        <n v="0.75857338820301778" u="1"/>
        <n v="0.22179627601314347" u="1"/>
        <n v="0.94657534246575348" u="1"/>
        <n v="0.78873239436619713" u="1"/>
        <n v="0.59602649006622521" u="1"/>
        <n v="0.97875816993464049" u="1"/>
        <n v="0.60377358490566035" u="1"/>
        <n v="0.76446280991735538" u="1"/>
        <n v="0.64293537787513688" u="1"/>
        <n v="0.84006211180124224" u="1"/>
        <n v="0.39452054794520547" u="1"/>
        <n v="0.47371303395399783" u="1"/>
        <n v="0.8458605664488017" u="1"/>
        <n v="0.99101796407185627" u="1"/>
        <n v="0.447973713033954" u="1"/>
        <n v="0.36601307189542481" u="1"/>
        <n v="0.8547854785478548" u="1"/>
        <n v="0.75091575091575091" u="1"/>
        <n v="0.852054794520548" u="1"/>
        <n v="0.90451388888888884" u="1"/>
        <n v="0.25246440306681273" u="1"/>
        <n v="0.7814569536423841" u="1"/>
        <n v="0.92789968652037613" u="1"/>
        <n v="0.81518151815181517" u="1"/>
        <n v="0.18948521358159912" u="1"/>
        <n v="0.69008714596949894" u="1"/>
        <n v="0.92488262910798125" u="1"/>
        <n v="0.8741721854304636" u="1"/>
        <n v="0.93055555555555558" u="1"/>
        <n v="0.95916334661354585" u="1"/>
        <n v="0.74193548387096775" u="1"/>
        <n v="0.44109589041095892" u="1"/>
        <n v="0.7142857142857143" u="1"/>
        <n v="0.56986301369863013" u="1"/>
        <n v="0.3925619834710744" u="1"/>
        <n v="0.13424657534246576" u="1"/>
        <n v="0.51369112814895945" u="1"/>
        <n v="0.9668874172185431" u="1"/>
        <n v="0.41152263374485598" u="1"/>
        <n v="0.65843621399176955" u="1"/>
        <n v="0.40909090909090912" u="1"/>
        <n v="0.92492492492492495" u="1"/>
        <n v="0.9452054794520548" u="1"/>
        <n v="0.99295774647887325" u="1"/>
        <n v="0.54125412541254125" u="1"/>
        <n v="0.4697674418604651" u="1"/>
        <n v="0.6093023255813953" u="1"/>
        <n v="0.99384825700615176" u="1"/>
        <n v="0.94880174291939001" u="1"/>
        <n v="0.50165016501650161" u="1"/>
        <n v="0.73901098901098905" u="1"/>
        <n v="0.48767123287671232" u="1"/>
        <n v="0.11780821917808219" u="1"/>
        <n v="0.88235294117647056" u="1"/>
        <n v="0.15717415115005476" u="1"/>
        <n v="0.66301369863013704" u="1"/>
        <n v="0.81590413943355122" u="1"/>
        <n v="0.97889182058047497" u="1"/>
        <n v="0.74945533769063177" u="1"/>
        <n v="0.60501567398119127" u="1"/>
        <n v="0.74850299401197606" u="1"/>
        <n v="0.8788819875776398" u="1"/>
        <n v="0.8867924528301887" u="1"/>
        <n v="0.79342723004694837" u="1"/>
        <n v="0.76373626373626369" u="1"/>
        <n v="0.15018315018315018" u="1"/>
        <n v="0.23548740416210295" u="1"/>
        <n v="0.9760956175298805" u="1"/>
        <n v="0.97697368421052633" u="1"/>
        <n v="0.72754491017964074" u="1"/>
        <n v="0.75616438356164384" u="1"/>
        <n v="0.18082191780821918" u="1"/>
        <n v="0.8847736625514403" u="1"/>
        <n v="0.82758620689655171" u="1"/>
        <n v="0.64622124863088715" u="1"/>
        <n v="0.47535596933187296" u="1"/>
        <n v="0.70658682634730541" u="1"/>
        <n v="0.92957746478873238" u="1"/>
        <n v="0.77348066298342544" u="1"/>
        <n v="0.98529411764705888" u="1"/>
        <n v="0.91884531590413943" u="1"/>
        <n v="0.29508196721311475" u="1"/>
        <n v="0.3319615912208505" u="1"/>
        <n v="0.2031763417305586" u="1"/>
        <n v="0.85239651416122009" u="1"/>
        <n v="0.49519890260631" u="1"/>
        <n v="0.66255144032921809" u="1"/>
        <n v="0.99389382547277283" u="1"/>
        <n v="0.82578875171467769" u="1"/>
        <n v="0.99765258215962438" u="1"/>
        <n v="0.78594771241830064" u="1"/>
        <n v="0.25205479452054796" u="1"/>
        <n v="0.44166666666666665" u="1"/>
        <n v="0.95027624309392267" u="1"/>
        <n v="0.58139534883720934" u="1"/>
        <n v="0.86434108527131781" u="1"/>
        <n v="0.92093023255813955" u="1"/>
        <n v="0.9916666666666667" u="1"/>
        <n v="0.76821192052980136" u="1"/>
        <n v="0.51697699890470972" u="1"/>
        <n v="0.56712328767123288" u="1"/>
        <n v="0.69662309368191722" u="1"/>
        <n v="0.91770186335403725" u="1"/>
        <n v="0.56521739130434778" u="1"/>
        <n v="0.86092715231788075" u="1"/>
        <n v="0.22739726027397261" u="1"/>
        <n v="5.4794520547945202E-2" u="1"/>
        <n v="0.65094339622641506" u="1"/>
        <n v="0.29863013698630136" u="1"/>
        <n v="0.7981220657276995" u="1"/>
        <n v="0.85515320334261835" u="1"/>
        <n v="0.95364238410596025" u="1"/>
        <n v="0.93442622950819676" u="1"/>
        <n v="0.56382978723404253" u="1"/>
        <n v="0.91235059760956172" u="1"/>
        <n v="0.6785714285714286" u="1"/>
        <n v="0.41304347826086957" u="1"/>
        <n v="0.98067393458870167" u="1"/>
        <n v="0.86284722222222221" u="1"/>
        <n v="0.96350364963503654" u="1"/>
        <n v="0.98050139275766013" u="1"/>
        <n v="0.98019801980198018" u="1"/>
        <n v="0.95533769063180829" u="1"/>
        <n v="0.94059405940594054" u="1"/>
        <n v="0.96747967479674801" u="1"/>
        <n v="0.88888888888888884" u="1"/>
        <n v="0.32673267326732675" u="1"/>
        <n v="0.29347826086956524" u="1"/>
        <n v="0.8224400871459695" u="1"/>
        <n v="0.34520547945205482" u="1"/>
        <n v="0.83941605839416056" u="1"/>
        <n v="0.3203723986856517" u="1"/>
        <n v="8.2191780821917804E-2" u="1"/>
        <n v="0.70329670329670335" u="1"/>
        <n v="0.36678200692041524" u="1"/>
        <n v="0.77429467084639503" u="1"/>
        <n v="0.79338842975206614" u="1"/>
        <n v="0.93427230046948362" u="1"/>
        <n v="0.82644628099173556" u="1"/>
        <n v="0.74087591240875916" u="1"/>
        <n v="0.84335154826958103" u="1"/>
        <n v="0.84631147540983609" u="1"/>
        <n v="0.90243902439024393" u="1"/>
        <n v="0.9950819672131147" u="1"/>
        <n v="0.84316770186335399" u="1"/>
        <n v="0.92517343904856297" u="1"/>
        <n v="0.41563786008230452" u="1"/>
        <n v="0.55348837209302326" u="1"/>
        <n v="0.66666666666666663" u="1"/>
        <n v="0.97449908925318762" u="1"/>
        <n v="0.47699890470974809" u="1"/>
        <n v="0.17924528301886791" u="1"/>
        <n v="0.45125958378970427" u="1"/>
        <n v="0.95652173913043481" u="1"/>
        <n v="0.94683544303797473" u="1"/>
        <n v="0.79344262295081969" u="1"/>
        <n v="0.25575027382256299" u="1"/>
        <n v="0.92459016393442628" u="1"/>
        <n v="0.19112814895947425" u="1"/>
        <n v="0.45754716981132076" u="1"/>
        <n v="0.56953642384105962" u="1"/>
        <n v="0.71739130434782605" u="1"/>
        <n v="0.75819672131147542" u="1"/>
        <n v="0.9253812636165577" u="1"/>
        <n v="0.84860557768924305" u="1"/>
        <n v="0.52026286966045998" u="1"/>
        <n v="0.52486187845303867" u="1"/>
        <n v="0.88934426229508201" u="1"/>
        <n v="0.66225165562913912" u="1"/>
        <n v="0.41237677984665938" u="1"/>
        <n v="0.29281767955801102" u="1"/>
        <n v="0.4891304347826087" u="1"/>
        <n v="0.94078947368421051" u="1"/>
        <n v="0.76792828685258963" u="1"/>
        <n v="0.75496688741721851" u="1"/>
        <n v="0.35029940119760478" u="1"/>
        <n v="0.76960784313725494" u="1"/>
        <n v="0.7016574585635359" u="1"/>
        <n v="0.72976680384087789" u="1"/>
        <n v="0.89300411522633749" u="1"/>
        <n v="0.61813186813186816" u="1"/>
        <n v="0.6739811912225705" u="1"/>
        <n v="0.15881708652792989" u="1"/>
        <n v="0.84768211920529801" u="1"/>
        <n v="0.98524590163934422" u="1"/>
        <n v="0.93896713615023475" u="1"/>
        <n v="0.87845303867403313" u="1"/>
        <n v="0.42790697674418604" u="1"/>
        <n v="0.58652792990142388" u="1"/>
        <n v="6.2271062271062272E-2" u="1"/>
        <n v="0.94039735099337751" u="1"/>
        <n v="0.33607681755829905" u="1"/>
        <n v="0.50754458161865568" u="1"/>
        <n v="0.67078189300411528" u="1"/>
        <n v="0.78360655737704921" u="1"/>
        <n v="0.93237704918032782" u="1"/>
        <n v="0.6428571428571429" u="1"/>
        <n v="0.12264150943396226" u="1"/>
        <n v="0.89542483660130723" u="1"/>
        <n v="0.31135531135531136" u="1"/>
        <n v="0.91475409836065569" u="1"/>
        <n v="0.69811320754716977" u="1"/>
        <n v="0.78486055776892427" u="1"/>
        <n v="0.47864184008762323" u="1"/>
        <n v="0.66758241758241754" u="1"/>
        <n v="0.29304029304029305" u="1"/>
        <n v="0.71311475409836067" u="1"/>
        <n v="0.73965141612200436" u="1"/>
        <n v="0.80751173708920188" u="1"/>
        <n v="0.96015936254980083" u="1"/>
        <n v="0.78773584905660377" u="1"/>
        <n v="0.23952095808383234" u="1"/>
        <n v="0.39847715736040606" u="1"/>
        <n v="0.67320261437908502" u="1"/>
        <n v="0.40924092409240925" u="1"/>
        <n v="0.84426229508196726" u="1"/>
        <n v="0.84722222222222221" u="1"/>
        <n v="0.20481927710843373" u="1"/>
        <n v="0.27472527472527475" u="1"/>
        <n v="0.87948207171314741" u="1"/>
        <n v="0.95543175487465182" u="1"/>
        <n v="0.97540983606557374" u="1"/>
        <n v="0.86413043478260865" u="1"/>
        <n v="0.36762688614540467" u="1"/>
        <n v="0.87326388888888884" u="1"/>
        <n v="0.65736040609137059" u="1"/>
        <n v="0.89711934156378603" u="1"/>
        <n v="0.59644670050761417" u="1"/>
        <n v="0.53553299492385786" u="1"/>
        <n v="0.64262295081967213" u="1"/>
        <n v="0.48730964467005078" u="1"/>
        <n v="0.41401971522453451" u="1"/>
        <n v="0.80838323353293418" u="1"/>
        <n v="0.83168316831683164" u="1"/>
        <n v="0.55629139072847678" u="1"/>
        <n v="0.89930555555555558" u="1"/>
        <n v="0.625" u="1"/>
        <n v="0.71573604060913709" u="1"/>
        <n v="0.86546840958605664" u="1"/>
        <n v="0.62068965517241381" u="1"/>
        <n v="0.65482233502538068" u="1"/>
        <n v="0.83720930232558144" u="1"/>
        <n v="0.79207920792079212" u="1"/>
        <n v="0.64900662251655628" u="1"/>
        <n v="0.75614754098360659" u="1"/>
        <n v="0.89593908629441621" u="1"/>
        <n v="0.90491803278688521" u="1"/>
        <n v="0.676056338028169" u="1"/>
        <n v="0.99454905847373642" u="1"/>
        <n v="0.8350253807106599" u="1"/>
        <n v="0.51165980795610422" u="1"/>
        <n v="0.7741116751269036" u="1"/>
        <n v="0.84259259259259256" u="1"/>
        <n v="0.55769230769230771" u="1"/>
        <n v="1.643835616438356E-2" u="1"/>
        <n v="0.88729508196721307" u="1"/>
        <n v="0.61904761904761907" u="1"/>
        <n v="0.74172185430463577" u="1"/>
        <n v="0.70969498910675377" u="1"/>
        <n v="0.58981380065717415" u="1"/>
        <n v="0.76646706586826352" u="1"/>
        <n v="0.83443708609271527" u="1"/>
        <n v="0.88842975206611574" u="1"/>
        <n v="0.17105263157894737" u="1"/>
        <n v="0.5181518151815182" u="1"/>
        <n v="0.53688524590163933" u="1"/>
        <n v="0.92148760330578516" u="1"/>
        <n v="0.58241758241758246" u="1"/>
        <n v="0.83442622950819667" u="1"/>
        <n v="0.92715231788079466" u="1"/>
        <n v="0.22508214676889376" u="1"/>
        <n v="0.66803278688524592" u="1"/>
        <n v="0.93904856293359762" u="1"/>
        <n v="0.98684210526315785" u="1"/>
        <n v="0.97770069375619428" u="1"/>
        <n v="0.96840958605664484" u="1"/>
        <n v="0.81573705179282874" u="1"/>
        <n v="0.76986301369863008" u="1"/>
        <n v="0.79918032786885251" u="1"/>
        <n v="0.6292134831460674" u="1"/>
        <n v="0.54578754578754574" u="1"/>
        <n v="0.8202247191011236" u="1"/>
        <n v="0.18784530386740331" u="1"/>
        <n v="0.90460526315789469" u="1"/>
        <n v="0.95753424657534247" u="1"/>
        <n v="0.6071428571428571" u="1"/>
        <n v="0.8066298342541437" u="1"/>
        <n v="0.936247723132969" u="1"/>
        <n v="0.45454545454545453" u="1"/>
        <n v="0.57475994513031547" u="1"/>
        <n v="0.45130315500685869" u="1"/>
        <n v="0.73799725651577508" u="1"/>
        <n v="0.76393442622950825" u="1"/>
        <n v="0.47107438016528924" u="1"/>
        <n v="0.25903614457831325" u="1"/>
        <n v="0.80930232558139537" u="1"/>
        <n v="0.81263616557734208" u="1"/>
        <n v="0.50915750915750912" u="1"/>
        <n v="0.90833333333333333" u="1"/>
        <n v="0.92248062015503873" u="1"/>
        <n v="0.54491017964071853" u="1"/>
        <n v="0.74618736383442263" u="1"/>
        <n v="0.6797385620915033" u="1"/>
        <n v="0.86301369863013699" u="1"/>
        <n v="0.89071038251366119" u="1"/>
        <n v="0.92220019821605548" u="1"/>
        <n v="0.13207547169811321" u="1"/>
        <n v="0.51577503429355276" u="1"/>
        <n v="0.41566265060240964" u="1"/>
        <n v="0.5239520958083832" u="1"/>
        <n v="0.23809523809523808" u="1"/>
        <n v="0.38992332968236582" u="1"/>
        <n v="0.58082191780821912" u="1"/>
        <n v="0.9051094890510949" u="1"/>
        <n v="0.74294670846394983" u="1"/>
        <n v="0.93845315904139437" u="1"/>
        <n v="0.95616438356164379" u="1"/>
        <n v="0.16046002190580505" u="1"/>
        <n v="0.49590163934426229" u="1"/>
        <n v="0.83490566037735847" u="1"/>
        <n v="0.48285322359396432" u="1"/>
        <n v="0.47194719471947194" u="1"/>
        <n v="0.59309967141292441" u="1"/>
        <n v="0.49315068493150682" u="1"/>
        <n v="0.63576158940397354" u="1"/>
        <n v="0.75199203187250996" u="1"/>
        <n v="0.62295081967213117" u="1"/>
        <n v="0.84912854030501095" u="1"/>
        <n v="0.67397260273972603" u="1"/>
        <n v="0.68248175182481752" u="1"/>
        <n v="0.83159722222222221" u="1"/>
        <n v="0.3253012048192771" u="1"/>
        <n v="0.72847682119205293" u="1"/>
        <n v="0.71623093681917216" u="1"/>
        <n v="0.96935933147632314" u="1"/>
        <n v="0.52197802197802201" u="1"/>
        <n v="0.85763888888888884" u="1"/>
        <n v="0.37174211248285322" u="1"/>
        <n v="0.57887517146776402" u="1"/>
        <n v="0.26797385620915032" u="1"/>
        <n v="0.74211248285322362" u="1"/>
        <n v="0.82119205298013243" u="1"/>
        <n v="0.15833333333333333" u="1"/>
        <n v="0.95709570957095713" u="1"/>
        <n v="0.99387104123946224" u="1"/>
        <n v="0.88368055555555558" u="1"/>
        <n v="0.76712328767123283" u="1"/>
        <n v="0.91390728476821192" u="1"/>
        <n v="0.48192771084337349" u="1"/>
        <n v="0.95479452054794522" u="1"/>
        <n v="0.54670329670329665" u="1"/>
        <n v="0.97494553376906323" u="1"/>
        <n v="0.8764044943820225" u="1"/>
        <n v="0.20646221248630886" u="1"/>
        <n v="0.38023952095808383" u="1"/>
        <n v="0.50943396226415094" u="1"/>
        <n v="0.64356435643564358" u="1"/>
        <n v="0.92391304347826086" u="1"/>
        <n v="0.86027397260273974" u="1"/>
        <n v="0.81917211328976036" u="1"/>
        <n v="0.25753424657534246" u="1"/>
        <n v="0.30939226519337015" u="1"/>
        <n v="0.41730558598028478" u="1"/>
        <n v="0.59905660377358494" u="1"/>
        <n v="0.5161290322580645" u="1"/>
        <n v="0.40329218106995884" u="1"/>
        <n v="0.64197530864197527" u="1"/>
        <n v="0.39156626506024095" u="1"/>
        <n v="0.80521262002743488" u="1"/>
        <n v="0.37024221453287198" u="1"/>
        <n v="0.96844993141289437" u="1"/>
        <n v="0.68478260869565222" u="1"/>
        <n v="0.53479853479853479" u="1"/>
        <n v="0.57808219178082187" u="1"/>
        <n v="0.73480662983425415" u="1"/>
        <n v="0.86520376175548586" u="1"/>
        <n v="0.95065789473684215" u="1"/>
        <n v="0.95342465753424654" u="1"/>
        <n v="0.23013698630136986" u="1"/>
        <n v="0.64786418400876233" u="1"/>
        <n v="0.95041322314049592" u="1"/>
        <n v="0.30410958904109592" u="1"/>
        <n v="0.26946107784431139" u="1"/>
        <n v="0.78078078078078073" u="1"/>
        <n v="0.29218106995884774" u="1"/>
        <n v="0.59638554216867468" u="1"/>
        <n v="0.94498910675381265" u="1"/>
        <n v="0.48618784530386738" u="1"/>
        <n v="0.98347107438016534" u="1"/>
        <n v="0.58299039780521267" u="1"/>
        <n v="0.67123287671232879" u="1"/>
        <n v="0.98168498168498164" u="1"/>
        <n v="0.92211328976034856" u="1"/>
        <n v="0.9518599562363238" u="1"/>
        <n v="0.48076923076923078" u="1"/>
        <n v="0.96115537848605581" u="1"/>
        <n v="0.94529540481400443" u="1"/>
        <n v="0.99157581764122893" u="1"/>
        <n v="0.35068493150684932" u="1"/>
        <n v="0.72276688453159044" u="1"/>
        <n v="0.25409836065573771" u="1"/>
        <n v="0.96323529411764708" u="1"/>
        <n v="0.86831275720164613" u="1"/>
        <n v="0.93873085339168494" u="1"/>
        <n v="0.96273291925465843" u="1"/>
        <n v="0.50413223140495866" u="1"/>
        <n v="0.93216630196936545" u="1"/>
        <n v="0.48357064622124862" u="1"/>
        <n v="0.76438356164383559" u="1"/>
        <n v="0.88047808764940239" u="1"/>
        <n v="0.80794701986754969" u="1"/>
        <n v="0.53719008264462809" u="1"/>
        <n v="0.88207547169811318" u="1"/>
        <n v="0.86826347305389218" u="1"/>
        <n v="0.57024793388429751" u="1"/>
        <n v="0.38524590163934425" u="1"/>
        <n v="0.26232201533406352" u="1"/>
        <n v="0.91903719912472648" u="1"/>
        <n v="0.90066225165562919" u="1"/>
        <n v="0.39726027397260272" u="1"/>
        <n v="0.96978021978021978" u="1"/>
        <n v="0.48696844993141292" u="1"/>
        <n v="0.19441401971522454" u="1"/>
        <n v="0.99337748344370858" u="1"/>
        <n v="0.93607532210109023" u="1"/>
        <n v="0.8575342465753425" u="1"/>
        <n v="0.98198198198198194" u="1"/>
        <n v="0.89215686274509809" u="1"/>
        <n v="0.39320920043811608" u="1"/>
        <n v="0.8161925601750547" u="1"/>
        <n v="0.82570806100217864" u="1"/>
        <n v="0.99450549450549453" u="1"/>
        <n v="0.94428969359331472" u="1"/>
        <n v="0.44383561643835617" u="1"/>
        <n v="0.10684931506849316" u="1"/>
        <n v="0.48717948717948717" u="1"/>
        <n v="0.58710562414266121" u="1"/>
        <n v="0.7592592592592593" u="1"/>
        <n v="0.57534246575342463" u="1"/>
        <n v="0.80962800875273522" u="1"/>
        <n v="0.69281045751633985" u="1"/>
        <n v="0.88819875776397517" u="1"/>
        <n v="0.86805555555555558" u="1"/>
        <n v="0.89741035856573703" u="1"/>
        <n v="0.94487577639751552" u="1"/>
        <n v="0.75975975975975973" u="1"/>
        <n v="0.79649890590809624" u="1"/>
        <n v="0.59967141292442494" u="1"/>
        <n v="0.8085808580858086" u="1"/>
        <n v="0.55660377358490565" u="1"/>
        <n v="0.49041095890410957" u="1"/>
        <n v="0.62574850299401197" u="1"/>
        <n v="0.87242798353909468" u="1"/>
        <n v="0.76897689768976896" u="1"/>
        <n v="0.81673306772908372" u="1"/>
        <n v="0.66849315068493154" u="1"/>
        <n v="0.26886792452830188" u="1"/>
        <n v="0.89253187613843354" u="1"/>
        <n v="0.15890410958904111" u="1"/>
        <n v="0.77680525164113789" u="1"/>
        <n v="0.45054945054945056" u="1"/>
        <n v="0.66298342541436461" u="1"/>
        <n v="0.60479041916167664" u="1"/>
        <n v="0.40740740740740738" u="1"/>
        <n v="0.48521358159912376" u="1"/>
        <n v="0.79575163398692805" u="1"/>
        <n v="0.83977900552486184" u="1"/>
        <n v="0.97814207650273222" u="1"/>
        <n v="0.58383233532934131" u="1"/>
        <n v="0.91447368421052633" u="1"/>
        <n v="0.97080291970802923" u="1"/>
        <n v="0.26396495071193865" u="1"/>
        <n v="0.67396061269146612" u="1"/>
        <n v="0.80145719489981782" u="1"/>
        <n v="0.49166666666666664" u="1"/>
        <n v="0.85116279069767442" u="1"/>
        <n v="0.92701863354037262" u="1"/>
        <n v="0.90934065934065933" u="1"/>
        <n v="0.87226277372262773" u="1"/>
        <n v="0.56287425149700598" u="1"/>
        <n v="0.29629629629629628" u="1"/>
        <n v="0.35279187817258884" u="1"/>
        <n v="0.66083150984682715" u="1"/>
        <n v="0.53669222343921141" u="1"/>
        <n v="0.20547945205479451" u="1"/>
        <n v="0.42059145673603504" u="1"/>
        <n v="4.9315068493150684E-2" u="1"/>
        <n v="0.92279411764705888" u="1"/>
        <n v="0.98133333333333328" u="1"/>
        <n v="0.25479452054794521" u="1"/>
        <n v="0.64770240700218817" u="1"/>
        <n v="0.93416927899686519" u="1"/>
        <n v="0.74817518248175185" u="1"/>
        <n v="0.39485213581599121" u="1"/>
        <n v="0.48788927335640137" u="1"/>
        <n v="0.98013245033112584" u="1"/>
        <n v="0.93406593406593408" u="1"/>
        <n v="0.19672131147540983" u="1"/>
        <n v="0.64113785557986869" u="1"/>
        <n v="0.75298804780876494" u="1"/>
        <n v="0.96514161220043571" u="1"/>
        <n v="0.4720812182741117" u="1"/>
        <n v="0.41037735849056606" u="1"/>
        <n v="0.44162436548223349" u="1"/>
        <n v="0.43895747599451301" u="1"/>
        <n v="0.43113772455089822" u="1"/>
        <n v="0.92828685258964139" u="1"/>
        <n v="0.87654320987654322" u="1"/>
        <n v="0.68527918781725883" u="1"/>
        <n v="0.22950819672131148" u="1"/>
        <n v="0.92924528301886788" u="1"/>
        <n v="0.36842105263157893" u="1"/>
        <n v="0.76579520697167758" u="1"/>
        <n v="0.80456852791878175" u="1"/>
        <n v="0.95879120879120883" u="1"/>
        <n v="7.1232876712328766E-2" u="1"/>
        <n v="0.98155737704918034" u="1"/>
        <n v="0.98477157360406087" u="1"/>
        <n v="0.9639344262295082" u="1"/>
        <n v="0.32784636488340191" u="1"/>
        <n v="0.65432098765432101" u="1"/>
        <n v="0.86294416243654826" u="1"/>
        <n v="0.80203045685279184" u="1"/>
        <n v="0.22836801752464403" u="1"/>
        <n v="0.42032967032967034" u="1"/>
        <n v="0.80034722222222221" u="1"/>
        <n v="0.41017964071856289" u="1"/>
        <n v="0.96583850931677018" u="1"/>
        <n v="0.20512820512820512" u="1"/>
        <n v="0.82325581395348835" u="1"/>
        <n v="0.59917355371900827" u="1"/>
        <n v="0.63223140495867769" u="1"/>
        <n v="0.48685651697699889" u="1"/>
        <n v="0.66528925619834711" u="1"/>
        <n v="0.89344262295081966" u="1"/>
        <n v="0.94521912350597614" u="1"/>
        <n v="0.86873638344226578" u="1"/>
        <n v="0.93399339933993397" u="1"/>
        <n v="0.84890109890109888" u="1"/>
        <n v="0.94995044598612488" u="1"/>
        <n v="0.98860257680872154" u="1"/>
        <n v="0.86454183266932272" u="1"/>
        <n v="0.89438943894389444" u="1"/>
        <n v="0.18681318681318682" u="1"/>
        <n v="0.29245283018867924" u="1"/>
        <n v="0.93403693931398413" u="1"/>
        <n v="0.71296296296296291" u="1"/>
        <n v="0.71742112482853226" u="1"/>
        <n v="0.82295081967213113" u="1"/>
        <n v="0.53997809419496168" u="1"/>
        <n v="0.88065843621399176" u="1"/>
        <n v="0.32596685082872928" u="1"/>
        <n v="0.69339622641509435" u="1"/>
        <n v="0.95409836065573772" u="1"/>
        <n v="0.76795580110497241" u="1"/>
        <n v="0.69736842105263153" u="1"/>
        <n v="0.87362637362637363" u="1"/>
        <n v="0.4143646408839779" u="1"/>
        <n v="0.62046204620462042" u="1"/>
        <n v="0.16374589266155531" u="1"/>
        <n v="0.58085808580858089" u="1"/>
        <n v="0.65217391304347827" u="1"/>
        <n v="0.75245901639344259" u="1"/>
        <n v="0.97167755991285398" u="1"/>
        <n v="0.93310208126858274" u="1"/>
        <n v="0.89835164835164838" u="1"/>
        <n v="0.20261437908496732" u="1"/>
        <n v="0.83877995642701531" u="1"/>
        <n v="0.87828947368421051" u="1"/>
        <n v="0.88360655737704918" u="1"/>
        <n v="0.71721311475409832" u="1"/>
        <n v="0.45652173913043476" u="1"/>
        <n v="0.92814371257485029" u="1"/>
        <n v="0.39010989010989011" u="1"/>
        <n v="0.68300653594771243" u="1"/>
        <n v="0.5284775465498357" u="1"/>
        <n v="0.97950819672131151" u="1"/>
        <n v="0.33695652173913043" u="1"/>
        <n v="0.90990990990990994" u="1"/>
        <n v="0.43396226415094341" u="1"/>
        <n v="0.80079681274900394" u="1"/>
        <n v="0.81311475409836065" u="1"/>
        <n v="0.48849945235487402" u="1"/>
        <n v="0.78056426332288398" u="1"/>
        <n v="0.37370242214532873" u="1"/>
        <n v="0.80851063829787229" u="1"/>
        <n v="0.29299014238773274" u="1"/>
        <n v="0.94426229508196724" u="1"/>
        <n v="0.44307270233196161" u="1"/>
        <n v="0.26725082146768891" u="1"/>
        <n v="0.20974808324205915" u="1"/>
        <n v="0.94172113289760351" u="1"/>
        <n v="0.76024590163934425" u="1"/>
        <n v="0.78846153846153844" u="1"/>
        <n v="0.87527233115468406" u="1"/>
        <n v="0.5947426067907996" u="1"/>
        <n v="0.8498168498168498" u="1"/>
        <n v="0.74262295081967211" u="1"/>
        <n v="0.80882352941176472" u="1"/>
        <n v="0.89435336976320579" u="1"/>
        <n v="0.54326396495071194" u="1"/>
        <n v="8.3333333333333329E-2" u="1"/>
        <n v="0.42387732749178531" u="1"/>
        <n v="0.72499999999999998" u="1"/>
        <n v="0.87123287671232874" u="1"/>
        <n v="0.39813800657174153" u="1"/>
        <n v="0.68562874251497008" u="1"/>
        <n v="0.78472222222222221" u="1"/>
        <n v="0.80434782608695654" u="1"/>
        <n v="0.81318681318681318" u="1"/>
        <n v="0.7194989106753813" u="1"/>
        <n v="0.54098360655737709" u="1"/>
        <n v="0.67213114754098358" u="1"/>
        <n v="0.97996357012750457" u="1"/>
        <n v="0.66467065868263475" u="1"/>
        <n v="0.77655677655677657" u="1"/>
        <n v="0.78463648834019206" u="1"/>
        <n v="0.60952902519167584" u="1"/>
        <n v="0.94787379972565156" u="1"/>
        <n v="0.80327868852459017" u="1"/>
        <n v="0.96438356164383565" u="1"/>
        <n v="0.83791208791208793" u="1"/>
        <n v="0.97821350762527237" u="1"/>
        <n v="0.33351588170865282" u="1"/>
        <n v="0.64371257485029942" u="1"/>
        <n v="0.91176470588235292" u="1"/>
        <n v="0.66115702479338845" u="1"/>
        <n v="0.74056603773584906" u="1"/>
        <n v="0.84531590413943358" u="1"/>
        <n v="0.69613259668508287" u="1"/>
        <n v="0.98722627737226276" u="1"/>
        <n v="0.68219178082191778" u="1"/>
        <n v="0.93795620437956206" u="1"/>
        <n v="0.99746835443037973" u="1"/>
        <n v="0.36351165980795608" u="1"/>
        <n v="0.72727272727272729" u="1"/>
        <n v="0.53176341730558596" u="1"/>
        <n v="0.73278688524590163" u="1"/>
        <n v="0.78547854785478544" u="1"/>
        <n v="0.83018867924528306" u="1"/>
        <n v="0.91240875912408759" u="1"/>
        <n v="0.5168539325842697" u="1"/>
        <n v="0.8729281767955801" u="1"/>
        <n v="0.49014238773274915" u="1"/>
        <n v="0.7151639344262295" u="1"/>
        <n v="0.86313868613138689" u="1"/>
        <n v="0.74587458745874591" u="1"/>
        <n v="0.45" u="1"/>
        <n v="0.68954248366013071" u="1"/>
        <n v="0.29463307776560788" u="1"/>
        <n v="0.81386861313868608" u="1"/>
        <n v="0.24861878453038674" u="1"/>
        <n v="0.76459854014598538" u="1"/>
        <n v="0.5311475409836065" u="1"/>
        <n v="0.77534246575342469" u="1"/>
        <n v="0.9762532981530343" u="1"/>
        <n v="0.71532846715328469" u="1"/>
        <n v="0.94984326018808773" u="1"/>
        <n v="0.96301369863013697" u="1"/>
        <n v="0.96382556987115953" u="1"/>
        <n v="0.1976998904709748" u="1"/>
        <n v="0.92434210526315785" u="1"/>
        <n v="0.46107784431137727" u="1"/>
        <n v="0.72802197802197799" u="1"/>
        <n v="0.59802847754654986" u="1"/>
        <n v="0.75398406374501992" u="1"/>
        <n v="0.40273972602739727" u="1"/>
        <n v="0.87387387387387383" u="1"/>
        <n v="0.48366013071895425" u="1"/>
        <n v="0.54654983570646221" u="1"/>
        <n v="0.38461538461538464" u="1"/>
        <n v="0.94825708061002179" u="1"/>
        <n v="0.42552026286966044" u="1"/>
        <n v="0.62704918032786883" u="1"/>
        <n v="3.6630036630036632E-2" u="1"/>
        <n v="0.39506172839506171" u="1"/>
        <n v="0.815359477124183" u="1"/>
        <n v="0.86849315068493149" u="1"/>
        <n v="0.62551440329218111" u="1"/>
        <n v="0.7887517146776406" u="1"/>
        <n v="0.95108695652173914" u="1"/>
        <n v="0.75274725274725274" u="1"/>
        <n v="0.79248366013071891" u="1"/>
        <n v="0.44931506849315067" u="1"/>
        <n v="0.90832507433102083" u="1"/>
        <n v="0.44011976047904194" u="1"/>
        <n v="0.9469772051536175" u="1"/>
        <n v="0.50471698113207553" u="1"/>
        <n v="0.58630136986301373" u="1"/>
        <n v="0.71195652173913049" u="1"/>
        <n v="0.61281489594742611" u="1"/>
        <n v="0.62695924764890287" u="1"/>
        <n v="0.9616438356164384" u="1"/>
        <n v="0.56652949245541839" u="1"/>
        <n v="0.77747252747252749" u="1"/>
        <n v="0.33515881708652795" u="1"/>
        <n v="0.8253105590062112" u="1"/>
        <n v="0.24370208105147864" u="1"/>
        <n v="0.68333333333333335" u="1"/>
        <n v="0.71162790697674416" u="1"/>
        <n v="0.67008196721311475" u="1"/>
        <n v="0.49589041095890413" u="1"/>
        <n v="0.32967032967032966" u="1"/>
        <n v="0.67945205479452053" u="1"/>
        <n v="0.65245901639344261" u="1"/>
        <n v="0.16164383561643836" u="1"/>
        <n v="0.9183006535947712" u="1"/>
        <n v="0.53504928806133623" u="1"/>
        <n v="0.84952978056426331" u="1"/>
        <n v="0.85185185185185186" u="1"/>
        <n v="0.4098360655737705" u="1"/>
        <n v="0.76909722222222221" u="1"/>
        <n v="0.49134948096885811" u="1"/>
        <n v="0.8655378486055777" u="1"/>
        <n v="0.93322981366459623" u="1"/>
        <n v="0.47540983606557374" u="1"/>
        <n v="0.76556776556776551" u="1"/>
        <n v="0.7640449438202247" u="1"/>
        <n v="0.79513888888888884" u="1"/>
        <n v="0.76252723311546844" u="1"/>
        <n v="0.77260273972602744" u="1"/>
        <n v="0.58196721311475408" u="1"/>
        <n v="0.69607843137254899" u="1"/>
        <n v="0.96027397260273972" u="1"/>
        <n v="0.62962962962962965" u="1"/>
        <n v="0.99373433583959903" u="1"/>
        <n v="0.82118055555555558" u="1"/>
        <n v="0.60131434830230013" u="1"/>
        <n v="0.34254143646408841" u="1"/>
        <n v="0.54983570646221247" u="1"/>
        <n v="0.42716319824753557" u="1"/>
        <n v="0.30710659898477155" u="1"/>
        <n v="0.80110497237569056" u="1"/>
        <n v="0.80745341614906829" u="1"/>
        <n v="0.99442896935933145" u="1"/>
        <n v="0.4014238773274918" u="1"/>
        <n v="0.97361477572559363" u="1"/>
        <n v="0.86575342465753424" u="1"/>
        <n v="0.87735849056603776" u="1"/>
        <n v="0.20821917808219179" u="1"/>
        <n v="0.91089108910891092" u="1"/>
        <n v="0.69230769230769229" u="1"/>
        <n v="0.17907995618838993" u="1"/>
        <n v="0.9880239520958084" u="1"/>
        <n v="0.26027397260273971" u="1"/>
        <n v="0.88834422657952072" u="1"/>
        <n v="0.87128712871287128" u="1"/>
        <n v="0.96666666666666667" u="1"/>
        <n v="0.9732408325074331" u="1"/>
        <n v="0.25833333333333336" u="1"/>
        <n v="0.94366197183098588" u="1"/>
        <n v="0.83783783783783783" u="1"/>
        <n v="0.42639593908629442" u="1"/>
        <n v="0.88247011952191234" u="1"/>
        <n v="0.58356164383561648" u="1"/>
        <n v="0.39593908629441626" u="1"/>
        <n v="0.65567765567765568" u="1"/>
        <n v="0.96706586826347307" u="1"/>
        <n v="0.59390862944162437" u="1"/>
        <n v="0.7990196078431373" u="1"/>
        <n v="0.53299492385786806" u="1"/>
        <n v="0.71703296703296704" u="1"/>
        <n v="0.95890410958904104" u="1"/>
        <n v="0.73257080610021785" u="1"/>
        <n v="0.8559670781893004" u="1"/>
        <n v="0.15384615384615385" u="1"/>
        <n v="0.30684931506849317" u="1"/>
        <n v="0.71319796954314718" u="1"/>
        <n v="0.88815789473684215" u="1"/>
        <n v="0.59735973597359737" u="1"/>
        <n v="0.79623824451410663" u="1"/>
        <n v="0.65228426395939088" u="1"/>
        <n v="0.59137055837563457" u="1"/>
        <n v="0.8223140495867769" u="1"/>
        <n v="0.94610778443113774" u="1"/>
        <n v="0.97709163346613548" u="1"/>
        <n v="0.55775577557755773" u="1"/>
        <n v="0.89340101522842641" u="1"/>
        <n v="0.67671232876712328" u="1"/>
        <n v="0.8324873096446701" u="1"/>
        <n v="0.53833515881708649" u="1"/>
        <n v="0.74175824175824179" u="1"/>
        <n v="0.9177403369672944" u="1"/>
        <n v="0.71065989847715738" u="1"/>
        <n v="0.49342825848849947" u="1"/>
        <n v="0.3991769547325103" u="1"/>
        <n v="0.85063752276867033" u="1"/>
        <n v="0.23584905660377359" u="1"/>
        <n v="0.63374485596707819" u="1"/>
        <n v="0.95177664974619292" u="1"/>
        <n v="0.79698216735253768" u="1"/>
        <n v="0.8908629441624365" u="1"/>
        <n v="0.29791894852135814" u="1"/>
        <n v="0.35342465753424657" u="1"/>
        <n v="0.92483660130718959" u="1"/>
        <n v="0.81220657276995301" u="1"/>
        <n v="0.84627329192546585" u="1"/>
        <n v="0.55188679245283023" u="1"/>
        <n v="0.27217962760131437" u="1"/>
        <n v="0.23684210526315788" u="1"/>
        <n v="0.19934282584884994" u="1"/>
        <n v="0.64150943396226412" u="1"/>
        <n v="0.83551198257080606" u="1"/>
        <n v="0.60460021905805039" u="1"/>
        <n v="0.2880658436213992" u="1"/>
        <n v="0.76906318082788672" u="1"/>
        <n v="0.72455089820359286" u="1"/>
        <n v="0.4" u="1"/>
        <n v="0.42880613362541076" u="1"/>
        <n v="9.5890410958904104E-2" u="1"/>
        <n v="0.94835680751173712" u="1"/>
        <n v="0.95419254658385089" u="1"/>
        <n v="0.99402390438247012" u="1"/>
        <n v="0.70359281437125754" u="1"/>
        <n v="0.63186813186813184" u="1"/>
        <n v="0.68075117370892024" u="1"/>
        <n v="0.96085232903865214" u="1"/>
        <n v="0.16703176341730558" u="1"/>
        <n v="0.43072702331961593" u="1"/>
        <n v="0.86008230452674894" u="1"/>
        <n v="0.9133466135458167" u="1"/>
        <n v="0.49019607843137253" u="1"/>
        <n v="0.6959247648902821" u="1"/>
        <n v="0.96132897603485834" u="1"/>
        <n v="0.44657534246575342" u="1"/>
        <n v="0.77173913043478259" u="1"/>
        <n v="0.97810218978102192" u="1"/>
        <n v="0.68263473053892221" u="1"/>
        <n v="0.37716262975778547" u="1"/>
        <n v="0.13698630136986301" u="1"/>
        <n v="0.65659340659340659" u="1"/>
        <n v="0.87956204379562042" u="1"/>
        <n v="0.87200435729847492" u="1"/>
        <n v="0.24534501642935377" u="1"/>
        <n v="0.53260869565217395" u="1"/>
        <n v="0.63786008230452673" u="1"/>
        <n v="8.1643835616438357E-2" u="1"/>
        <n v="0.78102189781021902" u="1"/>
        <n v="0.91849529780564265" u="1"/>
        <n v="0.81690140845070425" u="1"/>
        <n v="0.73910675381263613" u="1"/>
        <n v="0.53191489361702127" u="1"/>
        <n v="0.90535183349851334" u="1"/>
        <n v="0.94400396432111" u="1"/>
        <n v="0.92452830188679247" u="1"/>
        <n v="0.68131868131868134" u="1"/>
        <n v="0.54929577464788737" u="1"/>
        <n v="0.65693430656934304" u="1"/>
        <n v="0.99669966996699666" u="1"/>
        <n v="0.38604651162790699" u="1"/>
        <n v="0.2738225629791895" u="1"/>
        <n v="0.64468864468864473" u="1"/>
        <n v="0.95305164319248825" u="1"/>
        <n v="0.18356164383561643" u="1"/>
        <n v="0.20915032679738563" u="1"/>
        <n v="0.76237623762376239" u="1"/>
        <n v="4.3835616438356165E-2" u="1"/>
        <n v="0.60788608981380066" u="1"/>
        <n v="0.84960159362549803" u="1"/>
        <n v="0.72277227722772275" u="1"/>
        <n v="0.92658227848101271" u="1"/>
        <n v="0.3511659807956104" u="1"/>
        <n v="0.68544600938967137" u="1"/>
        <n v="0.90849673202614378" u="1"/>
        <n v="0.81055900621118016" u="1"/>
        <n v="0.70096021947873799" u="1"/>
        <n v="0.86419753086419748" u="1"/>
        <n v="0.84204793028322444" u="1"/>
        <n v="0.98565573770491799" u="1"/>
        <n v="0.85197368421052633" u="1"/>
        <n v="0.64263322884012541" u="1"/>
        <n v="0.70915032679738566" u="1"/>
        <n v="0.5714285714285714" u="1"/>
        <n v="0.99781181619256021" u="1"/>
        <n v="0.93278688524590159" u="1"/>
        <n v="0.99124726477024072" u="1"/>
        <n v="0.82159624413145538" u="1"/>
        <n v="0.85123966942148765" u="1"/>
        <n v="0.68867924528301883" u="1"/>
        <n v="0.59615384615384615" u="1"/>
        <n v="0.89754098360655743" u="1"/>
        <n v="0.96786492374727673" u="1"/>
        <n v="0.97811816192560175" u="1"/>
        <n v="0.9173553719008265" u="1"/>
        <n v="0.75348837209302322" u="1"/>
        <n v="0.81007751937984496" u="1"/>
        <n v="0.8666666666666667" u="1"/>
        <n v="0.86229508196721316" u="1"/>
        <n v="0.96498905908096277" u="1"/>
        <n v="0.93161546085232905" u="1"/>
        <n v="0.95774647887323938" u="1"/>
        <n v="0.79270186335403725" u="1"/>
        <n v="0.62087912087912089" u="1"/>
        <n v="0.81209150326797386" u="1"/>
        <n v="0.98798798798798804" u="1"/>
        <n v="0.99344262295081964" u="1"/>
        <n v="0.49671412924424974" u="1"/>
        <n v="0.74564270152505452" u="1"/>
        <n v="0.78585657370517925" u="1"/>
        <n v="5.8608058608058608E-2" u="1"/>
        <n v="0.67919389978213507" u="1"/>
        <n v="0.30120481927710846" u="1"/>
        <n v="0.80942622950819676" u="1"/>
        <n v="0.6901408450704225" u="1"/>
        <n v="0.27546549835706463" u="1"/>
        <n v="0.86870897155361049" u="1"/>
        <n v="0.43484224965706447" u="1"/>
        <n v="0.79180327868852463" u="1"/>
        <n v="0.94057377049180324" u="1"/>
        <n v="0.2009857612267251" u="1"/>
        <n v="0.54231974921630099" u="1"/>
        <n v="8.2872928176795577E-2" u="1"/>
        <n v="0.85557986870897151" u="1"/>
        <n v="0.61117196056955092" u="1"/>
        <n v="0.76388888888888884" u="1"/>
        <n v="0.18867924528301888" u="1"/>
        <n v="0.55969331872946326" u="1"/>
        <n v="0.26373626373626374" u="1"/>
        <n v="0.84245076586433265" u="1"/>
        <n v="0.78993055555555558" u="1"/>
        <n v="0.82629107981220662" u="1"/>
        <n v="0.44751381215469616" u="1"/>
        <n v="0.88346613545816732" u="1"/>
        <n v="0.97169811320754718" u="1"/>
        <n v="0.72131147540983609" u="1"/>
        <n v="0.91503267973856206" u="1"/>
        <n v="0.23333333333333334" u="1"/>
        <n v="0.76489028213166144" u="1"/>
        <n v="0.97472745292368679" u="1"/>
        <n v="0.51098901098901095" u="1"/>
        <n v="0.84858387799564272" u="1"/>
        <n v="0.82932166301969368" u="1"/>
        <n v="0.16867469879518071" u="1"/>
        <n v="0.78213507625272327" u="1"/>
        <n v="0.85245901639344257" u="1"/>
        <n v="0.72558139534883725" u="1"/>
        <n v="0.89534883720930236" u="1"/>
        <n v="0.55868544600938963" u="1"/>
        <n v="0.82275711159737419" u="1"/>
        <n v="0.71568627450980393" u="1"/>
        <n v="0.8027888446215139" u="1"/>
        <n v="0.98328690807799446" u="1"/>
        <n v="0.98360655737704916" u="1"/>
        <n v="0.83152173913043481" u="1"/>
        <n v="0.49480968858131485" u="1"/>
        <n v="0.5357142857142857" u="1"/>
        <n v="0.88778877887788776" u="1"/>
        <n v="0.98746081504702199" u="1"/>
        <n v="0.9726027397260274" u="1"/>
        <n v="0.84818481848184824" u="1"/>
        <n v="0.49673202614379086" u="1"/>
        <n v="0.71991247264770242" u="1"/>
        <n v="0.91922695738354809" u="1"/>
        <n v="0.69483568075117375" u="1"/>
        <n v="0.95787908820614465" u="1"/>
        <n v="0.96696696696696693" u="1"/>
        <n v="0.355281207133059" u="1"/>
        <n v="0.54595336076817558" u="1"/>
        <n v="0.54819277108433739" u="1"/>
        <n v="0.56043956043956045" u="1"/>
        <n v="0.49835706462212487" u="1"/>
        <n v="0.89549180327868849" u="1"/>
        <n v="0.70678336980306344" u="1"/>
        <n v="0.95152505446623092" u="1"/>
        <n v="0.58032786885245902" u="1"/>
        <n v="0.30284775465498359" u="1"/>
        <n v="0.88507625272331159" u="1"/>
        <n v="0.57425742574257421" u="1"/>
        <n v="0.81862745098039214" u="1"/>
        <n v="0.38562091503267976" u="1"/>
        <n v="0.71147540983606561" u="1"/>
        <n v="0.21467688937568455" u="1"/>
        <n v="0.69365426695842447" u="1"/>
        <n v="0.52380952380952384" u="1"/>
        <n v="0.53465346534653468" u="1"/>
        <n v="0.83098591549295775" u="1"/>
        <n v="0.73584905660377353" u="1"/>
        <n v="0.9950199203187251" u="1"/>
        <n v="0.99671052631578949" u="1"/>
        <n v="0.74468085106382975" u="1"/>
        <n v="0.81366459627329191" u="1"/>
        <n v="0.69767441860465118" u="1"/>
        <n v="0.78356164383561644" u="1"/>
        <n v="0.90237859266600595" u="1"/>
        <n v="0.45947426067907998" u="1"/>
        <n v="0.82499999999999996" u="1"/>
        <n v="0.56297918948521353" u="1"/>
        <n v="0.97377049180327868" u="1"/>
        <n v="0.80737704918032782" u="1"/>
        <n v="0.56338028169014087" u="1"/>
        <n v="0.99452554744525545" u="1"/>
        <n v="0.91434262948207168" u="1"/>
        <n v="0.27450980392156865" u="1"/>
        <n v="0.24175824175824176" u="1"/>
        <n v="0.94525547445255476" u="1"/>
        <n v="0.38683127572016462" u="1"/>
        <n v="0.93852459016393441" u="1"/>
        <n v="0.60905349794238683" u="1"/>
        <n v="0.50136986301369868" u="1"/>
        <n v="0.18236582694414019" u="1"/>
        <n v="0.13114754098360656" u="1"/>
        <n v="0.88714733542319746" u="1"/>
        <n v="0.47527472527472525" u="1"/>
        <n v="0.72972972972972971" u="1"/>
        <n v="0.87671232876712324" u="1"/>
        <n v="0.57768052516411383" u="1"/>
        <n v="0.16393442622950818" u="1"/>
        <n v="0.97048611111111116" u="1"/>
        <n v="0.90327868852459015" u="1"/>
        <n v="0.94628099173553715" u="1"/>
        <n v="0.82116788321167888" u="1"/>
        <n v="0.92156862745098034" u="1"/>
        <n v="0.54191616766467066" u="1"/>
        <n v="0.97933884297520657" u="1"/>
        <n v="0.77189781021897808" u="1"/>
        <n v="0.99375712007290951" u="1"/>
        <n v="0.78867102396514166" u="1"/>
        <n v="0.57049180327868854" u="1"/>
        <n v="0.72262773722627738" u="1"/>
        <n v="0.56455142231947486" u="1"/>
        <n v="0.27572016460905352" u="1"/>
        <n v="0.96202531645569622" u="1"/>
        <n v="0.17679558011049723" u="1"/>
        <n v="0.41116751269035534" u="1"/>
        <n v="0.59452054794520548" u="1"/>
        <n v="0.15686274509803921" u="1"/>
        <n v="0.52095808383233533" u="1"/>
        <n v="0.73913043478260865" u="1"/>
        <n v="0.5025380710659898" u="1"/>
        <n v="0.55142231947483589" u="1"/>
        <n v="0.96986301369863015" u="1"/>
        <n v="0.74826388888888884" u="1"/>
        <n v="0.94549058473736369" u="1"/>
        <n v="0.83278688524590161" u="1"/>
        <n v="0.98414271555996036" u="1"/>
        <n v="0.22099447513812154" u="1"/>
        <n v="0.31232876712328766" u="1"/>
        <n v="0.55147864184008766" u="1"/>
        <n v="0.93127490039840632" u="1"/>
        <n v="0.62182741116751272" u="1"/>
        <n v="0.56091370558375631" u="1"/>
        <n v="0.77430555555555558" u="1"/>
        <n v="0.85248447204968947" u="1"/>
        <n v="0.5" u="1"/>
        <n v="0.83539094650205759" u="1"/>
        <n v="0.5955056179775281" u="1"/>
        <n v="0.68767123287671228" u="1"/>
        <n v="0.53305785123966942" u="1"/>
        <n v="0.30449069003285872" u="1"/>
        <n v="0.63114754098360659" u="1"/>
        <n v="0.68020304568527923" u="1"/>
        <n v="0.56611570247933884" u="1"/>
        <n v="0.61928934010152281" u="1"/>
        <n v="0.2787513691128149" u="1"/>
        <n v="0.85059760956175301" u="1"/>
        <n v="0.98351648351648346" u="1"/>
        <n v="0.38043478260869568" u="1"/>
        <n v="0.76229508196721307" u="1"/>
        <n v="0.86040609137055835" u="1"/>
        <n v="0.35890410958904112" u="1"/>
        <n v="0.79949238578680204" u="1"/>
        <n v="0.89161220043572986" u="1"/>
        <n v="0.73857868020304573" u="1"/>
        <n v="0.30727023319615915" u="1"/>
        <n v="0.93093093093093093" u="1"/>
        <n v="0.47050754458161864" u="1"/>
        <n v="0.61316872427983538" u="1"/>
        <n v="0.92864222001982155" u="1"/>
        <n v="0.77640603566529487" u="1"/>
        <n v="0.75871459694989107" u="1"/>
        <n v="0.97969543147208127" u="1"/>
        <n v="0.5662650602409639" u="1"/>
        <n v="0.78082191780821919" u="1"/>
        <n v="0.2608695652173913" u="1"/>
        <n v="0.97359735973597361" u="1"/>
        <n v="0.34323432343234322" u="1"/>
        <n v="0.43537787513691129" u="1"/>
        <n v="0.56065573770491806" u="1"/>
        <n v="0.32343234323432341" u="1"/>
        <n v="0.38922155688622756" u="1"/>
        <n v="0.69180327868852454" u="1"/>
        <n v="0.40547945205479452" u="1"/>
        <n v="0.73927392739273923" u="1"/>
        <n v="0.67418032786885251" u="1"/>
        <n v="0.17031763417305587" u="1"/>
        <n v="0.14150943396226415" u="1"/>
        <n v="0.95220588235294112" u="1"/>
        <n v="0.87397260273972599" u="1"/>
        <n v="0.83462732919254656" u="1"/>
        <n v="0.91591591591591592" u="1"/>
        <n v="0.6996699669966997" u="1"/>
        <n v="0.63253012048192769" u="1"/>
        <n v="0.10622710622710622" u="1"/>
        <n v="0.89130434782608692" u="1"/>
        <n v="0.64186046511627903" u="1"/>
        <n v="0.45205479452054792" u="1"/>
        <n v="0.78333333333333333" u="1"/>
        <n v="0.86821705426356588" u="1"/>
        <n v="0.98139534883720925" u="1"/>
        <n v="0.99633699633699635" u="1"/>
        <n v="0.20833333333333334" u="1"/>
        <n v="0.59178082191780823" u="1"/>
        <n v="0.86165577342047928" u="1"/>
        <n v="0.24863088718510407" u="1"/>
        <n v="0.36826347305389223" u="1"/>
        <n v="0.83950617283950613" u="1"/>
        <n v="0.13972602739726028" u="1"/>
        <n v="0.79520697167755994" u="1"/>
        <n v="0.78685258964143423" u="1"/>
        <n v="0.87264150943396224" u="1"/>
        <n v="0.96052631578947367" u="1"/>
        <n v="0.9671232876712329" u="1"/>
        <n v="0.96215139442231079" u="1"/>
        <n v="0.55476451259583792" u="1"/>
        <n v="0.95970695970695974" u="1"/>
        <n v="0.55799373040752354" u="1"/>
        <n v="0.46978021978021978" u="1"/>
        <n v="0.70588235294117652" u="1"/>
        <n v="0.49863013698630138" u="1"/>
        <n v="0.12054794520547946" u="1"/>
        <n v="0.55081967213114758" u="1"/>
        <n v="0.30613362541073386" u="1"/>
        <n v="0.39094650205761317" u="1"/>
        <n v="0.61728395061728392" u="1"/>
        <n v="0.68493150684931503" u="1"/>
        <n v="0.78052126200274352" u="1"/>
        <n v="0.85428051001821492" u="1"/>
        <n v="0.21631982475355968" u="1"/>
        <n v="0.92307692307692313" u="1"/>
        <n v="0.84269662921348309" u="1"/>
        <n v="0.95486111111111116" u="1"/>
        <n v="0.98542805100182151" u="1"/>
        <n v="0.9162537165510406" u="1"/>
        <n v="0.46276013143483025" u="1"/>
        <n v="0.98090277777777779" u="1"/>
        <n v="0.96459694989106759" u="1"/>
        <n v="0.56955093099671417" u="1"/>
        <n v="0.77808219178082194" u="1"/>
        <n v="0.43702081051478642" u="1"/>
        <n v="0.99733333333333329" u="1"/>
        <n v="0.18630136986301371" u="1"/>
        <n v="0.94780219780219777" u="1"/>
        <n v="0.39215686274509803" u="1"/>
        <n v="0.9561128526645768" u="1"/>
        <n v="0.24850299401197604" u="1"/>
        <n v="0.7632058287795993" u="1"/>
        <n v="0.97894736842105268" u="1"/>
        <n v="0.61395348837209307" u="1"/>
        <n v="0.76490066225165565" u="1"/>
        <n v="0.18400876232201532" u="1"/>
        <n v="0.95348837209302328" u="1"/>
        <n v="0.8652694610778443" u="1"/>
        <n v="0.74237472766884527" u="1"/>
        <n v="0.75868055555555558" u="1"/>
        <n v="0.89489489489489493" u="1"/>
        <n v="0.42249657064471879" u="1"/>
        <n v="0.68038408779149517" u="1"/>
        <n v="0.85761589403973515" u="1"/>
        <n v="0.97252747252747251" u="1"/>
        <n v="0.84362139917695478" u="1"/>
        <n v="0.45491803278688525" u="1"/>
        <n v="0.89840637450199201" u="1"/>
        <n v="0.63581599123767796" u="1"/>
        <n v="0.28104575163398693" u="1"/>
        <n v="0.26301369863013696" u="1"/>
        <n v="0.95033112582781454" u="1"/>
        <n v="0.34665936473165387" u="1"/>
        <n v="0.58904109589041098" u="1"/>
        <n v="0.45787545787545786" u="1"/>
        <n v="0.95936570862239845" u="1"/>
        <n v="0.15169769989047097" u="1"/>
        <n v="0.64473684210526316" u="1"/>
        <n v="0.79891304347826086" u="1"/>
        <n v="0.62139917695473246" u="1"/>
        <n v="0.56198347107438018" u="1"/>
        <n v="0.93314763231197773" u="1"/>
        <n v="0.934640522875817" u="1"/>
        <n v="0.23287671232876711" u="1"/>
        <n v="0.86819172113289755" u="1"/>
        <n v="0.38613861386138615" u="1"/>
        <n v="0.55805038335158819" u="1"/>
        <n v="0.30958904109589042" u="1"/>
        <n v="0.62809917355371903" u="1"/>
        <n v="0.55978260869565222" u="1"/>
        <n v="0.43956043956043955" u="1"/>
        <n v="0.99601593625498008" u="1"/>
        <n v="0.86468646864686471" u="1"/>
        <n v="0.99736842105263157" u="1"/>
        <n v="0.23001095290251916" u="1"/>
        <n v="0.28203723986856516" u="1"/>
        <n v="0.82508250825082508" u="1"/>
        <n v="0.71241830065359479" u="1"/>
        <n v="0.86263736263736268" u="1"/>
        <n v="0.42124542124542125" u="1"/>
        <n v="0.92558139534883721" u="1"/>
        <n v="0.90386521308225964" u="1"/>
        <n v="0.93613138686131392" u="1"/>
        <n v="0.35616438356164382" u="1"/>
        <n v="0.94251734390485631" u="1"/>
        <n v="0.62431544359255198" u="1"/>
        <n v="8.4931506849315067E-2" u="1"/>
        <n v="0.40566037735849059" u="1"/>
        <n v="0.88686131386861311" u="1"/>
        <n v="0.4982698961937716" u="1"/>
        <n v="0.57283680175246443" u="1"/>
        <n v="0.91981132075471694" u="1"/>
        <n v="0.43866374589266155" u="1"/>
        <n v="0.83466135458167334" u="1"/>
        <n v="0.34293552812071332" u="1"/>
        <n v="0.88736263736263732" u="1"/>
        <n v="0.68449931412894371" u="1"/>
        <n v="0.78832116788321172" u="1"/>
        <n v="0.55115511551155116" u="1"/>
        <n v="0.84773662551440332" u="1"/>
        <n v="0.96962025316455691" u="1"/>
        <n v="0.73905109489051091" u="1"/>
        <n v="0.97113289760348587" u="1"/>
        <n v="0.51155115511551152" u="1"/>
        <n v="0.68978102189781021" u="1"/>
        <n v="0.83823529411764708" u="1"/>
        <n v="0.83773291925465843" u="1"/>
        <n v="0.66423357664233573" u="1"/>
        <n v="0.91208791208791207" u="1"/>
        <n v="0.89440993788819878" u="1"/>
        <n v="0.37404162102957283" u="1"/>
        <n v="0.55988023952095811" u="1"/>
        <n v="0.68246187363834421" u="1"/>
        <n v="0.93923611111111116" u="1"/>
        <n v="0.9322709163346613" u="1"/>
        <n v="0.87545787545787546" u="1"/>
        <n v="0.98562933597621405" u="1"/>
        <n v="0.9370860927152318" u="1"/>
        <n v="0.96527777777777779" u="1"/>
        <n v="0.85885885885885882" u="1"/>
        <n v="0.85159362549800799" u="1"/>
        <n v="0.91083676268861458" u="1"/>
        <n v="0.56133625410733845" u="1"/>
        <n v="0.5017301038062284" u="1"/>
        <n v="0.59433962264150941" u="1"/>
        <n v="0.99131944444444442" u="1"/>
        <n v="0.50985761226725079" u="1"/>
        <n v="0.71701388888888884" u="1"/>
        <n v="0.94117647058823528" u="1"/>
        <n v="0.27868852459016391" u="1"/>
        <n v="0.30941949616648412" u="1"/>
        <n v="0.80250783699059558" u="1"/>
        <n v="0.77091633466135456" u="1"/>
        <n v="0.98975409836065575" u="1"/>
        <n v="0.28368017524644029" u="1"/>
        <n v="0.21796276013143484" u="1"/>
        <n v="0.34426229508196721" u="1"/>
        <n v="0.41916167664670656" u="1"/>
        <n v="3.8356164383561646E-2" u="1"/>
        <n v="0.80219780219780223" u="1"/>
        <n v="0.81987577639751552" u="1"/>
        <n v="0.97213114754098362" u="1"/>
        <n v="0.52537722908093276" u="1"/>
        <n v="0.68861454046639237" u="1"/>
        <n v="0.78540305010893241" u="1"/>
        <n v="0.84384384384384381" u="1"/>
        <n v="0.19047619047619047" u="1"/>
        <n v="0.48844884488448848" u="1"/>
        <n v="0.71895424836601307" u="1"/>
        <n v="0.46604600219058051" u="1"/>
        <n v="0.44030668127053668" u="1"/>
        <n v="0.46864686468646866" u="1"/>
        <n v="0.2541436464088398" u="1"/>
        <n v="0.82692307692307687" u="1"/>
        <n v="0.90163934426229508" u="1"/>
        <n v="0.62430939226519333" u="1"/>
        <n v="0.86852589641434264" u="1"/>
        <n v="0.18565169769989048" u="1"/>
        <n v="0.9080779944289693" u="1"/>
        <n v="0.1650943396226415" u="1"/>
        <n v="0.99009900990099009" u="1"/>
        <n v="0.98373983739837401" u="1"/>
        <n v="0.91122004357298469" u="1"/>
        <n v="0.95049504950495045" u="1"/>
        <n v="0.85164835164835162" u="1"/>
        <n v="0.74796747967479671" u="1"/>
        <n v="0.85610200364298727" u="1"/>
        <n v="0.78784860557768921" u="1"/>
        <n v="0.39869281045751637" u="1"/>
        <n v="0.78947368421052633" u="1"/>
        <n v="0.96314741035856577" u="1"/>
        <n v="0.45816186556927296" u="1"/>
        <n v="0.75171467764060351" u="1"/>
        <n v="0.05" u="1"/>
        <n v="0.98724954462659376" u="1"/>
        <n v="0.42924528301886794" u="1"/>
        <n v="0.68372093023255809" u="1"/>
        <n v="0.80201863354037262" u="1"/>
        <n v="0.82189542483660127" u="1"/>
        <n v="0.91869918699186992" u="1"/>
        <n v="0.65702479338842978" u="1"/>
        <n v="0.73841059602649006" u="1"/>
        <n v="0.96698113207547165" u="1"/>
        <n v="0.75544662309368193" u="1"/>
        <n v="0.96229508196721314" u="1"/>
        <n v="0.1533406352683461" u="1"/>
        <n v="0.69008264462809921" u="1"/>
        <n v="0.85869565217391308" u="1"/>
        <n v="0.68899782135076248" u="1"/>
        <n v="0.67656765676567654" u="1"/>
        <n v="0.94171220400728595" u="1"/>
        <n v="0.94467213114754101" u="1"/>
        <n v="0.83112582781456956" u="1"/>
        <n v="0.3350253807106599" u="1"/>
        <n v="0.30456852791878175" u="1"/>
        <n v="0.97039473684210531" u="1"/>
        <n v="0.5294924554183813" u="1"/>
        <n v="0.69272976680384091" u="1"/>
        <n v="0.61956521739130432" u="1"/>
        <n v="0.92384105960264906" u="1"/>
        <n v="0.61788617886178865" u="1"/>
        <n v="0.28532311062431542" u="1"/>
        <n v="0.8918032786885246" u="1"/>
        <n v="0.45431472081218272" u="1"/>
        <n v="0.94771241830065356" u="1"/>
        <n v="0.42385786802030456" u="1"/>
        <n v="0.44021739130434784" u="1"/>
        <n v="0.88126361655773422" u="1"/>
        <n v="0.95639246778989095" u="1"/>
        <n v="0.97178683385579934" u="1"/>
        <n v="0.64974619289340096" u="1"/>
        <n v="0.99504459861248762" u="1"/>
        <n v="0.92514970059880242" u="1"/>
        <n v="0.63088718510405262" u="1"/>
        <n v="0.85655737704918034" u="1"/>
        <n v="0.98007968127490042" u="1"/>
        <n v="0.46768893756845564" u="1"/>
        <n v="0.82994923857868019" u="1"/>
        <n v="0.38842975206611569" u="1"/>
        <n v="0.92361111111111116" u="1"/>
        <n v="0.76903553299492389" u="1"/>
        <n v="0.98770491803278693" u="1"/>
        <n v="0.64720812182741116" u="1"/>
        <n v="0.7919389978213508" u="1"/>
        <n v="0.76648351648351654" u="1"/>
        <n v="0.82131147540983607" u="1"/>
        <n v="0.949238578680203" u="1"/>
        <n v="0.72549019607843135" u="1"/>
        <n v="0.89940239043824699" u="1"/>
        <n v="0.90419161676646709" u="1"/>
        <n v="0.26666666666666666" u="1"/>
        <n v="0.8883248730964467" u="1"/>
        <n v="0.82783882783882778" u="1"/>
        <n v="0.49302325581395351" u="1"/>
        <n v="0.97945205479452058" u="1"/>
        <n v="0.23045267489711935" u="1"/>
        <n v="0.37860082304526749" u="1"/>
        <n v="0.64166666666666672" u="1"/>
        <n v="0.65581395348837213" u="1"/>
        <n v="0.95245901639344266" u="1"/>
        <n v="0.75582990397805216" u="1"/>
        <n v="0.35526315789473684" u="1"/>
        <n v="0.9467005076142132" u="1"/>
        <n v="0.90089197224975226" u="1"/>
        <n v="0.93954410307234881" u="1"/>
        <n v="0.88323353293413176" u="1"/>
        <n v="0.73113207547169812" u="1"/>
        <n v="0.50164293537787519" u="1"/>
        <n v="0.76844262295081966" u="1"/>
        <n v="0.79120879120879117" u="1"/>
        <n v="0.50326797385620914" u="1"/>
        <n v="0.3773274917853231" u="1"/>
        <n v="0.64890282131661448" u="1"/>
        <n v="0.8849315068493151" u="1"/>
        <n v="0.89959016393442626" u="1"/>
        <n v="0.91775599128540308" u="1"/>
        <n v="0.88196721311475412" u="1"/>
        <n v="0.75457875457875456" u="1"/>
        <n v="0.81593406593406592" u="1"/>
        <n v="0.894880174291939" u="1"/>
        <n v="0.60273972602739723" u="1"/>
        <n v="0.76198257080610021" u="1"/>
        <n v="0.87147335423197492" u="1"/>
        <n v="0.68032786885245899" u="1"/>
        <n v="0.51642935377875132" u="1"/>
        <n v="0.9780821917808219" u="1"/>
        <n v="0.71794871794871795" u="1"/>
        <n v="0.81893004115226342" u="1"/>
        <n v="0.72928176795580113" u="1"/>
        <n v="0.31270536692223438" u="1"/>
        <n v="0.66167664670658688" u="1"/>
        <n v="0.81788079470198671" u="1"/>
        <n v="0.81147540983606559" u="1"/>
        <n v="0.92200557103064062" u="1"/>
        <n v="0.28696604600219056" u="1"/>
        <n v="0.97721518987341771" u="1"/>
        <n v="0.88300835654596099" u="1"/>
        <n v="0.83565737051792832" u="1"/>
        <n v="0.94262295081967218" u="1"/>
        <n v="0.91059602649006621" u="1"/>
        <n v="0.69589041095890414" u="1"/>
        <n v="0.47906976744186047" u="1"/>
        <n v="0.64071856287425155" u="1"/>
        <n v="0.72992700729927007" u="1"/>
        <n v="0.96744186046511627" u="1"/>
        <n v="0.63417305585980288" u="1"/>
        <n v="0.46933187294633077" u="1"/>
        <n v="0.5967078189300411" u="1"/>
        <n v="0.95424836601307195" u="1"/>
        <n v="0.46227709190672156" u="1"/>
        <n v="0.84158415841584155" u="1"/>
        <n v="0.44359255202628695" u="1"/>
        <n v="0.74098360655737705" u="1"/>
        <n v="0.61976047904191611" u="1"/>
        <n v="0.80198019801980203" u="1"/>
        <n v="0.70604395604395609" u="1"/>
        <n v="0.72336065573770492" u="1"/>
        <n v="0.93014705882352944" u="1"/>
        <n v="0.87213114754098364" u="1"/>
        <n v="0.78904109589041094" u="1"/>
        <n v="0.18729463307776562" u="1"/>
        <n v="0.70967741935483875" u="1"/>
        <n v="0.97671232876712333" u="1"/>
        <n v="0.85450819672131151" u="1"/>
        <n v="0.93421052631578949" u="1"/>
        <n v="0.73202614379084963" u="1"/>
        <n v="0.40138408304498269" u="1"/>
        <n v="0.5377229080932785" u="1"/>
        <n v="0.52249134948096887" u="1"/>
        <n v="0.50492880613362545" u="1"/>
        <n v="0.40470974808324206" u="1"/>
        <n v="0.73076923076923073" u="1"/>
        <n v="0.92348284960422167" u="1"/>
        <n v="0.50684931506849318" u="1"/>
        <n v="0.528052805280528" u="1"/>
        <n v="0.35531135531135533" u="1"/>
        <n v="0.80512422360248448" u="1"/>
        <n v="0.80163934426229511" u="1"/>
        <n v="0.88219178082191785" u="1"/>
        <n v="3.2967032967032968E-2" u="1"/>
        <n v="0.63524590163934425" u="1"/>
        <n v="0.26849315068493151" u="1"/>
        <n v="0.50980392156862742" u="1"/>
        <n v="0.49382716049382713" u="1"/>
        <n v="0.82304526748971196" u="1"/>
        <n v="0.15498357064622126" u="1"/>
        <n v="0.81818181818181823" u="1"/>
        <n v="0.98628257887517146" u="1"/>
        <n v="0.89873417721518989" u="1"/>
        <n v="0.91847826086956519" u="1"/>
        <n v="0.75549450549450547" u="1"/>
        <n v="0.91466083150984678" u="1"/>
        <n v="0.76639344262295084" u="1"/>
        <n v="0.90798611111111116" u="1"/>
        <n v="0.33699633699633702" u="1"/>
        <n v="0.46511627906976744" u="1"/>
        <n v="0.57119386637458924" u="1"/>
        <n v="0.6" u="1"/>
        <n v="0.90809628008752741" u="1"/>
        <n v="0.93953488372093019" u="1"/>
        <n v="0.99612403100775193" u="1"/>
        <n v="0.5197152245345017" u="1"/>
        <n v="0.93402777777777779" u="1"/>
        <n v="0.33490566037735847" u="1"/>
        <n v="0.97534246575342465" u="1"/>
        <n v="0.73114754098360657" u="1"/>
        <n v="0.23561643835616439" u="1"/>
        <n v="0.67934782608695654" u="1"/>
        <n v="0.31434830230010952" u="1"/>
        <n v="0.83496732026143794" u="1"/>
        <n v="0.31868131868131866" u="1"/>
        <n v="0.23329682365826945" u="1"/>
        <n v="0.31506849315068491" u="1"/>
        <n v="0.38271604938271603" u="1"/>
        <n v="0.60082304526748975" u="1"/>
        <n v="0.76851851851851849" u="1"/>
        <n v="0.96006944444444442" u="1"/>
        <n v="0.70206971677559915" u="1"/>
        <n v="0.95263157894736838" u="1"/>
        <n v="0.88840262582056895" u="1"/>
        <n v="0.85792349726775952" u="1"/>
        <n v="0.29411764705882354" u="1"/>
        <n v="0.42814371257485029" u="1"/>
        <n v="0.69315068493150689" u="1"/>
        <n v="0.80463576158940397" u="1"/>
        <n v="0.47097480832420591" u="1"/>
        <n v="0.87527352297592997" u="1"/>
        <n v="0.81238615664845171" u="1"/>
        <n v="0.36164383561643837" u="1"/>
        <n v="0.64560439560439564" u="1"/>
        <n v="0.9435336976320583" u="1"/>
        <n v="0.78884462151394419" u="1"/>
        <n v="0.99006622516556286" u="1"/>
        <n v="0.65745856353591159" u="1"/>
        <n v="0.78630136986301369" u="1"/>
        <n v="0.7668488160291439" u="1"/>
        <n v="0.61842105263157898" u="1"/>
        <n v="0.91476709613478691" u="1"/>
        <n v="0.97397260273972608" u="1"/>
        <n v="0.3944636678200692" u="1"/>
        <n v="0.95729813664596275" u="1"/>
        <n v="0.5901639344262295" u="1"/>
        <n v="0.83425414364640882" u="1"/>
        <n v="0.7178683385579937" u="1"/>
        <n v="0.8714596949891068" u="1"/>
        <n v="0.66392318244170101" u="1"/>
        <n v="0.40635268346111719" u="1"/>
        <n v="0.8271604938271605" u="1"/>
        <n v="0.40821917808219177" u="1"/>
        <n v="0.67032967032967028" u="1"/>
        <n v="0.79844961240310075" u="1"/>
        <n v="0.50410958904109593" u="1"/>
        <n v="0.73856209150326801" u="1"/>
        <n v="0.8794520547945206" u="1"/>
        <n v="0.75273522975929974" u="1"/>
        <n v="0.75075075075075071" u="1"/>
        <n v="0.96699669966996704" u="1"/>
        <n v="0.30315500685871055" u="1"/>
        <n v="0.54245283018867929" u="1"/>
        <n v="0.94043887147335425" u="1"/>
        <n v="0.69505494505494503" u="1"/>
        <n v="0.60493827160493829" u="1"/>
        <n v="0.9273927392739274" u="1"/>
        <n v="0.32013201320132012" u="1"/>
        <n v="0.73960612691466088" u="1"/>
        <n v="0.45479452054794522" u="1"/>
        <n v="0.57447973713033951" u="1"/>
        <n v="0.89791873141724476" u="1"/>
        <n v="0.1095890410958904" u="1"/>
        <n v="0.59726027397260273" u="1"/>
        <n v="0.98502994011976053" u="1"/>
        <n v="0.96244131455399062" u="1"/>
        <n v="0.73304157549234139" u="1"/>
        <n v="0.29640718562874252" u="1"/>
        <n v="0.59706959706959706" u="1"/>
        <n v="0.82608695652173914" u="1"/>
        <n v="0.98026315789473684" u="1"/>
        <n v="0.31599123767798465" u="1"/>
        <n v="0.9810756972111554" u="1"/>
        <n v="0.29025191675794088" u="1"/>
        <n v="0.5393258426966292" u="1"/>
        <n v="0.89802631578947367" u="1"/>
        <n v="0.9640718562874252" u="1"/>
        <n v="0.90795206971677556" u="1"/>
        <n v="0.89026063100137176" u="1"/>
        <n v="0.65346534653465349" u="1"/>
        <n v="0.84150326797385622" u="1"/>
        <n v="0.58695652173913049" u="1"/>
        <n v="0.69041095890410964" u="1"/>
        <n v="0.16438356164383561" u="1"/>
        <n v="0.63019693654266962" u="1"/>
        <n v="0.94311377245508987" u="1"/>
        <n v="0.44687842278203727" u="1"/>
        <n v="0.62363238512035013" u="1"/>
        <n v="0.42391304347826086" u="1"/>
        <n v="0.54418604651162794" u="1"/>
        <n v="0.55833333333333335" u="1"/>
        <n v="0.25136911281489593" u="1"/>
        <n v="0.61706783369803064" u="1"/>
        <n v="0.88372093023255816" u="1"/>
        <n v="0.49794238683127573" u="1"/>
        <n v="0.83127572016460904" u="1"/>
        <n v="0.5851648351648352" u="1"/>
        <n v="0.89236111111111116" u="1"/>
        <n v="0.61050328227571116" u="1"/>
        <n v="0.66457680250783702" u="1"/>
        <n v="0.18893756845564075" u="1"/>
        <n v="0.88410596026490063" u="1"/>
        <n v="0.35849056603773582" u="1"/>
        <n v="0.30434782608695654" u="1"/>
        <n v="0.82547169811320753" u="1"/>
        <n v="0.91840277777777779" u="1"/>
        <n v="0.51150054764512598" u="1"/>
        <n v="0.59737417943107218" u="1"/>
        <n v="0.97682119205298013" u="1"/>
        <n v="0.80822981366459623" u="1"/>
        <n v="0.60989010989010994" u="1"/>
        <n v="0.96897810218978098" u="1"/>
        <n v="0.3822562979189485" u="1"/>
        <n v="0.94444444444444442" u="1"/>
        <n v="0.21739130434782608" u="1"/>
        <n v="0.81914893617021278" u="1"/>
        <n v="0.8801652892561983" u="1"/>
        <n v="0.91509433962264153" u="1"/>
        <n v="0.91970802919708028" u="1"/>
        <n v="0.58424507658643321" u="1"/>
        <n v="0.96713615023474175" u="1"/>
        <n v="0.81154684095860563" u="1"/>
        <n v="0.21095890410958903" u="1"/>
        <n v="0.74509803921568629" u="1"/>
        <n v="0.26575342465753427" u="1"/>
        <n v="0.97826086956521741" u="1"/>
        <n v="0.51903114186851207" u="1"/>
        <n v="0.63461538461538458" u="1"/>
        <n v="0.79562043795620441" u="1"/>
        <n v="0.30327868852459017" u="1"/>
        <n v="0.8943758573388203" u="1"/>
        <n v="0.7463503649635036" u="1"/>
        <n v="0.76243093922651939" u="1"/>
        <n v="0.31979695431472083" u="1"/>
        <n v="0.36885245901639346" u="1"/>
        <n v="0.52287581699346408" u="1"/>
        <n v="0.67964071856287422" u="1"/>
        <n v="0.4344262295081967" u="1"/>
        <n v="0.84166666666666667" u="1"/>
        <n v="0.85581395348837208" u="1"/>
        <n v="0.12454212454212454" u="1"/>
        <n v="7.3972602739726029E-2" u="1"/>
        <n v="0.48347107438016529" u="1"/>
        <n v="0.5089163237311386" u="1"/>
        <n v="0.56426332288401249" u="1"/>
        <n v="0.46954314720812185" u="1"/>
        <n v="0.64403066812705367" u="1"/>
        <n v="0.47426067907995617" u="1"/>
        <n v="0.7865168539325843" u="1"/>
        <n v="0.24528301886792453" u="1"/>
        <n v="0.40862944162436549" u="1"/>
        <n v="0.91448801742919394" u="1"/>
        <n v="0.62271062271062272" u="1"/>
        <n v="0.4485213581599124" u="1"/>
        <n v="0.55837563451776651" u="1"/>
        <n v="0.84704968944099379" u="1"/>
        <n v="0.589622641509434" u="1"/>
        <n v="0.871866295264624" u="1"/>
        <n v="0.78159041394335516" u="1"/>
        <n v="0.90375586854460099" u="1"/>
        <n v="0.25301204819277107" u="1"/>
        <n v="0.20262869660460023" u="1"/>
        <n v="0.52472527472527475" u="1"/>
        <n v="0.67766497461928932" u="1"/>
        <n v="0.36303630363036304" u="1"/>
        <n v="0.5558375634517766" u="1"/>
        <n v="0.58608058608058611" u="1"/>
        <n v="0.9604037267080745" u="1"/>
        <n v="0.78683385579937304" u="1"/>
        <n v="0.96729435084241822" u="1"/>
        <n v="0.971830985915493" u="1"/>
        <n v="0.69226579520697162" u="1"/>
        <n v="0.90632911392405058" u="1"/>
        <n v="0.85786802030456855" u="1"/>
        <n v="0.47904191616766467" u="1"/>
        <n v="0.73604060913705582" u="1"/>
        <n v="0.81848184818481851" u="1"/>
        <n v="0.40963855421686746" u="1"/>
        <n v="0.94407894736842102" u="1"/>
        <n v="0.77290836653386452" u="1"/>
        <n v="0.77887788778877887" u="1"/>
        <n v="0.5494505494505495" u="1"/>
        <n v="0.85974499089253187" u="1"/>
        <n v="0.91624365482233505" u="1"/>
        <n v="0.85532994923857864" u="1"/>
        <n v="0.44993141289437588" u="1"/>
        <n v="0.96357615894039739" u="1"/>
        <n v="0.82790697674418601" u="1"/>
        <n v="0.51282051282051277" u="1"/>
        <n v="0.81420765027322406" u="1"/>
        <n v="0.88453159041394336" u="1"/>
        <n v="0.57417582417582413" u="1"/>
        <n v="0.81808278867102402" u="1"/>
        <n v="0.58105147864184004" u="1"/>
        <n v="0.50495049504950495" u="1"/>
        <n v="0.94535519125683065" u="1"/>
        <n v="0.82919254658385089" u="1"/>
        <n v="0.84037558685446012" u="1"/>
        <n v="3.287671232876712E-2" u="1"/>
        <n v="0.76867030965391625" u="1"/>
        <n v="0.88586956521739135" u="1"/>
        <n v="0.72875816993464049" u="1"/>
        <n v="0.90277777777777779" u="1"/>
        <n v="0.90845070422535212" u="1"/>
        <n v="0.40484429065743943" u="1"/>
        <n v="0.90090090090090091" u="1"/>
        <n v="0.96226415094339623" u="1"/>
        <n v="0.52941176470588236" u="1"/>
        <n v="0.34210526315789475" u="1"/>
        <n v="0.64673913043478259" u="1"/>
        <n v="0.78984063745019917" u="1"/>
        <n v="0.64731653888280394" u="1"/>
        <n v="0.92881944444444442" u="1"/>
        <n v="0.97652582159624413" u="1"/>
        <n v="0.287292817679558" u="1"/>
        <n v="0.45016429353778753" u="1"/>
        <n v="0.18852459016393441" u="1"/>
        <n v="0.3473053892215569" u="1"/>
        <n v="5.4945054945054944E-2" u="1"/>
        <n v="0.2546549835706462" u="1"/>
        <n v="0.69060773480662985" u="1"/>
        <n v="0.8844621513944223" u="1"/>
        <n v="0.22131147540983606" u="1"/>
        <n v="0.37569060773480661" u="1"/>
        <n v="0.19058050383351588" u="1"/>
        <n v="0.22633744855967078" u="1"/>
        <n v="0.37037037037037035" u="1"/>
        <n v="0.90909090909090906" u="1"/>
        <n v="0.90260631001371738" u="1"/>
        <n v="0.25274725274725274" u="1"/>
        <n v="0.94214876033057848" u="1"/>
        <n v="0.76525054466230935" u="1"/>
        <n v="0.97520661157024791" u="1"/>
        <n v="0.93114754098360653" u="1"/>
        <n v="0.49450549450549453" u="1"/>
        <n v="0.32634730538922158" u="1"/>
        <n v="0.26415094339622641" u="1"/>
        <n v="0.25925925925925924" u="1"/>
        <n v="0.84507042253521125" u="1"/>
        <n v="0.51714677640603568" u="1"/>
        <n v="0.98161764705882348" u="1"/>
        <n v="0.46534653465346537" u="1"/>
        <n v="0.6367924528301887" u="1"/>
        <n v="0.44554455445544555" u="1"/>
        <n v="0.51373626373626369" u="1"/>
        <n v="0.57746478873239437" u="1"/>
        <n v="0.86065573770491799" u="1"/>
        <n v="0.95751633986928109" u="1"/>
        <n v="0.72641509433962259" u="1"/>
        <n v="0.89106753812636164" u="1"/>
        <n v="0.52892561983471076" u="1"/>
        <n v="0.99180327868852458" u="1"/>
        <n v="0.99725274725274726" u="1"/>
        <n v="0.80246913580246915" u="1"/>
        <n v="0.97214484679665736" u="1"/>
        <n v="0.98122065727699526" u="1"/>
        <n v="0.94389438943894388" u="1"/>
        <n v="0.98630136986301364" u="1"/>
        <n v="0.63322884012539182" u="1"/>
        <n v="0.90429042904290424" u="1"/>
        <n v="0.82071713147410363" u="1"/>
        <n v="0.51557093425605538" u="1"/>
        <n v="0.73529411764705888" u="1"/>
        <n v="0.90789473684210531" u="1"/>
        <n v="0.6506024096385542" u="1"/>
        <n v="0.79016393442622945" u="1"/>
        <n v="0.71361502347417838" u="1"/>
        <n v="0.47754654983570644" u="1"/>
        <n v="0.58024691358024694" u="1"/>
        <n v="0.77254098360655743" u="1"/>
        <n v="0.45180722891566266" u="1"/>
        <n v="0.70410958904109588" u="1"/>
        <n v="0.92131147540983604" u="1"/>
        <n v="0.53594771241830064" u="1"/>
        <n v="0.31666666666666665" u="1"/>
        <n v="0.98540145985401462" u="1"/>
        <n v="0.586046511627907" u="1"/>
        <n v="0.90368852459016391" u="1"/>
        <n v="0.7416666666666667" u="1"/>
        <n v="0.63036303630363033" u="1"/>
        <n v="0.98116947472745297" u="1"/>
        <n v="0.9853479853479854" u="1"/>
        <n v="0.86486486486486491" u="1"/>
        <n v="0.91058394160583944" u="1"/>
        <n v="0.17880794701986755" u="1"/>
        <n v="0.40760869565217389" u="1"/>
        <n v="0.84976525821596249" u="1"/>
        <n v="0.86131386861313863" u="1"/>
        <n v="0.52126200274348422" u="1"/>
        <n v="0.86111111111111116" u="1"/>
        <n v="0.79726027397260268" u="1"/>
        <n v="0.41292442497261772" u="1"/>
        <n v="0.71276595744680848" u="1"/>
        <n v="0.85081967213114751" u="1"/>
        <n v="0.81204379562043794" u="1"/>
        <n v="0.94871794871794868" u="1"/>
        <n v="0.98493150684931507" u="1"/>
        <n v="0.68442622950819676" u="1"/>
        <n v="0.76277372262773724" u="1"/>
        <n v="0.88715277777777779" u="1"/>
        <n v="0.9178403755868545" u="1"/>
        <n v="0.2271062271062271" u="1"/>
        <n v="0.41369863013698632" u="1"/>
        <n v="0.83764940239043828" u="1"/>
        <n v="0.51506849315068493" u="1"/>
        <n v="0.70533769063180829" u="1"/>
        <n v="0.64918032786885249" u="1"/>
        <n v="0.61878453038674031" u="1"/>
        <n v="0.92566897918731417" u="1"/>
        <n v="0.48559670781893005" u="1"/>
        <n v="0.63910186199342822" u="1"/>
        <n v="0.80658436213991769" u="1"/>
        <n v="0.94672131147540983" u="1"/>
        <n v="0.96432111000991083" u="1"/>
        <n v="0.8904109589041096" u="1"/>
        <n v="0.75697211155378485" u="1"/>
        <n v="0.78032786885245897" u="1"/>
        <n v="0.9417721518987342" u="1"/>
        <n v="0.79558011049723754" u="1"/>
        <n v="0.8889751552795031" u="1"/>
        <n v="0.57993730407523514" u="1"/>
        <n v="0.46027397260273972" u="1"/>
        <n v="0.71830985915492962" u="1"/>
        <n v="0.93681318681318682" u="1"/>
        <n v="0.94565217391304346" u="1"/>
        <n v="0.60821917808219184" u="1"/>
        <n v="0.53892215568862278" u="1"/>
        <n v="0.96405228758169936" u="1"/>
        <n v="0.22453450164293537" u="1"/>
        <n v="0.37448559670781895" u="1"/>
        <n v="0.45833333333333331" u="1"/>
        <n v="0.2087912087912088" u="1"/>
        <n v="0.58436213991769548" u="1"/>
        <n v="0.55813953488372092" u="1"/>
        <n v="0.72745901639344257" u="1"/>
        <n v="0.74759945130315497" u="1"/>
        <n v="0.84108527131782951" u="1"/>
        <n v="0.98356164383561639" u="1"/>
        <n v="0.75548589341692785" u="1"/>
        <n v="0.85860655737704916" u="1"/>
        <n v="0.70652173913043481" u="1"/>
        <n v="0.90882061446977203" u="1"/>
        <n v="0.47918948521358162" u="1"/>
        <n v="0.51796407185628746" u="1"/>
        <n v="0.84098360655737703" u="1"/>
        <n v="0.96153846153846156" u="1"/>
        <n v="0.80827886710239649" u="1"/>
        <n v="0.9927140255009107" u="1"/>
        <n v="0.70136986301369864" u="1"/>
        <n v="0.74183006535947715" u="1"/>
        <n v="0.26337448559670784" u="1"/>
        <n v="0.50819672131147542" u="1"/>
        <n v="0.81602914389799641" u="1"/>
        <n v="0.9780564263322884" u="1"/>
        <n v="0.77358490566037741" u="1"/>
        <n v="0.7739043824701195" u="1"/>
        <n v="0.63934426229508201" u="1"/>
        <n v="0.94717668488160289" u="1"/>
        <n v="0.52595155709342556" u="1"/>
        <n v="0.98626373626373631" u="1"/>
        <n v="0.3641304347826087" u="1"/>
        <n v="0.77049180327868849" u="1"/>
        <n v="0.79452054794520544" u="1"/>
        <n v="0.98607242339832868" u="1"/>
        <n v="0.81069958847736623" u="1"/>
        <n v="0.98219178082191783" u="1"/>
        <n v="0.38882803943044908" u="1"/>
        <n v="0.92779503105590067" u="1"/>
        <n v="0.93409586056644878" u="1"/>
        <n v="0.94707520891364905" u="1"/>
        <n v="0.19867549668874171" u="1"/>
        <n v="0.87171052631578949" u="1"/>
        <n v="0.15991237677984665" u="1"/>
        <n v="0.51232876712328768" u="1"/>
        <n v="0.64238773274917849" u="1"/>
        <n v="0.7" u="1"/>
        <n v="0.79537953795379535" u="1"/>
        <n v="0.9263565891472868" u="1"/>
        <n v="0.77832244008714602" u="1"/>
        <n v="0.88767123287671235" u="1"/>
        <n v="0.58847736625514402" u="1"/>
        <n v="0.59090909090909094" u="1"/>
        <n v="0.21369863013698631" u="1"/>
        <n v="0.68237704918032782" u="1"/>
        <n v="0.97435897435897434" u="1"/>
        <n v="0.71187363834422657" u="1"/>
        <n v="0.62396694214876036" u="1"/>
        <n v="0.27123287671232876" u="1"/>
        <n v="9.8901098901098897E-2" u="1"/>
        <n v="0.32420591456736036" u="1"/>
        <n v="0.71617161716171618" u="1"/>
        <n v="0.3772455089820359" u="1"/>
        <n v="0.87637362637362637" u="1"/>
        <n v="0.60547945205479448" u="1"/>
        <n v="0.84548611111111116" u="1"/>
        <n v="0.45879120879120877" u="1"/>
        <n v="0.87379972565157749" u="1"/>
        <n v="0.98082191780821915" u="1"/>
        <n v="0.93508424182358774" u="1"/>
        <n v="0.53773584905660377" u="1"/>
        <n v="0.54696132596685088" u="1"/>
        <n v="0.76065573770491801" u="1"/>
        <n v="0.31780821917808222" u="1"/>
        <n v="0.88545816733067728" u="1"/>
        <n v="0.59154929577464788" u="1"/>
        <n v="0.87152777777777779" u="1"/>
        <n v="0.30386740331491713" u="1"/>
        <n v="0.59426229508196726" u="1"/>
        <n v="0.90109890109890112" u="1"/>
        <n v="0.45509309967141293" u="1"/>
        <n v="0.69863013698630139" u="1"/>
        <n v="0.72540983606557374" u="1"/>
        <n v="0.61413043478260865" u="1"/>
        <n v="0.72375690607734811" u="1"/>
        <n v="0.39340101522842641" u="1"/>
        <n v="0.89756944444444442" u="1"/>
        <n v="0.20591456736035049" u="1"/>
        <n v="0.32647462277091904" u="1"/>
        <n v="0.35628742514970058" u="1"/>
        <n v="0.48971193415637859" u="1"/>
        <n v="0.81481481481481477" u="1"/>
        <n v="0.74836601307189543" u="1"/>
        <n v="0.16339869281045752" u="1"/>
        <n v="0.36438356164383562" u="1"/>
        <n v="0.68191721132897598" u="1"/>
        <n v="0.92582417582417587" u="1"/>
        <n v="0.5279299014238773" u="1"/>
        <n v="0.58629441624365486" u="1"/>
        <n v="0.8418604651162791" u="1"/>
        <n v="0.98333333333333328" u="1"/>
        <n v="0.41621029572836804" u="1"/>
        <n v="0.95934959349593496" u="1"/>
        <n v="0.48223350253807107" u="1"/>
        <n v="0.79178082191780819" u="1"/>
        <n v="0.39047097480832421" u="1"/>
        <n v="0.72357723577235777" u="1"/>
        <n v="0.76649746192893398" u="1"/>
        <n v="0.59259259259259256" u="1"/>
        <n v="0.64467005076142136" u="1"/>
        <n v="0.41095890410958902" u="1"/>
        <n v="0.61967213114754094" u="1"/>
        <n v="0.94063180827886705" u="1"/>
        <n v="0.97819623389494548" u="1"/>
        <n v="9.8630136986301367E-2" u="1"/>
        <n v="0.82487309644670048" u="1"/>
        <n v="0.53633217993079585" u="1"/>
        <n v="0.89430894308943087" u="1"/>
        <n v="0.50958904109589043" u="1"/>
        <n v="0.64567360350492886" u="1"/>
        <n v="0.17218543046357615" u="1"/>
        <n v="0.5941949616648412" u="1"/>
        <n v="0.39344262295081966" u="1"/>
        <n v="0.88324873096446699" u="1"/>
        <n v="0.82171314741035861" u="1"/>
        <n v="0.45901639344262296" u="1"/>
        <n v="0.78485838779956429" u="1"/>
        <n v="0.99701195219123506" u="1"/>
        <n v="0.24251497005988024" u="1"/>
        <n v="0.73684210526315785" u="1"/>
        <n v="0.82445141065830718" u="1"/>
        <n v="0.2185430463576159" u="1"/>
        <n v="0.45753424657534247" u="1"/>
        <n v="0.2261774370208105" u="1"/>
        <n v="0.54918032786885251" u="1"/>
        <n v="0.14246575342465753" u="1"/>
        <n v="0.6179775280898876" u="1"/>
        <n v="0.8413173652694611" u="1"/>
        <n v="0.42857142857142855" u="1"/>
        <n v="0.97627737226277367" u="1"/>
        <n v="0.92269573835480678" u="1"/>
        <n v="0.41015089163237312" u="1"/>
        <n v="0.65569272976680382" u="1"/>
        <n v="0.76630434782608692" u="1"/>
        <n v="0.92700729927007297" u="1"/>
        <n v="0.48247535596933189" u="1"/>
        <n v="0.96100278551532037" u="1"/>
        <n v="7.4999999999999997E-2" u="1"/>
        <n v="0.84065934065934067" u="1"/>
        <n v="0.91776315789473684" u="1"/>
        <n v="0.81395348837209303" u="1"/>
        <n v="0.82035928143712578" u="1"/>
        <n v="0.41025641025641024" u="1"/>
        <n v="0.92079207920792083" u="1"/>
        <n v="0.90322580645161288" u="1"/>
        <n v="0.77919708029197077" u="1"/>
        <n v="0.88118811881188119" u="1"/>
        <n v="0.19386637458926614" u="1"/>
        <n v="0.7536496350364964" u="1"/>
        <n v="0.79940119760479045" u="1"/>
        <n v="0.22169811320754718" u="1"/>
        <n v="0.70437956204379559" u="1"/>
        <n v="0.87422360248447206" u="1"/>
        <n v="0.8877995642701525" u="1"/>
        <n v="0.39194139194139194" u="1"/>
        <n v="0.80645161290322576" u="1"/>
        <n v="0.86538461538461542" u="1"/>
        <n v="0.53121577217962757" u="1"/>
        <n v="0.41785323110624317" u="1"/>
        <n v="0.75490196078431371" u="1"/>
        <n v="0.96061269146608319" u="1"/>
        <n v="0.94936708860759489" u="1"/>
        <n v="0.9540481400437637" u="1"/>
        <n v="0.18904109589041096" u="1"/>
        <n v="0.75796812749003983" u="1"/>
        <n v="0.60726072607260728" u="1"/>
        <n v="0.86338797814207646" u="1"/>
        <n v="0.44170096021947874" u="1"/>
        <n v="0.71879286694101507" u="1"/>
        <n v="0.93326693227091628" u="1"/>
        <n v="0.94748358862144422" u="1"/>
        <n v="0.88203017832647457" u="1"/>
        <n v="0.65289256198347112" u="1"/>
        <n v="0.59880239520958078" u="1"/>
        <n v="0.65193370165745856" u="1"/>
        <n v="0.99453551912568305" u="1"/>
        <n v="0.85590277777777779" u="1"/>
        <n v="0.93435448577680524" u="1"/>
        <n v="0.19337016574585636" u="1"/>
        <n v="0.32894736842105265" u="1"/>
        <n v="0.59748083242059147" u="1"/>
        <n v="0.14569536423841059" u="1"/>
        <n v="0.81785063752276865" u="1"/>
        <n v="0.7711598746081505" u="1"/>
        <n v="0.85347985347985345" u="1"/>
        <n v="7.3770491803278687E-2" u="1"/>
        <n v="0.57784431137724546" u="1"/>
        <n v="0.92122538293216627" u="1"/>
        <n v="0.65980795610425236" u="1"/>
        <n v="6.3013698630136991E-2" u="1"/>
        <n v="0.23986856516976998" u="1"/>
        <n v="0.78604651162790695" u="1"/>
        <n v="0.23756906077348067" u="1"/>
        <n v="0.89922480620155043" u="1"/>
        <n v="0.99434951013898387" u="1"/>
        <n v="0.19205298013245034" u="1"/>
        <n v="0.55688622754491013" u="1"/>
        <n v="0.81684981684981683" u="1"/>
        <n v="0.40522875816993464" u="1"/>
        <n v="0.54671280276816614" u="1"/>
        <n v="0.79139433551198257" u="1"/>
        <n v="0.39835164835164832" u="1"/>
        <n v="0.90346083788706744" u="1"/>
        <n v="0.99373040752351094" u="1"/>
        <n v="0.72494553376906323" u="1"/>
        <n v="0.91304347826086951" u="1"/>
        <n v="0.6741573033707865" u="1"/>
        <n v="0.77490039840637448" u="1"/>
        <n v="1.3698630136986301E-2" u="1"/>
        <n v="0.8651685393258427" u="1"/>
        <n v="0.5359281437125748" u="1"/>
        <n v="0.78021978021978022" u="1"/>
        <n v="0.26286966046002191" u="1"/>
        <n v="0.67391304347826086" u="1"/>
        <n v="0.7567567567567568" u="1"/>
        <n v="0.86792452830188682" u="1"/>
        <n v="0.86952191235059761" u="1"/>
        <n v="0.9836601307189542" u="1"/>
        <n v="0.42452830188679247" u="1"/>
        <n v="0.58598028477546549" u="1"/>
        <n v="0.79868708971553615" u="1"/>
        <n v="0.22222222222222221" u="1"/>
        <n v="0.36213991769547327" u="1"/>
        <n v="0.80494505494505497" u="1"/>
        <n v="0.88614540466392322" u="1"/>
        <n v="0.95754716981132071" u="1"/>
        <n v="0.46739130434782611" u="1"/>
        <n v="0.53450164293537783" u="1"/>
        <n v="0.79212253829321666" u="1"/>
        <n v="0.4194961664841183" u="1"/>
        <n v="0.17582417582417584" u="1"/>
        <n v="0.96078431372549022" u="1"/>
        <n v="0.39375684556407448" u="1"/>
        <n v="0.67084639498432597" u="1"/>
        <n v="0.77899343544857769" u="1"/>
        <n v="0.82788671023965144" u="1"/>
        <n v="0.34782608695652173" u="1"/>
        <n v="0.17524644030668127" u="1"/>
        <n v="0.76143790849673199" u="1"/>
        <n v="0.40718562874251496" u="1"/>
        <n v="0.99207135777998012" u="1"/>
        <n v="0.82967032967032972" u="1"/>
        <n v="0.16666666666666666" u="1"/>
        <n v="0.98449612403100772" u="1"/>
        <n v="0.25102880658436216" u="1"/>
        <n v="0.5006858710562414" u="1"/>
        <n v="0.93593314763231195" u="1"/>
        <n v="0.60076670317634173" u="1"/>
        <n v="0.2391304347826087" u="1"/>
        <n v="0.88157894736842102" u="1"/>
        <n v="0.1575091575091575" u="1"/>
        <n v="0.67614879649890591" u="1"/>
        <n v="0.88645418326693226" u="1"/>
        <n v="0.22782037239868566" u="1"/>
        <n v="0.93657086223984143" u="1"/>
        <n v="0.97522299306243809" u="1"/>
        <n v="0.58011049723756902" u="1"/>
        <n v="0.63207547169811318" u="1"/>
        <n v="0.65645514223194745" u="1"/>
        <n v="0.80577689243027883" u="1"/>
        <n v="0.93082788671023964" u="1"/>
        <n v="0.97049180327868856" u="1"/>
        <n v="0.73267326732673266" u="1"/>
        <n v="0.48576122672508215" u="1"/>
        <n v="0.9945205479452055" u="1"/>
        <n v="0.71978021978021978" u="1"/>
        <n v="0.56378600823045266" u="1"/>
        <n v="0.64332603938730848" u="1"/>
        <n v="0.73148148148148151" u="1"/>
        <n v="0.72702331961591216" u="1"/>
        <n v="0.75690607734806625" u="1"/>
        <n v="0.26451259583789705" u="1"/>
        <n v="0.7357357357357357" u="1"/>
        <n v="0.2119205298013245" u="1"/>
        <n v="0.40883977900552487" u="1"/>
        <n v="0.9213483146067416" u="1"/>
        <n v="0.1955093099671413" u="1"/>
        <n v="0.93370165745856348" u="1"/>
        <n v="0.9" u="1"/>
        <n v="0.58926615553121575" u="1"/>
        <n v="0.91972249752229929" u="1"/>
        <n v="0.98947368421052628" u="1"/>
        <n v="0.49723756906077349" u="1"/>
        <n v="0.74450549450549453" u="1"/>
        <n v="0.42113910186199344" u="1"/>
        <n v="0.50480109739368995" u="1"/>
        <n v="0.86475409836065575" u="1"/>
        <n v="0.92215568862275454" u="1"/>
        <n v="0.80547945205479454" u="1"/>
        <n v="0.78099173553719003" u="1"/>
        <n v="0.9673202614379085" u="1"/>
        <n v="0.17452830188679244" u="1"/>
        <n v="0.99315068493150682" u="1"/>
        <n v="0.82270916334661359" u="1"/>
        <n v="0.76923076923076927" u="1"/>
        <n v="0.82950819672131149" u="1"/>
        <n v="0.16319824753559695" u="1"/>
        <n v="0.99800796812749004" u="1"/>
        <n v="0.84012539184952983" u="1"/>
        <n v="0.83442265795206971" u="1"/>
        <n v="7.3260073260073263E-2" u="1"/>
        <n v="0.90119760479041922" u="1"/>
        <n v="0.47736625514403291" u="1"/>
        <n v="0.79012345679012341" u="1"/>
        <n v="0.95336076817558302" u="1"/>
        <n v="0.96065573770491808" u="1"/>
        <n v="0.604052573932092" u="1"/>
        <n v="0.99270072992700731" u="1"/>
        <n v="0.52328767123287667" u="1"/>
        <n v="0.35651697699890472" u="1"/>
        <n v="0.94343065693430661" u="1"/>
        <n v="0.8941605839416058" u="1"/>
        <n v="0.89863013698630134" u="1"/>
        <n v="0.88023952095808389" u="1"/>
        <n v="0.98481012658227851" u="1"/>
        <n v="0.67864923747276684" u="1"/>
        <n v="0.86861313868613144" u="1"/>
        <n v="0.36625514403292181" u="1"/>
        <n v="0.5679012345679012" u="1"/>
        <n v="0.96283448959365714" u="1"/>
        <n v="0.73113854595336081" u="1"/>
        <n v="0.41735537190082644" u="1"/>
        <n v="0.69597069597069594" u="1"/>
        <n v="0.91614906832298137" u="1"/>
        <n v="0.85928143712574845" u="1"/>
        <n v="0.61643835616438358" u="1"/>
        <n v="0.13907284768211919" u="1"/>
        <n v="0.86520947176684881" u="1"/>
        <n v="0.99178082191780825" u="1"/>
        <n v="0.51627906976744187" u="1"/>
        <n v="0.65934065934065933" u="1"/>
        <n v="0.93736383442265792" u="1"/>
        <n v="0.32328767123287672" u="1"/>
        <n v="0.26615553121577218" u="1"/>
        <n v="0.99635701275045541" u="1"/>
        <n v="0.20920043811610076" u="1"/>
        <n v="0.41176470588235292" u="1"/>
        <n v="0.73369565217391308" u="1"/>
        <n v="0.91820580474934033" u="1"/>
        <n v="0.18543046357615894" u="1"/>
        <n v="0.92192192192192191" u="1"/>
        <n v="0.81967213114754101" u="1"/>
        <n v="0.6586826347305389" u="1"/>
        <n v="0.70958904109589038" u="1"/>
        <n v="0.59255202628696602" u="1"/>
        <n v="0.75896414342629481" u="1"/>
        <n v="0.91086350974930363" u="1"/>
        <n v="0.34771573604060912" u="1"/>
        <n v="0.89726027397260277" u="1"/>
        <n v="0.95081967213114749" u="1"/>
        <n v="0.93426294820717126" u="1"/>
        <n v="0.68406593406593408" u="1"/>
        <n v="0.7398119122257053" u="1"/>
        <n v="0.71514161220043571" u="1"/>
        <n v="0.36986301369863012" u="1"/>
        <n v="0.7741347905282332" u="1"/>
        <n v="0.39704271631982474" u="1"/>
        <n v="0.89768976897689767" u="1"/>
        <n v="0.23178807947019867" u="1"/>
        <n v="0.63100137174211246" u="1"/>
        <n v="0.30065359477124182" u="1"/>
        <n v="0.79423868312757206" u="1"/>
        <n v="0.95747599451303156" u="1"/>
        <n v="0.85808580858085803" u="1"/>
        <n v="0.49746192893401014" u="1"/>
        <n v="0.46700507614213199" u="1"/>
        <n v="0.80273972602739729" u="1"/>
        <n v="0.70879120879120883" u="1"/>
        <n v="0.73155737704918034" u="1"/>
        <n v="0.67512690355329952" u="1"/>
        <n v="0.64893617021276595" u="1"/>
        <n v="0.76886792452830188" u="1"/>
        <n v="0.61676646706586824" u="1"/>
        <n v="0.88032786885245906" u="1"/>
        <n v="0.6142131979695431" u="1"/>
        <n v="0.79861111111111116" u="1"/>
        <n v="0.5532994923857868" u="1"/>
        <n v="0.95496894409937894" u="1"/>
        <n v="0.96238244514106586" u="1"/>
        <n v="0.60733844468784226" u="1"/>
        <n v="0.97385620915032678" u="1"/>
        <n v="0.41643835616438357" u="1"/>
        <n v="0.57201646090534974" u="1"/>
        <n v="0.90740740740740744" u="1"/>
        <n v="0.52054794520547942" u="1"/>
        <n v="0.73350253807106602" u="1"/>
        <n v="0.67258883248730961" u="1"/>
        <n v="0.84095860566448799" u="1"/>
        <n v="0.33242059145673603" u="1"/>
        <n v="0.96306068601583117" u="1"/>
        <n v="0.77450980392156865" u="1"/>
        <n v="0.67868852459016393" u="1"/>
        <n v="0.32600732600732601" u="1"/>
        <n v="0.51666666666666672" u="1"/>
        <n v="0.89589041095890409" u="1"/>
        <n v="0.91370558375634514" u="1"/>
        <n v="0.16993464052287582" u="1"/>
        <n v="0.85279187817258884" u="1"/>
        <n v="0.79187817258883253" u="1"/>
        <n v="0.85069444444444442" u="1"/>
        <n v="0.95044598612487607" u="1"/>
        <n v="0.80983606557377052" u="1"/>
        <n v="0.98909811694747274" u="1"/>
        <n v="0.75163398692810457" u="1"/>
        <n v="0.64344262295081966" u="1"/>
        <n v="0.46301369863013697" u="1"/>
        <n v="0.85733882030178321" u="1"/>
        <n v="0.68518518518518523" u="1"/>
        <n v="0.91116751269035534" u="1"/>
        <n v="0.94098360655737701" u="1"/>
        <n v="0.30769230769230771" u="1"/>
        <n v="0.61369863013698633" u="1"/>
        <n v="0.48904709748083242" u="1"/>
        <n v="0.14520547945205478" u="1"/>
        <n v="0.77459016393442626" u="1"/>
        <n v="0.87051792828685259" u="1"/>
        <n v="0.29353778751369114" u="1"/>
        <n v="0.989041095890411" u="1"/>
        <n v="0.59890109890109888" u="1"/>
        <n v="0.90573770491803274" u="1"/>
        <n v="0.26779846659364731" u="1"/>
        <n v="0.2893772893772894" u="1"/>
        <n v="0.31824417009602196" u="1"/>
        <n v="0.48148148148148145" u="1"/>
        <n v="0.635116598079561" u="1"/>
        <n v="0.43712574850299402" u="1"/>
        <n v="0.79835390946502061" u="1"/>
        <n v="0.47169811320754718" u="1"/>
        <n v="0.68652037617554862" u="1"/>
        <n v="0.12328767123287671" u="1"/>
        <n v="0.9438997821350763" u="1"/>
        <n v="0.59583789704271628" u="1"/>
        <n v="0.70684931506849313" u="1"/>
        <n v="0.93359762140733404" u="1"/>
        <n v="0.87745098039215685" u="1"/>
        <n v="0.54435925520262873" u="1"/>
        <n v="0.81100217864923752" u="1"/>
        <n v="0.80991735537190079" u="1"/>
        <n v="0.47368421052631576" u="1"/>
        <n v="0.62362637362637363" u="1"/>
        <n v="0.4244249726177437" u="1"/>
        <n v="0.68647540983606559" u="1"/>
        <n v="0.39868565169769987" u="1"/>
        <n v="0.66885245901639345" u="1"/>
        <n v="0.5761316872427984" u="1"/>
        <n v="0.39534883720930231" u="1"/>
        <n v="0.8" u="1"/>
        <n v="0.16484118291347208" u="1"/>
        <n v="0.19178082191780821" u="1"/>
        <n v="0.64835164835164838" u="1"/>
        <n v="0.98767123287671232" u="1"/>
        <n v="0.48360655737704916" u="1"/>
        <n v="0.51780821917808217" u="1"/>
        <n v="0.59836065573770492" u="1"/>
        <n v="0.61172161172161177" u="1"/>
        <n v="0.80677290836653381" u="1"/>
        <n v="0.98039215686274506" u="1"/>
        <n v="0.24315443592552027" u="1"/>
        <n v="0.12735849056603774" u="1"/>
        <n v="0.89315068493150684" u="1"/>
        <n v="0.98207171314741037" u="1"/>
        <n v="0.72950819672131151" u="1"/>
        <n v="0.91394335511982572" u="1"/>
        <n v="0.27397260273972601" u="1"/>
        <n v="7.7348066298342538E-2" u="1"/>
        <n v="0.53285870755750275" u="1"/>
        <n v="0.33701657458563539" u="1"/>
        <n v="0.49069003285870755" u="1"/>
        <n v="0.40192043895747598" u="1"/>
        <n v="0.61095890410958908" u="1"/>
        <n v="0.52786885245901638" u="1"/>
        <n v="0.75816993464052285" u="1"/>
        <n v="0.9604221635883905" u="1"/>
        <n v="0.29518072289156627" u="1"/>
        <n v="0.79005524861878451" u="1"/>
        <n v="0.99013157894736847" u="1"/>
        <n v="0.53846153846153844" u="1"/>
        <n v="0.23835616438356164" u="1"/>
        <n v="5.7534246575342465E-2" u="1"/>
        <n v="0.98203592814371254" u="1"/>
        <n v="0.32054794520547947" u="1"/>
        <n v="0.79347826086956519" u="1"/>
        <n v="0.78298611111111116" u="1"/>
        <n v="0.38139534883720932" u="1"/>
        <n v="0.92120911793855298" u="1"/>
        <n v="0.95986124876114964" u="1"/>
        <n v="0.80877742946708464" u="1"/>
        <n v="0.94186046511627908" u="1"/>
        <n v="0.80902777777777779" u="1"/>
        <n v="0.96107784431137722" u="1"/>
        <n v="0.547645125958379" u="1"/>
        <n v="0.5629139072847682" u="1"/>
        <n v="0.82370517928286857" u="1"/>
        <n v="0.31578947368421051" u="1"/>
        <n v="0.66996699669966997" u="1"/>
        <n v="0.55434782608695654" u="1"/>
        <n v="0.56318681318681318" u="1"/>
        <n v="0.88398692810457513" u="1"/>
        <n v="0.83506944444444442" u="1"/>
        <n v="0.36712328767123287" u="1"/>
        <n v="0.41830065359477125" u="1"/>
        <n v="0.6556291390728477" u="1"/>
        <n v="8.7671232876712329E-2" u="1"/>
        <n v="0.17853231106243153" u="1"/>
        <n v="0.94011976047904189" u="1"/>
        <n v="0.53979238754325265" u="1"/>
        <n v="0.43347050754458161" u="1"/>
        <n v="0.7023319615912208" u="1"/>
        <n v="0.7483443708609272" u="1"/>
        <n v="0.8655692729766804" u="1"/>
        <n v="0.91832669322709159" u="1"/>
        <n v="0.95807453416149069" u="1"/>
        <n v="0.58791208791208793" u="1"/>
        <n v="0.83576642335766427" u="1"/>
        <n v="0.90436075322101095" u="1"/>
        <n v="0.72821350762527237" u="1"/>
        <n v="0.84105960264900659" u="1"/>
        <n v="0.99817850637522765" u="1"/>
        <n v="0.78649635036496346" u="1"/>
        <n v="0.73722627737226276" u="1"/>
        <n v="0.33570646221248629" u="1"/>
        <n v="0.93377483443708609" u="1"/>
        <n v="0.3223593964334705" u="1"/>
        <n v="0.64334705075445819" u="1"/>
        <n v="0.56401384083044981" u="1"/>
        <n v="0.9859154929577465" u="1"/>
        <n v="0.83229813664596275" u="1"/>
        <n v="0.5056179775280899" u="1"/>
        <n v="0.98692810457516345" u="1"/>
        <n v="0.53614457831325302" u="1"/>
        <n v="0.32500000000000001" u="1"/>
        <n v="0.7441860465116279" u="1"/>
        <n v="0.7583333333333333" u="1"/>
        <n v="0.85403050108932466" u="1"/>
        <n v="0.90710382513661203" u="1"/>
        <n v="0.75996015936254979" u="1"/>
        <n v="0.27108433734939757" u="1"/>
        <n v="0.93525896414342624" u="1"/>
        <n v="0.48901098901098899" u="1"/>
        <n v="0.83115468409586057" u="1"/>
        <n v="0.94021739130434778" u="1"/>
        <n v="0.59210526315789469" u="1"/>
        <n v="0.76470588235294112" u="1"/>
        <n v="0.19879518072289157" u="1"/>
        <n v="0.91392405063291138" u="1"/>
        <n v="0.94747274529236869" u="1"/>
        <n v="0.69825708061002179" u="1"/>
        <n v="0.9049586776859504" u="1"/>
        <n v="0.85458167330677293" u="1"/>
        <n v="0.93103448275862066" u="1"/>
        <n v="0.21810699588477367" u="1"/>
        <n v="0.35390946502057613" u="1"/>
        <n v="0.85446009389671362" u="1"/>
        <n v="0.55093099671412926" u="1"/>
        <n v="0.93801652892561982" u="1"/>
        <n v="0.95778364116094983" u="1"/>
        <n v="0.16712328767123288" u="1"/>
        <n v="0.42771084337349397" u="1"/>
        <n v="0.50274725274725274" u="1"/>
        <n v="0.97107438016528924" u="1"/>
        <n v="0.40197152245345019" u="1"/>
        <n v="0.5641025641025641" u="1"/>
        <n v="0.98399999999999999" u="1"/>
        <n v="0.54248366013071891" u="1"/>
        <n v="0.71823204419889508" u="1"/>
        <n v="0.54255319148936165" u="1"/>
        <n v="0.54966887417218546" u="1"/>
        <n v="0.81444099378881984" u="1"/>
        <n v="0.95697167755991286" u="1"/>
        <n v="0.89052287581699341" u="1"/>
        <n v="0.8632075471698113" u="1"/>
        <n v="0.52747252747252749" u="1"/>
        <n v="0.99061032863849763" u="1"/>
        <n v="0.61719605695509305" u="1"/>
        <n v="0.89502762430939231" u="1"/>
        <n v="0.952191235059761" u="1"/>
        <n v="0.46666666666666667" u="1"/>
        <n v="0.87458745874587462" u="1"/>
        <n v="0.95394736842105265" u="1"/>
        <n v="0.36308871851040525" u="1"/>
        <n v="0.71627906976744182" u="1"/>
        <n v="0.8294573643410853" u="1"/>
        <n v="0.83498349834983498" u="1"/>
        <n v="0.73474945533769065" u="1"/>
        <n v="0.41522491349480967" u="1"/>
        <n v="0.72300469483568075" u="1"/>
        <n v="0.24479737130339541" u="1"/>
        <n v="0.82781456953642385" u="1"/>
        <n v="0.87151394422310757" u="1"/>
        <n v="0.9327846364883402" u="1"/>
        <n v="0.79340277777777779" u="1"/>
        <n v="0.65517241379310343" u="1"/>
        <n v="0.92052980132450335" u="1"/>
        <n v="0.53943044906900328" u="1"/>
        <n v="0.49397590361445781" u="1"/>
        <n v="0.79083665338645415" u="1"/>
        <n v="0.81944444444444442" u="1"/>
        <n v="0.56105610561056107" u="1"/>
        <n v="0.7528089887640449" u="1"/>
        <n v="0.29846659364731654" u="1"/>
        <n v="0.99346405228758172" u="1"/>
        <n v="0.85915492957746475" u="1"/>
        <n v="0.92701525054466227" u="1"/>
        <n v="0.54732510288065839" u="1"/>
        <n v="0.81381381381381379" u="1"/>
        <n v="0.97373637264618429" u="1"/>
        <n v="0.60569550930996718" u="1"/>
        <n v="0.25943396226415094" u="1"/>
        <n v="0.83769063180827885" u="1"/>
        <n v="0.55421686746987953" u="1"/>
        <n v="0.77124183006535951" u="1"/>
        <n v="0.4293537787513691" u="1"/>
        <n v="0.62735849056603776" u="1"/>
        <n v="0.70479302832244006" u="1"/>
        <n v="0.99530516431924887" u="1"/>
        <n v="0.3020304568527919" u="1"/>
        <n v="0.68837209302325586" u="1"/>
        <n v="0.71666666666666667" u="1"/>
        <n v="5.128205128205128E-2" u="1"/>
        <n v="0.19166666666666668" u="1"/>
        <n v="0.18017524644030669" u="1"/>
        <n v="0.96118012422360244" u="1"/>
        <n v="0.72769953051643188" u="1"/>
        <n v="0.80776892430278879" u="1"/>
        <n v="0.5490196078431373" u="1"/>
        <n v="0.91823587710604559" u="1"/>
        <n v="0.98157894736842111" u="1"/>
        <n v="0.48351648351648352" u="1"/>
        <n v="0.45177664974619292" u="1"/>
        <n v="0.96350762527233114" u="1"/>
        <n v="0.46913580246913578" u="1"/>
        <n v="0.77366255144032925" u="1"/>
        <n v="0.39086294416243655" u="1"/>
        <n v="0.26229508196721313" u="1"/>
        <n v="0.9505494505494505" u="1"/>
        <n v="0.32786885245901637" u="1"/>
        <n v="0.8354037267080745" u="1"/>
        <n v="0.87418300653594772" u="1"/>
        <n v="0.70304568527918787" u="1"/>
        <n v="0.64213197969543145" u="1"/>
        <n v="0.72185430463576161" u="1"/>
        <n v="0.80773420479302838" u="1"/>
        <n v="0.52030456852791873" u="1"/>
        <n v="0.9068493150684932" u="1"/>
        <n v="0.55144032921810704" u="1"/>
        <n v="0.77742946708463945" u="1"/>
        <n v="0.54271631982475355" u="1"/>
        <n v="0.35359116022099446" u="1"/>
        <n v="0.82233502538071068" u="1"/>
        <n v="0.97527472527472525" u="1"/>
        <n v="0.31372549019607843" u="1"/>
        <n v="0.44688644688644691" u="1"/>
        <n v="0.81456953642384111" u="1"/>
        <n v="0.40094339622641512" u="1"/>
        <n v="0.70050761421319796" u="1"/>
        <n v="0.59624413145539901" u="1"/>
        <n v="0.88071065989847719" u="1"/>
        <n v="0.81979695431472077" u="1"/>
        <n v="0.27437020810514784" u="1"/>
        <n v="0.62465753424657533" u="1"/>
        <n v="0.87465181058495822" u="1"/>
        <n v="0.56055363321799312" u="1"/>
        <n v="0.96134786917740334" u="1"/>
        <n v="0.93355119825708066" u="1"/>
        <n v="0.60898138006571745" u="1"/>
        <n v="0.76422764227642281" u="1"/>
        <n v="0.99343544857768051" u="1"/>
        <n v="0.90145985401459849" u="1"/>
        <n v="0.55750273822562979" u="1"/>
        <n v="0.75173611111111116" u="1"/>
        <n v="0.43099671412924423" u="1"/>
        <n v="0.73239436619718312" u="1"/>
        <n v="0.31683168316831684" u="1"/>
        <n v="0.76086956521739135" u="1"/>
        <n v="0.91067538126361658" u="1"/>
        <n v="0.95446265938069219" u="1"/>
        <n v="0.71780821917808224" u="1"/>
        <n v="0.98030634573304154" u="1"/>
        <n v="0.3895747599451303" u="1"/>
        <n v="0.6145404663923183" u="1"/>
        <n v="0.77777777777777779" u="1"/>
        <n v="0.69918699186991873" u="1"/>
        <n v="0.92950819672131146" u="1"/>
        <n v="0.71132897603485834" u="1"/>
        <n v="0.52173913043478259" u="1"/>
        <n v="0.96717724288840268" u="1"/>
        <n v="0.16812705366922234" u="1"/>
        <n v="0.91188524590163933" u="1"/>
        <n v="0.90584737363726464" u="1"/>
        <n v="0.4532967032967033" u="1"/>
        <n v="0.64686468646864681" u="1"/>
        <n v="0.62376779846659369" u="1"/>
        <n v="0.58677685950413228" u="1"/>
        <n v="0.81095890410958904" u="1"/>
        <n v="0.39130434782608697" u="1"/>
        <n v="0.6198347107438017" u="1"/>
        <n v="0.63414634146341464" u="1"/>
        <n v="0.55555555555555558" u="1"/>
        <n v="0.89010989010989006" u="1"/>
        <n v="0.34063526834611174" u="1"/>
        <n v="0.85901639344262293" u="1"/>
        <n v="0.52317880794701987" u="1"/>
        <n v="0.93661971830985913" u="1"/>
        <n v="0.60093896713615025" u="1"/>
        <n v="0.75748502994011979" u="1"/>
        <n v="0.67452830188679247" u="1"/>
        <n v="0.21245421245421245" u="1"/>
        <n v="0.27173913043478259" u="1"/>
        <n v="0.52876712328767128" u="1"/>
        <n v="0.99016393442622952" u="1"/>
        <n v="0.75531914893617025" u="1"/>
        <n v="0.82377049180327866" u="1"/>
        <n v="0.97209302325581393" u="1"/>
        <n v="0.54600219058050381" u="1"/>
        <n v="0.90410958904109584" u="1"/>
        <n v="0.88071895424836599" u="1"/>
        <n v="0.9148351648351648" u="1"/>
        <n v="0.49726177437020813" u="1"/>
        <n v="0.73652694610778446" u="1"/>
        <n v="0.27945205479452057" u="1"/>
        <n v="0.81427015250544665" u="1"/>
        <n v="0.95491803278688525" u="1"/>
        <n v="0.70860927152317876" u="1"/>
        <n v="0.46052631578947367" u="1"/>
        <n v="0.3017524644030668" u="1"/>
        <n v="0.7478213507625272" u="1"/>
        <n v="0.78852459016393439" u="1"/>
        <n v="0.7996894409937888" u="1"/>
        <n v="0.68137254901960786" u="1"/>
        <n v="0.85557768924302791" u="1"/>
        <n v="0.83807439824945296" u="1"/>
        <n v="0.21412924424972618" u="1"/>
        <n v="0.62191780821917808" u="1"/>
        <n v="0.80132450331125826" u="1"/>
        <n v="0.91967213114754098" u="1"/>
        <n v="0.83150984682713347" u="1"/>
        <n v="0.98761149653121905" u="1"/>
        <n v="0.93956043956043955" u="1"/>
        <n v="0.82494529540481398" u="1"/>
        <n v="0.99726027397260275" u="1"/>
        <n v="0.24109589041095891" u="1"/>
        <n v="0.47325102880658437" u="1"/>
        <n v="0.61865569272976684" u="1"/>
        <n v="0.89403973509933776" u="1"/>
        <n v="0.61226725082146771" u="1"/>
        <n v="0.78189300411522633" u="1"/>
        <n v="0.32602739726027397" u="1"/>
        <n v="0.43263964950711936" u="1"/>
        <n v="0.71803278688524586" u="1"/>
        <n v="0.98675496688741726" u="1"/>
        <n v="0.86680327868852458" u="1"/>
        <n v="0.71506849315068488" u="1"/>
        <n v="0.42560553633217996" u="1"/>
        <n v="0.84918032786885245" u="1"/>
        <n v="0.5709342560553633" u="1"/>
        <n v="0.51497005988023947" u="1"/>
        <n v="0.99795081967213117" u="1"/>
        <n v="0.18181818181818182" u="1"/>
        <n v="0.91721132897603486" u="1"/>
        <n v="0.963963963963964" u="1"/>
        <n v="0.55967078189300412" u="1"/>
        <n v="0.72210065645514221" u="1"/>
        <n v="0.98032786885245904" u="1"/>
        <n v="0.93211100099108024" u="1"/>
        <n v="0.85076252723311552" u="1"/>
        <n v="0.9707631318136769" u="1"/>
        <n v="0.37260273972602742" u="1"/>
        <n v="0.71553610503282272" u="1"/>
        <n v="0.78431372549019607" u="1"/>
        <n v="0.92817679558011046" u="1"/>
        <n v="0.9595588235294118" u="1"/>
        <n v="0.62705366922234396" u="1"/>
        <n v="0.64754098360655743" u="1"/>
        <n v="0.87250996015936255" u="1"/>
      </sharedItems>
    </cacheField>
    <cacheField name="Diferencia" numFmtId="9">
      <sharedItems containsMixedTypes="1" containsNumber="1" minValue="0" maxValue="1"/>
    </cacheField>
    <cacheField name="Tiempo restante de ejecución (días)" numFmtId="1">
      <sharedItems containsMixedTypes="1" containsNumber="1" containsInteger="1" minValue="247" maxValue="247"/>
    </cacheField>
    <cacheField name="Ejecución completa Recursos" numFmtId="0">
      <sharedItems containsBlank="1" count="5">
        <s v="NO"/>
        <s v="SI"/>
        <e v="#DIV/0!"/>
        <m/>
        <e v="#N/A" u="1"/>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236">
  <r>
    <s v="010000-768-0-2008"/>
    <s v="FONDO DE VIGILANCIA Y SEGURIDAD DE BOGOTÁ"/>
    <n v="2008"/>
    <d v="2008-10-03T00:00:00"/>
    <n v="10"/>
    <s v="102008"/>
    <s v="octubre"/>
    <d v="2014-02-03T00:00:00"/>
    <x v="0"/>
    <n v="2"/>
    <s v="22014"/>
    <x v="0"/>
    <n v="302"/>
    <x v="0"/>
  </r>
  <r>
    <s v="040000-1118-7-2008"/>
    <s v="COLOMBIANA DE SOFTWARE Y HARDWARE COLSOF S.A."/>
    <n v="2008"/>
    <d v="2009-04-01T00:00:00"/>
    <n v="4"/>
    <s v="42008"/>
    <s v="abril"/>
    <d v="2013-05-15T00:00:00"/>
    <x v="1"/>
    <n v="5"/>
    <s v="52013"/>
    <x v="1"/>
    <n v="566"/>
    <x v="0"/>
  </r>
  <r>
    <s v="040000-1120-0-2008"/>
    <s v="COMPUFACIL"/>
    <n v="2008"/>
    <d v="2009-02-20T00:00:00"/>
    <n v="2"/>
    <s v="22008"/>
    <s v="febrero"/>
    <d v="2013-07-21T00:00:00"/>
    <x v="1"/>
    <n v="7"/>
    <s v="72013"/>
    <x v="2"/>
    <n v="499"/>
    <x v="0"/>
  </r>
  <r>
    <s v="040000-821-0-2009"/>
    <s v="DATAPOINT DE COLOMBIA S A S"/>
    <n v="2009"/>
    <d v="2010-01-19T00:00:00"/>
    <n v="1"/>
    <s v="12009"/>
    <s v="enero"/>
    <d v="2013-02-18T00:00:00"/>
    <x v="1"/>
    <n v="2"/>
    <s v="22013"/>
    <x v="0"/>
    <n v="652"/>
    <x v="0"/>
  </r>
  <r>
    <s v="120000-727-0-2009"/>
    <s v="COLOMBIANA DE SOFTWARE Y HARDWARE COLSOF S.A."/>
    <n v="2009"/>
    <d v="2009-12-03T00:00:00"/>
    <n v="12"/>
    <s v="122009"/>
    <s v="diciembre"/>
    <d v="2013-03-03T00:00:00"/>
    <x v="1"/>
    <n v="3"/>
    <s v="32013"/>
    <x v="3"/>
    <n v="639"/>
    <x v="0"/>
  </r>
  <r>
    <s v="120000-436-0-2011"/>
    <s v="D&amp;D AIRE ACONDICIONADO LTDA."/>
    <n v="2011"/>
    <d v="2012-02-27T00:00:00"/>
    <n v="2"/>
    <s v="22011"/>
    <s v="febrero"/>
    <d v="2013-02-27T00:00:00"/>
    <x v="1"/>
    <n v="2"/>
    <s v="22013"/>
    <x v="0"/>
    <n v="643"/>
    <x v="0"/>
  </r>
  <r>
    <s v="050000-275-0-2011"/>
    <s v="POLÍTICAS MEDIOS E INVESTIGACIONES"/>
    <n v="2011"/>
    <d v="2011-10-06T00:00:00"/>
    <n v="10"/>
    <s v="102011"/>
    <s v="octubre"/>
    <d v="2013-04-06T00:00:00"/>
    <x v="1"/>
    <n v="4"/>
    <s v="42013"/>
    <x v="4"/>
    <n v="605"/>
    <x v="0"/>
  </r>
  <r>
    <s v="120000-255-0-2011"/>
    <s v="J.A. ZABALA &amp; CONSULTORES ASOCIADOS LTDA."/>
    <n v="2011"/>
    <d v="2011-07-22T00:00:00"/>
    <n v="7"/>
    <s v="72011"/>
    <s v="julio"/>
    <d v="2012-07-22T00:00:00"/>
    <x v="2"/>
    <n v="7"/>
    <s v="72012"/>
    <x v="2"/>
    <n v="863"/>
    <x v="0"/>
  </r>
  <r>
    <s v="120000-260-0-2011"/>
    <s v="COTECNA CERTIFICADORA SEVICES LIMITADA"/>
    <n v="2011"/>
    <d v="2011-11-23T00:00:00"/>
    <n v="11"/>
    <s v="112011"/>
    <s v="noviembre"/>
    <d v="2013-03-23T00:00:00"/>
    <x v="1"/>
    <n v="3"/>
    <s v="32013"/>
    <x v="3"/>
    <n v="619"/>
    <x v="0"/>
  </r>
  <r>
    <s v="120000-281-0-2011"/>
    <s v="CONSERAUTO"/>
    <n v="2011"/>
    <d v="2011-11-16T00:00:00"/>
    <n v="11"/>
    <s v="112011"/>
    <s v="noviembre"/>
    <d v="2013-03-31T00:00:00"/>
    <x v="1"/>
    <n v="3"/>
    <s v="32013"/>
    <x v="3"/>
    <n v="611"/>
    <x v="0"/>
  </r>
  <r>
    <s v="120000-297-0-2011"/>
    <s v="PC MICROS LTDA."/>
    <n v="2011"/>
    <d v="2011-11-15T00:00:00"/>
    <n v="11"/>
    <s v="112011"/>
    <s v="noviembre"/>
    <d v="2013-03-29T00:00:00"/>
    <x v="1"/>
    <n v="3"/>
    <s v="32013"/>
    <x v="3"/>
    <n v="613"/>
    <x v="0"/>
  </r>
  <r>
    <s v="120000-307-0-2011"/>
    <s v="ELECTRIMEK LTDA."/>
    <n v="2011"/>
    <d v="2011-11-18T00:00:00"/>
    <n v="11"/>
    <s v="112011"/>
    <s v="noviembre"/>
    <d v="2013-02-18T00:00:00"/>
    <x v="1"/>
    <n v="2"/>
    <s v="22013"/>
    <x v="0"/>
    <n v="652"/>
    <x v="0"/>
  </r>
  <r>
    <s v="120000-331-0-2011"/>
    <s v="KEY MARKEY S.A."/>
    <n v="2011"/>
    <d v="2011-12-14T00:00:00"/>
    <n v="12"/>
    <s v="122011"/>
    <s v="diciembre"/>
    <d v="2012-01-14T00:00:00"/>
    <x v="2"/>
    <n v="1"/>
    <s v="12012"/>
    <x v="5"/>
    <n v="1053"/>
    <x v="0"/>
  </r>
  <r>
    <s v="120000-361-0-2011"/>
    <s v="PAPELERÍA  LOS  LAGOS  LTDA."/>
    <n v="2011"/>
    <d v="2011-12-20T00:00:00"/>
    <n v="12"/>
    <s v="122011"/>
    <s v="diciembre"/>
    <d v="2012-07-20T00:00:00"/>
    <x v="2"/>
    <n v="7"/>
    <s v="72012"/>
    <x v="2"/>
    <n v="865"/>
    <x v="0"/>
  </r>
  <r>
    <s v="120000-440-0-2011"/>
    <s v="CONTROL SISTEMAS DE COMUNICACIONES C.S.C. LTDA."/>
    <n v="2011"/>
    <d v="2012-02-07T00:00:00"/>
    <n v="2"/>
    <s v="22011"/>
    <s v="febrero"/>
    <d v="2013-02-07T00:00:00"/>
    <x v="1"/>
    <n v="2"/>
    <s v="22013"/>
    <x v="0"/>
    <n v="663"/>
    <x v="0"/>
  </r>
  <r>
    <s v="040000-221-0-2012"/>
    <s v="FACTOR VISUAL EAT"/>
    <n v="2012"/>
    <d v="2012-06-27T00:00:00"/>
    <n v="6"/>
    <s v="62012"/>
    <s v="junio"/>
    <d v="2013-08-27T00:00:00"/>
    <x v="1"/>
    <n v="8"/>
    <s v="82013"/>
    <x v="6"/>
    <n v="462"/>
    <x v="0"/>
  </r>
  <r>
    <s v="040000-357-0-2012"/>
    <s v="LILIA FANNY GUEVARA"/>
    <n v="2012"/>
    <d v="2012-10-31T00:00:00"/>
    <n v="10"/>
    <s v="102012"/>
    <s v="octubre"/>
    <d v="2012-12-31T00:00:00"/>
    <x v="2"/>
    <n v="12"/>
    <s v="122012"/>
    <x v="7"/>
    <n v="701"/>
    <x v="0"/>
  </r>
  <r>
    <s v="040000-410-0-2012"/>
    <s v="EMPRESA DE TELECOMUNICACIONES DE BOGOTÁ S.A.-ETB-ESP"/>
    <n v="2012"/>
    <d v="2012-10-24T00:00:00"/>
    <n v="10"/>
    <s v="102012"/>
    <s v="octubre"/>
    <d v="2013-12-01T00:00:00"/>
    <x v="1"/>
    <n v="12"/>
    <s v="122013"/>
    <x v="7"/>
    <n v="366"/>
    <x v="0"/>
  </r>
  <r>
    <s v="050000-120-0-2012"/>
    <s v="ACE SEGUROS S.A."/>
    <n v="2012"/>
    <d v="2012-04-26T00:00:00"/>
    <n v="4"/>
    <s v="42012"/>
    <s v="abril"/>
    <d v="2013-12-15T00:00:00"/>
    <x v="1"/>
    <n v="12"/>
    <s v="122013"/>
    <x v="7"/>
    <n v="352"/>
    <x v="0"/>
  </r>
  <r>
    <s v="050000-131-0-2012"/>
    <s v="MELCO DE COLOMBIA LIMITADA "/>
    <n v="2012"/>
    <d v="2012-06-14T00:00:00"/>
    <n v="6"/>
    <s v="62012"/>
    <s v="junio"/>
    <d v="2013-03-14T00:00:00"/>
    <x v="1"/>
    <n v="3"/>
    <s v="32013"/>
    <x v="3"/>
    <n v="628"/>
    <x v="0"/>
  </r>
  <r>
    <s v="120000-463-0-2012"/>
    <s v="ALPUNTO SOLUCIONES SAS 12000-463-0-2012"/>
    <n v="2012"/>
    <d v="2012-11-22T00:00:00"/>
    <n v="11"/>
    <s v="112012"/>
    <s v="noviembre"/>
    <d v="2013-01-04T00:00:00"/>
    <x v="1"/>
    <n v="1"/>
    <s v="12013"/>
    <x v="5"/>
    <n v="697"/>
    <x v="0"/>
  </r>
  <r>
    <s v="050000-155-0-2012"/>
    <s v="EDITORIAL EL GLOBO S.A"/>
    <n v="2012"/>
    <d v="2012-05-15T00:00:00"/>
    <n v="5"/>
    <s v="52012"/>
    <s v="mayo"/>
    <d v="2013-05-15T00:00:00"/>
    <x v="1"/>
    <n v="5"/>
    <s v="52013"/>
    <x v="1"/>
    <n v="566"/>
    <x v="0"/>
  </r>
  <r>
    <s v="050000-222-0-2012"/>
    <s v="PRODYGRAF LTDA."/>
    <n v="2012"/>
    <d v="2012-06-28T00:00:00"/>
    <n v="6"/>
    <s v="62012"/>
    <s v="junio"/>
    <d v="2013-02-28T00:00:00"/>
    <x v="1"/>
    <n v="2"/>
    <s v="22013"/>
    <x v="0"/>
    <n v="642"/>
    <x v="0"/>
  </r>
  <r>
    <s v="050000-290-0-2012"/>
    <s v="INGENIERÍA DE BOMBAS Y PLANTAS LIMITADA"/>
    <n v="2012"/>
    <d v="2012-08-23T00:00:00"/>
    <n v="8"/>
    <s v="82012"/>
    <s v="agosto"/>
    <d v="2013-02-23T00:00:00"/>
    <x v="1"/>
    <n v="2"/>
    <s v="22013"/>
    <x v="0"/>
    <n v="647"/>
    <x v="0"/>
  </r>
  <r>
    <s v="050000-324-0-2012"/>
    <s v="JAKO IMPORTACIONES S.A.S"/>
    <n v="2012"/>
    <d v="2012-08-16T00:00:00"/>
    <n v="8"/>
    <s v="82012"/>
    <s v="agosto"/>
    <d v="2013-03-16T00:00:00"/>
    <x v="1"/>
    <n v="3"/>
    <s v="32013"/>
    <x v="3"/>
    <n v="626"/>
    <x v="0"/>
  </r>
  <r>
    <s v="050000-333-0-2012"/>
    <s v="POSITIVA COMPAÑÍA DE SEGUROS S A"/>
    <n v="2012"/>
    <d v="2012-08-01T00:00:00"/>
    <n v="8"/>
    <s v="82012"/>
    <s v="agosto"/>
    <d v="2013-09-14T00:00:00"/>
    <x v="1"/>
    <n v="9"/>
    <s v="92013"/>
    <x v="8"/>
    <n v="444"/>
    <x v="0"/>
  </r>
  <r>
    <s v="050000-340-0-2012"/>
    <s v="UNIÓN TEMPORAL SEGUROS GENERALES SURAMERICANA S.A. PREVISORA S.A. COMPAÑÍA DE SEGUROS Y QBE SEGUROS S.A."/>
    <n v="2012"/>
    <d v="2012-08-01T00:00:00"/>
    <n v="8"/>
    <s v="82012"/>
    <s v="agosto"/>
    <d v="2013-12-15T00:00:00"/>
    <x v="1"/>
    <n v="12"/>
    <s v="122013"/>
    <x v="7"/>
    <n v="352"/>
    <x v="0"/>
  </r>
  <r>
    <s v="050000-342-0-2012"/>
    <s v="COMUNICAN S.A"/>
    <n v="2012"/>
    <d v="2012-09-10T00:00:00"/>
    <n v="9"/>
    <s v="92012"/>
    <s v="septiembre"/>
    <d v="2013-09-10T00:00:00"/>
    <x v="1"/>
    <n v="9"/>
    <s v="92013"/>
    <x v="8"/>
    <n v="448"/>
    <x v="0"/>
  </r>
  <r>
    <s v="050000-346-0-2012"/>
    <s v="EDITORIAL LA UNIDAD"/>
    <n v="2012"/>
    <d v="2012-09-13T00:00:00"/>
    <n v="9"/>
    <s v="92012"/>
    <s v="septiembre"/>
    <d v="2013-09-13T00:00:00"/>
    <x v="1"/>
    <n v="9"/>
    <s v="92013"/>
    <x v="8"/>
    <n v="445"/>
    <x v="0"/>
  </r>
  <r>
    <s v="050000-348-0-2012"/>
    <s v="PUBLICACIONES SEMANA S.A."/>
    <n v="2012"/>
    <d v="2012-09-28T00:00:00"/>
    <n v="9"/>
    <s v="92012"/>
    <s v="septiembre"/>
    <d v="2013-09-28T00:00:00"/>
    <x v="1"/>
    <n v="9"/>
    <s v="92013"/>
    <x v="8"/>
    <n v="430"/>
    <x v="0"/>
  </r>
  <r>
    <s v="050000-349-0-2012"/>
    <s v="INTEGRA SECURITY SYSTEMS S A"/>
    <n v="2012"/>
    <d v="2012-09-13T00:00:00"/>
    <n v="9"/>
    <s v="92012"/>
    <s v="septiembre"/>
    <d v="2013-03-13T00:00:00"/>
    <x v="1"/>
    <n v="3"/>
    <s v="32013"/>
    <x v="3"/>
    <n v="629"/>
    <x v="0"/>
  </r>
  <r>
    <s v="050000-353-0-2012"/>
    <s v="YAMILE MARIVEL MOLANO GUZMÁN"/>
    <n v="2012"/>
    <d v="2012-08-30T00:00:00"/>
    <n v="8"/>
    <s v="82012"/>
    <s v="agosto"/>
    <d v="2013-02-28T00:00:00"/>
    <x v="1"/>
    <n v="2"/>
    <s v="22013"/>
    <x v="0"/>
    <n v="642"/>
    <x v="0"/>
  </r>
  <r>
    <s v="050000-356-0-2012"/>
    <s v="AMANDA LILIANA RICO DÍAZ"/>
    <n v="2012"/>
    <d v="2012-09-03T00:00:00"/>
    <n v="9"/>
    <s v="92012"/>
    <s v="septiembre"/>
    <d v="2013-04-03T00:00:00"/>
    <x v="1"/>
    <n v="4"/>
    <s v="42013"/>
    <x v="4"/>
    <n v="608"/>
    <x v="0"/>
  </r>
  <r>
    <s v="050000-358-0-2012"/>
    <s v="CALIDAD COMPORTAMIENTO EMPRESARIAL LTDA"/>
    <n v="2012"/>
    <d v="2012-09-18T00:00:00"/>
    <n v="9"/>
    <s v="92012"/>
    <s v="septiembre"/>
    <d v="2013-12-18T00:00:00"/>
    <x v="1"/>
    <n v="12"/>
    <s v="122013"/>
    <x v="7"/>
    <n v="349"/>
    <x v="0"/>
  </r>
  <r>
    <s v="050000-371-0-2012"/>
    <s v="ORGANIZACIÓN TERPEL S.A."/>
    <n v="2012"/>
    <d v="2012-09-11T00:00:00"/>
    <n v="9"/>
    <s v="92012"/>
    <s v="septiembre"/>
    <d v="2013-06-27T00:00:00"/>
    <x v="1"/>
    <n v="6"/>
    <s v="62013"/>
    <x v="9"/>
    <n v="523"/>
    <x v="0"/>
  </r>
  <r>
    <s v="050000-386-0-2012"/>
    <s v="JUAN MANUEL GÓMEZ DUARTE"/>
    <n v="2012"/>
    <d v="2012-10-11T00:00:00"/>
    <n v="10"/>
    <s v="102012"/>
    <s v="octubre"/>
    <d v="2012-12-11T00:00:00"/>
    <x v="2"/>
    <n v="12"/>
    <s v="122012"/>
    <x v="7"/>
    <n v="721"/>
    <x v="0"/>
  </r>
  <r>
    <s v="050000-395-0-2012"/>
    <s v="KARINA BELTRÁN MEJÍA"/>
    <n v="2012"/>
    <d v="2012-10-11T00:00:00"/>
    <n v="10"/>
    <s v="102012"/>
    <s v="octubre"/>
    <d v="2012-12-20T00:00:00"/>
    <x v="2"/>
    <n v="12"/>
    <s v="122012"/>
    <x v="7"/>
    <n v="712"/>
    <x v="0"/>
  </r>
  <r>
    <s v="050000-427-0-2012"/>
    <s v="JORGE ENRIQUE AVILAN "/>
    <n v="2012"/>
    <d v="2012-10-23T00:00:00"/>
    <n v="10"/>
    <s v="102012"/>
    <s v="octubre"/>
    <d v="2013-04-23T00:00:00"/>
    <x v="1"/>
    <n v="4"/>
    <s v="42013"/>
    <x v="4"/>
    <n v="588"/>
    <x v="0"/>
  </r>
  <r>
    <s v="050000-433-0-2012"/>
    <s v="CARLOS EDUARDO PINEDA AMÓRTEGUI"/>
    <n v="2012"/>
    <d v="2012-10-05T00:00:00"/>
    <n v="10"/>
    <s v="102012"/>
    <s v="octubre"/>
    <d v="2013-04-05T00:00:00"/>
    <x v="1"/>
    <n v="4"/>
    <s v="42013"/>
    <x v="4"/>
    <n v="606"/>
    <x v="0"/>
  </r>
  <r>
    <s v="050000-468-0-2012"/>
    <s v="DAMTON ARTÍCULOS PUBLICITARIOS LTDA"/>
    <n v="2012"/>
    <d v="2012-12-03T00:00:00"/>
    <n v="12"/>
    <s v="122012"/>
    <s v="diciembre"/>
    <d v="2013-02-03T00:00:00"/>
    <x v="1"/>
    <n v="2"/>
    <s v="22013"/>
    <x v="0"/>
    <n v="667"/>
    <x v="0"/>
  </r>
  <r>
    <s v="050000-498-0-2012"/>
    <s v="CORPORACIÓN INSTITUTO COLOMBIANO DE CUALIFICACIÓN EMPRESARIAL -CICCE"/>
    <n v="2012"/>
    <d v="2012-12-27T00:00:00"/>
    <n v="12"/>
    <s v="122012"/>
    <s v="diciembre"/>
    <d v="2013-06-27T00:00:00"/>
    <x v="1"/>
    <n v="6"/>
    <s v="62013"/>
    <x v="9"/>
    <n v="523"/>
    <x v="0"/>
  </r>
  <r>
    <s v="050000-501-0-2012"/>
    <s v="CESAR ALEJANDRO GUERRERO BARRIGA"/>
    <n v="2012"/>
    <d v="2013-01-18T00:00:00"/>
    <n v="1"/>
    <s v="12012"/>
    <s v="enero"/>
    <d v="2013-03-17T00:00:00"/>
    <x v="1"/>
    <n v="3"/>
    <s v="32013"/>
    <x v="3"/>
    <n v="625"/>
    <x v="0"/>
  </r>
  <r>
    <s v="120000-125-0-2012"/>
    <s v="REVISTA EL CONGRESO SIGLO XXI LTDA"/>
    <n v="2012"/>
    <d v="2012-07-17T00:00:00"/>
    <n v="7"/>
    <s v="72012"/>
    <s v="julio"/>
    <d v="2013-07-17T00:00:00"/>
    <x v="1"/>
    <n v="7"/>
    <s v="72013"/>
    <x v="2"/>
    <n v="503"/>
    <x v="0"/>
  </r>
  <r>
    <s v="120000-151-0-2012"/>
    <s v="SOCIEDAD ENTORNO COMPAÑÍA LTDA"/>
    <n v="2012"/>
    <d v="2012-06-04T00:00:00"/>
    <n v="6"/>
    <s v="62012"/>
    <s v="junio"/>
    <d v="2013-05-04T00:00:00"/>
    <x v="1"/>
    <n v="5"/>
    <s v="52013"/>
    <x v="1"/>
    <n v="577"/>
    <x v="0"/>
  </r>
  <r>
    <s v="120000-177-0-2012"/>
    <s v="CANAL CAPITAL"/>
    <n v="2012"/>
    <d v="2012-05-24T00:00:00"/>
    <n v="5"/>
    <s v="52012"/>
    <s v="mayo"/>
    <d v="2013-05-06T00:00:00"/>
    <x v="1"/>
    <n v="5"/>
    <s v="52013"/>
    <x v="1"/>
    <n v="575"/>
    <x v="0"/>
  </r>
  <r>
    <s v="120000-223-0-2012"/>
    <s v="SECURITY TECH  CONTROL LTDA"/>
    <n v="2012"/>
    <d v="2012-06-21T00:00:00"/>
    <n v="6"/>
    <s v="62012"/>
    <s v="junio"/>
    <d v="2012-10-31T00:00:00"/>
    <x v="2"/>
    <n v="10"/>
    <s v="102012"/>
    <x v="10"/>
    <n v="762"/>
    <x v="0"/>
  </r>
  <r>
    <s v="120000-289-0-2012"/>
    <s v="SEGUROS DEL ESTADO S.A"/>
    <n v="2012"/>
    <d v="2012-07-13T00:00:00"/>
    <n v="7"/>
    <s v="72012"/>
    <s v="julio"/>
    <d v="2013-07-16T00:00:00"/>
    <x v="1"/>
    <n v="7"/>
    <s v="72013"/>
    <x v="2"/>
    <n v="504"/>
    <x v="0"/>
  </r>
  <r>
    <s v="120000-312-0-2012"/>
    <s v="SOLUCIONES Y DIAGNÓSTICOS EN INGENIERÍA ELÉCTRICA LTDA"/>
    <n v="2012"/>
    <d v="2012-08-30T00:00:00"/>
    <n v="8"/>
    <s v="82012"/>
    <s v="agosto"/>
    <d v="2013-09-30T00:00:00"/>
    <x v="1"/>
    <n v="9"/>
    <s v="92013"/>
    <x v="8"/>
    <n v="428"/>
    <x v="0"/>
  </r>
  <r>
    <s v="120000-328-0-2012"/>
    <s v="PORTES DE COLOMBIA LTDA"/>
    <n v="2012"/>
    <d v="2012-09-03T00:00:00"/>
    <n v="9"/>
    <s v="92012"/>
    <s v="septiembre"/>
    <d v="2013-07-03T00:00:00"/>
    <x v="1"/>
    <n v="7"/>
    <s v="72013"/>
    <x v="2"/>
    <n v="517"/>
    <x v="0"/>
  </r>
  <r>
    <s v="120000-368-0-2012"/>
    <s v="UNIÓN TEMPORAL EMINSER-SOLOASEO "/>
    <n v="2012"/>
    <d v="2012-09-20T00:00:00"/>
    <n v="9"/>
    <s v="92012"/>
    <s v="septiembre"/>
    <d v="2013-06-20T00:00:00"/>
    <x v="1"/>
    <n v="6"/>
    <s v="62013"/>
    <x v="9"/>
    <n v="530"/>
    <x v="0"/>
  </r>
  <r>
    <s v="120000-376-0-2012"/>
    <s v="NELSON EDUARDO MUÑOZ MORENO"/>
    <n v="2012"/>
    <d v="2012-09-20T00:00:00"/>
    <n v="9"/>
    <s v="92012"/>
    <s v="septiembre"/>
    <d v="2013-05-20T00:00:00"/>
    <x v="1"/>
    <n v="5"/>
    <s v="52013"/>
    <x v="1"/>
    <n v="561"/>
    <x v="0"/>
  </r>
  <r>
    <s v="120000-381-0-2012"/>
    <s v="SOLUTION COPY LTDA"/>
    <n v="2012"/>
    <d v="2012-09-11T00:00:00"/>
    <n v="9"/>
    <s v="92012"/>
    <s v="septiembre"/>
    <d v="2013-05-31T00:00:00"/>
    <x v="1"/>
    <n v="5"/>
    <s v="52013"/>
    <x v="1"/>
    <n v="550"/>
    <x v="0"/>
  </r>
  <r>
    <s v="120000-390-0-2012"/>
    <s v="UNIÓN TEMPORAL INTERPOSTAL URBANEX"/>
    <n v="2012"/>
    <d v="2012-09-24T00:00:00"/>
    <n v="9"/>
    <s v="92012"/>
    <s v="septiembre"/>
    <d v="2013-05-15T00:00:00"/>
    <x v="1"/>
    <n v="5"/>
    <s v="52013"/>
    <x v="1"/>
    <n v="566"/>
    <x v="0"/>
  </r>
  <r>
    <s v="120000-396-0-2012"/>
    <s v="CENTRO DE RECURSOS EDUCATIVOS PARA LA COMPETITIVIDAD EMPRESARIAL LTDA - CRECE"/>
    <n v="2012"/>
    <d v="2012-10-16T00:00:00"/>
    <n v="10"/>
    <s v="102012"/>
    <s v="octubre"/>
    <d v="2013-06-16T00:00:00"/>
    <x v="1"/>
    <n v="6"/>
    <s v="62013"/>
    <x v="9"/>
    <n v="534"/>
    <x v="0"/>
  </r>
  <r>
    <s v="120000-398-0-2012"/>
    <s v="ECO COLSULTORES"/>
    <n v="2012"/>
    <d v="2012-06-16T00:00:00"/>
    <n v="6"/>
    <s v="62012"/>
    <s v="junio"/>
    <d v="2013-06-16T00:00:00"/>
    <x v="1"/>
    <n v="6"/>
    <s v="62013"/>
    <x v="9"/>
    <n v="534"/>
    <x v="0"/>
  </r>
  <r>
    <s v="120000-399-0-2012"/>
    <s v="UNIVERSIDAD LA GRAN COLOMBIA"/>
    <n v="2012"/>
    <d v="2012-10-20T00:00:00"/>
    <n v="10"/>
    <s v="102012"/>
    <s v="octubre"/>
    <d v="2013-07-31T00:00:00"/>
    <x v="1"/>
    <n v="7"/>
    <s v="72013"/>
    <x v="2"/>
    <n v="489"/>
    <x v="0"/>
  </r>
  <r>
    <s v="120000-402-0-2012"/>
    <s v="INSTITUTO DISTRITAL DE PATRIMONIO CULTURAL"/>
    <n v="2012"/>
    <d v="2012-09-18T00:00:00"/>
    <n v="9"/>
    <s v="92012"/>
    <s v="septiembre"/>
    <d v="2013-05-18T00:00:00"/>
    <x v="1"/>
    <n v="5"/>
    <s v="52013"/>
    <x v="1"/>
    <n v="563"/>
    <x v="0"/>
  </r>
  <r>
    <s v="120000-196-0-2012"/>
    <s v="SGS COLOMBIA"/>
    <n v="2012"/>
    <d v="2012-06-07T00:00:00"/>
    <n v="6"/>
    <s v="62012"/>
    <s v="junio"/>
    <d v="2013-02-07T00:00:00"/>
    <x v="1"/>
    <n v="2"/>
    <s v="22013"/>
    <x v="0"/>
    <n v="663"/>
    <x v="0"/>
  </r>
  <r>
    <s v="120000-403-0-2012"/>
    <s v="INCTEC INGENIEROS CIVILES ARQUITECTOS LTDA"/>
    <n v="2012"/>
    <d v="2012-10-26T00:00:00"/>
    <n v="10"/>
    <s v="102012"/>
    <s v="octubre"/>
    <d v="2013-07-26T00:00:00"/>
    <x v="1"/>
    <n v="7"/>
    <s v="72013"/>
    <x v="2"/>
    <n v="494"/>
    <x v="0"/>
  </r>
  <r>
    <s v="120000-406-0-2012"/>
    <s v="GRUPO EDITORIAL EL PERIÓDICO S.A.S"/>
    <n v="2012"/>
    <d v="2012-10-11T00:00:00"/>
    <n v="10"/>
    <s v="102012"/>
    <s v="octubre"/>
    <d v="2013-10-11T00:00:00"/>
    <x v="1"/>
    <n v="10"/>
    <s v="102013"/>
    <x v="10"/>
    <n v="417"/>
    <x v="0"/>
  </r>
  <r>
    <s v="120000-416-0-2012"/>
    <s v="COMPAÑÍA COLOMBIANA DE CONSTRUCCIÓN COD S.A. "/>
    <n v="2012"/>
    <d v="2012-10-26T00:00:00"/>
    <n v="10"/>
    <s v="102012"/>
    <s v="octubre"/>
    <d v="2013-06-26T00:00:00"/>
    <x v="1"/>
    <n v="6"/>
    <s v="62013"/>
    <x v="9"/>
    <n v="524"/>
    <x v="0"/>
  </r>
  <r>
    <s v="120000-420-0-2012"/>
    <s v="MEDIDORES TÉCNICA EQUIPOS S.A. "/>
    <n v="2012"/>
    <d v="2012-11-29T00:00:00"/>
    <n v="11"/>
    <s v="112012"/>
    <s v="noviembre"/>
    <d v="2013-09-07T00:00:00"/>
    <x v="1"/>
    <n v="9"/>
    <s v="92013"/>
    <x v="8"/>
    <n v="451"/>
    <x v="0"/>
  </r>
  <r>
    <s v="120000-425-0-2012"/>
    <s v="INDUARCHIVOS LTDA"/>
    <n v="2012"/>
    <d v="2012-10-26T00:00:00"/>
    <n v="10"/>
    <s v="102012"/>
    <s v="octubre"/>
    <d v="2013-04-26T00:00:00"/>
    <x v="1"/>
    <n v="4"/>
    <s v="42013"/>
    <x v="4"/>
    <n v="585"/>
    <x v="0"/>
  </r>
  <r>
    <s v="120000-442-0-2012"/>
    <s v="UNIÓN TEMPORAL VISE - VIGILANCIA ACOSTA - COSERVICREA - RUMBO"/>
    <n v="2012"/>
    <d v="2012-11-01T00:00:00"/>
    <n v="11"/>
    <s v="112012"/>
    <s v="noviembre"/>
    <d v="2013-11-01T00:00:00"/>
    <x v="1"/>
    <n v="11"/>
    <s v="112013"/>
    <x v="11"/>
    <n v="396"/>
    <x v="0"/>
  </r>
  <r>
    <s v="120000-451-0-2012"/>
    <s v="CAJA DE COMPENSACIÓN FAMILIAR COMPENSAR - BIENESTAR"/>
    <n v="2012"/>
    <d v="2012-11-19T00:00:00"/>
    <n v="11"/>
    <s v="112012"/>
    <s v="noviembre"/>
    <d v="2013-10-15T00:00:00"/>
    <x v="1"/>
    <n v="10"/>
    <s v="102013"/>
    <x v="10"/>
    <n v="413"/>
    <x v="0"/>
  </r>
  <r>
    <s v="120000-456-0-2012"/>
    <s v="MIGUEL ANDRÉS GUTIÉRREZ ROMERO"/>
    <n v="2012"/>
    <d v="2012-11-21T00:00:00"/>
    <n v="11"/>
    <s v="112012"/>
    <s v="noviembre"/>
    <d v="2013-06-21T00:00:00"/>
    <x v="1"/>
    <n v="6"/>
    <s v="62013"/>
    <x v="9"/>
    <n v="529"/>
    <x v="0"/>
  </r>
  <r>
    <s v="120000-464-0-2012"/>
    <s v="CR TROFEOS LTDA"/>
    <n v="2012"/>
    <d v="2012-11-27T00:00:00"/>
    <n v="11"/>
    <s v="112012"/>
    <s v="noviembre"/>
    <d v="2013-06-27T00:00:00"/>
    <x v="1"/>
    <n v="6"/>
    <s v="62013"/>
    <x v="9"/>
    <n v="523"/>
    <x v="0"/>
  </r>
  <r>
    <s v="120000-466-2012"/>
    <s v="JARDÍN BOTÁNICO"/>
    <n v="2012"/>
    <d v="2012-12-05T00:00:00"/>
    <n v="12"/>
    <s v="122012"/>
    <s v="diciembre"/>
    <e v="#N/A"/>
    <x v="3"/>
    <e v="#N/A"/>
    <e v="#N/A"/>
    <x v="12"/>
    <e v="#N/A"/>
    <x v="1"/>
  </r>
  <r>
    <s v="120000-478-0-2012"/>
    <s v="CAJA COLOMBIANA DE SUBSIDIO FAMILIAR - COLSUBSIDIO - BONOS"/>
    <n v="2012"/>
    <d v="2012-12-17T00:00:00"/>
    <n v="12"/>
    <s v="122012"/>
    <s v="diciembre"/>
    <d v="2013-02-17T00:00:00"/>
    <x v="1"/>
    <n v="2"/>
    <s v="22013"/>
    <x v="0"/>
    <n v="653"/>
    <x v="0"/>
  </r>
  <r>
    <s v="120000-483-0-2012"/>
    <s v="SERVIMEDIOS LTDA"/>
    <n v="2012"/>
    <d v="2012-12-26T00:00:00"/>
    <n v="12"/>
    <s v="122012"/>
    <s v="diciembre"/>
    <d v="2013-11-15T00:00:00"/>
    <x v="1"/>
    <n v="11"/>
    <s v="112013"/>
    <x v="11"/>
    <n v="382"/>
    <x v="0"/>
  </r>
  <r>
    <s v="120000-490-0-2012"/>
    <s v="SISTEMAS INTEGRALES DE TRATAMIENTOS DE AGUAS LTDA - ACUANATURA"/>
    <n v="2012"/>
    <d v="2012-12-31T00:00:00"/>
    <n v="12"/>
    <s v="122012"/>
    <s v="diciembre"/>
    <d v="2013-10-28T00:00:00"/>
    <x v="1"/>
    <n v="10"/>
    <s v="102013"/>
    <x v="10"/>
    <n v="400"/>
    <x v="0"/>
  </r>
  <r>
    <s v="120000-494-0-2012"/>
    <s v="DIRECTV COLOMBIA LTDA"/>
    <n v="2012"/>
    <d v="2013-01-14T00:00:00"/>
    <n v="1"/>
    <s v="12012"/>
    <s v="enero"/>
    <d v="2014-03-13T00:00:00"/>
    <x v="0"/>
    <n v="3"/>
    <s v="32014"/>
    <x v="3"/>
    <n v="264"/>
    <x v="0"/>
  </r>
  <r>
    <s v="130326-0-2013"/>
    <s v="INSTITUTO DISTRITAL DE PATRIMONIO CULTURAL"/>
    <n v="2013"/>
    <d v="2014-08-13T00:00:00"/>
    <n v="8"/>
    <s v="82013"/>
    <s v="agosto"/>
    <d v="2015-04-13T00:00:00"/>
    <x v="4"/>
    <n v="4"/>
    <s v="42015"/>
    <x v="4"/>
    <n v="-132"/>
    <x v="2"/>
  </r>
  <r>
    <s v="120000-521-0-2012"/>
    <s v="INFOSOURCES LTDA"/>
    <n v="2012"/>
    <d v="2013-01-18T00:00:00"/>
    <n v="1"/>
    <s v="12012"/>
    <s v="enero"/>
    <d v="2013-03-17T00:00:00"/>
    <x v="1"/>
    <n v="3"/>
    <s v="32013"/>
    <x v="3"/>
    <n v="625"/>
    <x v="0"/>
  </r>
  <r>
    <s v="120000-523-0-2012"/>
    <s v="DB SYSTEM LTDA"/>
    <n v="2012"/>
    <d v="2013-02-08T00:00:00"/>
    <n v="2"/>
    <s v="22012"/>
    <s v="febrero"/>
    <d v="2014-03-07T00:00:00"/>
    <x v="0"/>
    <n v="3"/>
    <s v="32014"/>
    <x v="3"/>
    <n v="270"/>
    <x v="0"/>
  </r>
  <r>
    <s v="120000-453-0-2012"/>
    <s v="HERNANDO  BULLA ORJUELA"/>
    <n v="2012"/>
    <d v="2013-01-04T00:00:00"/>
    <n v="1"/>
    <s v="12012"/>
    <s v="enero"/>
    <d v="2013-07-04T00:00:00"/>
    <x v="1"/>
    <n v="7"/>
    <s v="72013"/>
    <x v="2"/>
    <n v="516"/>
    <x v="0"/>
  </r>
  <r>
    <s v="120000-504-0-2012"/>
    <s v="PAPELERÍA  LOS  LAGOS  LTDA"/>
    <n v="2012"/>
    <d v="2013-01-18T00:00:00"/>
    <n v="1"/>
    <s v="12012"/>
    <s v="enero"/>
    <d v="2013-11-30T00:00:00"/>
    <x v="1"/>
    <n v="11"/>
    <s v="112013"/>
    <x v="11"/>
    <n v="367"/>
    <x v="0"/>
  </r>
  <r>
    <s v="120000-507-0-2012"/>
    <s v="CAJA DE COMPENSACIÓN FAMILIAR COMPENSAR"/>
    <n v="2012"/>
    <d v="2013-02-20T00:00:00"/>
    <n v="2"/>
    <s v="22012"/>
    <s v="febrero"/>
    <d v="2013-08-19T00:00:00"/>
    <x v="1"/>
    <n v="8"/>
    <s v="82013"/>
    <x v="6"/>
    <n v="470"/>
    <x v="0"/>
  </r>
  <r>
    <s v="120000-525-0-2012"/>
    <s v="GAMMA INGENIEROS S A"/>
    <n v="2012"/>
    <d v="2013-02-18T00:00:00"/>
    <n v="2"/>
    <s v="22012"/>
    <s v="febrero"/>
    <d v="2013-06-17T00:00:00"/>
    <x v="1"/>
    <n v="6"/>
    <s v="62013"/>
    <x v="9"/>
    <n v="533"/>
    <x v="0"/>
  </r>
  <r>
    <s v="120000-535-0-2012"/>
    <s v="CONTROLES EMPRESARIALES LTDA"/>
    <n v="2012"/>
    <d v="2013-02-11T00:00:00"/>
    <n v="2"/>
    <s v="22012"/>
    <s v="febrero"/>
    <d v="2014-02-10T00:00:00"/>
    <x v="0"/>
    <n v="2"/>
    <s v="22014"/>
    <x v="0"/>
    <n v="295"/>
    <x v="0"/>
  </r>
  <r>
    <s v="130019-0-2013"/>
    <s v="NEWNET S.A"/>
    <n v="2013"/>
    <d v="2013-02-14T00:00:00"/>
    <n v="2"/>
    <s v="22013"/>
    <s v="febrero"/>
    <d v="2014-02-13T00:00:00"/>
    <x v="0"/>
    <n v="2"/>
    <s v="22014"/>
    <x v="0"/>
    <n v="292"/>
    <x v="0"/>
  </r>
  <r>
    <s v="130023-0-2013"/>
    <s v="AMBICOL SERVICES S.A.S. "/>
    <n v="2013"/>
    <d v="2013-03-14T00:00:00"/>
    <n v="3"/>
    <s v="32013"/>
    <s v="marzo"/>
    <d v="2014-03-13T00:00:00"/>
    <x v="0"/>
    <n v="3"/>
    <s v="32014"/>
    <x v="3"/>
    <n v="264"/>
    <x v="0"/>
  </r>
  <r>
    <s v="130036-0-2013"/>
    <s v="SYSTEM NET INGENIERÍA LTDA"/>
    <n v="2013"/>
    <d v="2013-03-14T00:00:00"/>
    <n v="3"/>
    <s v="32013"/>
    <s v="marzo"/>
    <d v="2014-01-13T00:00:00"/>
    <x v="0"/>
    <n v="1"/>
    <s v="12014"/>
    <x v="5"/>
    <n v="323"/>
    <x v="0"/>
  </r>
  <r>
    <s v="130044-0-2013"/>
    <s v="MELCO DE COLOMBIA LIMITADA"/>
    <n v="2013"/>
    <d v="2013-04-03T00:00:00"/>
    <n v="4"/>
    <s v="42013"/>
    <s v="abril"/>
    <d v="2014-04-02T00:00:00"/>
    <x v="0"/>
    <n v="4"/>
    <s v="42014"/>
    <x v="4"/>
    <n v="244"/>
    <x v="0"/>
  </r>
  <r>
    <s v="130048-0-2013"/>
    <s v="CASA EDITORIAL EL TIEMPO SA"/>
    <n v="2013"/>
    <d v="2013-03-19T00:00:00"/>
    <n v="3"/>
    <s v="32013"/>
    <s v="marzo"/>
    <d v="2014-03-18T00:00:00"/>
    <x v="0"/>
    <n v="3"/>
    <s v="32014"/>
    <x v="3"/>
    <n v="259"/>
    <x v="0"/>
  </r>
  <r>
    <s v="130091-0-2013"/>
    <s v="INGENIERÍA DE BOMBAS Y PLANTAS LIMITADA"/>
    <n v="2013"/>
    <d v="2013-05-06T00:00:00"/>
    <n v="5"/>
    <s v="52013"/>
    <s v="mayo"/>
    <d v="2014-05-05T00:00:00"/>
    <x v="0"/>
    <n v="5"/>
    <s v="52014"/>
    <x v="1"/>
    <n v="211"/>
    <x v="0"/>
  </r>
  <r>
    <s v="130106-0-2013"/>
    <s v="DPC LTDA PUBLICACIONES DESPACHOS PÚBLICOS DE COLOMBIA LTDA"/>
    <n v="2013"/>
    <d v="2013-04-29T00:00:00"/>
    <n v="4"/>
    <s v="42013"/>
    <s v="abril"/>
    <d v="2013-09-28T00:00:00"/>
    <x v="1"/>
    <n v="9"/>
    <s v="92013"/>
    <x v="8"/>
    <n v="430"/>
    <x v="0"/>
  </r>
  <r>
    <s v="130116-0-2013"/>
    <s v="EDGARDO ANDRÉS MALDONADO CORTES"/>
    <n v="2013"/>
    <d v="2013-04-23T00:00:00"/>
    <n v="4"/>
    <s v="42013"/>
    <s v="abril"/>
    <d v="2014-02-22T00:00:00"/>
    <x v="0"/>
    <n v="2"/>
    <s v="22014"/>
    <x v="0"/>
    <n v="283"/>
    <x v="0"/>
  </r>
  <r>
    <s v="130121-0-2013"/>
    <s v="ROSA ENRIQUELINA GÓMEZ CORREDOR"/>
    <n v="2013"/>
    <d v="2013-05-02T00:00:00"/>
    <n v="5"/>
    <s v="52013"/>
    <s v="mayo"/>
    <d v="2014-03-01T00:00:00"/>
    <x v="0"/>
    <n v="3"/>
    <s v="32014"/>
    <x v="3"/>
    <n v="276"/>
    <x v="0"/>
  </r>
  <r>
    <s v="130126-0-2013"/>
    <s v="EMPRESA DE TELECOMUNICACIONES DE BOGOTÁ S.A.-ETB-ESP"/>
    <n v="2013"/>
    <d v="2013-05-17T00:00:00"/>
    <n v="5"/>
    <s v="52013"/>
    <s v="mayo"/>
    <d v="2013-08-22T00:00:00"/>
    <x v="1"/>
    <n v="8"/>
    <s v="82013"/>
    <x v="6"/>
    <n v="467"/>
    <x v="0"/>
  </r>
  <r>
    <s v="130129-0-2013"/>
    <s v="SOCIEDAD ENTORNO COMPAÑÍA LTDA"/>
    <n v="2013"/>
    <d v="2013-05-09T00:00:00"/>
    <n v="5"/>
    <s v="52013"/>
    <s v="mayo"/>
    <d v="2014-09-08T00:00:00"/>
    <x v="0"/>
    <n v="9"/>
    <s v="92014"/>
    <x v="8"/>
    <n v="85"/>
    <x v="0"/>
  </r>
  <r>
    <s v="130130-0-2013"/>
    <s v="ORGANIZACIÓN TERPEL S.A."/>
    <n v="2013"/>
    <d v="2013-06-01T00:00:00"/>
    <n v="6"/>
    <s v="62013"/>
    <s v="junio"/>
    <d v="2014-06-30T00:00:00"/>
    <x v="0"/>
    <n v="6"/>
    <s v="62014"/>
    <x v="9"/>
    <n v="155"/>
    <x v="0"/>
  </r>
  <r>
    <s v="130133-0-2013"/>
    <s v="SEGURIDAD NUEVA ERA"/>
    <n v="2013"/>
    <d v="2013-05-23T00:00:00"/>
    <n v="5"/>
    <s v="52013"/>
    <s v="mayo"/>
    <d v="2014-02-22T00:00:00"/>
    <x v="0"/>
    <n v="2"/>
    <s v="22014"/>
    <x v="0"/>
    <n v="283"/>
    <x v="0"/>
  </r>
  <r>
    <s v="130136-0-2013"/>
    <s v="MOTORES Y MAQUINAS MOTORYSA"/>
    <n v="2013"/>
    <d v="2013-05-22T00:00:00"/>
    <n v="5"/>
    <s v="52013"/>
    <s v="mayo"/>
    <d v="2014-01-21T00:00:00"/>
    <x v="0"/>
    <n v="1"/>
    <s v="12014"/>
    <x v="5"/>
    <n v="315"/>
    <x v="0"/>
  </r>
  <r>
    <s v="130139-0-2013"/>
    <s v="REVISTA EL CONGRESO SIGLO XXI LTDA"/>
    <n v="2013"/>
    <d v="2013-05-16T00:00:00"/>
    <n v="5"/>
    <s v="52013"/>
    <s v="mayo"/>
    <d v="2014-05-15T00:00:00"/>
    <x v="0"/>
    <n v="5"/>
    <s v="52014"/>
    <x v="1"/>
    <n v="201"/>
    <x v="0"/>
  </r>
  <r>
    <s v="130141-0-2013"/>
    <s v="LILIANA ALFONSO JAIMES"/>
    <n v="2013"/>
    <d v="2013-05-16T00:00:00"/>
    <n v="5"/>
    <s v="52013"/>
    <s v="mayo"/>
    <d v="2014-03-15T00:00:00"/>
    <x v="0"/>
    <n v="3"/>
    <s v="32014"/>
    <x v="3"/>
    <n v="262"/>
    <x v="0"/>
  </r>
  <r>
    <s v="130142-0-2013"/>
    <s v="AGR SOLUCIONES S.A.S."/>
    <n v="2013"/>
    <d v="2013-05-29T00:00:00"/>
    <n v="5"/>
    <s v="52013"/>
    <s v="mayo"/>
    <d v="2014-02-28T00:00:00"/>
    <x v="0"/>
    <n v="2"/>
    <s v="22014"/>
    <x v="0"/>
    <n v="277"/>
    <x v="0"/>
  </r>
  <r>
    <s v="130146-0-2013"/>
    <s v="UNIÓN TEMPORAL INTERPOSTAL URBANEX"/>
    <n v="2013"/>
    <d v="2013-05-16T00:00:00"/>
    <n v="5"/>
    <s v="52013"/>
    <s v="mayo"/>
    <d v="2014-06-16T00:00:00"/>
    <x v="0"/>
    <n v="6"/>
    <s v="62014"/>
    <x v="9"/>
    <n v="169"/>
    <x v="0"/>
  </r>
  <r>
    <s v="130147-0-2013"/>
    <s v="BUSINESS TECHNOLOGIES COMPANY"/>
    <n v="2013"/>
    <d v="2013-06-13T00:00:00"/>
    <n v="6"/>
    <s v="62013"/>
    <s v="junio"/>
    <d v="2014-06-12T00:00:00"/>
    <x v="0"/>
    <n v="6"/>
    <s v="62014"/>
    <x v="9"/>
    <n v="173"/>
    <x v="0"/>
  </r>
  <r>
    <s v="130150-0-2013"/>
    <s v="CANAL 13"/>
    <n v="2013"/>
    <d v="2013-05-27T00:00:00"/>
    <n v="5"/>
    <s v="52013"/>
    <s v="mayo"/>
    <d v="2014-09-15T00:00:00"/>
    <x v="0"/>
    <n v="9"/>
    <s v="92014"/>
    <x v="8"/>
    <n v="78"/>
    <x v="0"/>
  </r>
  <r>
    <s v="130152-0-2013"/>
    <s v="EDITORIAL EL GLOBO S.A"/>
    <n v="2013"/>
    <d v="2013-05-27T00:00:00"/>
    <n v="5"/>
    <s v="52013"/>
    <s v="mayo"/>
    <d v="2014-11-26T00:00:00"/>
    <x v="0"/>
    <n v="11"/>
    <s v="112014"/>
    <x v="11"/>
    <n v="6"/>
    <x v="0"/>
  </r>
  <r>
    <s v="130154-0-2013"/>
    <s v="MUDANZAS LEMUS"/>
    <n v="2013"/>
    <d v="2013-07-04T00:00:00"/>
    <n v="7"/>
    <s v="72013"/>
    <s v="julio"/>
    <d v="2014-07-03T00:00:00"/>
    <x v="0"/>
    <n v="7"/>
    <s v="72014"/>
    <x v="2"/>
    <n v="152"/>
    <x v="0"/>
  </r>
  <r>
    <s v="130156-0-2013"/>
    <s v="SOLUTION COPY LTDA"/>
    <n v="2013"/>
    <d v="2013-06-01T00:00:00"/>
    <n v="6"/>
    <s v="62013"/>
    <s v="junio"/>
    <d v="2014-06-30T00:00:00"/>
    <x v="0"/>
    <n v="6"/>
    <s v="62014"/>
    <x v="9"/>
    <n v="155"/>
    <x v="0"/>
  </r>
  <r>
    <s v="130161-0-2013"/>
    <s v="AUGUSTO MEDIVELSO OJEDA"/>
    <n v="2013"/>
    <d v="2013-05-22T00:00:00"/>
    <n v="5"/>
    <s v="52013"/>
    <s v="mayo"/>
    <d v="2014-01-21T00:00:00"/>
    <x v="0"/>
    <n v="1"/>
    <s v="12014"/>
    <x v="5"/>
    <n v="315"/>
    <x v="0"/>
  </r>
  <r>
    <s v="130162-0-2013"/>
    <s v="SGS COLOMBIA S.A."/>
    <n v="2013"/>
    <d v="2013-10-01T00:00:00"/>
    <n v="10"/>
    <s v="102013"/>
    <s v="octubre"/>
    <d v="2013-10-31T00:00:00"/>
    <x v="1"/>
    <n v="10"/>
    <s v="102013"/>
    <x v="10"/>
    <n v="397"/>
    <x v="0"/>
  </r>
  <r>
    <s v="130163-0-2013"/>
    <s v="KHAANKO NORBERTO RUIZ RODRÍGUEZ"/>
    <n v="2013"/>
    <d v="2013-05-27T00:00:00"/>
    <n v="5"/>
    <s v="52013"/>
    <s v="mayo"/>
    <d v="2014-01-26T00:00:00"/>
    <x v="0"/>
    <n v="1"/>
    <s v="12014"/>
    <x v="5"/>
    <n v="310"/>
    <x v="0"/>
  </r>
  <r>
    <s v="130164-0-2013"/>
    <s v="EDELMIRA ATARA GIL"/>
    <n v="2013"/>
    <d v="2013-05-29T00:00:00"/>
    <n v="5"/>
    <s v="52013"/>
    <s v="mayo"/>
    <d v="2014-01-28T00:00:00"/>
    <x v="0"/>
    <n v="1"/>
    <s v="12014"/>
    <x v="5"/>
    <n v="308"/>
    <x v="0"/>
  </r>
  <r>
    <s v="130166-0-2013"/>
    <s v="RICOH COLOMBIA S.A."/>
    <n v="2013"/>
    <d v="2013-07-02T00:00:00"/>
    <n v="7"/>
    <s v="72013"/>
    <s v="julio"/>
    <d v="2013-08-15T00:00:00"/>
    <x v="1"/>
    <n v="8"/>
    <s v="82013"/>
    <x v="6"/>
    <n v="474"/>
    <x v="0"/>
  </r>
  <r>
    <s v="130186-0-2013"/>
    <s v="INVERSIONES MATAY SAS"/>
    <n v="2013"/>
    <d v="2013-07-08T00:00:00"/>
    <n v="7"/>
    <s v="72013"/>
    <s v="julio"/>
    <d v="2014-07-29T00:00:00"/>
    <x v="0"/>
    <n v="7"/>
    <s v="72014"/>
    <x v="2"/>
    <n v="126"/>
    <x v="0"/>
  </r>
  <r>
    <s v="130190-0-2013"/>
    <s v="CR TROFEOS LTDA"/>
    <n v="2013"/>
    <d v="2013-07-08T00:00:00"/>
    <n v="7"/>
    <s v="72013"/>
    <s v="julio"/>
    <d v="2014-04-07T00:00:00"/>
    <x v="0"/>
    <n v="4"/>
    <s v="42014"/>
    <x v="4"/>
    <n v="239"/>
    <x v="0"/>
  </r>
  <r>
    <s v="130194-0-2013"/>
    <s v="UNIÓN TEMPORAL EMINSER-SOLOASEO "/>
    <n v="2013"/>
    <d v="2013-06-21T00:00:00"/>
    <n v="6"/>
    <s v="62013"/>
    <s v="junio"/>
    <d v="2014-06-20T00:00:00"/>
    <x v="0"/>
    <n v="6"/>
    <s v="62014"/>
    <x v="9"/>
    <n v="165"/>
    <x v="0"/>
  </r>
  <r>
    <s v="130196-0-2013"/>
    <s v="CARLOS ALFONSO RESTREPO"/>
    <n v="2013"/>
    <d v="2013-07-09T00:00:00"/>
    <n v="7"/>
    <s v="72013"/>
    <s v="julio"/>
    <d v="2014-07-31T00:00:00"/>
    <x v="0"/>
    <n v="7"/>
    <s v="72014"/>
    <x v="2"/>
    <n v="124"/>
    <x v="0"/>
  </r>
  <r>
    <s v="130198-0-2013"/>
    <s v="EDGAR EULICES GONZÁLEZ"/>
    <n v="2013"/>
    <d v="2013-07-02T00:00:00"/>
    <n v="7"/>
    <s v="72013"/>
    <s v="julio"/>
    <d v="2014-02-01T00:00:00"/>
    <x v="0"/>
    <n v="2"/>
    <s v="22014"/>
    <x v="0"/>
    <n v="304"/>
    <x v="0"/>
  </r>
  <r>
    <s v="130200-0-2013"/>
    <s v="HERNANDO  BULLA ORJUELA"/>
    <n v="2013"/>
    <d v="2013-07-15T00:00:00"/>
    <n v="7"/>
    <s v="72013"/>
    <s v="julio"/>
    <d v="2014-03-14T00:00:00"/>
    <x v="0"/>
    <n v="3"/>
    <s v="32014"/>
    <x v="3"/>
    <n v="263"/>
    <x v="0"/>
  </r>
  <r>
    <s v="130202-0-2013"/>
    <s v="INGTEL LTDA"/>
    <n v="2013"/>
    <d v="2013-07-16T00:00:00"/>
    <n v="7"/>
    <s v="72013"/>
    <s v="julio"/>
    <d v="2013-10-15T00:00:00"/>
    <x v="1"/>
    <n v="10"/>
    <s v="102013"/>
    <x v="10"/>
    <n v="413"/>
    <x v="0"/>
  </r>
  <r>
    <s v="130204-0-2013"/>
    <s v="DESCONT S.A."/>
    <n v="2013"/>
    <d v="2013-07-17T00:00:00"/>
    <n v="7"/>
    <s v="72013"/>
    <s v="julio"/>
    <d v="2013-09-16T00:00:00"/>
    <x v="1"/>
    <n v="9"/>
    <s v="92013"/>
    <x v="8"/>
    <n v="442"/>
    <x v="0"/>
  </r>
  <r>
    <s v="130207-0-2013"/>
    <s v="CONSORCIO CJ"/>
    <n v="2013"/>
    <d v="2013-07-09T00:00:00"/>
    <n v="7"/>
    <s v="72013"/>
    <s v="julio"/>
    <d v="2014-06-30T00:00:00"/>
    <x v="0"/>
    <n v="6"/>
    <s v="62014"/>
    <x v="9"/>
    <n v="155"/>
    <x v="0"/>
  </r>
  <r>
    <s v="130209-0-2013"/>
    <s v="EDITORIAL LA UNIDAD"/>
    <n v="2013"/>
    <d v="2013-09-14T00:00:00"/>
    <n v="9"/>
    <s v="92013"/>
    <s v="septiembre"/>
    <d v="2014-09-13T00:00:00"/>
    <x v="0"/>
    <n v="9"/>
    <s v="92014"/>
    <x v="8"/>
    <n v="80"/>
    <x v="0"/>
  </r>
  <r>
    <s v="130211-0-2013"/>
    <s v="MIGUEL ANDRÉS GUTIÉRREZ ROMERO"/>
    <n v="2013"/>
    <d v="2013-07-17T00:00:00"/>
    <n v="7"/>
    <s v="72013"/>
    <s v="julio"/>
    <d v="2014-03-16T00:00:00"/>
    <x v="0"/>
    <n v="3"/>
    <s v="32014"/>
    <x v="3"/>
    <n v="261"/>
    <x v="0"/>
  </r>
  <r>
    <s v="130214-0-2013"/>
    <s v="SEGUROS GENERALES SURAMERICANA S.A"/>
    <n v="2013"/>
    <d v="2013-07-17T00:00:00"/>
    <n v="7"/>
    <s v="72013"/>
    <s v="julio"/>
    <d v="2015-03-19T00:00:00"/>
    <x v="4"/>
    <n v="3"/>
    <s v="32015"/>
    <x v="3"/>
    <n v="-107"/>
    <x v="2"/>
  </r>
  <r>
    <s v="130217-0-2013"/>
    <s v="SODINLEC LTDA"/>
    <n v="2013"/>
    <d v="2013-10-01T00:00:00"/>
    <n v="10"/>
    <s v="102013"/>
    <s v="octubre"/>
    <d v="2014-05-31T00:00:00"/>
    <x v="0"/>
    <n v="5"/>
    <s v="52014"/>
    <x v="1"/>
    <n v="185"/>
    <x v="0"/>
  </r>
  <r>
    <s v="130220-0-2013"/>
    <s v="WIIESNER FABIÁN ROBAYO SALCEDO"/>
    <n v="2013"/>
    <d v="2013-07-22T00:00:00"/>
    <n v="7"/>
    <s v="72013"/>
    <s v="julio"/>
    <d v="2014-02-21T00:00:00"/>
    <x v="0"/>
    <n v="2"/>
    <s v="22014"/>
    <x v="0"/>
    <n v="284"/>
    <x v="0"/>
  </r>
  <r>
    <s v="130227-0-2013"/>
    <s v="PUBLICACIONES SEMANA S.A."/>
    <n v="2013"/>
    <d v="2013-09-30T00:00:00"/>
    <n v="9"/>
    <s v="92013"/>
    <s v="septiembre"/>
    <d v="2014-09-29T00:00:00"/>
    <x v="0"/>
    <n v="9"/>
    <s v="92014"/>
    <x v="8"/>
    <n v="64"/>
    <x v="0"/>
  </r>
  <r>
    <s v="130228-0-2013"/>
    <s v="COMUNICAN S.A"/>
    <n v="2013"/>
    <d v="2013-09-11T00:00:00"/>
    <n v="9"/>
    <s v="92013"/>
    <s v="septiembre"/>
    <d v="2014-09-10T00:00:00"/>
    <x v="0"/>
    <n v="9"/>
    <s v="92014"/>
    <x v="8"/>
    <n v="83"/>
    <x v="0"/>
  </r>
  <r>
    <s v="130229-0-2013"/>
    <s v="KARENN ANDREA SUAREZ LINARES"/>
    <n v="2013"/>
    <d v="2013-08-08T00:00:00"/>
    <n v="8"/>
    <s v="82013"/>
    <s v="agosto"/>
    <d v="2014-08-07T00:00:00"/>
    <x v="0"/>
    <n v="8"/>
    <s v="82014"/>
    <x v="6"/>
    <n v="117"/>
    <x v="0"/>
  </r>
  <r>
    <s v="130237-0-2013"/>
    <s v="COLOMBIANA DE SOFTWARE Y HARDWARE COLSOF S.A."/>
    <n v="2013"/>
    <d v="2013-08-14T00:00:00"/>
    <n v="8"/>
    <s v="82013"/>
    <s v="agosto"/>
    <d v="2014-08-13T00:00:00"/>
    <x v="0"/>
    <n v="8"/>
    <s v="82014"/>
    <x v="6"/>
    <n v="111"/>
    <x v="0"/>
  </r>
  <r>
    <s v="130241-0-2013"/>
    <s v="ACABADOS ALTAPISOS INVERSIONES  S.A.S."/>
    <n v="2013"/>
    <d v="2013-08-26T00:00:00"/>
    <n v="8"/>
    <s v="82013"/>
    <s v="agosto"/>
    <d v="2014-08-25T00:00:00"/>
    <x v="0"/>
    <n v="8"/>
    <s v="82014"/>
    <x v="6"/>
    <n v="99"/>
    <x v="0"/>
  </r>
  <r>
    <s v="130242-0-2013"/>
    <s v="INVERSIONES LIGOL - INVERLIGOL LTD A"/>
    <n v="2013"/>
    <d v="2013-09-06T00:00:00"/>
    <n v="9"/>
    <s v="92013"/>
    <s v="septiembre"/>
    <d v="2015-04-05T00:00:00"/>
    <x v="4"/>
    <n v="4"/>
    <s v="42015"/>
    <x v="4"/>
    <n v="-124"/>
    <x v="2"/>
  </r>
  <r>
    <s v="130244-0-2013"/>
    <s v="CONTRONET LTDA"/>
    <n v="2013"/>
    <d v="2013-08-20T00:00:00"/>
    <n v="8"/>
    <s v="82013"/>
    <s v="agosto"/>
    <d v="2015-02-20T00:00:00"/>
    <x v="4"/>
    <n v="2"/>
    <s v="22015"/>
    <x v="0"/>
    <n v="-80"/>
    <x v="2"/>
  </r>
  <r>
    <s v="130249-0-2013"/>
    <s v="INGEAL S.A."/>
    <n v="2013"/>
    <d v="2013-09-16T00:00:00"/>
    <n v="9"/>
    <s v="92013"/>
    <s v="septiembre"/>
    <d v="2014-09-15T00:00:00"/>
    <x v="0"/>
    <n v="9"/>
    <s v="92014"/>
    <x v="8"/>
    <n v="78"/>
    <x v="0"/>
  </r>
  <r>
    <s v="130254-0-2013"/>
    <s v="CAJA DE COMPENSACIÓN FAMILIAR COMPENSAR SALONES"/>
    <n v="2013"/>
    <d v="2013-09-24T00:00:00"/>
    <n v="9"/>
    <s v="92013"/>
    <s v="septiembre"/>
    <d v="2014-05-23T00:00:00"/>
    <x v="0"/>
    <n v="5"/>
    <s v="52014"/>
    <x v="1"/>
    <n v="193"/>
    <x v="0"/>
  </r>
  <r>
    <s v="130260-0-2013"/>
    <s v="PROCOLDEXT LIMITADA"/>
    <n v="2013"/>
    <d v="2013-10-08T00:00:00"/>
    <n v="10"/>
    <s v="102013"/>
    <s v="octubre"/>
    <d v="2013-12-07T00:00:00"/>
    <x v="1"/>
    <n v="12"/>
    <s v="122013"/>
    <x v="7"/>
    <n v="360"/>
    <x v="0"/>
  </r>
  <r>
    <s v="130261-0-2013"/>
    <s v="UNIVERSIDAD DISTRITAL FRANCISCO JOSÉ DE CALDAS"/>
    <n v="2013"/>
    <d v="2013-10-09T00:00:00"/>
    <n v="10"/>
    <s v="102013"/>
    <s v="octubre"/>
    <d v="2014-09-08T00:00:00"/>
    <x v="0"/>
    <n v="9"/>
    <s v="92014"/>
    <x v="8"/>
    <n v="85"/>
    <x v="0"/>
  </r>
  <r>
    <s v="130265-0-2013"/>
    <s v="TECNOLOGÍA BIOMÉDICA"/>
    <n v="2013"/>
    <d v="2013-10-07T00:00:00"/>
    <n v="10"/>
    <s v="102013"/>
    <s v="octubre"/>
    <d v="2014-01-06T00:00:00"/>
    <x v="0"/>
    <n v="1"/>
    <s v="12014"/>
    <x v="5"/>
    <n v="330"/>
    <x v="0"/>
  </r>
  <r>
    <s v="130270-0-2013"/>
    <s v="ITELCO IT S.A.S"/>
    <n v="2013"/>
    <d v="2013-10-08T00:00:00"/>
    <n v="10"/>
    <s v="102013"/>
    <s v="octubre"/>
    <d v="2014-10-23T00:00:00"/>
    <x v="0"/>
    <n v="10"/>
    <s v="102014"/>
    <x v="10"/>
    <n v="40"/>
    <x v="0"/>
  </r>
  <r>
    <s v="130276-0-2013"/>
    <s v="FACTOR VISUAL EAT"/>
    <n v="2013"/>
    <d v="2013-10-15T00:00:00"/>
    <n v="10"/>
    <s v="102013"/>
    <s v="octubre"/>
    <d v="2014-10-14T00:00:00"/>
    <x v="0"/>
    <n v="10"/>
    <s v="102014"/>
    <x v="10"/>
    <n v="49"/>
    <x v="0"/>
  </r>
  <r>
    <s v="130281-0-2013"/>
    <s v="CJS CANECAS Y CIA LTDA"/>
    <n v="2013"/>
    <d v="2013-10-15T00:00:00"/>
    <n v="10"/>
    <s v="102013"/>
    <s v="octubre"/>
    <d v="2013-11-14T00:00:00"/>
    <x v="1"/>
    <n v="11"/>
    <s v="112013"/>
    <x v="11"/>
    <n v="383"/>
    <x v="0"/>
  </r>
  <r>
    <s v="130286-0-2013"/>
    <s v="COMERCIALIZADORA INTERNACIONAL MEDICA DENTAL S.A.S"/>
    <n v="2013"/>
    <d v="2013-10-23T00:00:00"/>
    <n v="10"/>
    <s v="102013"/>
    <s v="octubre"/>
    <d v="2014-02-22T00:00:00"/>
    <x v="0"/>
    <n v="2"/>
    <s v="22014"/>
    <x v="0"/>
    <n v="283"/>
    <x v="0"/>
  </r>
  <r>
    <s v="130297-0-2013"/>
    <s v="GRUPO EDITORIAL EL PERIÓDICO S.A.S"/>
    <n v="2013"/>
    <d v="2013-10-28T00:00:00"/>
    <n v="10"/>
    <s v="102013"/>
    <s v="octubre"/>
    <d v="2014-10-27T00:00:00"/>
    <x v="0"/>
    <n v="10"/>
    <s v="102014"/>
    <x v="10"/>
    <n v="36"/>
    <x v="0"/>
  </r>
  <r>
    <s v="130298-0-2013"/>
    <s v="SOLUCIONES INTEGRALES DE OFICINAS      SAS"/>
    <n v="2013"/>
    <d v="2013-11-12T00:00:00"/>
    <n v="11"/>
    <s v="112013"/>
    <s v="noviembre"/>
    <d v="2014-01-11T00:00:00"/>
    <x v="0"/>
    <n v="1"/>
    <s v="12014"/>
    <x v="5"/>
    <n v="325"/>
    <x v="0"/>
  </r>
  <r>
    <s v="130299-0-2013"/>
    <s v="3D CONSULTING GROUP LTDA"/>
    <n v="2013"/>
    <d v="2013-11-12T00:00:00"/>
    <n v="11"/>
    <s v="112013"/>
    <s v="noviembre"/>
    <d v="2014-01-11T00:00:00"/>
    <x v="0"/>
    <n v="1"/>
    <s v="12014"/>
    <x v="5"/>
    <n v="325"/>
    <x v="0"/>
  </r>
  <r>
    <s v="130301-0-2013"/>
    <s v="COMPENSAR BIENESTAR"/>
    <n v="2013"/>
    <d v="2013-10-25T00:00:00"/>
    <n v="10"/>
    <s v="102013"/>
    <s v="octubre"/>
    <d v="2014-06-24T00:00:00"/>
    <x v="0"/>
    <n v="6"/>
    <s v="62014"/>
    <x v="9"/>
    <n v="161"/>
    <x v="0"/>
  </r>
  <r>
    <s v="130309-0-2013"/>
    <s v="UNIÓN TEMPORAL VIGILANCIA ACOSTA LTDA  - RUMBO ASOCIADOS"/>
    <n v="2013"/>
    <d v="2013-11-02T00:00:00"/>
    <n v="11"/>
    <s v="112013"/>
    <s v="noviembre"/>
    <d v="2014-12-02T00:00:00"/>
    <x v="0"/>
    <n v="12"/>
    <s v="122014"/>
    <x v="7"/>
    <n v="0"/>
    <x v="2"/>
  </r>
  <r>
    <s v="130325-0-2013"/>
    <s v="SI CAPIT@L"/>
    <n v="2013"/>
    <d v="2014-02-26T00:00:00"/>
    <n v="2"/>
    <s v="22013"/>
    <s v="febrero"/>
    <d v="2016-02-25T00:00:00"/>
    <x v="5"/>
    <n v="2"/>
    <s v="22016"/>
    <x v="0"/>
    <n v="-450"/>
    <x v="2"/>
  </r>
  <r>
    <s v="120000-518-0-2012"/>
    <s v="INSTITUTO DISTRITAL DEL PATRIMONIO CULTURAL - IDCP"/>
    <n v="2012"/>
    <d v="2012-12-20T00:00:00"/>
    <n v="12"/>
    <s v="122012"/>
    <s v="diciembre"/>
    <d v="2014-12-20T00:00:00"/>
    <x v="0"/>
    <n v="12"/>
    <s v="122014"/>
    <x v="7"/>
    <n v="-18"/>
    <x v="2"/>
  </r>
  <r>
    <s v="130334-0-2013"/>
    <s v="NEX COMPUTER S.A.  - NEXCOM"/>
    <n v="2013"/>
    <d v="2014-01-20T00:00:00"/>
    <n v="1"/>
    <s v="12013"/>
    <s v="enero"/>
    <d v="2014-04-19T00:00:00"/>
    <x v="0"/>
    <n v="4"/>
    <s v="42014"/>
    <x v="4"/>
    <n v="227"/>
    <x v="0"/>
  </r>
  <r>
    <s v="130336-0-2013"/>
    <s v="CESAR ALEJANDRO GUERRERO BARRIGA"/>
    <n v="2013"/>
    <d v="2013-12-12T00:00:00"/>
    <n v="12"/>
    <s v="122013"/>
    <s v="diciembre"/>
    <d v="2014-02-11T00:00:00"/>
    <x v="0"/>
    <n v="2"/>
    <s v="22014"/>
    <x v="0"/>
    <n v="294"/>
    <x v="0"/>
  </r>
  <r>
    <s v="130340-0-2013"/>
    <s v="RIELCO   LTDA"/>
    <n v="2013"/>
    <d v="2014-01-02T00:00:00"/>
    <n v="1"/>
    <s v="12013"/>
    <s v="enero"/>
    <d v="2015-01-01T00:00:00"/>
    <x v="4"/>
    <n v="1"/>
    <s v="12015"/>
    <x v="5"/>
    <n v="-30"/>
    <x v="2"/>
  </r>
  <r>
    <s v="130346-0-2013"/>
    <s v="RIGOBERTO GÓMEZ JAIME"/>
    <n v="2013"/>
    <d v="2013-12-04T00:00:00"/>
    <n v="12"/>
    <s v="122013"/>
    <s v="diciembre"/>
    <d v="2014-01-19T00:00:00"/>
    <x v="0"/>
    <n v="1"/>
    <s v="12014"/>
    <x v="5"/>
    <n v="317"/>
    <x v="0"/>
  </r>
  <r>
    <s v="130349-0-2013"/>
    <s v="PUBBLICA S.A.S."/>
    <n v="2013"/>
    <d v="2013-12-13T00:00:00"/>
    <n v="12"/>
    <s v="122013"/>
    <s v="diciembre"/>
    <d v="2014-12-12T00:00:00"/>
    <x v="0"/>
    <n v="12"/>
    <s v="122014"/>
    <x v="7"/>
    <n v="-10"/>
    <x v="2"/>
  </r>
  <r>
    <s v="130352-0-2013"/>
    <s v="INSTITUCIONAL STAR SERVICES LTDA"/>
    <n v="2013"/>
    <d v="2013-12-13T00:00:00"/>
    <n v="12"/>
    <s v="122013"/>
    <s v="diciembre"/>
    <d v="2014-12-07T00:00:00"/>
    <x v="0"/>
    <n v="12"/>
    <s v="122014"/>
    <x v="7"/>
    <n v="-5"/>
    <x v="2"/>
  </r>
  <r>
    <s v="130355-0-2013"/>
    <s v="CAJA COLOMBIANA SUBSIDIO FAMILIAR - COLSUBSIDIO"/>
    <n v="2013"/>
    <d v="2013-12-18T00:00:00"/>
    <n v="12"/>
    <s v="122013"/>
    <s v="diciembre"/>
    <d v="2014-01-02T00:00:00"/>
    <x v="0"/>
    <n v="1"/>
    <s v="12014"/>
    <x v="5"/>
    <n v="334"/>
    <x v="0"/>
  </r>
  <r>
    <s v="130361-0-2013"/>
    <s v="ANDREA SUSANA BELLO CANTOR"/>
    <n v="2013"/>
    <d v="2013-12-20T00:00:00"/>
    <n v="12"/>
    <s v="122013"/>
    <s v="diciembre"/>
    <d v="2014-01-19T00:00:00"/>
    <x v="0"/>
    <n v="1"/>
    <s v="12014"/>
    <x v="5"/>
    <n v="317"/>
    <x v="0"/>
  </r>
  <r>
    <s v="130362-0-2013"/>
    <s v="JORGE ORLANDO RUBIANO CARRANZA"/>
    <n v="2013"/>
    <d v="2013-12-20T00:00:00"/>
    <n v="12"/>
    <s v="122013"/>
    <s v="diciembre"/>
    <d v="2014-01-19T00:00:00"/>
    <x v="0"/>
    <n v="1"/>
    <s v="12014"/>
    <x v="5"/>
    <n v="317"/>
    <x v="0"/>
  </r>
  <r>
    <s v="130363-0-2013"/>
    <s v="UNIÓN TEMPORAL AVALÚOS PATRIMONIALES H-SD"/>
    <n v="2013"/>
    <d v="2014-01-08T00:00:00"/>
    <n v="1"/>
    <s v="12013"/>
    <s v="enero"/>
    <d v="2014-06-07T00:00:00"/>
    <x v="0"/>
    <n v="6"/>
    <s v="62014"/>
    <x v="9"/>
    <n v="178"/>
    <x v="0"/>
  </r>
  <r>
    <s v="130364-0-2013"/>
    <s v="FERNANDO SOTOMONTE AMAYA"/>
    <n v="2013"/>
    <d v="2013-12-20T00:00:00"/>
    <n v="12"/>
    <s v="122013"/>
    <s v="diciembre"/>
    <d v="2014-01-19T00:00:00"/>
    <x v="0"/>
    <n v="1"/>
    <s v="12014"/>
    <x v="5"/>
    <n v="317"/>
    <x v="0"/>
  </r>
  <r>
    <s v="130365-0-2013"/>
    <s v="JORGE ALBERTO GALVIS  ESTUPIÑAN"/>
    <n v="2013"/>
    <d v="2013-12-20T00:00:00"/>
    <n v="12"/>
    <s v="122013"/>
    <s v="diciembre"/>
    <d v="2014-01-19T00:00:00"/>
    <x v="0"/>
    <n v="1"/>
    <s v="12014"/>
    <x v="5"/>
    <n v="317"/>
    <x v="0"/>
  </r>
  <r>
    <s v="130368-0-2013"/>
    <s v="NEX COMPUTER S.A.  - NEXCOM"/>
    <n v="2013"/>
    <d v="2014-01-23T00:00:00"/>
    <n v="1"/>
    <s v="12013"/>
    <s v="enero"/>
    <d v="2014-04-22T00:00:00"/>
    <x v="0"/>
    <n v="4"/>
    <s v="42014"/>
    <x v="4"/>
    <n v="224"/>
    <x v="0"/>
  </r>
  <r>
    <s v="130370-0-2013"/>
    <s v="UNIPLES S.A."/>
    <n v="2013"/>
    <d v="2014-01-16T00:00:00"/>
    <n v="1"/>
    <s v="12013"/>
    <s v="enero"/>
    <d v="2015-01-15T00:00:00"/>
    <x v="4"/>
    <n v="1"/>
    <s v="12015"/>
    <x v="5"/>
    <n v="-44"/>
    <x v="2"/>
  </r>
  <r>
    <s v="130372-0-2013"/>
    <s v="VICTOR MANUEL ARMELLA VELÁSQUEZ"/>
    <n v="2013"/>
    <d v="2013-12-26T00:00:00"/>
    <n v="12"/>
    <s v="122013"/>
    <s v="diciembre"/>
    <d v="2014-01-25T00:00:00"/>
    <x v="0"/>
    <n v="1"/>
    <s v="12014"/>
    <x v="5"/>
    <n v="311"/>
    <x v="0"/>
  </r>
  <r>
    <s v="130373-0-2013"/>
    <s v="COLOMBIANA DE SOFTWARE Y HARDWARE COLSOF S.A."/>
    <n v="2013"/>
    <d v="2014-01-23T00:00:00"/>
    <n v="1"/>
    <s v="12013"/>
    <s v="enero"/>
    <d v="2014-04-25T00:00:00"/>
    <x v="0"/>
    <n v="4"/>
    <s v="42014"/>
    <x v="4"/>
    <n v="221"/>
    <x v="0"/>
  </r>
  <r>
    <s v="130375-0-2013"/>
    <s v="DIANA PATRICIA JAIME - SERVIMATEC DNO"/>
    <n v="2013"/>
    <d v="2014-01-23T00:00:00"/>
    <n v="1"/>
    <s v="12013"/>
    <s v="enero"/>
    <d v="2015-01-22T00:00:00"/>
    <x v="4"/>
    <n v="1"/>
    <s v="12015"/>
    <x v="5"/>
    <n v="-51"/>
    <x v="2"/>
  </r>
  <r>
    <s v="130378-0-2013"/>
    <s v="INGEAL S.A."/>
    <n v="2013"/>
    <d v="2014-01-16T00:00:00"/>
    <n v="1"/>
    <s v="12013"/>
    <s v="enero"/>
    <d v="2014-03-15T00:00:00"/>
    <x v="0"/>
    <n v="3"/>
    <s v="32014"/>
    <x v="3"/>
    <n v="262"/>
    <x v="0"/>
  </r>
  <r>
    <s v="130380-0-2013"/>
    <s v="COMUNICACIONES E INFORMÁTICA  S.A..S"/>
    <n v="2013"/>
    <d v="2014-01-23T00:00:00"/>
    <n v="1"/>
    <s v="12013"/>
    <s v="enero"/>
    <d v="2014-03-22T00:00:00"/>
    <x v="0"/>
    <n v="3"/>
    <s v="32014"/>
    <x v="3"/>
    <n v="255"/>
    <x v="0"/>
  </r>
  <r>
    <s v="130384-0-2013"/>
    <s v="INGEAL S.A."/>
    <n v="2013"/>
    <d v="2014-01-23T00:00:00"/>
    <n v="1"/>
    <s v="12013"/>
    <s v="enero"/>
    <d v="2014-04-07T00:00:00"/>
    <x v="0"/>
    <n v="4"/>
    <s v="42014"/>
    <x v="4"/>
    <n v="239"/>
    <x v="0"/>
  </r>
  <r>
    <s v="130385-0-2013"/>
    <s v="NORMA CONSTANZA MEZA GÓMEZ"/>
    <n v="2013"/>
    <d v="2013-12-30T00:00:00"/>
    <n v="12"/>
    <s v="122013"/>
    <s v="diciembre"/>
    <d v="2014-01-29T00:00:00"/>
    <x v="0"/>
    <n v="1"/>
    <s v="12014"/>
    <x v="5"/>
    <n v="307"/>
    <x v="0"/>
  </r>
  <r>
    <s v="130386-0-2013"/>
    <s v="CONTROLES EMPRESARIALES LTDA"/>
    <n v="2013"/>
    <d v="2014-01-31T00:00:00"/>
    <n v="1"/>
    <s v="12013"/>
    <s v="enero"/>
    <d v="2014-05-30T00:00:00"/>
    <x v="0"/>
    <n v="5"/>
    <s v="52014"/>
    <x v="1"/>
    <n v="186"/>
    <x v="0"/>
  </r>
  <r>
    <s v="140174-0-2014"/>
    <s v="MOTORES Y MAQUINAS MOTORYSA"/>
    <n v="2014"/>
    <d v="2014-03-05T00:00:00"/>
    <n v="3"/>
    <s v="32014"/>
    <s v="marzo"/>
    <d v="2015-03-04T00:00:00"/>
    <x v="4"/>
    <n v="3"/>
    <s v="32015"/>
    <x v="3"/>
    <n v="-92"/>
    <x v="2"/>
  </r>
  <r>
    <s v="140034-0-2014"/>
    <s v="REVISTA EL CONGRESO SIGLO XXI LTDA"/>
    <n v="2014"/>
    <d v="2014-05-16T00:00:00"/>
    <n v="5"/>
    <s v="52014"/>
    <s v="mayo"/>
    <d v="2015-05-15T00:00:00"/>
    <x v="4"/>
    <n v="5"/>
    <s v="52015"/>
    <x v="1"/>
    <n v="-164"/>
    <x v="2"/>
  </r>
  <r>
    <s v="140136-0-2014"/>
    <s v="KHAANKO NORBERTO RUIZ RODRÍGUEZ"/>
    <n v="2014"/>
    <d v="2014-02-05T00:00:00"/>
    <n v="2"/>
    <s v="22014"/>
    <s v="febrero"/>
    <d v="2015-01-04T00:00:00"/>
    <x v="4"/>
    <n v="1"/>
    <s v="12015"/>
    <x v="5"/>
    <n v="-33"/>
    <x v="2"/>
  </r>
  <r>
    <s v="140138-0-2014"/>
    <s v="CASA EDITORIAL EL TIEMPO SA"/>
    <n v="2014"/>
    <d v="2014-03-19T00:00:00"/>
    <n v="3"/>
    <s v="32014"/>
    <s v="marzo"/>
    <d v="2015-03-18T00:00:00"/>
    <x v="4"/>
    <n v="3"/>
    <s v="32015"/>
    <x v="3"/>
    <n v="-106"/>
    <x v="2"/>
  </r>
  <r>
    <s v="140140-0-2014"/>
    <s v="D.P.C LTDA PUBLICACIONES DESPACHOS PÚBLICOS DE COLOMBIA LTDA"/>
    <n v="2014"/>
    <d v="2014-04-10T00:00:00"/>
    <n v="4"/>
    <s v="42014"/>
    <s v="abril"/>
    <d v="2014-09-09T00:00:00"/>
    <x v="0"/>
    <n v="9"/>
    <s v="92014"/>
    <x v="8"/>
    <n v="84"/>
    <x v="0"/>
  </r>
  <r>
    <s v="140152-0-2014"/>
    <s v="ROSA ENRIQUELINA GÓMEZ CORREDOR"/>
    <n v="2014"/>
    <d v="2014-03-03T00:00:00"/>
    <n v="3"/>
    <s v="32014"/>
    <s v="marzo"/>
    <d v="2015-01-02T00:00:00"/>
    <x v="4"/>
    <n v="1"/>
    <s v="12015"/>
    <x v="5"/>
    <n v="-31"/>
    <x v="2"/>
  </r>
  <r>
    <s v="140153-0-2014"/>
    <s v="WIIESNER FABIÁN ROBAYO SALCEDO"/>
    <n v="2014"/>
    <d v="2014-03-10T00:00:00"/>
    <n v="3"/>
    <s v="32014"/>
    <s v="marzo"/>
    <d v="2015-01-09T00:00:00"/>
    <x v="4"/>
    <n v="1"/>
    <s v="12015"/>
    <x v="5"/>
    <n v="-38"/>
    <x v="2"/>
  </r>
  <r>
    <s v="140154-0-2014"/>
    <s v="EDGAR EULICES GONZÁLEZ"/>
    <n v="2014"/>
    <d v="2014-02-05T00:00:00"/>
    <n v="2"/>
    <s v="22014"/>
    <s v="febrero"/>
    <d v="2015-01-04T00:00:00"/>
    <x v="4"/>
    <n v="1"/>
    <s v="12015"/>
    <x v="5"/>
    <n v="-33"/>
    <x v="2"/>
  </r>
  <r>
    <s v="140157-0-2014"/>
    <s v="FERNANDO SOTOMONTE AMAYA"/>
    <n v="2014"/>
    <d v="2014-02-05T00:00:00"/>
    <n v="2"/>
    <s v="22014"/>
    <s v="febrero"/>
    <d v="2015-01-04T00:00:00"/>
    <x v="4"/>
    <n v="1"/>
    <s v="12015"/>
    <x v="5"/>
    <n v="-33"/>
    <x v="2"/>
  </r>
  <r>
    <s v="140158-0-2014"/>
    <s v="JORGE ALBERTO GALVIS  ESTUPIÑAN"/>
    <n v="2014"/>
    <d v="2014-02-05T00:00:00"/>
    <n v="2"/>
    <s v="22014"/>
    <s v="febrero"/>
    <d v="2015-01-04T00:00:00"/>
    <x v="4"/>
    <n v="1"/>
    <s v="12015"/>
    <x v="5"/>
    <n v="-33"/>
    <x v="2"/>
  </r>
  <r>
    <s v="140159-0-2014"/>
    <s v="VICTOR MANUEL ARMELLA VELÁSQUEZ"/>
    <n v="2014"/>
    <d v="2014-02-05T00:00:00"/>
    <n v="2"/>
    <s v="22014"/>
    <s v="febrero"/>
    <d v="2015-01-04T00:00:00"/>
    <x v="4"/>
    <n v="1"/>
    <s v="12015"/>
    <x v="5"/>
    <n v="-33"/>
    <x v="2"/>
  </r>
  <r>
    <s v="140160-0-2014"/>
    <s v="NORMA CONSTANZA MEZA GÓMEZ"/>
    <n v="2014"/>
    <d v="2014-02-05T00:00:00"/>
    <n v="2"/>
    <s v="22014"/>
    <s v="febrero"/>
    <d v="2015-01-04T00:00:00"/>
    <x v="4"/>
    <n v="1"/>
    <s v="12015"/>
    <x v="5"/>
    <n v="-33"/>
    <x v="2"/>
  </r>
  <r>
    <s v="140161-0-2014"/>
    <s v="ANDREA SUSANA BELLO CANTOR"/>
    <n v="2014"/>
    <d v="2014-02-05T00:00:00"/>
    <n v="2"/>
    <s v="22014"/>
    <s v="febrero"/>
    <d v="2015-01-04T00:00:00"/>
    <x v="4"/>
    <n v="1"/>
    <s v="12015"/>
    <x v="5"/>
    <n v="-33"/>
    <x v="2"/>
  </r>
  <r>
    <s v="140162-0-2014"/>
    <s v="JORGE ORLANDO RUBIANO CARRANZA"/>
    <n v="2014"/>
    <d v="2014-02-05T00:00:00"/>
    <n v="2"/>
    <s v="22014"/>
    <s v="febrero"/>
    <d v="2015-01-04T00:00:00"/>
    <x v="4"/>
    <n v="1"/>
    <s v="12015"/>
    <x v="5"/>
    <n v="-33"/>
    <x v="2"/>
  </r>
  <r>
    <s v="140164-0-2014"/>
    <s v="MITSUBISHIS ELECTRIC DE COLOMBIA LTDA"/>
    <n v="2014"/>
    <d v="2014-04-03T00:00:00"/>
    <n v="4"/>
    <s v="42014"/>
    <s v="abril"/>
    <d v="2015-04-02T00:00:00"/>
    <x v="4"/>
    <n v="4"/>
    <s v="42015"/>
    <x v="4"/>
    <n v="-121"/>
    <x v="2"/>
  </r>
  <r>
    <s v="140166-0-2014"/>
    <s v="EDELMIRA ATARA GIL"/>
    <n v="2014"/>
    <d v="2014-02-05T00:00:00"/>
    <n v="2"/>
    <s v="22014"/>
    <s v="febrero"/>
    <d v="2015-01-04T00:00:00"/>
    <x v="4"/>
    <n v="1"/>
    <s v="12015"/>
    <x v="5"/>
    <n v="-33"/>
    <x v="2"/>
  </r>
  <r>
    <s v="140167-0-2014"/>
    <s v="EDGARDO ANDRÉS MALDONADO CORTES"/>
    <n v="2014"/>
    <d v="2014-02-24T00:00:00"/>
    <n v="2"/>
    <s v="22014"/>
    <s v="febrero"/>
    <d v="2014-12-23T00:00:00"/>
    <x v="0"/>
    <n v="12"/>
    <s v="122014"/>
    <x v="7"/>
    <n v="-21"/>
    <x v="2"/>
  </r>
  <r>
    <s v="140168-0-2014"/>
    <s v="JORGE LUIS TRUJILLO VERA"/>
    <n v="2014"/>
    <d v="2014-02-05T00:00:00"/>
    <n v="2"/>
    <s v="22014"/>
    <s v="febrero"/>
    <d v="2015-01-04T00:00:00"/>
    <x v="4"/>
    <n v="1"/>
    <s v="12015"/>
    <x v="5"/>
    <n v="-33"/>
    <x v="2"/>
  </r>
  <r>
    <s v="140169-0-2014"/>
    <s v="ELIS ALEXANDER MORENO SALAMANCA /"/>
    <n v="2014"/>
    <d v="2014-02-07T00:00:00"/>
    <n v="2"/>
    <s v="22014"/>
    <s v="febrero"/>
    <d v="2014-12-06T00:00:00"/>
    <x v="0"/>
    <n v="12"/>
    <s v="122014"/>
    <x v="7"/>
    <n v="-4"/>
    <x v="2"/>
  </r>
  <r>
    <s v="140169-0-2014 CESION"/>
    <s v="MATILDE NIETO CONTRERAS"/>
    <n v="2014"/>
    <d v="2014-09-03T00:00:00"/>
    <n v="9"/>
    <s v="92014"/>
    <s v="septiembre"/>
    <e v="#N/A"/>
    <x v="3"/>
    <e v="#N/A"/>
    <e v="#N/A"/>
    <x v="12"/>
    <e v="#N/A"/>
    <x v="1"/>
  </r>
  <r>
    <s v="140171-0-2014"/>
    <s v="INGEAL  S. A."/>
    <n v="2014"/>
    <d v="2014-03-06T00:00:00"/>
    <n v="3"/>
    <s v="32014"/>
    <s v="marzo"/>
    <d v="2014-04-19T00:00:00"/>
    <x v="0"/>
    <n v="4"/>
    <s v="42014"/>
    <x v="4"/>
    <n v="227"/>
    <x v="0"/>
  </r>
  <r>
    <s v="140172-0-2014"/>
    <s v="SONA GREEN TECHNOLOGIES SAS"/>
    <n v="2014"/>
    <d v="2014-03-06T00:00:00"/>
    <n v="3"/>
    <s v="32014"/>
    <s v="marzo"/>
    <d v="2014-04-19T00:00:00"/>
    <x v="0"/>
    <n v="4"/>
    <s v="42014"/>
    <x v="4"/>
    <n v="227"/>
    <x v="0"/>
  </r>
  <r>
    <s v="140173-0-2014"/>
    <s v="K 10 DESIGN   S.A.S"/>
    <n v="2014"/>
    <d v="2014-03-10T00:00:00"/>
    <n v="3"/>
    <s v="32014"/>
    <s v="marzo"/>
    <d v="2014-04-09T00:00:00"/>
    <x v="0"/>
    <n v="4"/>
    <s v="42014"/>
    <x v="4"/>
    <n v="237"/>
    <x v="0"/>
  </r>
  <r>
    <s v="140176-0-2014"/>
    <s v="AGR SOLUCIONES S.A.S."/>
    <n v="2014"/>
    <d v="2014-04-09T00:00:00"/>
    <n v="4"/>
    <s v="42014"/>
    <s v="abril"/>
    <d v="2015-01-08T00:00:00"/>
    <x v="4"/>
    <n v="1"/>
    <s v="12015"/>
    <x v="5"/>
    <n v="-37"/>
    <x v="2"/>
  </r>
  <r>
    <s v="140178-0-2014"/>
    <s v="DIRECTV COLOMBIA LTDA"/>
    <n v="2014"/>
    <d v="2014-04-09T00:00:00"/>
    <n v="4"/>
    <s v="42014"/>
    <s v="abril"/>
    <d v="2015-04-08T00:00:00"/>
    <x v="4"/>
    <n v="4"/>
    <s v="42015"/>
    <x v="4"/>
    <n v="-127"/>
    <x v="2"/>
  </r>
  <r>
    <s v="140179-0-2014"/>
    <s v="SYSTEM NET INGENIERÍA LTDA"/>
    <n v="2014"/>
    <d v="2014-03-27T00:00:00"/>
    <n v="3"/>
    <s v="32014"/>
    <s v="marzo"/>
    <d v="2014-11-26T00:00:00"/>
    <x v="0"/>
    <n v="11"/>
    <s v="112014"/>
    <x v="11"/>
    <n v="6"/>
    <x v="0"/>
  </r>
  <r>
    <s v="140181-0-2014"/>
    <s v="MODULARES OFIMA LTDA"/>
    <n v="2014"/>
    <d v="2014-04-09T00:00:00"/>
    <n v="4"/>
    <s v="42014"/>
    <s v="abril"/>
    <d v="2014-11-08T00:00:00"/>
    <x v="0"/>
    <n v="11"/>
    <s v="112014"/>
    <x v="11"/>
    <n v="24"/>
    <x v="0"/>
  </r>
  <r>
    <s v="140186-0-2014"/>
    <s v="SECURITYCOM S.A.S"/>
    <n v="2014"/>
    <d v="2014-04-23T00:00:00"/>
    <n v="4"/>
    <s v="42014"/>
    <s v="abril"/>
    <d v="2015-04-22T00:00:00"/>
    <x v="4"/>
    <n v="4"/>
    <s v="42015"/>
    <x v="4"/>
    <n v="-141"/>
    <x v="2"/>
  </r>
  <r>
    <s v="140188-0-2014"/>
    <s v="HERNANDO  BULLA ORJUELA"/>
    <n v="2014"/>
    <d v="2014-04-28T00:00:00"/>
    <n v="4"/>
    <s v="42014"/>
    <s v="abril"/>
    <d v="2015-02-27T00:00:00"/>
    <x v="4"/>
    <n v="2"/>
    <s v="22015"/>
    <x v="0"/>
    <n v="-87"/>
    <x v="2"/>
  </r>
  <r>
    <s v="140190-0-2014"/>
    <s v="GAMMA  INGENIEROS"/>
    <n v="2014"/>
    <d v="2014-05-05T00:00:00"/>
    <n v="5"/>
    <s v="52014"/>
    <s v="mayo"/>
    <d v="2014-09-19T00:00:00"/>
    <x v="0"/>
    <n v="9"/>
    <s v="92014"/>
    <x v="8"/>
    <n v="74"/>
    <x v="0"/>
  </r>
  <r>
    <s v="140191-0-2014"/>
    <s v="KONNEN SERVICES    S.A.S"/>
    <n v="2014"/>
    <d v="2014-04-28T00:00:00"/>
    <n v="4"/>
    <s v="42014"/>
    <s v="abril"/>
    <d v="2014-06-27T00:00:00"/>
    <x v="0"/>
    <n v="6"/>
    <s v="62014"/>
    <x v="9"/>
    <n v="158"/>
    <x v="0"/>
  </r>
  <r>
    <s v="140193-0-2014"/>
    <s v="GRANADOS Y CONDECORACIONES"/>
    <n v="2014"/>
    <d v="2014-04-24T00:00:00"/>
    <n v="4"/>
    <s v="42014"/>
    <s v="abril"/>
    <d v="2015-04-23T00:00:00"/>
    <x v="4"/>
    <n v="4"/>
    <s v="42015"/>
    <x v="4"/>
    <n v="-142"/>
    <x v="2"/>
  </r>
  <r>
    <s v="140198-0-2014"/>
    <s v="A&amp;V EXPRESS S.A."/>
    <n v="2014"/>
    <d v="2014-06-17T00:00:00"/>
    <n v="6"/>
    <s v="62014"/>
    <s v="junio"/>
    <d v="2015-02-16T00:00:00"/>
    <x v="4"/>
    <n v="2"/>
    <s v="22015"/>
    <x v="0"/>
    <n v="-76"/>
    <x v="2"/>
  </r>
  <r>
    <s v="140201-0-2014"/>
    <s v="UNIPLES S.A."/>
    <n v="2014"/>
    <d v="2014-06-04T00:00:00"/>
    <n v="6"/>
    <s v="62014"/>
    <s v="junio"/>
    <d v="2014-08-04T00:00:00"/>
    <x v="0"/>
    <n v="8"/>
    <s v="82014"/>
    <x v="6"/>
    <n v="120"/>
    <x v="0"/>
  </r>
  <r>
    <s v="140260-0-2014"/>
    <s v="IDENTICO SAS"/>
    <n v="2014"/>
    <d v="2014-08-20T00:00:00"/>
    <n v="8"/>
    <s v="82014"/>
    <s v="agosto"/>
    <d v="2014-10-20T00:00:00"/>
    <x v="0"/>
    <n v="10"/>
    <s v="102014"/>
    <x v="10"/>
    <n v="43"/>
    <x v="0"/>
  </r>
  <r>
    <s v="140207-0-2014"/>
    <s v="MUDANZAS DEL NOGAL SAS"/>
    <n v="2014"/>
    <d v="2014-07-04T00:00:00"/>
    <n v="7"/>
    <s v="72014"/>
    <s v="julio"/>
    <d v="2015-03-03T00:00:00"/>
    <x v="4"/>
    <n v="3"/>
    <s v="32015"/>
    <x v="3"/>
    <n v="-91"/>
    <x v="2"/>
  </r>
  <r>
    <s v="140212-0-2014"/>
    <s v="TECNOLOGÍA BIOMÉDICA"/>
    <n v="2014"/>
    <d v="2014-06-17T00:00:00"/>
    <n v="6"/>
    <s v="62014"/>
    <s v="junio"/>
    <d v="2014-08-16T00:00:00"/>
    <x v="0"/>
    <n v="8"/>
    <s v="82014"/>
    <x v="6"/>
    <n v="108"/>
    <x v="0"/>
  </r>
  <r>
    <s v="140215-0-2014"/>
    <s v="UNIÓN TEMPORAL EMINSER SOLOASEO"/>
    <n v="2014"/>
    <d v="2014-06-21T00:00:00"/>
    <n v="6"/>
    <s v="62014"/>
    <s v="junio"/>
    <d v="2015-04-06T00:00:00"/>
    <x v="4"/>
    <n v="4"/>
    <s v="42015"/>
    <x v="4"/>
    <n v="-125"/>
    <x v="2"/>
  </r>
  <r>
    <s v="140216-0-2014"/>
    <s v="UNIDAD NACIONAL DE PROTECCIÓN"/>
    <n v="2014"/>
    <d v="2014-06-18T00:00:00"/>
    <n v="6"/>
    <s v="62014"/>
    <s v="junio"/>
    <d v="2015-01-17T00:00:00"/>
    <x v="4"/>
    <n v="1"/>
    <s v="12015"/>
    <x v="5"/>
    <n v="-46"/>
    <x v="2"/>
  </r>
  <r>
    <s v="140219-0-2014"/>
    <s v="MARKETGROUP SAS"/>
    <n v="2014"/>
    <d v="2014-07-21T00:00:00"/>
    <n v="7"/>
    <s v="72014"/>
    <s v="julio"/>
    <d v="2014-08-21T00:00:00"/>
    <x v="0"/>
    <n v="8"/>
    <s v="82014"/>
    <x v="6"/>
    <n v="103"/>
    <x v="0"/>
  </r>
  <r>
    <s v="140220-0-2014"/>
    <s v="TERPEL"/>
    <n v="2014"/>
    <d v="2014-06-16T00:00:00"/>
    <n v="6"/>
    <s v="62014"/>
    <s v="junio"/>
    <d v="2014-11-16T00:00:00"/>
    <x v="0"/>
    <n v="11"/>
    <s v="112014"/>
    <x v="11"/>
    <n v="16"/>
    <x v="0"/>
  </r>
  <r>
    <s v="140221-0-2014"/>
    <s v="INGENIERIA DE BOMBAS Y PLANTAS"/>
    <n v="2014"/>
    <d v="2014-07-22T00:00:00"/>
    <n v="7"/>
    <s v="72014"/>
    <s v="julio"/>
    <d v="2015-07-22T00:00:00"/>
    <x v="4"/>
    <n v="7"/>
    <s v="72015"/>
    <x v="2"/>
    <n v="-232"/>
    <x v="2"/>
  </r>
  <r>
    <s v="140222-0-2014"/>
    <s v="JOSÉ SADY SUAVITA ROJAS"/>
    <n v="2014"/>
    <d v="2014-07-18T00:00:00"/>
    <n v="7"/>
    <s v="72014"/>
    <s v="julio"/>
    <d v="2014-08-01T00:00:00"/>
    <x v="0"/>
    <n v="8"/>
    <s v="82014"/>
    <x v="6"/>
    <n v="123"/>
    <x v="0"/>
  </r>
  <r>
    <s v="140228-0-2014"/>
    <s v="T Y G MINOLTA"/>
    <n v="2014"/>
    <d v="2014-07-01T00:00:00"/>
    <n v="7"/>
    <s v="72014"/>
    <s v="julio"/>
    <d v="2015-04-30T00:00:00"/>
    <x v="4"/>
    <n v="4"/>
    <s v="42015"/>
    <x v="4"/>
    <n v="-149"/>
    <x v="2"/>
  </r>
  <r>
    <s v="140233-0-2014"/>
    <s v="ELKIN MAURICIO DIMAS MONTAYA"/>
    <n v="2014"/>
    <d v="2014-06-09T00:00:00"/>
    <n v="6"/>
    <s v="62014"/>
    <s v="junio"/>
    <d v="2015-07-08T00:00:00"/>
    <x v="4"/>
    <n v="7"/>
    <s v="72015"/>
    <x v="2"/>
    <n v="-218"/>
    <x v="2"/>
  </r>
  <r>
    <s v="140234-0-2014"/>
    <s v="BUSINESS TECHNOLOGIES COMPANY"/>
    <n v="2014"/>
    <d v="2014-07-18T00:00:00"/>
    <n v="7"/>
    <s v="72014"/>
    <s v="julio"/>
    <d v="2015-07-18T00:00:00"/>
    <x v="4"/>
    <n v="7"/>
    <s v="72015"/>
    <x v="2"/>
    <n v="-228"/>
    <x v="2"/>
  </r>
  <r>
    <s v="140236-0-2014"/>
    <s v="DIVIEXPORT EU"/>
    <n v="2014"/>
    <d v="2014-07-15T00:00:00"/>
    <n v="7"/>
    <s v="72014"/>
    <s v="julio"/>
    <d v="2015-02-15T00:00:00"/>
    <x v="4"/>
    <n v="2"/>
    <s v="22015"/>
    <x v="0"/>
    <n v="-75"/>
    <x v="2"/>
  </r>
  <r>
    <s v="140184-0-2014"/>
    <s v="SODINLEC LTDA"/>
    <n v="2014"/>
    <d v="2014-06-03T00:00:00"/>
    <n v="6"/>
    <s v="62014"/>
    <s v="junio"/>
    <d v="2015-04-02T00:00:00"/>
    <x v="4"/>
    <n v="4"/>
    <s v="42015"/>
    <x v="4"/>
    <n v="-121"/>
    <x v="2"/>
  </r>
  <r>
    <s v="140210-0-2014"/>
    <s v="H &amp; D OFIMAGEN"/>
    <n v="2014"/>
    <d v="2014-07-17T00:00:00"/>
    <n v="7"/>
    <s v="72014"/>
    <s v="julio"/>
    <d v="2015-06-16T00:00:00"/>
    <x v="4"/>
    <n v="6"/>
    <s v="62015"/>
    <x v="9"/>
    <n v="-196"/>
    <x v="2"/>
  </r>
  <r>
    <s v="140238-0-2014"/>
    <s v="COMPENSAR SALONES"/>
    <n v="2014"/>
    <d v="2014-07-15T00:00:00"/>
    <n v="7"/>
    <s v="72014"/>
    <s v="julio"/>
    <d v="2015-03-15T00:00:00"/>
    <x v="4"/>
    <n v="3"/>
    <s v="32015"/>
    <x v="3"/>
    <n v="-103"/>
    <x v="2"/>
  </r>
  <r>
    <s v="140243-0-2014"/>
    <s v="COTECNA CERTIFICADORA SEVICES LIMITADA"/>
    <n v="2014"/>
    <d v="2014-07-22T00:00:00"/>
    <n v="7"/>
    <s v="72014"/>
    <s v="julio"/>
    <d v="2014-11-22T00:00:00"/>
    <x v="0"/>
    <n v="11"/>
    <s v="112014"/>
    <x v="11"/>
    <n v="10"/>
    <x v="0"/>
  </r>
  <r>
    <s v="140244-0-2014"/>
    <s v="INDUSTRIAS QUÍMICAS FIQ LTDA"/>
    <n v="2014"/>
    <d v="2014-08-11T00:00:00"/>
    <n v="8"/>
    <s v="82014"/>
    <s v="agosto"/>
    <d v="2014-10-11T00:00:00"/>
    <x v="0"/>
    <n v="10"/>
    <s v="102014"/>
    <x v="10"/>
    <n v="52"/>
    <x v="0"/>
  </r>
  <r>
    <s v="140249-0-2014"/>
    <s v="INVERSIONES MATAY SAS"/>
    <n v="2014"/>
    <d v="2014-07-30T00:00:00"/>
    <n v="7"/>
    <s v="72014"/>
    <s v="julio"/>
    <d v="2015-01-30T00:00:00"/>
    <x v="4"/>
    <n v="1"/>
    <s v="12015"/>
    <x v="5"/>
    <n v="-59"/>
    <x v="2"/>
  </r>
  <r>
    <s v="140252-0-2014"/>
    <s v="LINALCA INFORMATICA"/>
    <n v="2014"/>
    <d v="2014-10-24T00:00:00"/>
    <n v="10"/>
    <s v="102014"/>
    <s v="octubre"/>
    <d v="2015-10-24T00:00:00"/>
    <x v="4"/>
    <n v="10"/>
    <s v="102015"/>
    <x v="10"/>
    <n v="-326"/>
    <x v="2"/>
  </r>
  <r>
    <s v="140274-0-2014"/>
    <s v="PUBLICACIONES SEMANA S.A."/>
    <n v="2014"/>
    <d v="2014-09-30T00:00:00"/>
    <n v="9"/>
    <s v="92014"/>
    <s v="septiembre"/>
    <d v="2015-09-30T00:00:00"/>
    <x v="4"/>
    <n v="9"/>
    <s v="92015"/>
    <x v="8"/>
    <n v="-302"/>
    <x v="2"/>
  </r>
  <r>
    <s v="140276-0-2014"/>
    <s v="COMUNICAN SA"/>
    <n v="2014"/>
    <d v="2014-09-11T00:00:00"/>
    <n v="9"/>
    <s v="92014"/>
    <s v="septiembre"/>
    <d v="2015-09-11T00:00:00"/>
    <x v="4"/>
    <n v="9"/>
    <s v="92015"/>
    <x v="8"/>
    <n v="-283"/>
    <x v="2"/>
  </r>
  <r>
    <s v="140279-0-2014"/>
    <s v="EDITORIAL LA UNIDAD S.A"/>
    <n v="2014"/>
    <d v="2014-09-14T00:00:00"/>
    <n v="9"/>
    <s v="92014"/>
    <s v="septiembre"/>
    <d v="2015-09-14T00:00:00"/>
    <x v="4"/>
    <n v="9"/>
    <s v="92015"/>
    <x v="8"/>
    <n v="-286"/>
    <x v="2"/>
  </r>
  <r>
    <s v="140281-0-2014"/>
    <s v="SUPERIOR DE DOTACIONES SAS"/>
    <n v="2014"/>
    <d v="2014-09-05T00:00:00"/>
    <n v="9"/>
    <s v="92014"/>
    <s v="septiembre"/>
    <d v="2015-01-05T00:00:00"/>
    <x v="4"/>
    <n v="1"/>
    <s v="12015"/>
    <x v="5"/>
    <n v="-34"/>
    <x v="2"/>
  </r>
  <r>
    <s v="140290-0-2014"/>
    <s v="CENTRO DE DIAGNOSTICO Y TRATAMIENTO CENDIATRA LTDA"/>
    <n v="2014"/>
    <d v="2014-10-14T00:00:00"/>
    <n v="10"/>
    <s v="102014"/>
    <s v="octubre"/>
    <d v="2015-05-14T00:00:00"/>
    <x v="4"/>
    <n v="5"/>
    <s v="52015"/>
    <x v="1"/>
    <n v="-163"/>
    <x v="2"/>
  </r>
  <r>
    <s v="140291-0-2014"/>
    <s v="NAYIVE CARRASCO PATIÑO"/>
    <n v="2014"/>
    <d v="2014-09-09T00:00:00"/>
    <n v="9"/>
    <s v="92014"/>
    <s v="septiembre"/>
    <d v="2015-01-09T00:00:00"/>
    <x v="4"/>
    <n v="1"/>
    <s v="12015"/>
    <x v="5"/>
    <n v="-38"/>
    <x v="2"/>
  </r>
  <r>
    <s v="140292-0-2014"/>
    <s v="JUAN SEBASTIÁN RAMÍREZ"/>
    <n v="2014"/>
    <d v="2014-09-11T00:00:00"/>
    <n v="9"/>
    <s v="92014"/>
    <s v="septiembre"/>
    <d v="2015-02-11T00:00:00"/>
    <x v="4"/>
    <n v="2"/>
    <s v="22015"/>
    <x v="0"/>
    <n v="-71"/>
    <x v="2"/>
  </r>
  <r>
    <s v="140296-0-2014"/>
    <s v="INGEAL S.A."/>
    <n v="2014"/>
    <d v="2014-09-25T00:00:00"/>
    <n v="9"/>
    <s v="92014"/>
    <s v="septiembre"/>
    <d v="2014-12-23T00:00:00"/>
    <x v="0"/>
    <n v="12"/>
    <s v="122014"/>
    <x v="7"/>
    <n v="-21"/>
    <x v="2"/>
  </r>
  <r>
    <s v="140299-0-2014"/>
    <s v="LIZETH  GONZÁLEZ VARGAS"/>
    <n v="2014"/>
    <d v="2014-09-18T00:00:00"/>
    <n v="9"/>
    <s v="92014"/>
    <s v="septiembre"/>
    <d v="2015-02-18T00:00:00"/>
    <x v="4"/>
    <n v="2"/>
    <s v="22015"/>
    <x v="0"/>
    <n v="-78"/>
    <x v="2"/>
  </r>
  <r>
    <s v="140306-0-2014"/>
    <s v="I3NET  S.A.S"/>
    <n v="2014"/>
    <d v="2014-10-17T00:00:00"/>
    <n v="10"/>
    <s v="102014"/>
    <s v="octubre"/>
    <d v="2015-01-17T00:00:00"/>
    <x v="4"/>
    <n v="1"/>
    <s v="12015"/>
    <x v="5"/>
    <n v="-46"/>
    <x v="2"/>
  </r>
  <r>
    <s v="140312-0-2014"/>
    <s v="CRISTIAN DAVID PARDO MARTINEZ"/>
    <n v="2014"/>
    <d v="2014-09-29T00:00:00"/>
    <n v="9"/>
    <s v="92014"/>
    <s v="septiembre"/>
    <d v="2015-01-29T00:00:00"/>
    <x v="4"/>
    <n v="1"/>
    <s v="12015"/>
    <x v="5"/>
    <n v="-58"/>
    <x v="2"/>
  </r>
  <r>
    <s v="140316-0-2014 "/>
    <s v="SOLUCIONES EN INGENIERIA Y SOFTWARE SAS"/>
    <n v="2014"/>
    <d v="2014-10-16T00:00:00"/>
    <n v="10"/>
    <s v="102014"/>
    <s v="octubre"/>
    <d v="2014-12-31T00:00:00"/>
    <x v="0"/>
    <n v="12"/>
    <s v="122014"/>
    <x v="7"/>
    <n v="-29"/>
    <x v="2"/>
  </r>
  <r>
    <s v="140317-0-2014"/>
    <s v="FACTOR VISUAL EAT"/>
    <n v="2014"/>
    <d v="2014-10-17T00:00:00"/>
    <n v="10"/>
    <s v="102014"/>
    <s v="octubre"/>
    <d v="2015-10-17T00:00:00"/>
    <x v="4"/>
    <n v="10"/>
    <s v="102015"/>
    <x v="10"/>
    <n v="-319"/>
    <x v="2"/>
  </r>
  <r>
    <s v="140319-0-2014"/>
    <s v="CANAL REGIONAL DE TELEVISION TEVEANDINA LTDA - TEVEANDINA LTDA"/>
    <n v="2014"/>
    <d v="2014-10-09T00:00:00"/>
    <n v="10"/>
    <s v="102014"/>
    <s v="octubre"/>
    <d v="2015-04-08T00:00:00"/>
    <x v="4"/>
    <n v="4"/>
    <s v="42015"/>
    <x v="4"/>
    <n v="-127"/>
    <x v="2"/>
  </r>
  <r>
    <s v="140322-0-2014"/>
    <s v="SUMIMAS SAS"/>
    <n v="2014"/>
    <d v="2014-10-17T00:00:00"/>
    <n v="10"/>
    <s v="102014"/>
    <s v="octubre"/>
    <d v="2015-10-17T00:00:00"/>
    <x v="4"/>
    <n v="10"/>
    <s v="102015"/>
    <x v="10"/>
    <n v="-319"/>
    <x v="2"/>
  </r>
</pivotCacheRecords>
</file>

<file path=xl/pivotCache/pivotCacheRecords2.xml><?xml version="1.0" encoding="utf-8"?>
<pivotCacheRecords xmlns="http://schemas.openxmlformats.org/spreadsheetml/2006/main" xmlns:r="http://schemas.openxmlformats.org/officeDocument/2006/relationships" count="453">
  <r>
    <x v="0"/>
    <x v="0"/>
    <m/>
    <s v="La SDH y el Fondo de Vigilancia y Seguridad social de Bogotá D.C. se asocian con el fin de realizar de manera conjunta la contratación del arrendamiento operativo de vehículos para garantizar la movilidad de los Honorables Concejales y adelantar el proceso de selección  y las etapas precontractual y postcontractual, que redunden en una eficiente gestión administrativa y ahorro de esfuerzos económicos, logísticos y técnicos en los términos y condiciones que establece en el presente convenio interadministrativo de asociación."/>
    <n v="7329236109"/>
    <s v=" "/>
    <n v="2008"/>
    <s v=" "/>
    <d v="2008-10-03T00:00:00"/>
    <d v="2014-02-03T00:00:00"/>
    <n v="0"/>
    <n v="0"/>
    <n v="0"/>
    <s v=""/>
    <s v=""/>
    <d v="2014-02-03T00:00:00"/>
    <n v="7329236109"/>
    <n v="6218260556"/>
    <n v="1110975553"/>
    <m/>
    <x v="0"/>
    <x v="0"/>
    <n v="0.15158135670315875"/>
    <s v=""/>
    <x v="0"/>
  </r>
  <r>
    <x v="1"/>
    <x v="1"/>
    <n v="800015583"/>
    <s v="Contratar la gestión integral de servicios de mesas de ayuda, soporte informático, mantenimiento preventivo y correctivo de la infraestructura tecnológica con suministro de repuestos para la Secretaria Distrital de Hacienda ."/>
    <n v="2026575001"/>
    <s v=" "/>
    <n v="2008"/>
    <d v="2008-12-26T00:00:00"/>
    <d v="2009-04-01T00:00:00"/>
    <d v="2013-07-31T00:00:00"/>
    <n v="1"/>
    <n v="1073825676"/>
    <n v="0"/>
    <s v=""/>
    <s v=""/>
    <d v="2013-07-31T00:00:00"/>
    <n v="3100400677"/>
    <n v="3066561119"/>
    <n v="33839558"/>
    <m/>
    <x v="1"/>
    <x v="0"/>
    <n v="1.0914575735657461E-2"/>
    <s v=""/>
    <x v="0"/>
  </r>
  <r>
    <x v="2"/>
    <x v="2"/>
    <m/>
    <s v="Contratar la gestión integral de servicios de impresión, para la secretaria de Distrital de Hacienda, de conformidad con los requerimientos establecidos en el pliego de condiciones del proceso de selección Abreviada SDH-SIP-015-2008 ÍTEM 2 y en el acta de audiencia de adjudicación"/>
    <n v="2909992591"/>
    <s v=" "/>
    <n v="2008"/>
    <s v=" "/>
    <d v="2009-02-20T00:00:00"/>
    <d v="2013-07-21T00:00:00"/>
    <n v="0"/>
    <n v="0"/>
    <n v="0"/>
    <s v=""/>
    <s v=""/>
    <d v="2013-07-21T00:00:00"/>
    <n v="2909992591"/>
    <n v="13400894"/>
    <n v="2896591697"/>
    <m/>
    <x v="2"/>
    <x v="0"/>
    <n v="0.99539487006205918"/>
    <s v=""/>
    <x v="0"/>
  </r>
  <r>
    <x v="3"/>
    <x v="3"/>
    <m/>
    <s v="Adquisición de elementos de Tecnología Informática como estaciones de trabajo entre computadores de escritorio y computadores portátiles, con destino al Concejo de Bogotá, con el fin de efectuar la renovación de la infraestructura tecnológica de conformidad con lo establecido en el pliego de condiciones, los estudios previos y el acta de adjudicación del proceso SDH-SIE-018-2009."/>
    <n v="234495075"/>
    <s v=" "/>
    <n v="2009"/>
    <s v=" "/>
    <d v="2010-01-19T00:00:00"/>
    <d v="2013-02-18T00:00:00"/>
    <n v="0"/>
    <n v="0"/>
    <n v="0"/>
    <s v=""/>
    <s v=""/>
    <d v="2013-02-18T00:00:00"/>
    <n v="234495075"/>
    <n v="234495075"/>
    <n v="0"/>
    <m/>
    <x v="3"/>
    <x v="0"/>
    <n v="0"/>
    <s v=""/>
    <x v="1"/>
  </r>
  <r>
    <x v="4"/>
    <x v="1"/>
    <n v="800015583"/>
    <s v="Contratar la adquisición de elementos de tecnología y Licencias de Software, con destino al Concejo de Bogotá para atender las necesidades de procesamiento y almacenamiento de conformidad con lo establecido en el pliego de condiciones y los estudios previos del proceso SDH-SIE-013-2009"/>
    <n v="507000000"/>
    <s v=" "/>
    <n v="2009"/>
    <s v=" "/>
    <d v="2009-12-03T00:00:00"/>
    <d v="2013-03-03T00:00:00"/>
    <n v="0"/>
    <n v="0"/>
    <n v="0"/>
    <s v=""/>
    <s v=""/>
    <d v="2013-03-03T00:00:00"/>
    <n v="507000000"/>
    <n v="471070424"/>
    <n v="35929576"/>
    <m/>
    <x v="4"/>
    <x v="0"/>
    <n v="7.0867013806706125E-2"/>
    <s v=""/>
    <x v="0"/>
  </r>
  <r>
    <x v="5"/>
    <x v="4"/>
    <n v="900231022"/>
    <s v="Contratar los servicios de mantenimiento preventivo y correctivo, soporte técnico especializado y suministro de repuestos por demanda, de los sistemas de aire acondicionado del Concejo de Bogotá."/>
    <n v="12835200"/>
    <s v=" "/>
    <n v="2011"/>
    <s v=" "/>
    <d v="2012-02-27T00:00:00"/>
    <d v="2013-02-27T00:00:00"/>
    <n v="0"/>
    <n v="0"/>
    <n v="0"/>
    <s v=""/>
    <s v=""/>
    <d v="2013-02-27T00:00:00"/>
    <n v="12835200"/>
    <n v="1092200"/>
    <n v="11743000"/>
    <m/>
    <x v="5"/>
    <x v="0"/>
    <n v="0.91490588381949634"/>
    <s v=""/>
    <x v="0"/>
  </r>
  <r>
    <x v="6"/>
    <x v="5"/>
    <n v="800109177"/>
    <s v="Suscripción al servicio de información jurídica a través de boletines informativos por correo electrónico, consultas en página WEB y biblioteca digital de legislación y jurisprudencia colombiana actualizada."/>
    <n v="1750000"/>
    <s v=" "/>
    <n v="2011"/>
    <s v=" "/>
    <d v="2011-10-06T00:00:00"/>
    <d v="2012-10-06T00:00:00"/>
    <n v="1"/>
    <n v="875000"/>
    <n v="1"/>
    <s v="6 meses"/>
    <d v="2013-04-06T00:00:00"/>
    <d v="2013-04-06T00:00:00"/>
    <n v="2625000"/>
    <n v="0"/>
    <n v="2625000"/>
    <m/>
    <x v="6"/>
    <x v="0"/>
    <n v="1"/>
    <s v=""/>
    <x v="0"/>
  </r>
  <r>
    <x v="7"/>
    <x v="6"/>
    <n v="830050919"/>
    <s v="Desarrollar las actividades contenidas en los planes de bienestar  e incentivos del Concejo de Bogotá de conformidad con los requerimientos establecidos en los pliegos de Condiciones del proceso de selección Abreviada de Menor Cuantía SDH-SAMC-001-2011"/>
    <n v="497000000"/>
    <s v=" "/>
    <n v="2011"/>
    <s v=" "/>
    <d v="2011-07-22T00:00:00"/>
    <d v="2012-07-22T00:00:00"/>
    <n v="0"/>
    <n v="0"/>
    <n v="0"/>
    <s v=""/>
    <s v=""/>
    <d v="2012-07-22T00:00:00"/>
    <n v="497000000"/>
    <n v="495932967"/>
    <n v="1067033"/>
    <m/>
    <x v="7"/>
    <x v="0"/>
    <n v="2.1469476861166736E-3"/>
    <s v=""/>
    <x v="0"/>
  </r>
  <r>
    <x v="8"/>
    <x v="7"/>
    <n v="830040274"/>
    <s v="Realizar las pre-auditorias, auditorias y certificación al Sistema de Gestión Ambiental bajo los estándares de calidad de la norma ISO 14001: 2004 y el Sistema de Gestión de Seguridad y Salud Ocupacional cumpliendo con la norma OHSAS 18001: 2007 respectivamente para el Concejo de Bogotá D.C., de conformidad con lo establecido en el anexo definitivo de los estudios previos del Proceso No. SDH-SAMC-002-2011."/>
    <n v="9425000"/>
    <s v=" "/>
    <n v="2011"/>
    <s v=" "/>
    <d v="2011-11-23T00:00:00"/>
    <d v="2012-11-23T00:00:00"/>
    <n v="0"/>
    <n v="0"/>
    <n v="1"/>
    <s v="4 meses"/>
    <d v="2013-03-23T00:00:00"/>
    <d v="2013-03-23T00:00:00"/>
    <n v="9425000"/>
    <n v="9425000"/>
    <n v="0"/>
    <m/>
    <x v="3"/>
    <x v="0"/>
    <n v="0"/>
    <s v=""/>
    <x v="1"/>
  </r>
  <r>
    <x v="9"/>
    <x v="8"/>
    <n v="900340597"/>
    <s v="Prestar el servicio de mantenimiento correctivo con suministro de repuestos de los automotores marca MITSUBISHI al servicio del Concejo de Bogotá."/>
    <n v="15000000"/>
    <s v=" "/>
    <n v="2011"/>
    <s v=" "/>
    <d v="2011-11-16T00:00:00"/>
    <d v="2013-03-31T00:00:00"/>
    <n v="1"/>
    <n v="7930000"/>
    <n v="0"/>
    <s v=""/>
    <s v=""/>
    <d v="2013-03-31T00:00:00"/>
    <n v="22930000"/>
    <n v="18432731"/>
    <n v="4497269"/>
    <m/>
    <x v="8"/>
    <x v="0"/>
    <n v="0.19613035324901873"/>
    <s v=""/>
    <x v="0"/>
  </r>
  <r>
    <x v="10"/>
    <x v="9"/>
    <n v="860403052"/>
    <s v="Adquisición y /o actualización, mantenimiento y soporte de licencias de software antivirus para el Concejo de Bogotá, de conformidad con lo establecido en la presente invitación pública."/>
    <n v="15063760"/>
    <s v=" "/>
    <n v="2011"/>
    <s v=" "/>
    <d v="2011-11-15T00:00:00"/>
    <d v="2012-11-29T00:00:00"/>
    <n v="1"/>
    <n v="4981040"/>
    <n v="1"/>
    <s v=""/>
    <d v="2013-03-29T00:00:00"/>
    <d v="2013-03-29T00:00:00"/>
    <n v="20044800"/>
    <n v="20044800"/>
    <n v="0"/>
    <m/>
    <x v="3"/>
    <x v="0"/>
    <n v="0"/>
    <s v=""/>
    <x v="1"/>
  </r>
  <r>
    <x v="11"/>
    <x v="10"/>
    <n v="800045609"/>
    <s v="Prestar el servicio de mantenimiento preventivo y correctivo (incluyendo repuestos), de los equipos de aseo (brilladoras y aspiradoras) del Concejo de Bogotá D.C., de conformidad con lo establecido en la invitación pública del proceso citado en asusto y la propuesta presentada por la firma que usted representa."/>
    <n v="8506800"/>
    <s v=" "/>
    <n v="2011"/>
    <s v=" "/>
    <d v="2011-11-18T00:00:00"/>
    <d v="2012-11-18T00:00:00"/>
    <n v="1"/>
    <n v="1470000"/>
    <n v="1"/>
    <s v=""/>
    <d v="2013-02-18T00:00:00"/>
    <d v="2013-02-18T00:00:00"/>
    <n v="9976800"/>
    <n v="9976596"/>
    <n v="204"/>
    <m/>
    <x v="9"/>
    <x v="0"/>
    <n v="2.0447438056292455E-5"/>
    <s v=""/>
    <x v="1"/>
  </r>
  <r>
    <x v="12"/>
    <x v="11"/>
    <n v="830073623"/>
    <s v="Adquirir medios de almacenamiento cintas Tape Backup y CD, para garantizar la protección a la información."/>
    <n v="1306508"/>
    <s v=" "/>
    <n v="2011"/>
    <s v=" "/>
    <d v="2011-12-14T00:00:00"/>
    <d v="2012-01-14T00:00:00"/>
    <n v="0"/>
    <n v="0"/>
    <n v="0"/>
    <s v=""/>
    <s v=""/>
    <d v="2012-01-14T00:00:00"/>
    <n v="1306508"/>
    <n v="1306508"/>
    <n v="0"/>
    <m/>
    <x v="3"/>
    <x v="0"/>
    <n v="0"/>
    <s v=""/>
    <x v="1"/>
  </r>
  <r>
    <x v="13"/>
    <x v="12"/>
    <n v="860053274"/>
    <s v="Suministrar papelería y útiles de escritorio por el sistema de precios unitarios fijos, en la modalidad de proveeduría integral (outsourcing) para el Concejo de Bogotá D.C., de conformidad con los requerimientos establecidos en el pliego de condiciones y "/>
    <n v="102786079"/>
    <s v=" "/>
    <n v="2011"/>
    <s v=" "/>
    <d v="2011-12-20T00:00:00"/>
    <d v="2012-07-20T00:00:00"/>
    <n v="0"/>
    <n v="0"/>
    <n v="1"/>
    <s v="4 meses y 10 días"/>
    <d v="2012-11-30T00:00:00"/>
    <d v="2012-11-30T00:00:00"/>
    <n v="102786079"/>
    <n v="84046373"/>
    <n v="18739706"/>
    <m/>
    <x v="10"/>
    <x v="0"/>
    <n v="0.18231754905253272"/>
    <s v=""/>
    <x v="0"/>
  </r>
  <r>
    <x v="14"/>
    <x v="13"/>
    <n v="860518574"/>
    <s v="Adquirir un sistema biométrico de control de acceso y control de horarios para  el Concejo de Bogotá, D.C. de conformidad con lo establecido en la invitación pública del proceso de selección citado en el asunto."/>
    <n v="49376272"/>
    <s v=" "/>
    <n v="2011"/>
    <s v=" "/>
    <d v="2012-02-07T00:00:00"/>
    <d v="2013-02-07T00:00:00"/>
    <n v="0"/>
    <n v="0"/>
    <n v="0"/>
    <s v=""/>
    <s v=""/>
    <d v="2013-02-07T00:00:00"/>
    <n v="49376272"/>
    <n v="49376272"/>
    <n v="0"/>
    <m/>
    <x v="3"/>
    <x v="0"/>
    <n v="0"/>
    <s v=""/>
    <x v="1"/>
  </r>
  <r>
    <x v="15"/>
    <x v="14"/>
    <n v="830112518"/>
    <s v="Mantenimiento, soporte y actualización al software Prontus (Página web e Intranet)"/>
    <n v="79634000"/>
    <s v=" "/>
    <n v="2012"/>
    <s v=" "/>
    <d v="2012-06-27T00:00:00"/>
    <d v="2013-06-27T00:00:00"/>
    <n v="0"/>
    <n v="0"/>
    <n v="1"/>
    <s v="2 meses"/>
    <d v="2013-08-27T00:00:00"/>
    <d v="2013-08-27T00:00:00"/>
    <n v="79634000"/>
    <n v="79634000"/>
    <n v="0"/>
    <m/>
    <x v="3"/>
    <x v="0"/>
    <n v="0"/>
    <s v=""/>
    <x v="1"/>
  </r>
  <r>
    <x v="16"/>
    <x v="15"/>
    <n v="20546554"/>
    <s v="Adquirir medios de almacenamiento (CD, DVD, DVD/R) para el Concejo de Bogotá, de conformidad con las especificaciones técnicas previstas en la Invitación Pública del proceso de selección SDH-SMINC-026-2012."/>
    <n v="4206160"/>
    <s v=" "/>
    <n v="2012"/>
    <s v=" "/>
    <d v="2012-10-31T00:00:00"/>
    <d v="2012-12-31T00:00:00"/>
    <n v="0"/>
    <n v="0"/>
    <n v="0"/>
    <s v=""/>
    <s v=""/>
    <d v="2012-12-31T00:00:00"/>
    <n v="4206160"/>
    <n v="0"/>
    <n v="4206160"/>
    <m/>
    <x v="6"/>
    <x v="0"/>
    <n v="1"/>
    <s v=""/>
    <x v="0"/>
  </r>
  <r>
    <x v="17"/>
    <x v="16"/>
    <n v="899999115"/>
    <s v="Prestar los servicios de conectividad de canales de comunicación, dedicados e internet y servicios complementarios para la secretaria Distrital de Hacienda y Concejo de Bogotá, de conformidad con lo establecido en los estudios previos."/>
    <n v="726335435"/>
    <s v=" "/>
    <n v="2012"/>
    <s v=" "/>
    <d v="2012-10-24T00:00:00"/>
    <d v="2013-12-01T00:00:00"/>
    <n v="0"/>
    <n v="0"/>
    <n v="0"/>
    <s v=""/>
    <s v=""/>
    <d v="2013-12-01T00:00:00"/>
    <n v="726335435"/>
    <n v="577978609"/>
    <n v="148356826"/>
    <m/>
    <x v="11"/>
    <x v="0"/>
    <n v="0.20425387341869117"/>
    <s v=""/>
    <x v="0"/>
  </r>
  <r>
    <x v="18"/>
    <x v="17"/>
    <n v="860026518"/>
    <s v="Contratar la Póliza de Responsabilidad Civil Servidores Públicos para el Concejo de Bogotá D.C."/>
    <n v="48720000"/>
    <s v=" "/>
    <n v="2012"/>
    <s v=" "/>
    <d v="2012-04-26T00:00:00"/>
    <d v="2013-06-30T00:00:00"/>
    <n v="3"/>
    <n v="22376157"/>
    <n v="2"/>
    <s v="5 meses y 15 días"/>
    <d v="2013-12-15T00:00:00"/>
    <d v="2013-12-15T00:00:00"/>
    <n v="71096157"/>
    <n v="71096157"/>
    <n v="0"/>
    <m/>
    <x v="3"/>
    <x v="0"/>
    <n v="0"/>
    <s v=""/>
    <x v="1"/>
  </r>
  <r>
    <x v="19"/>
    <x v="18"/>
    <n v="860025639"/>
    <s v="Prestar el servicio de mantenimiento preventivo y correctivo ocasional a los ascensores marca Mitsubishi ubicados en el Concejo de Bogotá."/>
    <n v="11587500"/>
    <s v=" "/>
    <n v="2012"/>
    <s v=" "/>
    <d v="2012-06-14T00:00:00"/>
    <d v="2013-03-14T00:00:00"/>
    <n v="0"/>
    <n v="0"/>
    <n v="0"/>
    <s v=""/>
    <s v=""/>
    <d v="2013-03-14T00:00:00"/>
    <n v="11587500"/>
    <n v="10316808"/>
    <n v="1270692"/>
    <m/>
    <x v="12"/>
    <x v="0"/>
    <n v="0.1096605825242718"/>
    <s v=""/>
    <x v="0"/>
  </r>
  <r>
    <x v="20"/>
    <x v="19"/>
    <n v="900281089"/>
    <s v="CONTRATAR  EL MANTENIMIENTO (CON SUMINISTRO DE REPUESTOS) Y RECARGA DE LOS EXTINTORES Y LA REVISIÓN Y MANTENIMIENTO DE LOS GABINETES CONTRA INCENDIO DE LAS SEDES DEL CONCEJO DE BOGOTÁ."/>
    <n v="4452000"/>
    <s v=" "/>
    <n v="2012"/>
    <s v=" "/>
    <d v="2012-11-22T00:00:00"/>
    <d v="2013-01-04T00:00:00"/>
    <n v="0"/>
    <n v="0"/>
    <n v="0"/>
    <s v=""/>
    <s v=""/>
    <d v="2013-01-04T00:00:00"/>
    <n v="4452000"/>
    <n v="4452000"/>
    <n v="0"/>
    <m/>
    <x v="3"/>
    <x v="0"/>
    <n v="0"/>
    <s v=""/>
    <x v="1"/>
  </r>
  <r>
    <x v="21"/>
    <x v="20"/>
    <n v="860009759"/>
    <s v="SUSCRIPCIÓN AL DIARIO LA REPÚBLICA, POR EL TÉRMINO DE UN AÑO, PARA EL CONCEJO DE BOGOTÁ_x000a_"/>
    <n v="849000"/>
    <s v=" "/>
    <n v="2012"/>
    <s v=" "/>
    <d v="2012-05-15T00:00:00"/>
    <d v="2013-05-15T00:00:00"/>
    <n v="0"/>
    <n v="0"/>
    <n v="0"/>
    <s v=""/>
    <s v=""/>
    <d v="2013-05-15T00:00:00"/>
    <n v="849000"/>
    <n v="849000"/>
    <n v="0"/>
    <m/>
    <x v="3"/>
    <x v="0"/>
    <n v="0"/>
    <s v=""/>
    <x v="1"/>
  </r>
  <r>
    <x v="22"/>
    <x v="21"/>
    <n v="830107673"/>
    <s v="Realizar el mantenimiento correctivo y preventivo para las máquinas: Impresora Litográfica MULTILITIH modelo 1250, Compaginadora DUPLO DC 10, Guillotina y Cizalla manual; ubicadas en la oficina de Anales y Publicaciones del Concejo de Bogotá, Calle 36 No. 28 a-41 Bogotá D.C., de conformidad con lo establecido en la invitación pública."/>
    <n v="7192000"/>
    <s v=" "/>
    <n v="2012"/>
    <s v=" "/>
    <d v="2012-06-29T00:00:00"/>
    <d v="2013-02-28T00:00:00"/>
    <n v="0"/>
    <n v="0"/>
    <n v="0"/>
    <s v=""/>
    <s v=""/>
    <d v="2013-02-28T00:00:00"/>
    <n v="7192000"/>
    <n v="7192000"/>
    <n v="0"/>
    <m/>
    <x v="3"/>
    <x v="0"/>
    <n v="0"/>
    <s v=""/>
    <x v="1"/>
  </r>
  <r>
    <x v="23"/>
    <x v="22"/>
    <n v="900152368"/>
    <s v="Contratar el servicio de mantenimiento preventivo y correctivo para los tanques de almacenamiento y equipos de bombeo hidráulicos de agua potable, residual y aguas negras de las instalaciones del Centro Administrativo Distrital CAD ."/>
    <n v="4839200"/>
    <s v=" "/>
    <n v="2012"/>
    <s v=" "/>
    <d v="2012-08-23T00:00:00"/>
    <d v="2013-02-23T00:00:00"/>
    <n v="0"/>
    <n v="0"/>
    <n v="0"/>
    <s v=""/>
    <s v=""/>
    <d v="2013-02-23T00:00:00"/>
    <n v="4839200"/>
    <n v="4839200"/>
    <n v="0"/>
    <m/>
    <x v="3"/>
    <x v="0"/>
    <n v="0"/>
    <s v=""/>
    <x v="1"/>
  </r>
  <r>
    <x v="24"/>
    <x v="23"/>
    <n v="830038886"/>
    <s v="Prestar el servicio de mantenimiento periódico preventivo al parque automotor de la Secretaría Distrital de Hacienda y el Concejo de Bogotá D.C."/>
    <n v="13527752"/>
    <s v=" "/>
    <n v="2012"/>
    <s v=" "/>
    <d v="2012-08-16T00:00:00"/>
    <d v="2013-03-16T00:00:00"/>
    <n v="0"/>
    <n v="0"/>
    <n v="0"/>
    <s v=""/>
    <s v=""/>
    <d v="2013-03-16T00:00:00"/>
    <n v="13527752"/>
    <n v="0"/>
    <n v="13527752"/>
    <m/>
    <x v="6"/>
    <x v="0"/>
    <n v="1"/>
    <s v=""/>
    <x v="0"/>
  </r>
  <r>
    <x v="25"/>
    <x v="24"/>
    <n v="860011153"/>
    <s v="Expedición de pólizas de seguros EL CONCEJO DE BOGOTA que conforman el Grupo No 4 &quot;SEGUROS DE VIDA CONCEJALES&quot;, del pliego de condiciones de la Licitación Pública No. SDH-LP-001-2012 y la propuesta por el contratista el POSITIVA COMPAÑÍA DE SEGUROS S.A."/>
    <n v="85219000"/>
    <s v=" "/>
    <n v="2012"/>
    <s v=" "/>
    <d v="2012-08-01T00:00:00"/>
    <d v="2013-09-14T00:00:00"/>
    <n v="0"/>
    <n v="0"/>
    <n v="0"/>
    <s v=""/>
    <s v=""/>
    <d v="2013-09-14T00:00:00"/>
    <n v="85219000"/>
    <n v="95321355"/>
    <n v="-10102355"/>
    <m/>
    <x v="13"/>
    <x v="0"/>
    <n v="-0.11854580551285521"/>
    <s v=""/>
    <x v="1"/>
  </r>
  <r>
    <x v="26"/>
    <x v="25"/>
    <m/>
    <s v="La Secretaria Distrital de Hacienda, están interesadas en contratar las pólizas de seguros requeridas para la adecuada protección de los bienes e intereses patrimoniales de propiedad de las mismas y del Concejo de Bogotá D.C., o de aquellos por los cuales sean o llegaren a ser legalmente responsables, así como los seguros de Grupo Vida de los CONCEJALES DE BOGOTÁ D.C.- AUTOMÓVILES"/>
    <n v="81888094"/>
    <s v=" "/>
    <n v="2012"/>
    <s v=" "/>
    <d v="2012-08-01T00:00:00"/>
    <d v="2013-08-30T00:00:00"/>
    <n v="1"/>
    <n v="17234233"/>
    <n v="2"/>
    <s v="107 días calendario"/>
    <d v="2013-12-15T00:00:00"/>
    <d v="2013-12-15T00:00:00"/>
    <n v="99122327"/>
    <n v="93840542"/>
    <n v="5281785"/>
    <m/>
    <x v="14"/>
    <x v="0"/>
    <n v="5.3285522645165506E-2"/>
    <s v=""/>
    <x v="0"/>
  </r>
  <r>
    <x v="27"/>
    <x v="26"/>
    <n v="860007590"/>
    <s v="SUSCRIPCIÓN AL DIARIO EL ESPECTADOR, POR EL TÉRMINO DE UN AÑO, PARA EL CONCEJO DE BOGOTÁ."/>
    <n v="900000"/>
    <s v=" "/>
    <n v="2012"/>
    <s v=" "/>
    <d v="2012-09-10T00:00:00"/>
    <d v="2013-09-10T00:00:00"/>
    <n v="0"/>
    <n v="0"/>
    <n v="0"/>
    <s v=""/>
    <s v=""/>
    <d v="2013-09-10T00:00:00"/>
    <n v="900000"/>
    <n v="900000"/>
    <n v="0"/>
    <m/>
    <x v="3"/>
    <x v="0"/>
    <n v="0"/>
    <s v=""/>
    <x v="1"/>
  </r>
  <r>
    <x v="28"/>
    <x v="27"/>
    <n v="860536029"/>
    <s v="Realizar la suscripción a periódicos, revistas, medios de comunicación impresos, para el Concejo de Bogotá _EL NUEVO SIGLO"/>
    <n v="840000"/>
    <s v=" "/>
    <n v="2012"/>
    <s v=" "/>
    <d v="2012-09-13T00:00:00"/>
    <d v="2013-09-13T00:00:00"/>
    <n v="0"/>
    <n v="0"/>
    <n v="0"/>
    <s v=""/>
    <s v=""/>
    <d v="2013-09-13T00:00:00"/>
    <n v="840000"/>
    <n v="840000"/>
    <n v="0"/>
    <m/>
    <x v="3"/>
    <x v="0"/>
    <n v="0"/>
    <s v=""/>
    <x v="1"/>
  </r>
  <r>
    <x v="29"/>
    <x v="28"/>
    <n v="860509265"/>
    <s v="SUSCRIPCIÓN A LA REVISTA SEMANA, POR EL TÉRMINO DE UN AÑO, PARA EL CONCEJO DE BOGOTÁ"/>
    <n v="795000"/>
    <s v=" "/>
    <n v="2012"/>
    <s v=" "/>
    <d v="2012-09-28T00:00:00"/>
    <d v="2013-09-28T00:00:00"/>
    <n v="0"/>
    <n v="0"/>
    <n v="0"/>
    <s v=""/>
    <s v=""/>
    <d v="2013-09-28T00:00:00"/>
    <n v="795000"/>
    <n v="795000"/>
    <n v="0"/>
    <m/>
    <x v="3"/>
    <x v="0"/>
    <n v="0"/>
    <s v=""/>
    <x v="1"/>
  </r>
  <r>
    <x v="30"/>
    <x v="29"/>
    <n v="800008838"/>
    <s v="Prestar el servicio de mantenimiento preventivo y correctivo con suministro de repuestos, del sistema de alarmas de emergencia, ubicado en las sedes del Concejo de Bogotá D.C."/>
    <n v="1818000"/>
    <s v=" "/>
    <n v="2012"/>
    <s v=" "/>
    <d v="2012-09-13T00:00:00"/>
    <d v="2013-03-13T00:00:00"/>
    <n v="0"/>
    <n v="0"/>
    <n v="0"/>
    <s v=""/>
    <s v=""/>
    <d v="2013-03-13T00:00:00"/>
    <n v="1818000"/>
    <n v="0"/>
    <n v="1818000"/>
    <m/>
    <x v="6"/>
    <x v="0"/>
    <n v="1"/>
    <s v=""/>
    <x v="0"/>
  </r>
  <r>
    <x v="31"/>
    <x v="30"/>
    <n v="51979294"/>
    <s v="Prestar los servicios profesionales para asesorar Jurídicamente a los miembros  mesa directiva del Concejo de Bogotá D.C., en ala prevención del daño antijurídico"/>
    <n v="30000000"/>
    <s v=" "/>
    <n v="2012"/>
    <s v=" "/>
    <d v="2012-08-30T00:00:00"/>
    <d v="2013-02-28T00:00:00"/>
    <n v="0"/>
    <n v="0"/>
    <n v="0"/>
    <s v=""/>
    <s v=""/>
    <d v="2013-02-28T00:00:00"/>
    <n v="30000000"/>
    <n v="30000000"/>
    <n v="0"/>
    <m/>
    <x v="3"/>
    <x v="0"/>
    <n v="0"/>
    <s v=""/>
    <x v="1"/>
  </r>
  <r>
    <x v="32"/>
    <x v="31"/>
    <n v="39753021"/>
    <s v="PRESTAR LOS SERVICIOS PROFESIONALES PARA EFECTUAR EL APOYO AL SEGUIMIENTO Y LA VERIFICACIÓN DE CUMPLIMIENTO DE LOS ASPECTOS JURÍDICOS, TÉCNICOS, ADMINISTRATIVOS Y ECONÓMICOS DE LAS ACTIVIDADES DE SUPERVISIÓN, DELEGADAS A LA DIRECCIÓN ADMINISTRATIVA Y FINANCIERA DEL CONCEJO DE BOGOTÁ D.C., DE CONFORMIDAD CON LOS ESTUDIOS PREVIOS."/>
    <n v="35000000"/>
    <s v=" "/>
    <n v="2012"/>
    <s v=" "/>
    <d v="2012-09-03T00:00:00"/>
    <d v="2013-04-03T00:00:00"/>
    <n v="0"/>
    <n v="0"/>
    <n v="0"/>
    <s v=""/>
    <s v=""/>
    <d v="2013-04-03T00:00:00"/>
    <n v="35000000"/>
    <n v="34666667"/>
    <n v="333333"/>
    <m/>
    <x v="15"/>
    <x v="0"/>
    <n v="9.5237999999999712E-3"/>
    <s v=""/>
    <x v="0"/>
  </r>
  <r>
    <x v="33"/>
    <x v="32"/>
    <n v="830031631"/>
    <s v="Adquirir a título de compraventa elementos de protección personal para los servidores públicos  del Concejo de Bogotá,  de conformidad con los establecido en la invitación pública del proceso de selección mínima cuantía No. SDH-SMINC-25-2012 y la propuesta por ustedes presentada."/>
    <n v="8334226"/>
    <s v=" "/>
    <n v="2012"/>
    <s v=" "/>
    <d v="2012-09-18T00:00:00"/>
    <d v="2013-12-18T00:00:00"/>
    <n v="0"/>
    <n v="0"/>
    <n v="0"/>
    <s v=""/>
    <s v=""/>
    <d v="2013-12-18T00:00:00"/>
    <n v="8334226"/>
    <n v="8334226"/>
    <n v="0"/>
    <m/>
    <x v="3"/>
    <x v="0"/>
    <n v="0"/>
    <s v=""/>
    <x v="1"/>
  </r>
  <r>
    <x v="34"/>
    <x v="33"/>
    <n v="830095213"/>
    <s v="Suministro de combustible para el Concejo de Bogotá D.C., de conformidad con los pliegos de condiciones del proceso de selección abreviada de menor cuantía No. SDH-SAMC-002-2012 y la propuesta."/>
    <n v="315000000"/>
    <s v=" "/>
    <n v="2012"/>
    <s v=" "/>
    <d v="2012-09-11T00:00:00"/>
    <d v="2013-04-11T00:00:00"/>
    <n v="0"/>
    <n v="0"/>
    <n v="1"/>
    <s v="77 días"/>
    <d v="2013-06-27T00:00:00"/>
    <d v="2013-06-27T00:00:00"/>
    <n v="315000000"/>
    <n v="314473887"/>
    <n v="526113"/>
    <m/>
    <x v="16"/>
    <x v="0"/>
    <n v="1.6701999999999551E-3"/>
    <s v=""/>
    <x v="0"/>
  </r>
  <r>
    <x v="35"/>
    <x v="34"/>
    <n v="80089626"/>
    <s v="Prestar los servicios profesionales para apoyar a la oficina de sistemas del Concejo de Bogotá en el soporte técnico y mantenimiento de Hardware y software de los equipos de computo de la Corporación."/>
    <n v="20565000"/>
    <s v=" "/>
    <n v="2012"/>
    <s v=" "/>
    <d v="2012-09-10T00:00:00"/>
    <d v="2013-03-10T00:00:00"/>
    <n v="0"/>
    <n v="0"/>
    <n v="0"/>
    <s v=""/>
    <s v=""/>
    <d v="2013-03-10T00:00:00"/>
    <n v="20565000"/>
    <n v="20565000"/>
    <n v="0"/>
    <m/>
    <x v="3"/>
    <x v="0"/>
    <n v="0"/>
    <s v=""/>
    <x v="1"/>
  </r>
  <r>
    <x v="36"/>
    <x v="35"/>
    <n v="52798119"/>
    <s v="Adquirir a título de compraventa de uniformes y elementos deportivos para el Concejo de Bogotá, D.C._x000a_"/>
    <n v="6730000"/>
    <s v=" "/>
    <n v="2012"/>
    <s v=" "/>
    <d v="2012-10-11T00:00:00"/>
    <d v="2012-12-11T00:00:00"/>
    <n v="0"/>
    <n v="0"/>
    <n v="1"/>
    <s v="9 días"/>
    <d v="2012-12-20T00:00:00"/>
    <d v="2012-12-20T00:00:00"/>
    <n v="6730000"/>
    <n v="6395000"/>
    <n v="335000"/>
    <m/>
    <x v="17"/>
    <x v="0"/>
    <n v="4.9777117384844027E-2"/>
    <s v=""/>
    <x v="0"/>
  </r>
  <r>
    <x v="37"/>
    <x v="36"/>
    <n v="79425541"/>
    <s v="CONTRATAR LOS SERVICIOS PROFESIONALES PARA ELABORAR LA PLANEACIÓN, EJECUCIÓN Y SEGUIMIENTO A PROYECTOS DE INFRAESTRUCTURA FÍSICA, QUE REQUIERA EL  CONCEJO DE BOGOTÁ D.C."/>
    <n v="23994880"/>
    <s v=" "/>
    <n v="2012"/>
    <s v=" "/>
    <d v="2012-10-23T00:00:00"/>
    <d v="2013-04-23T00:00:00"/>
    <n v="0"/>
    <n v="0"/>
    <n v="0"/>
    <s v=""/>
    <s v=""/>
    <d v="2013-04-23T00:00:00"/>
    <n v="23994880"/>
    <n v="23994876"/>
    <n v="4"/>
    <m/>
    <x v="18"/>
    <x v="0"/>
    <n v="1.66702229797977E-7"/>
    <s v=""/>
    <x v="1"/>
  </r>
  <r>
    <x v="38"/>
    <x v="37"/>
    <n v="5946865"/>
    <s v="Prestar los servicios profesionales para diseñar el plan estratégico del talento humano-PETH para el Concejo de Bogotá."/>
    <n v="38400000"/>
    <s v=" "/>
    <n v="2012"/>
    <s v=" "/>
    <d v="2012-10-05T00:00:00"/>
    <d v="2013-04-05T00:00:00"/>
    <n v="0"/>
    <n v="0"/>
    <n v="0"/>
    <s v=""/>
    <s v=""/>
    <d v="2013-04-05T00:00:00"/>
    <n v="38400000"/>
    <n v="38400000"/>
    <n v="0"/>
    <m/>
    <x v="3"/>
    <x v="0"/>
    <n v="0"/>
    <s v=""/>
    <x v="1"/>
  </r>
  <r>
    <x v="39"/>
    <x v="38"/>
    <n v="900220190"/>
    <s v="Adquirir a título de compraventa por el sistema de precios unitarios de elementos, medicamentos e insumos  para dotar los botiquines, consultorio y brigadas de emergencia del Concejo de Bogotá, D.C."/>
    <n v="3961330"/>
    <s v=" "/>
    <n v="2012"/>
    <s v=" "/>
    <d v="2012-12-03T00:00:00"/>
    <d v="2013-02-03T00:00:00"/>
    <n v="0"/>
    <n v="0"/>
    <n v="0"/>
    <s v=""/>
    <s v=""/>
    <d v="2013-02-03T00:00:00"/>
    <n v="3961330"/>
    <n v="3961330"/>
    <n v="0"/>
    <m/>
    <x v="3"/>
    <x v="0"/>
    <n v="0"/>
    <s v=""/>
    <x v="1"/>
  </r>
  <r>
    <x v="40"/>
    <x v="39"/>
    <n v="900350416"/>
    <s v="EJECUTAR ACTIVIDADES DE CAPACITACIÓN PARA EL CONCEJO DE BOGOTÁ, EN EL EJE TEMÁTICO DEL SISTEMA DE INFORMACIÓN Y GESTIÓN DOCUMENTAL DE ARCHIVO Y CORRESPONDENCIA, DE CONFORMIDAD CON LOS DOCUMENTOS QUE HACEN PARTE DE LA PRESENTE CONTRATACIÓN Y  LO ESTABLECIDO EN LA PRESENTE INVITACIÓN PÚBLICA"/>
    <n v="24000000"/>
    <s v=" "/>
    <n v="2012"/>
    <s v=" "/>
    <d v="2012-12-27T00:00:00"/>
    <d v="2013-06-27T00:00:00"/>
    <n v="0"/>
    <n v="0"/>
    <n v="0"/>
    <s v=""/>
    <s v=""/>
    <d v="2013-06-27T00:00:00"/>
    <n v="24000000"/>
    <n v="24000000"/>
    <n v="0"/>
    <m/>
    <x v="3"/>
    <x v="0"/>
    <n v="0"/>
    <s v=""/>
    <x v="1"/>
  </r>
  <r>
    <x v="41"/>
    <x v="40"/>
    <n v="80725449"/>
    <s v="Contratar el servicio para la elaboración del retrato sobre lienzo al óleo del Honorable Concejal de Bogotá D.C., doctor Darío Fernando Cepeda Peña, actual Presidente de la Mesa Directiva del Concejo de Bogotá D.C.k, de conformidad con los estudios previo"/>
    <n v="6000000"/>
    <s v=" "/>
    <n v="2012"/>
    <s v=" "/>
    <d v="2013-01-18T00:00:00"/>
    <d v="2013-03-17T00:00:00"/>
    <n v="0"/>
    <n v="0"/>
    <n v="0"/>
    <s v=""/>
    <s v=""/>
    <d v="2013-03-17T00:00:00"/>
    <n v="6000000"/>
    <n v="6000000"/>
    <n v="0"/>
    <m/>
    <x v="3"/>
    <x v="0"/>
    <n v="0"/>
    <s v=""/>
    <x v="1"/>
  </r>
  <r>
    <x v="42"/>
    <x v="41"/>
    <n v="830067096"/>
    <s v="Suscripción a la  revista El Congreso Siglo XXI, con destino al Concejo de Bogotá, D.C., de acuerdo con lo establecido en los estudios previos"/>
    <n v="7740000"/>
    <s v=" "/>
    <n v="2012"/>
    <s v=" "/>
    <d v="2012-07-17T00:00:00"/>
    <d v="2013-07-17T00:00:00"/>
    <n v="0"/>
    <n v="0"/>
    <n v="0"/>
    <s v=""/>
    <s v=""/>
    <d v="2013-07-17T00:00:00"/>
    <n v="7740000"/>
    <n v="7740000"/>
    <n v="0"/>
    <m/>
    <x v="3"/>
    <x v="0"/>
    <n v="0"/>
    <s v=""/>
    <x v="1"/>
  </r>
  <r>
    <x v="43"/>
    <x v="42"/>
    <n v="830034865"/>
    <s v="Contratar el servicio de exámenes médicos ocupacionales y paraclínicos y suministro y aplicación de vacunas"/>
    <n v="47000000"/>
    <s v=" "/>
    <n v="2012"/>
    <s v=" "/>
    <d v="2012-06-04T00:00:00"/>
    <d v="2013-02-04T00:00:00"/>
    <n v="0"/>
    <n v="0"/>
    <n v="1"/>
    <s v="3 meses"/>
    <d v="2013-05-04T00:00:00"/>
    <d v="2013-05-04T00:00:00"/>
    <n v="47000000"/>
    <n v="41245000"/>
    <n v="5755000"/>
    <m/>
    <x v="19"/>
    <x v="0"/>
    <n v="0.12244680851063827"/>
    <s v=""/>
    <x v="0"/>
  </r>
  <r>
    <x v="44"/>
    <x v="43"/>
    <n v="830012587"/>
    <s v="Contratar la preproducción, producción, emisión y postproducción de 140 programas de televisión, con un término de duración de treinta (30) minutos cada uno, que permita a los bogotanos conocer el diario transcurrir de la Corporación, así como las opiniones de los Honorables Concejales que representan los intereses de los diferentes sectores sociales de la Capital, de conformidad con lo establecido en los estudios previos."/>
    <n v="950000000"/>
    <s v=" "/>
    <n v="2012"/>
    <s v=" "/>
    <d v="2012-05-24T00:00:00"/>
    <d v="2013-04-24T00:00:00"/>
    <n v="0"/>
    <n v="0"/>
    <n v="1"/>
    <s v="12 días"/>
    <d v="2013-05-06T00:00:00"/>
    <d v="2013-05-06T00:00:00"/>
    <n v="950000000"/>
    <n v="950000000"/>
    <n v="0"/>
    <m/>
    <x v="3"/>
    <x v="0"/>
    <n v="0"/>
    <s v=""/>
    <x v="1"/>
  </r>
  <r>
    <x v="45"/>
    <x v="44"/>
    <n v="900118932"/>
    <s v="Alquiler de medios tecnológicos para ser utilizados como apoyo en el esquema de seguridad para la permanencia y adecuada protección de los bienes muebles e inmuebles de propiedad del Concejo de Bogotá D.C., de conformidad con lo establecido en la Invitación Pública No. SHD-SMINC-015-2012 y la propuesta presentada por el contratista."/>
    <n v="27918648"/>
    <s v=" "/>
    <n v="2012"/>
    <s v=" "/>
    <d v="2012-06-21T00:00:00"/>
    <d v="2012-08-11T00:00:00"/>
    <n v="2"/>
    <n v="13786987"/>
    <n v="2"/>
    <s v="1 mes y 20 días"/>
    <d v="2012-10-31T00:00:00"/>
    <d v="2012-10-31T00:00:00"/>
    <n v="41705635"/>
    <n v="41705635"/>
    <n v="0"/>
    <m/>
    <x v="3"/>
    <x v="0"/>
    <n v="0"/>
    <s v=""/>
    <x v="1"/>
  </r>
  <r>
    <x v="46"/>
    <x v="45"/>
    <n v="860009578"/>
    <s v="Contratar con una compañía de seguros legalmente autorizada para funcionar en el país, las pólizas de Seguro Obligatorio SOAT requerida para la adecuada protección de los vehículos de propiedad de la SECRETARIA DE HACIENDA y del CONCEJO DE BOGOTÁ"/>
    <n v="4100000"/>
    <s v=" "/>
    <n v="2012"/>
    <s v=" "/>
    <d v="2012-07-13T00:00:00"/>
    <d v="2013-07-16T00:00:00"/>
    <n v="0"/>
    <n v="0"/>
    <n v="0"/>
    <s v=""/>
    <s v=""/>
    <d v="2013-07-16T00:00:00"/>
    <n v="4100000"/>
    <n v="3389600"/>
    <n v="710400"/>
    <m/>
    <x v="20"/>
    <x v="0"/>
    <n v="0.17326829268292687"/>
    <s v=""/>
    <x v="0"/>
  </r>
  <r>
    <x v="47"/>
    <x v="46"/>
    <n v="900268429"/>
    <s v="Prestar el servicio de mantenimiento preventivo y correctivo al sistema eléctrico del  Centro Administrativo Distrital CAD y al Sistema de Generación y Transferencia Eléctrica de Emergencia  del Concejo de Bogotá, DC."/>
    <n v="8932201"/>
    <s v=" "/>
    <n v="2012"/>
    <s v=" "/>
    <d v="2012-08-30T00:00:00"/>
    <d v="2013-05-30T00:00:00"/>
    <n v="0"/>
    <n v="0"/>
    <n v="1"/>
    <s v="4 meses"/>
    <d v="2013-09-30T00:00:00"/>
    <d v="2013-09-30T00:00:00"/>
    <n v="8932201"/>
    <n v="8906668"/>
    <n v="25533"/>
    <m/>
    <x v="21"/>
    <x v="0"/>
    <n v="2.8585339716381553E-3"/>
    <s v=""/>
    <x v="0"/>
  </r>
  <r>
    <x v="48"/>
    <x v="47"/>
    <n v="830006177"/>
    <s v="Contrata el transporte  de bienes muebles, equipos de oficina y cajas de archivo documental  para la Secretaría Distrital de Hacienda, dentro el perímetro urbano de Bogotá, D.C."/>
    <n v="8545000"/>
    <s v=" "/>
    <n v="2012"/>
    <s v=" "/>
    <d v="2012-09-03T00:00:00"/>
    <d v="2013-04-03T00:00:00"/>
    <n v="0"/>
    <n v="0"/>
    <n v="1"/>
    <s v="3 meses"/>
    <d v="2013-07-03T00:00:00"/>
    <d v="2013-07-03T00:00:00"/>
    <n v="8545000"/>
    <n v="4336000"/>
    <n v="4209000"/>
    <m/>
    <x v="22"/>
    <x v="0"/>
    <n v="0.49256875365710939"/>
    <s v=""/>
    <x v="0"/>
  </r>
  <r>
    <x v="49"/>
    <x v="48"/>
    <n v="900548648"/>
    <s v="Prestar el servicio integral de aseo y cafetería  para las instalaciones del Concejo de Bogotá y la Secretaria de Hacienda "/>
    <n v="220839000"/>
    <s v=" "/>
    <n v="2012"/>
    <s v=" "/>
    <d v="2012-09-20T00:00:00"/>
    <d v="2013-04-20T00:00:00"/>
    <n v="1"/>
    <n v="21739353"/>
    <n v="1"/>
    <s v="2 meses"/>
    <d v="2013-06-20T00:00:00"/>
    <d v="2013-06-20T00:00:00"/>
    <n v="242578353"/>
    <n v="218264339"/>
    <n v="24314014"/>
    <m/>
    <x v="23"/>
    <x v="0"/>
    <n v="0.10023158991437298"/>
    <s v=""/>
    <x v="0"/>
  </r>
  <r>
    <x v="50"/>
    <x v="49"/>
    <n v="79661783"/>
    <s v="Prestar el servicio de empaste y/o encuadernación de documentos de archivo en libros tamaños carta, oficio o extra-oficio para el Concejo de Bogotá D.C:, de conformidad con lo establecido en las especificaciones enunciadas en el Anexo Técnico - Especifica"/>
    <n v="4493000"/>
    <s v=" "/>
    <n v="2012"/>
    <s v=" "/>
    <d v="2012-09-20T00:00:00"/>
    <d v="2013-03-20T00:00:00"/>
    <n v="0"/>
    <n v="0"/>
    <n v="1"/>
    <s v="2 meses"/>
    <d v="2013-05-20T00:00:00"/>
    <d v="2013-05-20T00:00:00"/>
    <n v="4493000"/>
    <n v="3309000"/>
    <n v="1184000"/>
    <m/>
    <x v="24"/>
    <x v="0"/>
    <n v="0.26352103271756067"/>
    <s v=""/>
    <x v="0"/>
  </r>
  <r>
    <x v="51"/>
    <x v="50"/>
    <n v="830053669"/>
    <s v="Contratar la prestación de servicio de fotocopiado y servicios afines para el Concejo de Bogotá y la Secretaría de Hacienda"/>
    <n v="22726000"/>
    <s v=" "/>
    <n v="2012"/>
    <s v=" "/>
    <d v="2012-09-11T00:00:00"/>
    <d v="2013-04-11T00:00:00"/>
    <n v="1"/>
    <n v="2000000"/>
    <n v="1"/>
    <s v="1 mes y 20 días"/>
    <d v="2013-05-31T00:00:00"/>
    <d v="2013-05-31T00:00:00"/>
    <n v="24726000"/>
    <n v="24725958"/>
    <n v="42"/>
    <m/>
    <x v="25"/>
    <x v="0"/>
    <n v="1.6986168405175306E-6"/>
    <s v=""/>
    <x v="1"/>
  </r>
  <r>
    <x v="52"/>
    <x v="51"/>
    <n v="900552779"/>
    <s v="Contratar la prestación de los servicio de mensajería expresa masiva del Concejo de  Bogotá  de conformidad con los pliegos de condiciones del proceso de Selección Abreviada de Menor Cuantía No. SDH-SAMC-003-2012 y la propuesta presentada."/>
    <n v="19116000"/>
    <s v=" "/>
    <n v="2012"/>
    <s v=" "/>
    <d v="2012-09-24T00:00:00"/>
    <d v="2013-04-24T00:00:00"/>
    <n v="1"/>
    <n v="1807575"/>
    <n v="1"/>
    <s v="21 días calendario"/>
    <d v="2013-05-15T00:00:00"/>
    <d v="2013-05-15T00:00:00"/>
    <n v="20923575"/>
    <n v="19912200"/>
    <n v="1011375"/>
    <m/>
    <x v="26"/>
    <x v="0"/>
    <n v="4.8336625074825834E-2"/>
    <s v=""/>
    <x v="0"/>
  </r>
  <r>
    <x v="53"/>
    <x v="52"/>
    <n v="830143378"/>
    <s v="Realizar la ejecución de actividades de capacitación para el Concejo de Bogotá, D.C., correspondientes a los Grupos 4: Eje temático: Administración Pública; 5: Eje temático: Componente Jurídico y 9: Eje temático: Sistema Integrado de Gestión,  de la Licitación Pública SDH-LP-002-2012, de conformidad con lo establecido en el pliego de condiciones."/>
    <n v="282073266"/>
    <s v=" "/>
    <n v="2012"/>
    <s v=" "/>
    <d v="2012-10-16T00:00:00"/>
    <d v="2013-06-16T00:00:00"/>
    <n v="0"/>
    <n v="0"/>
    <n v="0"/>
    <s v=""/>
    <s v=""/>
    <d v="2013-06-16T00:00:00"/>
    <n v="282073266"/>
    <n v="282073266"/>
    <n v="0"/>
    <m/>
    <x v="3"/>
    <x v="0"/>
    <n v="0"/>
    <s v=""/>
    <x v="1"/>
  </r>
  <r>
    <x v="54"/>
    <x v="53"/>
    <n v="830126085"/>
    <s v="Realizar la ejecución de actividades de capacitación para el Concejo de Bogotá, D.C., correspondientes al Grupo 8: Ejes temáticos : Comunicación Organizacional y Calidad de Vida Laboral para los grupos de apoyo normativo, de la Licitación Pública SDH-LP-002-2012, de conformidad con lo establecido en el pliego de condiciones, el Anexo técnico y la propuesta"/>
    <n v="50618751"/>
    <s v=" "/>
    <n v="2012"/>
    <s v=" "/>
    <d v="2012-10-16T00:00:00"/>
    <d v="2013-06-16T00:00:00"/>
    <n v="0"/>
    <n v="0"/>
    <n v="0"/>
    <s v=""/>
    <s v=""/>
    <d v="2013-06-16T00:00:00"/>
    <n v="50618751"/>
    <n v="50618751"/>
    <n v="0"/>
    <m/>
    <x v="3"/>
    <x v="0"/>
    <n v="0"/>
    <s v=""/>
    <x v="1"/>
  </r>
  <r>
    <x v="55"/>
    <x v="54"/>
    <n v="860015685"/>
    <s v="Realizar la ejecución de actividades de capacitación para el Concejo de Bogotá, D.C., correspondientes al Grupo 7: Eje temático: Sistemas y Herramientas Informáticas,  de la Licitación Pública SDH-LP-002-2012, de conformidad con lo establecido en el pliego"/>
    <n v="69900000"/>
    <s v=" "/>
    <n v="2012"/>
    <s v=" "/>
    <d v="2012-10-20T00:00:00"/>
    <d v="2013-06-20T00:00:00"/>
    <n v="0"/>
    <n v="0"/>
    <n v="0"/>
    <s v="41 días"/>
    <d v="2013-07-31T00:00:00"/>
    <d v="2013-07-31T00:00:00"/>
    <n v="69900000"/>
    <n v="69900000"/>
    <n v="0"/>
    <m/>
    <x v="3"/>
    <x v="0"/>
    <n v="0"/>
    <s v=""/>
    <x v="1"/>
  </r>
  <r>
    <x v="56"/>
    <x v="55"/>
    <n v="860506170"/>
    <s v="LA SECRETARÍA DISTRITAL DE HACIENDA Y EL INSTITUTO DISTRITAL DE PATRIMONIO CULTURAL, se comprometen a aunar esfuerzos, recursos técnicos, humanos y financieros para la intervención y realización de las actividades asociadas a la restauración - conservación de los bienes muebles de carácter patrimonial del Honorable Concejo de Bogotá D.C."/>
    <n v="500000000"/>
    <s v=" "/>
    <n v="2012"/>
    <s v=" "/>
    <d v="2012-09-18T00:00:00"/>
    <d v="2013-05-18T00:00:00"/>
    <n v="0"/>
    <n v="0"/>
    <n v="0"/>
    <s v=""/>
    <s v=""/>
    <d v="2013-05-18T00:00:00"/>
    <n v="500000000"/>
    <n v="500000000"/>
    <n v="0"/>
    <m/>
    <x v="3"/>
    <x v="0"/>
    <n v="0"/>
    <s v=""/>
    <x v="1"/>
  </r>
  <r>
    <x v="57"/>
    <x v="56"/>
    <n v="860049921"/>
    <s v="REALIZAR LAS  AUDITORIAS DE SEGUIMIENTO AL SISTEMA DE GESTIÓN DE CALIDAD DEL CONCEJO DE BOGOTÁ"/>
    <n v="10440000"/>
    <s v=" "/>
    <n v="2012"/>
    <s v=" "/>
    <d v="2012-06-07T00:00:00"/>
    <d v="2013-02-07T00:00:00"/>
    <n v="0"/>
    <n v="0"/>
    <n v="0"/>
    <s v=""/>
    <s v=""/>
    <d v="2013-02-07T00:00:00"/>
    <n v="10440000"/>
    <n v="10440000"/>
    <n v="0"/>
    <m/>
    <x v="3"/>
    <x v="0"/>
    <n v="0"/>
    <s v=""/>
    <x v="1"/>
  </r>
  <r>
    <x v="58"/>
    <x v="57"/>
    <n v="830085352"/>
    <s v="Realizar la interventoría técnica, administrativa, ambiental, contable, contractual, financiera, legal y presupuestal, para el contrato de “Mantenimiento integral locativo, con el suministro de personal, materiales y repuestos para las instalaciones físicas del Concejo D.C.&quot;, de conformidad con lo establecido en la invitación pública del proceso SDH-SMINC-029-2012 y la propuesta presentada."/>
    <n v="24824832"/>
    <s v=" "/>
    <n v="2012"/>
    <s v=" "/>
    <d v="2012-10-26T00:00:00"/>
    <d v="2013-07-26T00:00:00"/>
    <n v="0"/>
    <n v="0"/>
    <n v="0"/>
    <s v=""/>
    <s v=""/>
    <d v="2013-07-26T00:00:00"/>
    <n v="24824832"/>
    <n v="24824832"/>
    <n v="0"/>
    <m/>
    <x v="3"/>
    <x v="0"/>
    <n v="0"/>
    <s v=""/>
    <x v="1"/>
  </r>
  <r>
    <x v="59"/>
    <x v="58"/>
    <n v="900169179"/>
    <s v="Suscripción  al diario Periódico de Bogotá, con destino al Concejo de Bogotá, DC., de conformidad con los estudios previos."/>
    <n v="810000"/>
    <s v=" "/>
    <n v="2012"/>
    <s v=" "/>
    <d v="2012-10-11T00:00:00"/>
    <d v="2013-10-11T00:00:00"/>
    <n v="0"/>
    <n v="0"/>
    <n v="0"/>
    <s v=""/>
    <s v=""/>
    <d v="2013-10-11T00:00:00"/>
    <n v="810000"/>
    <n v="810000"/>
    <n v="0"/>
    <m/>
    <x v="3"/>
    <x v="0"/>
    <n v="0"/>
    <s v=""/>
    <x v="1"/>
  </r>
  <r>
    <x v="60"/>
    <x v="59"/>
    <n v="830042460"/>
    <s v="Contratar el servicio de mantenimiento integral locativo con el suministro de personal, equipo y repuestos en las instalaciones físicas del Concejo de Bogotá y la Secretaría de Hacienda"/>
    <n v="299287875"/>
    <s v=" "/>
    <n v="2012"/>
    <s v=" "/>
    <d v="2012-10-26T00:00:00"/>
    <d v="2013-06-26T00:00:00"/>
    <n v="0"/>
    <n v="0"/>
    <n v="0"/>
    <s v=""/>
    <s v=""/>
    <d v="2013-06-26T00:00:00"/>
    <n v="299287875"/>
    <n v="160844981"/>
    <n v="138442894"/>
    <m/>
    <x v="27"/>
    <x v="0"/>
    <n v="0.46257434919473428"/>
    <s v=""/>
    <x v="0"/>
  </r>
  <r>
    <x v="61"/>
    <x v="60"/>
    <n v="830017796"/>
    <s v="Revisión general de los sistemas de transporte vertical del CAD y del Concejo de Bogotá y Expedir la certificación de conformidad con la normatividad vigente sobre el tema"/>
    <n v="1392000"/>
    <s v=" "/>
    <n v="2012"/>
    <s v=" "/>
    <d v="2012-11-29T00:00:00"/>
    <d v="2013-01-29T00:00:00"/>
    <n v="0"/>
    <n v="0"/>
    <n v="4"/>
    <s v="9 meses"/>
    <d v="2013-09-17T00:00:00"/>
    <d v="2013-09-17T00:00:00"/>
    <n v="1392000"/>
    <n v="0"/>
    <n v="1392000"/>
    <m/>
    <x v="6"/>
    <x v="0"/>
    <n v="1"/>
    <s v=""/>
    <x v="0"/>
  </r>
  <r>
    <x v="62"/>
    <x v="61"/>
    <n v="830043839"/>
    <s v="Contratar el servicio de mantenimiento preventivo y correctivo de los sistemas de archivos rodantes, de propiedad del Concejo de Bogotá y la Secretaría de Hacienda"/>
    <n v="4056000"/>
    <s v=" "/>
    <n v="2012"/>
    <s v=" "/>
    <d v="2012-10-26T00:00:00"/>
    <d v="2013-04-26T00:00:00"/>
    <n v="0"/>
    <n v="0"/>
    <n v="0"/>
    <s v=""/>
    <s v=""/>
    <d v="2013-04-26T00:00:00"/>
    <n v="4056000"/>
    <n v="4056000"/>
    <n v="0"/>
    <m/>
    <x v="3"/>
    <x v="0"/>
    <n v="0"/>
    <s v=""/>
    <x v="1"/>
  </r>
  <r>
    <x v="63"/>
    <x v="62"/>
    <n v="900431177"/>
    <s v="Prestar el servicio integral de vigilancia y seguridad privada para la permanente y adecuada protección de las personas (funcionarios, visitantes, contribuyentes), los bienes muebles e inmuebles de propiedad de la entidad contratante, así como de aquellos por los que les correspondiere velar en virtud de disposición legal, contractual o convencional, para el Concejo de Bogotá D.C., de conformidad con lo establecido en el pliego de condiciones del proceso de selección SDH-LP-003-2012, sus anexos y la propuesta presentada."/>
    <n v="431745000"/>
    <s v=" "/>
    <n v="2012"/>
    <s v=" "/>
    <d v="2012-11-01T00:00:00"/>
    <d v="2013-09-01T00:00:00"/>
    <n v="1"/>
    <n v="95000000"/>
    <n v="1"/>
    <s v="2 meses"/>
    <d v="2013-11-01T00:00:00"/>
    <d v="2013-11-01T00:00:00"/>
    <n v="526745000"/>
    <n v="526745000"/>
    <n v="0"/>
    <m/>
    <x v="3"/>
    <x v="0"/>
    <n v="0"/>
    <s v=""/>
    <x v="1"/>
  </r>
  <r>
    <x v="64"/>
    <x v="63"/>
    <n v="860066942"/>
    <s v="Prestar los servicios integrales para desarrollar las actividades contenidas en los planes de bienestar e incentivos del Concejo de Bogotá, de conformidad con lo establecido en el pliego de condiciones del Proceso de Selección de Menor Cuantía SDH-SAMC-005-2012 y la propuesta."/>
    <n v="407400000"/>
    <s v=" "/>
    <n v="2012"/>
    <s v=" "/>
    <d v="2012-11-19T00:00:00"/>
    <d v="2013-04-19T00:00:00"/>
    <n v="2"/>
    <n v="211889880"/>
    <n v="4"/>
    <s v="5 meses y 27 días"/>
    <d v="2013-10-15T00:00:00"/>
    <d v="2013-10-15T00:00:00"/>
    <n v="619289880"/>
    <n v="619289880"/>
    <n v="0"/>
    <m/>
    <x v="3"/>
    <x v="0"/>
    <n v="0"/>
    <s v=""/>
    <x v="1"/>
  </r>
  <r>
    <x v="65"/>
    <x v="64"/>
    <n v="80199707"/>
    <s v="Realizar el servicio de mantenimiento correctivo, incluyendo los repuestos y/o elementos nuevos que requieran las sillas existentes en el Concejo de Bogotá."/>
    <n v="37359000"/>
    <s v=" "/>
    <n v="2012"/>
    <s v=" "/>
    <d v="2012-11-21T00:00:00"/>
    <d v="2013-06-21T00:00:00"/>
    <n v="0"/>
    <n v="0"/>
    <n v="0"/>
    <s v=""/>
    <s v=""/>
    <d v="2013-06-21T00:00:00"/>
    <n v="37359000"/>
    <n v="37359000"/>
    <n v="0"/>
    <m/>
    <x v="3"/>
    <x v="0"/>
    <n v="0"/>
    <s v=""/>
    <x v="1"/>
  </r>
  <r>
    <x v="66"/>
    <x v="65"/>
    <n v="830100153"/>
    <s v="Suministrar elementos de promoción institucional y actos protocolarios del Concejo de Bogotá D.C., de acuerdo a las especificaciones técnicas y en las cantidades solicitadas, de conformidad con lo establecido en la Invitación Pública No. SDH-SMINC-046-2012"/>
    <n v="20358000"/>
    <s v=" "/>
    <n v="2012"/>
    <s v=" "/>
    <d v="2012-11-27T00:00:00"/>
    <d v="2013-05-27T00:00:00"/>
    <n v="1"/>
    <n v="8062000"/>
    <n v="1"/>
    <s v="1 mes"/>
    <d v="2013-06-27T00:00:00"/>
    <d v="2013-06-27T00:00:00"/>
    <n v="28420000"/>
    <n v="28379400"/>
    <n v="40600"/>
    <m/>
    <x v="28"/>
    <x v="0"/>
    <n v="1.4285714285714457E-3"/>
    <s v=""/>
    <x v="0"/>
  </r>
  <r>
    <x v="67"/>
    <x v="66"/>
    <n v="860030197"/>
    <s v="La SDH Y EL JARDÍN BOTÁNICO, se compromete a aunar esfuerzos y recursos técnicos, humanos financieros para realizar actividades de arborización y manejo integral de arboles en el Concejo de Bogotá"/>
    <n v="6388708"/>
    <s v=" "/>
    <n v="2012"/>
    <s v=" "/>
    <d v="2012-12-05T00:00:00"/>
    <d v="2013-08-14T00:00:00"/>
    <n v="1"/>
    <n v="2648556"/>
    <n v="3"/>
    <s v="3 meses y 20 días"/>
    <d v="2013-11-02T00:00:00"/>
    <d v="2013-11-02T00:00:00"/>
    <n v="9037264"/>
    <n v="7492420"/>
    <n v="1544844"/>
    <m/>
    <x v="29"/>
    <x v="0"/>
    <n v="0.17094155930378929"/>
    <s v=""/>
    <x v="0"/>
  </r>
  <r>
    <x v="68"/>
    <x v="67"/>
    <n v="860007336"/>
    <s v="Entregar a título de compraventa bonos del Plan de Bienestar para el Concejo de Bogotá D.C. de conformidad con los establecido en el proceso SDJH-SAMC-006-2012 y el anexo Técnico N° 1"/>
    <n v="58300000"/>
    <s v=" "/>
    <n v="2012"/>
    <s v=" "/>
    <d v="2012-12-17T00:00:00"/>
    <d v="2013-02-17T00:00:00"/>
    <n v="0"/>
    <n v="0"/>
    <n v="0"/>
    <s v=""/>
    <s v=""/>
    <d v="2013-02-17T00:00:00"/>
    <n v="58300000"/>
    <n v="58300000"/>
    <n v="0"/>
    <m/>
    <x v="3"/>
    <x v="0"/>
    <n v="0"/>
    <s v=""/>
    <x v="1"/>
  </r>
  <r>
    <x v="69"/>
    <x v="68"/>
    <n v="800045878"/>
    <s v="Prestar el servicio integral en comunicación, consistente en el diseño, producción y ejecución de las estrategias de divulgación en medios de comunicación de carácter masivo, alternativo y comunitario al servicio del Concejo de Bogotá D.C., de conformidad con lo establecido en los pliegos de condiciones del proceso No. SDH-SIE-06-2012 y Oferta económica."/>
    <n v="293000000"/>
    <s v=" "/>
    <n v="2012"/>
    <s v=" "/>
    <d v="2012-12-26T00:00:00"/>
    <d v="2013-06-26T00:00:00"/>
    <n v="2"/>
    <n v="118000000"/>
    <n v="4"/>
    <s v="4 meses y 20 días"/>
    <d v="2013-11-15T00:00:00"/>
    <d v="2013-11-15T00:00:00"/>
    <n v="411000000"/>
    <n v="411000000"/>
    <n v="0"/>
    <m/>
    <x v="3"/>
    <x v="0"/>
    <n v="0"/>
    <s v=""/>
    <x v="1"/>
  </r>
  <r>
    <x v="70"/>
    <x v="69"/>
    <n v="830050320"/>
    <s v="Realizar el mantenimiento preventivo y correctivo (con suministro de repuestos) a las plantas purificadoras y dispensadores de agua del Concejo de Bogotá, D.C., de conformidad con la Invitación Pública del proceso de Selección de Mínima Cuantía No. SDH-SMINC-054-2012."/>
    <n v="10032000"/>
    <s v="SDH-SMINC-54-2012 "/>
    <n v="2012"/>
    <s v=" "/>
    <d v="2012-12-28T00:00:00"/>
    <d v="2013-08-28T00:00:00"/>
    <n v="0"/>
    <n v="0"/>
    <n v="1"/>
    <s v="2 meses"/>
    <d v="2013-10-28T00:00:00"/>
    <d v="2013-10-28T00:00:00"/>
    <n v="10032000"/>
    <n v="9339930"/>
    <n v="692070"/>
    <m/>
    <x v="30"/>
    <x v="0"/>
    <n v="6.8986244019138776E-2"/>
    <s v=""/>
    <x v="0"/>
  </r>
  <r>
    <x v="71"/>
    <x v="70"/>
    <n v="805006014"/>
    <s v="Suscripción al Sistema de Televisión Satelital para ser instalado en la sede del Concejo de Bogotá, D.C"/>
    <n v="1633200"/>
    <s v=" "/>
    <n v="2012"/>
    <s v=" "/>
    <d v="2013-01-14T00:00:00"/>
    <d v="2014-01-13T00:00:00"/>
    <n v="1"/>
    <n v="285000"/>
    <n v="1"/>
    <s v="2 meses"/>
    <d v="2014-03-13T00:00:00"/>
    <d v="2014-03-13T00:00:00"/>
    <n v="1918200"/>
    <n v="1755170"/>
    <n v="163030"/>
    <m/>
    <x v="31"/>
    <x v="0"/>
    <n v="8.4991137524762839E-2"/>
    <s v=""/>
    <x v="0"/>
  </r>
  <r>
    <x v="72"/>
    <x v="55"/>
    <n v="860506170"/>
    <s v="Aunar esfuerzos técnicos, humanos y financieros para la intervención y realización de las actividades asociadas a la restauración - conservación de los bienes de carácter patrimonial del Honorable Concejo de Bogotá, D.C., fase II, que incluye los bienes en el segundo orden de prioridad para restauración. "/>
    <n v="398614000"/>
    <s v=" "/>
    <n v="2013"/>
    <s v=" "/>
    <d v="2014-08-13T00:00:00"/>
    <d v="2015-04-13T00:00:00"/>
    <n v="0"/>
    <n v="0"/>
    <n v="1"/>
    <s v="7 meses"/>
    <d v="2015-11-13T00:00:00"/>
    <d v="2015-11-13T00:00:00"/>
    <n v="398614000"/>
    <n v="398614000"/>
    <n v="0"/>
    <m/>
    <x v="3"/>
    <x v="0"/>
    <n v="0"/>
    <s v=""/>
    <x v="1"/>
  </r>
  <r>
    <x v="73"/>
    <x v="71"/>
    <n v="900006611"/>
    <s v="Adquirir a título de compra el  libro memorias y luchas urbanas por el derecho a una vida digna, autor Doctor Álvaro Oviedo Hernández, de conformidad con lo establecido en la Invitación Pública SDH-SMINC-59-2012."/>
    <n v="1062500"/>
    <s v=" "/>
    <n v="2012"/>
    <s v=" "/>
    <d v="2013-01-18T00:00:00"/>
    <d v="2015-02-17T00:00:00"/>
    <n v="0"/>
    <n v="0"/>
    <n v="0"/>
    <s v=""/>
    <s v=""/>
    <d v="2015-02-17T00:00:00"/>
    <n v="1062500"/>
    <n v="1062500"/>
    <n v="0"/>
    <m/>
    <x v="3"/>
    <x v="0"/>
    <n v="0"/>
    <s v=""/>
    <x v="1"/>
  </r>
  <r>
    <x v="74"/>
    <x v="72"/>
    <n v="830039811"/>
    <s v="Contratar los servicios de mantenimiento, soporte técnico especializado, administración, seguridad y comunicaciones de las plataformas Oracle y Microsoft del Concejo de Bogotá, de conformidad con lo establecido en el pliego de condiciones y los anexos del proceso de selección abreviada de menor cuantía N° SDH-SAMC-016-2012"/>
    <n v="80074800"/>
    <s v=" "/>
    <n v="2012"/>
    <s v=" "/>
    <d v="2013-02-08T00:00:00"/>
    <d v="2014-03-07T00:00:00"/>
    <n v="1"/>
    <n v="35588800"/>
    <n v="1"/>
    <s v="1 mes"/>
    <d v="2014-04-07T00:00:00"/>
    <d v="2014-04-07T00:00:00"/>
    <n v="115663600"/>
    <n v="115663040"/>
    <n v="560"/>
    <m/>
    <x v="32"/>
    <x v="0"/>
    <n v="4.8416269249340615E-6"/>
    <s v=""/>
    <x v="1"/>
  </r>
  <r>
    <x v="75"/>
    <x v="73"/>
    <n v="4831"/>
    <s v="Prestación del servicio de mantenimiento correctivo con suministro de repuestos de los automotores marca CHEVROLET al servicio del Concejo de Bogotá."/>
    <n v="13806000"/>
    <s v=" "/>
    <n v="2012"/>
    <s v=" "/>
    <d v="2013-01-04T00:00:00"/>
    <d v="2013-06-04T00:00:00"/>
    <n v="0"/>
    <n v="0"/>
    <n v="1"/>
    <s v="1 mes"/>
    <d v="2013-07-04T00:00:00"/>
    <d v="2013-07-04T00:00:00"/>
    <n v="13806000"/>
    <n v="12439108"/>
    <n v="1366892"/>
    <m/>
    <x v="33"/>
    <x v="0"/>
    <n v="9.9007098363030566E-2"/>
    <s v=""/>
    <x v="0"/>
  </r>
  <r>
    <x v="76"/>
    <x v="74"/>
    <n v="860053274"/>
    <s v="Suministrar papelería y útiles de escritorio por el sistema de precios unitarios fijos, en la modalidad de proveeduría integral (outsourcing) para el Concejo de Bogotá D.C., de conformidad con los requerimientos establecidos en el pliego de condiciones y "/>
    <n v="59046000"/>
    <s v=" "/>
    <n v="2012"/>
    <s v=" "/>
    <d v="2013-01-18T00:00:00"/>
    <d v="2013-06-17T00:00:00"/>
    <n v="1"/>
    <n v="20167111"/>
    <n v="2"/>
    <s v="5 meses y 13 días"/>
    <d v="2013-11-30T00:00:00"/>
    <d v="2013-11-30T00:00:00"/>
    <n v="79213111"/>
    <n v="65129800"/>
    <n v="14083311"/>
    <m/>
    <x v="34"/>
    <x v="0"/>
    <n v="0.17779015143086607"/>
    <s v=""/>
    <x v="0"/>
  </r>
  <r>
    <x v="77"/>
    <x v="75"/>
    <n v="860066942"/>
    <s v="Prestar los servicios integrales para desarrollar las actividades contenidas en los planes de bienestar e incentivos del Concejo de Bogotá, de conformidad con lo establecido en el pliego de condiciones del Proceso de Selección de Menor Cuantía SDH-SAMC-00"/>
    <n v="49500000"/>
    <s v=" "/>
    <n v="2012"/>
    <s v=" "/>
    <d v="2013-02-20T00:00:00"/>
    <d v="2013-08-19T00:00:00"/>
    <n v="1"/>
    <n v="25746412"/>
    <n v="0"/>
    <s v=""/>
    <s v=""/>
    <d v="2013-08-19T00:00:00"/>
    <n v="75246412"/>
    <n v="75232704"/>
    <n v="13708"/>
    <m/>
    <x v="35"/>
    <x v="0"/>
    <n v="1.821747992448719E-4"/>
    <s v=""/>
    <x v="1"/>
  </r>
  <r>
    <x v="78"/>
    <x v="76"/>
    <n v="891501783"/>
    <s v="Adquisición de un sistema de control de contenidos para el Concejo de Bogotá"/>
    <n v="36990000"/>
    <s v=" "/>
    <n v="2012"/>
    <s v=" "/>
    <d v="2013-02-18T00:00:00"/>
    <d v="2013-06-17T00:00:00"/>
    <n v="0"/>
    <n v="0"/>
    <n v="0"/>
    <s v=""/>
    <s v=""/>
    <d v="2013-06-17T00:00:00"/>
    <n v="36990000"/>
    <n v="36990000"/>
    <n v="0"/>
    <m/>
    <x v="3"/>
    <x v="0"/>
    <n v="0"/>
    <s v=""/>
    <x v="1"/>
  </r>
  <r>
    <x v="79"/>
    <x v="77"/>
    <n v="800058607"/>
    <s v="Adquisición de licencias Exchange, licencias directorio activo Windows Server, para el Concejo de Bogotá  D.C."/>
    <n v="85314724"/>
    <s v=" "/>
    <n v="2012"/>
    <s v=" "/>
    <d v="2013-02-11T00:00:00"/>
    <d v="2014-02-10T00:00:00"/>
    <n v="0"/>
    <n v="0"/>
    <n v="0"/>
    <s v=""/>
    <s v=""/>
    <d v="2014-02-10T00:00:00"/>
    <n v="85314724"/>
    <n v="85314724"/>
    <n v="0"/>
    <m/>
    <x v="3"/>
    <x v="0"/>
    <n v="0"/>
    <s v=""/>
    <x v="1"/>
  </r>
  <r>
    <x v="80"/>
    <x v="78"/>
    <n v="830017209"/>
    <s v="Adquisición de licencias e implementación del Software para la gestión de la mesa de ayuda de la TIC'S para el Concejo de Bogotá D.C., de conformidad con lo establecido en pliego de condiciones del proceso de selección No. SDH -SIE-12-2012, y la propuesta presentada por el contratista."/>
    <n v="123000000"/>
    <s v=" "/>
    <n v="2013"/>
    <s v=" "/>
    <d v="2013-02-14T00:00:00"/>
    <d v="2014-02-13T00:00:00"/>
    <n v="0"/>
    <n v="0"/>
    <n v="0"/>
    <s v=""/>
    <s v=""/>
    <d v="2014-02-13T00:00:00"/>
    <n v="123000000"/>
    <n v="123000000"/>
    <n v="0"/>
    <s v="Porcentaje de avance"/>
    <x v="3"/>
    <x v="0"/>
    <n v="0"/>
    <s v=""/>
    <x v="1"/>
  </r>
  <r>
    <x v="81"/>
    <x v="79"/>
    <n v="900241832"/>
    <s v="Prestar el servicio integral a todo costo de desinsectación, desinfección y desratización, para el control o manejo integrado de plagas en las instalaciones de la Secretaria de Hacienda, zonas comunes del Centro Administrativo Distrital CAD y el Concejo de Bogotá."/>
    <n v="1113600"/>
    <s v=" "/>
    <n v="2013"/>
    <s v=" "/>
    <d v="2013-03-14T00:00:00"/>
    <d v="2014-03-13T00:00:00"/>
    <n v="0"/>
    <n v="0"/>
    <n v="0"/>
    <s v=""/>
    <s v=""/>
    <d v="2014-03-13T00:00:00"/>
    <n v="1113600"/>
    <n v="1113600"/>
    <n v="0"/>
    <s v="Se efectuará un pago por cada una de las visitas correspondientes al servicio objeto del contrato, de conformidad con los servicios efectivamente prestados y cajas porta-cebos suministradas._x000a_"/>
    <x v="3"/>
    <x v="0"/>
    <n v="0"/>
    <s v=""/>
    <x v="1"/>
  </r>
  <r>
    <x v="82"/>
    <x v="80"/>
    <n v="830122370"/>
    <s v="Realizar el mantenimiento correctivo y preventivo para las maquinas: Impresora Litográfica MULTILITH modelo 1250, compaginadora DUPLO DC 10 , Guillotina de Cizalla Manual; ubicadas en la oficina de Anales y Publicaciones del Concejo de Bogotá."/>
    <n v="4967474"/>
    <s v="SDH-SMINC-03-2013 "/>
    <n v="2013"/>
    <s v=" "/>
    <d v="2013-03-14T00:00:00"/>
    <d v="2014-01-13T00:00:00"/>
    <n v="0"/>
    <n v="0"/>
    <n v="0"/>
    <s v=""/>
    <s v=""/>
    <d v="2014-01-13T00:00:00"/>
    <n v="4967474"/>
    <n v="4453683"/>
    <n v="513791"/>
    <s v="Se realizará un pago por cada visita de mantenimiento preventivo y/o correctivo efectuadas de acuerdo con la programación que establezca con el supervisor."/>
    <x v="36"/>
    <x v="0"/>
    <n v="0.10343103959879807"/>
    <s v=""/>
    <x v="0"/>
  </r>
  <r>
    <x v="83"/>
    <x v="81"/>
    <n v="860025639"/>
    <s v="Prestar el servicio de mantenimiento preventivo y correctivo ocasional a los ascensores marca Mitsubishi ubicados en el Concejo de Bogotá."/>
    <n v="15913500"/>
    <s v=" "/>
    <n v="2013"/>
    <s v=" "/>
    <d v="2013-04-03T00:00:00"/>
    <d v="2014-04-02T00:00:00"/>
    <n v="0"/>
    <n v="0"/>
    <n v="0"/>
    <s v=""/>
    <s v=""/>
    <d v="2014-04-02T00:00:00"/>
    <n v="15913500"/>
    <n v="15453868"/>
    <n v="459632"/>
    <m/>
    <x v="37"/>
    <x v="0"/>
    <n v="2.8883149527131002E-2"/>
    <s v=""/>
    <x v="0"/>
  </r>
  <r>
    <x v="84"/>
    <x v="82"/>
    <n v="860001022"/>
    <s v="Entregar tres ejemplares de cada uno de los diarios, El Tiempo, y Portafolio por el término de un (1) año para el Concejo de Bogotá D.C."/>
    <n v="1197000"/>
    <s v=" "/>
    <n v="2013"/>
    <s v=" "/>
    <d v="2013-03-19T00:00:00"/>
    <d v="2014-03-18T00:00:00"/>
    <n v="0"/>
    <n v="0"/>
    <n v="0"/>
    <s v=""/>
    <s v=""/>
    <d v="2014-03-18T00:00:00"/>
    <n v="1197000"/>
    <n v="1197000"/>
    <n v="0"/>
    <s v="Único"/>
    <x v="3"/>
    <x v="0"/>
    <n v="0"/>
    <s v=""/>
    <x v="1"/>
  </r>
  <r>
    <x v="85"/>
    <x v="22"/>
    <n v="900152368"/>
    <s v="Contratar el servicio de mantenimiento preventivo y correctivo para los tanques de almacenamiento y equipos de bombeo hidráulicos de agua potable, residual y aguas negras de las instalaciones del Centro Administrativo Distrital CAD ."/>
    <n v="8360000"/>
    <s v=" "/>
    <n v="2013"/>
    <s v=" "/>
    <d v="2013-05-06T00:00:00"/>
    <d v="2014-05-05T00:00:00"/>
    <n v="0"/>
    <n v="0"/>
    <n v="0"/>
    <s v=""/>
    <s v=""/>
    <d v="2014-05-05T00:00:00"/>
    <n v="8360000"/>
    <n v="7018000"/>
    <n v="1342000"/>
    <s v="Los mantenimientos preventivos se cancelarán bimestralmente de acuerdo con los servicios efectivamente prestados conforme con el cronograma establecido. El mantenimiento correctivo y el suministro de repuestos se cancelarán de acuerdo a la demanda durante en el respectivo periodo, manteniendo los precios unitarios ofrecidos en la propuesta."/>
    <x v="38"/>
    <x v="0"/>
    <n v="0.16052631578947374"/>
    <s v=""/>
    <x v="0"/>
  </r>
  <r>
    <x v="86"/>
    <x v="83"/>
    <n v="800249557"/>
    <s v="Adquirir a título de compraventa ejemplares del Directorio de Despachos Públicos de Colombia, 22ª publicación, edición 2012-2013, para el Concejo de Bogotá, de conformidad con lo señalado en los estudios previos"/>
    <n v="3700000"/>
    <s v=" "/>
    <n v="2013"/>
    <s v=" "/>
    <d v="2013-04-29T00:00:00"/>
    <d v="2013-09-28T00:00:00"/>
    <n v="0"/>
    <n v="0"/>
    <n v="0"/>
    <s v=""/>
    <s v=""/>
    <d v="2013-09-28T00:00:00"/>
    <n v="3700000"/>
    <n v="3700000"/>
    <n v="0"/>
    <s v="Un pago a la entrega a satisfacción de los 60 Directorios."/>
    <x v="3"/>
    <x v="0"/>
    <n v="0"/>
    <s v=""/>
    <x v="1"/>
  </r>
  <r>
    <x v="87"/>
    <x v="84"/>
    <n v="79843891"/>
    <s v="Prestar servicios profesionales para apoyar a la Dirección Financiera del Concejo de Bogotá en la supervisión de los contratos que le sean asignados, implementando mecanismos que le permitan contribuir efectivamente al seguimiento técnico, administrativo, financiero  contable y jurídico sobre el cumplimiento del objeto de cada contrato asignado"/>
    <n v="50000000"/>
    <s v=" "/>
    <n v="2013"/>
    <s v=" "/>
    <d v="2013-04-23T00:00:00"/>
    <d v="2014-02-22T00:00:00"/>
    <n v="0"/>
    <n v="0"/>
    <n v="0"/>
    <s v=""/>
    <s v=""/>
    <d v="2014-02-22T00:00:00"/>
    <n v="50000000"/>
    <n v="50000000"/>
    <n v="0"/>
    <s v="Mensual"/>
    <x v="3"/>
    <x v="0"/>
    <n v="0"/>
    <s v=""/>
    <x v="1"/>
  </r>
  <r>
    <x v="88"/>
    <x v="85"/>
    <n v="51931422"/>
    <s v="Prestar servicios profesionales para acompañar la definición, contratación, intervención y seguimiento de los temas relacionados con la infraestructura del Concejo de Bogotá D.C. "/>
    <n v="41600000"/>
    <s v=" "/>
    <n v="2013"/>
    <s v=" "/>
    <d v="2013-05-02T00:00:00"/>
    <d v="2014-03-01T00:00:00"/>
    <n v="0"/>
    <n v="0"/>
    <n v="0"/>
    <s v=""/>
    <s v=""/>
    <d v="2014-03-01T00:00:00"/>
    <n v="41600000"/>
    <n v="41600000"/>
    <n v="0"/>
    <s v="Mensual"/>
    <x v="3"/>
    <x v="0"/>
    <n v="0"/>
    <s v=""/>
    <x v="1"/>
  </r>
  <r>
    <x v="89"/>
    <x v="16"/>
    <n v="899999115"/>
    <s v="Contratar los servicios de impresión, para la Secretaria Distrital de hacienda y el Concejo de Bogotá de conformidad con los requerimientos establecidos en el pliego de condiciones"/>
    <n v="160000000"/>
    <s v=" "/>
    <n v="2013"/>
    <s v=" "/>
    <d v="2013-05-17T00:00:00"/>
    <d v="2013-07-22T00:00:00"/>
    <n v="1"/>
    <n v="80000000"/>
    <n v="1"/>
    <s v="1 mes"/>
    <d v="2013-08-22T00:00:00"/>
    <d v="2013-08-22T00:00:00"/>
    <n v="240000000"/>
    <n v="239999964"/>
    <n v="36"/>
    <s v="La Secretaría Distrital de Hacienda efectuará dos (2) pagos mensuales vencidos correspondientes a la gestión del servicio integral de impresión la cual incluirá el valor correspondiente Al cupo mensual de impresiones establecido por la Secretaría Distrital de Hacienda y el Concejo de Bogotá, más el valor de las impresiones adicionales (fuera del rango base establecido por la Secretaría y el Concejo de Bogotá) en el mismo periodo."/>
    <x v="39"/>
    <x v="0"/>
    <n v="1.4999999997655777E-7"/>
    <s v=""/>
    <x v="1"/>
  </r>
  <r>
    <x v="90"/>
    <x v="42"/>
    <n v="830034865"/>
    <s v="Contratar el servicio de exámenes médicos ocupacionales y paraclínicos y suministro y aplicación de vacunas"/>
    <n v="55784000"/>
    <s v=" "/>
    <n v="2013"/>
    <s v=" "/>
    <d v="2013-05-09T00:00:00"/>
    <d v="2014-02-08T00:00:00"/>
    <n v="1"/>
    <n v="11395000"/>
    <n v="3"/>
    <s v="7 meses"/>
    <d v="2014-09-08T00:00:00"/>
    <d v="2014-09-08T00:00:00"/>
    <n v="67179000"/>
    <n v="67115300"/>
    <n v="63700"/>
    <s v="Mensual"/>
    <x v="40"/>
    <x v="0"/>
    <n v="9.4821298322389502E-4"/>
    <s v=""/>
    <x v="1"/>
  </r>
  <r>
    <x v="91"/>
    <x v="33"/>
    <n v="830095213"/>
    <s v="Suministro de combustible para el Concejo de Bogotá D.C., de conformidad con los pliegos de condiciones del proceso de selección abreviada de menor cuantía No. SDH-SAMC-002-2012 y la propuesta."/>
    <n v="351295000"/>
    <s v=" "/>
    <n v="2013"/>
    <s v=" "/>
    <d v="2013-06-01T00:00:00"/>
    <d v="2014-02-01T00:00:00"/>
    <n v="2"/>
    <n v="121839060"/>
    <n v="3"/>
    <s v="5 meses"/>
    <d v="2014-06-30T00:00:00"/>
    <d v="2014-06-30T00:00:00"/>
    <n v="473134060"/>
    <n v="473133510"/>
    <n v="550"/>
    <s v="Mensual"/>
    <x v="41"/>
    <x v="0"/>
    <n v="1.1624612271665669E-6"/>
    <s v=""/>
    <x v="1"/>
  </r>
  <r>
    <x v="92"/>
    <x v="86"/>
    <n v="830070625"/>
    <s v="Contratar la prestación del servicio de mantenimiento preventivo y correctivo con suministro de repuestos del sistema de alarmas de emergencia, ubicado en las sedes del Concejo de Bogotá D.C."/>
    <n v="2096276"/>
    <s v=" "/>
    <n v="2013"/>
    <s v=" "/>
    <d v="2013-05-23T00:00:00"/>
    <d v="2014-02-22T00:00:00"/>
    <n v="0"/>
    <n v="0"/>
    <n v="0"/>
    <s v=""/>
    <s v=""/>
    <d v="2014-02-22T00:00:00"/>
    <n v="2096276"/>
    <n v="2086672"/>
    <n v="9604"/>
    <s v="Se efectuará un pago por cada una de las visitas de mantenimiento preventivo efectuadas. Los repuestos se cancelarán de acuerdo a la demanda requerida en el respectivo periodo, manteniendo los precios unitarios ofrecidos en la propuesta."/>
    <x v="42"/>
    <x v="0"/>
    <n v="4.5814577851389648E-3"/>
    <s v=""/>
    <x v="0"/>
  </r>
  <r>
    <x v="93"/>
    <x v="87"/>
    <n v="860019063"/>
    <s v="Contratar la prestación del servicio de mantenimiento correctivo con suministro de repuestos de los automotores marca MITSUBISHI al servicio del Concejo de Bogotá."/>
    <n v="12594000"/>
    <s v=" "/>
    <n v="2013"/>
    <s v=" "/>
    <d v="2013-05-22T00:00:00"/>
    <d v="2014-01-21T00:00:00"/>
    <n v="1"/>
    <n v="6150000"/>
    <n v="0"/>
    <s v=""/>
    <s v=""/>
    <d v="2014-01-21T00:00:00"/>
    <n v="18744000"/>
    <n v="18286734"/>
    <n v="457266"/>
    <s v="Los mantenimientos correctivos y el suministro de repuestos se cancelarán mensualmente de acuerdo con los servicios efectivamente prestados."/>
    <x v="43"/>
    <x v="0"/>
    <n v="2.4395326504481396E-2"/>
    <s v=""/>
    <x v="0"/>
  </r>
  <r>
    <x v="94"/>
    <x v="41"/>
    <n v="830067096"/>
    <s v="Suscripción a la revista EL CONGRESO Siglo XXI, con destino al Concejo de Bogotá D.C. "/>
    <n v="7740000"/>
    <s v=" "/>
    <n v="2013"/>
    <s v=" "/>
    <d v="2013-05-16T00:00:00"/>
    <d v="2014-05-15T00:00:00"/>
    <n v="0"/>
    <n v="0"/>
    <n v="0"/>
    <s v=""/>
    <s v=""/>
    <d v="2014-05-15T00:00:00"/>
    <n v="7740000"/>
    <n v="7740000"/>
    <n v="0"/>
    <m/>
    <x v="3"/>
    <x v="0"/>
    <n v="0"/>
    <s v=""/>
    <x v="1"/>
  </r>
  <r>
    <x v="95"/>
    <x v="88"/>
    <n v="52353202"/>
    <s v="Prestar servicios profesionales para apoyar a la Dirección Financiera del Concejo de Bogotá en la supervisión de los contratos que le sean asignados, implementando mecanismos que le permitan contribuir efectivamente al seguimiento técnico, administrativo, financiero  contable y jurídico sobre el cumplimiento del objeto de cada contrato asignado"/>
    <n v="50000000"/>
    <s v=" "/>
    <n v="2013"/>
    <s v=" "/>
    <d v="2013-05-16T00:00:00"/>
    <d v="2014-03-15T00:00:00"/>
    <n v="0"/>
    <n v="0"/>
    <n v="0"/>
    <s v=""/>
    <s v=""/>
    <d v="2014-03-15T00:00:00"/>
    <n v="50000000"/>
    <n v="27500000"/>
    <n v="22500000"/>
    <s v="Mensual"/>
    <x v="44"/>
    <x v="0"/>
    <n v="0.44999999999999996"/>
    <s v=""/>
    <x v="0"/>
  </r>
  <r>
    <x v="96"/>
    <x v="89"/>
    <n v="900333228"/>
    <s v="Contratar los servicios de mantenimiento, preventivo y correctivo con suministro de repuestos de la puerta eléctrica y talanqueras de acceso vehicular en el Concejo de Bogotá. "/>
    <n v="9366000"/>
    <s v=" "/>
    <n v="2013"/>
    <s v=" "/>
    <d v="2013-05-29T00:00:00"/>
    <d v="2014-02-28T00:00:00"/>
    <n v="0"/>
    <n v="0"/>
    <n v="0"/>
    <s v=""/>
    <s v=""/>
    <d v="2014-02-28T00:00:00"/>
    <n v="9366000"/>
    <n v="7783682"/>
    <n v="1582318"/>
    <s v="Se efectuará un pago por cada una de las visitas de mantenimiento preventivo efectuadas. Los repuestos se cancelarán de acuerdo a la demanda requerida en el respectivo periodo, manteniendo los precios unitarios ofrecidos en la propuesta."/>
    <x v="45"/>
    <x v="0"/>
    <n v="0.16894277172752514"/>
    <s v=""/>
    <x v="0"/>
  </r>
  <r>
    <x v="97"/>
    <x v="51"/>
    <n v="900611595"/>
    <s v="Contratar la prestación de los servicio de mensajería expresa masiva del Concejo de  Bogotá  de conformidad con los pliegos de condiciones del proceso de Selección Abreviada de Menor Cuantía No. SDH-SAMC-003-2012 y la propuesta presentada."/>
    <n v="22300000"/>
    <s v=" "/>
    <n v="2013"/>
    <s v=" "/>
    <d v="2013-05-16T00:00:00"/>
    <d v="2013-12-15T00:00:00"/>
    <n v="3"/>
    <n v="10820000"/>
    <n v="3"/>
    <s v="6 meses  "/>
    <d v="2014-06-16T00:00:00"/>
    <d v="2014-06-16T00:00:00"/>
    <n v="33120000"/>
    <n v="32832950"/>
    <n v="287050"/>
    <s v="Mensual"/>
    <x v="46"/>
    <x v="0"/>
    <n v="8.6669685990338197E-3"/>
    <s v=""/>
    <x v="0"/>
  </r>
  <r>
    <x v="98"/>
    <x v="90"/>
    <n v="830109807"/>
    <s v="Contratar la suscripción al servicio de información jurídica a través de boletines informativos por correo electrónico, consultas en pagina WEB y biblioteca digital de la legislación y jurisprudencia colombiana actualizada"/>
    <n v="1030000"/>
    <s v=" "/>
    <n v="2013"/>
    <s v=" "/>
    <d v="2013-06-13T00:00:00"/>
    <d v="2014-06-12T00:00:00"/>
    <n v="0"/>
    <n v="0"/>
    <n v="0"/>
    <s v=""/>
    <s v=""/>
    <d v="2014-06-12T00:00:00"/>
    <n v="1030000"/>
    <n v="1030000"/>
    <n v="0"/>
    <s v="Único"/>
    <x v="3"/>
    <x v="0"/>
    <n v="0"/>
    <s v=""/>
    <x v="1"/>
  </r>
  <r>
    <x v="99"/>
    <x v="91"/>
    <n v="830005370"/>
    <s v="Contratar la preproducción, emisión y posproducción de programas de televisión que permita a los bogotanos conocer el diario trascurrir de la Corporación, así como las opiniones de los Honorables Concejales que representan los intereses de los diferentes sectores sociales de la capital."/>
    <n v="1379939352"/>
    <s v=" "/>
    <n v="2013"/>
    <s v=" "/>
    <d v="2013-05-27T00:00:00"/>
    <d v="2014-05-26T00:00:00"/>
    <n v="1"/>
    <n v="172492424"/>
    <n v="3"/>
    <s v="3 meses y 20 días"/>
    <d v="2014-09-15T00:00:00"/>
    <d v="2014-09-15T00:00:00"/>
    <n v="1552431776"/>
    <n v="1552431775"/>
    <n v="1"/>
    <s v="Mensual"/>
    <x v="47"/>
    <x v="0"/>
    <n v="6.4415073275370105E-10"/>
    <s v=""/>
    <x v="1"/>
  </r>
  <r>
    <x v="100"/>
    <x v="20"/>
    <n v="860009759"/>
    <s v="SUSCRIPCIÓN AL DIARIO LA REPÚBLICA, POR EL TÉRMINO DE UN AÑO, PARA EL CONCEJO DE BOGOTÁ_x000a_"/>
    <n v="849000"/>
    <s v=" "/>
    <n v="2013"/>
    <s v=" "/>
    <d v="2013-05-27T00:00:00"/>
    <d v="2014-11-26T00:00:00"/>
    <n v="0"/>
    <n v="0"/>
    <n v="0"/>
    <s v=""/>
    <s v=""/>
    <d v="2014-11-26T00:00:00"/>
    <n v="849000"/>
    <n v="849000"/>
    <n v="0"/>
    <s v="Único"/>
    <x v="3"/>
    <x v="0"/>
    <n v="0"/>
    <s v=""/>
    <x v="1"/>
  </r>
  <r>
    <x v="101"/>
    <x v="92"/>
    <n v="830101973"/>
    <s v="Servicio de trasporte de bienes muebles y cajas de archivo documental para el Concejo de Bogotá, D.C."/>
    <n v="15000000"/>
    <s v=" "/>
    <n v="2013"/>
    <s v=" "/>
    <d v="2013-07-04T00:00:00"/>
    <d v="2014-03-03T00:00:00"/>
    <n v="0"/>
    <n v="0"/>
    <n v="1"/>
    <s v="4 meses"/>
    <d v="2014-07-03T00:00:00"/>
    <d v="2014-07-03T00:00:00"/>
    <n v="15000000"/>
    <n v="5368620"/>
    <n v="9631380"/>
    <s v="Mensual"/>
    <x v="48"/>
    <x v="0"/>
    <n v="0.642092"/>
    <s v=""/>
    <x v="0"/>
  </r>
  <r>
    <x v="102"/>
    <x v="50"/>
    <n v="830053669"/>
    <s v="Contratar la prestación de servicio de fotocopiado y servicios afines para el Concejo de Bogotá y la Secretaría de Hacienda"/>
    <n v="31904847"/>
    <s v=" "/>
    <n v="2013"/>
    <s v=" "/>
    <d v="2013-06-01T00:00:00"/>
    <d v="2014-03-31T00:00:00"/>
    <n v="2"/>
    <n v="4000000"/>
    <n v="2"/>
    <s v="3 meses"/>
    <d v="2014-06-30T00:00:00"/>
    <d v="2014-06-30T00:00:00"/>
    <n v="35904847"/>
    <n v="35904845"/>
    <n v="2"/>
    <s v="Mensual"/>
    <x v="49"/>
    <x v="0"/>
    <n v="5.5702785717315351E-8"/>
    <s v=""/>
    <x v="1"/>
  </r>
  <r>
    <x v="103"/>
    <x v="93"/>
    <n v="230802"/>
    <s v="Prestar servicios profesionales de asesoría jurídica en orden a la identificación de riesgos potenciales a los que se encuentra expuesto el Concejo de Bogotá."/>
    <n v="40000000"/>
    <s v=" "/>
    <n v="2013"/>
    <s v=" "/>
    <d v="2013-05-22T00:00:00"/>
    <d v="2014-01-21T00:00:00"/>
    <n v="0"/>
    <n v="0"/>
    <n v="0"/>
    <s v=""/>
    <s v=""/>
    <d v="2014-01-21T00:00:00"/>
    <n v="40000000"/>
    <n v="16667000"/>
    <n v="23333000"/>
    <s v="Mensual"/>
    <x v="50"/>
    <x v="0"/>
    <n v="0.58332499999999998"/>
    <s v=""/>
    <x v="0"/>
  </r>
  <r>
    <x v="104"/>
    <x v="56"/>
    <n v="860049921"/>
    <s v="Realizar la auditoria de seguimiento al sistema de Gestión de calidad del Concejo de Bogotá D.C. bajo las normas ISO 9001-2008 y la NTC-GP 1000;2009"/>
    <n v="4524000"/>
    <s v=" "/>
    <n v="2013"/>
    <s v=" "/>
    <d v="2013-10-01T00:00:00"/>
    <d v="2013-10-31T00:00:00"/>
    <n v="0"/>
    <n v="0"/>
    <n v="0"/>
    <s v=""/>
    <s v=""/>
    <d v="2013-10-31T00:00:00"/>
    <n v="4524000"/>
    <n v="4524000"/>
    <n v="0"/>
    <s v="El servicio será cancelado una vez realizada la auditoría de seguimiento, previa presentación de la factura correspondiente y aprobación de la misma por parte del supervisor del contrato, acompañada de la correspondiente Certificación de cumplimiento a satisfacción expedidas por el mismo, en las cuales conste el valor a pagar por el contratista  Los pagos se efectuarán dentro de los diez (10) días hábiles siguientes a la radicación en la Subdirección Financiera  de la certificación de cumplimiento a satisfacción del objeto y obligaciones expedida por el supervisor del contrato, acompañada de los recibos de pago por concepto de aportes al Sistema de Seguridad Social Integral salud y pensión y Riesgos Laborales."/>
    <x v="3"/>
    <x v="0"/>
    <n v="0"/>
    <s v=""/>
    <x v="1"/>
  </r>
  <r>
    <x v="105"/>
    <x v="94"/>
    <n v="79887061"/>
    <s v="Prestar servicios profesionales para llevar a cabo el seguimiento de todas las solicitudes registradas en el aplicativo Mesa de Ayuda del proceso de sistemas del Concejo de Bogotá D.C."/>
    <n v="20800000"/>
    <s v=" "/>
    <n v="2013"/>
    <s v=" "/>
    <d v="2013-05-27T00:00:00"/>
    <d v="2014-01-26T00:00:00"/>
    <n v="0"/>
    <n v="0"/>
    <n v="0"/>
    <s v=""/>
    <s v=""/>
    <d v="2014-01-26T00:00:00"/>
    <n v="20800000"/>
    <n v="20800000"/>
    <n v="0"/>
    <s v="Mensual"/>
    <x v="3"/>
    <x v="0"/>
    <n v="0"/>
    <s v=""/>
    <x v="1"/>
  </r>
  <r>
    <x v="106"/>
    <x v="95"/>
    <n v="51721571"/>
    <s v="Formular una propuesta de &quot;Manual de Manejo de Conflictos&quot; a partir del diagnóstico del clima laboral, de forma tal que se permita detectar, prevenir e intervenir de manera oportuna los riesgos potenciales en materia de relaciones interpersonales de los servidores públicos en el Concejo de Bogotá D.C. previo diagnóstico del clima organizacional actual."/>
    <n v="28000000"/>
    <s v=" "/>
    <n v="2013"/>
    <s v=" "/>
    <d v="2013-05-29T00:00:00"/>
    <d v="2014-01-28T00:00:00"/>
    <n v="0"/>
    <n v="0"/>
    <n v="0"/>
    <s v=""/>
    <s v=""/>
    <d v="2014-01-28T00:00:00"/>
    <n v="28000000"/>
    <n v="28000000"/>
    <n v="0"/>
    <s v="Mensual"/>
    <x v="3"/>
    <x v="0"/>
    <n v="0"/>
    <s v=""/>
    <x v="1"/>
  </r>
  <r>
    <x v="107"/>
    <x v="96"/>
    <n v="800026212"/>
    <s v="Adquisición de impresoras para el Concejo de Bogotá, de conformidad con los requerimientos establecidos en el pliego de condiciones del proceso SDH-SIE-02-2013"/>
    <n v="266580829"/>
    <s v=" "/>
    <n v="2013"/>
    <s v=" "/>
    <d v="2013-07-02T00:00:00"/>
    <d v="2013-08-15T00:00:00"/>
    <n v="0"/>
    <n v="0"/>
    <n v="0"/>
    <s v=""/>
    <s v=""/>
    <d v="2013-08-15T00:00:00"/>
    <n v="266580829"/>
    <n v="266580829"/>
    <n v="0"/>
    <m/>
    <x v="3"/>
    <x v="0"/>
    <n v="0"/>
    <s v=""/>
    <x v="1"/>
  </r>
  <r>
    <x v="108"/>
    <x v="97"/>
    <n v="900450570"/>
    <s v="Contratar a titulo de arrendamiento un inmueble para uso de parqueadero, para el Concejo de Bogotá D.C."/>
    <n v="232000000"/>
    <s v=" "/>
    <n v="2013"/>
    <s v=" "/>
    <d v="2013-07-08T00:00:00"/>
    <d v="2014-05-07T00:00:00"/>
    <n v="2"/>
    <n v="116897514"/>
    <n v="1"/>
    <s v="2 meses y 22 días"/>
    <d v="2014-07-29T00:00:00"/>
    <d v="2014-07-29T00:00:00"/>
    <n v="348897514"/>
    <n v="348897514"/>
    <n v="0"/>
    <s v="Mensual"/>
    <x v="3"/>
    <x v="0"/>
    <n v="0"/>
    <s v=""/>
    <x v="1"/>
  </r>
  <r>
    <x v="109"/>
    <x v="65"/>
    <n v="830100153"/>
    <s v="Suministrar elementos de promoción institucional y actos protocolarios del Concejo de Bogotá D.C., de acuerdo con las especificaciones técnicas y en las cantidades solicitadas de conformidad con lo establecido en la presente Invitación Pública."/>
    <n v="23246000"/>
    <s v=" "/>
    <n v="2013"/>
    <s v=" "/>
    <d v="2013-07-08T00:00:00"/>
    <d v="2014-01-07T00:00:00"/>
    <n v="0"/>
    <n v="0"/>
    <n v="2"/>
    <s v="3 meses"/>
    <d v="2014-04-07T00:00:00"/>
    <d v="2014-04-07T00:00:00"/>
    <n v="23246000"/>
    <n v="19772977"/>
    <n v="3473023"/>
    <s v="Mensual"/>
    <x v="51"/>
    <x v="0"/>
    <n v="0.14940303708164848"/>
    <s v=""/>
    <x v="0"/>
  </r>
  <r>
    <x v="110"/>
    <x v="48"/>
    <n v="900548648"/>
    <s v="Prestar el servicio integral de aseo y cafetería  para las instalaciones del Concejo de Bogotá y la Secretaria de Hacienda"/>
    <n v="301200000"/>
    <s v=" "/>
    <n v="2013"/>
    <s v=" "/>
    <d v="2013-06-21T00:00:00"/>
    <d v="2014-03-20T00:00:00"/>
    <n v="1"/>
    <n v="20373359"/>
    <n v="2"/>
    <s v="3 meses"/>
    <d v="2014-06-20T00:00:00"/>
    <d v="2014-06-20T00:00:00"/>
    <n v="321573359"/>
    <n v="317232018"/>
    <n v="4341341"/>
    <m/>
    <x v="52"/>
    <x v="0"/>
    <n v="1.3500313003229847E-2"/>
    <s v=""/>
    <x v="0"/>
  </r>
  <r>
    <x v="111"/>
    <x v="98"/>
    <n v="80422654"/>
    <s v="Realizar la interventoría técnica, administrativa, ambiental, contractual, financiera, legal y presupuestal para el contrato de mantenimiento integral locativo con el suministro de personal, equipo y repuestos en las instalaciones del Concejo de Bogotá."/>
    <n v="15797970"/>
    <s v=" "/>
    <n v="2013"/>
    <s v=" "/>
    <d v="2013-07-09T00:00:00"/>
    <d v="2014-04-08T00:00:00"/>
    <n v="2"/>
    <n v="6494721"/>
    <n v="2"/>
    <s v="3 meses y 21 días"/>
    <d v="2014-07-31T00:00:00"/>
    <d v="2014-07-31T00:00:00"/>
    <n v="22292691"/>
    <n v="22292692"/>
    <n v="-1"/>
    <s v="La Secretaría Distrital de Hacienda pagará el valor facturado correspondiente de la siguiente manera:  El 90% del valor del contrato se cancelará mediante ocho (8) pagos mensuales iguales, previa presentación de las facturas respectivas y aprobación de las mismas y la certificación de cumplimiento expedida por el supervisor  del contrato."/>
    <x v="53"/>
    <x v="0"/>
    <n v="-4.4857751735349893E-8"/>
    <s v=""/>
    <x v="1"/>
  </r>
  <r>
    <x v="112"/>
    <x v="99"/>
    <n v="4098836"/>
    <s v="Prestar los servicios profesionales para apoyar a la Dirección Financiera del Concejo de Bogotá D.C., en la revisión y estudio de las historias laborales de los funcionarios para establecer la definición técnica y jurídica del cumplimiento de los requisitos en los diferentes regímenes de pensión."/>
    <n v="23989000"/>
    <s v=" "/>
    <n v="2013"/>
    <s v=" "/>
    <d v="2013-07-02T00:00:00"/>
    <d v="2014-02-01T00:00:00"/>
    <n v="0"/>
    <n v="0"/>
    <n v="0"/>
    <s v=""/>
    <s v=""/>
    <d v="2014-02-01T00:00:00"/>
    <n v="23989000"/>
    <n v="23989000"/>
    <n v="0"/>
    <s v="Mensual"/>
    <x v="3"/>
    <x v="0"/>
    <n v="0"/>
    <s v=""/>
    <x v="1"/>
  </r>
  <r>
    <x v="113"/>
    <x v="73"/>
    <n v="4831"/>
    <s v="Prestación del servicio de mantenimiento correctivo con suministro de repuestos de los automotores marca CHEVROLET al servicio del Concejo de Bogotá."/>
    <n v="13576000"/>
    <s v=" "/>
    <n v="2013"/>
    <s v=" "/>
    <d v="2013-07-15T00:00:00"/>
    <d v="2014-03-14T00:00:00"/>
    <n v="1"/>
    <n v="6000000"/>
    <n v="0"/>
    <s v=""/>
    <s v=""/>
    <d v="2014-03-14T00:00:00"/>
    <n v="19576000"/>
    <n v="19571370"/>
    <n v="4630"/>
    <s v="Mensual"/>
    <x v="54"/>
    <x v="0"/>
    <n v="2.365140988965786E-4"/>
    <s v=""/>
    <x v="1"/>
  </r>
  <r>
    <x v="114"/>
    <x v="100"/>
    <n v="900090485"/>
    <s v="Contratar la adquisición de medios de almacenamiento (cintas para tape backup, CD, DVD y Felpas)"/>
    <n v="6499930"/>
    <s v=" "/>
    <n v="2013"/>
    <s v=" "/>
    <d v="2013-07-16T00:00:00"/>
    <d v="2013-10-15T00:00:00"/>
    <n v="0"/>
    <n v="0"/>
    <n v="0"/>
    <s v=""/>
    <s v=""/>
    <d v="2013-10-15T00:00:00"/>
    <n v="6499930"/>
    <n v="6499930"/>
    <n v="0"/>
    <m/>
    <x v="3"/>
    <x v="0"/>
    <n v="0"/>
    <s v=""/>
    <x v="1"/>
  </r>
  <r>
    <x v="115"/>
    <x v="101"/>
    <n v="804002433"/>
    <s v="Realizar la recolección, trasporte, tratamiento y disposición final de los residuos peligrosos existentes en el Concejo de Bogotá D.C. atendiendo los lineamientos y directrices normativas en ésta materia."/>
    <n v="2367000"/>
    <s v=" "/>
    <n v="2013"/>
    <s v=" "/>
    <d v="2013-07-17T00:00:00"/>
    <d v="2013-09-16T00:00:00"/>
    <n v="0"/>
    <n v="0"/>
    <n v="0"/>
    <s v=""/>
    <s v=""/>
    <d v="2013-09-16T00:00:00"/>
    <n v="2367000"/>
    <n v="2367000"/>
    <n v="0"/>
    <s v="Un pago equivalente al 100% del valor del contrato, una vez se hayan entregado y aprobado por el supervisor la totalidad de los resultados objeto del contrato."/>
    <x v="3"/>
    <x v="0"/>
    <n v="0"/>
    <s v=""/>
    <x v="1"/>
  </r>
  <r>
    <x v="116"/>
    <x v="102"/>
    <n v="900629446"/>
    <s v="Contratar el mantenimiento integral locativo con el suministro de personal, equipo y repuestos en las instalaciones físicas del Concejo de Bogotá, de conformidad con lo establecido en el pliego de condiciones del proceso SDH-SAMC-004-2013."/>
    <n v="269441460"/>
    <s v=" "/>
    <n v="2013"/>
    <s v=" "/>
    <d v="2013-07-09T00:00:00"/>
    <d v="2014-03-08T00:00:00"/>
    <n v="0"/>
    <n v="0"/>
    <n v="2"/>
    <s v="3 meses y 23 días"/>
    <d v="2014-06-30T00:00:00"/>
    <d v="2014-06-30T00:00:00"/>
    <n v="269441460"/>
    <n v="265223666"/>
    <n v="4217794"/>
    <s v="Mensual"/>
    <x v="55"/>
    <x v="0"/>
    <n v="1.5653841840079119E-2"/>
    <s v=""/>
    <x v="0"/>
  </r>
  <r>
    <x v="117"/>
    <x v="27"/>
    <n v="860536029"/>
    <s v="SUSCRIPCIÓN AL DIARIO EL NUEVO SIGLO, PARA EL CONCEJO DE BOGOTÁ D.C."/>
    <n v="840000"/>
    <s v=" "/>
    <n v="2013"/>
    <s v=" "/>
    <d v="2013-09-14T00:00:00"/>
    <d v="2014-09-13T00:00:00"/>
    <n v="0"/>
    <n v="0"/>
    <n v="0"/>
    <s v=""/>
    <s v=""/>
    <d v="2014-09-13T00:00:00"/>
    <n v="840000"/>
    <n v="840000"/>
    <n v="0"/>
    <s v="Único"/>
    <x v="3"/>
    <x v="0"/>
    <n v="0"/>
    <s v=""/>
    <x v="1"/>
  </r>
  <r>
    <x v="118"/>
    <x v="64"/>
    <n v="80199707"/>
    <s v="Realizar el servicio de mantenimiento correctivo, incluyendo los repuestos y/o elementos nuevos que requieran las sillas existentes en el Concejo de Bogotá."/>
    <n v="38271000"/>
    <s v=" "/>
    <n v="2013"/>
    <s v=" "/>
    <d v="2013-07-17T00:00:00"/>
    <d v="2014-02-16T00:00:00"/>
    <n v="0"/>
    <n v="0"/>
    <n v="1"/>
    <s v="1 mes"/>
    <d v="2014-03-16T00:00:00"/>
    <d v="2014-03-16T00:00:00"/>
    <n v="38271000"/>
    <n v="38271000"/>
    <n v="0"/>
    <s v="Mensual"/>
    <x v="3"/>
    <x v="0"/>
    <n v="0"/>
    <s v=""/>
    <x v="1"/>
  </r>
  <r>
    <x v="119"/>
    <x v="103"/>
    <n v="890903407"/>
    <s v="Contratar la expedición de las pólizas de seguro obligatorio SOAT para los vehículos del CONCEJO DE BOGOTÁ, de conformidad con lo establecido en la invitación publica de mínima Cuantía  No SDH-SMINC-31-2013"/>
    <n v="4001000"/>
    <s v=" "/>
    <n v="2013"/>
    <s v=" "/>
    <d v="2013-07-17T00:00:00"/>
    <d v="2015-03-19T00:00:00"/>
    <n v="0"/>
    <n v="0"/>
    <n v="1"/>
    <s v="1 mes"/>
    <d v="2014-03-16T00:00:00"/>
    <d v="2015-03-19T00:00:00"/>
    <n v="4001000"/>
    <n v="4001000"/>
    <n v="0"/>
    <s v="Los pagos se efectuarán dentro de los sesenta (60) días calendario siguientes al recibo del original de la póliza adjudicada, previa revisión del intermediario de seguros y aprobación del Supervisor del contrato, la cual debe ser radicada en la Subdirección Financiera, acompañadas de las respectivas certificaciones de cumplimiento a satisfacción del objeto y obligaciones, expedida por el supervisor del contrato y de los respectivos recibos de pago por concepto de aportes al Sistema de Seguridad Social "/>
    <x v="3"/>
    <x v="0"/>
    <n v="0"/>
    <s v=""/>
    <x v="1"/>
  </r>
  <r>
    <x v="120"/>
    <x v="104"/>
    <n v="900268429"/>
    <s v="Prestar el servicio de mantenimiento preventivo y correctivo al sistema de generación y trasferencia eléctrica de emergencia del concejo de Bogotá D.C., de conformidad con lo establecido en la invitación pública SDH-SMINC-023-2013,"/>
    <n v="10222000"/>
    <s v=" "/>
    <n v="2013"/>
    <s v=" "/>
    <d v="2013-10-01T00:00:00"/>
    <d v="2014-05-31T00:00:00"/>
    <n v="0"/>
    <n v="0"/>
    <n v="0"/>
    <s v=""/>
    <s v=""/>
    <d v="2014-05-31T00:00:00"/>
    <n v="10222000"/>
    <n v="10208006"/>
    <n v="13994"/>
    <s v="Los pagos se realizarán cada dos (2) meses de acuerdo a los servicios efectivamente prestados por concepto de mantenimiento preventivo y correctivo. Los insumos se cancelarán de acuerdo a la demanda requerida en el respectivo periodo, manteniendo los precios ofrecidos en la propuesta, previa presentación del informe de los servicios prestados por parte del contratista y certificación de cumplimiento y recibo a satisfacción del servicio, expedida por el supervisor del contrato en la cual se indique el valor a pagar al contratista._x000a_"/>
    <x v="56"/>
    <x v="0"/>
    <n v="1.3690080219135314E-3"/>
    <s v=""/>
    <x v="0"/>
  </r>
  <r>
    <x v="121"/>
    <x v="105"/>
    <n v="80117116"/>
    <s v="Prestar los servicios profesionales para apoyar a la Dirección Financiera del Concejo de Bogotá D.C. en la revisión  y estudio de las historias laborales de los funcionarios para establecer la definición técnica y jurídica del cumplimiento de  los requisitos  en los diferentes regímenes de pensión."/>
    <n v="23989000"/>
    <s v=" "/>
    <n v="2013"/>
    <s v=" "/>
    <d v="2013-07-22T00:00:00"/>
    <d v="2014-02-21T00:00:00"/>
    <n v="0"/>
    <n v="0"/>
    <n v="0"/>
    <s v=""/>
    <s v=""/>
    <d v="2014-02-21T00:00:00"/>
    <n v="23989000"/>
    <n v="23989000"/>
    <n v="0"/>
    <s v="Mensual"/>
    <x v="3"/>
    <x v="0"/>
    <n v="0"/>
    <s v=""/>
    <x v="1"/>
  </r>
  <r>
    <x v="122"/>
    <x v="28"/>
    <n v="860509265"/>
    <s v="SUSCRIPCIÓN A LA REVISTA SEMANA, PARA EL CONCEJO DE BOGOTÁ"/>
    <n v="795000"/>
    <s v=" "/>
    <n v="2013"/>
    <s v=" "/>
    <d v="2013-09-30T00:00:00"/>
    <d v="2014-09-29T00:00:00"/>
    <n v="0"/>
    <n v="0"/>
    <n v="0"/>
    <s v=""/>
    <s v=""/>
    <d v="2014-09-29T00:00:00"/>
    <n v="795000"/>
    <n v="795000"/>
    <n v="0"/>
    <s v="Único"/>
    <x v="3"/>
    <x v="0"/>
    <n v="0"/>
    <s v=""/>
    <x v="1"/>
  </r>
  <r>
    <x v="123"/>
    <x v="26"/>
    <n v="860007590"/>
    <s v="SUSCRIPCIÓN AL DIARIO EL ESPECTADOR, PARA EL CONCEJO DE BOGOTÁ."/>
    <n v="936000"/>
    <s v=" "/>
    <n v="2013"/>
    <s v=" "/>
    <d v="2013-09-11T00:00:00"/>
    <d v="2014-09-10T00:00:00"/>
    <n v="0"/>
    <n v="0"/>
    <n v="0"/>
    <s v=""/>
    <s v=""/>
    <d v="2014-09-10T00:00:00"/>
    <n v="936000"/>
    <n v="936000"/>
    <n v="0"/>
    <s v="Único"/>
    <x v="3"/>
    <x v="0"/>
    <n v="0"/>
    <s v=""/>
    <x v="1"/>
  </r>
  <r>
    <x v="124"/>
    <x v="106"/>
    <n v="1016050827"/>
    <s v="Contratar le prestación de servicios de empaste y/ o encuadernación de documentos del Concejo de Bogotá D.C.,  de conformidad con lo establecido en la invitación publica del proceso citado en el asunto y la propuesta por usted presentada. "/>
    <n v="3847300"/>
    <s v=" "/>
    <n v="2013"/>
    <s v=" "/>
    <d v="2013-08-08T00:00:00"/>
    <d v="2014-05-07T00:00:00"/>
    <n v="0"/>
    <n v="0"/>
    <n v="1"/>
    <s v="3 meses"/>
    <d v="2014-08-07T00:00:00"/>
    <d v="2014-08-07T00:00:00"/>
    <n v="3847300"/>
    <n v="3847300"/>
    <n v="0"/>
    <m/>
    <x v="3"/>
    <x v="0"/>
    <n v="0"/>
    <s v=""/>
    <x v="1"/>
  </r>
  <r>
    <x v="125"/>
    <x v="1"/>
    <n v="800015583"/>
    <s v="Contratar la gestión integral de servicio de mesa  de ayuda, soporte informático, mantenimiento preventivo y correctivo d  la infraestructura tecnológica con suministros de repuestos  para el Concejo de Bogotá de conformidad con los estudios previos, los anexos técnicos y la prepuesta presentada del proceso de selección Subasta Inversa Electrónica SDH-SMINC-005-2013."/>
    <n v="46411000"/>
    <s v=" "/>
    <n v="2013"/>
    <s v=" "/>
    <d v="2013-08-14T00:00:00"/>
    <d v="2014-06-13T00:00:00"/>
    <n v="2"/>
    <n v="14282200"/>
    <n v="1"/>
    <s v="2 meses"/>
    <d v="2014-08-13T00:00:00"/>
    <d v="2014-08-13T00:00:00"/>
    <n v="60693200"/>
    <n v="59391828"/>
    <n v="1301372"/>
    <s v="Se realizará un (1) pago para el servicio de mantenimiento preventivo correspondientes a la visita de mantenimiento con el contratista durante el plazo de ejecución del contrato, según el cronograma definido por la Secretaría Distrital de Hacienda, previa entrega del informe de las actividades realizadas en el mismo."/>
    <x v="57"/>
    <x v="0"/>
    <n v="2.1441808967067155E-2"/>
    <s v=""/>
    <x v="0"/>
  </r>
  <r>
    <x v="126"/>
    <x v="107"/>
    <n v="830047489"/>
    <s v="Contratar el servicio de mantenimiento correctivo, traslado, incluyendo los repuestos y/o elementos nuevos que requieran los sistemas de archivos rodantes, existentes en las diferentes dependencias del Concejo de Bogotá, de conformidad con lo establecido en la invitación Publica."/>
    <n v="4393120"/>
    <s v=" "/>
    <n v="2013"/>
    <s v=" "/>
    <d v="2013-08-26T00:00:00"/>
    <d v="2014-05-25T00:00:00"/>
    <n v="0"/>
    <n v="0"/>
    <n v="1"/>
    <s v="3 meses"/>
    <d v="2014-08-25T00:00:00"/>
    <d v="2014-08-25T00:00:00"/>
    <n v="4393120"/>
    <n v="2578000"/>
    <n v="1815120"/>
    <s v="Mensual"/>
    <x v="58"/>
    <x v="0"/>
    <n v="0.41317332556360853"/>
    <s v=""/>
    <x v="0"/>
  </r>
  <r>
    <x v="127"/>
    <x v="108"/>
    <n v="900055635"/>
    <s v="Prestar los servicios de mantenimiento periódico preventivo del parque automotor al servicio del Concejo de Bogotá D.C. de conformidad con lo establecido en la invitación Publica del proceso No SDH-SMINC-038-2013 y la propuesta presentada por el contratista."/>
    <n v="16804000"/>
    <s v=" "/>
    <n v="2013"/>
    <s v=" "/>
    <d v="2013-09-06T00:00:00"/>
    <d v="2014-05-05T00:00:00"/>
    <n v="1"/>
    <n v="8400000"/>
    <n v="3"/>
    <s v="11 meses"/>
    <d v="2015-04-05T00:00:00"/>
    <d v="2015-04-05T00:00:00"/>
    <n v="25204000"/>
    <n v="25201450"/>
    <n v="2550"/>
    <s v="Mensual"/>
    <x v="59"/>
    <x v="0"/>
    <n v="1.0117441675927541E-4"/>
    <s v=""/>
    <x v="1"/>
  </r>
  <r>
    <x v="128"/>
    <x v="109"/>
    <n v="800230639"/>
    <s v="Contratar los servicios de mantenimiento correctivo por demanda, con repuestos, soporte técnico especializado y actualización para el sistema integrado de la red de cableado estructurado  (voz y datos), fibra óptica, energía eléctrica (normal y regulada) de la Secretaria Distrital de Hacienda y el Concejo de Bogotá, de conformidad con el pliego de Condiciones Proceso SDH-SIE-07-2013."/>
    <n v="86923131"/>
    <s v=" "/>
    <n v="2013"/>
    <s v=" "/>
    <d v="2013-08-20T00:00:00"/>
    <d v="2014-08-20T00:00:00"/>
    <n v="1"/>
    <n v="43461566"/>
    <n v="1"/>
    <s v="5 meses"/>
    <d v="2015-02-20T00:00:00"/>
    <d v="2015-02-20T00:00:00"/>
    <n v="130384697"/>
    <n v="96359635"/>
    <n v="34025062"/>
    <m/>
    <x v="60"/>
    <x v="0"/>
    <n v="0.2609590142315551"/>
    <s v=""/>
    <x v="0"/>
  </r>
  <r>
    <x v="129"/>
    <x v="110"/>
    <n v="800039398"/>
    <s v="Prestar los servicios de mantenimiento preventivo y correctivo con repuesto y bienes fungibles para el sistema de corriente regulada (UPS APC) Para el concejo de Bogotá D.C: en las condiciones descritas en el pliego de condiciones del proceso de selección SDH-SIE-08-2013, el anexo técnico No 1 Ítem 3 y la propuesta presentada para el Ítem 3"/>
    <n v="45056000"/>
    <s v=" "/>
    <n v="2013"/>
    <s v=" "/>
    <d v="2013-09-16T00:00:00"/>
    <d v="2014-09-15T00:00:00"/>
    <n v="0"/>
    <n v="0"/>
    <n v="0"/>
    <s v=""/>
    <s v=""/>
    <d v="2014-09-15T00:00:00"/>
    <n v="45056000"/>
    <n v="25056000"/>
    <n v="20000000"/>
    <m/>
    <x v="61"/>
    <x v="0"/>
    <n v="0.44389204545454541"/>
    <s v=""/>
    <x v="0"/>
  </r>
  <r>
    <x v="130"/>
    <x v="111"/>
    <n v="860066942"/>
    <s v="Contratar el alquiler diferentes tipos de escenarios: salones, auditorios y espacios abiertos de diversas capacidades donde en forma adicional al espacio se suministre el apoyo logístico, alimentación, equipamiento y personal necesario para el desarrollo de eventos, actos de orden institucional y protocolario en cumplimiento de las funciones del Concejo de Bogotá, de conformidad con las condiciones establecidas en el pliego de condiciones del proceso SDH-SAMC-06-2013"/>
    <n v="76223000"/>
    <s v=" "/>
    <n v="2013"/>
    <s v=" "/>
    <d v="2013-09-24T00:00:00"/>
    <d v="2014-03-23T00:00:00"/>
    <n v="2"/>
    <n v="38002288"/>
    <n v="1"/>
    <s v="2 meses"/>
    <d v="2014-05-23T00:00:00"/>
    <d v="2014-05-23T00:00:00"/>
    <n v="114225288"/>
    <n v="114217068"/>
    <n v="8220"/>
    <m/>
    <x v="62"/>
    <x v="0"/>
    <n v="7.1963049022905068E-5"/>
    <s v=""/>
    <x v="1"/>
  </r>
  <r>
    <x v="131"/>
    <x v="112"/>
    <n v="800105847"/>
    <s v="Realizar el mantenimiento, revisión, recarga general y suministro de repuesto de los extintores de las sedes del Concejo de Bogotá, y la revisión, mantenimiento y suministro de repuestos de los gabinetes contra incendio de la Corporación, de conformidad con lo establecido en la Invitación Pública SDH-SMINC-39-2013."/>
    <n v="4715000"/>
    <s v=" "/>
    <n v="2013"/>
    <s v=" "/>
    <d v="2013-10-08T00:00:00"/>
    <d v="2013-12-07T00:00:00"/>
    <n v="0"/>
    <n v="0"/>
    <n v="0"/>
    <s v=""/>
    <s v=""/>
    <d v="2013-12-07T00:00:00"/>
    <n v="4715000"/>
    <n v="4715000"/>
    <n v="0"/>
    <s v="Mensual"/>
    <x v="3"/>
    <x v="0"/>
    <n v="0"/>
    <s v=""/>
    <x v="1"/>
  </r>
  <r>
    <x v="132"/>
    <x v="113"/>
    <n v="899999230"/>
    <s v="Contratar los servicios integrales para la ejecución y desarrollo de plan institucional de capacitación del Concejo de Bogotá D.C. de conformidad con la normatividad vigente."/>
    <n v="457000000"/>
    <s v=" "/>
    <n v="2013"/>
    <s v=" "/>
    <d v="2013-10-09T00:00:00"/>
    <d v="2014-06-08T00:00:00"/>
    <n v="0"/>
    <n v="0"/>
    <n v="2"/>
    <s v="3 meses"/>
    <d v="2014-09-08T00:00:00"/>
    <d v="2014-09-08T00:00:00"/>
    <n v="457000000"/>
    <n v="416287285"/>
    <n v="40712715"/>
    <s v="Cuatro (4) pagos así: _x000a_a. Un primer pago equivalente al 40% del valor del contrato, a la entrega del plan de trabajo que incluya las etapas de planeación, preparación y presentación de contenidos, propuestas de las jornadas de capacitación y evaluación y de acuerdo con la concertación de los contenido temáticos, así como los diseños metodológicos de la capacitación, los cuales deberán estar acompañados del informe ejecutivo y avalado por el supervisor del contrato. _x000a_b. Un segundo pago equivalente al 25% del valor del contrato, previa presentación de los contenidos, resultados preliminares de las evaluaciones de entrada realizadas a los funcionarios, y el desarrollo del 30% de ejecución de los programas de capacitación, así como la entrega del informe de avance donde se evidencia la ejecución de las actividades antes mencionadas, aprobado por el supervisor del contrato._x000a_c. Un tercer pago equivalente al 25% del valor del contrato, al desarrollo del 70% de ejecución de los programas de capacitación, así como la entrega del informe de avance donde se evidencia la ejecución de las actividades antes mencionadas, aprobadas por el supervisor del contrato._x000a_d. Un cuarto y último pago equivalente al 10 % del valor del contrato, informe final de actividades que resuma el cumplimiento del objeto, los productos y obligaciones pactadas en su totalidad, y recibido a satisfacción por parte del supervisor._x000a__x000a_"/>
    <x v="63"/>
    <x v="0"/>
    <n v="8.9086903719912458E-2"/>
    <s v=""/>
    <x v="0"/>
  </r>
  <r>
    <x v="133"/>
    <x v="114"/>
    <n v="900207129"/>
    <s v="Adquirir a titulo de compraventa mediante el sistema de precios unitarios, elementos, medicamentos e insumos para dotar el consultorio medico, brigada de emergencia y los botiquines del Concejo de Bogotá D.C. de conformidad con lo establecido en la invitación del proceso No SDH-SMINC-40-2013 Y  la propuesta presentada por el contratista."/>
    <n v="3356320"/>
    <s v=" "/>
    <n v="2013"/>
    <s v=" "/>
    <d v="2013-10-07T00:00:00"/>
    <d v="2014-01-06T00:00:00"/>
    <n v="0"/>
    <n v="0"/>
    <n v="0"/>
    <s v=""/>
    <s v=""/>
    <d v="2014-01-06T00:00:00"/>
    <n v="3356320"/>
    <n v="3356320"/>
    <n v="0"/>
    <s v="Único"/>
    <x v="3"/>
    <x v="0"/>
    <n v="0"/>
    <s v=""/>
    <x v="1"/>
  </r>
  <r>
    <x v="134"/>
    <x v="115"/>
    <n v="830069296"/>
    <s v="Contratar la adquisición, mantenimiento y soporte de licencias de software antivirus para la plataforma del Concejo de Bogotá D.C, de conformidad con lo establecido en el pliego de condiciones del proceso No SDH-SMINC-43-2013"/>
    <n v="19965572"/>
    <s v=" "/>
    <n v="2013"/>
    <s v=" "/>
    <d v="2013-10-08T00:00:00"/>
    <d v="2014-10-23T00:00:00"/>
    <n v="0"/>
    <n v="0"/>
    <n v="0"/>
    <s v=""/>
    <s v=""/>
    <d v="2014-10-23T00:00:00"/>
    <n v="19965572"/>
    <n v="19965572"/>
    <n v="0"/>
    <m/>
    <x v="3"/>
    <x v="0"/>
    <n v="0"/>
    <s v=""/>
    <x v="1"/>
  </r>
  <r>
    <x v="135"/>
    <x v="14"/>
    <n v="830112518"/>
    <s v="Prestar el servicio de mantenimiento, soporte y actualización al software &quot;Prontus&quot; (pagina web e intranet)"/>
    <n v="38280000"/>
    <s v=" "/>
    <n v="2013"/>
    <s v=" "/>
    <d v="2013-10-15T00:00:00"/>
    <d v="2014-10-14T00:00:00"/>
    <n v="0"/>
    <n v="0"/>
    <n v="0"/>
    <s v=""/>
    <s v=""/>
    <d v="2014-10-14T00:00:00"/>
    <n v="38280000"/>
    <n v="38280000"/>
    <n v="0"/>
    <s v="Mensual"/>
    <x v="3"/>
    <x v="0"/>
    <n v="0"/>
    <s v=""/>
    <x v="1"/>
  </r>
  <r>
    <x v="136"/>
    <x v="116"/>
    <n v="900309238"/>
    <s v="Contratar el suministro de elementos necesarios para la recolección y manejo integral de residuos solidos del  Concejo de Bogotá D.C. de conformidad con lo estipulado en la invitación Publica del proceso SDH-SMINC-042-2013"/>
    <n v="26073552"/>
    <s v=" "/>
    <n v="2013"/>
    <s v=" "/>
    <d v="2013-10-15T00:00:00"/>
    <d v="2013-11-14T00:00:00"/>
    <n v="0"/>
    <n v="0"/>
    <n v="0"/>
    <s v=""/>
    <s v=""/>
    <d v="2013-11-14T00:00:00"/>
    <n v="26073552"/>
    <n v="26073552"/>
    <n v="0"/>
    <m/>
    <x v="3"/>
    <x v="0"/>
    <n v="0"/>
    <s v=""/>
    <x v="1"/>
  </r>
  <r>
    <x v="137"/>
    <x v="117"/>
    <n v="900542684"/>
    <s v="Adquirir a titulo de compraventa elementos de protección personal  para los servidores Públicos del concejo de Bogotá D.C. de conformidad con lo establecido en la invitación publica No SDH-SMINC-45-2013"/>
    <n v="17262940"/>
    <s v=" "/>
    <n v="2013"/>
    <s v=" "/>
    <d v="2013-10-23T00:00:00"/>
    <d v="2014-02-22T00:00:00"/>
    <n v="0"/>
    <n v="0"/>
    <n v="0"/>
    <s v=""/>
    <s v=""/>
    <d v="2014-02-22T00:00:00"/>
    <n v="17262940"/>
    <n v="17262940"/>
    <n v="0"/>
    <s v="Único"/>
    <x v="3"/>
    <x v="0"/>
    <n v="0"/>
    <s v=""/>
    <x v="1"/>
  </r>
  <r>
    <x v="138"/>
    <x v="58"/>
    <n v="900169179"/>
    <s v="Suscripción al diario El Periódico, con destino al Concejo de Bogotá D.C. , de conformidad con los estudios previos."/>
    <n v="810000"/>
    <s v=" "/>
    <n v="2013"/>
    <s v=" "/>
    <d v="2013-10-28T00:00:00"/>
    <d v="2014-10-27T00:00:00"/>
    <n v="0"/>
    <n v="0"/>
    <n v="0"/>
    <s v=""/>
    <s v=""/>
    <d v="2014-10-27T00:00:00"/>
    <n v="810000"/>
    <n v="810000"/>
    <n v="0"/>
    <m/>
    <x v="3"/>
    <x v="0"/>
    <n v="0"/>
    <s v=""/>
    <x v="1"/>
  </r>
  <r>
    <x v="139"/>
    <x v="118"/>
    <n v="830080652"/>
    <s v="Adquirir a titulo de compraventa los elementos descritos en el Ítem 2 de la invitación publica SDH-SMINC-44-2013 que tiene por objeto &quot;Adquirir a titulo de compraventa por el sistema de precios unitarios mobiliario y equipos de oficinas consistentes en sillas y elementos ergonómicos, para adecuar los puestos de trabajo de los servidores Públicos del Concejo de Bogotá D.C.&quot;"/>
    <n v="5545000"/>
    <s v=" "/>
    <n v="2013"/>
    <s v=" "/>
    <d v="2013-11-12T00:00:00"/>
    <d v="2014-01-11T00:00:00"/>
    <n v="0"/>
    <n v="0"/>
    <n v="0"/>
    <s v=""/>
    <s v=""/>
    <d v="2014-01-11T00:00:00"/>
    <n v="5545000"/>
    <n v="5545000"/>
    <n v="0"/>
    <s v="Único"/>
    <x v="3"/>
    <x v="0"/>
    <n v="0"/>
    <s v=""/>
    <x v="1"/>
  </r>
  <r>
    <x v="140"/>
    <x v="119"/>
    <n v="900236701"/>
    <s v="Adquirir a titulo de compraventa los elementos descritos en el ítem 1 de la invitación publica SDH-SMINC-44-2013, que tiene por objeto &quot;Adquirir a titulo de Compraventa por el sistema de precios unitarios mobiliario y equipos de oficina consistentes en sillas y elementos ergonómicos, para adecuar los puestos de trabajo de los servidores públicos del Concejo de Bogotá D.C.&quot;"/>
    <n v="19360400"/>
    <s v=" "/>
    <n v="2013"/>
    <s v=" "/>
    <d v="2013-11-12T00:00:00"/>
    <d v="2014-01-11T00:00:00"/>
    <n v="0"/>
    <n v="0"/>
    <n v="0"/>
    <s v=""/>
    <s v=""/>
    <d v="2014-01-11T00:00:00"/>
    <n v="19360400"/>
    <n v="19360400"/>
    <n v="0"/>
    <s v="Único"/>
    <x v="3"/>
    <x v="0"/>
    <n v="0"/>
    <s v=""/>
    <x v="1"/>
  </r>
  <r>
    <x v="141"/>
    <x v="120"/>
    <n v="860066942"/>
    <s v="Aunar esfuerzos para el desarrollo de las actividades contenidas en los planes de bienestar e incentivos del Concejo de Bogotá D.C."/>
    <n v="336560000"/>
    <s v=" "/>
    <n v="2013"/>
    <s v=" "/>
    <d v="2013-10-25T00:00:00"/>
    <d v="2014-06-24T00:00:00"/>
    <n v="2"/>
    <n v="165720800"/>
    <n v="0"/>
    <s v=""/>
    <s v=""/>
    <d v="2014-06-24T00:00:00"/>
    <n v="502280800"/>
    <n v="502247588"/>
    <n v="33212"/>
    <m/>
    <x v="64"/>
    <x v="0"/>
    <n v="6.6122376168875618E-5"/>
    <s v=""/>
    <x v="1"/>
  </r>
  <r>
    <x v="142"/>
    <x v="121"/>
    <n v="900228623"/>
    <s v="Prestar los servicios de vigilancia privada para la permanente y adecuada protección de las personas (funcionarios, contratista, visitantes, contribuyentes) los bienes muebles e inmuebles de propiedad de la entidad contratante, así como de aquellos por los  que les correspondiere salvaguardar en virtud de disposición legal, contractual o convencional. para el Concejo de Bogotá D.C. de conformidad con lo establecido en le pliego de condiciones del proceso de selección SDH-SIE-11-2013,  sus anexos y la propuesta presentada"/>
    <n v="533636000"/>
    <s v=" "/>
    <n v="2013"/>
    <s v=" "/>
    <d v="2013-11-02T00:00:00"/>
    <d v="2014-11-01T00:00:00"/>
    <n v="1"/>
    <n v="159203272"/>
    <n v="1"/>
    <s v="1 mes"/>
    <d v="2014-12-02T00:00:00"/>
    <d v="2014-12-02T00:00:00"/>
    <n v="692839272"/>
    <n v="678164443"/>
    <n v="14674829"/>
    <s v="Mensual"/>
    <x v="65"/>
    <x v="0"/>
    <n v="2.1180711880893544E-2"/>
    <s v=""/>
    <x v="0"/>
  </r>
  <r>
    <x v="143"/>
    <x v="122"/>
    <m/>
    <s v="Prestar los Servicios de conectividad de canales de comunicación, dedicados e Internet y servicios complementarios para la Secretaría Distrital de Hacienda y Concejo de Bogotá."/>
    <n v="150000000"/>
    <s v=" "/>
    <n v="2013"/>
    <s v=" "/>
    <d v="2013-12-02T00:00:00"/>
    <d v="2014-12-02T00:00:00"/>
    <n v="0"/>
    <n v="0"/>
    <n v="0"/>
    <s v=""/>
    <s v=""/>
    <d v="2014-12-02T00:00:00"/>
    <n v="150000000"/>
    <n v="0"/>
    <n v="150000000"/>
    <s v="Pagos mensuales vencidos durante la vigencia del contrato,  correspondiente al servicio mensual prestado y recibido a satisfacción por el supervisor del contrato._x000a__x000a_2. Un solo pago correspondiente a los servicios de actualización y soporte para el administrador de ancho de banda una vez se haga entrega del soporte de mantenimiento suscrito con el fabricante por valor de $39.900.000 incluido IVA._x000a__x000a_3. El valor destinado como Bolsa de Servicios, se pagará por demanda, de acuerdo a los requerimientos de nuevos servicios solicitados durante el mes que se causen._x000a_"/>
    <x v="6"/>
    <x v="0"/>
    <n v="1"/>
    <s v=""/>
    <x v="0"/>
  </r>
  <r>
    <x v="144"/>
    <x v="123"/>
    <n v="899999061"/>
    <s v="Suministrar por parte de la SECRETARIA DISTRITAL DE HACIENDA el sistema de información Hacendario SI CAPIT@L, entregando copia de los programas fuentes y documentación del software como manuales técnico y de usuario, al Concejo de Bogotá D.C., autorizando su uso en virtud de la cooperación interinstitucional. "/>
    <n v="0"/>
    <s v=" "/>
    <n v="2013"/>
    <s v=" "/>
    <d v="2014-02-26T00:00:00"/>
    <d v="2016-02-25T00:00:00"/>
    <n v="0"/>
    <n v="0"/>
    <n v="0"/>
    <s v=""/>
    <s v=""/>
    <d v="2016-02-25T00:00:00"/>
    <n v="0"/>
    <n v="0"/>
    <n v="0"/>
    <m/>
    <x v="66"/>
    <x v="0"/>
    <e v="#DIV/0!"/>
    <s v=""/>
    <x v="2"/>
  </r>
  <r>
    <x v="145"/>
    <x v="55"/>
    <n v="860506170"/>
    <s v="LA SECRETARÍA DISTRITAL DE HACIENDA Y EL INSTITUTO DISTRITAL DE PATRIMONIO CULTURAL, se comprometen a aunar esfuerzos y recursos técnicos, humanos y financieros, para adelantar las actividades requeridas en la actualización física y tecnológica del inmueble denominado Edificio del Claustro del Concejo de Bogotá, D. C., ubicado en la calle 36 No. 28 A 41 de la ciudad de Bogotá., de conformidad con lo establecido en los estudios previos y los Anexos Nos. 1, 2 y 3."/>
    <n v="2689440000"/>
    <s v=" "/>
    <n v="2012"/>
    <s v=" "/>
    <d v="2012-12-20T00:00:00"/>
    <d v="2014-12-20T00:00:00"/>
    <n v="3"/>
    <n v="1080934978"/>
    <n v="3"/>
    <s v="5 años y 10 dias calendario"/>
    <d v="2017-12-30T00:00:00"/>
    <d v="2017-12-30T00:00:00"/>
    <n v="3770374978"/>
    <n v="2689440000"/>
    <n v="1080934978"/>
    <m/>
    <x v="67"/>
    <x v="1"/>
    <n v="1.3815820922450373E-2"/>
    <n v="501"/>
    <x v="0"/>
  </r>
  <r>
    <x v="146"/>
    <x v="124"/>
    <n v="830110570"/>
    <s v="Adquisición de equipos PC`s para el Concejo de Bogotá, de conformidad con lo establecido en el pliego de condiciones y en la propuesta presentada por NEX COMPUTER S.A., dentro del procesos de selección abreviada a través del procedimiento de subasta inversa electrónica Nº SDH-SIE-010-2013"/>
    <n v="430036764"/>
    <s v=" "/>
    <n v="2013"/>
    <s v=" "/>
    <d v="2014-01-20T00:00:00"/>
    <d v="2014-04-19T00:00:00"/>
    <n v="0"/>
    <n v="0"/>
    <n v="0"/>
    <s v=""/>
    <s v=""/>
    <d v="2014-04-19T00:00:00"/>
    <n v="430036764"/>
    <n v="430036600"/>
    <n v="164"/>
    <s v="Se realizarán pagos parciales, cuyo valor corresponderá al valor unitario establecido en la propuesta final, por el número de equipos entregados por el contratista a la Secretaría Distrital de Hacienda y al Concejo de Bogotá. "/>
    <x v="68"/>
    <x v="0"/>
    <n v="3.8136274316258323E-7"/>
    <s v=""/>
    <x v="1"/>
  </r>
  <r>
    <x v="147"/>
    <x v="40"/>
    <n v="80725449"/>
    <s v="Contratar el servicio para la elaboración del retrato sobre lienzo al óleo de la Honorable Concejal de Bogotá D.C., Doctora  María Clara Name Ramírez, actual Presidenta de la Mesa Directiva del Concejo de Bogotá D.C., de conformidad con los estudios previos."/>
    <n v="6000000"/>
    <s v=" "/>
    <n v="2013"/>
    <s v=" "/>
    <d v="2013-12-12T00:00:00"/>
    <d v="2014-02-11T00:00:00"/>
    <n v="0"/>
    <n v="0"/>
    <n v="0"/>
    <s v=""/>
    <s v=""/>
    <d v="2014-02-11T00:00:00"/>
    <n v="6000000"/>
    <n v="6000000"/>
    <n v="0"/>
    <s v="Único"/>
    <x v="3"/>
    <x v="0"/>
    <n v="0"/>
    <s v=""/>
    <x v="1"/>
  </r>
  <r>
    <x v="148"/>
    <x v="125"/>
    <n v="860536079"/>
    <s v="Suministrar e instalar plantas purificadoras de agua semi-industriales en las dependencias del Concejo de Bogotá D.C., de acuerdo con las especificaciones y condiciones descritas en los estudios previos y anexo Técnico de conformidad con lo establecido en la invitación publica SDH-SMINC-53-2013"/>
    <n v="7937504"/>
    <s v=" "/>
    <n v="2013"/>
    <s v=" "/>
    <d v="2014-01-02T00:00:00"/>
    <d v="2015-01-01T00:00:00"/>
    <n v="0"/>
    <n v="0"/>
    <n v="0"/>
    <s v=""/>
    <s v=""/>
    <d v="2015-01-01T00:00:00"/>
    <n v="7937504"/>
    <n v="5992064"/>
    <n v="1945440"/>
    <s v="Un primer pago correspondiente al 100% del valor adjudicado según oferta presentada sobre las plantas purificadoras (ítem 1) instaladas y puestas en funcionamiento previa certificación de cumplimiento expedida por el supervisor del contrato._x000a_El valor de los mantenimientos preventivos (ítem 2) se pagará teniendo en cuenta el valor adjudicado para el respectivo ítem, una vez se hayan prestado los servicios y cuenten con la respectiva certificación de cumplimiento expedida por el supervisor del contrato_x000a__x000a_Los elementos e insumos susceptibles a cambio y/o desgaste (ítem 3) se cancelarán de acuerdo a su consumo, teniendo en cuenta la frecuencia de cambio y valores unitarios presentados en la oferta económica, previa certificación de cumplimiento expedida por el supervisor del contrato._x000a__x000a_"/>
    <x v="69"/>
    <x v="0"/>
    <n v="0.24509467963732678"/>
    <s v=""/>
    <x v="0"/>
  </r>
  <r>
    <x v="149"/>
    <x v="126"/>
    <n v="79106019"/>
    <s v="Prestar el servicio de alquiler, instalación y desmonte de la decoración navideña para la sede principal del Concejo de Bogotá D.C., de conformidad con los establecidos en la invitación publica SDH-SMINC-58-2013."/>
    <n v="15000000"/>
    <s v=" "/>
    <n v="2013"/>
    <s v=" "/>
    <d v="2013-12-04T00:00:00"/>
    <d v="2014-01-19T00:00:00"/>
    <n v="0"/>
    <n v="0"/>
    <n v="0"/>
    <s v=""/>
    <s v=""/>
    <d v="2014-01-19T00:00:00"/>
    <n v="15000000"/>
    <n v="15000000"/>
    <n v="0"/>
    <s v="1. Un pago por el 80% del valor del contrato al momento de la instalación y puesta en funcionamiento de la iluminación navideña objeto del contrato, previa presentación de certificación de recibo a satisfacción emitida por el Supervisor del contrato._x000a__x000a_2. El 20% restante al momento del retiro y desmonte de la iluminación navideña objeto del contrato, previa presentación de certificación de cumplimiento emitida por el Supervisor del contrato._x000a__x000a_"/>
    <x v="3"/>
    <x v="0"/>
    <n v="0"/>
    <s v=""/>
    <x v="1"/>
  </r>
  <r>
    <x v="150"/>
    <x v="127"/>
    <n v="800064773"/>
    <s v="Prestar el servicio integral en comunicación, consistente en el diseño, producción y ejecución de las estrategias de divulgación en medios de carácter masivo, alternativo y comunitario al servicio del Concejo de Bogotá D.C."/>
    <n v="452974000"/>
    <s v=" "/>
    <n v="2013"/>
    <s v=" "/>
    <d v="2013-12-13T00:00:00"/>
    <d v="2014-12-12T00:00:00"/>
    <n v="0"/>
    <n v="0"/>
    <n v="0"/>
    <s v=""/>
    <s v=""/>
    <d v="2014-12-12T00:00:00"/>
    <n v="452974000"/>
    <n v="355062557"/>
    <n v="97911443"/>
    <s v="Mensual"/>
    <x v="70"/>
    <x v="0"/>
    <n v="0.2161524568739045"/>
    <s v=""/>
    <x v="0"/>
  </r>
  <r>
    <x v="151"/>
    <x v="128"/>
    <n v="830113914"/>
    <s v="Suministrar papelería y útiles de escritorio por el sistema de precios unitarios fijos, en la modalidad de proveeduría integral (outsourcing) para el Concejo de Bogotá D.C., de conformidad con los requerimientos establecidos en el pliego de condiciones."/>
    <n v="95000000"/>
    <s v=" "/>
    <n v="2013"/>
    <s v=" "/>
    <d v="2014-01-08T00:00:00"/>
    <d v="2014-09-07T00:00:00"/>
    <n v="0"/>
    <n v="0"/>
    <n v="1"/>
    <s v="3 meses"/>
    <d v="2014-12-07T00:00:00"/>
    <d v="2014-12-07T00:00:00"/>
    <n v="95000000"/>
    <n v="88983693"/>
    <n v="6016307"/>
    <s v="Mensual"/>
    <x v="71"/>
    <x v="0"/>
    <n v="6.3329547368421002E-2"/>
    <s v=""/>
    <x v="0"/>
  </r>
  <r>
    <x v="152"/>
    <x v="129"/>
    <n v="860007336"/>
    <s v="Adquirir a titulo de compraventa bonos para el Concejo de Bogotá"/>
    <n v="63128000"/>
    <s v=" "/>
    <n v="2013"/>
    <s v=" "/>
    <d v="2013-12-18T00:00:00"/>
    <d v="2014-01-02T00:00:00"/>
    <n v="0"/>
    <n v="0"/>
    <n v="0"/>
    <s v=""/>
    <s v=""/>
    <d v="2014-01-02T00:00:00"/>
    <n v="63128000"/>
    <n v="63128000"/>
    <n v="0"/>
    <s v="Único"/>
    <x v="3"/>
    <x v="0"/>
    <n v="0"/>
    <s v=""/>
    <x v="1"/>
  </r>
  <r>
    <x v="153"/>
    <x v="130"/>
    <n v="52935011"/>
    <s v="Prestar servicios profesionales al Concejo de Bogotá D.C. para realización de actividades de identificación, clasificación, depuración organización y actualización de la normativa de los acuerdos distritales."/>
    <n v="5000000"/>
    <s v=" "/>
    <n v="2013"/>
    <s v=" "/>
    <d v="2013-12-20T00:00:00"/>
    <d v="2014-01-19T00:00:00"/>
    <n v="0"/>
    <n v="0"/>
    <n v="0"/>
    <s v=""/>
    <s v=""/>
    <d v="2014-01-19T00:00:00"/>
    <n v="5000000"/>
    <n v="5000000"/>
    <n v="0"/>
    <s v="La Secretaría de Hacienda realizará un pago a la entrega de los productos objeto del contrato, previa certificación de recibo a satisfacción por parte del Supervisor del contrato"/>
    <x v="3"/>
    <x v="0"/>
    <n v="0"/>
    <s v=""/>
    <x v="1"/>
  </r>
  <r>
    <x v="154"/>
    <x v="131"/>
    <n v="19327657"/>
    <s v="Prestar servicios profesionales al Concejo de Bogotá D.C. para realización de actividades de identificación, clasificación, depuración organización y actualización de la normativa de los acuerdos distritales."/>
    <n v="5000000"/>
    <s v=" "/>
    <n v="2013"/>
    <s v=" "/>
    <d v="2013-12-20T00:00:00"/>
    <d v="2014-01-19T00:00:00"/>
    <n v="0"/>
    <n v="0"/>
    <n v="0"/>
    <s v=""/>
    <s v=""/>
    <d v="2014-01-19T00:00:00"/>
    <n v="5000000"/>
    <n v="5000000"/>
    <n v="0"/>
    <s v="La Secretaría de Hacienda realizará un pago a la entrega de los productos objeto del contrato, previa certificación de recibo a satisfacción por parte del Supervisor del contrato"/>
    <x v="3"/>
    <x v="0"/>
    <n v="0"/>
    <s v=""/>
    <x v="1"/>
  </r>
  <r>
    <x v="155"/>
    <x v="132"/>
    <n v="900683150"/>
    <s v="Realizar el avaluó de los bienes muebles considerados de carácter patrimonial para el concejo de Bogotá D. C. de conformidad con lo establecido en el pliego de condiciones del proceso de selección SDH-SAMC-11-2013,  el Anexo No 1 y la propuesta."/>
    <n v="70000000"/>
    <s v=" "/>
    <n v="2013"/>
    <s v=" "/>
    <d v="2014-01-08T00:00:00"/>
    <d v="2014-03-07T00:00:00"/>
    <n v="0"/>
    <n v="0"/>
    <n v="2"/>
    <s v="3 meses"/>
    <d v="2014-06-07T00:00:00"/>
    <d v="2014-06-07T00:00:00"/>
    <n v="70000000"/>
    <n v="69658711"/>
    <n v="341289"/>
    <s v="Mensual"/>
    <x v="72"/>
    <x v="0"/>
    <n v="4.8755571428571454E-3"/>
    <s v=""/>
    <x v="0"/>
  </r>
  <r>
    <x v="156"/>
    <x v="133"/>
    <n v="19136712"/>
    <s v="Prestar servicios profesionales al Concejo de Bogotá D.C. para realización de actividades de identificación, clasificación, depuración organización y actualización de la normativa de los acuerdos distritales."/>
    <n v="5000000"/>
    <s v=" "/>
    <n v="2013"/>
    <s v=" "/>
    <d v="2013-12-20T00:00:00"/>
    <d v="2014-01-19T00:00:00"/>
    <n v="0"/>
    <n v="0"/>
    <n v="0"/>
    <s v=""/>
    <s v=""/>
    <d v="2014-01-19T00:00:00"/>
    <n v="5000000"/>
    <n v="5000000"/>
    <n v="0"/>
    <s v="La Secretaría de Hacienda realizará un pago a la entrega de los productos objeto del contrato, previa certificación de recibo a satisfacción por parte del Supervisor del contrato"/>
    <x v="3"/>
    <x v="0"/>
    <n v="0"/>
    <s v=""/>
    <x v="1"/>
  </r>
  <r>
    <x v="157"/>
    <x v="134"/>
    <n v="7212142"/>
    <s v="Prestar servicios profesionales al Concejo de Bogotá D.C. para realización de actividades de identificación, clasificación, depuración organización y actualización de la normativa de los acuerdos distritales."/>
    <n v="5000000"/>
    <s v=" "/>
    <n v="2013"/>
    <s v=" "/>
    <d v="2013-12-20T00:00:00"/>
    <d v="2014-01-19T00:00:00"/>
    <n v="0"/>
    <n v="0"/>
    <n v="0"/>
    <s v=""/>
    <s v=""/>
    <d v="2014-01-19T00:00:00"/>
    <n v="5000000"/>
    <n v="5000000"/>
    <n v="0"/>
    <s v="La Secretaría de Hacienda realizará un pago a la entrega de los productos objeto del contrato, previa certificación de recibo a satisfacción por parte del Supervisor del contrato"/>
    <x v="3"/>
    <x v="0"/>
    <n v="0"/>
    <s v=""/>
    <x v="1"/>
  </r>
  <r>
    <x v="158"/>
    <x v="124"/>
    <n v="830110570"/>
    <s v="La adquisición de dispositivos de entrada para pantallas Touch del Sistema de Voto Electrónico para el Concejo de Bogotá, de conformidad con lo establecido en la invitación publica SDH-SMINC-51-2013"/>
    <n v="3017160"/>
    <s v=" "/>
    <n v="2013"/>
    <s v=" "/>
    <d v="2014-01-23T00:00:00"/>
    <d v="2014-04-22T00:00:00"/>
    <n v="0"/>
    <n v="0"/>
    <n v="0"/>
    <s v=""/>
    <s v=""/>
    <d v="2014-04-22T00:00:00"/>
    <n v="3017160"/>
    <n v="3017160"/>
    <n v="0"/>
    <s v="Único"/>
    <x v="3"/>
    <x v="0"/>
    <n v="0"/>
    <s v=""/>
    <x v="1"/>
  </r>
  <r>
    <x v="159"/>
    <x v="135"/>
    <n v="811021363"/>
    <s v="Contratar el suministro de tóner para los equipos de impresión del Concejo de Bogotá D.C"/>
    <n v="60000000"/>
    <s v=" "/>
    <n v="2013"/>
    <s v=" "/>
    <d v="2014-01-16T00:00:00"/>
    <d v="2015-01-15T00:00:00"/>
    <n v="1"/>
    <n v="30000000"/>
    <n v="0"/>
    <s v=""/>
    <s v=""/>
    <d v="2015-01-15T00:00:00"/>
    <n v="90000000"/>
    <n v="42574877.200000003"/>
    <n v="47425122.799999997"/>
    <s v="Los pagos se realizarán en forma bimestral, de acuerdo a los suministros efectivamente realizados por el contratista y recibidas a satisfacción, las cuales deben ser certificadas_x000a_por el supervisor del contrato._x000a_"/>
    <x v="73"/>
    <x v="0"/>
    <n v="0.52694580888888887"/>
    <s v=""/>
    <x v="0"/>
  </r>
  <r>
    <x v="160"/>
    <x v="136"/>
    <n v="72167924"/>
    <s v="Prestar servicios profesionales al Concejo de Bogotá D.C. para realización de actividades de identificación, clasificación, depuración organización y actualización de la normativa de los acuerdos distritales."/>
    <n v="5000000"/>
    <s v=" "/>
    <n v="2013"/>
    <s v=" "/>
    <d v="2013-12-26T00:00:00"/>
    <d v="2014-01-25T00:00:00"/>
    <n v="0"/>
    <n v="0"/>
    <n v="0"/>
    <s v=""/>
    <s v=""/>
    <d v="2014-01-25T00:00:00"/>
    <n v="5000000"/>
    <n v="5000000"/>
    <n v="0"/>
    <s v="La Secretaría de Hacienda realizará un pago a la entrega de los productos objeto del contrato, previa certificación de recibo a satisfacción por parte del Supervisor del contrato"/>
    <x v="3"/>
    <x v="0"/>
    <n v="0"/>
    <s v=""/>
    <x v="1"/>
  </r>
  <r>
    <x v="161"/>
    <x v="1"/>
    <n v="800015583"/>
    <s v="Compra de dos (2) impresoras de tickets para el Concejo de Bogotá D.C. de acuerdo con las especificaciones y condiciones descritas en los estudios previos y anexo técnico, de conformidad con lo establecido en la invitación publica SDH-SMINC-60-2013"/>
    <n v="3743343"/>
    <s v=" "/>
    <n v="2013"/>
    <s v=" "/>
    <d v="2014-01-23T00:00:00"/>
    <d v="2014-04-25T00:00:00"/>
    <n v="0"/>
    <n v="0"/>
    <n v="0"/>
    <s v=""/>
    <s v=""/>
    <d v="2014-04-25T00:00:00"/>
    <n v="3743343"/>
    <n v="3743343"/>
    <n v="0"/>
    <s v="Único"/>
    <x v="3"/>
    <x v="0"/>
    <n v="0"/>
    <s v=""/>
    <x v="1"/>
  </r>
  <r>
    <x v="162"/>
    <x v="137"/>
    <n v="52374136"/>
    <s v="Prestación de servicios de mantenimiento preventivo y correctivo de los aires acondicionado del Concejo de Bogotá D.C. de acuerdo con las especificaciones y condiciones descritas en los estudios previos y anexo técnico de conformidad con lo establecido en la invitación publica SDH-SMINC-55-2013"/>
    <n v="1620000"/>
    <s v=" "/>
    <n v="2013"/>
    <s v=" "/>
    <d v="2014-01-23T00:00:00"/>
    <d v="2015-01-22T00:00:00"/>
    <n v="0"/>
    <n v="0"/>
    <n v="0"/>
    <s v=""/>
    <s v=""/>
    <d v="2015-01-22T00:00:00"/>
    <n v="1620000"/>
    <n v="354000"/>
    <n v="1266000"/>
    <s v="Para todos los servicios de mantenimiento preventivo y correctivo (por demanda):  Se realizarán pagos trimestrales por concepto de la  prestación de los servicios por demanda incluidos los repuestos y/o partes utilizados y/o actividades desarrolladas en el período a facturar._x000a_"/>
    <x v="74"/>
    <x v="0"/>
    <n v="0.78148148148148144"/>
    <s v=""/>
    <x v="0"/>
  </r>
  <r>
    <x v="163"/>
    <x v="110"/>
    <n v="800039398"/>
    <s v="Prestar el servicio de arrendamiento de sistemas UPS y Aire acondicionado para el Concejo de Bogotá, de conformidad con lo establecido en la invitación publica No SDH-SMINC-67-2013"/>
    <n v="32048480"/>
    <s v=" "/>
    <n v="2013"/>
    <s v=" "/>
    <d v="2014-01-16T00:00:00"/>
    <d v="2014-03-15T00:00:00"/>
    <n v="0"/>
    <n v="0"/>
    <n v="0"/>
    <s v=""/>
    <s v=""/>
    <d v="2014-03-15T00:00:00"/>
    <n v="32048480"/>
    <n v="32048480"/>
    <n v="0"/>
    <s v="Dos (2) pagos iguales mes vencido, por concepto de servicio de arrendamiento, previa presentación de: a) Factura, donde se especifiquen las cantidades arrendadas._x000a_"/>
    <x v="3"/>
    <x v="0"/>
    <n v="0"/>
    <s v=""/>
    <x v="1"/>
  </r>
  <r>
    <x v="164"/>
    <x v="138"/>
    <n v="830093579"/>
    <s v="Contratar la adquisición de medios magnéticos para copias de respaldo (cintas para tape backup ) para el Concejo de Bogotá D.C. de conformidad con lo establecido en la invitación publica SDH-SMINC-68-2013."/>
    <n v="3480000"/>
    <s v=" "/>
    <n v="2013"/>
    <s v=" "/>
    <d v="2014-01-23T00:00:00"/>
    <d v="2014-03-22T00:00:00"/>
    <n v="0"/>
    <n v="0"/>
    <n v="0"/>
    <s v=""/>
    <s v=""/>
    <d v="2014-03-22T00:00:00"/>
    <n v="3480000"/>
    <n v="3480000"/>
    <n v="0"/>
    <s v="Único"/>
    <x v="3"/>
    <x v="0"/>
    <n v="0"/>
    <s v=""/>
    <x v="1"/>
  </r>
  <r>
    <x v="165"/>
    <x v="110"/>
    <n v="800039398"/>
    <s v="Adquisición de unidades de aire acondicionado para el cuarto de las UPS y la Subestación Eléctrica del Concejo de Bogotá de conformidad con el pliego de condiciones del proceso de selección abreviada mediante subasta inversa electrónica SDH-SIE-015-2013  y la propuesta presentada."/>
    <n v="126308000"/>
    <s v=" "/>
    <n v="2013"/>
    <s v=" "/>
    <d v="2014-01-23T00:00:00"/>
    <d v="2014-04-07T00:00:00"/>
    <n v="0"/>
    <n v="0"/>
    <n v="0"/>
    <s v=""/>
    <s v=""/>
    <d v="2014-04-07T00:00:00"/>
    <n v="126308000"/>
    <n v="126308000"/>
    <n v="0"/>
    <s v="Concejo de Bogotá 1) Un primer pago por el treinta por ciento (30%), al recibo a satisfacción del equipo por parte del supervisor y el ingreso al almacén del Concejo de Bogotá. 2) Un segundo pago por el setenta por ciento (70%), una vez instalado, configurado y puesto en funcionamiento, previo recibo a satisfacción por parte del supervisor del Concejo de Bogotá. "/>
    <x v="3"/>
    <x v="0"/>
    <n v="0"/>
    <s v=""/>
    <x v="1"/>
  </r>
  <r>
    <x v="166"/>
    <x v="139"/>
    <n v="1010168639"/>
    <s v="Prestar servicios profesionales para apoyar al Concejo de Bogotá D.C. para realización de actividades de identificación, clasificación, depuración organización y actualización de la normativa de los acuerdos distritales."/>
    <n v="3500000"/>
    <s v=" "/>
    <n v="2013"/>
    <s v=" "/>
    <d v="2013-12-30T00:00:00"/>
    <d v="2014-01-29T00:00:00"/>
    <n v="0"/>
    <n v="0"/>
    <n v="0"/>
    <s v=""/>
    <s v=""/>
    <d v="2014-01-29T00:00:00"/>
    <n v="3500000"/>
    <n v="3500000"/>
    <n v="0"/>
    <s v="La Secretaría de Hacienda realizará un pago a la entrega de los productos objeto del contrato, previa certificación de recibo a satisfacción por parte del Supervisor del contrato. "/>
    <x v="3"/>
    <x v="0"/>
    <n v="0"/>
    <s v=""/>
    <x v="1"/>
  </r>
  <r>
    <x v="167"/>
    <x v="77"/>
    <n v="800058607"/>
    <s v="Adquisición de elementos de  tecnología informática, servicio de mantenimiento y actualización de licencias de software y traslado de Data center del Concejo de Bogotá D.C., de conformidad con lo establecido en le pliego de condiciones de la subasta inversa Electrónica No SDH-SIE-18-2013 y la propuestas presentada por el contratista."/>
    <n v="803432165"/>
    <s v=" "/>
    <n v="2013"/>
    <s v=" "/>
    <d v="2014-01-31T00:00:00"/>
    <d v="2014-04-30T00:00:00"/>
    <n v="0"/>
    <n v="0"/>
    <n v="1"/>
    <s v="30 días"/>
    <d v="2014-05-30T00:00:00"/>
    <d v="2014-05-30T00:00:00"/>
    <n v="803432165"/>
    <n v="741115935"/>
    <n v="62316230"/>
    <s v="La Secretaría Distrital de Hacienda de Bogotá, D.C., efectuará los pagos en pesos colombianos de acuerdo con lo establecido en el numeral 5.4 forma de pago del pliego de condiciones."/>
    <x v="75"/>
    <x v="0"/>
    <n v="7.7562528256508112E-2"/>
    <s v=""/>
    <x v="0"/>
  </r>
  <r>
    <x v="168"/>
    <x v="87"/>
    <n v="860019063"/>
    <s v="Prestar servicio de mantenimiento correctivo con suministro de repuestos de los automotores marca MITSUBISHI, al servicio del  Concejo de Bogotá D.C., de conformidad con lo establecido en el proceso SDH-SMINC-002-2014."/>
    <n v="30000000"/>
    <s v=" "/>
    <n v="2014"/>
    <s v=" "/>
    <d v="2014-03-05T00:00:00"/>
    <d v="2015-03-04T00:00:00"/>
    <n v="0"/>
    <n v="0"/>
    <n v="1"/>
    <s v="2 meses"/>
    <d v="2015-05-05T00:00:00"/>
    <d v="2015-05-05T00:00:00"/>
    <n v="30000000"/>
    <n v="28330110"/>
    <n v="1669890"/>
    <s v="Los mantenimientos correctivos y el suministro de repuestos se cancelarán mensualmente de acuerdo con los servicios efectivamente prestados._x000a_"/>
    <x v="76"/>
    <x v="0"/>
    <n v="5.5663000000000018E-2"/>
    <s v=""/>
    <x v="0"/>
  </r>
  <r>
    <x v="169"/>
    <x v="41"/>
    <n v="830067096"/>
    <s v="Suscripción a la revista el congreso siglo XXI con destino al Concejo de Bogotá D.C., de conformidad con lo previsto en le documento de estudios previos."/>
    <n v="7740000"/>
    <s v=" "/>
    <n v="2014"/>
    <s v=" "/>
    <d v="2014-05-16T00:00:00"/>
    <d v="2015-05-15T00:00:00"/>
    <n v="0"/>
    <n v="0"/>
    <n v="0"/>
    <s v=""/>
    <s v=""/>
    <d v="2015-05-15T00:00:00"/>
    <n v="7740000"/>
    <n v="7740000"/>
    <n v="0"/>
    <s v="Un único pago contra la presentación de la factura, acompañada de la constancia de suscripción objeto de la contratación,  previa  certificación expedida por el supervisor del contrato._x000a__x000a_"/>
    <x v="3"/>
    <x v="0"/>
    <n v="0"/>
    <s v=""/>
    <x v="1"/>
  </r>
  <r>
    <x v="170"/>
    <x v="94"/>
    <n v="79887061"/>
    <s v="Prestar servicios profesionales para ejecutar acciones que contribuyan a la identificación de riesgos potenciales en materia de seguridad informática y su regulación en los mapas de riesgos y manuales de contingencia."/>
    <n v="29819999"/>
    <s v=" "/>
    <n v="2014"/>
    <s v=" "/>
    <d v="2014-02-05T00:00:00"/>
    <d v="2015-01-04T00:00:00"/>
    <n v="0"/>
    <n v="0"/>
    <n v="0"/>
    <s v=""/>
    <s v=""/>
    <d v="2015-01-04T00:00:00"/>
    <n v="29819999"/>
    <n v="29819999"/>
    <n v="0"/>
    <s v="El pago de los honorarios se efectuará así: a) El primer pago vencido se cancelará en proporción a los días ejecutados en el mes en que se inicie la ejecución del contrato. b) Diez (10) mensualidades vencidas de DOS MILLONES SETECIENTOS DIEZ MIL NOVECIENTOS NUEVE MIL PESOS M/CTE ($ 2.710.909), previa presentación del informe de actividades, del respectivo período, aprobado por el supervisor. c) En el último pago se cancelará el saldo del presente contrato previa presentación del informe final aprobado por el supervisor."/>
    <x v="3"/>
    <x v="0"/>
    <n v="0"/>
    <s v=""/>
    <x v="1"/>
  </r>
  <r>
    <x v="171"/>
    <x v="82"/>
    <n v="860001022"/>
    <s v="Suscripción a los diarios el TIEMPO Y PORTAFOLIO con destino al concejo de Bogotá D.C."/>
    <n v="1197000"/>
    <s v=" "/>
    <n v="2014"/>
    <s v=" "/>
    <d v="2014-03-19T00:00:00"/>
    <d v="2015-03-18T00:00:00"/>
    <n v="0"/>
    <n v="0"/>
    <n v="0"/>
    <s v=""/>
    <s v=""/>
    <d v="2015-03-18T00:00:00"/>
    <n v="1197000"/>
    <n v="1197000"/>
    <n v="0"/>
    <s v="Un único pago contra la presentación de la factura, acompañada de la constancia de suscripción objeto de la contratación,  previa  certificación expedida por el supervisor del contrato. _x000a__x000a__x000a_"/>
    <x v="3"/>
    <x v="0"/>
    <n v="0"/>
    <s v=""/>
    <x v="1"/>
  </r>
  <r>
    <x v="172"/>
    <x v="83"/>
    <n v="800249557"/>
    <s v="Adquirir a titulo de compra ejemplares del Directorio de Despachos Públicos de Colombia 2014, para el Concejo de Bogotá D.C."/>
    <n v="4000000"/>
    <s v=" "/>
    <n v="2014"/>
    <s v=" "/>
    <d v="2014-04-10T00:00:00"/>
    <d v="2014-09-09T00:00:00"/>
    <n v="0"/>
    <n v="0"/>
    <n v="0"/>
    <s v=""/>
    <s v=""/>
    <d v="2014-09-09T00:00:00"/>
    <n v="4000000"/>
    <n v="4000000"/>
    <n v="0"/>
    <s v="Un pago único dentro de los ocho (8) días hábiles  siguientes a la radicación en la Subdirección Financiera de los siguientes  documentos: a) Certificación de cumplimiento a satisfacción del objeto y obligaciones, expedida por el supervisor del respectivo contrato, b) factura(s), c) Certificación de pago por concepto de aportes al Sistema de Seguridad Social Integral en Salud, Pensión, ARL, aportes parafiscales: Sena, ICBF y Cajas de Compensación Familiar, cuando corresponda, d) Certificación del banco donde conste que el contratista tiene  cuenta de ahorros o corriente y a la cual se le va a consignar._x000a__x000a_"/>
    <x v="3"/>
    <x v="0"/>
    <n v="0"/>
    <s v=""/>
    <x v="1"/>
  </r>
  <r>
    <x v="173"/>
    <x v="85"/>
    <n v="51931422"/>
    <s v="Prestar los servicios profesionales para acompañar técnicamente los temas relacionados con la intervención y seguimiento a los proyectos de infraestructura y reforzamiento estructural del Concejo de Bogotá D.C., de conformidad con los estudios previos."/>
    <n v="42800000"/>
    <s v=" "/>
    <n v="2014"/>
    <s v=" "/>
    <d v="2014-03-03T00:00:00"/>
    <d v="2015-01-02T00:00:00"/>
    <n v="0"/>
    <n v="0"/>
    <n v="0"/>
    <s v=""/>
    <s v=""/>
    <d v="2015-01-02T00:00:00"/>
    <n v="42800000"/>
    <n v="42800000"/>
    <n v="0"/>
    <s v="El pago de los honorarios se efectuará así: a) El primer pago vencido se cancelará en proporción a los días ejecutados en el mes en que se inicie la ejecución del contrato. b) Nueve (09) mensualidades vencidas de  Cuatro millones Ciento Sesenta Mil Pesos ($4.160.000) M/CTE, previa presentación del informe de actividades, del respectivo período, aprobado por el supervisor. c) En el último pago se cancelará el saldo del presente contrato previa presentación del informe final aprobado por el supervisor del contrato."/>
    <x v="3"/>
    <x v="0"/>
    <n v="0"/>
    <s v=""/>
    <x v="1"/>
  </r>
  <r>
    <x v="174"/>
    <x v="105"/>
    <n v="80117116"/>
    <s v="Prestar servicios profesionales para la actualización, administración, publicación y salvaguardar de la información publica en la pagina WEB oficial del Concejo de Bogotá D. C."/>
    <n v="38830000"/>
    <s v=" "/>
    <n v="2014"/>
    <s v=" "/>
    <d v="2014-03-10T00:00:00"/>
    <d v="2015-01-09T00:00:00"/>
    <n v="0"/>
    <n v="0"/>
    <n v="0"/>
    <s v=""/>
    <s v=""/>
    <d v="2015-01-09T00:00:00"/>
    <n v="38830000"/>
    <n v="38830000"/>
    <n v="0"/>
    <s v="El pago de los honorarios se efectuará así: a) El primer pago vencido se cancelará en proporción a los días ejecutados en el mes en que se inicie la ejecución del contrato. b) Nueve (9) mensualidades vencidas de TRES MILLONES OCHOCIENTOS OCHENTA Y TRES MIL PESOS M/CTE ($ 3.883.000), previa presentación del informe de actividades, del respectivo período, aprobado por el supervisor. c) En el último pago se cancelará el saldo del presente contrato previa presentación del informe final aprobado por el "/>
    <x v="3"/>
    <x v="0"/>
    <n v="0"/>
    <s v=""/>
    <x v="1"/>
  </r>
  <r>
    <x v="175"/>
    <x v="99"/>
    <n v="4098836"/>
    <s v="Prestar servicios profesionales para apoyar a la dirección financiera del Concejo de Bogotá D. C., en la revisión y estudio de las historias laborales de los funcionarios para establecer la definición técnica y jurídica del cumplimiento de los requisitos en los diferentes regímenes de pensión, en la articulación con cada uno de los funcionarios que lo requiera, de conformidad con los estudios previos."/>
    <n v="40997000"/>
    <s v=" "/>
    <n v="2014"/>
    <s v=" "/>
    <d v="2014-02-05T00:00:00"/>
    <d v="2015-01-04T00:00:00"/>
    <n v="0"/>
    <n v="0"/>
    <n v="0"/>
    <s v=""/>
    <s v=""/>
    <d v="2015-01-04T00:00:00"/>
    <n v="40997000"/>
    <n v="40997000"/>
    <n v="0"/>
    <s v="El pago de los honorarios se efectuará así: a) El primer pago vencido se cancelará en proporción a los días ejecutados en el mes en que se inicie la ejecución del contrato. b) Seis (06) mensualidades vencidas de  Tres Millones Cuatrocientos Veintisiete Mil Pesos ($3.427.000) M/CTE, previa presentación del informe de actividades, del respectivo período, aprobado por el supervisor. c) En el último pago se cancelará el saldo del presente contrato previa presentación del informe final aprobado por el supervisor del contrato. "/>
    <x v="3"/>
    <x v="0"/>
    <n v="0"/>
    <s v=""/>
    <x v="1"/>
  </r>
  <r>
    <x v="176"/>
    <x v="133"/>
    <n v="19136712"/>
    <s v="Prestar servicios profesionales al Concejo de Bogotá D.C. para realización de actividades de identificación, clasificación, depuración organización y actualización de la normativa de los acuerdos distritales en segunda y tercera fases, de conformidad con los estudios previos."/>
    <n v="55000000"/>
    <s v=" "/>
    <n v="2014"/>
    <d v="2014-01-24T00:00:00"/>
    <d v="2014-02-05T00:00:00"/>
    <d v="2015-01-04T00:00:00"/>
    <n v="0"/>
    <n v="0"/>
    <n v="0"/>
    <s v=""/>
    <s v=""/>
    <d v="2015-01-04T00:00:00"/>
    <n v="55000000"/>
    <n v="54333333"/>
    <n v="666667"/>
    <s v="El pago de los honorarios se efectuará así: _x000a_a) El primer pago vencido se cancelará en proporción a los días ejecutados en el mes en que se inicie la ejecución del contrato._x000a_b) Diez (10) mensualidades vencidas de  CINCO MILLONES DE PESOS ($5.000.000), previa presentación del informe de actividades, del respectivo período, aprobado por el supervisor._x000a_c) En el último pago se cancelará el saldo del presente contrato previa presentación del informe final aprobado por el interventor. _x000a_"/>
    <x v="77"/>
    <x v="0"/>
    <n v="1.2121218181818216E-2"/>
    <s v=""/>
    <x v="0"/>
  </r>
  <r>
    <x v="177"/>
    <x v="134"/>
    <n v="7212142"/>
    <s v="Prestar servicios profesionales al Concejo de Bogotá D.C. para realización de actividades de identificación, clasificación, depuración organización y actualización de la normativa de los acuerdos distritales en segunda y tercera fases, de conformidad con los estudios previos."/>
    <n v="55000000"/>
    <s v=" "/>
    <n v="2014"/>
    <d v="2014-01-24T00:00:00"/>
    <d v="2014-02-05T00:00:00"/>
    <d v="2015-01-04T00:00:00"/>
    <n v="0"/>
    <n v="0"/>
    <n v="0"/>
    <s v=""/>
    <s v=""/>
    <d v="2015-01-04T00:00:00"/>
    <n v="55000000"/>
    <n v="55000000"/>
    <n v="0"/>
    <s v="El pago de los honorarios se efectuará así: _x000a_a) El primer pago vencido se cancelará en proporción a los días ejecutados en el mes en que se inicie la ejecución del contrato._x000a_b) Diez (10) mensualidades vencidas de  CINCO MILLONES DE PESOS ($5.000.000), previa presentación del informe de actividades, del respectivo período, aprobado por el supervisor._x000a_c) En el último pago se cancelará el saldo del presente contrato previa presentación del informe final aprobado por el interventor. _x000a_"/>
    <x v="3"/>
    <x v="0"/>
    <n v="0"/>
    <s v=""/>
    <x v="1"/>
  </r>
  <r>
    <x v="178"/>
    <x v="140"/>
    <n v="72167924"/>
    <s v="Prestar servicios profesionales al Concejo de Bogotá D.C. para realización de actividades de identificación, clasificación, depuración organización y actualización de la normativa de los acuerdos distritales en segunda y tercera fases, de conformidad con los estudios previos."/>
    <n v="55000000"/>
    <s v=" "/>
    <n v="2014"/>
    <d v="2014-01-24T00:00:00"/>
    <d v="2014-02-05T00:00:00"/>
    <d v="2015-01-04T00:00:00"/>
    <n v="0"/>
    <n v="0"/>
    <n v="0"/>
    <s v=""/>
    <s v=""/>
    <d v="2015-01-04T00:00:00"/>
    <n v="55000000"/>
    <n v="54666666"/>
    <n v="333334"/>
    <s v="El pago de los honorarios se efectuará así: _x000a_a) El primer pago vencido se cancelará en proporción a los días ejecutados en el mes en que se inicie la ejecución del contrato._x000a_b) Diez (10) mensualidades vencidas de  CINCO MILLONES DE PESOS ($5.000.000), previa presentación del informe de actividades, del respectivo período, aprobado por el supervisor._x000a_c) En el último pago se cancelará el saldo del presente contrato previa presentación del informe final aprobado por el interventor. _x000a_"/>
    <x v="78"/>
    <x v="0"/>
    <n v="6.0606181818181337E-3"/>
    <s v=""/>
    <x v="0"/>
  </r>
  <r>
    <x v="179"/>
    <x v="139"/>
    <n v="1010168639"/>
    <s v="Prestar servicios profesionales para apoyar al Concejo de Bogotá D.C. en la realización de actividades de identificación, clasificación, depuración organización y actualización de la normativa de los acuerdos distritales en  segunda y tercera fases, de conformidad con los estudios previos."/>
    <n v="38500000"/>
    <s v=" "/>
    <n v="2014"/>
    <d v="2014-01-24T00:00:00"/>
    <d v="2014-02-05T00:00:00"/>
    <d v="2015-01-04T00:00:00"/>
    <n v="0"/>
    <n v="0"/>
    <n v="0"/>
    <s v=""/>
    <s v=""/>
    <d v="2015-01-04T00:00:00"/>
    <n v="38500000"/>
    <n v="38500000"/>
    <n v="0"/>
    <s v="El pago de los honorarios se efectuará así: a) El primer pago vencido se cancelará en proporción a los días ejecutados en el mes en que se inicie la ejecución del contrato. b) Diez (10) mensualidades vencidas de  TRES MILLONES QUINIENTOS MIL PESOS ($3.500.000) M/CTE, previa presentación del informe de actividades, del respectivo período, aprobado por el supervisor o interventor. c) En el último pago se cancelará el saldo del presente contrato previa presentación del informe final aprobado por el supervisor o interventor del contrato, según corresponda. _x000a__x000a_"/>
    <x v="3"/>
    <x v="0"/>
    <n v="0"/>
    <s v=""/>
    <x v="1"/>
  </r>
  <r>
    <x v="180"/>
    <x v="130"/>
    <n v="52935011"/>
    <s v="Prestar servicios profesionales al Concejo de Bogotá D.C. para la realización de actividades de identificación, clasificación, depuración organización y actualización de la normativa de los acuerdos distritales en segunda y tercera fases."/>
    <n v="55000000"/>
    <s v=" "/>
    <n v="2014"/>
    <d v="2014-01-24T00:00:00"/>
    <d v="2014-02-05T00:00:00"/>
    <d v="2015-01-04T00:00:00"/>
    <n v="0"/>
    <n v="0"/>
    <n v="0"/>
    <s v=""/>
    <s v=""/>
    <d v="2015-01-04T00:00:00"/>
    <n v="55000000"/>
    <n v="55000000"/>
    <n v="0"/>
    <s v="El pago de los honorarios se efectuará así: _x000a_a) El primer pago vencido se cancelará en proporción a los días ejecutados en el mes en que se inicie la ejecución del contrato._x000a_b) Diez (10) mensualidades vencidas de  CINCO MILLONES DE PESOS ($5.000.000), previa presentación del informe de actividades, del respectivo período, aprobado por el supervisor._x000a_c) En el último pago se cancelará el saldo del presente contrato previa presentación del informe final aprobado por el interventor. _x000a__x000a_"/>
    <x v="3"/>
    <x v="0"/>
    <n v="0"/>
    <s v=""/>
    <x v="1"/>
  </r>
  <r>
    <x v="181"/>
    <x v="131"/>
    <n v="19327657"/>
    <s v="Prestar servicios profesionales al Concejo de Bogotá D.C. para realización de actividades de identificación, clasificación, depuración organización y actualización de la normativa de los acuerdos distritales en segunda y tercera fases, de conformidad con los estudios previos."/>
    <n v="55000000"/>
    <s v=" "/>
    <n v="2014"/>
    <d v="2014-01-24T00:00:00"/>
    <d v="2014-02-05T00:00:00"/>
    <d v="2015-01-04T00:00:00"/>
    <n v="0"/>
    <n v="0"/>
    <n v="0"/>
    <s v=""/>
    <s v=""/>
    <d v="2015-01-04T00:00:00"/>
    <n v="55000000"/>
    <n v="55000000"/>
    <n v="0"/>
    <s v="El pago de los honorarios se efectuará así: _x000a_a) El primer pago vencido se cancelará en proporción a los días ejecutados en el mes en que se inicie la ejecución del contrato._x000a_b) Diez (10) mensualidades vencidas de  CINCO MILLONES DE PESOS ($5.000.000), previa presentación del informe de actividades, del respectivo período, aprobado por el supervisor._x000a_c) En el último pago se cancelará el saldo del presente contrato previa presentación del informe final aprobado por el interventor. _x000a_"/>
    <x v="3"/>
    <x v="0"/>
    <n v="0"/>
    <s v=""/>
    <x v="1"/>
  </r>
  <r>
    <x v="182"/>
    <x v="141"/>
    <n v="860025639"/>
    <s v="Prestar el servicio de mantenimiento preventivo y correctivo ocasional a los ascensores marca Mitsubishi ubicados en el Concejo de Bogotá. D.C., de conformidad con lo previsto en los estudios previos y la propuesta presentada."/>
    <n v="16555000"/>
    <s v=" "/>
    <n v="2014"/>
    <s v=" "/>
    <d v="2014-04-03T00:00:00"/>
    <d v="2015-04-02T00:00:00"/>
    <n v="0"/>
    <n v="0"/>
    <n v="0"/>
    <s v=""/>
    <s v=""/>
    <d v="2015-04-02T00:00:00"/>
    <n v="16555000"/>
    <n v="15762669"/>
    <n v="792331"/>
    <s v="Los mantenimientos preventivos se cancelarán mensualmente de acuerdo con los servicios efectivamente prestados conforme con el cronograma aprobado por el supervisor. El mantenimiento correctivo y el suministro de repuestos se cancelarán con el pago mensual correspondiente al mes de la ejecución. _x000a_"/>
    <x v="79"/>
    <x v="0"/>
    <n v="4.7860525520990627E-2"/>
    <s v=""/>
    <x v="0"/>
  </r>
  <r>
    <x v="183"/>
    <x v="95"/>
    <n v="51721571"/>
    <s v="Prestar servicios profesionales para el apoyo en la implementación del manual de convivencia adoptado por el Concejo de Bogotá D.C., para el mejoramiento del clima laboral, de conformidad con los estudios previos."/>
    <n v="39600000"/>
    <s v=" "/>
    <n v="2014"/>
    <s v=" "/>
    <d v="2014-02-05T00:00:00"/>
    <d v="2015-01-04T00:00:00"/>
    <n v="0"/>
    <n v="0"/>
    <n v="0"/>
    <s v=""/>
    <s v=""/>
    <d v="2015-01-04T00:00:00"/>
    <n v="39600000"/>
    <n v="24720000"/>
    <n v="14880000"/>
    <s v="El pago de los honorarios se efectuará así: a) El primer pago vencido se cancelará en proporción a los días ejecutados en el mes en que se inicie la ejecución del contrato. b) diez (10) mensualidades vencidas de Tres Millones Seiscientos Mil Pesos ($3.600.000) M/CTE, previa presentación del informe de actividades, del respectivo período, aprobado por el supervisor. c) En el último pago se cancelará el saldo del presente contrato previa presentación del informe final aprobado por el supervisor del contrato, según corresponda. "/>
    <x v="80"/>
    <x v="0"/>
    <n v="0.37575757575757573"/>
    <s v=""/>
    <x v="0"/>
  </r>
  <r>
    <x v="184"/>
    <x v="84"/>
    <n v="79843891"/>
    <s v="Prestar servicios profesionales para apoyar a la dirección financiera del Concejo de Bogotá en la supervisión de los contratos que le sean asignados, implementado mecanismos que le permitan contribuir efectivamente al seguimiento técnico, administrativo, financiero, contable, y jurídico sobre el cumplimiento del objeto de cada contrato asignado."/>
    <n v="51500000"/>
    <s v=" "/>
    <n v="2014"/>
    <s v=" "/>
    <d v="2014-02-24T00:00:00"/>
    <d v="2014-12-23T00:00:00"/>
    <n v="0"/>
    <n v="0"/>
    <n v="1"/>
    <s v=""/>
    <d v="2014-09-05T00:00:00"/>
    <d v="2014-09-05T00:00:00"/>
    <n v="51500000"/>
    <n v="32788333"/>
    <n v="18711667"/>
    <s v="El pago de los honorarios se efectuará así: _x000a_a) El primer pago vencido se cancelará en proporción a los días ejecutados en el mes en que se inicie la ejecución del contrato._x000a_b) Nueve (9) mensualidades vencidas de  CINCO MILLONES CIENTO CINCUENTA MIL DE PESOS ($5.150.000), previa presentación del informe de actividades, del respectivo período, aprobado por el supervisor._x000a_c) En el último pago se cancelará el saldo del presente contrato previa presentación del informe final aprobado por el interventor. _x000a__x000a__x000a_"/>
    <x v="81"/>
    <x v="0"/>
    <n v="0.36333333980582527"/>
    <s v=""/>
    <x v="0"/>
  </r>
  <r>
    <x v="185"/>
    <x v="142"/>
    <n v="1018434911"/>
    <s v="Prestar servicios de apoyo al Concejo de Bogotá D.C., en la elaboración y actualización de las bases de datos para el control, depuración y actualización de la normativa de los acuerdos distritales en segunda y tercera fases."/>
    <n v="16500000"/>
    <s v=" "/>
    <n v="2014"/>
    <s v=" "/>
    <d v="2014-02-05T00:00:00"/>
    <d v="2015-01-04T00:00:00"/>
    <n v="0"/>
    <n v="0"/>
    <n v="0"/>
    <s v=""/>
    <s v=""/>
    <d v="2015-01-04T00:00:00"/>
    <n v="16500000"/>
    <n v="10300000"/>
    <n v="6200000"/>
    <s v="El pago de los honorarios se efectuará así: a) El primer pago vencido se cancelará en proporción a los días ejecutados en el mes en que se inicie la ejecución del contrato. b) diez (10) mensualidades vencidas de Un Millón Quinientos Mil Pesos ($1.500.000) M/CTE, previa presentación del informe de actividades, del respectivo período, aprobado por el supervisor. c) En el último pago se cancelará el saldo del presente contrato previa presentación del informe final aprobado por el supervisor del contrato, según corresponda. "/>
    <x v="80"/>
    <x v="0"/>
    <n v="0.37575757575757573"/>
    <s v=""/>
    <x v="0"/>
  </r>
  <r>
    <x v="186"/>
    <x v="143"/>
    <n v="60289180"/>
    <s v="Prestar servicios profesionales para apoyar a la dirección financiera del Concejo de Bogotá D. C., en la supervisión de los contratos que le sean asignados, implementado mecanismos que le permitan contribuir efectivamente al seguimiento técnico, administrativo, financiero, contable, y jurídico sobre el cumplimiento del objeto de cada contrato asignado."/>
    <n v="51500000"/>
    <s v=" "/>
    <n v="2014"/>
    <s v=" "/>
    <d v="2014-02-07T00:00:00"/>
    <d v="2014-12-06T00:00:00"/>
    <n v="1"/>
    <n v="10300000"/>
    <n v="2"/>
    <s v="2 meses"/>
    <d v="2015-01-02T00:00:00"/>
    <d v="2015-01-02T00:00:00"/>
    <n v="61800000"/>
    <n v="54933333"/>
    <n v="6866667"/>
    <s v="El pago de los honorarios se efectuará así: _x000a_a) El primer pago vencido se cancelará en proporción a los días ejecutados en el mes en que se inicie la ejecución del contrato._x000a_b) Nueve (9) mensualidades vencidas de  CINCO MILLONES CIENTO CINCUENTA MIL DE PESOS ($5.150.000), previa presentación del informe de actividades, del respectivo período, aprobado por el supervisor._x000a_c) En el último pago se cancelará el saldo del presente contrato previa presentación del informe final aprobado por el interventor. _x000a__x000a_"/>
    <x v="82"/>
    <x v="0"/>
    <n v="0.11111111650485439"/>
    <s v=""/>
    <x v="0"/>
  </r>
  <r>
    <x v="187"/>
    <x v="110"/>
    <n v="800039398"/>
    <s v="Adquisición de equipos para control Ambiental (aires acondicionados), conectividad (Switc de borde) y Energía Regulada (UPS) para el Concejo de Bogotá. I ítem No 1, de conformidad con el pliego de condiciones del proceso de selección abreviada mediante subasta inversa electrónica SDH-SIE-019-2013 y la propuesta presentada."/>
    <n v="340808000"/>
    <s v=" "/>
    <n v="2014"/>
    <s v=" "/>
    <d v="2014-03-06T00:00:00"/>
    <d v="2014-04-19T00:00:00"/>
    <n v="0"/>
    <n v="0"/>
    <n v="0"/>
    <s v=""/>
    <s v=""/>
    <d v="2014-04-19T00:00:00"/>
    <n v="340808000"/>
    <n v="340808000"/>
    <n v="0"/>
    <s v="Para todos los ítems se efectuará la siguiente forma de pago:_x000a_1. Un primer pago por el cincuenta por ciento (50%) de los bienes descritos en los items 1 y 2, previo: a) certificación expedida por el supervisor, en la cual conste el recibo a satisfacción y el ingreso al Almacén de la SDH; b) la factura respectiva; y c) la Certificación de pagos por concepto de aportes a los sistemas de seguridad social Integral en Salud, Pensiones, Riesgos Laborales, aportes parafiscales: Sena, ICBF y Cajas de Compensación Familiar, cuando corresponda._x000a_2. Un segundo pago por el cincuenta por ciento (50%) de los bienes descritos en los items 1 y 2, previo: a) instalación, configuración, puesta en funcionamiento; actividades que deben estar debidamente recibidas a satisfacción por el supervisor; b) la factura respectiva; y c) la Certificación de pagos por concepto de aportes a los sistemas de seguridad social Integral en Salud, Pensiones, Riesgos Laborales, aportes parafiscales: Sena, ICBF y Cajas de Compensación Familiar, cuando corresponda._x000a_"/>
    <x v="3"/>
    <x v="0"/>
    <n v="0"/>
    <s v=""/>
    <x v="1"/>
  </r>
  <r>
    <x v="188"/>
    <x v="144"/>
    <n v="900381188"/>
    <s v="Adquisición de equipos para control Ambiental (aires acondicionados), conectividad (Switc de borde) y Energía Regulada (UPS) para el Concejo de Bogotá. I ítem No 2, de conformidad con el pliego de condiciones del proceso de selección abreviada mediante subasta inversa electrónica SDH-SIE-019-2013 y la propuesta presentada."/>
    <n v="28900000"/>
    <s v=" "/>
    <n v="2014"/>
    <s v=" "/>
    <d v="2014-03-06T00:00:00"/>
    <d v="2014-04-19T00:00:00"/>
    <n v="0"/>
    <n v="0"/>
    <n v="0"/>
    <s v=""/>
    <s v=""/>
    <d v="2014-04-19T00:00:00"/>
    <n v="28900000"/>
    <n v="28900000"/>
    <n v="0"/>
    <s v="Para todos los ítems se efectuará la siguiente forma de pago:_x000a_1. Un primer pago por el cincuenta por ciento (50%) de los bienes descritos en los items 1 y 2, previo: a) certificación expedida por el supervisor, en la cual conste el recibo a satisfacción y el ingreso al Almacén de la SDH; b) la factura respectiva; y c) la Certificación de pagos por concepto de aportes a los sistemas de seguridad social Integral en Salud, Pensiones, Riesgos Laborales, aportes parafiscales: Sena, ICBF y Cajas de Compensación Familiar, cuando corresponda._x000a_2. Un segundo pago por el cincuenta por ciento (50%) de los bienes descritos en los items 1 y 2, previo: a) instalación, configuración, puesta en funcionamiento; actividades que deben estar debidamente recibidas a satisfacción por el supervisor; b) la factura respectiva; y c) la Certificación de pagos por concepto de aportes a los sistemas de seguridad social Integral en Salud, Pensiones, Riesgos Laborales, aportes parafiscales: Sena, ICBF y Cajas de Compensación Familiar, cuando corresponda."/>
    <x v="3"/>
    <x v="0"/>
    <n v="0"/>
    <s v=""/>
    <x v="1"/>
  </r>
  <r>
    <x v="189"/>
    <x v="145"/>
    <n v="900157564"/>
    <s v="Adquisición, entrega y montaje de mobiliario de oficina para el Concejo de Bogotá D.C."/>
    <n v="248000000"/>
    <s v=" "/>
    <n v="2014"/>
    <s v=" "/>
    <d v="2014-03-10T00:00:00"/>
    <d v="2014-04-09T00:00:00"/>
    <n v="1"/>
    <n v="77128875"/>
    <n v="0"/>
    <s v=""/>
    <s v=""/>
    <d v="2014-04-09T00:00:00"/>
    <n v="325128875"/>
    <n v="325028452"/>
    <n v="100423"/>
    <m/>
    <x v="83"/>
    <x v="0"/>
    <n v="3.0887136677726357E-4"/>
    <s v=""/>
    <x v="1"/>
  </r>
  <r>
    <x v="190"/>
    <x v="89"/>
    <n v="900333228"/>
    <s v="Prestar el servicio de mantenimiento preventivo y correctivo con suministro de repuestos de la puerta eléctrica y talanqueras de acceso vehicular al Concejo de Bogotá D.C., de conformidad con lo establecido en la invitación Pública del proceso No SDH-SMINC-01-2014"/>
    <n v="11000000"/>
    <s v=" "/>
    <n v="2014"/>
    <s v=" "/>
    <d v="2014-04-09T00:00:00"/>
    <d v="2015-01-08T00:00:00"/>
    <n v="0"/>
    <n v="0"/>
    <n v="0"/>
    <s v=""/>
    <s v=""/>
    <d v="2015-01-08T00:00:00"/>
    <n v="11000000"/>
    <n v="2672466"/>
    <n v="8327534"/>
    <s v="Se efectuará un pago por cada una de las visitas de mantenimiento preventivo efectuadas. Los repuestos y/o elementos se cancelarán de acuerdo a la demanda requerida en el respectivo periodo, manteniendo los precios unitarios  de referencia aplicando el porcentaje de descuento ofrecido en la propuesta. "/>
    <x v="84"/>
    <x v="0"/>
    <n v="0.75704854545454547"/>
    <s v=""/>
    <x v="0"/>
  </r>
  <r>
    <x v="191"/>
    <x v="70"/>
    <n v="805006014"/>
    <s v="Contratar la suscripción al sistema de Televisión Satelital para ser instalado en la sede del Concejo de Bogotá D.C., de conformidad con lo establecido en la invitación Publica SDH-SMINC-03-2014."/>
    <n v="1325400"/>
    <s v=" "/>
    <n v="2014"/>
    <s v=" "/>
    <d v="2014-04-09T00:00:00"/>
    <d v="2015-04-08T00:00:00"/>
    <n v="1"/>
    <n v="282000"/>
    <n v="0"/>
    <s v=""/>
    <s v=""/>
    <d v="2015-04-08T00:00:00"/>
    <n v="1607400"/>
    <n v="0"/>
    <n v="1607400"/>
    <n v="0"/>
    <x v="6"/>
    <x v="0"/>
    <n v="1"/>
    <s v=""/>
    <x v="0"/>
  </r>
  <r>
    <x v="192"/>
    <x v="80"/>
    <n v="830122370"/>
    <s v="Prestar el servicio de mantenimiento preventivo y correctivo para las maquinas: Impresora Litográfica MULTILITH modelo 1250, Compaginadora DUPLO DC 10, Guillotina y Cizalla manual, ubicadas en la oficina de Anales y Publicaciones del Concejo de Bogotá D.C., de conformidad con lo establecido en la invitación publica del proceso SDH-SMINC-05-2014."/>
    <n v="4982000"/>
    <s v=" "/>
    <n v="2014"/>
    <s v=" "/>
    <d v="2014-03-27T00:00:00"/>
    <d v="2014-11-26T00:00:00"/>
    <n v="0"/>
    <n v="0"/>
    <n v="0"/>
    <s v=""/>
    <s v=""/>
    <d v="2014-11-26T00:00:00"/>
    <n v="4982000"/>
    <n v="2832000"/>
    <n v="2150000"/>
    <s v="Se realizará un pago por cada visita de mantenimiento preventivo y/o correctivo efectuadas de acuerdo con la programación concertada con el  supervisor del contrato. _x000a__x000a__x000a_"/>
    <x v="85"/>
    <x v="0"/>
    <n v="0.43155359293456441"/>
    <s v=""/>
    <x v="0"/>
  </r>
  <r>
    <x v="193"/>
    <x v="146"/>
    <n v="900197284"/>
    <s v="Prestar el servicio de mantenimiento correctivo, incluyendo el suministro de repuestos y/o elementos nuevos que requieran las sillas existentes en el  Concejo de Bogotá D.C., de conformidad con lo establecido en la invitación Publica del proceso No SDH-SMINC-08-2014"/>
    <n v="28000000"/>
    <s v=" "/>
    <n v="2014"/>
    <s v=" "/>
    <d v="2014-04-09T00:00:00"/>
    <d v="2014-11-08T00:00:00"/>
    <n v="0"/>
    <n v="0"/>
    <n v="0"/>
    <s v=""/>
    <s v=""/>
    <d v="2014-11-08T00:00:00"/>
    <n v="28000000"/>
    <n v="10978240"/>
    <n v="17021760"/>
    <s v="Los mantenimientos correctivos y el suministro de repuestos y/o elementos se cancelarán mensualmente de acuerdo con los servicios efectivamente prestados."/>
    <x v="86"/>
    <x v="0"/>
    <n v="0.60792000000000002"/>
    <s v=""/>
    <x v="0"/>
  </r>
  <r>
    <x v="194"/>
    <x v="147"/>
    <n v="900587953"/>
    <s v="Prestar servicio de mantenimiento preventivo y correctivo con suministro de repuestos del sistema de alarmas de emergencias y botones de pánico ubicados en la sedes del  Concejo de Bogotá D.C., de conformidad con lo establecido en la invitación pública del proceso SDH-SMINC-06-2014"/>
    <n v="2122000"/>
    <s v="SDH-SMINC-06-2014 "/>
    <n v="2014"/>
    <s v=" "/>
    <d v="2014-04-23T00:00:00"/>
    <d v="2015-04-22T00:00:00"/>
    <n v="0"/>
    <n v="0"/>
    <n v="0"/>
    <s v=""/>
    <s v=""/>
    <d v="2015-04-22T00:00:00"/>
    <n v="2122000"/>
    <n v="2122000"/>
    <n v="0"/>
    <s v="Se efectuará un pago por cada una de las visitas de mantenimiento preventivo efectuadas. Los repuestos se cancelarán de acuerdo a la demanda requerida en el respectivo periodo, manteniendo los precios unitarios ofrecidos en la propuesta._x000a__x000a__x000a_"/>
    <x v="3"/>
    <x v="0"/>
    <n v="0"/>
    <s v=""/>
    <x v="1"/>
  </r>
  <r>
    <x v="195"/>
    <x v="73"/>
    <n v="4831"/>
    <s v="Prestar el servicio de mantenimiento preventivo y correctivo con suministro de repuestos del parque automotor marca Chevrolet al servicio del Concejo de Bogotá D.C. de conformidad con lo establecido en la invitación pública del proceso No SDH-SMINc-015-2014 y la propuesta presentada por el contratista."/>
    <n v="20872000"/>
    <s v="SDH-SMINC-015-2014 "/>
    <n v="2014"/>
    <s v=" "/>
    <d v="2014-04-28T00:00:00"/>
    <d v="2015-02-27T00:00:00"/>
    <n v="1"/>
    <n v="10346000"/>
    <n v="1"/>
    <s v="1 mes   "/>
    <d v="2015-03-28T00:00:00"/>
    <d v="2015-03-28T00:00:00"/>
    <n v="31218000"/>
    <n v="29571427"/>
    <n v="1646573"/>
    <s v="Los pagos se realizarán por mensualidades vencidas de acuerdo a los servicios y repuestos efectivamente prestados y suministrados en el respectivo mes manteniendo los precios y descuento ofrecidos en la propuesta._x000a__x000a__x000a_"/>
    <x v="87"/>
    <x v="0"/>
    <n v="5.2744346210519599E-2"/>
    <s v=""/>
    <x v="0"/>
  </r>
  <r>
    <x v="196"/>
    <x v="76"/>
    <n v="891501783"/>
    <s v="Alquiler del dispositivo de Hw y Sw (tipo aplliance) en tecnología UTM para controlar y administrar la seguridad perimetral y las aplicaciones Web, para el Concejo de Bogotá de conformidad con lo establecido en la invitación Publica SDH-SMINC-16-2014"/>
    <n v="12145200"/>
    <s v=" "/>
    <n v="2014"/>
    <s v=" "/>
    <d v="2014-05-05T00:00:00"/>
    <d v="2014-09-19T00:00:00"/>
    <n v="1"/>
    <n v="6072600"/>
    <n v="1"/>
    <s v="1 mes y 15 días"/>
    <d v="2014-09-19T00:00:00"/>
    <d v="2014-09-19T00:00:00"/>
    <n v="18217800"/>
    <n v="18217800"/>
    <n v="0"/>
    <s v="Tres pagos iguales mes vencidode acuerdo con lo ofertado en su propuesta, por concepto de servicio de arrendamiento, previe presentación de la factura, para lo cual el proveedor deberá cumplir con todas las especificaciones señaladas en el anexo técnico."/>
    <x v="3"/>
    <x v="0"/>
    <n v="0"/>
    <s v=""/>
    <x v="1"/>
  </r>
  <r>
    <x v="197"/>
    <x v="148"/>
    <n v="900414308"/>
    <s v="Adquirir diademas de un solo auricular para el concejo de Bogotá D.C., de conformidad con lo establecido en la invitación pública del proceso No SDH-SMINC-13-2014 y la propuesta presentada por el contratista."/>
    <n v="1700007"/>
    <s v=" "/>
    <n v="2014"/>
    <s v=" "/>
    <d v="2014-04-28T00:00:00"/>
    <d v="2014-06-27T00:00:00"/>
    <n v="0"/>
    <n v="0"/>
    <n v="0"/>
    <s v=""/>
    <s v=""/>
    <d v="2014-06-27T00:00:00"/>
    <n v="1700007"/>
    <n v="1700000"/>
    <n v="7"/>
    <m/>
    <x v="88"/>
    <x v="0"/>
    <n v="4.1176301038836627E-6"/>
    <s v=""/>
    <x v="1"/>
  </r>
  <r>
    <x v="198"/>
    <x v="149"/>
    <n v="830055827"/>
    <s v="Suministrar elementos de promoción institucional y actos protocolarios del Concejo de Bogotá D.C.,  de conformidad con lo establecido en la Invitación Pública No. SDH-SMINC-010-2014"/>
    <n v="32631000"/>
    <s v=" "/>
    <n v="2014"/>
    <s v=" "/>
    <d v="2014-04-24T00:00:00"/>
    <d v="2015-04-23T00:00:00"/>
    <n v="0"/>
    <n v="0"/>
    <n v="0"/>
    <s v=""/>
    <s v=""/>
    <d v="2015-04-23T00:00:00"/>
    <n v="32631000"/>
    <n v="32594631"/>
    <n v="36369"/>
    <s v="Se realizarán pagos mensuales correspondientes a la cantidad de elementos elaborados y entregados dentro de cada mes, de acuerdo con los requerimientos del supervisor del contrato._x000a_  "/>
    <x v="89"/>
    <x v="0"/>
    <n v="1.1145536453066596E-3"/>
    <s v=""/>
    <x v="0"/>
  </r>
  <r>
    <x v="199"/>
    <x v="150"/>
    <n v="830055842"/>
    <s v="Contratar la prestación de los servicios de mensajería expresa masiva para el Concejo de Bogotá de conformidad con lo establecido en el pliego de condiciones y documentos soportes del proceso de selección SDH-SIE-001-2014 y a la propuesta presentada"/>
    <n v="40000000"/>
    <s v=" "/>
    <n v="2014"/>
    <s v=" "/>
    <d v="2014-06-17T00:00:00"/>
    <d v="2015-02-16T00:00:00"/>
    <n v="1"/>
    <n v="5100746"/>
    <n v="2"/>
    <s v="2 meses y 18 días"/>
    <d v="2015-05-04T00:00:00"/>
    <d v="2015-05-04T00:00:00"/>
    <n v="45100746"/>
    <n v="45045000"/>
    <n v="55746"/>
    <n v="0"/>
    <x v="90"/>
    <x v="0"/>
    <n v="1.2360327698348605E-3"/>
    <s v=""/>
    <x v="0"/>
  </r>
  <r>
    <x v="200"/>
    <x v="151"/>
    <m/>
    <s v="Aunar esfuerzos humanos, técnicos, logísticos y administrativos para garantizar la protección integral de los miembros del Concejo de Bogotá que se encuentren en situación de riesgo extraordinario o extremo como consecuencia directa del ejercicio de las funciones del cargo de elección popular en el cual se encuentran posesionados."/>
    <n v="0"/>
    <s v=" "/>
    <n v="2014"/>
    <s v=" "/>
    <d v="2014-05-23T00:00:00"/>
    <d v="2019-05-23T00:00:00"/>
    <n v="0"/>
    <n v="0"/>
    <n v="0"/>
    <s v=""/>
    <s v=""/>
    <d v="2019-05-23T00:00:00"/>
    <n v="0"/>
    <n v="0"/>
    <n v="0"/>
    <m/>
    <x v="66"/>
    <x v="2"/>
    <e v="#DIV/0!"/>
    <n v="1010"/>
    <x v="2"/>
  </r>
  <r>
    <x v="201"/>
    <x v="135"/>
    <n v="811021363"/>
    <s v="La adquisición de medios magnéticos para copias de respaldo, para la Secretaria distrital de Hacienda y el Concejo de Bogotá, de conformidad con lo establecido en la invitación publica SDH-SMINC-020-2014."/>
    <n v="9998117"/>
    <s v=" "/>
    <n v="2014"/>
    <s v=" "/>
    <d v="2014-06-04T00:00:00"/>
    <d v="2014-08-04T00:00:00"/>
    <n v="0"/>
    <n v="0"/>
    <n v="0"/>
    <s v=""/>
    <s v=""/>
    <d v="2014-08-04T00:00:00"/>
    <n v="9998117"/>
    <n v="9998097"/>
    <n v="20"/>
    <s v="Un (1) único pagocontra entrega asatisfacción de los bienes, previa presentación de la factura acompañada del acta de recibo a satisfacción del supervisor donde se especifiquen las cantidades entregadas."/>
    <x v="91"/>
    <x v="0"/>
    <n v="2.000376670974191E-6"/>
    <s v=""/>
    <x v="1"/>
  </r>
  <r>
    <x v="202"/>
    <x v="152"/>
    <n v="800199498"/>
    <s v="Adquisición de impresoras de tarjetas para el Concejo de Bogotá, D.C."/>
    <n v="14975600"/>
    <s v=" "/>
    <n v="2014"/>
    <s v=" "/>
    <d v="2014-08-20T00:00:00"/>
    <d v="2014-10-20T00:00:00"/>
    <n v="0"/>
    <n v="0"/>
    <n v="0"/>
    <s v=""/>
    <s v=""/>
    <d v="2014-10-20T00:00:00"/>
    <n v="14975600"/>
    <n v="14975600"/>
    <n v="0"/>
    <s v="Se efectuarán los siguientes pagos, tanto para la Secretaría Distrital de Hacienda como para el Concejo de Bogotá: _x000a_Un pago único del ciento  (100%) a la entrega e implementación y correcto funcionamiento de la impresora de tarjetas PVC y de los insumos objeto de este contrato, previa certificación de cumplimiento expedida por el supervisor del contrato._x000a__x000a_"/>
    <x v="3"/>
    <x v="0"/>
    <n v="0"/>
    <s v=""/>
    <x v="1"/>
  </r>
  <r>
    <x v="203"/>
    <x v="153"/>
    <n v="900599628"/>
    <s v="Servicio de transporte de bienes muebles, equipos de oficina y cajas de archivo documental para el Concejo de Bogotá D.C., de conformidad con lo establecido en la invitación publica del proceso SDH-SMINC-22-2014"/>
    <n v="12000000"/>
    <s v=" SDH-SMINC-22-2014"/>
    <n v="2014"/>
    <s v=" "/>
    <d v="2014-07-04T00:00:00"/>
    <d v="2015-03-03T00:00:00"/>
    <n v="0"/>
    <n v="0"/>
    <n v="2"/>
    <s v="8 meses"/>
    <d v="2015-11-04T00:00:00"/>
    <d v="2015-11-04T00:00:00"/>
    <n v="12000000"/>
    <n v="10800000"/>
    <n v="1200000"/>
    <s v="Pagos mensuales correspondientes a los servicios prestados de acuerdo con la certificación de cumplimiento expedida por el supervisor del contrato"/>
    <x v="92"/>
    <x v="0"/>
    <n v="9.9999999999999978E-2"/>
    <s v=""/>
    <x v="0"/>
  </r>
  <r>
    <x v="204"/>
    <x v="114"/>
    <n v="900207129"/>
    <s v="Adquirir a titulo de compraventa elementos, medicamentos e insumos para dotar el consultorio medico y los botiquines del Concejo de Bogotá D.C., de conformidad con lo establecido en la invitación publica SDH-SMINC-26-2014"/>
    <n v="5719790"/>
    <s v=" "/>
    <n v="2014"/>
    <s v=" "/>
    <d v="2014-06-17T00:00:00"/>
    <d v="2014-08-16T00:00:00"/>
    <n v="0"/>
    <n v="0"/>
    <n v="0"/>
    <s v=""/>
    <s v=""/>
    <d v="2014-08-16T00:00:00"/>
    <n v="5719790"/>
    <n v="5719790"/>
    <n v="0"/>
    <s v="Un único pago que se efectuará a la entrega de los bienes objeto de contratación, previa  radicación de la factura en la Subdirección Financiera y certificación de recibo  a satisfacción expedida por el supervisor y constancia de ingreso al Almacén.  _x000a_"/>
    <x v="3"/>
    <x v="0"/>
    <n v="0"/>
    <s v=""/>
    <x v="1"/>
  </r>
  <r>
    <x v="205"/>
    <x v="48"/>
    <n v="900548648"/>
    <s v="Presentar los servicios integrales de aseo y cafetería y servicio de fumigación para las instalaciones del Concejo de Bogotá, y los inmuebles por lo que sea legalmente responsables, según el pliego de condiciones de la subasta inversa electrónica SDH-SIE-03-201 y la propuesta presentada."/>
    <n v="337487000"/>
    <s v=" "/>
    <n v="2014"/>
    <s v=" "/>
    <d v="2014-06-21T00:00:00"/>
    <d v="2015-05-06T00:00:00"/>
    <n v="0"/>
    <n v="0"/>
    <n v="2"/>
    <s v="1 mes y 25 días"/>
    <d v="2015-07-01T00:00:00"/>
    <d v="2015-07-01T00:00:00"/>
    <n v="337487000"/>
    <n v="306295677"/>
    <n v="31191323"/>
    <s v="Las Entidades efectuarán los pagos correspondiente a los servicios prestados por mensualidades vencidas de acuerdo con los servicios prestados y elementos suministrados dentro del período, previa presentación de las facturas respectivas y aprobación de las mismas por parte del supervisor del contrato, acompañadas de las correspondientes certificaciones de cumplimiento a satisfacción expedidas por el mismo en las cuales conste el valor a pagar por el contratista. El primer pago se deberá facturar por los días de servicio prestados del primer mes, los siguientes serán por mensualidades vencidas, de acuerdo a los bienes y servicios prestados_x000a_EJEMPLOS_x000a__x000a_Pago Anticipado del   ____% (NO aplica a Prestación de servicios)_x000a_Anticipo del          ____% (NO aplica a Prestación de servicios)_x000a_Pagos parciales del   ____% contra entregas parciales_x000a_                ____% contra entrega final a satisfacción y firma del acta de liquidación._x000a__x000a_En todo caso,  un anticipo o el pago anticipado no podrá ser superior al 50% del valor del contrato._x000a__x000a_Los pagos se efectuarán dentro de los diez (10) días hábiles  siguientes a la radicación en la Subdirección Financiera de la certificación de cumplimiento a satisfacción del objeto y obligaciones, expedida por el interventor del contrato, acompañada de los respectivos recibos de pago por concepto de aportes al Sistema de Seguridad Social Integral en Salud y Pensión, aportes parafiscales: Sena, ICBF y Cajas de Compensación Familiar, cuando corresponda._x000a_"/>
    <x v="93"/>
    <x v="0"/>
    <n v="9.2422294784687997E-2"/>
    <s v=""/>
    <x v="0"/>
  </r>
  <r>
    <x v="206"/>
    <x v="154"/>
    <n v="900475780"/>
    <s v="Aunar esfuerzos humanos, técnicos, logísticos y administrativos para implementar el esquema de seguridad requerido por los Concejales del distrito Capital que se  encuentran en situación de riesgo extraordinario o extremo como consecuencia directa del ejercicio de sus funciones."/>
    <n v="2447846100"/>
    <s v=" "/>
    <n v="2014"/>
    <s v=" "/>
    <d v="2014-06-18T00:00:00"/>
    <d v="2015-01-17T00:00:00"/>
    <n v="1"/>
    <n v="1015608000"/>
    <n v="2"/>
    <s v="3 meses y 5 días"/>
    <d v="2015-04-22T00:00:00"/>
    <d v="2015-04-22T00:00:00"/>
    <n v="3463454100"/>
    <n v="3320263630"/>
    <n v="143190470"/>
    <s v="Un primer desembolso, equivalente al 30% de los recursos estimados para el Convenio, una vez sean implementados los esquemas de seguridad de por lo menos el 80% de los Concejales._x000a__x000a_Un segundo desembolso, correspondiente al 30% de los recursos estimados para el Convenio, una vez finalizado el segundo mes de ejecución._x000a_"/>
    <x v="94"/>
    <x v="0"/>
    <n v="4.1343256144205864E-2"/>
    <s v=""/>
    <x v="0"/>
  </r>
  <r>
    <x v="207"/>
    <x v="155"/>
    <n v="900007203"/>
    <s v="Adquisidor de chalecos tipo alpinista para el Concejo de Bogotá D.C., de conformidad con lo establecido en la invitación pública SDH-SMINC-032-2014."/>
    <n v="330000"/>
    <s v=" "/>
    <n v="2014"/>
    <s v=" "/>
    <d v="2014-07-21T00:00:00"/>
    <d v="2014-08-21T00:00:00"/>
    <n v="0"/>
    <n v="0"/>
    <n v="0"/>
    <s v=""/>
    <s v=""/>
    <d v="2014-08-21T00:00:00"/>
    <n v="330000"/>
    <n v="330000"/>
    <n v="0"/>
    <s v="Un pago al recibo de los chalecos por parte de la Entidad, previa certificación de recibo a satisfacción suscrita por el supervisor del contrato._x000a_"/>
    <x v="3"/>
    <x v="0"/>
    <n v="0"/>
    <s v=""/>
    <x v="1"/>
  </r>
  <r>
    <x v="208"/>
    <x v="33"/>
    <n v="830095213"/>
    <s v="Suministro de combustible para el Concejo de Bogotá D.C."/>
    <n v="251750000"/>
    <s v=" "/>
    <n v="2014"/>
    <s v=" "/>
    <d v="2014-06-16T00:00:00"/>
    <d v="2014-11-16T00:00:00"/>
    <n v="0"/>
    <n v="0"/>
    <n v="0"/>
    <s v=""/>
    <s v=""/>
    <d v="2014-11-16T00:00:00"/>
    <n v="251750000"/>
    <n v="180186681"/>
    <n v="71563319"/>
    <s v="De conformidad con la cláusula 10 del Acuerdo Marco de Precios: Los Proveedores deben facturar quincenalmente el consumo de Combustible a cada una de las Entidades Compradoras de forma independiente. Los Proveedores deben presentar las facturas en la dirección indicada para el efecto por la Entidad Compradora en la Orden de Compra el día 5 y el día 20 de cada mes. Si el día en el cual debe expedirse la factura no es un día hábil, el Proveedor debe expedir la factura el día hábil siguiente. Adicionalmente, los Proveedores deben publicar copia de la factura en la misma fecha en el aplicativo del SECOP. La factura debe contener la información necesaria para ser una factura de venta como lo disponen las normas comerciales y tributarias. La factura debe indicar la fecha de inicio y la fecha de corte del suministro de Combustible para que la Entidad Compradora pueda verificar la información de la factura con el Sistema de Control. El Proveedor debe presentar como anexo a la factura un certificado suscrito por su representante legal en el cual manifieste que el Proveedor está a paz y salvo con sus obligaciones laborales frente al sistema de seguridad social integral y demás aportes relacionados con sus obligaciones laborales. Las Entidades Compradoras deben aprobar o rechazar las facturas dentro de los diez (10) días hábiles siguientes a la fecha de su presentación. El aplicativo del SECOP notificará al Proveedor la aceptación o el rechazo de las facturas y en este último caso la justificación del rechazo. Las Entidades Compradoras deben pagar las facturas dentro de los cinco (5) días hábiles siguientes a la aprobación de la misma. En caso de mora en el pago mayor a treinta (30) días calendario el Proveedor puede abstenerse de suministrar Combustible a la Entidad Compradora en mora y debe avisar a Colombia Compra Eficiente un día hábil antes de la suspensión del servicio."/>
    <x v="95"/>
    <x v="0"/>
    <n v="0.28426343197616688"/>
    <s v=""/>
    <x v="0"/>
  </r>
  <r>
    <x v="209"/>
    <x v="22"/>
    <n v="900152368"/>
    <s v="Prestar el servicio de mantenimiento preventivo y correctivo para los tanques de almacenamiento y equipos de bombeo hidráulicos de agua potable, residual y aguas negras de las instalaciones del  Concejo de Bogotá."/>
    <n v="6252000"/>
    <s v=" "/>
    <n v="2014"/>
    <s v=" "/>
    <d v="2014-07-22T00:00:00"/>
    <d v="2015-07-22T00:00:00"/>
    <n v="0"/>
    <n v="0"/>
    <n v="0"/>
    <s v=""/>
    <s v=""/>
    <d v="2015-07-22T00:00:00"/>
    <n v="6252000"/>
    <n v="5665189"/>
    <n v="586811"/>
    <s v="Los mantenimientos preventivos se cancelarán bimestralmente de acuerdo con los servicios efectivamente prestados conforme con el cronograma establecido y certificación de recibo  a satisfacción expedida por el supervisor. El mantenimiento correctivo y el suministro de repuestos se cancelarán de acuerdo a la demanda durante en el respectivo periodo, manteniendo los precios unitarios ofrecidos en la propuesta._x000a_ "/>
    <x v="96"/>
    <x v="0"/>
    <n v="9.3859724888035845E-2"/>
    <s v=""/>
    <x v="0"/>
  </r>
  <r>
    <x v="210"/>
    <x v="156"/>
    <n v="19303649"/>
    <s v="Adquirir a titulo de compraventa lockers y bancas para vestier para el Concejo de Bogotá D.C."/>
    <n v="2962640"/>
    <s v=" "/>
    <n v="2014"/>
    <s v=" "/>
    <d v="2014-07-18T00:00:00"/>
    <d v="2014-08-01T00:00:00"/>
    <n v="0"/>
    <n v="0"/>
    <n v="0"/>
    <s v=""/>
    <s v=""/>
    <d v="2014-08-01T00:00:00"/>
    <n v="2962640"/>
    <n v="2962640"/>
    <n v="0"/>
    <s v="Un único pago contra la presentación de la factura,  previa  certificación de recibo a satisfacción, de los bienes objeto de contratación, expedida por el supervisor del contrato."/>
    <x v="3"/>
    <x v="0"/>
    <n v="0"/>
    <s v=""/>
    <x v="1"/>
  </r>
  <r>
    <x v="211"/>
    <x v="157"/>
    <n v="900153597"/>
    <s v="Prestar el servicio integral de fotocopiado y servicios afines para el Concejo de Bogotá  bajo la modalidad de outsourcing."/>
    <n v="36581760"/>
    <s v=" "/>
    <n v="2014"/>
    <s v=" "/>
    <d v="2014-07-01T00:00:00"/>
    <d v="2015-03-30T00:00:00"/>
    <n v="0"/>
    <n v="0"/>
    <n v="1"/>
    <s v="3 meses"/>
    <d v="2015-07-01T00:00:00"/>
    <d v="2015-07-01T00:00:00"/>
    <n v="36581760"/>
    <n v="34363318"/>
    <n v="2218442"/>
    <s v="Por mensualidades vencidas, de acuerdo al consumo de cada periodo, previa radicación de los documentos y soportes requeridos en la Subdirección Financiera y certificación de cumplimiento a satisfacción expedida por el Supervisor del contrato."/>
    <x v="97"/>
    <x v="0"/>
    <n v="6.0643391679350622E-2"/>
    <s v=""/>
    <x v="0"/>
  </r>
  <r>
    <x v="212"/>
    <x v="158"/>
    <n v="79619132"/>
    <s v="Realizar la interventoría técnica, administrativa, ambiental,  financiera, legal y  contable  para el contrato de mantenimiento integral locativo con el suministro de personal, equipo y repuestos en las instalaciones del Concejo de Bogotá D.C., de conformidad con lo establecido en la invitación publica del Proceso SDH-SMINC-034-2014"/>
    <n v="16390000"/>
    <s v=" "/>
    <n v="2014"/>
    <s v=" "/>
    <d v="2014-06-09T00:00:00"/>
    <d v="2015-07-08T00:00:00"/>
    <n v="1"/>
    <n v="2324400"/>
    <n v="1"/>
    <s v="1 mes y 22 días"/>
    <d v="2015-08-31T00:00:00"/>
    <d v="2015-08-31T00:00:00"/>
    <n v="18714400"/>
    <n v="17075400"/>
    <n v="1639000"/>
    <s v="El 90% del contrato mediante 11 pagos mensuales iguales y unpago final equivalente al 10% del contratodentro de los quince días siguientes al al firma del axcta de liquidación"/>
    <x v="98"/>
    <x v="0"/>
    <n v="8.7579617834394941E-2"/>
    <s v=""/>
    <x v="0"/>
  </r>
  <r>
    <x v="213"/>
    <x v="90"/>
    <n v="830109807"/>
    <s v="Suscripción al servicio de información de boletines informáticos por correo electrónico consultas en pagina Web y biblioteca de la legislación y jurisprudencia colombiana actualizada para el Concejo de Bogotá D.C., de conformidad con lo establecido en la invitación publica SDH-SMINC-037-2014"/>
    <n v="683000"/>
    <s v=" "/>
    <n v="2014"/>
    <s v=" "/>
    <d v="2014-07-18T00:00:00"/>
    <d v="2015-07-18T00:00:00"/>
    <n v="0"/>
    <n v="0"/>
    <n v="0"/>
    <s v=""/>
    <s v=""/>
    <d v="2015-07-18T00:00:00"/>
    <n v="683000"/>
    <n v="683000"/>
    <n v="0"/>
    <s v="Se efectuará un pago único contra la presentación de la factura, acompañada de la constancia de suscripción del servicio y certificación de recibido a satisfacción de la suscripción expedida por el supervisor del contrato._x000a_"/>
    <x v="3"/>
    <x v="0"/>
    <n v="0"/>
    <s v=""/>
    <x v="1"/>
  </r>
  <r>
    <x v="214"/>
    <x v="159"/>
    <n v="832004433"/>
    <s v="Contratar la realización del servicio de mantenimiento correctivo y traslado, incluyendo los repuestos y/o elementos nuevos que requieran los sistemas de archivo rodante, existente en las diferentes dependencias del Concejo de Bogotá D.C.; de conformidad con lo establecido en la invitación pública  SDH-SMINC-035-2014."/>
    <n v="4672000"/>
    <s v=" SDH-SMINC-035-2014"/>
    <n v="2014"/>
    <s v=" "/>
    <d v="2014-07-15T00:00:00"/>
    <d v="2015-02-15T00:00:00"/>
    <n v="0"/>
    <n v="0"/>
    <n v="0"/>
    <s v=""/>
    <s v=""/>
    <d v="2015-02-15T00:00:00"/>
    <n v="4672000"/>
    <n v="1806200"/>
    <n v="2865800"/>
    <s v="Pagos mensuales correspondientes a los servicios prestados.  Los repuestos se cancelarán de acuerdo a la demanda requerida en el respectivo periodo, manteniendo los precios unitarios ofrecidos en la oferta económica; previa certificación de cumplimiento expedida por el supervisor del contrato._x000a_"/>
    <x v="99"/>
    <x v="0"/>
    <n v="0.61339897260273979"/>
    <s v=""/>
    <x v="0"/>
  </r>
  <r>
    <x v="215"/>
    <x v="160"/>
    <m/>
    <s v="Expedir las pólizas de seguro obligatorio SOAT para los vehículos del Concejo de Bogotá, D.C., de conformidad con lo establecido en el Acuerdo Marco de Precios CCE-070-1AMP-2013."/>
    <n v="3846133"/>
    <s v=" "/>
    <n v="2014"/>
    <s v=" "/>
    <d v="2014-07-17T00:00:00"/>
    <d v="2015-07-17T00:00:00"/>
    <n v="0"/>
    <n v="0"/>
    <n v="0"/>
    <s v=""/>
    <s v=""/>
    <d v="2015-07-17T00:00:00"/>
    <n v="3846133"/>
    <n v="0"/>
    <n v="3846133"/>
    <m/>
    <x v="6"/>
    <x v="0"/>
    <n v="1"/>
    <s v=""/>
    <x v="3"/>
  </r>
  <r>
    <x v="216"/>
    <x v="104"/>
    <n v="900268429"/>
    <s v="Prestar el servicio de mantenimiento preventivo y correctivo con suministro de al sistema de generación y transferencia eléctrica de emergencia del Concejo de Bogotá, D.C., de conformidad con lo establecido en la invitación pública del proceso No. SDH-SMINC-012-2014."/>
    <n v="10564000"/>
    <s v=" "/>
    <n v="2014"/>
    <s v=" "/>
    <d v="2014-06-03T00:00:00"/>
    <d v="2015-04-02T00:00:00"/>
    <n v="0"/>
    <n v="0"/>
    <n v="0"/>
    <s v=""/>
    <s v=""/>
    <d v="2015-04-02T00:00:00"/>
    <n v="10564000"/>
    <n v="10055157"/>
    <n v="508843"/>
    <s v="Los pagos se realizarán cada dos (2) meses de acuerdo a los servicios efectivamente prestados por concepto de mantenimiento preventivo y correctivo. Los insumos y repuestos se cancelarán de acuerdo a la demanda requerida en el respectivo periodo, manteniendo los precios ofrecidos con la propuesta, previa presentación del informe de los servicios prestados por parte del contratista y certificación de cumplimiento y recibo a satisfacción del servicio, expedida por el supervisor del contrato en la cual se indique el valor a pagar al contratista._x000a__x000a_"/>
    <x v="100"/>
    <x v="0"/>
    <n v="4.8167644831503265E-2"/>
    <s v=""/>
    <x v="0"/>
  </r>
  <r>
    <x v="217"/>
    <x v="161"/>
    <n v="830021364"/>
    <s v="Prestar el servicio de mantenimiento integral locativo con el suministro de personal, equipo y  repuestos, en las instalaciones físicas del  Concejo Bogotá, D.C., de acuerdo con lo establecido en el pliego de condiciones del proceso de selección abreviada  de menor cuantía  No. SDH-SAMC-01-2014 y la propuesta económica presentada por el contratista."/>
    <n v="249991314"/>
    <s v=" "/>
    <n v="2014"/>
    <s v=" "/>
    <d v="2014-07-17T00:00:00"/>
    <d v="2015-06-16T00:00:00"/>
    <n v="0"/>
    <n v="0"/>
    <n v="1"/>
    <s v="1 mes y 14 días"/>
    <d v="2015-07-31T00:00:00"/>
    <d v="2015-07-31T00:00:00"/>
    <n v="249991314"/>
    <n v="248275406"/>
    <n v="1715908"/>
    <s v="El valor del personal y el suministro de repuestos y materiales del periodo se cancelarán por pagos mensuales vencidos, previa certificación del supervisor y/o interventor designado por la entidad, en la cual conste el cumplimiento a satisfacción del objeto y obligaciones. _x000a__x000a_Para el primer pago el contratista deberá cobrar los días prestados del mes de inicio del contrato, los siguientes serán por pagos mensuales completos. _x000a__x000a_Los mantenimientos de las persianas y puertas de vidrio se cancelarán mediante pagos parciales mensuales, de conformidad con los mantenimientos efectuados y certificados por el supervisor y/o interventor designado por la entidad. _x000a__x000a_El contratista deberá adjuntar a las facturas de cobro, una relación de los servicios y actividades ejecutadas, ordenes de pedido de repuestos, materiales con la previa autorización del supervisor y/o interventor, comprobante de los servicios prestados con el recibido a satisfacción. _x000a__x000a_Si las facturas no han sido correctamente elaboradas o no se acompañan de los documentos requeridos para el pago, el término para éste solamente empezará a contarse desde la fecha en que se presenten en debida forma o se haya aportado el último de los documentos. Las demoras que se presenten por estos conceptos serán responsabilidad del CONTRATISTA y no tendrá por ello derecho al pago de intereses o compensación de ninguna naturaleza._x000a__x000a_Los pagos se efectuarán dentro de los ocho (8) días hábiles  siguientes a la radicación en la Subdirección Financiera de la certificación de cumplimiento a satisfacción del objeto y obligaciones, expedida por el supervisor y/o interventor del contrato, acompañada de los respectivos recibos de pago por concepto de aportes al Sistema de Seguridad Social Integral en Salud, Pensión y ARL, aportes parafiscales: Sena, ICBF y Cajas de Compensación Familiar, cuando corresponda._x000a__x000a_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_x000a_EJEMPLOS_x000a__x000a_Pago Anticipado del   ____% (NO aplica a Prestación de servicios)_x000a_Anticipo del          ____% (NO aplica a Prestación de servicios)_x000a_Pagos parciales del   ____% contra entregas parciales_x000a_                ____% contra entrega final a satisfacción y firma del acta de liquidación._x000a__x000a_En todo caso,  un anticipo o el pago anticipado no podrá ser superior al 50% del valor del contrato._x000a__x000a_Los pagos se efectuarán dentro de los diez (10) días hábiles  siguientes a la radicación en la Subdirección Financiera de la certificación de cumplimiento a satisfacción del objeto y obligaciones, expedida por el interventor del contrato, acompañada de los respectivos recibos de pago por concepto de aportes al Sistema de Seguridad Social Integral en Salud y Pensión, aportes parafiscales: Sena, ICBF y Cajas de Compensación Familiar, cuando corresponda._x000a__x000a_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
    <x v="101"/>
    <x v="0"/>
    <n v="6.8638704783159366E-3"/>
    <s v=""/>
    <x v="0"/>
  </r>
  <r>
    <x v="218"/>
    <x v="162"/>
    <n v="830145054"/>
    <s v="Revisión, mantenimiento y recarga de extintores y gabinetes contra incendio, con suminstro de repuestos y otros elementos de seguridad industrial para el Concejo de Bogotá, D.C., de conformidad con lo establecido en la invitación pública y propuesta por ustedes presentada."/>
    <n v="4136000"/>
    <s v=" "/>
    <n v="2014"/>
    <s v=" "/>
    <d v="2014-10-23T00:00:00"/>
    <d v="2015-01-23T00:00:00"/>
    <n v="0"/>
    <n v="0"/>
    <n v="0"/>
    <s v=""/>
    <s v=""/>
    <d v="2015-01-23T00:00:00"/>
    <n v="4136000"/>
    <n v="2251047"/>
    <n v="1884953"/>
    <s v="Mensual"/>
    <x v="102"/>
    <x v="0"/>
    <n v="0.45574298839458416"/>
    <s v=""/>
    <x v="0"/>
  </r>
  <r>
    <x v="219"/>
    <x v="163"/>
    <n v="860066942"/>
    <s v="Prestar servicios de alquiler de escenarios como salones, auditorios y espacios  abiertos, apoyo logísticos y servicios de catering  para el desarrollo de eventos que requieran el Concejo de Bogotá D.C., de conformidad con lo establecido en le pliego de condiciones del proceso de selección abreviada de menor cuantía No SDH-SAMC-02-2014 y la propuesta presentada por el contratista. "/>
    <n v="65200000"/>
    <s v=" "/>
    <n v="2014"/>
    <s v=" "/>
    <d v="2014-07-15T00:00:00"/>
    <d v="2015-03-15T00:00:00"/>
    <n v="1"/>
    <n v="32600000"/>
    <n v="1"/>
    <s v="2 meses"/>
    <d v="2015-05-15T00:00:00"/>
    <d v="2015-05-15T00:00:00"/>
    <n v="97800000"/>
    <n v="97794518"/>
    <n v="5482"/>
    <s v="La Secretaría Distrital de Hacienda efectuará los pagos mensualmente en pesos colombianos de acuerdo con las actividades efectivamente ejecutadas en su totalidad en el mes anterior y que sean aprobadas y certificadas por los Supervisores para el contrato de la Secretaria Distrital de Hacienda y para el Concejo de Bogotá, previa presentación de las facturas respectivas."/>
    <x v="103"/>
    <x v="0"/>
    <n v="5.6053169734116004E-5"/>
    <s v=""/>
    <x v="1"/>
  </r>
  <r>
    <x v="220"/>
    <x v="7"/>
    <n v="830040274"/>
    <s v="Realizar auditorias de seguimiento a los sistemas de gestión ambiental y seguridad y salud ocupacional bajo las normas ISO14001:2014 y OHSAS 18001:2007 al Concejo de Bogotá, de conformidad con los estudios previos."/>
    <n v="2228070"/>
    <s v=" "/>
    <n v="2014"/>
    <s v=" "/>
    <d v="2014-07-22T00:00:00"/>
    <d v="2014-11-22T00:00:00"/>
    <n v="0"/>
    <n v="0"/>
    <n v="0"/>
    <s v=""/>
    <s v=""/>
    <d v="2014-11-22T00:00:00"/>
    <n v="2228070"/>
    <n v="2228070"/>
    <n v="0"/>
    <s v="El servicio será cancelado una vez realizada la auditoría de seguimiento y entrega del informe de resultado de la auditoría, previa presentación de la factura y aprobación de la misma, junto con la certificación de cumplimiento de recibo a satisfacción expedida por el supervisor del contrato."/>
    <x v="3"/>
    <x v="0"/>
    <n v="0"/>
    <s v=""/>
    <x v="1"/>
  </r>
  <r>
    <x v="221"/>
    <x v="164"/>
    <n v="800047094"/>
    <s v="Servicio de manejo Integral de los residuos peligrosos existentes en la sede del Concejo de Bogotá, D.C."/>
    <n v="2260000"/>
    <s v=" "/>
    <n v="2014"/>
    <s v=" "/>
    <d v="2014-08-11T00:00:00"/>
    <d v="2014-10-11T00:00:00"/>
    <n v="0"/>
    <n v="0"/>
    <n v="0"/>
    <s v=""/>
    <s v=""/>
    <d v="2014-10-11T00:00:00"/>
    <n v="2260000"/>
    <n v="1595000"/>
    <n v="665000"/>
    <s v="Un pago equivalente al 100% del valor del contrato, una vez se hayan entregado y aprobado por el supervisor la totalidad de los resultados objeto del contrato."/>
    <x v="104"/>
    <x v="0"/>
    <n v="0.29424778761061943"/>
    <s v=""/>
    <x v="0"/>
  </r>
  <r>
    <x v="222"/>
    <x v="97"/>
    <n v="900450570"/>
    <s v="Contratar a título de arrendamiento un inmueble para uso de parqueadero, por parte del Concejo de Bogotá D.C., de acuerdo con lo establecido en el documento de estudios previos."/>
    <n v="202978686"/>
    <s v=" "/>
    <n v="2014"/>
    <s v=" "/>
    <d v="2014-07-30T00:00:00"/>
    <d v="2015-01-30T00:00:00"/>
    <n v="1"/>
    <n v="87669877"/>
    <n v="1"/>
    <s v="2 meses y 15 días"/>
    <d v="2015-04-14T00:00:00"/>
    <d v="2015-04-14T00:00:00"/>
    <n v="290648563"/>
    <n v="290648563"/>
    <n v="0"/>
    <s v="El pago se efectuará por mensualidades anticipadas así: a) El primer pago se cancelará en proporción a los días ejecutados en el mes en que se inicie la ejecución del contrato. b) cinco (5) mensualidades anticipadas de TREINTA Y TRES MILLONES OCHOCIENTOS VEINTINUEVE MIL SETECIENTOS OCHENTA Y UN PESOS MONEDA CORRIENTE $33.829.781, incluido IVA, por concepto de canon de arrendamiento c) En el último pago se cancelará el saldo del presente contrato. "/>
    <x v="3"/>
    <x v="0"/>
    <n v="0"/>
    <s v=""/>
    <x v="1"/>
  </r>
  <r>
    <x v="223"/>
    <x v="165"/>
    <n v="800188299"/>
    <s v="Contratar la actuallización, mantenimiento y soporte de licencias de software antivirus para la plataforma del Concejo de Bogotá D.C."/>
    <n v="16592327"/>
    <s v=" "/>
    <n v="2014"/>
    <s v=" "/>
    <d v="2014-10-24T00:00:00"/>
    <d v="2015-10-24T00:00:00"/>
    <n v="0"/>
    <n v="0"/>
    <n v="0"/>
    <s v=""/>
    <s v=""/>
    <d v="2015-10-24T00:00:00"/>
    <n v="16592327"/>
    <n v="14933095"/>
    <n v="1659232"/>
    <s v="Se efectuarán los siguientes pagos, tanto para la Secretaría Distrital de Hacienda como para el Concejo de Bogotá._x000a__x000a_a) Un pago inicial correspondiente al 70% del valor del contrato, contra entrega del documento para la actualización de las licencias y funcionamiento del software antivirus de forma satisfactoria._x000a__x000a_b) Un Segundo pago del 15% al tercer mes de ejecución del contrato, correspondiente al servicio de soporte y mantenimiento de las licencias software antivirus._x000a__x000a_c) Ultimo pago del 15% al sexto mes de ejecución del contrato, correspondiente al servicio de soporte y mantenimiento de las licencias software antivirus."/>
    <x v="105"/>
    <x v="0"/>
    <n v="9.9999957811824691E-2"/>
    <s v=""/>
    <x v="0"/>
  </r>
  <r>
    <x v="224"/>
    <x v="28"/>
    <n v="860509265"/>
    <s v="Suscripción a LA REVISTA SEMANA, para el Concejo de Bogotá."/>
    <n v="807000"/>
    <s v=" "/>
    <n v="2014"/>
    <s v=" "/>
    <d v="2014-09-30T00:00:00"/>
    <d v="2015-09-30T00:00:00"/>
    <n v="0"/>
    <n v="0"/>
    <n v="0"/>
    <s v=""/>
    <s v=""/>
    <d v="2015-09-30T00:00:00"/>
    <n v="807000"/>
    <n v="807000"/>
    <n v="0"/>
    <s v="Un pago único contra la presentación de la factura, acompañada de la constancia de suscripción A LA REVISTA SEMANA y certificación de cumplimiento a satisfacción de la suscripción expedida por el supervisor. "/>
    <x v="3"/>
    <x v="0"/>
    <n v="0"/>
    <s v=""/>
    <x v="1"/>
  </r>
  <r>
    <x v="225"/>
    <x v="26"/>
    <n v="860007590"/>
    <s v="Suscripción al Diario El Espectador, para el Concejo de Bogotá, D.C."/>
    <n v="936000"/>
    <s v=" "/>
    <n v="2014"/>
    <s v=" "/>
    <d v="2014-09-11T00:00:00"/>
    <d v="2015-09-11T00:00:00"/>
    <n v="0"/>
    <n v="0"/>
    <n v="0"/>
    <s v=""/>
    <s v=""/>
    <d v="2015-09-11T00:00:00"/>
    <n v="936000"/>
    <n v="936000"/>
    <n v="0"/>
    <s v="Un pago único contra la presentación de la factura, acompañada de la constancia de suscripción al diario EL ESPECTADOR y certificación de cumplimiento a satisfacción de la suscripción expedida por el supervisor.  _x000a__x000a_Los pagos se efectuarán dentro de los ocho (8) días hábiles siguientes a la radicación en la Subdirección Financiera de la certificación de cumplimiento a satisfacción del objeto y obligaciones, expedida por el supervisor del contrato, acompañada de los respectivos recibos de pago por concepto de aportes al Sistema de Seguridad Social Integral en Salud y Pensión, aportes parafiscales: Sena, ICBF y Cajas de Compensación Familiar, cuando corresponda._x000a__x000a_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_x000a__x000a_Si las factura(s), cuando haya lugar, no han sido correctamente elaboradas o no se acompañen de los documentos requeridos para el pago, el término para éste solamente empezará a contarse desde la fecha en que se presenten en debida forma o se haya aportado el último de los documentos. Las demoras que se presenten por estos conceptos serán responsabilidad del CONTRATISTA y no tendrá por ello derecho al pago de intereses o compensación de ninguna naturaleza._x000a_"/>
    <x v="3"/>
    <x v="0"/>
    <n v="0"/>
    <s v=""/>
    <x v="1"/>
  </r>
  <r>
    <x v="226"/>
    <x v="27"/>
    <n v="860536029"/>
    <s v="Suscripción al Diario el Nuevo Siglo, para el Concejo de Bogotá,  D.C."/>
    <n v="855000"/>
    <s v="140279-0-2014"/>
    <n v="2014"/>
    <s v=" "/>
    <d v="2014-09-14T00:00:00"/>
    <d v="2015-09-14T00:00:00"/>
    <n v="0"/>
    <n v="0"/>
    <n v="0"/>
    <s v=""/>
    <s v=""/>
    <d v="2015-09-14T00:00:00"/>
    <n v="855000"/>
    <n v="855000"/>
    <n v="0"/>
    <s v="Un único pago contra la presentación de la factura, acompañada de la constancia de suscripción objeto de la contratación,  previa  certificación expedida por el supervisor del contrato._x000a__x000a_Los pagos se efectuarán dentro de los ocho (8) días hábiles  siguientes a la radicación en la Subdirección Financiera de la certificación de cumplimiento a satisfacción del objeto y obligaciones, expedida por el interventor del contrato, acompañada de los respectivos recibos de pago por concepto de aportes al Sistema de Seguridad Social Integral en Salud y Pensión, aportes parafiscales: Sena, ICBF y Cajas de Compensación Familiar, cuando corresponda._x000a__x000a_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_x000a_"/>
    <x v="3"/>
    <x v="0"/>
    <n v="0"/>
    <s v=""/>
    <x v="1"/>
  </r>
  <r>
    <x v="227"/>
    <x v="166"/>
    <n v="830144875"/>
    <s v="Adquirir a título de compraventa elementos de protección para los servidores públicos del Concejo de Bogotá, D.C., de conformidad con lo establecido en la presente invitación pública."/>
    <n v="19356282"/>
    <s v=" "/>
    <n v="2014"/>
    <s v=" "/>
    <d v="2014-09-05T00:00:00"/>
    <d v="2015-01-05T00:00:00"/>
    <n v="0"/>
    <n v="0"/>
    <n v="0"/>
    <s v=""/>
    <s v=""/>
    <d v="2015-01-05T00:00:00"/>
    <n v="19356282"/>
    <n v="19356282"/>
    <n v="0"/>
    <s v="La Secretaría Distrital de Hacienda efectuará un único pago que se efectuará a la entrega de los bienes objeto de contratación, previa  radicación de la factura en la Subdirección Financiera y certificación de recibo  a satisfacción expedida por el supervisor y constancia de ingreso al Almacén.   _x000a__x000a_|Los pagos se efectuarán dentro de los ocho (8)  días hábiles  siguientes a la radicación en la Subdirección Financiera de la certificación de cumplimiento a satisfacción del objeto y obligaciones, expedida por el supervisor o interventor del contrato, acompañada de los respectivos recibos de pago por concepto de aportes al Sistema de Seguridad Social Integral en Salud y Pensión, aportes parafiscales: Sena, ICBF y Cajas de Compensación Familiar, cuando corresponda._x000a__x000a_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_x000a_"/>
    <x v="3"/>
    <x v="0"/>
    <n v="0"/>
    <s v=""/>
    <x v="1"/>
  </r>
  <r>
    <x v="228"/>
    <x v="58"/>
    <n v="900169179"/>
    <s v="Suscripción al diario el Periódico, con destino al Concejo de Bogotá."/>
    <n v="810000"/>
    <s v=" "/>
    <n v="2014"/>
    <s v=" "/>
    <d v="2014-10-28T00:00:00"/>
    <d v="2015-10-28T00:00:00"/>
    <n v="0"/>
    <n v="0"/>
    <n v="0"/>
    <s v=""/>
    <s v=""/>
    <d v="2015-10-28T00:00:00"/>
    <n v="810000"/>
    <n v="810000"/>
    <n v="0"/>
    <m/>
    <x v="3"/>
    <x v="0"/>
    <n v="0"/>
    <s v=""/>
    <x v="1"/>
  </r>
  <r>
    <x v="229"/>
    <x v="56"/>
    <n v="860049921"/>
    <s v="Realizar las auditorias de seguimiento a los sistemas de gestión de calidad bajo las normas ISO 9001:2008 y NTC-GP 100:2009 al Concejo de Bogotá."/>
    <n v="4621440"/>
    <s v=" "/>
    <n v="2014"/>
    <s v=" "/>
    <d v="2014-10-22T00:00:00"/>
    <d v="2015-03-22T00:00:00"/>
    <n v="0"/>
    <n v="0"/>
    <n v="0"/>
    <s v=""/>
    <s v=""/>
    <d v="2015-03-22T00:00:00"/>
    <n v="4621440"/>
    <n v="4621440"/>
    <n v="0"/>
    <m/>
    <x v="3"/>
    <x v="0"/>
    <n v="0"/>
    <s v=""/>
    <x v="1"/>
  </r>
  <r>
    <x v="230"/>
    <x v="167"/>
    <n v="800180176"/>
    <s v="Prestar el servicio de exámenes médicos ocupacionales y complementarios y aplicaciones de vacunas para los funcionarios del Concejo de Bogotá, D.C., de conformidad con el pliego de condiciones del proceso de selección abreviada de menor cuantía SDH-SAMC-004-2014"/>
    <n v="41850000"/>
    <s v=" "/>
    <n v="2014"/>
    <s v=" "/>
    <d v="2014-10-14T00:00:00"/>
    <d v="2015-05-14T00:00:00"/>
    <n v="0"/>
    <n v="0"/>
    <n v="0"/>
    <s v=""/>
    <s v=""/>
    <d v="2015-05-14T00:00:00"/>
    <n v="41850000"/>
    <n v="26363000"/>
    <n v="15487000"/>
    <s v="Se efectuarán los pagos por mensualidades vencidas de acuerdo con los servicios realizados dentro del mes, previa presentación de las facturas respectivas las cuales deben cumplir con los lineamientos establecidos en los artículos 1 y 3 de la ley 131 de 2208, y aprobación de las mismas por parte del supervisor del contrato, acompañadas de las correspondientes certificaciones de cumplimiento a satisfacción expedidas por el mismo._x000a_EJEMPLOS_x000a__x000a_Pago Anticipado del   ____% (NO aplica a Prestación de servicios)_x000a_Anticipo del          ____% (NO aplica a Prestación de servicios)_x000a_Pagos parciales del   ____% contra entregas parciales_x000a_                ____% contra entrega final a satisfacción y firma del acta de liquidación._x000a__x000a_En todo caso,  un anticipo o el pago anticipado no podrá ser superior al 50% del valor del contrato._x000a__x000a_Los pagos se efectuarán dentro de los diez (10) días hábiles  siguientes a la radicación en la Subdirección Financiera de la certificación de cumplimiento a satisfacción del objeto y obligaciones, expedida por el interventor del contrato, acompañada de los respectivos recibos de pago por concepto de aportes al Sistema de Seguridad Social Integral en Salud y Pensión, aportes parafiscales: Sena, ICBF y Cajas de Compensación Familiar, cuando corresponda._x000a__x000a_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
    <x v="106"/>
    <x v="0"/>
    <n v="0.3700597371565113"/>
    <s v=""/>
    <x v="0"/>
  </r>
  <r>
    <x v="231"/>
    <x v="168"/>
    <n v="52857895"/>
    <s v="Prestar Servicios Profesionales para realizar acompañamiento y seguimiento a los procesos de adquisición de bienes y servicios y seguimiento a la ejecución de contratos para el Concejo de Bogotá, D.C."/>
    <n v="25000000"/>
    <s v=" "/>
    <n v="2014"/>
    <s v=" "/>
    <d v="2014-09-09T00:00:00"/>
    <d v="2015-01-09T00:00:00"/>
    <n v="0"/>
    <n v="0"/>
    <n v="0"/>
    <s v=""/>
    <s v=""/>
    <d v="2015-01-09T00:00:00"/>
    <n v="25000000"/>
    <n v="25000000"/>
    <n v="0"/>
    <s v="a) El primer pago vencido se cancelará en proporción a los días ejecutados en el mes en que se inicie la ejecución del contrato._x000a_b) Tres (3) mensualidades vencidas de SEIS MILLONES DOSCIENTOS CINCUENTA MIL ($6.250.000) Pesos, previa presentación del informe de actividades, del respectivo periodo, aprobado por el supervisor._x000a_c) En el último pago se cancelara el saldo del presente contrato previa presentación del informe final aprobado por el Supervisor. _x000a_"/>
    <x v="3"/>
    <x v="0"/>
    <n v="0"/>
    <s v=""/>
    <x v="1"/>
  </r>
  <r>
    <x v="232"/>
    <x v="169"/>
    <n v="1026250449"/>
    <s v="Prestar Servicios Profesionales para elaborar las especificaciones y condiciones técnicas de los procesos para la adquisición de bienes y servicios y apoyar la función de supervisión de los contratos del Concejo de Bogotá, D.C."/>
    <n v="25000000"/>
    <s v=" "/>
    <n v="2014"/>
    <s v=" "/>
    <d v="2014-09-11T00:00:00"/>
    <d v="2015-02-11T00:00:00"/>
    <n v="0"/>
    <n v="0"/>
    <n v="0"/>
    <s v=""/>
    <s v=""/>
    <d v="2015-02-11T00:00:00"/>
    <n v="25000000"/>
    <n v="25000000"/>
    <n v="0"/>
    <s v="a) El primer pago vencido se cancelará en proporción a los días ejecutados en el mes en que se inicie la ejecución del contrato._x000a_b) Cuatro (4) mensualidades vencidas de CINCO MILLONES DE PESOS ($5.000.000), previa presentación del informe de actividades, del respectivo período, aprobado por el supervisor._x000a_c) En el último pago se cancelará el saldo del presente contrato previa presentación del informe final aprobado por el Supervisor_x000a__x000a_Los pagos se efectuarán dentro de los ocho (8) días hábiles siguientes a la radicación en la subdirección Financiera de la certificación de cumplimiento a satisfacción del objeto y obligaciones, expedida por el supervisor del contrato, acompañada de los respectivos recibos de pago por concepto de aportes al sistema de seguridad social integrales en salud, pensión y ARL, aportes parafiscales: Sena, ICBF y Cajas de Compensación Familiar, cuando corresponda._x000a__x000a_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_x000a_"/>
    <x v="3"/>
    <x v="0"/>
    <n v="0"/>
    <s v=""/>
    <x v="1"/>
  </r>
  <r>
    <x v="233"/>
    <x v="110"/>
    <n v="800039398"/>
    <s v="Contratar la Adqusión de UPS para el Concejo de Bogotá D.C., de conformidad con lo establecido en el pliego de condiciones del proceso SDH-SIE-10-2014 y la propuesta presentada por el contratista."/>
    <n v="311460000"/>
    <s v=" "/>
    <n v="2014"/>
    <s v=" "/>
    <d v="2014-09-25T00:00:00"/>
    <d v="2014-12-23T00:00:00"/>
    <n v="0"/>
    <n v="0"/>
    <n v="0"/>
    <s v=""/>
    <s v=""/>
    <d v="2014-12-23T00:00:00"/>
    <n v="311460000"/>
    <n v="93438000"/>
    <n v="218022000"/>
    <n v="0"/>
    <x v="107"/>
    <x v="0"/>
    <n v="0.7"/>
    <s v=""/>
    <x v="0"/>
  </r>
  <r>
    <x v="234"/>
    <x v="170"/>
    <n v="1073156298"/>
    <s v="Prestar servicios profesionales para sistematizar y consolidar la información de los trámites contractuales a cargo de la Dirección Financiera de los procesos administrativos y financieros del Concejo de Bogotá, D.C."/>
    <n v="17500000"/>
    <s v=" "/>
    <n v="2014"/>
    <s v=" "/>
    <d v="2014-09-18T00:00:00"/>
    <d v="2015-02-18T00:00:00"/>
    <n v="0"/>
    <n v="0"/>
    <n v="0"/>
    <s v=""/>
    <s v=""/>
    <d v="2015-02-18T00:00:00"/>
    <n v="17500000"/>
    <n v="17500000"/>
    <n v="0"/>
    <s v="El pago de los honorarios se efectuará así: a) El primer pago vencido se cancelará en proporción a los días ejecutados en el mes en que se inicie la ejecución del contrato. b) cuatro (4) mensualidades vencidas de ($3.500.000) pesos M/CTE, previa presentación del informe de actividades, del respectivo período, aprobado por el supervisor o interventor. c) En el último pago se cancelará el saldo del presente contrato previa presentación del informe final aprobado por el supervisor o interventor del contrato, según corresponda"/>
    <x v="3"/>
    <x v="0"/>
    <n v="0"/>
    <s v=""/>
    <x v="1"/>
  </r>
  <r>
    <x v="235"/>
    <x v="171"/>
    <n v="830024826"/>
    <s v="Adquisición de computadores de escritorio y portátiles, para el Concejo de Bogotá"/>
    <n v="14153603"/>
    <s v=" "/>
    <n v="2014"/>
    <s v=" "/>
    <d v="2014-10-17T00:00:00"/>
    <d v="2015-01-17T00:00:00"/>
    <n v="0"/>
    <n v="0"/>
    <n v="0"/>
    <s v=""/>
    <s v=""/>
    <d v="2015-01-17T00:00:00"/>
    <n v="14153603"/>
    <n v="14153603"/>
    <n v="0"/>
    <s v="Se realizará un pago único, cuyo valor corresponderá al valor unitario establecido en la propuesta final, por el número de equipos entregados por el contratista a la Secretaría Distrital de Hacienda y al Concejo de Bogotá, a la entrega e  ingreso al almacén de la Secretaria Distrital de Hacienda y  recibo a satisfacción por parte del supervisor del contrato. "/>
    <x v="3"/>
    <x v="0"/>
    <n v="0"/>
    <s v=""/>
    <x v="1"/>
  </r>
  <r>
    <x v="236"/>
    <x v="172"/>
    <n v="1026269949"/>
    <s v="Prestar servicios profesionales para apoyar la gestión administrativa, documental y contractual en los asuntos de competencia de la Dirección Financiera del Concejo de Bogotá, D.C."/>
    <n v="10000000"/>
    <s v=" "/>
    <n v="2014"/>
    <s v=" "/>
    <d v="2014-09-29T00:00:00"/>
    <d v="2015-01-29T00:00:00"/>
    <n v="0"/>
    <n v="0"/>
    <n v="0"/>
    <s v=""/>
    <s v=""/>
    <d v="2015-01-29T00:00:00"/>
    <n v="10000000"/>
    <n v="10000000"/>
    <n v="0"/>
    <s v="El pago de los honorarios se efectuará así: a) El primer pago vencido se cancelará en proporción a los días ejecutados en el mes en que se inicie la ejecución del contrato. b) tres (3) mensualidades vencidas de ($2.500.000) pesos M/CTE, previa presentación del informe de actividades, del respectivo período, aprobado por el supervisor o interventor. c) En el último pago se cancelará el saldo del presente contrato previa presentación del informe final aprobado por el supervisor o interventor del contrato, según corresponda."/>
    <x v="3"/>
    <x v="0"/>
    <n v="0"/>
    <s v=""/>
    <x v="1"/>
  </r>
  <r>
    <x v="237"/>
    <x v="173"/>
    <n v="900332071"/>
    <s v="Prestar el servicio técnico de actualización del Software de contabilidad SIIGO OFICIAL e instalación en nuevo equipo servidor para el Concejo de Bogotá"/>
    <n v="812500"/>
    <s v=" "/>
    <n v="2014"/>
    <s v=" "/>
    <d v="2014-10-16T00:00:00"/>
    <d v="2014-12-31T00:00:00"/>
    <n v="0"/>
    <n v="0"/>
    <n v="0"/>
    <s v=""/>
    <s v=""/>
    <d v="2014-12-31T00:00:00"/>
    <n v="812500"/>
    <n v="812500"/>
    <n v="0"/>
    <m/>
    <x v="3"/>
    <x v="0"/>
    <n v="0"/>
    <s v=""/>
    <x v="1"/>
  </r>
  <r>
    <x v="238"/>
    <x v="14"/>
    <n v="830112518"/>
    <s v="Prestar el servicio de actualización, mantenimiento y soporte al sitio web e intranet del Concejo de Bogotá."/>
    <n v="44544000"/>
    <s v=" "/>
    <n v="2014"/>
    <s v=" "/>
    <d v="2014-10-17T00:00:00"/>
    <d v="2015-10-17T00:00:00"/>
    <n v="1"/>
    <n v="22272000"/>
    <n v="1"/>
    <s v="6 meses"/>
    <d v="2016-04-17T00:00:00"/>
    <d v="2016-04-17T00:00:00"/>
    <n v="66816000"/>
    <n v="66816000"/>
    <n v="0"/>
    <s v="a) Un primer pago por valor de $4.176.000 incluido Iva, correspondiente a la entrega de la actualización de las licencias, previo ingreso de las licencias al Almacén e instalación, así como la certificación de recibido a satisfacción por parte del supervisor, conforme a la propuesta económica remitida por el Contratista._x000a_b) Se realizarán doce (12) mensualidades vencidas de Tres Millones Trescientos Sesenta y Cuatro Mil pesos ($3.364.000.oo) cada una incluido Iva, correspondientes al mantenimiento y soporte mensual.  _x000a_"/>
    <x v="3"/>
    <x v="0"/>
    <n v="0"/>
    <s v=""/>
    <x v="1"/>
  </r>
  <r>
    <x v="239"/>
    <x v="91"/>
    <n v="830005370"/>
    <s v="Realizar la preproducción, producción, postproducción y emisión de programas de televisión para el Concejo de Bogotá"/>
    <n v="818527824"/>
    <s v=" "/>
    <n v="2014"/>
    <s v=" "/>
    <d v="2014-10-09T00:00:00"/>
    <d v="2015-04-08T00:00:00"/>
    <n v="0"/>
    <n v="0"/>
    <n v="1"/>
    <s v="13 días"/>
    <d v="2015-04-22T00:00:00"/>
    <d v="2015-04-22T00:00:00"/>
    <n v="818527824"/>
    <n v="800790708"/>
    <n v="17737116"/>
    <m/>
    <x v="108"/>
    <x v="0"/>
    <n v="2.1669533374347405E-2"/>
    <s v=""/>
    <x v="0"/>
  </r>
  <r>
    <x v="240"/>
    <x v="174"/>
    <n v="830001338"/>
    <s v="Adquisión de equipos y licencias para la actualización de la plataforma tecnológica del Concejo de Bogotá, de conformidad con lo establecido en el pliego de condiciones SDH-SIE-12-2014 y la propuesta presentada por el contratista."/>
    <n v="75520000"/>
    <s v=" "/>
    <n v="2014"/>
    <s v=" "/>
    <d v="2014-10-17T00:00:00"/>
    <d v="2015-10-17T00:00:00"/>
    <n v="0"/>
    <n v="0"/>
    <n v="0"/>
    <s v="2 meses"/>
    <d v="2015-12-31T00:00:00"/>
    <d v="2015-12-31T00:00:00"/>
    <n v="75520000"/>
    <n v="75519999"/>
    <n v="1"/>
    <m/>
    <x v="109"/>
    <x v="0"/>
    <n v="1.3241525431695322E-8"/>
    <s v=""/>
    <x v="1"/>
  </r>
  <r>
    <x v="241"/>
    <x v="118"/>
    <n v="830080652"/>
    <s v="Adquisición e instalación de cortinas enrollables tipo Blackout, para el Concejo de Bogotá, D.C., de conformidad con lo establecido en la presente invitación pública SDH-SMINC-55-2014 y la propuesta por ustedes presentadas."/>
    <n v="324800"/>
    <s v=" "/>
    <n v="2014"/>
    <s v=" "/>
    <d v="2014-10-27T00:00:00"/>
    <d v="2014-11-27T00:00:00"/>
    <n v="0"/>
    <n v="0"/>
    <n v="0"/>
    <s v=""/>
    <s v=""/>
    <d v="2014-11-27T00:00:00"/>
    <n v="324800"/>
    <n v="324800"/>
    <n v="0"/>
    <s v="Único"/>
    <x v="3"/>
    <x v="0"/>
    <n v="0"/>
    <s v=""/>
    <x v="1"/>
  </r>
  <r>
    <x v="242"/>
    <x v="175"/>
    <n v="830120684"/>
    <s v="Prestar el servicio de empaste y/o encuadernación de documentos del Concejo de Bogotá D.C."/>
    <n v="1659960"/>
    <s v=" "/>
    <n v="2014"/>
    <s v=" "/>
    <d v="2014-11-25T00:00:00"/>
    <d v="2015-08-25T00:00:00"/>
    <n v="1"/>
    <n v="800000"/>
    <n v="0"/>
    <s v=""/>
    <s v=""/>
    <d v="2015-08-25T00:00:00"/>
    <n v="2459960"/>
    <n v="2457884"/>
    <n v="2076"/>
    <s v="Por producto"/>
    <x v="110"/>
    <x v="0"/>
    <n v="8.4391616123835611E-4"/>
    <s v=""/>
    <x v="1"/>
  </r>
  <r>
    <x v="243"/>
    <x v="176"/>
    <n v="79403174"/>
    <s v="Prestar los servicios profesionales para apoyar en el desarrollo e implementación de la ERP del Sistema Hacendario SiCapital en el Concejo de Bogotá, bajo versión en Oracle IDS 10G."/>
    <n v="20188000"/>
    <s v=" "/>
    <n v="2014"/>
    <s v=" "/>
    <d v="2014-11-14T00:00:00"/>
    <d v="2015-03-14T00:00:00"/>
    <n v="0"/>
    <n v="0"/>
    <n v="0"/>
    <s v=""/>
    <s v=""/>
    <d v="2015-03-14T00:00:00"/>
    <n v="20188000"/>
    <n v="20188000"/>
    <n v="0"/>
    <s v="Mensual"/>
    <x v="3"/>
    <x v="0"/>
    <n v="0"/>
    <s v=""/>
    <x v="1"/>
  </r>
  <r>
    <x v="244"/>
    <x v="177"/>
    <n v="830025104"/>
    <s v="Llevar a cabo la actualización de hardware y software para el sistema de voto electrónico del Concejo de Bogotá."/>
    <n v="59383678"/>
    <s v=" "/>
    <n v="2014"/>
    <s v=" "/>
    <d v="2014-10-29T00:00:00"/>
    <d v="2015-01-29T00:00:00"/>
    <n v="0"/>
    <n v="0"/>
    <n v="3"/>
    <s v="5 meses"/>
    <d v="2015-06-29T00:00:00"/>
    <d v="2015-06-29T00:00:00"/>
    <n v="59383678"/>
    <n v="27770152"/>
    <n v="31613526"/>
    <s v="Por entrega"/>
    <x v="111"/>
    <x v="0"/>
    <n v="0.53236052505875442"/>
    <s v=""/>
    <x v="0"/>
  </r>
  <r>
    <x v="245"/>
    <x v="20"/>
    <n v="860009759"/>
    <s v="Suscripción al diário  La República, para el Concejo de Bogotá D.C."/>
    <n v="764100"/>
    <s v=" "/>
    <n v="2014"/>
    <s v=" "/>
    <d v="2014-11-27T00:00:00"/>
    <d v="2015-11-27T00:00:00"/>
    <n v="0"/>
    <n v="0"/>
    <n v="0"/>
    <s v=""/>
    <s v=""/>
    <d v="2015-11-27T00:00:00"/>
    <n v="764100"/>
    <n v="764100"/>
    <n v="0"/>
    <s v="Único"/>
    <x v="3"/>
    <x v="0"/>
    <n v="0"/>
    <s v=""/>
    <x v="1"/>
  </r>
  <r>
    <x v="246"/>
    <x v="178"/>
    <n v="805007625"/>
    <s v="Prestar el servicio para la gestión integral de servcios de mesa de ayuda, soporte informático, mantenimiento preventivo ycorrectivo de la infraestructura tecnológica con suministro de repuestos para el Concejo de Bogotá D.C., de conformidad con lo establecido en el presente pliego de condiciones del Proceso SDH-SAMC-03-2014."/>
    <n v="108570688"/>
    <s v=" "/>
    <n v="2014"/>
    <s v=" "/>
    <d v="2014-10-23T00:00:00"/>
    <d v="2015-04-23T00:00:00"/>
    <n v="1"/>
    <n v="54285345"/>
    <n v="1"/>
    <s v="3 meses"/>
    <d v="2015-07-23T00:00:00"/>
    <d v="2015-07-23T00:00:00"/>
    <n v="162856033"/>
    <n v="20799042"/>
    <n v="142056991"/>
    <s v="Mensual"/>
    <x v="112"/>
    <x v="0"/>
    <n v="0.87228571384886922"/>
    <s v=""/>
    <x v="0"/>
  </r>
  <r>
    <x v="247"/>
    <x v="179"/>
    <n v="860353110"/>
    <s v="Adquisición y mantenimiento del sistema WI - FI del Concejo de Bogotá."/>
    <n v="27235640"/>
    <s v=" "/>
    <n v="2014"/>
    <s v=" "/>
    <d v="2014-11-26T00:00:00"/>
    <d v="2015-11-26T00:00:00"/>
    <n v="0"/>
    <n v="0"/>
    <n v="0"/>
    <s v=""/>
    <s v=""/>
    <d v="2015-11-26T00:00:00"/>
    <n v="27235640"/>
    <n v="17369840"/>
    <n v="9865800"/>
    <s v="Por entrega"/>
    <x v="113"/>
    <x v="0"/>
    <n v="0.36223859619234211"/>
    <s v=""/>
    <x v="0"/>
  </r>
  <r>
    <x v="248"/>
    <x v="180"/>
    <n v="79797614"/>
    <s v="Contratar la actualización, licenciamiento, configuración, soporte, mantenimiento y puesta en operación del software de gestión documental - Winisis, usado actualmente por el Concejo de Bogotá."/>
    <n v="39999999"/>
    <s v=" "/>
    <n v="2014"/>
    <s v=" "/>
    <d v="2014-11-14T00:00:00"/>
    <d v="2016-05-14T00:00:00"/>
    <n v="0"/>
    <n v="0"/>
    <n v="0"/>
    <s v=""/>
    <s v=""/>
    <d v="2016-05-14T00:00:00"/>
    <n v="39999999"/>
    <n v="39999998"/>
    <n v="1"/>
    <s v="Por entrega"/>
    <x v="114"/>
    <x v="0"/>
    <n v="2.5000000625219343E-8"/>
    <s v=""/>
    <x v="1"/>
  </r>
  <r>
    <x v="249"/>
    <x v="181"/>
    <n v="80100229"/>
    <s v="Prestar los servicios profesionales para apoyar en el desarrollo e implementación de los sistemas de información requeridos en la organización construidos bajo la Plataforma ORACLE, en el Concejo de Bogotá D.C."/>
    <n v="17664500"/>
    <s v=" "/>
    <n v="2014"/>
    <s v=" "/>
    <d v="2014-11-13T00:00:00"/>
    <d v="2015-02-28T00:00:00"/>
    <n v="0"/>
    <n v="0"/>
    <n v="0"/>
    <s v=""/>
    <s v=""/>
    <d v="2015-02-28T00:00:00"/>
    <n v="17664500"/>
    <n v="17664500"/>
    <n v="0"/>
    <s v="Mensual"/>
    <x v="3"/>
    <x v="0"/>
    <n v="0"/>
    <s v=""/>
    <x v="1"/>
  </r>
  <r>
    <x v="250"/>
    <x v="182"/>
    <n v="830087030"/>
    <s v="Suministrar cajas para el embalaje de los documentos de archivo del Concejo de Bogotá D.C., de conformidad con lo establecido en la invitación pública."/>
    <n v="4750000"/>
    <s v=" "/>
    <n v="2014"/>
    <s v=" "/>
    <d v="2014-11-25T00:00:00"/>
    <d v="2015-02-25T00:00:00"/>
    <n v="0"/>
    <n v="0"/>
    <n v="0"/>
    <s v=""/>
    <s v=""/>
    <d v="2015-02-25T00:00:00"/>
    <n v="4750000"/>
    <n v="3978684"/>
    <n v="771316"/>
    <s v="Pagos mensuales corrrespondientes a las entregas realizadas en el respectivo periodo."/>
    <x v="115"/>
    <x v="0"/>
    <n v="0.16238231578947371"/>
    <s v=""/>
    <x v="0"/>
  </r>
  <r>
    <x v="251"/>
    <x v="6"/>
    <n v="830050919"/>
    <s v="Prestar los servicios integrales para desarrollar actividades contenidas en el Plan de Bienestar e Incentivos del Concejo de Bogotá. Según invitación pública N° SDH-LP-01-2014"/>
    <n v="506601000"/>
    <s v=" SDH-LP-01-2014"/>
    <n v="2014"/>
    <s v=" "/>
    <d v="2014-11-20T00:00:00"/>
    <d v="2015-07-20T00:00:00"/>
    <n v="2"/>
    <n v="162106669"/>
    <n v="0"/>
    <s v=""/>
    <s v=""/>
    <d v="2015-07-20T00:00:00"/>
    <n v="668707669"/>
    <n v="665337830"/>
    <n v="3369839"/>
    <s v="Mensual"/>
    <x v="116"/>
    <x v="0"/>
    <n v="5.0393305718167136E-3"/>
    <s v=""/>
    <x v="0"/>
  </r>
  <r>
    <x v="252"/>
    <x v="52"/>
    <n v="830143378"/>
    <s v="Ejecutar actividades del plan institucional de capacitación del Concejo de Bogotá D.C. Grupo No. 3, de conformidad con lo establecido en el pliego de condiciones de la Licitación Pública No. SDH-LP-02-2014 y la propuesta presentada por el contratista."/>
    <n v="401058400"/>
    <s v=" "/>
    <n v="2014"/>
    <s v=" "/>
    <d v="2015-01-27T00:00:00"/>
    <d v="2015-09-27T00:00:00"/>
    <n v="0"/>
    <n v="0"/>
    <n v="1"/>
    <s v="2 meses"/>
    <d v="2015-11-27T00:00:00"/>
    <d v="2015-11-27T00:00:00"/>
    <n v="401058400"/>
    <n v="401058400"/>
    <n v="0"/>
    <s v="Mensual, de acuerdo a la ejecución realizada durante el respectivo periodo."/>
    <x v="3"/>
    <x v="0"/>
    <n v="0"/>
    <s v=""/>
    <x v="1"/>
  </r>
  <r>
    <x v="253"/>
    <x v="33"/>
    <n v="830095213"/>
    <s v="Suministro de combustible para el Concejo de Bogotá D.C."/>
    <n v="171253333"/>
    <s v=" "/>
    <n v="2014"/>
    <s v=" "/>
    <d v="2014-11-18T00:00:00"/>
    <d v="2015-02-28T00:00:00"/>
    <n v="0"/>
    <n v="0"/>
    <n v="0"/>
    <s v=""/>
    <s v=""/>
    <d v="2015-02-28T00:00:00"/>
    <n v="171253333"/>
    <n v="123537109"/>
    <n v="47716224"/>
    <s v="Quincenal"/>
    <x v="117"/>
    <x v="0"/>
    <n v="0.27862946176936598"/>
    <s v=""/>
    <x v="0"/>
  </r>
  <r>
    <x v="254"/>
    <x v="126"/>
    <n v="79106019"/>
    <s v="Servicio de alquiler, instalación y desmonte de la decoración navideña para la sede principal del Concejo de Bogotá D.C. según invitación pública N° SDH-SMINC-65-2014"/>
    <n v="12700000"/>
    <s v=" "/>
    <n v="2014"/>
    <s v=" "/>
    <d v="2014-12-09T00:00:00"/>
    <d v="2015-02-09T00:00:00"/>
    <n v="0"/>
    <n v="0"/>
    <n v="0"/>
    <s v=""/>
    <s v=""/>
    <d v="2015-02-09T00:00:00"/>
    <n v="12700000"/>
    <n v="12458400"/>
    <n v="241600"/>
    <s v="Cumplimiento - dos pagos"/>
    <x v="118"/>
    <x v="0"/>
    <n v="1.902362204724406E-2"/>
    <s v=""/>
    <x v="0"/>
  </r>
  <r>
    <x v="255"/>
    <x v="183"/>
    <n v="860007336"/>
    <s v="Adquirir a título de Compraventa Bonos para el Concejo de Bogotá, D.C., de conformidad con lo establecido en el pliego de condiciones del proceso de Selección Abreviada de Menor Cuantía No. SDH-SAMC-10-2014 y la propuesta presentada por el contratista."/>
    <n v="39424000"/>
    <s v=" "/>
    <n v="2014"/>
    <s v=" "/>
    <d v="2014-12-09T00:00:00"/>
    <d v="2015-01-09T00:00:00"/>
    <n v="0"/>
    <n v="0"/>
    <n v="0"/>
    <s v=""/>
    <s v=""/>
    <d v="2015-01-09T00:00:00"/>
    <n v="39424000"/>
    <n v="39424000"/>
    <n v="0"/>
    <s v="Único"/>
    <x v="3"/>
    <x v="0"/>
    <n v="0"/>
    <s v=""/>
    <x v="1"/>
  </r>
  <r>
    <x v="256"/>
    <x v="76"/>
    <n v="891501783"/>
    <s v="Adquisición de dispositivos de hardware y software (tipo appliance) en tecnología UTM para controlar y administrar la seguridad perimetral y las aplicaciones Web del Concejo de Bogotá, D.C., de conformidad con lo establecido en el pliego de condiciones del proceso de Subasta Inversa Electrónica No. SDH-SIE-21-2014 y la propuesta presentada por el contratista."/>
    <n v="187940000"/>
    <s v=" "/>
    <n v="2014"/>
    <s v=" "/>
    <d v="2015-01-19T00:00:00"/>
    <d v="2015-04-08T00:00:00"/>
    <n v="0"/>
    <n v="0"/>
    <n v="0"/>
    <s v=""/>
    <s v=""/>
    <d v="2015-04-08T00:00:00"/>
    <n v="187940000"/>
    <n v="187940000"/>
    <n v="0"/>
    <s v="Porcentaje de avance"/>
    <x v="3"/>
    <x v="0"/>
    <n v="0"/>
    <s v=""/>
    <x v="1"/>
  </r>
  <r>
    <x v="257"/>
    <x v="184"/>
    <n v="800085526"/>
    <s v="Prestación del servicio de vigilancia y seguridad privada en las instalaciones del Concejo de Bogotá D.C., con el fin de asegurar la protección y custodia de las personas y bienes muebles e inmuebles de propiedad de la entidad y de los que legalmente sea o llegare a ser responsable por disposición legal, contractual o convencional."/>
    <n v="300000000"/>
    <s v=" "/>
    <n v="2014"/>
    <s v=" "/>
    <d v="2014-12-16T00:00:00"/>
    <d v="2015-05-16T00:00:00"/>
    <n v="0"/>
    <n v="0"/>
    <n v="0"/>
    <s v=""/>
    <s v=""/>
    <d v="2015-05-16T00:00:00"/>
    <n v="300000000"/>
    <n v="238626484"/>
    <n v="61373516"/>
    <s v="Mensual"/>
    <x v="119"/>
    <x v="0"/>
    <n v="0.20457838666666661"/>
    <s v=""/>
    <x v="0"/>
  </r>
  <r>
    <x v="258"/>
    <x v="182"/>
    <n v="830087030"/>
    <s v="Contar con el suministro de papelería y útiles de escritorio para el Concejo de Bogotá D.C., según lo registra el Plan Anual de Adquisiciones de esta vigencia. La justificación del suministro de los bienes se encuenta contenido en el documento de los estudios previos que se anexa a la presente solicitud."/>
    <n v="29997466"/>
    <s v=" "/>
    <n v="2014"/>
    <s v=" "/>
    <d v="2014-12-15T00:00:00"/>
    <d v="2015-04-15T00:00:00"/>
    <n v="0"/>
    <n v="0"/>
    <n v="0"/>
    <s v=""/>
    <s v=""/>
    <d v="2015-04-15T00:00:00"/>
    <n v="29997466"/>
    <n v="29997466"/>
    <n v="0"/>
    <s v="Previa entrega de productos"/>
    <x v="3"/>
    <x v="0"/>
    <n v="0"/>
    <s v=""/>
    <x v="1"/>
  </r>
  <r>
    <x v="259"/>
    <x v="185"/>
    <n v="830117370"/>
    <s v="Prestar el servicio de inspección general de los sistemas de transporte vertical (ascensores) existentes en el edificio de la sede principal del Concejo de Bogotá D.C."/>
    <n v="1624000"/>
    <s v=" "/>
    <n v="2014"/>
    <s v=" "/>
    <d v="2015-02-02T00:00:00"/>
    <d v="2015-10-02T00:00:00"/>
    <n v="0"/>
    <n v="0"/>
    <n v="0"/>
    <s v=""/>
    <s v=""/>
    <d v="2015-10-02T00:00:00"/>
    <n v="1624000"/>
    <n v="0"/>
    <n v="1624000"/>
    <s v="Entrega a satisfacción del servicio prestado"/>
    <x v="6"/>
    <x v="0"/>
    <n v="1"/>
    <s v=""/>
    <x v="0"/>
  </r>
  <r>
    <x v="260"/>
    <x v="186"/>
    <n v="900335488"/>
    <s v="Adquisición e implementación de Software para la Administración y Gestión del Sistema Integrado de Gestión SIG para el Concejo de Bogotá D.C., según invitación pública N° SDH-SAMC-013-2014."/>
    <n v="64621280"/>
    <s v=" "/>
    <n v="2014"/>
    <s v=" "/>
    <d v="2015-02-10T00:00:00"/>
    <d v="2015-06-10T00:00:00"/>
    <n v="0"/>
    <n v="0"/>
    <n v="3"/>
    <s v="6 meses"/>
    <d v="2015-12-10T00:00:00"/>
    <d v="2015-12-10T00:00:00"/>
    <n v="64621280"/>
    <n v="64621280"/>
    <n v="0"/>
    <m/>
    <x v="3"/>
    <x v="0"/>
    <n v="0"/>
    <s v=""/>
    <x v="1"/>
  </r>
  <r>
    <x v="261"/>
    <x v="187"/>
    <n v="899999035"/>
    <s v="El objeto del presente Convenio es la constitución de un FONDO en Administración denominado &quot;FONDO CUENTA CONCEJO DE BOGOTÁ D.C., SECRETARÍA DISTRITAL DE HACIENDA - ICETEX&quot;, con los recursos entregados por EL CONSTITUYENTE a EL ICETEX, quien actuará como administrador y mandatario, con el fin de financiar programas de educación formal, para los empleados de Carrera Administrativa y Libre Nombramiento y Remoción del CONCEJO DE BOGOTÁ."/>
    <n v="300000000"/>
    <s v=" "/>
    <n v="2014"/>
    <s v=" "/>
    <d v="2014-12-29T00:00:00"/>
    <d v="2019-12-29T00:00:00"/>
    <n v="0"/>
    <n v="0"/>
    <n v="0"/>
    <s v=""/>
    <s v=""/>
    <d v="2019-12-29T00:00:00"/>
    <n v="300000000"/>
    <n v="300000000"/>
    <n v="0"/>
    <s v="El valor inicial del Fondo será consignado por el CONSTITUYENTE una vez perfeccionado el presente convenio, en las cuentas que el ICETEX tiene establecidas para el manejo de los Fondos  en Administración, en un término no mayor a treinta (30) días calendario."/>
    <x v="3"/>
    <x v="3"/>
    <n v="-0.67360350492880605"/>
    <n v="1230"/>
    <x v="1"/>
  </r>
  <r>
    <x v="262"/>
    <x v="179"/>
    <n v="860353110"/>
    <s v="Llevar a cabo la actualización del sistema de planta telefónica con la que cuenta actualmente el Concejo de Bogotá."/>
    <n v="137450000"/>
    <s v="SDH-SIE-29-2014 "/>
    <n v="2014"/>
    <s v=" "/>
    <d v="2015-01-14T00:00:00"/>
    <d v="2016-01-14T00:00:00"/>
    <n v="0"/>
    <n v="0"/>
    <n v="0"/>
    <s v=""/>
    <s v=""/>
    <d v="2016-01-14T00:00:00"/>
    <n v="137450000"/>
    <n v="137449999"/>
    <n v="1"/>
    <s v="De acuerdo a los servicios recibidos."/>
    <x v="120"/>
    <x v="0"/>
    <n v="7.2753728597163558E-9"/>
    <s v=""/>
    <x v="1"/>
  </r>
  <r>
    <x v="263"/>
    <x v="188"/>
    <n v="830075011"/>
    <s v="Prestar el servicio de diseño, producción y ejecución de estrategias de divulgación en medios de comunicación de carácter masivo, alternativo y comunitario para el Concejo de Bogotá."/>
    <n v="249210000"/>
    <s v="SDH-SIE-026-2014 "/>
    <n v="2014"/>
    <s v=" "/>
    <d v="2015-01-13T00:00:00"/>
    <d v="2015-07-13T00:00:00"/>
    <n v="1"/>
    <n v="60000000"/>
    <n v="2"/>
    <s v="4 meses y 18 días"/>
    <d v="2015-11-30T00:00:00"/>
    <d v="2015-11-30T00:00:00"/>
    <n v="309210000"/>
    <n v="309210000"/>
    <n v="0"/>
    <s v="Mensuales"/>
    <x v="3"/>
    <x v="0"/>
    <n v="0"/>
    <s v=""/>
    <x v="1"/>
  </r>
  <r>
    <x v="264"/>
    <x v="189"/>
    <n v="19335623"/>
    <s v="Prestar Servicios Profesionales para realizar acompañamiento y seguimiento a los procesos de adquisición de bienes y servicios y seguimiento a la ejecución de contratos para el Concejo de Bogotá, D.C."/>
    <n v="84000000"/>
    <s v="150028-0-2015"/>
    <n v="2015"/>
    <d v="2015-01-23T00:00:00"/>
    <d v="2015-01-27T00:00:00"/>
    <d v="2016-01-27T00:00:00"/>
    <n v="0"/>
    <n v="0"/>
    <n v="0"/>
    <s v=""/>
    <s v=""/>
    <d v="2016-01-27T00:00:00"/>
    <n v="84000000"/>
    <n v="84000000"/>
    <n v="0"/>
    <s v="Mensuales"/>
    <x v="3"/>
    <x v="0"/>
    <n v="0"/>
    <s v=""/>
    <x v="1"/>
  </r>
  <r>
    <x v="265"/>
    <x v="190"/>
    <n v="860012336"/>
    <s v="Ejecutar actividades del plan institucional de capacitación del Concejo de Bogotá D.C. Grupo No. 4, de conformidad con lo establecido en el pliego de condiciones de la Licitación Pública No. SDH-LP-02-2014 y la propuesta presentada por el contratista."/>
    <n v="4961088"/>
    <s v="SDH-LP-02-2014 "/>
    <n v="2014"/>
    <d v="2014-11-28T00:00:00"/>
    <d v="2015-06-23T00:00:00"/>
    <d v="2016-02-23T00:00:00"/>
    <n v="0"/>
    <n v="0"/>
    <n v="0"/>
    <s v=""/>
    <s v=""/>
    <d v="2016-02-23T00:00:00"/>
    <n v="4961088"/>
    <n v="0"/>
    <n v="4961088"/>
    <s v="Mensuales"/>
    <x v="6"/>
    <x v="0"/>
    <n v="1"/>
    <s v=""/>
    <x v="0"/>
  </r>
  <r>
    <x v="266"/>
    <x v="191"/>
    <n v="900801132"/>
    <s v="Contratar la adquisión de video beam para el Concejo de Bogotá D.C. de conformidad con lo establecido en el pliego de condiciones del proceso de Subasta Inversa Electrónica N° SDH-SIE-25-2014 y la propuesta presentada por el contratista."/>
    <n v="10075000"/>
    <s v=" "/>
    <n v="2014"/>
    <s v=" "/>
    <d v="2015-01-16T00:00:00"/>
    <d v="2015-03-16T00:00:00"/>
    <n v="0"/>
    <n v="0"/>
    <n v="0"/>
    <s v=""/>
    <s v=""/>
    <d v="2015-03-16T00:00:00"/>
    <n v="10075000"/>
    <n v="10075000"/>
    <n v="0"/>
    <s v="Pago único"/>
    <x v="3"/>
    <x v="0"/>
    <n v="0"/>
    <s v=""/>
    <x v="1"/>
  </r>
  <r>
    <x v="267"/>
    <x v="99"/>
    <n v="4098836"/>
    <s v="Prestar servicios profesionales para acompañar al Concejo de Bogotá D.C., en la revisión y estudio de las historias laborales de los funcionarios para la definición técnica y jurídica del cumplimiento de requisitos en los diferentes regímenes de pensión."/>
    <n v="46068000"/>
    <s v="1400035-0-2015"/>
    <n v="2015"/>
    <d v="2015-01-29T00:00:00"/>
    <d v="2015-02-02T00:00:00"/>
    <d v="2016-02-02T00:00:00"/>
    <n v="0"/>
    <n v="0"/>
    <n v="0"/>
    <s v=""/>
    <s v=""/>
    <d v="2016-02-02T00:00:00"/>
    <n v="46068000"/>
    <n v="46068000"/>
    <n v="0"/>
    <s v="Mensuales"/>
    <x v="3"/>
    <x v="0"/>
    <n v="0"/>
    <s v=""/>
    <x v="1"/>
  </r>
  <r>
    <x v="268"/>
    <x v="55"/>
    <n v="860506170"/>
    <s v="Entrega en comodato al Instituto de Patrimonio Cultural de 46 obras de la colección pictórica y 1 escultura, de propiedad del Concejo de Bogotá, D.C. a través de la Secretaría Distrital de Hacienda."/>
    <n v="0"/>
    <s v=" "/>
    <n v="2014"/>
    <s v=" "/>
    <d v="2014-12-11T00:00:00"/>
    <d v="2015-02-11T00:00:00"/>
    <n v="0"/>
    <n v="0"/>
    <n v="0"/>
    <s v=""/>
    <s v=""/>
    <d v="2015-02-11T00:00:00"/>
    <n v="0"/>
    <n v="0"/>
    <n v="0"/>
    <s v="NA"/>
    <x v="66"/>
    <x v="0"/>
    <e v="#DIV/0!"/>
    <s v=""/>
    <x v="2"/>
  </r>
  <r>
    <x v="269"/>
    <x v="85"/>
    <n v="51931422"/>
    <s v="Prestar los servicios profesionales para acompañar la definición, contratación y seguimiento de los temas de infraestructura física que requiera el Concejo de Bogotá, D.C."/>
    <n v="60000000"/>
    <s v="150049-0-2015"/>
    <n v="2015"/>
    <d v="2015-02-09T00:00:00"/>
    <d v="2015-02-10T00:00:00"/>
    <d v="2016-02-10T00:00:00"/>
    <n v="0"/>
    <n v="0"/>
    <n v="0"/>
    <s v=""/>
    <s v=""/>
    <d v="2016-02-10T00:00:00"/>
    <n v="60000000"/>
    <n v="60000000"/>
    <n v="0"/>
    <s v="Mensual"/>
    <x v="3"/>
    <x v="0"/>
    <n v="0"/>
    <s v=""/>
    <x v="1"/>
  </r>
  <r>
    <x v="270"/>
    <x v="192"/>
    <n v="79799184"/>
    <s v="Prestar los servicios profesionales par acompañar la definición de especificaciones y condiciones técnicas para la definición de especificaciones y condiciones técnicas para la adquisición de bienes y servicios, relacionadas con tecnología e informática."/>
    <n v="63654000"/>
    <s v="150053-0-2015"/>
    <n v="2015"/>
    <d v="2015-02-09T00:00:00"/>
    <d v="2015-02-10T00:00:00"/>
    <d v="2016-01-10T00:00:00"/>
    <n v="0"/>
    <n v="0"/>
    <n v="1"/>
    <s v="1 mes"/>
    <d v="2016-02-10T00:00:00"/>
    <d v="2016-02-10T00:00:00"/>
    <n v="63654000"/>
    <n v="30235636"/>
    <n v="33418364"/>
    <s v="Mensual"/>
    <x v="121"/>
    <x v="0"/>
    <n v="0.52500021993904544"/>
    <s v=""/>
    <x v="0"/>
  </r>
  <r>
    <x v="271"/>
    <x v="105"/>
    <n v="80117116"/>
    <s v="Prestar servicios profesionales para la actualización, administración, publicación y salvaguarda de la información publicada en la pagina WEB oficial del Concejo de Bogotá D. C."/>
    <n v="48000000"/>
    <s v="150067-0-2015"/>
    <n v="2015"/>
    <d v="2015-02-16T00:00:00"/>
    <d v="2015-02-18T00:00:00"/>
    <d v="2016-02-18T00:00:00"/>
    <n v="0"/>
    <n v="0"/>
    <n v="0"/>
    <s v=""/>
    <s v=""/>
    <d v="2016-02-18T00:00:00"/>
    <n v="48000000"/>
    <n v="48000000"/>
    <n v="0"/>
    <s v="Mensual"/>
    <x v="3"/>
    <x v="0"/>
    <n v="0"/>
    <s v=""/>
    <x v="1"/>
  </r>
  <r>
    <x v="272"/>
    <x v="193"/>
    <n v="41468417"/>
    <s v="Prestar servicios profesionales para apoyar al Concejo de Bogotá en el enlace con la Unidad Ejecutora 04 de la Secretaría Distrital de Hacienda para la liquidación y cierre de los expedientes contractuales."/>
    <n v="63654000"/>
    <s v="150076-0-2015"/>
    <n v="2015"/>
    <d v="2015-02-18T00:00:00"/>
    <d v="2015-02-19T00:00:00"/>
    <d v="2016-02-19T00:00:00"/>
    <n v="0"/>
    <n v="0"/>
    <n v="0"/>
    <s v=""/>
    <s v=""/>
    <d v="2016-02-19T00:00:00"/>
    <n v="63654000"/>
    <n v="63654000"/>
    <n v="0"/>
    <s v="Mensual"/>
    <x v="3"/>
    <x v="0"/>
    <n v="0"/>
    <s v=""/>
    <x v="1"/>
  </r>
  <r>
    <x v="273"/>
    <x v="194"/>
    <n v="74323767"/>
    <s v="Prestar los servicios profesionales para elaborar las especificaciones técnicas y condiciones técnicas de los procesos para la adquisición de bienes y servicios y apoyar la función de supervisión de los contratos."/>
    <n v="60000000"/>
    <s v="150073-0-2015"/>
    <n v="2015"/>
    <d v="2015-02-17T00:00:00"/>
    <d v="2015-02-19T00:00:00"/>
    <d v="2016-02-19T00:00:00"/>
    <n v="0"/>
    <n v="0"/>
    <n v="0"/>
    <s v=""/>
    <s v=""/>
    <d v="2016-02-19T00:00:00"/>
    <n v="60000000"/>
    <n v="60000000"/>
    <n v="0"/>
    <s v="Mensual"/>
    <x v="3"/>
    <x v="0"/>
    <n v="0"/>
    <s v=""/>
    <x v="1"/>
  </r>
  <r>
    <x v="274"/>
    <x v="170"/>
    <n v="1073156298"/>
    <s v="Prestar los servicios profesionales para sistematizar y consolidar la información de los trámites contractuales a cargo del proceso administrativo y financiero del Concejo de Bogotá, D.C."/>
    <n v="43260000"/>
    <s v="150080-0-2015"/>
    <n v="2015"/>
    <d v="2015-02-19T00:00:00"/>
    <d v="2015-02-25T00:00:00"/>
    <d v="2016-02-25T00:00:00"/>
    <n v="0"/>
    <n v="0"/>
    <n v="0"/>
    <s v=""/>
    <s v=""/>
    <d v="2016-02-25T00:00:00"/>
    <n v="43260000"/>
    <n v="43260000"/>
    <n v="0"/>
    <s v="Mensual"/>
    <x v="3"/>
    <x v="0"/>
    <n v="0"/>
    <s v=""/>
    <x v="1"/>
  </r>
  <r>
    <x v="275"/>
    <x v="195"/>
    <n v="52967877"/>
    <s v="Apoyar en la supervisión de los contratos que le sean asignados al Concejo de Bogotá, implementando mecanismos que le permitan contribuir efectivamente al seguimiento técnico administrativo, financiero, contable y jurídico sobre el cumplimiento de cada contrato."/>
    <n v="63654000"/>
    <s v="150081-0-2015"/>
    <n v="2015"/>
    <d v="2015-02-19T00:00:00"/>
    <d v="2015-02-25T00:00:00"/>
    <d v="2016-02-25T00:00:00"/>
    <n v="0"/>
    <n v="0"/>
    <n v="2"/>
    <s v="3 meses y 14 días"/>
    <d v="2016-06-09T00:00:00"/>
    <d v="2016-06-09T00:00:00"/>
    <n v="63654000"/>
    <n v="62769917"/>
    <n v="884083"/>
    <s v="Mensual"/>
    <x v="122"/>
    <x v="0"/>
    <n v="1.3888883652244943E-2"/>
    <s v=""/>
    <x v="0"/>
  </r>
  <r>
    <x v="276"/>
    <x v="196"/>
    <n v="28557652"/>
    <s v="Prestar servicios profesionales para acompañar la Oficina de Comunicaciones del Concejo de Bogotá en la implementación de estrategias comunicativas."/>
    <n v="30900000"/>
    <s v="150083-0-2015"/>
    <n v="2015"/>
    <d v="2015-02-20T00:00:00"/>
    <d v="2015-03-02T00:00:00"/>
    <d v="2016-03-02T00:00:00"/>
    <n v="0"/>
    <n v="0"/>
    <n v="0"/>
    <s v=""/>
    <s v=""/>
    <d v="2016-03-02T00:00:00"/>
    <n v="30900000"/>
    <n v="30814167"/>
    <n v="85833"/>
    <s v="Mensual"/>
    <x v="123"/>
    <x v="0"/>
    <n v="2.7777669902913082E-3"/>
    <s v=""/>
    <x v="0"/>
  </r>
  <r>
    <x v="277"/>
    <x v="33"/>
    <n v="830095213"/>
    <s v="Suministro de combustible para el Concejo de Bogotá D.C."/>
    <n v="444600000"/>
    <m/>
    <n v="2015"/>
    <m/>
    <d v="2015-03-01T00:00:00"/>
    <d v="2015-12-01T00:00:00"/>
    <n v="0"/>
    <n v="0"/>
    <n v="0"/>
    <s v=""/>
    <s v=""/>
    <d v="2015-12-01T00:00:00"/>
    <n v="444600000"/>
    <n v="365337152"/>
    <n v="79262848"/>
    <m/>
    <x v="124"/>
    <x v="0"/>
    <n v="0.17827901034637872"/>
    <s v=""/>
    <x v="0"/>
  </r>
  <r>
    <x v="278"/>
    <x v="94"/>
    <n v="79887061"/>
    <s v="Prestar servicios profesionales para apoyar el proceso de sistemas y seguridad informática del Concejo de Bogotá con especial énfasis en la identificación y mitigación de riesgos."/>
    <n v="38400000"/>
    <s v="150100-0-2015"/>
    <n v="2015"/>
    <d v="2015-02-27T00:00:00"/>
    <d v="2015-03-10T00:00:00"/>
    <d v="2016-03-10T00:00:00"/>
    <n v="0"/>
    <n v="0"/>
    <n v="0"/>
    <s v=""/>
    <s v=""/>
    <d v="2016-03-10T00:00:00"/>
    <n v="38400000"/>
    <n v="38400000"/>
    <n v="0"/>
    <s v="Mensual"/>
    <x v="3"/>
    <x v="0"/>
    <n v="0"/>
    <s v=""/>
    <x v="1"/>
  </r>
  <r>
    <x v="279"/>
    <x v="197"/>
    <n v="53124369"/>
    <s v="Prestar los servicios profesionales para la consolidación y actualización de la estrategia de la depuración normativa del Concejo de Bogotá D.C."/>
    <n v="78000000"/>
    <s v="150101-0-2015"/>
    <n v="2015"/>
    <d v="2015-03-03T00:00:00"/>
    <d v="2015-03-03T00:00:00"/>
    <d v="2016-03-03T00:00:00"/>
    <n v="0"/>
    <n v="0"/>
    <n v="0"/>
    <s v=""/>
    <s v=""/>
    <d v="2016-03-03T00:00:00"/>
    <n v="78000000"/>
    <n v="78000000"/>
    <n v="0"/>
    <s v="Mensual"/>
    <x v="3"/>
    <x v="0"/>
    <n v="0"/>
    <s v=""/>
    <x v="1"/>
  </r>
  <r>
    <x v="280"/>
    <x v="198"/>
    <n v="51961125"/>
    <s v="Prestar servicios profesionales para apoyar la gestión administrativa, documental y contractual en los asuntos de competencia de la Dirección Financiera del Concejo de Bogotá, D.C."/>
    <n v="30900000"/>
    <s v="150102-0-2015"/>
    <n v="2015"/>
    <d v="2015-03-03T00:00:00"/>
    <d v="2015-03-10T00:00:00"/>
    <d v="2016-03-10T00:00:00"/>
    <n v="0"/>
    <n v="0"/>
    <n v="0"/>
    <s v=""/>
    <s v=""/>
    <d v="2016-03-10T00:00:00"/>
    <n v="30900000"/>
    <n v="30900000"/>
    <n v="0"/>
    <s v="Mensual"/>
    <x v="3"/>
    <x v="0"/>
    <n v="0"/>
    <s v=""/>
    <x v="1"/>
  </r>
  <r>
    <x v="281"/>
    <x v="122"/>
    <n v="899999115"/>
    <s v="Prestar los servicios de conectividad de canales de comunicación dedicados e Internet y servicios complementarios para el Concejo de Bogotá de confirmidad con lo establecido en los Estudios Previos y Anexo 1 Ficha Técnica."/>
    <n v="150000000"/>
    <s v="150104-0-2015"/>
    <n v="2015"/>
    <d v="2015-03-03T00:00:00"/>
    <d v="2015-03-27T00:00:00"/>
    <d v="2016-03-27T00:00:00"/>
    <n v="0"/>
    <n v="0"/>
    <n v="0"/>
    <s v=""/>
    <s v=""/>
    <d v="2016-03-27T00:00:00"/>
    <n v="150000000"/>
    <n v="150000000"/>
    <n v="0"/>
    <s v="Pagos mensuales vencidos  "/>
    <x v="3"/>
    <x v="0"/>
    <n v="0"/>
    <s v=""/>
    <x v="1"/>
  </r>
  <r>
    <x v="282"/>
    <x v="199"/>
    <n v="800018165"/>
    <s v="Prestar los servicios profesionales de intemediación y asesoría en la formulación y manejo de programas de seguros requeridos por la Secretaría Distrital de Hacienda y el Concejo de Bogotá D.C. de conformidad con lo establecido en el presente pliego de condiciones y la propuesta presentada por el contratista."/>
    <n v="0"/>
    <s v="SDH-LP-03-2014 "/>
    <n v="2015"/>
    <d v="2015-03-05T00:00:00"/>
    <m/>
    <m/>
    <n v="0"/>
    <n v="0"/>
    <n v="0"/>
    <s v=""/>
    <s v=""/>
    <d v="1899-12-30T00:00:00"/>
    <n v="0"/>
    <n v="0"/>
    <n v="0"/>
    <s v="NA"/>
    <x v="66"/>
    <x v="4"/>
    <e v="#DIV/0!"/>
    <e v="#DIV/0!"/>
    <x v="2"/>
  </r>
  <r>
    <x v="283"/>
    <x v="83"/>
    <n v="800249557"/>
    <s v="Adquirir a título de compra ejemplares del Directorio de Despachos Públicos de Colombia 2015, para el Concejo de Bogotá D.C."/>
    <n v="4100000"/>
    <s v="150124-0-2015"/>
    <n v="2015"/>
    <d v="2015-03-17T00:00:00"/>
    <d v="2015-03-25T00:00:00"/>
    <d v="2015-08-25T00:00:00"/>
    <n v="0"/>
    <n v="0"/>
    <n v="0"/>
    <s v=""/>
    <s v=""/>
    <d v="2015-08-25T00:00:00"/>
    <n v="4100000"/>
    <n v="4100000"/>
    <n v="0"/>
    <s v="Único"/>
    <x v="3"/>
    <x v="0"/>
    <n v="0"/>
    <s v=""/>
    <x v="1"/>
  </r>
  <r>
    <x v="284"/>
    <x v="82"/>
    <n v="860001022"/>
    <s v="Suscripción a los diarios el TIEMPO Y PORTAFOLIO con destino al concejo de Bogotá D.C."/>
    <n v="1226994"/>
    <s v="150123-0-2015"/>
    <n v="2015"/>
    <d v="2015-03-17T00:00:00"/>
    <d v="2015-03-19T00:00:00"/>
    <d v="2016-03-18T00:00:00"/>
    <n v="0"/>
    <n v="0"/>
    <n v="0"/>
    <s v=""/>
    <s v=""/>
    <d v="2016-03-18T00:00:00"/>
    <n v="1226994"/>
    <n v="1226994"/>
    <n v="0"/>
    <s v="Único"/>
    <x v="3"/>
    <x v="0"/>
    <n v="0"/>
    <s v=""/>
    <x v="1"/>
  </r>
  <r>
    <x v="285"/>
    <x v="200"/>
    <n v="900175316"/>
    <s v="Realizar el Diagnóstico, diseño e implementación del Subsistema de Gestión de Seguridad de la Información - SGSI- bajo el entándar NTC-ISO-IEC 27001: 2013 para el Concejo de Bogotá D.C., de conformidad con lo establecido en el pliego de condiciones y la propuesta presentada por el contratista."/>
    <n v="334080000"/>
    <s v=" SDH-CMA-07-2014"/>
    <n v="2015"/>
    <d v="2015-03-19T00:00:00"/>
    <d v="2015-04-10T00:00:00"/>
    <d v="2015-10-10T00:00:00"/>
    <n v="0"/>
    <n v="0"/>
    <n v="1"/>
    <s v="2 meses"/>
    <d v="2015-12-10T00:00:00"/>
    <d v="2015-12-10T00:00:00"/>
    <n v="334080000"/>
    <n v="334080000"/>
    <n v="0"/>
    <s v="Pagos parciales, 100% de cada fase"/>
    <x v="3"/>
    <x v="0"/>
    <n v="0"/>
    <s v=""/>
    <x v="1"/>
  </r>
  <r>
    <x v="286"/>
    <x v="201"/>
    <n v="80852726"/>
    <s v="Prestar el servicio de mantenimiento preventivo y correctivo con suministro de repuestos de la puerta eléctrica y talanqueras de acceso vehicular al Concejo de Bogotá D.C."/>
    <n v="7442000"/>
    <s v="SDH-SMINC-02-2015"/>
    <n v="2015"/>
    <d v="2015-03-19T00:00:00"/>
    <d v="2015-04-17T00:00:00"/>
    <d v="2016-04-17T00:00:00"/>
    <n v="0"/>
    <n v="0"/>
    <n v="0"/>
    <s v=""/>
    <s v=""/>
    <d v="2016-04-17T00:00:00"/>
    <n v="7442000"/>
    <n v="2788000"/>
    <n v="4654000"/>
    <s v="Un pago por cada visita, y los repuestos de acuerdo a la demanda requerida"/>
    <x v="125"/>
    <x v="0"/>
    <n v="0.62536952432141901"/>
    <s v=""/>
    <x v="0"/>
  </r>
  <r>
    <x v="287"/>
    <x v="97"/>
    <n v="900450570"/>
    <s v="Arrendamiento de un inmueble para uso de parqueadero, por parte del Concejo de Bogotá D.C., de acuerdo con lo establecido en el documento de estudios previos y la propuesta presentada por el contratista."/>
    <n v="379200000"/>
    <s v="150192-0-2015"/>
    <n v="2015"/>
    <d v="2015-04-15T00:00:00"/>
    <d v="2015-04-15T00:00:00"/>
    <d v="2016-02-29T00:00:00"/>
    <n v="1"/>
    <n v="180000000"/>
    <n v="1"/>
    <s v="5 meses y 16 dias"/>
    <d v="2016-07-31T00:00:00"/>
    <d v="2016-07-31T00:00:00"/>
    <n v="559200000"/>
    <n v="559200000"/>
    <n v="0"/>
    <s v="Mensualidades anticipadas"/>
    <x v="3"/>
    <x v="0"/>
    <n v="0"/>
    <s v=""/>
    <x v="1"/>
  </r>
  <r>
    <x v="288"/>
    <x v="202"/>
    <s v="830143510-1"/>
    <s v="Realizar el mantenimiento preventivo y correctivo de las plantas purificadoras de agua del Concejo de Bogotá, D.C."/>
    <n v="3035520"/>
    <s v="SDH-SMINC-05-2015"/>
    <n v="2015"/>
    <d v="2015-04-06T00:00:00"/>
    <d v="2015-04-27T00:00:00"/>
    <d v="2016-04-27T00:00:00"/>
    <n v="0"/>
    <n v="0"/>
    <n v="0"/>
    <s v=""/>
    <s v=""/>
    <d v="2016-04-27T00:00:00"/>
    <n v="3035520"/>
    <n v="2009011"/>
    <n v="1026509"/>
    <s v="Pagos trimestrales a los servicios prestados"/>
    <x v="126"/>
    <x v="0"/>
    <n v="0.33816578378663298"/>
    <s v=""/>
    <x v="0"/>
  </r>
  <r>
    <x v="289"/>
    <x v="203"/>
    <s v="800140671-4"/>
    <s v="Prestar el servicio de mantenimiento preventivo y correctivo para las máquinas: Impresora Litográfica MULTILITH modelo 1250, Compaginadora DUPLO DC 10, Guillotina y Cizalla manual, ubicadas en la oficina de Anales y Publicaciones del Concejo de Bogotá D.C"/>
    <n v="4721200"/>
    <s v="SDH-SMINC-09-2015"/>
    <n v="2015"/>
    <d v="2015-04-10T00:00:00"/>
    <d v="2015-04-22T00:00:00"/>
    <d v="2016-03-22T00:00:00"/>
    <n v="0"/>
    <n v="0"/>
    <n v="0"/>
    <s v=""/>
    <s v=""/>
    <d v="2016-03-22T00:00:00"/>
    <n v="4721200"/>
    <n v="4721200"/>
    <n v="0"/>
    <s v="Pagos bimestrales sobre las visitas de mantenimiento preventivo y/o correctivo"/>
    <x v="3"/>
    <x v="0"/>
    <n v="0"/>
    <s v=""/>
    <x v="1"/>
  </r>
  <r>
    <x v="290"/>
    <x v="64"/>
    <n v="80199707"/>
    <s v="Prestar el servicio de mantenimiento correctivo incluyendo suministro de repuestos y/o elementos nuevos que requieran las sillas existentes en el Concejo de Bogotá, D.C."/>
    <n v="28000000"/>
    <s v="SDH-SMINC-07-2015"/>
    <n v="2015"/>
    <d v="2015-03-30T00:00:00"/>
    <d v="2015-04-22T00:00:00"/>
    <d v="2016-04-22T00:00:00"/>
    <n v="0"/>
    <n v="0"/>
    <n v="0"/>
    <s v=""/>
    <s v=""/>
    <d v="2016-04-22T00:00:00"/>
    <n v="28000000"/>
    <n v="27999337"/>
    <n v="663"/>
    <s v="Pagos mensuales con los servicios efectivamente pretados."/>
    <x v="127"/>
    <x v="0"/>
    <n v="2.3678571428598083E-5"/>
    <s v=""/>
    <x v="1"/>
  </r>
  <r>
    <x v="291"/>
    <x v="204"/>
    <n v="900475780"/>
    <s v="Aunar esfuerzos humanos, técnicos, logísticos y administrativos para garantizar el esquema de seguridad requerido por los Concejales del Distrito Capital, que se encuentran en situación de riesgo extraordinario o extremo, como consecuencia directa del ejercicio de sus funciones."/>
    <n v="4174276985"/>
    <s v="150198-0-2015"/>
    <n v="2015"/>
    <d v="2015-04-23T00:00:00"/>
    <d v="2015-04-23T00:00:00"/>
    <d v="2016-04-08T00:00:00"/>
    <n v="0"/>
    <n v="0"/>
    <n v="0"/>
    <s v=""/>
    <s v=""/>
    <d v="2016-04-08T00:00:00"/>
    <n v="4174276985"/>
    <n v="3756849288"/>
    <n v="417427697"/>
    <s v="Porcentaje de avance"/>
    <x v="128"/>
    <x v="0"/>
    <n v="9.9999999640656312E-2"/>
    <s v=""/>
    <x v="0"/>
  </r>
  <r>
    <x v="292"/>
    <x v="73"/>
    <n v="4831"/>
    <s v="Contratar el servicio de mantenimiento preventivo y correctivo con suministro de repuestos del parque automotor marca Chevrolet de propiedad del Concejo de Bogotá, de conformidad con lo establecido en la presente invitación pública."/>
    <n v="27620000"/>
    <s v="SDH-SMINC-15-2015"/>
    <n v="2015"/>
    <d v="2015-04-15T00:00:00"/>
    <d v="2015-05-13T00:00:00"/>
    <d v="2016-05-13T00:00:00"/>
    <n v="1"/>
    <n v="14000000"/>
    <n v="1"/>
    <s v="28 días calendario"/>
    <d v="2016-06-10T00:00:00"/>
    <d v="2016-06-10T00:00:00"/>
    <n v="41620000"/>
    <n v="35165145"/>
    <n v="6454855"/>
    <s v="Mensuales vencidas de acuerdo a los servicios y repuestos efectivamente prestados y suministrados."/>
    <x v="129"/>
    <x v="0"/>
    <n v="0.15509022104757331"/>
    <s v=""/>
    <x v="0"/>
  </r>
  <r>
    <x v="293"/>
    <x v="150"/>
    <n v="830055842"/>
    <s v="Contratar la prestación del servicio de mensajería expresa masiva para el Concejo de Bogotá D.C., de conformidad con el alcance del objeto y lo señalado en el pliego de condiciones del proceso SDH-SIE-02-2015, en la Ficha Técnica y en la propuesta"/>
    <n v="33500000"/>
    <s v="SDH-SIE-02-2015"/>
    <n v="2015"/>
    <d v="2015-04-30T00:00:00"/>
    <d v="2015-05-06T00:00:00"/>
    <d v="2016-05-06T00:00:00"/>
    <n v="0"/>
    <n v="0"/>
    <n v="1"/>
    <s v="14 DIAS"/>
    <d v="2016-05-20T00:00:00"/>
    <d v="2016-05-20T00:00:00"/>
    <n v="33500000"/>
    <n v="28680629"/>
    <n v="4819371"/>
    <s v="Mensuales vencidas de acuerdo a los servicios prestados."/>
    <x v="130"/>
    <x v="0"/>
    <n v="0.14386182089552235"/>
    <s v=""/>
    <x v="0"/>
  </r>
  <r>
    <x v="294"/>
    <x v="205"/>
    <s v="830507741-8"/>
    <s v="Adquirir elementos de hardware para el sistema de voto electrónico del Concejo de Bogotá, de conformidad con lo establecido en la presente invitación pública"/>
    <n v="12975945"/>
    <s v="SDH-SMINC-017-2015"/>
    <n v="2015"/>
    <d v="2015-04-23T00:00:00"/>
    <d v="2015-05-11T00:00:00"/>
    <d v="2015-09-11T00:00:00"/>
    <n v="0"/>
    <n v="0"/>
    <n v="0"/>
    <s v=""/>
    <s v=""/>
    <d v="2015-09-11T00:00:00"/>
    <n v="12975945"/>
    <n v="12975945"/>
    <n v="0"/>
    <m/>
    <x v="3"/>
    <x v="0"/>
    <n v="0"/>
    <s v=""/>
    <x v="1"/>
  </r>
  <r>
    <x v="295"/>
    <x v="206"/>
    <s v="900592578-9"/>
    <s v="Prestar el servicio de mantenimiento preventivo y correctivo al Sistema Eléctrico del Centro Administrativo Distrital CAD y al Sistema de Generación y Transferencia Eléctrica de Emergencia del Concejo de Bogotá, D.C., de conformidad con lo establecido en la presente invitación pública."/>
    <n v="11000000"/>
    <s v="SDH-SMINC-010-2015"/>
    <n v="2015"/>
    <d v="2015-04-15T00:00:00"/>
    <d v="2015-05-11T00:00:00"/>
    <d v="2016-05-11T00:00:00"/>
    <n v="0"/>
    <n v="0"/>
    <n v="1"/>
    <s v="1 mes"/>
    <d v="2016-06-11T00:00:00"/>
    <d v="2016-06-11T00:00:00"/>
    <n v="11000000"/>
    <n v="4179537"/>
    <n v="6820463"/>
    <s v="Cada dos meses con los servicios efectivamente prestados, y la demanda de los insumos y repuestos"/>
    <x v="131"/>
    <x v="0"/>
    <n v="0.6200420909090909"/>
    <s v=""/>
    <x v="0"/>
  </r>
  <r>
    <x v="296"/>
    <x v="135"/>
    <s v="811021363-0"/>
    <s v="Adquisición de medios magnéticos para copias de respaldo para el Concejo de Bogotá D.C"/>
    <n v="10514762"/>
    <s v="SDH-SMINC-013-2015"/>
    <n v="2015"/>
    <d v="2015-04-14T00:00:00"/>
    <d v="2015-04-23T00:00:00"/>
    <d v="2015-05-23T00:00:00"/>
    <n v="0"/>
    <n v="0"/>
    <n v="0"/>
    <s v=""/>
    <s v=""/>
    <d v="2015-05-23T00:00:00"/>
    <n v="10514762"/>
    <n v="10514762"/>
    <n v="0"/>
    <s v="Un pago a contra entrega a satisfacción"/>
    <x v="3"/>
    <x v="0"/>
    <n v="0"/>
    <s v=""/>
    <x v="1"/>
  </r>
  <r>
    <x v="297"/>
    <x v="146"/>
    <n v="900197284"/>
    <s v="Realizar el servicio de mantenimiento correctivo y traslado, incluyendo los repuestos y elementos nuevos que requieran los sistemas de archivos rodantes existentes en las diferentes dependencias del Concejo de Bogotá, D.C."/>
    <n v="5874000"/>
    <s v="SDH-SMINC-19-2015"/>
    <n v="2015"/>
    <d v="2015-05-06T00:00:00"/>
    <d v="2015-05-25T00:00:00"/>
    <d v="2016-05-25T00:00:00"/>
    <n v="0"/>
    <n v="0"/>
    <n v="0"/>
    <s v=""/>
    <s v=""/>
    <d v="2016-05-25T00:00:00"/>
    <n v="5874000"/>
    <n v="4940614"/>
    <n v="933386"/>
    <s v="Pagos mensuales con los servicios efectivamente pretados."/>
    <x v="132"/>
    <x v="0"/>
    <n v="0.15890125978890024"/>
    <s v=""/>
    <x v="0"/>
  </r>
  <r>
    <x v="298"/>
    <x v="207"/>
    <n v="860025639"/>
    <s v="PRESTAR LOS SERVICIOS DE MANTENIMIENTO PREVENTIVO Y CORRECTIVO A LOS ASCENSORES MARCA MITSUBISHI UBICADOS EN EL CONCEJO DE BOGOTA."/>
    <n v="14210000"/>
    <s v="150219-0-2015"/>
    <n v="2015"/>
    <d v="2015-05-08T00:00:00"/>
    <d v="2015-05-25T00:00:00"/>
    <d v="2016-03-25T00:00:00"/>
    <n v="1"/>
    <n v="4626508"/>
    <n v="0"/>
    <s v=""/>
    <s v=""/>
    <d v="2016-03-25T00:00:00"/>
    <n v="18836508"/>
    <n v="18291633"/>
    <n v="544875"/>
    <s v="Pagos mensuales con los servicios efectivamente pretados."/>
    <x v="133"/>
    <x v="0"/>
    <n v="2.8926539887329406E-2"/>
    <s v=""/>
    <x v="0"/>
  </r>
  <r>
    <x v="299"/>
    <x v="56"/>
    <n v="860049921"/>
    <s v="Realizar las auditorías para la recertificación del Sistema de Gestión de Calidad del Concejo de Bogotá."/>
    <n v="7714000"/>
    <s v="SDH-SMINC-28-2015"/>
    <n v="2015"/>
    <d v="2015-05-08T00:00:00"/>
    <d v="2015-05-20T00:00:00"/>
    <d v="2015-08-20T00:00:00"/>
    <n v="0"/>
    <n v="0"/>
    <n v="0"/>
    <s v=""/>
    <s v=""/>
    <d v="2015-08-20T00:00:00"/>
    <n v="7714000"/>
    <n v="7714000"/>
    <n v="0"/>
    <s v="Un pago, una vez realizada la auditoría"/>
    <x v="3"/>
    <x v="0"/>
    <n v="0"/>
    <s v=""/>
    <x v="1"/>
  </r>
  <r>
    <x v="300"/>
    <x v="208"/>
    <n v="830124848"/>
    <s v="Prestar los servicios de mantenimientos, soporte y actualización con el suministro de repuestos para la infraestructura de telecomunicaciones, cableado estructurado (voz y datos), fibra óptica, energía normal y regulada del Concejo de Bogota D.C."/>
    <n v="60000000"/>
    <s v="SDH-SIE-01-2015"/>
    <n v="2015"/>
    <d v="2015-05-04T00:00:00"/>
    <d v="2015-06-01T00:00:00"/>
    <d v="2016-06-01T00:00:00"/>
    <n v="1"/>
    <n v="8000000"/>
    <n v="1"/>
    <s v="4 meses"/>
    <d v="2016-10-01T00:00:00"/>
    <d v="2016-10-01T00:00:00"/>
    <n v="68000000"/>
    <n v="57215603"/>
    <n v="10784397"/>
    <s v="Pagos mensuales de acuerdo a los servicios por demanda"/>
    <x v="134"/>
    <x v="5"/>
    <n v="6.4331778447444532E-2"/>
    <n v="46"/>
    <x v="0"/>
  </r>
  <r>
    <x v="301"/>
    <x v="209"/>
    <n v="900587953"/>
    <s v="Prestar el servicio de mantenimiento preventivo y correctivo con suministro de repuestos del sistema de alarmas de emergencia y botones de pánico ubicados en la sede principal del Concejo de Bogotá D.C."/>
    <n v="2000000"/>
    <s v="SDH-SMINC-024-2015"/>
    <n v="2015"/>
    <d v="2015-05-11T00:00:00"/>
    <d v="2015-05-26T00:00:00"/>
    <d v="2016-03-26T00:00:00"/>
    <n v="0"/>
    <n v="0"/>
    <n v="0"/>
    <s v=""/>
    <s v=""/>
    <d v="2016-03-26T00:00:00"/>
    <n v="2000000"/>
    <n v="824760"/>
    <n v="1175240"/>
    <s v="Un pago por cada visita, y los repuestos de acuerdo a la demanda requerida"/>
    <x v="135"/>
    <x v="0"/>
    <n v="0.58762000000000003"/>
    <s v=""/>
    <x v="0"/>
  </r>
  <r>
    <x v="302"/>
    <x v="210"/>
    <n v="830101476"/>
    <s v="Prestar el servicio de vigilancia y seguridad privada en las instalaciones del Concejo de Bogotá, D.C., con el fin de asegurar la protección y custodia de las personas y bienes muebles e inmuebles de propiedad de la entidad y de los que legalmente sea o llegare a ser responsable por disposición legal, contractual o convencional."/>
    <n v="566000000"/>
    <s v="SDH-SIE-03-2015"/>
    <n v="2015"/>
    <d v="2015-05-12T00:00:00"/>
    <d v="2015-05-17T00:00:00"/>
    <d v="2016-05-17T00:00:00"/>
    <n v="0"/>
    <n v="0"/>
    <n v="0"/>
    <s v="2 meses y 14 días calendario"/>
    <d v="2016-07-31T00:00:00"/>
    <d v="2016-07-31T00:00:00"/>
    <n v="566000000"/>
    <n v="429459129"/>
    <n v="136540871"/>
    <s v="Mensualidades vencidas"/>
    <x v="136"/>
    <x v="0"/>
    <n v="0.24123828798586577"/>
    <s v=""/>
    <x v="0"/>
  </r>
  <r>
    <x v="303"/>
    <x v="211"/>
    <n v="1085916707"/>
    <s v="Prestar servicios de apoyo al Concejo de Bogotá D.C., en la elaboración y actualización de las bases de datos para el control y depuración de los acuerdos distritales."/>
    <n v="18000000"/>
    <s v="150214-0-2015"/>
    <n v="2015"/>
    <d v="2015-05-06T00:00:00"/>
    <d v="2015-05-13T00:00:00"/>
    <d v="2016-02-13T00:00:00"/>
    <n v="0"/>
    <n v="0"/>
    <n v="0"/>
    <s v=""/>
    <s v=""/>
    <d v="2016-02-13T00:00:00"/>
    <n v="18000000"/>
    <n v="18000000"/>
    <n v="0"/>
    <s v="Mensuales"/>
    <x v="3"/>
    <x v="0"/>
    <n v="0"/>
    <s v=""/>
    <x v="1"/>
  </r>
  <r>
    <x v="304"/>
    <x v="91"/>
    <n v="830005370"/>
    <s v="Realizar la producción y trasmisión de programas de televisión para el Concejo de Bogotá."/>
    <n v="1291938453"/>
    <s v="150225-0-2015"/>
    <n v="2015"/>
    <d v="2015-05-11T00:00:00"/>
    <d v="2015-05-15T00:00:00"/>
    <d v="2016-02-21T00:00:00"/>
    <n v="1"/>
    <n v="141414324"/>
    <n v="1"/>
    <s v="2 meses"/>
    <d v="2016-03-21T00:00:00"/>
    <d v="2016-03-21T00:00:00"/>
    <n v="1433352777"/>
    <n v="1433352777"/>
    <n v="0"/>
    <s v="Mensualidades vencidas de acuerdo a la emisión de programas"/>
    <x v="3"/>
    <x v="0"/>
    <n v="0"/>
    <s v=""/>
    <x v="1"/>
  </r>
  <r>
    <x v="305"/>
    <x v="212"/>
    <n v="830067096"/>
    <s v="Suscripción a la Revista El Congreso Siglo XXI con destino al Concejo de Bogotá D.C. "/>
    <n v="7800000"/>
    <s v="150228-0-2015"/>
    <n v="2015"/>
    <d v="2015-05-15T00:00:00"/>
    <d v="2015-05-21T00:00:00"/>
    <d v="2016-05-21T00:00:00"/>
    <n v="0"/>
    <n v="0"/>
    <n v="0"/>
    <s v=""/>
    <s v=""/>
    <d v="2016-05-21T00:00:00"/>
    <n v="7800000"/>
    <n v="7800000"/>
    <n v="0"/>
    <s v="Único pago"/>
    <x v="3"/>
    <x v="0"/>
    <n v="0"/>
    <s v=""/>
    <x v="1"/>
  </r>
  <r>
    <x v="306"/>
    <x v="213"/>
    <s v="860019063-8"/>
    <s v="PRESTAR EL SERVICIO DE MANTENIMIENTO CORRECTIVO CON SUMINISTRO DE REPUESTOS DE LOS AUTOMOTORES MARCA MITSUBISHI AL SERVICIO DEL CONCEJO DE BOGOTA"/>
    <n v="28000000"/>
    <s v="150229-0-2015"/>
    <n v="2015"/>
    <d v="2015-05-20T00:00:00"/>
    <d v="2015-06-25T00:00:00"/>
    <d v="2016-06-25T00:00:00"/>
    <n v="0"/>
    <n v="0"/>
    <n v="0"/>
    <s v=""/>
    <s v=""/>
    <d v="2016-06-25T00:00:00"/>
    <n v="28000000"/>
    <n v="26596777"/>
    <n v="1403223"/>
    <s v="Mensualmente de acuerdo a los servicios efectivamente prestados."/>
    <x v="137"/>
    <x v="0"/>
    <n v="5.0115107142857163E-2"/>
    <s v=""/>
    <x v="0"/>
  </r>
  <r>
    <x v="307"/>
    <x v="214"/>
    <s v="802004648 - 1"/>
    <s v="Adquisición de memorias para repotenciación de equipos de cómputo para el Concejo de Bogotá D.C."/>
    <n v="8086410"/>
    <s v="SDH-SMINC-30-2015"/>
    <n v="2015"/>
    <d v="2015-05-28T00:00:00"/>
    <d v="2015-06-10T00:00:00"/>
    <d v="2015-08-10T00:00:00"/>
    <n v="0"/>
    <n v="0"/>
    <n v="0"/>
    <s v=""/>
    <s v=""/>
    <d v="2015-08-10T00:00:00"/>
    <n v="8086410"/>
    <n v="8086406"/>
    <n v="4"/>
    <s v="Pago único"/>
    <x v="138"/>
    <x v="0"/>
    <n v="4.9465708518159346E-7"/>
    <s v=""/>
    <x v="1"/>
  </r>
  <r>
    <x v="308"/>
    <x v="215"/>
    <s v="900336588-6"/>
    <s v="Suministrar cajas y carpetas para el embalaje de los documentos de archivo para el Concejo de Bogotá, D.C, de conformidad con lo establecido en la presente invitación pública."/>
    <n v="5000000"/>
    <s v="SDH-SMINC-26-2015"/>
    <n v="2015"/>
    <d v="2015-05-25T00:00:00"/>
    <d v="2015-06-05T00:00:00"/>
    <d v="2015-09-05T00:00:00"/>
    <n v="0"/>
    <n v="0"/>
    <n v="0"/>
    <s v=""/>
    <s v=""/>
    <d v="2015-09-05T00:00:00"/>
    <n v="5000000"/>
    <n v="3489976"/>
    <n v="1510024"/>
    <s v="Pagos mensuales de acuerdo a las entregas realizadas según cronograma"/>
    <x v="139"/>
    <x v="0"/>
    <n v="0.30200479999999996"/>
    <s v=""/>
    <x v="0"/>
  </r>
  <r>
    <x v="309"/>
    <x v="50"/>
    <n v="830053669"/>
    <s v="Prestar el servicio Integral de fotocopiado y servicios afines para el Concejo de Bogotá,D.C. .bajo la modalidad de outsourcing. Según invitación publica del proceso N° SDH-SIE-07-2015"/>
    <n v="30552000"/>
    <s v="SDH-SIE-07-2015"/>
    <n v="2015"/>
    <d v="2015-06-02T00:00:00"/>
    <d v="2015-07-02T00:00:00"/>
    <d v="2016-03-02T00:00:00"/>
    <n v="1"/>
    <n v="11000000"/>
    <n v="3"/>
    <s v="4 meses y 29 dias"/>
    <d v="2016-07-31T00:00:00"/>
    <d v="2016-07-31T00:00:00"/>
    <n v="41552000"/>
    <n v="34550825"/>
    <n v="7001175"/>
    <s v="Mensualidades vencidas por los servicios efectivamente prestados"/>
    <x v="140"/>
    <x v="0"/>
    <n v="0.16849188968040041"/>
    <s v=""/>
    <x v="0"/>
  </r>
  <r>
    <x v="310"/>
    <x v="216"/>
    <n v="51647190"/>
    <s v="Prestar servicios profesionales para la identificación y análisis de información y elementos que permitan a la Oficina de Planeación del Concejo de Bogotá, la implementación del Subsistema de Responsabilidad Social - SRS"/>
    <n v="40800000"/>
    <s v="150245-0-2015"/>
    <n v="2015"/>
    <d v="2015-06-03T00:00:00"/>
    <d v="2015-06-05T00:00:00"/>
    <d v="2015-12-05T00:00:00"/>
    <n v="1"/>
    <n v="20400000"/>
    <n v="2"/>
    <s v="3 meses y 9 días"/>
    <d v="2016-03-14T00:00:00"/>
    <d v="2016-03-14T00:00:00"/>
    <n v="61200000"/>
    <n v="61200000"/>
    <n v="0"/>
    <s v="Pagos mensuales"/>
    <x v="3"/>
    <x v="0"/>
    <n v="0"/>
    <s v=""/>
    <x v="1"/>
  </r>
  <r>
    <x v="311"/>
    <x v="217"/>
    <n v="830040274"/>
    <s v="Realizar las auditorías de seguimiento a los sistemas de Gestión Ambiental y Seguridad y Salud Ocupacional del Concejo de Bogotá, bajo las normas ISO 14001:2004 y OHSAS 18001:2007"/>
    <n v="2365972"/>
    <s v="150244-0-2015"/>
    <n v="2015"/>
    <d v="2015-06-03T00:00:00"/>
    <d v="2015-06-19T00:00:00"/>
    <d v="2015-10-19T00:00:00"/>
    <n v="0"/>
    <n v="0"/>
    <n v="0"/>
    <s v=""/>
    <s v=""/>
    <d v="2015-10-19T00:00:00"/>
    <n v="2365972"/>
    <n v="2365972"/>
    <n v="0"/>
    <s v="Una vez realizada la auditoría"/>
    <x v="3"/>
    <x v="0"/>
    <n v="0"/>
    <s v=""/>
    <x v="1"/>
  </r>
  <r>
    <x v="312"/>
    <x v="218"/>
    <n v="1016042559"/>
    <s v="Prestar los servicios de apoyo, para consolidar y sistematizar la información del proceso de planificación del Subsistema de Responsabilidad Social SRS."/>
    <n v="12000000"/>
    <s v="150250-0-2015"/>
    <n v="2015"/>
    <d v="2015-06-11T00:00:00"/>
    <d v="2015-06-18T00:00:00"/>
    <d v="2015-12-18T00:00:00"/>
    <n v="1"/>
    <n v="6000000"/>
    <n v="1"/>
    <s v="3 meses"/>
    <d v="2016-03-18T00:00:00"/>
    <d v="2016-03-18T00:00:00"/>
    <n v="18000000"/>
    <n v="18000000"/>
    <n v="0"/>
    <s v="Mensuales"/>
    <x v="3"/>
    <x v="0"/>
    <n v="0"/>
    <s v=""/>
    <x v="1"/>
  </r>
  <r>
    <x v="313"/>
    <x v="219"/>
    <s v="900668336-1"/>
    <s v="Adquisición de licencias de servidores Windows Server 2012 para el Concejo de Bogotá, de conformidad con lo establecido en la presente invitación pública"/>
    <n v="11167296"/>
    <s v="SDH-SMINC-32-2015"/>
    <n v="2015"/>
    <d v="2015-06-12T00:00:00"/>
    <d v="2015-07-03T00:00:00"/>
    <d v="2015-09-03T00:00:00"/>
    <n v="0"/>
    <n v="0"/>
    <n v="0"/>
    <s v=""/>
    <s v=""/>
    <d v="2015-09-03T00:00:00"/>
    <n v="11167296"/>
    <n v="0"/>
    <n v="11167296"/>
    <s v="Pago único"/>
    <x v="6"/>
    <x v="0"/>
    <n v="1"/>
    <s v=""/>
    <x v="0"/>
  </r>
  <r>
    <x v="314"/>
    <x v="220"/>
    <n v="860053195"/>
    <s v="Suministro de elementos de promoción institucional y actos protocolarios del Concejo de Bogotá, D.C., de conformidad con lo establecido en la presente invitación pública"/>
    <n v="29000000"/>
    <s v="SDH-SMINC-31-2015"/>
    <n v="2015"/>
    <d v="2015-06-12T00:00:00"/>
    <d v="2015-06-24T00:00:00"/>
    <d v="2016-04-24T00:00:00"/>
    <n v="1"/>
    <n v="14417333"/>
    <n v="2"/>
    <s v="2 meses"/>
    <d v="2016-06-24T00:00:00"/>
    <d v="2016-06-24T00:00:00"/>
    <n v="43417333"/>
    <n v="39667287"/>
    <n v="3750046"/>
    <s v="Pagos mensuales"/>
    <x v="141"/>
    <x v="0"/>
    <n v="8.6372094757639739E-2"/>
    <s v=""/>
    <x v="0"/>
  </r>
  <r>
    <x v="315"/>
    <x v="221"/>
    <n v="1015452774"/>
    <s v="Prestar los servicios de apoyo, para la elaboración de la documentación soporte para la implementación del Subsistema de Responsabilidad Social SRS."/>
    <n v="12000000"/>
    <s v="150256-0-2015"/>
    <n v="2015"/>
    <d v="2015-06-16T00:00:00"/>
    <d v="2015-06-19T00:00:00"/>
    <d v="2015-12-19T00:00:00"/>
    <n v="0"/>
    <n v="0"/>
    <n v="0"/>
    <s v=""/>
    <s v=""/>
    <d v="2015-12-19T00:00:00"/>
    <n v="12000000"/>
    <n v="12000000"/>
    <n v="0"/>
    <s v="Mensuales"/>
    <x v="3"/>
    <x v="0"/>
    <n v="0"/>
    <s v=""/>
    <x v="1"/>
  </r>
  <r>
    <x v="316"/>
    <x v="222"/>
    <n v="830113914"/>
    <s v="Suministrar papelería y útiles de escritorio en la modalidad de proveeduría integral para el Concejo de Bogotá."/>
    <n v="69400000"/>
    <s v="SDH-SIE-06-2015"/>
    <n v="2015"/>
    <d v="2015-06-12T00:00:00"/>
    <d v="2015-07-01T00:00:00"/>
    <d v="2016-05-01T00:00:00"/>
    <n v="0"/>
    <n v="0"/>
    <n v="2"/>
    <s v="4 meses y 15 días"/>
    <d v="2016-09-16T00:00:00"/>
    <d v="2016-09-16T00:00:00"/>
    <n v="69400000"/>
    <n v="63484808"/>
    <n v="5915192"/>
    <s v="Mensualidades de acuerdo a los suministros"/>
    <x v="142"/>
    <x v="6"/>
    <n v="1.5255887484468711E-2"/>
    <n v="31"/>
    <x v="0"/>
  </r>
  <r>
    <x v="317"/>
    <x v="223"/>
    <s v="805006014-0"/>
    <s v="Suscripción al sistema de Televisión Satelital para ser instalado en la sede del Concejo de Bogotá D.C."/>
    <n v="1607400"/>
    <s v="SDH-SMINC-035-2015"/>
    <n v="2015"/>
    <d v="2015-06-17T00:00:00"/>
    <d v="2015-07-17T00:00:00"/>
    <d v="2016-07-16T00:00:00"/>
    <n v="0"/>
    <n v="0"/>
    <n v="0"/>
    <s v=""/>
    <s v=""/>
    <d v="2016-07-16T00:00:00"/>
    <n v="1607400"/>
    <n v="1586586"/>
    <n v="20814"/>
    <s v="Pago único"/>
    <x v="143"/>
    <x v="0"/>
    <n v="1.2948861515490906E-2"/>
    <s v=""/>
    <x v="0"/>
  </r>
  <r>
    <x v="318"/>
    <x v="224"/>
    <s v="860066942 -7"/>
    <s v="Prestar el servicio de alquiler de escenarios como salones, auditorios y espacios abiertos, apoyo logístico y servicio de catering para el desarrollo de eventos que requieran el Concejo de Bogotá D.C., de conformidad con lo establecido en el pliego de condiciones del proceso de selección abreviada de menor cuantía No. SDH-SAMC-01-2015 y la propuesta presentada por el contratista."/>
    <n v="102000000"/>
    <s v="SDH-SAMC-01-2015"/>
    <n v="2015"/>
    <d v="2015-06-16T00:00:00"/>
    <d v="2015-07-29T00:00:00"/>
    <d v="2016-05-29T00:00:00"/>
    <n v="1"/>
    <n v="22930204"/>
    <n v="1"/>
    <s v="1 mes"/>
    <d v="2016-06-01T00:00:00"/>
    <d v="2016-06-01T00:00:00"/>
    <n v="124930204"/>
    <n v="124874187"/>
    <n v="56017"/>
    <s v="Mensualidades de acuerdo a las actividades prestadas"/>
    <x v="144"/>
    <x v="0"/>
    <n v="4.4838636459765269E-4"/>
    <s v=""/>
    <x v="1"/>
  </r>
  <r>
    <x v="319"/>
    <x v="225"/>
    <n v="807003866"/>
    <s v="Prestar los servicios integrales de aseo y cafetería y el servicio integral de fumigación para las instalaciones del Concejo de Bogotá, D.C. y en los inmuebles por los que la Entidad sea legalmente responsable, de conformidad con lo establecido en el pliego de condiciones del proceso de Subasta Inversa Electrónica No. SDH-SIE-05-2015 y la propuesta presentada por el contratista."/>
    <n v="342000000"/>
    <s v="SDH-SIE-05-2015"/>
    <n v="2015"/>
    <d v="2015-06-19T00:00:00"/>
    <d v="2015-07-02T00:00:00"/>
    <d v="2016-05-02T00:00:00"/>
    <n v="1"/>
    <n v="72000000"/>
    <n v="2"/>
    <s v="6 MESES"/>
    <d v="2016-11-01T00:00:00"/>
    <d v="2016-11-01T00:00:00"/>
    <n v="414000000"/>
    <n v="242679931"/>
    <n v="171320069"/>
    <m/>
    <x v="145"/>
    <x v="7"/>
    <n v="0.25602970654153789"/>
    <n v="77"/>
    <x v="0"/>
  </r>
  <r>
    <x v="320"/>
    <x v="55"/>
    <s v="860506170-7"/>
    <s v="Aunar esfuerzos, recursos técnicos, humanos y financieros para la intervención y realización de las actividades asociadas a la restauración - conservación de los bienes muebles de carácter patrimonial del Honorable Concejo de Bogotá D.C., correspondientes en el grupo Fase III."/>
    <n v="180000000"/>
    <s v="150271-0-2015"/>
    <n v="2015"/>
    <d v="2015-06-24T00:00:00"/>
    <d v="2015-08-03T00:00:00"/>
    <d v="2016-05-02T00:00:00"/>
    <n v="0"/>
    <n v="0"/>
    <n v="1"/>
    <s v="2 meses"/>
    <d v="2017-01-02T00:00:00"/>
    <d v="2017-01-02T00:00:00"/>
    <n v="180000000"/>
    <n v="180000000"/>
    <n v="0"/>
    <m/>
    <x v="3"/>
    <x v="8"/>
    <n v="-0.26833976833976836"/>
    <n v="139"/>
    <x v="1"/>
  </r>
  <r>
    <x v="321"/>
    <x v="226"/>
    <n v="800198591"/>
    <s v="Prestar los servicios de administración y soporte técnico para la plataforma Microsoft del Concejo de Bogotá, de conformidad con lo establecido en los documentos y estudios previos y la propuesta presentada por el contratista."/>
    <n v="213397762"/>
    <s v="150249-0-2015"/>
    <n v="2015"/>
    <d v="2015-06-10T00:00:00"/>
    <d v="2015-06-26T00:00:00"/>
    <d v="2016-06-16T00:00:00"/>
    <n v="0"/>
    <n v="0"/>
    <n v="0"/>
    <s v=""/>
    <s v=""/>
    <d v="2016-06-16T00:00:00"/>
    <n v="213397762"/>
    <n v="213397758"/>
    <n v="4"/>
    <m/>
    <x v="146"/>
    <x v="0"/>
    <n v="1.8744339080889461E-8"/>
    <s v=""/>
    <x v="1"/>
  </r>
  <r>
    <x v="322"/>
    <x v="227"/>
    <n v="80854911"/>
    <s v="Prestar servicios para apoyar actividades del proceso de relatorìa del Concejo de Bogotà D.C., para la transcripción y elaboración de Actas de sesiones de las diferentes Comisiones y de Sesiones de Plenaria."/>
    <n v="10800000"/>
    <s v="150274-0-2015"/>
    <n v="2015"/>
    <d v="2015-06-24T00:00:00"/>
    <d v="2015-07-01T00:00:00"/>
    <d v="2016-01-01T00:00:00"/>
    <n v="0"/>
    <n v="0"/>
    <n v="0"/>
    <s v=""/>
    <s v=""/>
    <d v="2016-01-01T00:00:00"/>
    <n v="10800000"/>
    <n v="7200000"/>
    <n v="3600000"/>
    <s v="Mensuales"/>
    <x v="147"/>
    <x v="0"/>
    <n v="0.33333333333333337"/>
    <s v=""/>
    <x v="0"/>
  </r>
  <r>
    <x v="323"/>
    <x v="228"/>
    <n v="79246871"/>
    <s v="Prestar servicios profesionales para apoyar a la Dirección Jurídica del Concejo de Bogotá, con especial énfasis en análisis y respuestas a derechos de petición y PQRS"/>
    <n v="21600000"/>
    <s v="150276-0-2015"/>
    <n v="2015"/>
    <d v="2015-06-24T00:00:00"/>
    <d v="2015-07-01T00:00:00"/>
    <d v="2016-01-01T00:00:00"/>
    <n v="1"/>
    <n v="10800000"/>
    <n v="1"/>
    <s v=""/>
    <d v="2016-04-01T00:00:00"/>
    <d v="2016-04-01T00:00:00"/>
    <n v="32400000"/>
    <n v="28800000"/>
    <n v="3600000"/>
    <s v="Mensuales"/>
    <x v="148"/>
    <x v="0"/>
    <n v="0.11111111111111116"/>
    <s v=""/>
    <x v="0"/>
  </r>
  <r>
    <x v="324"/>
    <x v="229"/>
    <n v="80170782"/>
    <s v="Prestar servicios para apoyar actividades del proceso de relatorìa del Concejo de Bogotà D.C., para la transcripción y elaboración de Actas de sesiones de las diferentes Comisiones y de Sesiones de Plenaria."/>
    <n v="10800000"/>
    <s v="150277-0-2015"/>
    <n v="2015"/>
    <d v="2015-06-24T00:00:00"/>
    <d v="2015-07-01T00:00:00"/>
    <d v="2016-01-01T00:00:00"/>
    <n v="0"/>
    <n v="0"/>
    <n v="0"/>
    <s v=""/>
    <s v=""/>
    <d v="2016-01-01T00:00:00"/>
    <n v="10800000"/>
    <n v="9000000"/>
    <n v="1800000"/>
    <s v="Mensuales"/>
    <x v="149"/>
    <x v="0"/>
    <n v="0.16666666666666663"/>
    <s v=""/>
    <x v="0"/>
  </r>
  <r>
    <x v="325"/>
    <x v="230"/>
    <n v="1032369925"/>
    <s v="Prestar servicios de apoyo para sistematizar y consolidar la información relacionada con las incapacidades de los funcionarios en el marco del proceso de Seguridad Social del Concejo de Bogotá, D.C."/>
    <n v="10800000"/>
    <s v="150278-0-2015"/>
    <n v="2015"/>
    <d v="2015-06-24T00:00:00"/>
    <d v="2015-07-01T00:00:00"/>
    <d v="2016-01-01T00:00:00"/>
    <n v="0"/>
    <n v="0"/>
    <n v="0"/>
    <s v=""/>
    <s v=""/>
    <d v="2016-01-01T00:00:00"/>
    <n v="10800000"/>
    <n v="10800000"/>
    <n v="0"/>
    <s v="Mensuales"/>
    <x v="3"/>
    <x v="0"/>
    <n v="0"/>
    <s v=""/>
    <x v="1"/>
  </r>
  <r>
    <x v="326"/>
    <x v="231"/>
    <n v="1019064265"/>
    <s v="Prestar servicios para apoyar actividades del proceso de relatorìa del Concejo de Bogotà D.C., para la transcripción y elaboración de Actas de sesiones de las diferentes Comisiones y de Sesiones de Plenaria."/>
    <n v="10800000"/>
    <s v="150279-0-2015"/>
    <n v="2015"/>
    <d v="2015-06-24T00:00:00"/>
    <d v="2015-07-01T00:00:00"/>
    <d v="2016-01-01T00:00:00"/>
    <n v="0"/>
    <n v="0"/>
    <n v="0"/>
    <s v=""/>
    <s v=""/>
    <d v="2016-01-01T00:00:00"/>
    <n v="10800000"/>
    <n v="10800000"/>
    <n v="0"/>
    <s v="Mensuales"/>
    <x v="3"/>
    <x v="0"/>
    <n v="0"/>
    <s v=""/>
    <x v="1"/>
  </r>
  <r>
    <x v="327"/>
    <x v="232"/>
    <n v="36547458"/>
    <s v="Prestar servicios para apoyar actividades del proceso de relatoría del Concejo de Bogotá D.C., para la transcripción y elaboración de Actas de sesiones de las diferentes Comisiones y de Sesiones de Plenaria."/>
    <n v="10800000"/>
    <s v="150280-0-2015"/>
    <n v="2015"/>
    <d v="2015-06-24T00:00:00"/>
    <d v="2015-07-01T00:00:00"/>
    <d v="2016-01-01T00:00:00"/>
    <n v="0"/>
    <n v="0"/>
    <n v="0"/>
    <s v=""/>
    <s v=""/>
    <d v="2016-01-01T00:00:00"/>
    <n v="10800000"/>
    <n v="10800000"/>
    <n v="0"/>
    <s v="Mensuales"/>
    <x v="3"/>
    <x v="0"/>
    <n v="0"/>
    <s v=""/>
    <x v="1"/>
  </r>
  <r>
    <x v="328"/>
    <x v="233"/>
    <n v="35493364"/>
    <s v="Prestar servicios profesionales para la identificación y análisis de información y elementos que permitan a la Dirección Administrativa del Concejo de Bogotá, la implementación del Plan Estratégico de Seguridad Vial."/>
    <n v="31800000"/>
    <s v="150286-0-2015"/>
    <n v="2015"/>
    <d v="2015-06-24T00:00:00"/>
    <d v="2015-07-01T00:00:00"/>
    <d v="2016-01-01T00:00:00"/>
    <n v="1"/>
    <n v="15900000"/>
    <n v="1"/>
    <s v=""/>
    <d v="2016-04-01T00:00:00"/>
    <d v="2016-04-01T00:00:00"/>
    <n v="47700000"/>
    <n v="47700000"/>
    <n v="0"/>
    <s v="Mensuales"/>
    <x v="3"/>
    <x v="0"/>
    <n v="0"/>
    <s v=""/>
    <x v="1"/>
  </r>
  <r>
    <x v="329"/>
    <x v="234"/>
    <n v="52289212"/>
    <s v="Prestar servicios para apoyar actividades del proceso de relatoría del Concejo de Bogotá D.C., para la transcripción y elaboración de Actas de sesiones de las diferentes Comisiones y de Sesiones de Plenaria."/>
    <n v="10800000"/>
    <s v="150275-0-2015"/>
    <n v="2015"/>
    <d v="2015-06-24T00:00:00"/>
    <d v="2015-07-01T00:00:00"/>
    <d v="2016-01-01T00:00:00"/>
    <n v="0"/>
    <n v="0"/>
    <n v="0"/>
    <s v=""/>
    <s v=""/>
    <d v="2016-01-01T00:00:00"/>
    <n v="10800000"/>
    <n v="10800000"/>
    <n v="0"/>
    <s v="Mensuales"/>
    <x v="3"/>
    <x v="0"/>
    <n v="0"/>
    <s v=""/>
    <x v="1"/>
  </r>
  <r>
    <x v="330"/>
    <x v="235"/>
    <n v="19465430"/>
    <s v="Prestar los servicios profesionales al Concejo de Bogotá D.C. para apoyar el área de nómina, especialmente en áreas relacionadas con la seguridad social, conforme a lo establecido en los estudios previos"/>
    <n v="31800000"/>
    <s v="150281-0-2015"/>
    <n v="2015"/>
    <d v="2015-06-24T00:00:00"/>
    <d v="2015-07-01T00:00:00"/>
    <d v="2016-01-01T00:00:00"/>
    <n v="0"/>
    <n v="0"/>
    <n v="0"/>
    <s v=""/>
    <s v=""/>
    <d v="2016-01-01T00:00:00"/>
    <n v="31800000"/>
    <n v="31800000"/>
    <n v="0"/>
    <s v="Mensuales"/>
    <x v="3"/>
    <x v="0"/>
    <n v="0"/>
    <s v=""/>
    <x v="1"/>
  </r>
  <r>
    <x v="331"/>
    <x v="236"/>
    <n v="900409217"/>
    <s v="Prestar el servicio de exámenes médicos ocupacionales y complementarios y aplicación de vacunas para los funcionarios del Concejo de Bogotá, D.C., de conformidad con el pliego de condiciones del proceso de selección abreviada de menor cuantía SDH-SAMC-02-2015, los documentos soportes y la propuesta presentada."/>
    <n v="52390000"/>
    <s v="SDH-SAMC-02-2015"/>
    <n v="2015"/>
    <d v="2015-06-26T00:00:00"/>
    <d v="2015-07-15T00:00:00"/>
    <d v="2016-04-15T00:00:00"/>
    <n v="0"/>
    <n v="0"/>
    <n v="0"/>
    <s v=""/>
    <s v=""/>
    <d v="2016-04-15T00:00:00"/>
    <n v="52390000"/>
    <n v="49166000"/>
    <n v="3224000"/>
    <s v="Mensualidades vencidas"/>
    <x v="150"/>
    <x v="0"/>
    <n v="6.1538461538461542E-2"/>
    <s v=""/>
    <x v="0"/>
  </r>
  <r>
    <x v="332"/>
    <x v="237"/>
    <n v="1030580992"/>
    <s v="Prestar servicios para apoyar actividades del proceso de relatoría del Concejo de Bogotá D.C., para la transcripción y elaboración de Actas de sesiones de las diferentes Comisiones y de Sesiones de Plenaria."/>
    <n v="10800000"/>
    <s v="150309-0-2015"/>
    <n v="2015"/>
    <d v="2015-07-08T00:00:00"/>
    <d v="2015-07-13T00:00:00"/>
    <d v="2016-01-13T00:00:00"/>
    <n v="0"/>
    <n v="0"/>
    <n v="0"/>
    <s v=""/>
    <s v=""/>
    <d v="2016-01-13T00:00:00"/>
    <n v="10800000"/>
    <n v="2880000"/>
    <n v="7920000"/>
    <s v="Mensuales"/>
    <x v="151"/>
    <x v="0"/>
    <n v="0.73333333333333339"/>
    <s v=""/>
    <x v="0"/>
  </r>
  <r>
    <x v="333"/>
    <x v="238"/>
    <n v="830048145"/>
    <s v="Prestar los servicios de mantenimiento y actualización de módulo de contabilidad programa SIIGO "/>
    <n v="450880"/>
    <s v="150312-0-2015"/>
    <n v="2015"/>
    <d v="2015-07-09T00:00:00"/>
    <d v="2015-08-03T00:00:00"/>
    <d v="2015-11-03T00:00:00"/>
    <n v="0"/>
    <n v="0"/>
    <n v="0"/>
    <s v=""/>
    <s v=""/>
    <d v="2015-11-03T00:00:00"/>
    <n v="450880"/>
    <n v="450880"/>
    <n v="0"/>
    <s v="Único pago"/>
    <x v="3"/>
    <x v="0"/>
    <n v="0"/>
    <s v=""/>
    <x v="1"/>
  </r>
  <r>
    <x v="334"/>
    <x v="239"/>
    <n v="860002184"/>
    <s v="Amparar a los CONCEJALES DE BOGOTÁ D.C., mediante el seguro de Grupo Vida, de conformidad con lo establecido en la propuesta presentada por el contratista y lo estipulado en el pliego de condiciones de la Selección Abreviada de Menor Cuantía No. SDH-SAMC-04-2015 "/>
    <n v="186482674"/>
    <s v="SDH-SAMC-04-2015"/>
    <n v="2015"/>
    <d v="2015-07-02T00:00:00"/>
    <m/>
    <m/>
    <n v="0"/>
    <n v="0"/>
    <n v="0"/>
    <s v=""/>
    <s v=""/>
    <d v="1899-12-30T00:00:00"/>
    <n v="186482674"/>
    <n v="0"/>
    <n v="186482674"/>
    <s v="Dentro de los 60 días posteriores al recibo del original de las pólizas"/>
    <x v="6"/>
    <x v="4"/>
    <e v="#DIV/0!"/>
    <e v="#DIV/0!"/>
    <x v="0"/>
  </r>
  <r>
    <x v="335"/>
    <x v="110"/>
    <n v="800039398"/>
    <s v="Contratar los servicios de mantenimiento preventivo y correctivo con repuestos y bienes fungibles para los elementos del centro de cómputo y centros de cableado del Concejo de Bogotá D.C., de conformidad con lo establecido en el Pliego de Condiciones del Proceso de Selección Abreviada -Subasta Inversa Electrónica No. SDH-SIE-08-2015 y la propuesta presentada por el contratista."/>
    <n v="85933385"/>
    <s v="SDH-SIE-08-2015"/>
    <n v="2015"/>
    <d v="2015-07-15T00:00:00"/>
    <d v="2015-07-24T00:00:00"/>
    <d v="2016-07-24T00:00:00"/>
    <n v="0"/>
    <n v="0"/>
    <n v="0"/>
    <s v=""/>
    <s v=""/>
    <d v="2016-07-24T00:00:00"/>
    <n v="85933385"/>
    <n v="36504992"/>
    <n v="49428393"/>
    <m/>
    <x v="152"/>
    <x v="0"/>
    <n v="0.57519429730366145"/>
    <s v=""/>
    <x v="0"/>
  </r>
  <r>
    <x v="336"/>
    <x v="240"/>
    <n v="800105847"/>
    <s v="Realizar el mantenimiento con suministro de repuestos y recarga de los extintores ubicados en las sedes del Concejo de Bogotá y mantenimiento de gabinetes contra incendio con suministro de repuestos para el Concejo de Bogotá D.C."/>
    <n v="3608000"/>
    <s v="SDH-SMINC-36-2015"/>
    <n v="2015"/>
    <d v="2015-07-16T00:00:00"/>
    <d v="2015-10-18T00:00:00"/>
    <d v="2016-01-18T00:00:00"/>
    <n v="0"/>
    <n v="0"/>
    <n v="0"/>
    <s v=""/>
    <s v=""/>
    <d v="2016-01-18T00:00:00"/>
    <n v="3608000"/>
    <n v="0"/>
    <n v="3608000"/>
    <s v="Pagos mensuales de acuerdo al número de servicios y elementos entregados"/>
    <x v="6"/>
    <x v="0"/>
    <n v="1"/>
    <s v=""/>
    <x v="0"/>
  </r>
  <r>
    <x v="337"/>
    <x v="241"/>
    <n v="900631629"/>
    <s v="Suscripción al servicio de información jurídica de boletines informáticos por correo electrónico, consultas en página WEB y biblioteca de la legislación y jurisprudencia colombiana actualizada para el Concejo de Bogotá D.C."/>
    <n v="715000"/>
    <s v="SDH-SMINC-42-2015"/>
    <n v="2015"/>
    <d v="2015-07-22T00:00:00"/>
    <d v="2015-08-05T00:00:00"/>
    <d v="2016-08-05T00:00:00"/>
    <n v="0"/>
    <n v="0"/>
    <n v="0"/>
    <s v=""/>
    <s v=""/>
    <d v="2016-08-05T00:00:00"/>
    <n v="715000"/>
    <n v="715000"/>
    <n v="0"/>
    <s v="Un pago único"/>
    <x v="3"/>
    <x v="0"/>
    <n v="0"/>
    <s v=""/>
    <x v="1"/>
  </r>
  <r>
    <x v="338"/>
    <x v="242"/>
    <n v="830099766"/>
    <s v="Realizar la adquisición, actualización y soporte de licenciamiento del software Aranda para el Concejo de Bogotá."/>
    <n v="80041097"/>
    <s v="150308-0-2015"/>
    <n v="2015"/>
    <d v="2015-07-08T00:00:00"/>
    <d v="2015-07-14T00:00:00"/>
    <d v="2016-07-14T00:00:00"/>
    <n v="0"/>
    <n v="0"/>
    <n v="0"/>
    <s v=""/>
    <s v=""/>
    <d v="2016-07-14T00:00:00"/>
    <n v="80041097"/>
    <n v="72440780"/>
    <n v="7600317"/>
    <s v="De acuerdo a los servicios recibidos."/>
    <x v="153"/>
    <x v="0"/>
    <n v="9.495518283563753E-2"/>
    <s v=""/>
    <x v="0"/>
  </r>
  <r>
    <x v="339"/>
    <x v="243"/>
    <s v="900392699-3"/>
    <s v="Prestar los servicios de mantenimiento preventivo, correctivo y soporte técnico especializado para sistema biométrico del Concejo de Bogotá"/>
    <n v="20136071"/>
    <s v="SDH-SMINC-044-2015"/>
    <n v="2015"/>
    <d v="2015-07-24T00:00:00"/>
    <d v="2015-08-05T00:00:00"/>
    <d v="2016-08-05T00:00:00"/>
    <n v="0"/>
    <n v="0"/>
    <n v="0"/>
    <s v=""/>
    <s v=""/>
    <d v="2016-08-05T00:00:00"/>
    <n v="20136071"/>
    <n v="10106062"/>
    <n v="10030009"/>
    <s v="De acuerdo a los servicios recibidos."/>
    <x v="154"/>
    <x v="0"/>
    <n v="0.49811152334534381"/>
    <s v=""/>
    <x v="0"/>
  </r>
  <r>
    <x v="340"/>
    <x v="244"/>
    <n v="9002141080"/>
    <s v="Realizar el mantenimiento integral locativo con el suministro de personal, equipo y repuestos, en las instalaciones físicas del Concejo de Bogotá, D.C., de conformidad con lo establecido en el pliego de condiciones del proceso de Selección Abreviada de Menor Cuantía No. SDH-SAMC-05-2015 y la propuesta presentada por el contratista"/>
    <n v="213921490"/>
    <s v="SDH-SAMC-05-2015"/>
    <n v="2015"/>
    <d v="2015-07-28T00:00:00"/>
    <d v="2015-09-03T00:00:00"/>
    <d v="2016-06-03T00:00:00"/>
    <n v="1"/>
    <n v="41500000"/>
    <n v="0"/>
    <s v=""/>
    <s v=""/>
    <d v="2016-06-03T00:00:00"/>
    <n v="255421490"/>
    <n v="166442592"/>
    <n v="88978898"/>
    <s v="Pagos mensuales"/>
    <x v="155"/>
    <x v="0"/>
    <n v="0.34836104824226022"/>
    <s v=""/>
    <x v="0"/>
  </r>
  <r>
    <x v="341"/>
    <x v="245"/>
    <n v="830083523"/>
    <s v="Adquirir el soporte y actualización de licenciamiento del software Infodoc para el Concejo de Bogotá."/>
    <n v="20880000"/>
    <s v="150329-0-2015"/>
    <n v="2015"/>
    <d v="2015-08-03T00:00:00"/>
    <d v="2015-08-10T00:00:00"/>
    <d v="2016-08-10T00:00:00"/>
    <n v="0"/>
    <n v="0"/>
    <n v="0"/>
    <s v=""/>
    <s v=""/>
    <d v="2016-08-10T00:00:00"/>
    <n v="20880000"/>
    <n v="20880000"/>
    <n v="0"/>
    <s v="Pagos parciales, 100% de cada fase"/>
    <x v="3"/>
    <x v="0"/>
    <n v="0"/>
    <s v=""/>
    <x v="1"/>
  </r>
  <r>
    <x v="342"/>
    <x v="246"/>
    <s v="900643783-2 "/>
    <s v="Adquisición de audífonos biauriculares para el Concejo de Bogotá D.C "/>
    <n v="812000"/>
    <s v="SDH-SMINC-047-2015"/>
    <n v="2015"/>
    <d v="2015-08-04T00:00:00"/>
    <d v="2015-08-19T00:00:00"/>
    <d v="2015-09-18T00:00:00"/>
    <n v="0"/>
    <n v="0"/>
    <n v="0"/>
    <s v=""/>
    <s v=""/>
    <d v="2015-09-18T00:00:00"/>
    <n v="812000"/>
    <n v="812000"/>
    <n v="0"/>
    <s v="Un único pago"/>
    <x v="3"/>
    <x v="0"/>
    <n v="0"/>
    <s v=""/>
    <x v="1"/>
  </r>
  <r>
    <x v="343"/>
    <x v="247"/>
    <n v="860007590"/>
    <s v="Suscripción al DIARIO EL ESPECTADOR, para el Concejo de Bogotá D.C. "/>
    <n v="936000"/>
    <s v="150330-0-2015"/>
    <n v="2015"/>
    <d v="2015-08-04T00:00:00"/>
    <d v="2015-09-14T00:00:00"/>
    <d v="2016-09-14T00:00:00"/>
    <n v="0"/>
    <n v="0"/>
    <n v="0"/>
    <s v=""/>
    <s v=""/>
    <d v="2016-09-14T00:00:00"/>
    <n v="936000"/>
    <n v="936000"/>
    <n v="0"/>
    <s v="Un pago único"/>
    <x v="3"/>
    <x v="9"/>
    <n v="-7.9234972677595605E-2"/>
    <n v="29"/>
    <x v="1"/>
  </r>
  <r>
    <x v="344"/>
    <x v="248"/>
    <s v="900105979-1"/>
    <s v="Adquisión de la licencia TOAD para el Concejo de Bogotá."/>
    <n v="31577404"/>
    <s v="SDH-SMINC-043-2015"/>
    <n v="2015"/>
    <d v="2015-07-23T00:00:00"/>
    <d v="2015-08-05T00:00:00"/>
    <d v="2015-10-05T00:00:00"/>
    <n v="0"/>
    <n v="0"/>
    <n v="0"/>
    <s v=""/>
    <s v=""/>
    <d v="2015-10-05T00:00:00"/>
    <n v="31577404"/>
    <n v="0"/>
    <n v="31577404"/>
    <s v="Un pago único"/>
    <x v="6"/>
    <x v="0"/>
    <n v="1"/>
    <s v=""/>
    <x v="0"/>
  </r>
  <r>
    <x v="345"/>
    <x v="249"/>
    <s v=" 900160387-5"/>
    <s v="Realizar la Interventoría técnica administrativa, ambiental, financiera, legal y contable, para el contrato de Mantenimiento Integral Locativo con el suministro de personal, equipos y repuestos, en las instalaciones físicas del Concejo de Bogotá D.C."/>
    <n v="14917500"/>
    <s v="SDH-SMINC-041-2015"/>
    <n v="2015"/>
    <d v="2015-08-12T00:00:00"/>
    <d v="2015-08-31T00:00:00"/>
    <d v="2016-06-30T00:00:00"/>
    <n v="0"/>
    <n v="0"/>
    <n v="2"/>
    <s v="2 meses"/>
    <d v="2016-08-31T00:00:00"/>
    <d v="2016-08-31T00:00:00"/>
    <n v="14917500"/>
    <n v="8950499"/>
    <n v="5967001"/>
    <s v="90% del valor del contrato en pagos mensuales, 10% posterior a la firma del acta de liquidación del contrato objeto de interventoría"/>
    <x v="156"/>
    <x v="10"/>
    <n v="0.35901646047798408"/>
    <n v="15"/>
    <x v="0"/>
  </r>
  <r>
    <x v="346"/>
    <x v="250"/>
    <n v="860536029"/>
    <s v="Suscripción al diario El Nuevo Siglo, para el Concejo de Bogotá D.C."/>
    <n v="880500"/>
    <s v="150338-0-2015"/>
    <n v="2015"/>
    <d v="2015-08-14T00:00:00"/>
    <d v="2015-09-15T00:00:00"/>
    <d v="2016-09-15T00:00:00"/>
    <n v="0"/>
    <n v="0"/>
    <n v="0"/>
    <s v=""/>
    <s v=""/>
    <d v="2016-09-15T00:00:00"/>
    <n v="880500"/>
    <n v="880500"/>
    <n v="0"/>
    <s v="Un pago único"/>
    <x v="3"/>
    <x v="11"/>
    <n v="-8.1967213114754078E-2"/>
    <n v="30"/>
    <x v="1"/>
  </r>
  <r>
    <x v="347"/>
    <x v="251"/>
    <s v="900152368 - 1"/>
    <s v="Prestar el servicio de mantenimiento preventivo y correctivo para los tanques de almacenamiento y equipos de bombeo hidráulicos de agua potable, residual y aguas negras del Concejo de Bogotá, D.C."/>
    <n v="5000000"/>
    <s v="SDH-SMINC-49-2015"/>
    <n v="2015"/>
    <d v="2015-08-20T00:00:00"/>
    <d v="2015-08-28T00:00:00"/>
    <d v="2016-06-28T00:00:00"/>
    <n v="0"/>
    <n v="0"/>
    <n v="1"/>
    <s v="2 meses"/>
    <d v="2016-08-28T00:00:00"/>
    <d v="2016-08-28T00:00:00"/>
    <n v="5000000"/>
    <n v="0"/>
    <n v="5000000"/>
    <s v="Mantenimiento preventivo pagos bimestrales, mantenimiento correctivo de acuerdo a demanda."/>
    <x v="6"/>
    <x v="12"/>
    <n v="0.96721311475409832"/>
    <n v="12"/>
    <x v="0"/>
  </r>
  <r>
    <x v="348"/>
    <x v="28"/>
    <n v="860509265"/>
    <s v="Suscripción  a LA REVISTA SEMANA, para el Concejo de Bogotá D.C."/>
    <n v="825000"/>
    <s v="150342-0-2015"/>
    <n v="2015"/>
    <d v="2015-08-21T00:00:00"/>
    <d v="2015-10-01T00:00:00"/>
    <d v="2016-10-01T00:00:00"/>
    <n v="0"/>
    <n v="0"/>
    <n v="0"/>
    <s v=""/>
    <s v=""/>
    <d v="2016-10-01T00:00:00"/>
    <n v="825000"/>
    <n v="825000"/>
    <n v="0"/>
    <s v="Un pago único"/>
    <x v="3"/>
    <x v="13"/>
    <n v="-0.12568306010928965"/>
    <n v="46"/>
    <x v="1"/>
  </r>
  <r>
    <x v="349"/>
    <x v="252"/>
    <n v="900879521"/>
    <s v="Contratar el outsourcing integral para los servicios de gestión de mesa de ayuda y gestión de impresión para el Concejo de Bogotá, de conformidad con el alcance del objeto y lo señalado en el pliego de condiciones del proceso de selección SDH-LP-02-2015, sus anexos técnicos y la propuesta"/>
    <n v="382091582"/>
    <s v="SDH-LP-02-2015"/>
    <n v="2015"/>
    <d v="2015-08-24T00:00:00"/>
    <d v="2015-09-14T00:00:00"/>
    <d v="2016-07-14T00:00:00"/>
    <n v="1"/>
    <n v="103612275"/>
    <n v="1"/>
    <s v="3 meses"/>
    <d v="2016-10-14T00:00:00"/>
    <d v="2016-10-14T00:00:00"/>
    <n v="485703857"/>
    <n v="117798750"/>
    <n v="367905107"/>
    <s v="Pagos mes vencido por servicios, pago respuestos de acuerdo a la demanda"/>
    <x v="157"/>
    <x v="14"/>
    <n v="0.60847805539778865"/>
    <n v="59"/>
    <x v="0"/>
  </r>
  <r>
    <x v="350"/>
    <x v="181"/>
    <n v="80100229"/>
    <s v="Prestar los servicios profesionales para apoyar en el desarrollo e implementación de los sistemas de información requeridos, construidos bajo la plataforma Oracle, en el Concejo de Bogotá."/>
    <n v="33000000"/>
    <s v="150346-0-2015"/>
    <n v="2015"/>
    <d v="2015-08-28T00:00:00"/>
    <d v="2015-09-02T00:00:00"/>
    <d v="2016-03-02T00:00:00"/>
    <n v="0"/>
    <n v="0"/>
    <n v="0"/>
    <s v=""/>
    <s v=""/>
    <d v="2016-03-02T00:00:00"/>
    <n v="33000000"/>
    <n v="38316666"/>
    <n v="-5316666"/>
    <s v="Mensuales"/>
    <x v="158"/>
    <x v="0"/>
    <n v="-0.16111109090909093"/>
    <s v=""/>
    <x v="1"/>
  </r>
  <r>
    <x v="351"/>
    <x v="253"/>
    <s v="900201461 - 1"/>
    <s v="Adquirir a título de compraventa elementos de protección personal para los servidores públicos del Concejo de Bogotá, D.C"/>
    <n v="19141000"/>
    <s v="SDH-SMINC-50-2015"/>
    <n v="2015"/>
    <d v="2015-09-01T00:00:00"/>
    <d v="2015-09-15T00:00:00"/>
    <d v="2016-01-15T00:00:00"/>
    <n v="0"/>
    <n v="0"/>
    <n v="0"/>
    <s v=""/>
    <s v=""/>
    <d v="2016-01-15T00:00:00"/>
    <n v="19141000"/>
    <n v="0"/>
    <n v="19141000"/>
    <s v="Un pago único con la entrega de los bienes"/>
    <x v="6"/>
    <x v="0"/>
    <n v="1"/>
    <s v=""/>
    <x v="0"/>
  </r>
  <r>
    <x v="352"/>
    <x v="96"/>
    <n v="800026212"/>
    <s v="Adquirir el software Equitrac, para el Concejo de Bogotá."/>
    <n v="72727824"/>
    <s v="150340-0-2015"/>
    <n v="2015"/>
    <d v="2015-08-20T00:00:00"/>
    <d v="2015-08-28T00:00:00"/>
    <d v="2015-10-28T00:00:00"/>
    <n v="0"/>
    <n v="0"/>
    <n v="0"/>
    <s v=""/>
    <s v=""/>
    <d v="2015-10-28T00:00:00"/>
    <n v="72727824"/>
    <n v="0"/>
    <n v="72727824"/>
    <s v="Un único pago"/>
    <x v="6"/>
    <x v="0"/>
    <n v="1"/>
    <s v=""/>
    <x v="0"/>
  </r>
  <r>
    <x v="353"/>
    <x v="254"/>
    <n v="9008873661"/>
    <s v="Prestar los servicios de mantenimiento preventivo, correctivo y soporte técnico especializado para los servidores y sus dispositivos del Concejo de Bogotá, D.C., de conformidad con lo establecido en el pliego de condiciones del proceso de Selección Abreviada por Subasta Inversa Electrónica No. SDH-SIE-10-2015 y la propuesta presentada por el contratista."/>
    <n v="154954934"/>
    <s v="SDH-SIE-10-2015"/>
    <n v="2015"/>
    <d v="2015-09-11T00:00:00"/>
    <d v="2015-10-16T00:00:00"/>
    <d v="2016-10-16T00:00:00"/>
    <n v="0"/>
    <n v="0"/>
    <n v="0"/>
    <s v=""/>
    <s v=""/>
    <d v="2016-10-16T00:00:00"/>
    <n v="154954934"/>
    <n v="103303288"/>
    <n v="51651646"/>
    <s v="Seis pagos iguales bimestre vencido"/>
    <x v="159"/>
    <x v="15"/>
    <n v="0.16666667527131906"/>
    <n v="61"/>
    <x v="0"/>
  </r>
  <r>
    <x v="354"/>
    <x v="255"/>
    <s v="900069688-9"/>
    <s v="Prestar el servicio de mantenimiento periódico preventivo del parque automotor al servicio del Concejo de Bogotá D.C., de conformidad con lo establecido en la presente invitación pública."/>
    <n v="28805000"/>
    <s v="SDH-SMINC-053-2015"/>
    <n v="2015"/>
    <d v="2015-09-21T00:00:00"/>
    <d v="2015-10-19T00:00:00"/>
    <d v="2016-10-19T00:00:00"/>
    <n v="0"/>
    <n v="0"/>
    <n v="0"/>
    <s v=""/>
    <s v=""/>
    <d v="2016-10-19T00:00:00"/>
    <n v="28805000"/>
    <n v="6305752"/>
    <n v="22499248"/>
    <s v="Pagos mensuales de acuerdo a los servicios e insumos efectivamente prestados"/>
    <x v="160"/>
    <x v="16"/>
    <n v="0.60622489530600998"/>
    <n v="64"/>
    <x v="0"/>
  </r>
  <r>
    <x v="355"/>
    <x v="256"/>
    <s v="890900267-0"/>
    <s v="Adquisición de elementos e insumos necesarios para atender los primeros auxilios y dotar los botiquines del Concejo de Bogotá D.C."/>
    <n v="6000000"/>
    <s v="SDH-SMINC-052-2015"/>
    <n v="2015"/>
    <d v="2015-09-14T00:00:00"/>
    <d v="2015-10-14T00:00:00"/>
    <d v="2015-12-14T00:00:00"/>
    <n v="0"/>
    <n v="0"/>
    <n v="0"/>
    <s v=""/>
    <s v=""/>
    <d v="2015-12-14T00:00:00"/>
    <n v="6000000"/>
    <n v="5999890"/>
    <n v="110"/>
    <s v="Un único pago con la entrega de los bines objeto del contrato."/>
    <x v="161"/>
    <x v="0"/>
    <n v="1.8333333333342416E-5"/>
    <s v=""/>
    <x v="1"/>
  </r>
  <r>
    <x v="356"/>
    <x v="257"/>
    <n v="860009759"/>
    <s v="Suscripción al diario La República para el Concejo de Bogotá D.C."/>
    <n v="764100"/>
    <s v="150363-0-2015"/>
    <n v="2015"/>
    <d v="2015-09-25T00:00:00"/>
    <d v="2015-11-28T00:00:00"/>
    <d v="2016-11-28T00:00:00"/>
    <n v="0"/>
    <n v="0"/>
    <n v="0"/>
    <s v=""/>
    <s v=""/>
    <d v="2016-11-28T00:00:00"/>
    <n v="764100"/>
    <n v="764100"/>
    <n v="0"/>
    <s v="Un único pago"/>
    <x v="3"/>
    <x v="17"/>
    <n v="-0.28415300546448086"/>
    <n v="104"/>
    <x v="1"/>
  </r>
  <r>
    <x v="357"/>
    <x v="258"/>
    <n v="17024109"/>
    <s v="PRESTAR LOS SERVICIOS PARA LA ELABORACIÓN DEL RETRATO SOBRE LIENZO AL ÓLEO DEL PRESIDENTE DE LA MESA DIRECTIVA DEL CONCEJO DE BOGOTÁ."/>
    <n v="6660000"/>
    <s v="150369-0-2015"/>
    <n v="2015"/>
    <d v="2015-10-07T00:00:00"/>
    <d v="2015-10-26T00:00:00"/>
    <d v="2015-12-26T00:00:00"/>
    <n v="0"/>
    <n v="0"/>
    <n v="0"/>
    <s v=""/>
    <s v=""/>
    <d v="2015-12-26T00:00:00"/>
    <n v="6660000"/>
    <n v="6600000"/>
    <n v="60000"/>
    <s v="Un único pago"/>
    <x v="162"/>
    <x v="0"/>
    <n v="9.009009009009028E-3"/>
    <s v=""/>
    <x v="0"/>
  </r>
  <r>
    <x v="358"/>
    <x v="259"/>
    <n v="830143378"/>
    <s v="Ejecutar actividades del Plan Institucional de Capacitación del Concejo de Bogotá, D.C., - Grupo 3, según el pliego de condiciones del proceso SDH-LP-04-2015"/>
    <n v="436914000"/>
    <s v="SDH-LP-04-2015"/>
    <n v="2015"/>
    <d v="2015-10-16T00:00:00"/>
    <d v="2015-12-24T00:00:00"/>
    <d v="2016-08-23T00:00:00"/>
    <n v="0"/>
    <n v="0"/>
    <n v="0"/>
    <s v=""/>
    <s v=""/>
    <d v="2016-08-23T00:00:00"/>
    <n v="436914000"/>
    <n v="215400400"/>
    <n v="221513600"/>
    <s v="Mensuales de acuerdo a la ejecución de cada periodo"/>
    <x v="163"/>
    <x v="18"/>
    <n v="0.47818930041152263"/>
    <n v="7"/>
    <x v="0"/>
  </r>
  <r>
    <x v="359"/>
    <x v="224"/>
    <n v="8600669427"/>
    <s v="Prestar los servicios para desarrollar actividades contenidas en los Planes de Bienestar e Incentivos y Mejoramiento del Clima Laboral para el Concejo de Bogotá, D.C., de conformidad con lo establecido en el pliego de condiciones de la Licitación Pública No. SDH-LP-03-2015 y la propuesta presentada por el contratista."/>
    <n v="550762000"/>
    <s v="SDH-LP-03-2015"/>
    <n v="2015"/>
    <d v="2015-10-20T00:00:00"/>
    <d v="2015-10-28T00:00:00"/>
    <d v="2016-07-28T00:00:00"/>
    <n v="1"/>
    <n v="170000000"/>
    <n v="1"/>
    <s v="1 mes y 3 días"/>
    <d v="2016-08-31T00:00:00"/>
    <d v="2016-08-31T00:00:00"/>
    <n v="720762000"/>
    <n v="504091000"/>
    <n v="216671000"/>
    <s v="Mensuales de acuerdo a las actividades efectivamente prestadas"/>
    <x v="164"/>
    <x v="19"/>
    <n v="0.25191249614360156"/>
    <n v="15"/>
    <x v="0"/>
  </r>
  <r>
    <x v="360"/>
    <x v="175"/>
    <s v="830120684-3"/>
    <s v="Prestar el servicio de empaste y encuadernación de documentos del Concejo de Bogotá D.C."/>
    <n v="2742000"/>
    <s v="SDH-SMINC-60-2015"/>
    <n v="2015"/>
    <d v="2015-10-28T00:00:00"/>
    <d v="2015-11-13T00:00:00"/>
    <d v="2016-06-13T00:00:00"/>
    <n v="0"/>
    <n v="0"/>
    <n v="0"/>
    <s v=""/>
    <s v=""/>
    <d v="2016-06-13T00:00:00"/>
    <n v="2742000"/>
    <n v="1625160"/>
    <n v="1116840"/>
    <s v="Mensuales de acuerdo al valor facturado correspondiente al servicio facturado"/>
    <x v="165"/>
    <x v="0"/>
    <n v="0.40730853391684907"/>
    <s v=""/>
    <x v="0"/>
  </r>
  <r>
    <x v="361"/>
    <x v="260"/>
    <n v="900254691"/>
    <s v="Contratar la adquisición de equipos de red switches para el Concejo de Bogotá, de conformidad con el alcance del objeto y lo señalado en el pliego de condiciones del proceso SDH-SIE-14-2015, en la Ficha Técnica y en la propuesta."/>
    <n v="1512217703"/>
    <s v="SDH-SIE-14-2015"/>
    <n v="2015"/>
    <d v="2015-11-03T00:00:00"/>
    <d v="2015-11-25T00:00:00"/>
    <d v="2016-05-25T00:00:00"/>
    <n v="0"/>
    <n v="0"/>
    <n v="0"/>
    <s v=""/>
    <s v=""/>
    <d v="2016-05-25T00:00:00"/>
    <n v="1512217703"/>
    <n v="1512217703"/>
    <n v="0"/>
    <s v="Un anticipo del 30%, un segundo pago por el 40% y un tercer pago del 30%."/>
    <x v="3"/>
    <x v="0"/>
    <n v="0"/>
    <s v=""/>
    <x v="1"/>
  </r>
  <r>
    <x v="362"/>
    <x v="261"/>
    <n v="890900608"/>
    <s v="Adquisición de bonos navideños para los hijos de los funcionarios del Concejo de Bogotá, de conformidad con lo establecido en el pliego de condiciones del proceso de selección abreviada de menor cuantía SDH-SAMC-06-2015 y la propuesta presentada por el contratista."/>
    <n v="37372300"/>
    <s v="SDH-SAMC-06-2015"/>
    <n v="2015"/>
    <d v="2015-11-06T00:00:00"/>
    <d v="2015-11-23T00:00:00"/>
    <d v="2016-01-23T00:00:00"/>
    <n v="0"/>
    <n v="0"/>
    <s v="l"/>
    <s v="5 meses"/>
    <d v="2016-06-23T00:00:00"/>
    <d v="2016-06-23T00:00:00"/>
    <n v="37372300"/>
    <n v="29382355"/>
    <n v="7989945"/>
    <s v="Si el bono es en documento físico, se cancelarán previa entrega de los mismos por parte del contratista; si el bono es sistematizado, se cancelarán mensualmente los bonos redimidos durante la ejecución del contrato."/>
    <x v="166"/>
    <x v="0"/>
    <n v="0.21379323723720511"/>
    <s v=""/>
    <x v="0"/>
  </r>
  <r>
    <x v="363"/>
    <x v="262"/>
    <n v="900908963"/>
    <s v="Prestar los servicios de administración y soporte técnico para la plataforma Oracle del Concejo de Bogotá, de conformidad con lo establecido en el Pliego de condiciones."/>
    <n v="96032643"/>
    <s v="SDH-SAMC-08-2015"/>
    <n v="2015"/>
    <d v="2015-11-17T00:00:00"/>
    <d v="2015-12-07T00:00:00"/>
    <d v="2016-09-07T00:00:00"/>
    <n v="0"/>
    <n v="0"/>
    <n v="0"/>
    <s v=""/>
    <s v=""/>
    <d v="2016-09-07T00:00:00"/>
    <n v="96032643"/>
    <n v="53355738"/>
    <n v="42676905"/>
    <s v="Mensualidades vencidas por el servicio efectivamente prestado"/>
    <x v="167"/>
    <x v="20"/>
    <n v="0.36439998386798544"/>
    <n v="22"/>
    <x v="0"/>
  </r>
  <r>
    <x v="364"/>
    <x v="263"/>
    <s v="900699012 - 3"/>
    <s v="Prestar el servicio de alquiler, instalación y desmonte de iluminación y decoración navideña en la sede principal del Concejo de Bogotá D.C."/>
    <n v="17340258"/>
    <s v="SDH-SMINC-063-2015"/>
    <n v="2015"/>
    <d v="2015-11-24T00:00:00"/>
    <d v="2015-11-30T00:00:00"/>
    <d v="2016-01-30T00:00:00"/>
    <n v="0"/>
    <n v="0"/>
    <n v="0"/>
    <s v=""/>
    <s v=""/>
    <d v="2016-01-30T00:00:00"/>
    <n v="17340258"/>
    <n v="17340258"/>
    <n v="0"/>
    <s v="Un pago del 80% por la puesta en funcionamiento de la iluminación navideña, un segundo pago por el 20% del saldo al demonte de la iluminación."/>
    <x v="3"/>
    <x v="0"/>
    <n v="0"/>
    <s v=""/>
    <x v="1"/>
  </r>
  <r>
    <x v="365"/>
    <x v="264"/>
    <n v="72007383"/>
    <s v="Prestar los servicios profesionales al Concejo de Bogotá en la revisión al sistema Perno y desarrollo de software para las liquidaciones de los funcionarios realizada por el área de nómina, de conformidad con lo señalado en los estudios previos"/>
    <n v="27500000"/>
    <s v="150398-0-2015"/>
    <n v="2015"/>
    <d v="2015-12-04T00:00:00"/>
    <d v="2015-12-11T00:00:00"/>
    <d v="2016-05-11T00:00:00"/>
    <n v="0"/>
    <n v="0"/>
    <n v="0"/>
    <s v=""/>
    <s v=""/>
    <d v="2016-05-11T00:00:00"/>
    <n v="27500000"/>
    <n v="25850000"/>
    <n v="1650000"/>
    <s v="Pagos mensuales"/>
    <x v="168"/>
    <x v="0"/>
    <n v="6.0000000000000053E-2"/>
    <s v=""/>
    <x v="0"/>
  </r>
  <r>
    <x v="366"/>
    <x v="265"/>
    <n v="79634149"/>
    <s v="Adquisición de licencias Oracle, infraestructura, y servicios de instalación, configuración, migración de datos y movimiento de aplicaciones para el Concejo de Bogotá, D.C."/>
    <n v="910786703.20000005"/>
    <s v="CCE-211-AG-2015"/>
    <n v="2015"/>
    <d v="2015-12-03T00:00:00"/>
    <d v="2015-12-03T00:00:00"/>
    <d v="2016-06-03T00:00:00"/>
    <n v="0"/>
    <n v="0"/>
    <n v="0"/>
    <s v=""/>
    <s v=""/>
    <d v="2016-06-03T00:00:00"/>
    <n v="910786703.20000005"/>
    <n v="910786703"/>
    <n v="0.20000004768371582"/>
    <s v="Mecanismo agregación"/>
    <x v="169"/>
    <x v="0"/>
    <n v="2.195904569290974E-10"/>
    <s v=""/>
    <x v="1"/>
  </r>
  <r>
    <x v="367"/>
    <x v="266"/>
    <s v="830080146-1"/>
    <s v="Adquisición de vallas y conos de seguridad para el Concejo de Bogotá D.C."/>
    <n v="8404000"/>
    <s v="SDH-SMINC-064-2015"/>
    <n v="2015"/>
    <d v="2015-12-14T00:00:00"/>
    <d v="2016-01-14T00:00:00"/>
    <d v="2016-03-14T00:00:00"/>
    <n v="0"/>
    <n v="0"/>
    <n v="0"/>
    <s v=""/>
    <s v=""/>
    <d v="2016-03-14T00:00:00"/>
    <n v="8404000"/>
    <n v="8404200"/>
    <n v="-200"/>
    <s v="Único pago previa entrega de los bienes objeto del contrato."/>
    <x v="170"/>
    <x v="0"/>
    <n v="-2.3798191337354169E-5"/>
    <s v=""/>
    <x v="1"/>
  </r>
  <r>
    <x v="368"/>
    <x v="267"/>
    <s v="830075011 - 4"/>
    <s v="Prestar el servicio de diseño, producción y ejecución de estrategias de divulgación en medios de comunicación de carácter masivo, alternativo y comunitario para el Concejo de Bogotá, de conformidad con lo establecido en el pliego de condiciones del proceso SDH-SIE-17-2015"/>
    <n v="345000000"/>
    <s v="SDH-SIE-17-2015"/>
    <n v="2015"/>
    <d v="2015-12-11T00:00:00"/>
    <d v="2016-01-14T00:00:00"/>
    <d v="2016-09-14T00:00:00"/>
    <n v="0"/>
    <n v="0"/>
    <n v="0"/>
    <s v=""/>
    <s v=""/>
    <d v="2016-09-14T00:00:00"/>
    <n v="345000000"/>
    <n v="100379035"/>
    <n v="244620965"/>
    <s v="Mensualidades vencidas de acuerdo a los servicios prestados"/>
    <x v="171"/>
    <x v="21"/>
    <n v="0.59019381634592549"/>
    <n v="29"/>
    <x v="0"/>
  </r>
  <r>
    <x v="369"/>
    <x v="265"/>
    <n v="79634149"/>
    <s v="Adquisición de licencias Oracle, infraestructura, y servicios de instalación, configuración, migración de datos y movimiento de aplicaciones para el Concejo de Bogotá, D.C."/>
    <n v="295840339"/>
    <s v="CCE-211-AG-2015"/>
    <n v="2015"/>
    <d v="2015-12-11T00:00:00"/>
    <d v="2015-12-11T00:00:00"/>
    <d v="2016-06-11T00:00:00"/>
    <n v="0"/>
    <n v="0"/>
    <n v="0"/>
    <s v=""/>
    <s v=""/>
    <d v="2016-06-11T00:00:00"/>
    <n v="295840339"/>
    <n v="0"/>
    <n v="295840339"/>
    <s v="Mecanismo agregación"/>
    <x v="6"/>
    <x v="0"/>
    <n v="1"/>
    <s v=""/>
    <x v="0"/>
  </r>
  <r>
    <x v="370"/>
    <x v="265"/>
    <n v="79634149"/>
    <s v="Adquisición de licencias Oracle, infraestructura, y servicios de instalación, configuración, migración de datos y movimiento de aplicaciones para el Concejo de Bogotá, D.C."/>
    <n v="188315358.83000001"/>
    <s v="CCE-211-AG-2015"/>
    <n v="2015"/>
    <d v="2015-12-11T00:00:00"/>
    <d v="2015-12-11T00:00:00"/>
    <d v="2016-06-11T00:00:00"/>
    <n v="0"/>
    <n v="0"/>
    <n v="0"/>
    <s v=""/>
    <s v=""/>
    <d v="2016-06-11T00:00:00"/>
    <n v="188315358.83000001"/>
    <n v="188315359"/>
    <n v="-0.16999998688697815"/>
    <s v="Mecanismo agregación"/>
    <x v="172"/>
    <x v="0"/>
    <n v="-9.0274099306952849E-10"/>
    <s v=""/>
    <x v="1"/>
  </r>
  <r>
    <x v="371"/>
    <x v="268"/>
    <n v="830025104"/>
    <s v="Prestar los servicios de valoración y mantenimiento preventivo de la plataforma del sistema de voto electrónico del Concejo de Bogotá D.C."/>
    <n v="64250000"/>
    <s v="SDH-SMINC-067-2015"/>
    <n v="2015"/>
    <d v="2015-12-21T00:00:00"/>
    <d v="2016-01-15T00:00:00"/>
    <d v="2016-05-15T00:00:00"/>
    <n v="0"/>
    <n v="0"/>
    <n v="1"/>
    <s v="1 mes"/>
    <d v="2016-06-15T00:00:00"/>
    <d v="2016-06-15T00:00:00"/>
    <n v="64250000"/>
    <n v="0"/>
    <n v="64250000"/>
    <s v="Un pago del 100% por la etapa de valoración y mantenimiento preventivo; pagos por demanda de los repuestos, partes, accesorios, elementos, equipos y/o software."/>
    <x v="6"/>
    <x v="0"/>
    <n v="1"/>
    <s v=""/>
    <x v="0"/>
  </r>
  <r>
    <x v="372"/>
    <x v="269"/>
    <s v="900891247-9"/>
    <s v="Adquisición de un software Antivirus para garantizar la seguridad en estaciones de trabajo, servidores físicos y virtuales y correo electrónico del Concejo de Bogotá, de conformidad con lo establecido en la presente invitación pública."/>
    <n v="64000000"/>
    <s v="SDH-SMINC-69-2015"/>
    <n v="2015"/>
    <d v="2015-12-24T00:00:00"/>
    <d v="2016-01-15T00:00:00"/>
    <d v="2017-01-15T00:00:00"/>
    <n v="0"/>
    <n v="0"/>
    <n v="0"/>
    <s v=""/>
    <s v=""/>
    <d v="2017-01-15T00:00:00"/>
    <n v="64000000"/>
    <n v="51200000"/>
    <n v="12800000"/>
    <s v="Pago del 70% contraentrega documento de las licencias y funcionamiento del software, un pago del 10% recibido a satisfacción del mantenimiento preventivo, 10% segundo mantenimiento preventivo, un 10% por el servicio de capacitación y documentación técnica."/>
    <x v="173"/>
    <x v="22"/>
    <n v="-0.21530054644808749"/>
    <n v="152"/>
    <x v="0"/>
  </r>
  <r>
    <x v="373"/>
    <x v="82"/>
    <n v="860001022"/>
    <s v="Suscripción a los diarios el TIEMPO Y PORTAFOLIO  para el concejo de Bogotá D.C."/>
    <n v="1226994"/>
    <s v="160022-0-2016"/>
    <n v="2016"/>
    <d v="2016-02-29T00:00:00"/>
    <d v="2016-03-22T00:00:00"/>
    <d v="2017-03-22T00:00:00"/>
    <n v="0"/>
    <n v="0"/>
    <n v="0"/>
    <s v=""/>
    <s v=""/>
    <d v="2017-03-22T00:00:00"/>
    <n v="1226994"/>
    <n v="1226994"/>
    <n v="0"/>
    <s v="Único"/>
    <x v="3"/>
    <x v="23"/>
    <n v="-0.59726027397260273"/>
    <n v="218"/>
    <x v="1"/>
  </r>
  <r>
    <x v="374"/>
    <x v="270"/>
    <n v="900459737"/>
    <s v="Suministro de combustible para el Concejo de Bogota D.C."/>
    <n v="287600000"/>
    <m/>
    <n v="2016"/>
    <m/>
    <d v="2016-01-06T00:00:00"/>
    <d v="2016-07-07T00:00:00"/>
    <n v="0"/>
    <n v="0"/>
    <n v="1"/>
    <s v="3 meses"/>
    <d v="2016-10-07T00:00:00"/>
    <d v="2016-10-07T00:00:00"/>
    <n v="287600000"/>
    <n v="151045480"/>
    <n v="136554520"/>
    <m/>
    <x v="174"/>
    <x v="24"/>
    <n v="0.28571618409407007"/>
    <n v="52"/>
    <x v="0"/>
  </r>
  <r>
    <x v="375"/>
    <x v="271"/>
    <m/>
    <s v="Prestar los servicios para adelantar los procesos de selección, basados en el merito, mediante procedimiento  y medios tecnicos, objetivos e imparciales, que permitan la participacion en igualda de condiciones de los y las concursantes, que se presenten como aspirantes para proveer los cargos del contralor y personero Distritales de Bogota D. C., conforme a la reglamentacion establecida por el Concejo de Bogota."/>
    <n v="601948308"/>
    <m/>
    <n v="2016"/>
    <d v="2016-03-18T00:00:00"/>
    <d v="2016-03-18T00:00:00"/>
    <d v="2016-06-18T00:00:00"/>
    <n v="0"/>
    <n v="0"/>
    <n v="0"/>
    <s v=""/>
    <s v=""/>
    <d v="2016-06-18T00:00:00"/>
    <n v="601948308"/>
    <n v="601948308"/>
    <n v="0"/>
    <m/>
    <x v="3"/>
    <x v="0"/>
    <n v="0"/>
    <s v=""/>
    <x v="1"/>
  </r>
  <r>
    <x v="376"/>
    <x v="89"/>
    <n v="900333228"/>
    <s v="Prestar los servicios de mantenimiento correctivo y preventivo para las maquinas: impresoras litográfica Multilith, compaginadora, guillotina y cizalla manual ubicadas en la oficina de anales y publicaciones del Concejo de Bogotá D.C."/>
    <n v="4640000"/>
    <s v="SDH-SMINC-02-2016"/>
    <n v="2016"/>
    <d v="2016-03-30T00:00:00"/>
    <d v="2016-04-13T00:00:00"/>
    <d v="2017-03-13T00:00:00"/>
    <n v="0"/>
    <n v="0"/>
    <n v="0"/>
    <s v=""/>
    <s v=""/>
    <d v="2017-03-13T00:00:00"/>
    <n v="4640000"/>
    <n v="696000"/>
    <n v="3944000"/>
    <m/>
    <x v="175"/>
    <x v="25"/>
    <n v="0.22425149700598804"/>
    <n v="209"/>
    <x v="0"/>
  </r>
  <r>
    <x v="377"/>
    <x v="272"/>
    <n v="800249557"/>
    <s v="Adquirir a título de compra ejemplares del Directorio de Despachos Públicos de Colombia 2016, para el Concejo de Bogotá D.C."/>
    <n v="4200000"/>
    <s v="160041-0-2016"/>
    <n v="2016"/>
    <d v="2016-03-15T00:00:00"/>
    <d v="2016-04-07T00:00:00"/>
    <d v="2016-09-07T00:00:00"/>
    <n v="0"/>
    <n v="0"/>
    <n v="0"/>
    <s v=""/>
    <s v=""/>
    <d v="2016-09-07T00:00:00"/>
    <n v="4200000"/>
    <n v="0"/>
    <n v="4200000"/>
    <s v="Único"/>
    <x v="6"/>
    <x v="26"/>
    <n v="0.85620915032679734"/>
    <n v="22"/>
    <x v="0"/>
  </r>
  <r>
    <x v="378"/>
    <x v="273"/>
    <n v="900583252"/>
    <s v="Prestar servicios profesionales para apoyar juridicamente a la Mesa Directiva del Concejo de Bogota en la conceptualizacion de los asuntos que por su complejidad se requieran para el desarrollo de las funciones legales y reglamentarias de la Corporacion."/>
    <n v="92800000"/>
    <s v="160045-0-2016"/>
    <n v="2016"/>
    <d v="2016-03-16T00:00:00"/>
    <d v="2016-04-01T00:00:00"/>
    <d v="2017-02-01T00:00:00"/>
    <n v="0"/>
    <n v="0"/>
    <n v="0"/>
    <s v=""/>
    <s v=""/>
    <d v="2017-02-01T00:00:00"/>
    <n v="92800000"/>
    <n v="27840000"/>
    <n v="64960000"/>
    <s v="Mensual"/>
    <x v="107"/>
    <x v="27"/>
    <n v="0.14771241830065363"/>
    <n v="169"/>
    <x v="0"/>
  </r>
  <r>
    <x v="379"/>
    <x v="85"/>
    <n v="51931422"/>
    <s v="Prestar los servicios profesionales para apoyar la definicion, contratacion y seguimiento de los temas de infraestructura fisica que  requiera el Concejo de Bogota D.C."/>
    <n v="61800000"/>
    <s v="160047-0-2016"/>
    <n v="2016"/>
    <d v="2016-03-17T00:00:00"/>
    <d v="2016-03-22T00:00:00"/>
    <d v="2017-03-22T00:00:00"/>
    <n v="0"/>
    <n v="0"/>
    <n v="0"/>
    <s v=""/>
    <s v=""/>
    <d v="2017-03-22T00:00:00"/>
    <n v="61800000"/>
    <n v="22145000"/>
    <n v="39655000"/>
    <s v="Mensual"/>
    <x v="176"/>
    <x v="23"/>
    <n v="4.4406392694063934E-2"/>
    <n v="218"/>
    <x v="0"/>
  </r>
  <r>
    <x v="380"/>
    <x v="181"/>
    <n v="80100229"/>
    <s v="Prestar servicios profesionales para apoyar en el desarrollo e implementacion de los sistemas de informacion requeridos construidos bajo la plataforma Oracle en el Concejo de Bogota D.C."/>
    <n v="56650000"/>
    <s v="160066-0-2016"/>
    <n v="2016"/>
    <d v="2016-04-06T00:00:00"/>
    <d v="2016-04-06T00:00:00"/>
    <d v="2017-02-06T00:00:00"/>
    <n v="0"/>
    <n v="0"/>
    <n v="0"/>
    <s v=""/>
    <s v=""/>
    <d v="2017-02-06T00:00:00"/>
    <n v="56650000"/>
    <n v="0"/>
    <n v="56650000"/>
    <s v="Mensuales"/>
    <x v="6"/>
    <x v="28"/>
    <n v="0.43137254901960786"/>
    <n v="174"/>
    <x v="0"/>
  </r>
  <r>
    <x v="381"/>
    <x v="274"/>
    <n v="35457601"/>
    <s v="Prestar servicios profesionales para acompañar la Oficina de Comunicaciones del Concejo de Bogotá en la implementación de estrategias comunicativas."/>
    <n v="23872500"/>
    <s v="160072-0-2016"/>
    <n v="2016"/>
    <d v="2016-04-13T00:00:00"/>
    <d v="2016-04-19T00:00:00"/>
    <d v="2017-01-19T00:00:00"/>
    <n v="0"/>
    <n v="0"/>
    <n v="0"/>
    <s v=""/>
    <s v=""/>
    <d v="2017-01-19T00:00:00"/>
    <n v="23872500"/>
    <n v="6366000"/>
    <n v="17506500"/>
    <s v="Mensual"/>
    <x v="151"/>
    <x v="29"/>
    <n v="0.16606060606060608"/>
    <n v="156"/>
    <x v="0"/>
  </r>
  <r>
    <x v="382"/>
    <x v="99"/>
    <n v="4098836"/>
    <s v="Prestar los servicios profesionales para acompañar al Concejo de Bogotá, en la revisión y estudios de las historias laborales de los funcionarios para la definición técnica y jurídica del cumplimiento de requisitos en los diferentes regimenes de pensión."/>
    <n v="35595000"/>
    <s v="160076-0-2016"/>
    <n v="2016"/>
    <d v="2016-04-19T00:00:00"/>
    <d v="2016-04-25T00:00:00"/>
    <d v="2017-01-25T00:00:00"/>
    <n v="0"/>
    <n v="0"/>
    <n v="0"/>
    <s v=""/>
    <s v=""/>
    <d v="2017-01-25T00:00:00"/>
    <n v="35595000"/>
    <n v="12656000"/>
    <n v="22939000"/>
    <s v="Mensual"/>
    <x v="177"/>
    <x v="30"/>
    <n v="5.5353535353535321E-2"/>
    <n v="162"/>
    <x v="0"/>
  </r>
  <r>
    <x v="383"/>
    <x v="122"/>
    <s v="899.999.115-8"/>
    <s v="Prestar los servicios de conectividad de canales de comunicación dedicados e Internet y servicios complementarios para el Concejo de Bogotá de confirmidad con lo establecido en los Estudios Previos y en el anexo técnico"/>
    <n v="154000000"/>
    <s v="160053-0-2016"/>
    <n v="2016"/>
    <d v="2016-03-23T00:00:00"/>
    <d v="2016-04-06T00:00:00"/>
    <d v="2017-01-06T00:00:00"/>
    <n v="0"/>
    <n v="0"/>
    <n v="0"/>
    <s v=""/>
    <s v=""/>
    <d v="2017-01-06T00:00:00"/>
    <n v="154000000"/>
    <n v="0"/>
    <n v="154000000"/>
    <s v="Mensual"/>
    <x v="6"/>
    <x v="31"/>
    <n v="0.48"/>
    <n v="143"/>
    <x v="0"/>
  </r>
  <r>
    <x v="384"/>
    <x v="275"/>
    <n v="900475780"/>
    <s v="Aunar esfuerzos humanos, técnicos, logísticos y administrativos para garantizar el esquema de seguridad requerido por los Concejales del Distrito Capital, que se encuentran en situación de riesgo extraordinario o extremo, como consecuencia directa del ejercicio de sus funciones."/>
    <n v="3454655000"/>
    <s v="160069-0-2016"/>
    <n v="2016"/>
    <d v="2016-04-08T00:00:00"/>
    <d v="2016-04-08T00:00:00"/>
    <d v="2016-12-31T00:00:00"/>
    <n v="0"/>
    <n v="0"/>
    <n v="0"/>
    <s v=""/>
    <s v=""/>
    <d v="2016-12-31T00:00:00"/>
    <n v="3454655000"/>
    <n v="1036396500"/>
    <n v="2418258500"/>
    <s v="Porcentaje de avance"/>
    <x v="107"/>
    <x v="32"/>
    <n v="0.1868913857677903"/>
    <n v="137"/>
    <x v="0"/>
  </r>
  <r>
    <x v="385"/>
    <x v="228"/>
    <n v="79246871"/>
    <s v="Prestar servicios profesionales como abogado para apoyar la Dirección Jurídica del Concejo de Bogotá, en la asesoría y respuesta a derechos de petición, solicitudes, denuncias, quejas, consultas y reclamos que reciba la corporación. "/>
    <n v="29664000"/>
    <s v="150092-0-2015"/>
    <n v="2016"/>
    <d v="2016-05-03T00:00:00"/>
    <d v="2016-05-04T00:00:00"/>
    <d v="2017-01-04T00:00:00"/>
    <n v="0"/>
    <n v="0"/>
    <n v="0"/>
    <s v=""/>
    <s v=""/>
    <d v="2017-01-04T00:00:00"/>
    <n v="29664000"/>
    <n v="10753200"/>
    <n v="18910800"/>
    <s v="Mensuales"/>
    <x v="178"/>
    <x v="33"/>
    <n v="6.1989795918367341E-2"/>
    <n v="141"/>
    <x v="0"/>
  </r>
  <r>
    <x v="386"/>
    <x v="91"/>
    <n v="830005370"/>
    <s v="Prestar los servicios de producción y transmisión de programas de televisón para el Concejo de Bogotá."/>
    <n v="1148500000"/>
    <s v="160082-0-2016"/>
    <n v="2016"/>
    <d v="2016-04-20T00:00:00"/>
    <d v="2016-04-21T00:00:00"/>
    <d v="2017-02-21T00:00:00"/>
    <n v="0"/>
    <n v="0"/>
    <n v="0"/>
    <s v=""/>
    <s v=""/>
    <d v="2017-02-21T00:00:00"/>
    <n v="1148500000"/>
    <n v="0"/>
    <n v="1148500000"/>
    <s v="Mensualidades vencidas de acuerdo a la emisión de programas"/>
    <x v="6"/>
    <x v="34"/>
    <n v="0.38235294117647056"/>
    <n v="189"/>
    <x v="0"/>
  </r>
  <r>
    <x v="387"/>
    <x v="41"/>
    <n v="830067096"/>
    <s v="Suscripción a la revista EL CONGRESO Siglo XXI, con destino al Concejo de Bogotá D.C. "/>
    <n v="8010000"/>
    <s v="160048-0-2016"/>
    <n v="2016"/>
    <d v="2016-05-18T00:00:00"/>
    <d v="2016-05-23T00:00:00"/>
    <d v="2017-05-23T00:00:00"/>
    <n v="0"/>
    <n v="0"/>
    <n v="0"/>
    <s v=""/>
    <s v=""/>
    <d v="2017-05-23T00:00:00"/>
    <n v="8010000"/>
    <n v="8010000"/>
    <n v="0"/>
    <s v="Único pago"/>
    <x v="3"/>
    <x v="35"/>
    <n v="-0.76712328767123283"/>
    <n v="280"/>
    <x v="1"/>
  </r>
  <r>
    <x v="388"/>
    <x v="207"/>
    <n v="860025639"/>
    <s v="Prestar los servicios de mantenimiento preventivo y correctivo de los ascensores marca Mitsubishi del Concejo de Bogotá."/>
    <n v="14640000"/>
    <s v="160096-0-2016"/>
    <n v="2016"/>
    <d v="2016-05-06T00:00:00"/>
    <d v="2016-05-24T00:00:00"/>
    <d v="2017-03-24T00:00:00"/>
    <n v="0"/>
    <n v="0"/>
    <n v="0"/>
    <s v=""/>
    <s v=""/>
    <d v="2017-03-24T00:00:00"/>
    <n v="14640000"/>
    <n v="0"/>
    <n v="14640000"/>
    <s v="Pagos mensuales con los servicios efectivamente pretados."/>
    <x v="6"/>
    <x v="36"/>
    <n v="0.27631578947368424"/>
    <n v="220"/>
    <x v="0"/>
  </r>
  <r>
    <x v="389"/>
    <x v="276"/>
    <n v="41758887"/>
    <s v="Prestar los servicios profesionales al Concejo de Bogotá, para apoyar el área de nómina especialmente en las áreas relacionadas con la seguridad social"/>
    <n v="44000000"/>
    <s v="160101-0-2016"/>
    <n v="2016"/>
    <d v="2016-05-16T00:00:00"/>
    <d v="2016-05-20T00:00:00"/>
    <d v="2017-01-20T00:00:00"/>
    <n v="0"/>
    <n v="0"/>
    <n v="0"/>
    <s v=""/>
    <s v=""/>
    <d v="2017-01-20T00:00:00"/>
    <n v="44000000"/>
    <n v="7516666"/>
    <n v="36483334"/>
    <s v="Mensuales"/>
    <x v="179"/>
    <x v="37"/>
    <n v="0.18835035528756955"/>
    <n v="157"/>
    <x v="0"/>
  </r>
  <r>
    <x v="390"/>
    <x v="150"/>
    <n v="830055842"/>
    <s v="Prestar los servicios de mensajeria expresa masiva para el Concejo de Bogotá, D.C. "/>
    <n v="33009000"/>
    <m/>
    <n v="2016"/>
    <d v="2016-05-18T00:00:00"/>
    <d v="2016-05-23T00:00:00"/>
    <d v="2017-05-23T00:00:00"/>
    <n v="0"/>
    <n v="0"/>
    <n v="0"/>
    <s v=""/>
    <s v=""/>
    <d v="2017-05-23T00:00:00"/>
    <n v="33009000"/>
    <n v="0"/>
    <n v="33009000"/>
    <s v="Mensuales vencidas de acuerdo a los servicios prestados."/>
    <x v="6"/>
    <x v="35"/>
    <n v="0.23287671232876711"/>
    <n v="280"/>
    <x v="0"/>
  </r>
  <r>
    <x v="391"/>
    <x v="105"/>
    <n v="80117116"/>
    <s v="Prestar servicios profesionales para la actualización, administración, publicación y salvaguardia de la información públicada en la página WEB e Intranet del Concejo de Bogotá."/>
    <n v="37080000"/>
    <s v="160112-0-2016"/>
    <n v="2016"/>
    <d v="2016-05-24T00:00:00"/>
    <d v="2016-06-01T00:00:00"/>
    <d v="2017-03-01T00:00:00"/>
    <n v="0"/>
    <n v="0"/>
    <n v="0"/>
    <s v=""/>
    <s v=""/>
    <d v="2017-03-01T00:00:00"/>
    <n v="37080000"/>
    <n v="8240000"/>
    <n v="28840000"/>
    <s v="Mensual"/>
    <x v="180"/>
    <x v="38"/>
    <n v="5.6166056166056189E-2"/>
    <n v="197"/>
    <x v="0"/>
  </r>
  <r>
    <x v="392"/>
    <x v="277"/>
    <n v="52963023"/>
    <s v="Prestar los servicios profesionales para Apoyar al Director Jurídico del Concejo de Bogotá, en el marco de los asuntos jurídicos y de la defensa judicial con el fin de desarrollar las actividades de acuerdo a la normatividad vigente."/>
    <n v="43712000"/>
    <s v="160116-0-2016"/>
    <n v="2016"/>
    <d v="2016-05-31T00:00:00"/>
    <d v="2016-06-02T00:00:00"/>
    <d v="2017-02-02T00:00:00"/>
    <n v="0"/>
    <n v="0"/>
    <n v="0"/>
    <s v=""/>
    <s v=""/>
    <d v="2017-02-02T00:00:00"/>
    <n v="43712000"/>
    <n v="10745866"/>
    <n v="32966134"/>
    <s v="Mensual"/>
    <x v="181"/>
    <x v="39"/>
    <n v="6.0289130897600629E-2"/>
    <n v="170"/>
    <x v="0"/>
  </r>
  <r>
    <x v="393"/>
    <x v="94"/>
    <n v="79887061"/>
    <s v="Prestar los servicios profesionales para apoyar el proceso de sistemas  y seguridad de la información del Concejo de Bogotá, en materia de seguridad informática"/>
    <n v="29664000"/>
    <s v=" 160113-0-2016"/>
    <n v="2016"/>
    <d v="2016-05-24T00:00:00"/>
    <d v="2016-06-03T00:00:00"/>
    <d v="2017-03-03T00:00:00"/>
    <n v="0"/>
    <n v="0"/>
    <n v="0"/>
    <s v=""/>
    <s v=""/>
    <d v="2017-03-03T00:00:00"/>
    <n v="29664000"/>
    <n v="3076266"/>
    <n v="26587734"/>
    <s v="Mensual"/>
    <x v="182"/>
    <x v="40"/>
    <n v="0.16735858983249757"/>
    <n v="199"/>
    <x v="0"/>
  </r>
  <r>
    <x v="394"/>
    <x v="135"/>
    <n v="811021363"/>
    <s v="Adquisicón de medios magnétcios para copias de respaldo para la Secretaria Distrital de Hacienda y el Concejo de Bogotá."/>
    <n v="6239000"/>
    <s v="SDH-SMINC-04-2016"/>
    <n v="2016"/>
    <d v="2016-04-29T00:00:00"/>
    <d v="2016-05-18T00:00:00"/>
    <d v="2016-07-18T00:00:00"/>
    <n v="0"/>
    <n v="0"/>
    <n v="0"/>
    <s v=""/>
    <s v=""/>
    <d v="2016-07-18T00:00:00"/>
    <n v="6239000"/>
    <n v="0"/>
    <n v="6239000"/>
    <s v="Un pago a contra entrega a satisfacción"/>
    <x v="6"/>
    <x v="0"/>
    <n v="1"/>
    <s v=""/>
    <x v="1"/>
  </r>
  <r>
    <x v="395"/>
    <x v="209"/>
    <n v="900587953"/>
    <s v="Prestar los servicos de mantenimiento preventivo y correctivo de las alarmas de emergencia ubicadas en la sede principal del Concejo de Bogotá."/>
    <n v="2060000"/>
    <s v="SDH-SMINC-07-2016"/>
    <n v="2016"/>
    <d v="2016-06-07T00:00:00"/>
    <d v="2016-06-20T00:00:00"/>
    <d v="2017-02-20T00:00:00"/>
    <n v="0"/>
    <n v="0"/>
    <n v="0"/>
    <s v=""/>
    <s v=""/>
    <d v="2017-02-20T00:00:00"/>
    <n v="2060000"/>
    <n v="0"/>
    <n v="2060000"/>
    <s v="Un pago por cada visita, y los repuestos de acuerdo a la demanda requerida"/>
    <x v="6"/>
    <x v="41"/>
    <n v="0.23265306122448978"/>
    <n v="188"/>
    <x v="0"/>
  </r>
  <r>
    <x v="396"/>
    <x v="64"/>
    <n v="80199707"/>
    <s v="Prestar los servicios de mantenimiento correctivo  correspondiente a la reparación y correción de las sillas existentes en el Concejo de Bogotá, D.C., con el suminstro de repuestos y/o elementos nuevos necesarios  "/>
    <n v="19931000"/>
    <s v="SDH-SMINC-06-2016"/>
    <n v="2016"/>
    <d v="2016-05-27T00:00:00"/>
    <d v="2016-06-08T00:00:00"/>
    <d v="2017-02-08T00:00:00"/>
    <n v="0"/>
    <n v="0"/>
    <n v="0"/>
    <s v=""/>
    <s v=""/>
    <d v="2017-02-08T00:00:00"/>
    <n v="19931000"/>
    <n v="0"/>
    <n v="19931000"/>
    <s v="Pagos mensuales con los servicios efectivamente pretados."/>
    <x v="6"/>
    <x v="42"/>
    <n v="0.28163265306122448"/>
    <n v="176"/>
    <x v="0"/>
  </r>
  <r>
    <x v="397"/>
    <x v="224"/>
    <s v="860066942-7"/>
    <s v="Prestar el servicio de alquiler de escenarios como salones, auditorios y espacios abiertos, apoyo logístico y servicio de catering para el desarrollo de eventos que requieran el Concejo de Bogotá D.C., de conformidad con lo establecido en el pliego de condiciones del proceso de selección abreviada de menos cuantia No. SDH-SAMC-01-2016 y la propuesta presentada por el contratista."/>
    <n v="108906000"/>
    <s v="SDH-SAMC-01-2016"/>
    <n v="2016"/>
    <d v="2016-06-02T00:00:00"/>
    <d v="2016-06-10T00:00:00"/>
    <d v="2017-04-10T00:00:00"/>
    <n v="0"/>
    <n v="0"/>
    <n v="0"/>
    <s v=""/>
    <s v=""/>
    <d v="2017-04-10T00:00:00"/>
    <n v="108906000"/>
    <n v="0"/>
    <n v="108906000"/>
    <s v="Mensualidades de acuerdo a las actividades prestadas"/>
    <x v="6"/>
    <x v="43"/>
    <n v="0.22039473684210525"/>
    <n v="237"/>
    <x v="0"/>
  </r>
  <r>
    <x v="398"/>
    <x v="218"/>
    <n v="1016042559"/>
    <s v="Prestar los servicos de apoyo para sistematizar y consolidar la información relacionadas con las incapacidades de os funcionarios en el marco del proceso de la Seguridad Social del Concejo de Bogotá, D.C."/>
    <n v="14400000"/>
    <s v="160129-0-2016"/>
    <n v="2016"/>
    <d v="2016-06-10T00:00:00"/>
    <d v="2016-06-14T00:00:00"/>
    <d v="2017-02-14T00:00:00"/>
    <n v="0"/>
    <n v="0"/>
    <n v="0"/>
    <s v=""/>
    <s v=""/>
    <d v="2017-02-14T00:00:00"/>
    <n v="14400000"/>
    <n v="39900000"/>
    <n v="-25500000"/>
    <s v="Mensual"/>
    <x v="183"/>
    <x v="44"/>
    <n v="-2.5136904761904764"/>
    <n v="182"/>
    <x v="1"/>
  </r>
  <r>
    <x v="399"/>
    <x v="278"/>
    <n v="52935693"/>
    <s v="Prestar sevicios profesionales para apoyar al Concejo de Bogotá, en el enlace con la unidad ejecutora 04 de la Secretaría Distrital de Hacienda para la liquidación y cierre de los expedientes contractuales."/>
    <n v="44000000"/>
    <s v="160134-0-2016"/>
    <n v="2016"/>
    <d v="2016-06-13T00:00:00"/>
    <d v="2016-06-14T00:00:00"/>
    <d v="2017-02-13T00:00:00"/>
    <n v="0"/>
    <n v="0"/>
    <n v="0"/>
    <s v=""/>
    <s v=""/>
    <d v="2017-02-13T00:00:00"/>
    <n v="44000000"/>
    <n v="3116666"/>
    <n v="40883334"/>
    <s v="Mensual"/>
    <x v="184"/>
    <x v="45"/>
    <n v="0.18736340312965724"/>
    <n v="181"/>
    <x v="0"/>
  </r>
  <r>
    <x v="400"/>
    <x v="14"/>
    <n v="830112518"/>
    <s v="Prestar el servicio de actualización, mantenimiento y soporte al sitio web e intranet del Concejo de Bogotá."/>
    <n v="45008000"/>
    <s v="160087-0-2016"/>
    <n v="2016"/>
    <d v="2016-04-27T00:00:00"/>
    <d v="2016-05-12T00:00:00"/>
    <d v="2017-05-12T00:00:00"/>
    <n v="0"/>
    <n v="0"/>
    <n v="0"/>
    <s v=""/>
    <s v=""/>
    <d v="2017-05-12T00:00:00"/>
    <n v="45008000"/>
    <n v="0"/>
    <n v="45008000"/>
    <s v="1. Un primer pago por valor de $2.784.000 incluido Iva, correspondiente a la entrega de la actualización de las licencias, previo ingreso de las licencias al Almacén e instalación, así como la certificación de recibido a satisfacción por parte del supervisor, conforme a la propuesta económica remitida por el Contratista._x000a_2. Se realizarán doce (12) mensualidades vencidas de Tres Millones Trescientos Sesenta y Cuatro Mil pesos ($3.364.000.oo) cada una incluido Iva, correspondientes al mantenimiento y soporte mensual.           3.Un (1) pago por valor de $1.856.000, incluido iva a la entrega de los ajustes a las planillas definidas, previo recibo a satisfacción por parte del supervisor del contrato.  _x000a_"/>
    <x v="6"/>
    <x v="46"/>
    <n v="0.26301369863013696"/>
    <n v="269"/>
    <x v="0"/>
  </r>
  <r>
    <x v="401"/>
    <x v="279"/>
    <n v="1136882557"/>
    <s v="Prestar servicios profesionales para apoyar la gestión administrativa, documental y contractual en los asuntos de competencia del Concejo de Bogotá, D.C."/>
    <n v="19600000"/>
    <s v="160137-0-2016"/>
    <n v="2016"/>
    <d v="2016-06-15T00:00:00"/>
    <d v="2016-06-20T00:00:00"/>
    <d v="2017-02-20T00:00:00"/>
    <n v="0"/>
    <n v="0"/>
    <n v="0"/>
    <s v=""/>
    <s v=""/>
    <d v="2017-02-20T00:00:00"/>
    <n v="19600000"/>
    <n v="898333"/>
    <n v="18701667"/>
    <s v="Mensual"/>
    <x v="185"/>
    <x v="41"/>
    <n v="0.18681974489795916"/>
    <n v="188"/>
    <x v="0"/>
  </r>
  <r>
    <x v="402"/>
    <x v="280"/>
    <n v="79646061"/>
    <s v="Prestar servicios profesionales para apoyar en las diferentes comisiones permanentes del Concejo de Bogotá en la respuesta a Derechos de Petición, solicitudes quejas, consultas y reclamos que reciba la corpóración."/>
    <n v="44000000"/>
    <s v="160138-02016"/>
    <n v="2016"/>
    <d v="2016-06-17T00:00:00"/>
    <d v="2016-06-22T00:00:00"/>
    <d v="2017-02-22T00:00:00"/>
    <n v="0"/>
    <n v="0"/>
    <n v="0"/>
    <s v=""/>
    <s v=""/>
    <d v="2017-02-22T00:00:00"/>
    <n v="44000000"/>
    <n v="1650000"/>
    <n v="42350000"/>
    <s v="Mensual"/>
    <x v="186"/>
    <x v="47"/>
    <n v="0.18698979591836734"/>
    <n v="190"/>
    <x v="0"/>
  </r>
  <r>
    <x v="403"/>
    <x v="281"/>
    <n v="52499785"/>
    <s v="Prestar los servicios Profesionales para apoyar al Concejo de Bogotá en la adopción y manejo de las estrategias y acciones de cooperación para posicionar a la Corporación en el ámbito Nacional e Internacional"/>
    <n v="44000000"/>
    <s v="160139-0-2016"/>
    <n v="2016"/>
    <d v="2016-06-17T00:00:00"/>
    <d v="2016-06-21T00:00:00"/>
    <d v="2017-02-21T00:00:00"/>
    <n v="0"/>
    <n v="0"/>
    <n v="0"/>
    <s v=""/>
    <s v=""/>
    <d v="2017-02-21T00:00:00"/>
    <n v="44000000"/>
    <n v="7333333"/>
    <n v="36666667"/>
    <s v="Mensual"/>
    <x v="187"/>
    <x v="48"/>
    <n v="6.1904769480519484E-2"/>
    <n v="189"/>
    <x v="0"/>
  </r>
  <r>
    <x v="404"/>
    <x v="282"/>
    <n v="32853319"/>
    <s v="Prestar servicios Profesionales de auditorias internas en el área de Control Interno del Concejo de Bogotá."/>
    <n v="44000000"/>
    <s v="160141-0-2016"/>
    <n v="2016"/>
    <d v="2016-06-17T00:00:00"/>
    <d v="2016-06-21T00:00:00"/>
    <d v="2017-02-21T00:00:00"/>
    <n v="0"/>
    <n v="0"/>
    <n v="0"/>
    <m/>
    <m/>
    <d v="2017-02-21T00:00:00"/>
    <n v="44000000"/>
    <n v="1833333"/>
    <n v="42166667"/>
    <s v="Mensual"/>
    <x v="188"/>
    <x v="48"/>
    <n v="0.18690476948051948"/>
    <n v="189"/>
    <x v="0"/>
  </r>
  <r>
    <x v="405"/>
    <x v="283"/>
    <n v="63548489"/>
    <s v="Prestar servicios Profesionales de apoyo a la oficna de comunicaciones del Concejo de Bogotá para cumplimiento del plan de comunicaciones internas y externas de la entidad."/>
    <n v="44000000"/>
    <s v="160143-0-2016"/>
    <n v="2016"/>
    <d v="2016-06-21T00:00:00"/>
    <d v="2016-06-24T00:00:00"/>
    <d v="2017-02-24T00:00:00"/>
    <n v="0"/>
    <n v="0"/>
    <n v="0"/>
    <m/>
    <m/>
    <d v="2017-02-24T00:00:00"/>
    <n v="44000000"/>
    <n v="6783333"/>
    <n v="37216667"/>
    <s v="Mensual"/>
    <x v="189"/>
    <x v="49"/>
    <n v="6.2159871521335813E-2"/>
    <n v="192"/>
    <x v="0"/>
  </r>
  <r>
    <x v="406"/>
    <x v="56"/>
    <n v="860049921"/>
    <s v="Realizar Auditorias al sistema de gestión de calidad del Concejo de Bogotá."/>
    <n v="5086020"/>
    <s v="160136-0-2016"/>
    <n v="2016"/>
    <d v="2016-06-14T00:00:00"/>
    <d v="2016-07-19T00:00:00"/>
    <d v="2016-11-19T00:00:00"/>
    <n v="0"/>
    <n v="0"/>
    <n v="0"/>
    <m/>
    <m/>
    <d v="2016-11-19T00:00:00"/>
    <n v="5086020"/>
    <n v="0"/>
    <n v="5086020"/>
    <s v="Un pago, una vez realizada la auditoría"/>
    <x v="6"/>
    <x v="50"/>
    <n v="0.22764227642276422"/>
    <n v="95"/>
    <x v="0"/>
  </r>
  <r>
    <x v="407"/>
    <x v="284"/>
    <n v="79951750"/>
    <s v="Prestar servicios profesionales para apoyar al Director Financiero en los asuntos propiso de la dependencia, en el marco del presupuesto anual de gastos de funcionamiento e inversión y para el manejo eficiente y eficaz de los recursos financieros conforme al plan estratégico de la entidad de acuerdo con la normatividad vigente."/>
    <n v="36000000"/>
    <s v="160142-0-2016"/>
    <n v="2016"/>
    <d v="2016-06-20T00:00:00"/>
    <d v="2016-06-24T00:00:00"/>
    <d v="2017-02-24T00:00:00"/>
    <n v="0"/>
    <n v="0"/>
    <n v="0"/>
    <m/>
    <m/>
    <d v="2017-02-24T00:00:00"/>
    <n v="36000000"/>
    <n v="1050000"/>
    <n v="34950000"/>
    <s v="Mensual"/>
    <x v="190"/>
    <x v="49"/>
    <n v="0.18715986394557824"/>
    <n v="192"/>
    <x v="0"/>
  </r>
  <r>
    <x v="408"/>
    <x v="46"/>
    <n v="80256384"/>
    <s v="Prestar el servicio de mantenimiento preventivo y correctivo al sistema de generación y transferencia eléctrica de emergencia del Concejo de Boogtá, D.C., de conformidad con lo establecido en la inviatción pública SDH-SMINC-10-2016."/>
    <n v="8110000"/>
    <s v="SDH-SMINC-10-2016"/>
    <n v="2016"/>
    <d v="2016-06-20T00:00:00"/>
    <d v="2016-06-30T00:00:00"/>
    <d v="2016-12-30T00:00:00"/>
    <n v="0"/>
    <n v="0"/>
    <n v="0"/>
    <m/>
    <m/>
    <d v="2016-12-30T00:00:00"/>
    <n v="8110000"/>
    <n v="0"/>
    <n v="8110000"/>
    <s v="Los pagos se realizarán cada dos (2) meses de acuerdo a los servicios efectivamente prestados por concepto de mantenimiento preventivo y correctivo. Los insumos y repuestos se cancelarán de acuerdo a la demanda requerida en el respectivo periodo, manteniendo los precios ofrecidos con la propuesta, previa presentación del informe de los servicios prestados por parte del contratista y certificación de cumplimiento y recibo a satisfacción del servicio, expedida por el supervisor del contrato en la cual se indique el valor a pagar al contratista._x000a__x000a_"/>
    <x v="6"/>
    <x v="51"/>
    <n v="0.25683060109289618"/>
    <n v="136"/>
    <x v="0"/>
  </r>
  <r>
    <x v="409"/>
    <x v="216"/>
    <n v="51647190"/>
    <s v="Prestar los servicios profesionales para apoyar a  la oficina asesora de planeación y dirección administrativa en la ejecución, mantenimiento, sostenibilidad y mejora continua del subsistema de responsabilidad social del Concejo de Bogotá. D.C."/>
    <n v="44000000"/>
    <s v="160148-0-2016"/>
    <n v="2016"/>
    <d v="2016-06-23T00:00:00"/>
    <d v="2016-06-27T00:00:00"/>
    <d v="2017-02-27T00:00:00"/>
    <n v="0"/>
    <n v="0"/>
    <n v="0"/>
    <m/>
    <m/>
    <d v="2017-02-27T00:00:00"/>
    <n v="44000000"/>
    <n v="0"/>
    <n v="44000000"/>
    <s v="Pagos mensuales"/>
    <x v="6"/>
    <x v="52"/>
    <n v="0.20408163265306123"/>
    <n v="195"/>
    <x v="0"/>
  </r>
  <r>
    <x v="410"/>
    <x v="285"/>
    <s v="890900943-1"/>
    <s v="Compraventa de llantas para el Concejo de Bogotá"/>
    <n v="12637000"/>
    <m/>
    <n v="2016"/>
    <d v="2016-06-24T00:00:00"/>
    <m/>
    <m/>
    <n v="0"/>
    <n v="0"/>
    <n v="0"/>
    <m/>
    <m/>
    <d v="1899-12-30T00:00:00"/>
    <n v="12637000"/>
    <n v="12636504"/>
    <n v="496"/>
    <s v="Dentro de los 30 días calendario siguientes a la presentación"/>
    <x v="191"/>
    <x v="4"/>
    <e v="#DIV/0!"/>
    <e v="#DIV/0!"/>
    <x v="1"/>
  </r>
  <r>
    <x v="411"/>
    <x v="286"/>
    <n v="900048718"/>
    <s v="Realizar el mantenimiento integral y adecuaciones locativas y las obras de mejora que se requieran , con el suministro de personal, equipo, materiales y repuestos, en las instalaciones físicas del Concejo de Bogotá. D.C."/>
    <n v="23000000"/>
    <s v="SDH-SMINC-16-2016"/>
    <n v="2016"/>
    <d v="2016-06-21T00:00:00"/>
    <d v="2016-06-28T00:00:00"/>
    <d v="2016-07-28T00:00:00"/>
    <n v="0"/>
    <n v="0"/>
    <n v="0"/>
    <m/>
    <m/>
    <d v="2016-07-28T00:00:00"/>
    <n v="23000000"/>
    <n v="0"/>
    <n v="23000000"/>
    <s v="Se realizara un pago mes vencido del valor total del servicio prestado."/>
    <x v="6"/>
    <x v="0"/>
    <n v="1"/>
    <s v=""/>
    <x v="0"/>
  </r>
  <r>
    <x v="412"/>
    <x v="213"/>
    <n v="860019063"/>
    <s v="Prestar los servicios de mantenimiento correctivo con suministro de repuestos para los vehiculos marca mitsubihi al servicio del Concejo de Bogotá. "/>
    <n v="15000000"/>
    <s v="160132-0-2016"/>
    <n v="2016"/>
    <d v="2016-06-13T00:00:00"/>
    <d v="2016-06-29T00:00:00"/>
    <d v="2016-12-29T00:00:00"/>
    <n v="0"/>
    <n v="0"/>
    <n v="0"/>
    <m/>
    <m/>
    <d v="2016-12-29T00:00:00"/>
    <n v="15000000"/>
    <n v="0"/>
    <n v="15000000"/>
    <s v="Mensualmente de acuerdo a los servicios efectivamente prestados."/>
    <x v="6"/>
    <x v="53"/>
    <n v="0.26229508196721313"/>
    <n v="135"/>
    <x v="0"/>
  </r>
  <r>
    <x v="413"/>
    <x v="42"/>
    <n v="830034865"/>
    <s v="Realizar exémenes médicos ocupacionales y complementarios y aplicación de vacunas para los funcionarios del Concejo de Bogotá, D.C."/>
    <n v="53964000"/>
    <s v="SDH-SAMC-02-2016"/>
    <n v="2016"/>
    <d v="2016-06-22T00:00:00"/>
    <d v="2016-07-05T00:00:00"/>
    <d v="2017-04-05T00:00:00"/>
    <n v="0"/>
    <n v="0"/>
    <n v="0"/>
    <m/>
    <m/>
    <d v="2017-04-05T00:00:00"/>
    <n v="53964000"/>
    <n v="0"/>
    <n v="53964000"/>
    <s v="Se efectuarán los pagos por mensualidades vencidas de acuerdo con los servicios realizados dentro del mes."/>
    <x v="6"/>
    <x v="54"/>
    <n v="0.15328467153284672"/>
    <n v="232"/>
    <x v="0"/>
  </r>
  <r>
    <x v="414"/>
    <x v="287"/>
    <n v="4831"/>
    <s v="Prestar los servicios de mantenimiento preventivo y correctivo con suminstro de repuestos de los automotores marca chevrolet al servicio del Concejo de Bogotá, D.C."/>
    <n v="23707000"/>
    <s v="SDH-SMINC-09-2016"/>
    <n v="2016"/>
    <d v="2016-06-02T00:00:00"/>
    <d v="2016-07-05T00:00:00"/>
    <d v="2017-02-05T00:00:00"/>
    <n v="0"/>
    <n v="0"/>
    <n v="0"/>
    <s v=""/>
    <s v=""/>
    <d v="2017-02-05T00:00:00"/>
    <n v="23707000"/>
    <n v="0"/>
    <n v="23707000"/>
    <s v="Mensuales vencidas de acuerdo a los servicios y repuestos efectivamente prestados y suministrados."/>
    <x v="6"/>
    <x v="55"/>
    <n v="0.19534883720930232"/>
    <n v="173"/>
    <x v="0"/>
  </r>
  <r>
    <x v="415"/>
    <x v="233"/>
    <n v="35493364"/>
    <s v="Prestar los servicios profesionales para apoyar al Director Administrativo del Concejo de Bogotá, en los asuntos propios de la dependencia en el marco del Sistema Integrado de Gestión. "/>
    <n v="38500000"/>
    <s v="160152-0-2016"/>
    <n v="2016"/>
    <d v="2016-06-29T00:00:00"/>
    <d v="2016-07-05T00:00:00"/>
    <d v="2017-02-05T00:00:00"/>
    <n v="0"/>
    <n v="0"/>
    <n v="0"/>
    <s v=""/>
    <s v=""/>
    <d v="2017-02-05T00:00:00"/>
    <n v="38500000"/>
    <n v="0"/>
    <n v="38500000"/>
    <s v="Pagos Mensuales"/>
    <x v="6"/>
    <x v="55"/>
    <n v="0.19534883720930232"/>
    <n v="173"/>
    <x v="0"/>
  </r>
  <r>
    <x v="416"/>
    <x v="288"/>
    <s v="830144050-8"/>
    <s v="Adquisición de un aire acondicionado para el salón comuneros del Concejo de Bogotá, D.C."/>
    <n v="3712000"/>
    <s v="SDH-SMINC-013-2016"/>
    <n v="2016"/>
    <d v="2016-06-21T00:00:00"/>
    <d v="2016-07-11T00:00:00"/>
    <d v="2016-10-11T00:00:00"/>
    <n v="0"/>
    <n v="0"/>
    <n v="0"/>
    <m/>
    <m/>
    <d v="2016-10-11T00:00:00"/>
    <n v="3712000"/>
    <n v="0"/>
    <n v="3712000"/>
    <s v="Un primer pago equivalente al 30% del valor total del contrato, al recibo a satisfacción del equipo por parte del supervisor  y el respectivo ingreso a almacen de la SDH, Un segundo pago equivalente al 70% del valor total del contrato una vez instalado, configurado, puesto en funcionamiento el equipo y realizada la capacitación"/>
    <x v="6"/>
    <x v="56"/>
    <n v="0.39130434782608697"/>
    <n v="56"/>
    <x v="0"/>
  </r>
  <r>
    <x v="417"/>
    <x v="289"/>
    <n v="53097050"/>
    <s v="Prestar los servicios profesionales para apoyar el seguimiento a los procesos de adquisición de bienes y servicios y la ejecución de los contratos para el Concejo de Bogotá."/>
    <n v="38500000"/>
    <s v="160153-0-2016"/>
    <n v="2016"/>
    <d v="2016-06-30T00:00:00"/>
    <d v="2016-07-11T00:00:00"/>
    <d v="2017-02-11T00:00:00"/>
    <n v="0"/>
    <n v="0"/>
    <n v="0"/>
    <m/>
    <m/>
    <d v="2017-02-11T00:00:00"/>
    <n v="38500000"/>
    <n v="0"/>
    <n v="38500000"/>
    <s v="Mensual"/>
    <x v="6"/>
    <x v="57"/>
    <n v="0.16744186046511628"/>
    <n v="179"/>
    <x v="0"/>
  </r>
  <r>
    <x v="418"/>
    <x v="290"/>
    <n v="900986082"/>
    <s v="Prestar el servicio de vigilancia y seguridad privada en las instalaciones del Concejo de Bogotá, D.C., con el fin de asegurar la protección y custodia de las personas y bienes muebles e inmuebles de propiedad de la entidad y de los que legalmente sea o llegare a ser responsable por disposición legal, contractual o convencional, de conformidad con lo dispuesto en el pliego de condiciones del porceso SDH-LP-02-2016"/>
    <n v="485820000"/>
    <s v="SDH-LP-02-2016"/>
    <n v="2016"/>
    <d v="2016-07-07T00:00:00"/>
    <d v="2016-08-01T00:00:00"/>
    <d v="2017-06-01T00:00:00"/>
    <n v="0"/>
    <n v="0"/>
    <n v="0"/>
    <s v=""/>
    <s v=""/>
    <d v="2017-06-01T00:00:00"/>
    <n v="485820000"/>
    <n v="0"/>
    <n v="485820000"/>
    <s v="Mensualidades vencidas"/>
    <x v="6"/>
    <x v="58"/>
    <n v="4.9342105263157895E-2"/>
    <n v="289"/>
    <x v="0"/>
  </r>
  <r>
    <x v="419"/>
    <x v="291"/>
    <n v="80766038"/>
    <s v="Prestar los servicios profesionales para apoyar la definición de especificaciones y condiciones técnicas para la adquisición de bienes y servicios principalmente los relacionados con tecnología e informática y el seguimiento a la ejecución de los mismos."/>
    <n v="38500000"/>
    <s v="160162-0-2016"/>
    <n v="2016"/>
    <d v="2016-07-07T00:00:00"/>
    <d v="2016-07-12T00:00:00"/>
    <d v="2017-02-12T00:00:00"/>
    <n v="0"/>
    <n v="0"/>
    <n v="0"/>
    <s v=""/>
    <s v=""/>
    <d v="2017-02-12T00:00:00"/>
    <n v="38500000"/>
    <n v="0"/>
    <n v="38500000"/>
    <s v="Mensual"/>
    <x v="6"/>
    <x v="59"/>
    <n v="0.16279069767441862"/>
    <n v="180"/>
    <x v="0"/>
  </r>
  <r>
    <x v="420"/>
    <x v="226"/>
    <n v="800198591"/>
    <s v="Prestar los servicios de administración y soporte técnico para la plataforma Microsoft del Concejo de Bogotá."/>
    <n v="219700000"/>
    <s v="160154-0-2016"/>
    <n v="2016"/>
    <d v="2016-06-30T00:00:00"/>
    <d v="2016-07-15T00:00:00"/>
    <d v="2017-07-15T00:00:00"/>
    <n v="0"/>
    <n v="0"/>
    <n v="0"/>
    <m/>
    <m/>
    <d v="2017-07-15T00:00:00"/>
    <n v="219700000"/>
    <n v="0"/>
    <n v="219700000"/>
    <s v="Seis pagos iguales bimestre vencido"/>
    <x v="6"/>
    <x v="60"/>
    <n v="8.7671232876712329E-2"/>
    <n v="333"/>
    <x v="0"/>
  </r>
  <r>
    <x v="421"/>
    <x v="292"/>
    <n v="805006014"/>
    <s v="Suscripción al Sistema de Televisón Satelital para ser instalado en la sede en el  Concejo de Bogotá, D.C."/>
    <n v="1769832"/>
    <s v="SDH-SMINC-25-2016"/>
    <n v="2016"/>
    <d v="2016-07-13T00:00:00"/>
    <d v="2016-07-19T00:00:00"/>
    <d v="2017-07-19T00:00:00"/>
    <n v="0"/>
    <n v="0"/>
    <n v="0"/>
    <m/>
    <m/>
    <d v="2017-07-19T00:00:00"/>
    <n v="1769832"/>
    <n v="0"/>
    <n v="1769832"/>
    <s v="Pago único"/>
    <x v="6"/>
    <x v="61"/>
    <n v="7.6712328767123292E-2"/>
    <n v="337"/>
    <x v="0"/>
  </r>
  <r>
    <x v="422"/>
    <x v="293"/>
    <s v="19214464-2"/>
    <s v="Realizar la interventoría técnica administrativa, ambiental, financiera, legal y contable para el contrato de mantenimiento integral locativo con suminstro de personal, equipo y repuestos, de conformidad con lo establecido en la presente invitación pública, al contrato de obra resultado del proceso de selección abreviada de menor cuantía SDH-SAMC-03-2016 "/>
    <n v="12650000"/>
    <s v="SDH-SMINC-14-2016"/>
    <n v="2016"/>
    <d v="2016-07-07T00:00:00"/>
    <d v="2016-07-26T00:00:00"/>
    <d v="2017-06-26T00:00:00"/>
    <n v="0"/>
    <n v="0"/>
    <n v="0"/>
    <s v=""/>
    <s v=""/>
    <d v="2017-06-26T00:00:00"/>
    <n v="12650000"/>
    <n v="0"/>
    <n v="12650000"/>
    <s v="El 90% del contrato se cancelará mediante 10 pagos mensuales iguales, previa presentación del informe de interventoría del respectivo mes, el 10% del valor total del contrato, dentro de los 15 días hábiles siguientes a la firma del acta de liquidación del contrato objeto de interventoría."/>
    <x v="6"/>
    <x v="62"/>
    <n v="6.2686567164179099E-2"/>
    <n v="314"/>
    <x v="0"/>
  </r>
  <r>
    <x v="423"/>
    <x v="294"/>
    <s v="830112988-3"/>
    <s v="Prestar el servicio de transporte de bienes muebles, equipos de oficina y cajas de archivo documental para el Concejo de Bogotá, D.C."/>
    <n v="12928000"/>
    <s v="SDH-SMINC-20-2016"/>
    <n v="2016"/>
    <d v="2016-07-08T00:00:00"/>
    <d v="2016-07-27T00:00:00"/>
    <d v="2017-02-27T00:00:00"/>
    <n v="0"/>
    <n v="0"/>
    <n v="0"/>
    <s v=""/>
    <s v=""/>
    <d v="2017-02-27T00:00:00"/>
    <n v="12928000"/>
    <n v="0"/>
    <n v="12928000"/>
    <s v="Pagos mensuales correspondientes a los servicios prestados de acuerdo con la certificación de cumplimiento expedida por el supervisor del contrato"/>
    <x v="6"/>
    <x v="63"/>
    <n v="9.3023255813953487E-2"/>
    <n v="195"/>
    <x v="0"/>
  </r>
  <r>
    <x v="424"/>
    <x v="97"/>
    <n v="900450570"/>
    <s v="Arrendamiento de inmueble para uso de parqueadero de vehículos y motocicletas del Concejo de Bogotá, D.C."/>
    <n v="230623200"/>
    <s v="160180-0-2016"/>
    <n v="2016"/>
    <d v="2016-07-26T00:00:00"/>
    <d v="2016-08-01T00:00:00"/>
    <d v="2017-02-01T00:00:00"/>
    <n v="0"/>
    <n v="0"/>
    <n v="0"/>
    <m/>
    <m/>
    <d v="2017-02-01T00:00:00"/>
    <n v="230623200"/>
    <n v="0"/>
    <n v="230623200"/>
    <s v="Mensualidades anticipadas"/>
    <x v="6"/>
    <x v="64"/>
    <n v="8.1521739130434784E-2"/>
    <n v="169"/>
    <x v="0"/>
  </r>
  <r>
    <x v="425"/>
    <x v="56"/>
    <n v="860049921"/>
    <s v="Realizar las auditorias para la renovación de la certificación a los Sistemas  de Gestión de Ambiental y Seguridad y Salud Ocupacional bajo las normas ISO 14001:2004  y OHSAS 18001:2007 al Concejo de Bogotá D.C."/>
    <n v="9280000"/>
    <s v="SDH-SMINC-22-2016"/>
    <n v="2016"/>
    <d v="2016-07-08T00:00:00"/>
    <d v="2016-07-29T00:00:00"/>
    <d v="2016-11-29T00:00:00"/>
    <n v="0"/>
    <n v="0"/>
    <n v="0"/>
    <m/>
    <m/>
    <d v="2016-11-29T00:00:00"/>
    <n v="9280000"/>
    <n v="0"/>
    <n v="9280000"/>
    <s v="El servicio será cancelado una vez realizada la auditoría de  renovación  y entrega del informe de resultado de la auditoría, previa presentación de la factura y aprobación de la misma,."/>
    <x v="6"/>
    <x v="65"/>
    <n v="0.14634146341463414"/>
    <n v="105"/>
    <x v="0"/>
  </r>
  <r>
    <x v="426"/>
    <x v="125"/>
    <n v="860536079"/>
    <s v="Prestar el servicio de mantenimiento con suministro de repuesto para plantas purificadoras semi-industriales de agua del Concejo de Bogotá."/>
    <n v="2605500"/>
    <s v="SDH-SMINC-26-2016"/>
    <n v="2016"/>
    <d v="2016-07-19T00:00:00"/>
    <d v="2016-08-01T00:00:00"/>
    <d v="2017-02-01T00:00:00"/>
    <n v="0"/>
    <n v="0"/>
    <n v="0"/>
    <s v=""/>
    <s v=""/>
    <d v="2017-02-01T00:00:00"/>
    <n v="2605500"/>
    <n v="0"/>
    <n v="2605500"/>
    <s v="Se realizara un pago por cada una de las visitas de mantenimiento preventivo efectuada y el suminstro de repuestos para el Concejo de Bogotá, D.C."/>
    <x v="6"/>
    <x v="64"/>
    <n v="8.1521739130434784E-2"/>
    <n v="169"/>
    <x v="0"/>
  </r>
  <r>
    <x v="427"/>
    <x v="220"/>
    <n v="860053195"/>
    <s v="Suministro de elementos de promoción institucional y actos protocolarios del Concejo de Bogotá, D.C., de conformidad con lo establecido en la presente invitación pública SDH-SMINC-17-2016 y la propuesta presentada por ustedes."/>
    <n v="53583000"/>
    <s v="SDH-SMINC-17-2016"/>
    <n v="2016"/>
    <d v="2016-07-05T00:00:00"/>
    <d v="2016-07-28T00:00:00"/>
    <d v="2017-02-28T00:00:00"/>
    <n v="0"/>
    <n v="0"/>
    <n v="0"/>
    <s v=""/>
    <s v=""/>
    <d v="2017-02-28T00:00:00"/>
    <n v="53583000"/>
    <n v="0"/>
    <n v="53583000"/>
    <s v="Pagos mensuales"/>
    <x v="6"/>
    <x v="66"/>
    <n v="8.8372093023255813E-2"/>
    <n v="196"/>
    <x v="0"/>
  </r>
  <r>
    <x v="428"/>
    <x v="295"/>
    <n v="900987382"/>
    <s v="Realizar el mantenimiento integral, las adecuaciones locativas y las obras de mejora que se requieran, con el consumo del personal, equipo, materiales y repuestos, en las instalciones físicas del Concejo de Bogotá, D.C., de conformidad con lo establecido en el pliego de condiciones del proceso de selección abreviada de menor cuantía No. SDH-SAMC-03-2016 y la propuesta presentada por el contratista."/>
    <n v="221382000"/>
    <s v="SDH-SAMC-03-2016"/>
    <n v="2016"/>
    <d v="2016-07-13T00:00:00"/>
    <d v="2016-08-05T00:00:00"/>
    <d v="2017-06-05T00:00:00"/>
    <n v="0"/>
    <n v="0"/>
    <n v="0"/>
    <s v=""/>
    <s v=""/>
    <d v="2017-06-05T00:00:00"/>
    <n v="221382000"/>
    <n v="0"/>
    <n v="221382000"/>
    <s v="Pagos mensuales vencidos"/>
    <x v="6"/>
    <x v="67"/>
    <n v="3.6184210526315791E-2"/>
    <n v="293"/>
    <x v="0"/>
  </r>
  <r>
    <x v="429"/>
    <x v="50"/>
    <n v="830053669"/>
    <s v="Prestar el servicio integral de fotocopiado y servicios afines para el Concejo de Bogotá, de conformidad con lo establecido en el pliego de condiciones del proceso de subasta inversa electrónica No. SDH- SIE-10-2016  y la propuesta presentada por el contratista."/>
    <n v="26540000"/>
    <s v="SDH-SIE-10-2016"/>
    <n v="2016"/>
    <d v="2016-07-29T00:00:00"/>
    <d v="2016-08-01T00:00:00"/>
    <d v="2017-02-01T00:00:00"/>
    <n v="0"/>
    <n v="0"/>
    <n v="0"/>
    <s v=""/>
    <s v=""/>
    <d v="2017-02-01T00:00:00"/>
    <n v="26540000"/>
    <n v="0"/>
    <n v="26540000"/>
    <s v="Mensualidades vencidas por los servicios efectivamente prestados"/>
    <x v="6"/>
    <x v="64"/>
    <n v="8.1521739130434784E-2"/>
    <n v="169"/>
    <x v="0"/>
  </r>
  <r>
    <x v="430"/>
    <x v="256"/>
    <n v="890900267"/>
    <s v="Adquisición de elementos e insumos necesarios para atender los primeros auxilios y dotar los botiquines del Concejo de Bogotá D.C."/>
    <n v="6180000"/>
    <s v="SDH-SMINC-23-2016"/>
    <n v="2016"/>
    <d v="2016-07-19T00:00:00"/>
    <d v="2016-08-08T00:00:00"/>
    <d v="2016-11-08T00:00:00"/>
    <n v="0"/>
    <n v="0"/>
    <n v="0"/>
    <m/>
    <m/>
    <d v="2016-11-08T00:00:00"/>
    <n v="6180000"/>
    <n v="0"/>
    <n v="6180000"/>
    <s v="Un único pago con la entrega de los bines objeto del contrato."/>
    <x v="6"/>
    <x v="68"/>
    <n v="8.6956521739130432E-2"/>
    <n v="84"/>
    <x v="0"/>
  </r>
  <r>
    <x v="431"/>
    <x v="296"/>
    <s v="80807003-8"/>
    <s v="Contrarar la prestación de servicios de revisión, mantenimiento y recarga de extintores y gabinetes contra incendio con suministro de repuestos y otros elementos de seguirdad para el Concejo de Bogotá, de conformidad con lo establecido en la invitación pública SDH-SMINC-28-2016"/>
    <n v="4429000"/>
    <s v="SDH-SMINC-28-2016"/>
    <n v="2016"/>
    <d v="2016-07-27T00:00:00"/>
    <m/>
    <m/>
    <n v="0"/>
    <n v="0"/>
    <n v="0"/>
    <m/>
    <m/>
    <d v="1899-12-30T00:00:00"/>
    <n v="4429000"/>
    <n v="0"/>
    <n v="4429000"/>
    <s v="Un pago a la entrega del servicio de acuerdo con el número de mantenimientos, repuestos y recargas realizadas a los extintores."/>
    <x v="6"/>
    <x v="4"/>
    <e v="#DIV/0!"/>
    <e v="#DIV/0!"/>
    <x v="0"/>
  </r>
  <r>
    <x v="432"/>
    <x v="297"/>
    <s v="900664115-2"/>
    <s v="Adquisicón de elementos de protección personal para los servidores del Concejo de Bogotá."/>
    <n v="20806000"/>
    <s v="SDH-SMINC-24-2016"/>
    <n v="2016"/>
    <d v="2016-08-03T00:00:00"/>
    <d v="2016-08-16T00:00:00"/>
    <d v="2016-12-16T00:00:00"/>
    <n v="0"/>
    <n v="0"/>
    <n v="0"/>
    <s v=""/>
    <s v=""/>
    <d v="2016-12-16T00:00:00"/>
    <n v="20806000"/>
    <n v="0"/>
    <n v="20806000"/>
    <s v="Un pago único con la entrega de los bienes"/>
    <x v="6"/>
    <x v="69"/>
    <n v="0"/>
    <n v="122"/>
    <x v="0"/>
  </r>
  <r>
    <x v="433"/>
    <x v="298"/>
    <s v="900462717-9"/>
    <s v="Servicio de mantenimiento correctivo y traslado, incluyendo los respuestos y/o elementos nuevos que requieran los sistemas de archivos rodantes del Concejo de Bogotá."/>
    <n v="6973000"/>
    <s v="SDH-SMINC-29-2016"/>
    <n v="2016"/>
    <d v="2016-08-05T00:00:00"/>
    <m/>
    <m/>
    <n v="0"/>
    <n v="0"/>
    <n v="0"/>
    <s v=""/>
    <s v=""/>
    <d v="1899-12-30T00:00:00"/>
    <n v="6973000"/>
    <n v="0"/>
    <n v="6973000"/>
    <s v="Pagos mensuales con los servicios efectivamente pretados."/>
    <x v="6"/>
    <x v="4"/>
    <e v="#DIV/0!"/>
    <e v="#DIV/0!"/>
    <x v="0"/>
  </r>
  <r>
    <x v="434"/>
    <x v="299"/>
    <m/>
    <m/>
    <m/>
    <m/>
    <n v="2016"/>
    <m/>
    <m/>
    <m/>
    <n v="0"/>
    <n v="0"/>
    <n v="0"/>
    <s v=""/>
    <s v=""/>
    <d v="1899-12-30T00:00:00"/>
    <n v="0"/>
    <n v="0"/>
    <n v="0"/>
    <m/>
    <x v="66"/>
    <x v="4"/>
    <e v="#DIV/0!"/>
    <e v="#DIV/0!"/>
    <x v="2"/>
  </r>
  <r>
    <x v="434"/>
    <x v="299"/>
    <m/>
    <m/>
    <m/>
    <m/>
    <n v="2016"/>
    <m/>
    <m/>
    <m/>
    <n v="0"/>
    <n v="0"/>
    <n v="0"/>
    <s v=""/>
    <s v=""/>
    <d v="1899-12-30T00:00:00"/>
    <n v="0"/>
    <n v="0"/>
    <n v="0"/>
    <m/>
    <x v="66"/>
    <x v="4"/>
    <e v="#DIV/0!"/>
    <e v="#DIV/0!"/>
    <x v="2"/>
  </r>
  <r>
    <x v="434"/>
    <x v="299"/>
    <m/>
    <m/>
    <m/>
    <m/>
    <n v="2016"/>
    <m/>
    <m/>
    <m/>
    <n v="0"/>
    <n v="0"/>
    <n v="0"/>
    <m/>
    <m/>
    <d v="1899-12-30T00:00:00"/>
    <n v="0"/>
    <n v="0"/>
    <n v="0"/>
    <m/>
    <x v="66"/>
    <x v="4"/>
    <e v="#DIV/0!"/>
    <e v="#DIV/0!"/>
    <x v="2"/>
  </r>
  <r>
    <x v="434"/>
    <x v="299"/>
    <m/>
    <m/>
    <m/>
    <m/>
    <n v="2016"/>
    <m/>
    <m/>
    <m/>
    <n v="0"/>
    <n v="0"/>
    <n v="0"/>
    <m/>
    <m/>
    <d v="1899-12-30T00:00:00"/>
    <n v="0"/>
    <n v="0"/>
    <n v="0"/>
    <m/>
    <x v="66"/>
    <x v="4"/>
    <e v="#DIV/0!"/>
    <e v="#DIV/0!"/>
    <x v="2"/>
  </r>
  <r>
    <x v="434"/>
    <x v="299"/>
    <m/>
    <m/>
    <m/>
    <m/>
    <n v="2016"/>
    <m/>
    <m/>
    <m/>
    <n v="0"/>
    <n v="0"/>
    <n v="0"/>
    <s v=""/>
    <s v=""/>
    <d v="1899-12-30T00:00:00"/>
    <n v="0"/>
    <n v="0"/>
    <n v="0"/>
    <m/>
    <x v="66"/>
    <x v="4"/>
    <e v="#DIV/0!"/>
    <e v="#DIV/0!"/>
    <x v="2"/>
  </r>
  <r>
    <x v="434"/>
    <x v="299"/>
    <m/>
    <m/>
    <m/>
    <m/>
    <n v="2016"/>
    <m/>
    <m/>
    <m/>
    <n v="0"/>
    <n v="0"/>
    <n v="0"/>
    <s v=""/>
    <s v=""/>
    <d v="1899-12-30T00:00:00"/>
    <n v="0"/>
    <n v="0"/>
    <n v="0"/>
    <m/>
    <x v="66"/>
    <x v="4"/>
    <e v="#DIV/0!"/>
    <e v="#DIV/0!"/>
    <x v="2"/>
  </r>
  <r>
    <x v="434"/>
    <x v="299"/>
    <m/>
    <m/>
    <m/>
    <m/>
    <n v="2016"/>
    <m/>
    <m/>
    <m/>
    <n v="0"/>
    <n v="0"/>
    <n v="0"/>
    <s v=""/>
    <s v=""/>
    <d v="1899-12-30T00:00:00"/>
    <n v="0"/>
    <n v="0"/>
    <n v="0"/>
    <m/>
    <x v="66"/>
    <x v="4"/>
    <e v="#DIV/0!"/>
    <e v="#DIV/0!"/>
    <x v="2"/>
  </r>
  <r>
    <x v="434"/>
    <x v="299"/>
    <m/>
    <m/>
    <m/>
    <m/>
    <n v="2016"/>
    <m/>
    <m/>
    <m/>
    <n v="0"/>
    <n v="0"/>
    <n v="0"/>
    <s v=""/>
    <s v=""/>
    <d v="1899-12-30T00:00:00"/>
    <n v="0"/>
    <n v="0"/>
    <n v="0"/>
    <m/>
    <x v="66"/>
    <x v="4"/>
    <e v="#DIV/0!"/>
    <e v="#DIV/0!"/>
    <x v="2"/>
  </r>
  <r>
    <x v="434"/>
    <x v="299"/>
    <m/>
    <m/>
    <m/>
    <m/>
    <n v="2016"/>
    <m/>
    <m/>
    <m/>
    <n v="0"/>
    <n v="0"/>
    <n v="0"/>
    <m/>
    <m/>
    <d v="1899-12-30T00:00:00"/>
    <n v="0"/>
    <n v="0"/>
    <n v="0"/>
    <m/>
    <x v="66"/>
    <x v="4"/>
    <e v="#DIV/0!"/>
    <e v="#DIV/0!"/>
    <x v="2"/>
  </r>
  <r>
    <x v="434"/>
    <x v="299"/>
    <m/>
    <m/>
    <m/>
    <m/>
    <n v="2016"/>
    <m/>
    <m/>
    <m/>
    <n v="0"/>
    <n v="0"/>
    <n v="0"/>
    <m/>
    <m/>
    <d v="1899-12-30T00:00:00"/>
    <n v="0"/>
    <n v="0"/>
    <n v="0"/>
    <m/>
    <x v="66"/>
    <x v="4"/>
    <e v="#DIV/0!"/>
    <e v="#DIV/0!"/>
    <x v="2"/>
  </r>
  <r>
    <x v="434"/>
    <x v="299"/>
    <m/>
    <m/>
    <m/>
    <m/>
    <n v="2016"/>
    <m/>
    <m/>
    <m/>
    <n v="0"/>
    <n v="0"/>
    <n v="0"/>
    <s v=""/>
    <s v=""/>
    <d v="1899-12-30T00:00:00"/>
    <n v="0"/>
    <n v="0"/>
    <n v="0"/>
    <m/>
    <x v="66"/>
    <x v="4"/>
    <e v="#DIV/0!"/>
    <e v="#DIV/0!"/>
    <x v="2"/>
  </r>
  <r>
    <x v="434"/>
    <x v="299"/>
    <m/>
    <m/>
    <m/>
    <m/>
    <n v="2016"/>
    <m/>
    <m/>
    <m/>
    <n v="0"/>
    <n v="0"/>
    <n v="0"/>
    <s v=""/>
    <s v=""/>
    <d v="1899-12-30T00:00:00"/>
    <n v="0"/>
    <n v="0"/>
    <n v="0"/>
    <m/>
    <x v="66"/>
    <x v="4"/>
    <e v="#DIV/0!"/>
    <e v="#DIV/0!"/>
    <x v="2"/>
  </r>
  <r>
    <x v="434"/>
    <x v="299"/>
    <m/>
    <m/>
    <m/>
    <m/>
    <n v="2016"/>
    <m/>
    <m/>
    <m/>
    <n v="0"/>
    <n v="0"/>
    <n v="0"/>
    <s v=""/>
    <s v=""/>
    <d v="1899-12-30T00:00:00"/>
    <n v="0"/>
    <n v="0"/>
    <n v="0"/>
    <m/>
    <x v="66"/>
    <x v="4"/>
    <e v="#DIV/0!"/>
    <e v="#DIV/0!"/>
    <x v="2"/>
  </r>
  <r>
    <x v="434"/>
    <x v="299"/>
    <m/>
    <m/>
    <m/>
    <m/>
    <n v="2016"/>
    <m/>
    <m/>
    <m/>
    <n v="0"/>
    <n v="0"/>
    <n v="0"/>
    <s v=""/>
    <s v=""/>
    <d v="1899-12-30T00:00:00"/>
    <n v="0"/>
    <n v="0"/>
    <n v="0"/>
    <m/>
    <x v="66"/>
    <x v="4"/>
    <e v="#DIV/0!"/>
    <e v="#DIV/0!"/>
    <x v="2"/>
  </r>
  <r>
    <x v="434"/>
    <x v="299"/>
    <m/>
    <m/>
    <m/>
    <m/>
    <n v="2016"/>
    <m/>
    <m/>
    <m/>
    <n v="0"/>
    <n v="0"/>
    <n v="0"/>
    <m/>
    <m/>
    <d v="1899-12-30T00:00:00"/>
    <n v="0"/>
    <n v="0"/>
    <n v="0"/>
    <m/>
    <x v="66"/>
    <x v="4"/>
    <e v="#DIV/0!"/>
    <e v="#DIV/0!"/>
    <x v="2"/>
  </r>
  <r>
    <x v="434"/>
    <x v="299"/>
    <m/>
    <m/>
    <m/>
    <m/>
    <n v="2016"/>
    <m/>
    <m/>
    <m/>
    <n v="0"/>
    <n v="0"/>
    <n v="0"/>
    <m/>
    <m/>
    <d v="1899-12-30T00:00:00"/>
    <n v="0"/>
    <n v="0"/>
    <n v="0"/>
    <m/>
    <x v="66"/>
    <x v="4"/>
    <e v="#DIV/0!"/>
    <e v="#DIV/0!"/>
    <x v="2"/>
  </r>
  <r>
    <x v="434"/>
    <x v="299"/>
    <m/>
    <m/>
    <m/>
    <m/>
    <n v="2016"/>
    <m/>
    <m/>
    <m/>
    <n v="0"/>
    <n v="0"/>
    <n v="0"/>
    <s v=""/>
    <s v=""/>
    <d v="1899-12-30T00:00:00"/>
    <n v="0"/>
    <n v="0"/>
    <n v="0"/>
    <m/>
    <x v="66"/>
    <x v="4"/>
    <e v="#DIV/0!"/>
    <e v="#DIV/0!"/>
    <x v="2"/>
  </r>
  <r>
    <x v="434"/>
    <x v="299"/>
    <m/>
    <m/>
    <m/>
    <m/>
    <n v="2016"/>
    <m/>
    <m/>
    <m/>
    <n v="0"/>
    <n v="0"/>
    <n v="0"/>
    <s v=""/>
    <s v=""/>
    <d v="1899-12-30T00:00:00"/>
    <n v="0"/>
    <n v="0"/>
    <n v="0"/>
    <m/>
    <x v="66"/>
    <x v="4"/>
    <e v="#DIV/0!"/>
    <e v="#DIV/0!"/>
    <x v="2"/>
  </r>
  <r>
    <x v="434"/>
    <x v="299"/>
    <m/>
    <m/>
    <m/>
    <m/>
    <m/>
    <m/>
    <m/>
    <m/>
    <m/>
    <m/>
    <m/>
    <m/>
    <m/>
    <m/>
    <m/>
    <m/>
    <m/>
    <m/>
    <x v="192"/>
    <x v="70"/>
    <m/>
    <m/>
    <x v="3"/>
  </r>
</pivotCacheRecords>
</file>

<file path=xl/pivotCache/pivotCacheRecords3.xml><?xml version="1.0" encoding="utf-8"?>
<pivotCacheRecords xmlns="http://schemas.openxmlformats.org/spreadsheetml/2006/main" xmlns:r="http://schemas.openxmlformats.org/officeDocument/2006/relationships" count="242">
  <r>
    <x v="0"/>
    <x v="0"/>
    <m/>
    <s v="La SDH y el Fondo de Vigilancia y Seguridad social de Bogotá D.C. se asocian con el fin de realizar de manera conjunta la contratación del arrendamiento operativo de vehículos para garantizar la movilidad de los Honorables Concejales y adelantar el proceso de selección  y las etapas precontractual y postcontractual, que redunden en una eficiente gestión administrativa y ahorro de esfuerzos económicos, logísticos y técnicos en los términos y condiciones que establece en el presente convenio interadministrativo de asociación."/>
    <n v="7329236109"/>
    <s v=" "/>
    <n v="2008"/>
    <s v=" "/>
    <d v="2008-10-03T00:00:00"/>
    <d v="2014-02-03T00:00:00"/>
    <n v="0"/>
    <n v="0"/>
    <n v="0"/>
    <s v=""/>
    <s v=""/>
    <d v="2014-02-03T00:00:00"/>
    <n v="7329236109"/>
    <n v="6218260556"/>
    <n v="1110975553"/>
    <m/>
    <x v="0"/>
    <x v="0"/>
    <x v="0"/>
    <s v=""/>
    <x v="0"/>
  </r>
  <r>
    <x v="1"/>
    <x v="1"/>
    <n v="800015583"/>
    <s v="Contratar la gestión integral de servicios de mesas de ayuda, soporte informático, mantenimiento preventivo y correctivo de la infraestructura tecnológica con suministro de repuestos para la Secretaria Distrital de Hacienda ."/>
    <n v="2026575001"/>
    <s v=" "/>
    <n v="2008"/>
    <d v="2008-12-26T00:00:00"/>
    <d v="2009-04-01T00:00:00"/>
    <d v="2013-07-31T00:00:00"/>
    <n v="1"/>
    <n v="1073825676"/>
    <n v="0"/>
    <s v=""/>
    <s v=""/>
    <d v="2013-07-31T00:00:00"/>
    <n v="3100400677"/>
    <n v="3066561119"/>
    <n v="33839558"/>
    <m/>
    <x v="1"/>
    <x v="0"/>
    <x v="1"/>
    <s v=""/>
    <x v="0"/>
  </r>
  <r>
    <x v="2"/>
    <x v="2"/>
    <m/>
    <s v="Contratar la gestión integral de servicios de impresión, para la secretaria de Distrital de Hacienda, de conformidad con los requerimientos establecidos en el pliego de condiciones del proceso de selección Abreviada SDH-SIP-015-2008 ÍTEM 2 y en el acta de audiencia de adjudicación"/>
    <n v="2909992591"/>
    <s v=" "/>
    <n v="2008"/>
    <s v=" "/>
    <d v="2009-02-20T00:00:00"/>
    <d v="2013-07-21T00:00:00"/>
    <n v="0"/>
    <n v="0"/>
    <n v="0"/>
    <s v=""/>
    <s v=""/>
    <d v="2013-07-21T00:00:00"/>
    <n v="2909992591"/>
    <n v="13400894"/>
    <n v="2896591697"/>
    <m/>
    <x v="2"/>
    <x v="0"/>
    <x v="2"/>
    <s v=""/>
    <x v="0"/>
  </r>
  <r>
    <x v="3"/>
    <x v="3"/>
    <m/>
    <s v="Adquisición de elementos de Tecnología Informática como estaciones de trabajo entre computadores de escritorio y computadores portátiles, con destino al Concejo de Bogotá, con el fin de efectuar la renovación de la infraestructura tecnológica de conformidad con lo establecido en el pliego de condiciones, los estudios previos y el acta de adjudicación del proceso SDH-SIE-018-2009."/>
    <n v="234495075"/>
    <s v=" "/>
    <n v="2009"/>
    <s v=" "/>
    <d v="2010-01-19T00:00:00"/>
    <d v="2013-02-18T00:00:00"/>
    <n v="0"/>
    <n v="0"/>
    <n v="0"/>
    <s v=""/>
    <s v=""/>
    <d v="2013-02-18T00:00:00"/>
    <n v="234495075"/>
    <n v="234495075"/>
    <n v="0"/>
    <m/>
    <x v="3"/>
    <x v="0"/>
    <x v="3"/>
    <s v=""/>
    <x v="1"/>
  </r>
  <r>
    <x v="4"/>
    <x v="1"/>
    <n v="800015583"/>
    <s v="Contratar la adquisición de elementos de tecnología y Licencias de Software, con destino al Concejo de Bogotá para atender las necesidades de procesamiento y almacenamiento de conformidad con lo establecido en el pliego de condiciones y los estudios previos del proceso SDH-SIE-013-2009"/>
    <n v="507000000"/>
    <s v=" "/>
    <n v="2009"/>
    <s v=" "/>
    <d v="2009-12-03T00:00:00"/>
    <d v="2013-03-03T00:00:00"/>
    <n v="0"/>
    <n v="0"/>
    <n v="0"/>
    <s v=""/>
    <s v=""/>
    <d v="2013-03-03T00:00:00"/>
    <n v="507000000"/>
    <n v="471070424"/>
    <n v="35929576"/>
    <m/>
    <x v="4"/>
    <x v="0"/>
    <x v="4"/>
    <s v=""/>
    <x v="0"/>
  </r>
  <r>
    <x v="5"/>
    <x v="4"/>
    <n v="900231022"/>
    <s v="Contratar los servicios de mantenimiento preventivo y correctivo, soporte técnico especializado y suministro de repuestos por demanda, de los sistemas de aire acondicionado del Concejo de Bogotá."/>
    <n v="12835200"/>
    <s v=" SDH-SMINC-042-2011"/>
    <n v="2011"/>
    <s v=" "/>
    <d v="2012-02-27T00:00:00"/>
    <d v="2013-02-27T00:00:00"/>
    <n v="0"/>
    <n v="0"/>
    <n v="0"/>
    <s v=""/>
    <s v=""/>
    <d v="2013-02-27T00:00:00"/>
    <n v="12835200"/>
    <n v="1092200"/>
    <n v="11743000"/>
    <m/>
    <x v="5"/>
    <x v="0"/>
    <x v="5"/>
    <s v=""/>
    <x v="0"/>
  </r>
  <r>
    <x v="6"/>
    <x v="5"/>
    <n v="800109177"/>
    <s v="Suscripción al servicio de información jurídica a través de boletines informativos por correo electrónico, consultas en página WEB y biblioteca digital de legislación y jurisprudencia colombiana actualizada."/>
    <n v="1750000"/>
    <s v=" "/>
    <n v="2011"/>
    <s v=" "/>
    <d v="2011-10-06T00:00:00"/>
    <d v="2012-10-06T00:00:00"/>
    <n v="1"/>
    <n v="875000"/>
    <n v="1"/>
    <s v="6 meses"/>
    <d v="2013-04-06T00:00:00"/>
    <d v="2013-04-06T00:00:00"/>
    <n v="2625000"/>
    <n v="0"/>
    <n v="2625000"/>
    <m/>
    <x v="6"/>
    <x v="0"/>
    <x v="6"/>
    <s v=""/>
    <x v="0"/>
  </r>
  <r>
    <x v="7"/>
    <x v="6"/>
    <n v="830050919"/>
    <s v="Desarrollar las actividades contenidas en los planes de bienestar  e incentivos del Concejo de Bogotá de conformidad con los requerimientos establecidos en los pliegos de Condiciones del proceso de selección Abreviada de Menor Cuantía SDH-SAMC-001-2011"/>
    <n v="497000000"/>
    <s v=" "/>
    <n v="2011"/>
    <s v=" "/>
    <d v="2011-07-22T00:00:00"/>
    <d v="2012-07-22T00:00:00"/>
    <n v="0"/>
    <n v="0"/>
    <n v="0"/>
    <s v=""/>
    <s v=""/>
    <d v="2012-07-22T00:00:00"/>
    <n v="497000000"/>
    <n v="495932967"/>
    <n v="1067033"/>
    <m/>
    <x v="7"/>
    <x v="0"/>
    <x v="7"/>
    <s v=""/>
    <x v="0"/>
  </r>
  <r>
    <x v="8"/>
    <x v="7"/>
    <n v="830040274"/>
    <s v="Realizar las pre-auditorias, auditorias y certificación al Sistema de Gestión Ambiental bajo los estándares de calidad de la norma ISO 14001: 2004 y el Sistema de Gestión de Seguridad y Salud Ocupacional cumpliendo con la norma OHSAS 18001: 2007 respectivamente para el Concejo de Bogotá D.C., de conformidad con lo establecido en el anexo definitivo de los estudios previos del Proceso No. SDH-SAMC-002-2011."/>
    <n v="9425000"/>
    <s v=" "/>
    <n v="2011"/>
    <s v=" "/>
    <d v="2011-11-23T00:00:00"/>
    <d v="2012-11-23T00:00:00"/>
    <n v="0"/>
    <n v="0"/>
    <n v="1"/>
    <s v="4 meses"/>
    <d v="2013-03-23T00:00:00"/>
    <d v="2013-03-23T00:00:00"/>
    <n v="9425000"/>
    <n v="9425000"/>
    <n v="0"/>
    <m/>
    <x v="3"/>
    <x v="0"/>
    <x v="3"/>
    <s v=""/>
    <x v="1"/>
  </r>
  <r>
    <x v="9"/>
    <x v="8"/>
    <n v="900340597"/>
    <s v="Prestar el servicio de mantenimiento correctivo con suministro de repuestos de los automotores marca MITSUBISHI al servicio del Concejo de Bogotá."/>
    <n v="15000000"/>
    <s v=" "/>
    <n v="2011"/>
    <s v=" "/>
    <d v="2011-11-16T00:00:00"/>
    <d v="2013-03-31T00:00:00"/>
    <n v="1"/>
    <n v="7930000"/>
    <n v="0"/>
    <s v=""/>
    <s v=""/>
    <d v="2013-03-31T00:00:00"/>
    <n v="22930000"/>
    <n v="18432731"/>
    <n v="4497269"/>
    <m/>
    <x v="8"/>
    <x v="0"/>
    <x v="8"/>
    <s v=""/>
    <x v="0"/>
  </r>
  <r>
    <x v="10"/>
    <x v="9"/>
    <n v="860403052"/>
    <s v="Adquisición y /o actualización, mantenimiento y soporte de licencias de software antivirus para el Concejo de Bogotá, de conformidad con lo establecido en la presente invitación pública."/>
    <n v="15063760"/>
    <s v=" "/>
    <n v="2011"/>
    <s v=" "/>
    <d v="2011-11-15T00:00:00"/>
    <d v="2012-11-29T00:00:00"/>
    <n v="1"/>
    <n v="4981040"/>
    <n v="1"/>
    <s v=""/>
    <d v="2013-03-29T00:00:00"/>
    <d v="2013-03-29T00:00:00"/>
    <n v="20044800"/>
    <n v="20044800"/>
    <n v="0"/>
    <m/>
    <x v="3"/>
    <x v="0"/>
    <x v="3"/>
    <s v=""/>
    <x v="1"/>
  </r>
  <r>
    <x v="11"/>
    <x v="10"/>
    <n v="800045609"/>
    <s v="Prestar el servicio de mantenimiento preventivo y correctivo (incluyendo repuestos), de los equipos de aseo (brilladoras y aspiradoras) del Concejo de Bogotá D.C., de conformidad con lo establecido en la invitación pública del proceso citado en asusto y la propuesta presentada por la firma que usted representa."/>
    <n v="8506800"/>
    <s v=" SDH-SMINC-027-2011"/>
    <n v="2011"/>
    <s v=" "/>
    <d v="2011-11-18T00:00:00"/>
    <d v="2012-11-18T00:00:00"/>
    <n v="1"/>
    <n v="1470000"/>
    <n v="1"/>
    <s v=""/>
    <d v="2013-02-18T00:00:00"/>
    <d v="2013-02-18T00:00:00"/>
    <n v="9976800"/>
    <n v="9976596"/>
    <n v="204"/>
    <m/>
    <x v="9"/>
    <x v="0"/>
    <x v="9"/>
    <s v=""/>
    <x v="1"/>
  </r>
  <r>
    <x v="12"/>
    <x v="11"/>
    <n v="830073623"/>
    <s v="Adquirir medios de almacenamiento cintas Tape Backup y CD, para garantizar la protección a la información."/>
    <n v="1306508"/>
    <s v=" "/>
    <n v="2011"/>
    <s v=" "/>
    <d v="2011-12-14T00:00:00"/>
    <d v="2012-01-14T00:00:00"/>
    <n v="0"/>
    <n v="0"/>
    <n v="0"/>
    <s v=""/>
    <s v=""/>
    <d v="2012-01-14T00:00:00"/>
    <n v="1306508"/>
    <n v="1306508"/>
    <n v="0"/>
    <m/>
    <x v="3"/>
    <x v="0"/>
    <x v="3"/>
    <s v=""/>
    <x v="1"/>
  </r>
  <r>
    <x v="13"/>
    <x v="12"/>
    <n v="860053274"/>
    <s v="Suministrar papelería y útiles de escritorio por el sistema de precios unitarios fijos, en la modalidad de proveeduría integral (outsourcing) para el Concejo de Bogotá D.C., de conformidad con los requerimientos establecidos en el pliego de condiciones y "/>
    <n v="102786079"/>
    <s v=" "/>
    <n v="2011"/>
    <s v=" "/>
    <d v="2011-12-20T00:00:00"/>
    <d v="2012-07-20T00:00:00"/>
    <n v="0"/>
    <n v="0"/>
    <n v="1"/>
    <s v="4 meses y 10 días"/>
    <d v="2012-11-30T00:00:00"/>
    <d v="2012-11-30T00:00:00"/>
    <n v="102786079"/>
    <n v="84046373"/>
    <n v="18739706"/>
    <m/>
    <x v="10"/>
    <x v="0"/>
    <x v="10"/>
    <s v=""/>
    <x v="0"/>
  </r>
  <r>
    <x v="14"/>
    <x v="13"/>
    <n v="860518574"/>
    <s v="Adquirir un sistema biométrico de control de acceso y control de horarios para  el Concejo de Bogotá, D.C. de conformidad con lo establecido en la invitación pública del proceso de selección citado en el asunto."/>
    <n v="49376272"/>
    <s v=" SDH-SMINC-043-2011"/>
    <n v="2011"/>
    <s v=" "/>
    <d v="2012-02-07T00:00:00"/>
    <d v="2013-02-07T00:00:00"/>
    <n v="0"/>
    <n v="0"/>
    <n v="0"/>
    <s v=""/>
    <s v=""/>
    <d v="2013-02-07T00:00:00"/>
    <n v="49376272"/>
    <n v="49376272"/>
    <n v="0"/>
    <m/>
    <x v="3"/>
    <x v="0"/>
    <x v="3"/>
    <s v=""/>
    <x v="1"/>
  </r>
  <r>
    <x v="15"/>
    <x v="14"/>
    <n v="830112518"/>
    <s v="Mantenimiento, soporte y actualización al software Prontus (Página web e Intranet)"/>
    <n v="79634000"/>
    <s v=" 040000-221-0-2012"/>
    <n v="2012"/>
    <s v=" "/>
    <d v="2012-06-27T00:00:00"/>
    <d v="2013-06-27T00:00:00"/>
    <n v="0"/>
    <n v="0"/>
    <n v="1"/>
    <s v="2 meses"/>
    <d v="2013-08-27T00:00:00"/>
    <d v="2013-08-27T00:00:00"/>
    <n v="79634000"/>
    <n v="79634000"/>
    <n v="0"/>
    <m/>
    <x v="3"/>
    <x v="0"/>
    <x v="3"/>
    <s v=""/>
    <x v="1"/>
  </r>
  <r>
    <x v="16"/>
    <x v="15"/>
    <n v="20546554"/>
    <s v="Adquirir medios de almacenamiento (CD, DVD, DVD/R) para el Concejo de Bogotá, de conformidad con las especificaciones técnicas previstas en la Invitación Pública del proceso de selección SDH-SMINC-026-2012."/>
    <n v="4206160"/>
    <s v=" SHD-SMINC-26-2012"/>
    <n v="2012"/>
    <s v=" "/>
    <d v="2012-10-31T00:00:00"/>
    <d v="2012-12-31T00:00:00"/>
    <n v="0"/>
    <n v="0"/>
    <n v="0"/>
    <s v=""/>
    <s v=""/>
    <d v="2012-12-31T00:00:00"/>
    <n v="4206160"/>
    <n v="0"/>
    <n v="4206160"/>
    <m/>
    <x v="6"/>
    <x v="0"/>
    <x v="6"/>
    <s v=""/>
    <x v="0"/>
  </r>
  <r>
    <x v="17"/>
    <x v="16"/>
    <n v="899999115"/>
    <s v="Prestar los servicios de conectividad de canales de comunicación, dedicados e internet y servicios complementarios para la secretaria Distrital de Hacienda y Concejo de Bogotá, de conformidad con lo establecido en los estudios previos."/>
    <n v="726335435"/>
    <s v=" "/>
    <n v="2012"/>
    <s v=" "/>
    <d v="2012-10-24T00:00:00"/>
    <d v="2013-12-01T00:00:00"/>
    <n v="0"/>
    <n v="0"/>
    <n v="0"/>
    <s v=""/>
    <s v=""/>
    <d v="2013-12-01T00:00:00"/>
    <n v="726335435"/>
    <n v="577978609"/>
    <n v="148356826"/>
    <m/>
    <x v="11"/>
    <x v="0"/>
    <x v="11"/>
    <s v=""/>
    <x v="0"/>
  </r>
  <r>
    <x v="18"/>
    <x v="17"/>
    <n v="860026518"/>
    <s v="Contratar la Póliza de Responsabilidad Civil Servidores Públicos para el Concejo de Bogotá D.C."/>
    <n v="48720000"/>
    <s v=" "/>
    <n v="2012"/>
    <s v=" "/>
    <d v="2012-04-26T00:00:00"/>
    <d v="2013-06-30T00:00:00"/>
    <n v="3"/>
    <n v="22376157"/>
    <n v="2"/>
    <s v="5 meses y 15 días"/>
    <d v="2013-12-15T00:00:00"/>
    <d v="2013-12-15T00:00:00"/>
    <n v="71096157"/>
    <n v="71096157"/>
    <n v="0"/>
    <m/>
    <x v="3"/>
    <x v="0"/>
    <x v="3"/>
    <s v=""/>
    <x v="1"/>
  </r>
  <r>
    <x v="19"/>
    <x v="18"/>
    <n v="860025639"/>
    <s v="Prestar el servicio de mantenimiento preventivo y correctivo ocasional a los ascensores marca Mitsubishi ubicados en el Concejo de Bogotá."/>
    <n v="11587500"/>
    <s v=" "/>
    <n v="2012"/>
    <s v=" "/>
    <d v="2012-06-14T00:00:00"/>
    <d v="2013-03-14T00:00:00"/>
    <n v="0"/>
    <n v="0"/>
    <n v="0"/>
    <s v=""/>
    <s v=""/>
    <d v="2013-03-14T00:00:00"/>
    <n v="11587500"/>
    <n v="10316808"/>
    <n v="1270692"/>
    <m/>
    <x v="12"/>
    <x v="0"/>
    <x v="12"/>
    <s v=""/>
    <x v="0"/>
  </r>
  <r>
    <x v="20"/>
    <x v="19"/>
    <n v="900281089"/>
    <s v="CONTRATAR  EL MANTENIMIENTO (CON SUMINISTRO DE REPUESTOS) Y RECARGA DE LOS EXTINTORES Y LA REVISIÓN Y MANTENIMIENTO DE LOS GABINETES CONTRA INCENDIO DE LAS SEDES DEL CONCEJO DE BOGOTÁ."/>
    <n v="4452000"/>
    <s v=" SDH-SMINC-45-2012"/>
    <n v="2012"/>
    <s v=" "/>
    <d v="2012-11-22T00:00:00"/>
    <d v="2013-01-04T00:00:00"/>
    <n v="0"/>
    <n v="0"/>
    <n v="0"/>
    <s v=""/>
    <s v=""/>
    <d v="2013-01-04T00:00:00"/>
    <n v="4452000"/>
    <n v="4452000"/>
    <n v="0"/>
    <m/>
    <x v="3"/>
    <x v="0"/>
    <x v="3"/>
    <s v=""/>
    <x v="1"/>
  </r>
  <r>
    <x v="21"/>
    <x v="20"/>
    <n v="860009759"/>
    <s v="SUSCRIPCIÓN AL DIARIO LA REPÚBLICA, POR EL TÉRMINO DE UN AÑO, PARA EL CONCEJO DE BOGOTÁ_x000a_"/>
    <n v="849000"/>
    <s v=" "/>
    <n v="2012"/>
    <s v=" "/>
    <d v="2012-05-15T00:00:00"/>
    <d v="2013-05-15T00:00:00"/>
    <n v="0"/>
    <n v="0"/>
    <n v="0"/>
    <s v=""/>
    <s v=""/>
    <d v="2013-05-15T00:00:00"/>
    <n v="849000"/>
    <n v="849000"/>
    <n v="0"/>
    <m/>
    <x v="3"/>
    <x v="0"/>
    <x v="3"/>
    <s v=""/>
    <x v="1"/>
  </r>
  <r>
    <x v="22"/>
    <x v="21"/>
    <n v="830107673"/>
    <s v="Realizar el mantenimiento correctivo y preventivo para las máquinas: Impresora Litográfica MULTILITIH modelo 1250, Compaginadora DUPLO DC 10, Guillotina y Cizalla manual; ubicadas en la oficina de Anales y Publicaciones del Concejo de Bogotá, Calle 36 No. 28 a-41 Bogotá D.C., de conformidad con lo establecido en la invitación pública."/>
    <n v="7192000"/>
    <s v=" "/>
    <n v="2012"/>
    <s v=" "/>
    <d v="2012-06-29T00:00:00"/>
    <d v="2013-02-28T00:00:00"/>
    <n v="0"/>
    <n v="0"/>
    <n v="0"/>
    <s v=""/>
    <s v=""/>
    <d v="2013-02-28T00:00:00"/>
    <n v="7192000"/>
    <n v="7192000"/>
    <n v="0"/>
    <m/>
    <x v="3"/>
    <x v="0"/>
    <x v="3"/>
    <s v=""/>
    <x v="1"/>
  </r>
  <r>
    <x v="23"/>
    <x v="22"/>
    <n v="900152368"/>
    <s v="Contratar el servicio de mantenimiento preventivo y correctivo para los tanques de almacenamiento y equipos de bombeo hidráulicos de agua potable, residual y aguas negras de las instalaciones del Centro Administrativo Distrital CAD ."/>
    <n v="4839200"/>
    <s v=" "/>
    <n v="2012"/>
    <s v=" "/>
    <d v="2012-08-23T00:00:00"/>
    <d v="2013-02-23T00:00:00"/>
    <n v="0"/>
    <n v="0"/>
    <n v="0"/>
    <s v=""/>
    <s v=""/>
    <d v="2013-02-23T00:00:00"/>
    <n v="4839200"/>
    <n v="4839200"/>
    <n v="0"/>
    <m/>
    <x v="3"/>
    <x v="0"/>
    <x v="3"/>
    <s v=""/>
    <x v="1"/>
  </r>
  <r>
    <x v="24"/>
    <x v="23"/>
    <n v="830038886"/>
    <s v="Prestar el servicio de mantenimiento periódico preventivo al parque automotor de la Secretaría Distrital de Hacienda y el Concejo de Bogotá D.C."/>
    <n v="13527752"/>
    <s v=" "/>
    <n v="2012"/>
    <s v=" "/>
    <d v="2012-08-16T00:00:00"/>
    <d v="2013-03-16T00:00:00"/>
    <n v="0"/>
    <n v="0"/>
    <n v="0"/>
    <s v=""/>
    <s v=""/>
    <d v="2013-03-16T00:00:00"/>
    <n v="13527752"/>
    <n v="0"/>
    <n v="13527752"/>
    <m/>
    <x v="6"/>
    <x v="0"/>
    <x v="6"/>
    <s v=""/>
    <x v="0"/>
  </r>
  <r>
    <x v="25"/>
    <x v="24"/>
    <n v="860011153"/>
    <s v="Expedición de pólizas de seguros EL CONCEJO DE BOGOTA que conforman el Grupo No 4 &quot;SEGUROS DE VIDA CONCEJALES&quot;, del pliego de condiciones de la Licitación Pública No. SDH-LP-001-2012 y la propuesta por el contratista el POSITIVA COMPAÑÍA DE SEGUROS S.A."/>
    <n v="85219000"/>
    <s v=" SDH-LP-001-2012"/>
    <n v="2012"/>
    <s v=" "/>
    <d v="2012-08-01T00:00:00"/>
    <d v="2013-09-14T00:00:00"/>
    <n v="1"/>
    <n v="15102355"/>
    <n v="0"/>
    <s v=""/>
    <s v=""/>
    <d v="2013-09-14T00:00:00"/>
    <n v="100321355"/>
    <n v="95321355"/>
    <n v="5000000"/>
    <m/>
    <x v="13"/>
    <x v="0"/>
    <x v="13"/>
    <s v=""/>
    <x v="0"/>
  </r>
  <r>
    <x v="26"/>
    <x v="25"/>
    <m/>
    <s v="La Secretaria Distrital de Hacienda, están interesadas en contratar las pólizas de seguros requeridas para la adecuada protección de los bienes e intereses patrimoniales de propiedad de las mismas y del Concejo de Bogotá D.C., o de aquellos por los cuales sean o llegaren a ser legalmente responsables, así como los seguros de Grupo Vida de los CONCEJALES DE BOGOTÁ D.C.- AUTOMÓVILES"/>
    <n v="81888094"/>
    <s v=" "/>
    <n v="2012"/>
    <s v=" "/>
    <d v="2012-08-01T00:00:00"/>
    <d v="2013-08-30T00:00:00"/>
    <n v="1"/>
    <n v="17234233"/>
    <n v="2"/>
    <s v="107 días calendario"/>
    <d v="2013-12-15T00:00:00"/>
    <d v="2013-12-15T00:00:00"/>
    <n v="99122327"/>
    <n v="93840542"/>
    <n v="5281785"/>
    <m/>
    <x v="14"/>
    <x v="0"/>
    <x v="14"/>
    <s v=""/>
    <x v="0"/>
  </r>
  <r>
    <x v="27"/>
    <x v="26"/>
    <n v="860007590"/>
    <s v="SUSCRIPCIÓN AL DIARIO EL ESPECTADOR, POR EL TÉRMINO DE UN AÑO, PARA EL CONCEJO DE BOGOTÁ."/>
    <n v="900000"/>
    <s v=" "/>
    <n v="2012"/>
    <s v=" "/>
    <d v="2012-09-10T00:00:00"/>
    <d v="2013-09-10T00:00:00"/>
    <n v="0"/>
    <n v="0"/>
    <n v="0"/>
    <s v=""/>
    <s v=""/>
    <d v="2013-09-10T00:00:00"/>
    <n v="900000"/>
    <n v="900000"/>
    <n v="0"/>
    <m/>
    <x v="3"/>
    <x v="0"/>
    <x v="3"/>
    <s v=""/>
    <x v="1"/>
  </r>
  <r>
    <x v="28"/>
    <x v="27"/>
    <n v="860536029"/>
    <s v="Realizar la suscripción a periódicos, revistas, medios de comunicación impresos, para el Concejo de Bogotá _EL NUEVO SIGLO"/>
    <n v="840000"/>
    <s v=" "/>
    <n v="2012"/>
    <s v=" "/>
    <d v="2012-09-13T00:00:00"/>
    <d v="2013-09-13T00:00:00"/>
    <n v="0"/>
    <n v="0"/>
    <n v="0"/>
    <s v=""/>
    <s v=""/>
    <d v="2013-09-13T00:00:00"/>
    <n v="840000"/>
    <n v="840000"/>
    <n v="0"/>
    <m/>
    <x v="3"/>
    <x v="0"/>
    <x v="3"/>
    <s v=""/>
    <x v="1"/>
  </r>
  <r>
    <x v="29"/>
    <x v="28"/>
    <n v="860509265"/>
    <s v="SUSCRIPCIÓN A LA REVISTA SEMANA, POR EL TÉRMINO DE UN AÑO, PARA EL CONCEJO DE BOGOTÁ"/>
    <n v="795000"/>
    <s v=" 050000-348-0-2012"/>
    <n v="2012"/>
    <s v=" "/>
    <d v="2012-09-28T00:00:00"/>
    <d v="2013-09-28T00:00:00"/>
    <n v="0"/>
    <n v="0"/>
    <n v="0"/>
    <s v=""/>
    <s v=""/>
    <d v="2013-09-28T00:00:00"/>
    <n v="795000"/>
    <n v="795000"/>
    <n v="0"/>
    <m/>
    <x v="3"/>
    <x v="0"/>
    <x v="3"/>
    <s v=""/>
    <x v="1"/>
  </r>
  <r>
    <x v="30"/>
    <x v="29"/>
    <n v="800008838"/>
    <s v="Prestar el servicio de mantenimiento preventivo y correctivo con suministro de repuestos, del sistema de alarmas de emergencia, ubicado en las sedes del Concejo de Bogotá D.C."/>
    <n v="1818000"/>
    <s v=" "/>
    <n v="2012"/>
    <s v=" "/>
    <d v="2012-09-13T00:00:00"/>
    <d v="2013-03-13T00:00:00"/>
    <n v="0"/>
    <n v="0"/>
    <n v="0"/>
    <s v=""/>
    <s v=""/>
    <d v="2013-03-13T00:00:00"/>
    <n v="1818000"/>
    <n v="0"/>
    <n v="1818000"/>
    <m/>
    <x v="6"/>
    <x v="0"/>
    <x v="6"/>
    <s v=""/>
    <x v="0"/>
  </r>
  <r>
    <x v="31"/>
    <x v="30"/>
    <n v="51979294"/>
    <s v="Prestar los servicios profesionales para asesorar Jurídicamente a los miembros  mesa directiva del Concejo de Bogotá D.C., en ala prevención del daño antijurídico"/>
    <n v="30000000"/>
    <s v=" "/>
    <n v="2012"/>
    <s v=" "/>
    <d v="2012-08-30T00:00:00"/>
    <d v="2013-02-28T00:00:00"/>
    <n v="0"/>
    <n v="0"/>
    <n v="0"/>
    <s v=""/>
    <s v=""/>
    <d v="2013-02-28T00:00:00"/>
    <n v="30000000"/>
    <n v="30000000"/>
    <n v="0"/>
    <m/>
    <x v="3"/>
    <x v="0"/>
    <x v="3"/>
    <s v=""/>
    <x v="1"/>
  </r>
  <r>
    <x v="32"/>
    <x v="31"/>
    <n v="39753021"/>
    <s v="PRESTAR LOS SERVICIOS PROFESIONALES PARA EFECTUAR EL APOYO AL SEGUIMIENTO Y LA VERIFICACIÓN DE CUMPLIMIENTO DE LOS ASPECTOS JURÍDICOS, TÉCNICOS, ADMINISTRATIVOS Y ECONÓMICOS DE LAS ACTIVIDADES DE SUPERVISIÓN, DELEGADAS A LA DIRECCIÓN ADMINISTRATIVA Y FINANCIERA DEL CONCEJO DE BOGOTÁ D.C., DE CONFORMIDAD CON LOS ESTUDIOS PREVIOS."/>
    <n v="35000000"/>
    <s v=" "/>
    <n v="2012"/>
    <s v=" "/>
    <d v="2012-09-03T00:00:00"/>
    <d v="2013-04-03T00:00:00"/>
    <n v="0"/>
    <n v="0"/>
    <n v="0"/>
    <s v=""/>
    <s v=""/>
    <d v="2013-04-03T00:00:00"/>
    <n v="35000000"/>
    <n v="34666667"/>
    <n v="333333"/>
    <m/>
    <x v="15"/>
    <x v="0"/>
    <x v="15"/>
    <s v=""/>
    <x v="0"/>
  </r>
  <r>
    <x v="33"/>
    <x v="32"/>
    <n v="830031631"/>
    <s v="Adquirir a título de compraventa elementos de protección personal para los servidores públicos  del Concejo de Bogotá,  de conformidad con los establecido en la invitación pública del proceso de selección mínima cuantía No. SDH-SMINC-25-2012 y la propuesta por ustedes presentada."/>
    <n v="8334226"/>
    <s v=" "/>
    <n v="2012"/>
    <s v=" "/>
    <d v="2012-09-18T00:00:00"/>
    <d v="2013-12-18T00:00:00"/>
    <n v="0"/>
    <n v="0"/>
    <n v="0"/>
    <s v=""/>
    <s v=""/>
    <d v="2013-12-18T00:00:00"/>
    <n v="8334226"/>
    <n v="8334226"/>
    <n v="0"/>
    <m/>
    <x v="3"/>
    <x v="0"/>
    <x v="3"/>
    <s v=""/>
    <x v="1"/>
  </r>
  <r>
    <x v="34"/>
    <x v="33"/>
    <n v="830095213"/>
    <s v="Suministro de combustible para el Concejo de Bogotá D.C., de conformidad con los pliegos de condiciones del proceso de selección abreviada de menor cuantía No. SDH-SAMC-002-2012 y la propuesta."/>
    <n v="315000000"/>
    <s v=" SDH-SAMC-002-2012"/>
    <n v="2012"/>
    <s v=" "/>
    <d v="2012-09-11T00:00:00"/>
    <d v="2013-04-11T00:00:00"/>
    <n v="0"/>
    <n v="0"/>
    <n v="1"/>
    <s v="77 días"/>
    <d v="2013-06-27T00:00:00"/>
    <d v="2013-06-27T00:00:00"/>
    <n v="315000000"/>
    <n v="314473887"/>
    <n v="526113"/>
    <m/>
    <x v="16"/>
    <x v="0"/>
    <x v="16"/>
    <s v=""/>
    <x v="0"/>
  </r>
  <r>
    <x v="35"/>
    <x v="34"/>
    <n v="80089626"/>
    <s v="Prestar los servicios profesionales para apoyar a la oficina de sistemas del Concejo de Bogotá en el soporte técnico y mantenimiento de Hardware y software de los equipos de computo de la Corporación."/>
    <n v="20565000"/>
    <s v=" "/>
    <n v="2012"/>
    <s v=" "/>
    <d v="2012-09-10T00:00:00"/>
    <d v="2013-03-10T00:00:00"/>
    <n v="0"/>
    <n v="0"/>
    <n v="0"/>
    <s v=""/>
    <s v=""/>
    <d v="2013-03-10T00:00:00"/>
    <n v="20565000"/>
    <n v="20565000"/>
    <n v="0"/>
    <m/>
    <x v="3"/>
    <x v="0"/>
    <x v="3"/>
    <s v=""/>
    <x v="1"/>
  </r>
  <r>
    <x v="36"/>
    <x v="35"/>
    <n v="52798119"/>
    <s v="Adquirir a título de compraventa de uniformes y elementos deportivos para el Concejo de Bogotá, D.C._x000a_"/>
    <n v="6730000"/>
    <s v=" "/>
    <n v="2012"/>
    <s v=" "/>
    <d v="2012-10-11T00:00:00"/>
    <d v="2012-12-11T00:00:00"/>
    <n v="0"/>
    <n v="0"/>
    <n v="1"/>
    <s v="9 días"/>
    <d v="2012-12-20T00:00:00"/>
    <d v="2012-12-20T00:00:00"/>
    <n v="6730000"/>
    <n v="6395000"/>
    <n v="335000"/>
    <m/>
    <x v="17"/>
    <x v="0"/>
    <x v="17"/>
    <s v=""/>
    <x v="0"/>
  </r>
  <r>
    <x v="37"/>
    <x v="36"/>
    <n v="79425541"/>
    <s v="CONTRATAR LOS SERVICIOS PROFESIONALES PARA ELABORAR LA PLANEACIÓN, EJECUCIÓN Y SEGUIMIENTO A PROYECTOS DE INFRAESTRUCTURA FÍSICA, QUE REQUIERA EL  CONCEJO DE BOGOTÁ D.C."/>
    <n v="23994880"/>
    <s v=" 050000-427-0-2012"/>
    <n v="2012"/>
    <s v=" "/>
    <d v="2012-10-23T00:00:00"/>
    <d v="2013-04-23T00:00:00"/>
    <n v="0"/>
    <n v="0"/>
    <n v="0"/>
    <s v=""/>
    <s v=""/>
    <d v="2013-04-23T00:00:00"/>
    <n v="23994880"/>
    <n v="23994876"/>
    <n v="4"/>
    <m/>
    <x v="18"/>
    <x v="0"/>
    <x v="18"/>
    <s v=""/>
    <x v="1"/>
  </r>
  <r>
    <x v="38"/>
    <x v="37"/>
    <n v="5946865"/>
    <s v="Prestar los servicios profesionales para diseñar el plan estratégico del talento humano-PETH para el Concejo de Bogotá."/>
    <n v="38400000"/>
    <s v=" "/>
    <n v="2012"/>
    <s v=" "/>
    <d v="2012-10-05T00:00:00"/>
    <d v="2013-04-05T00:00:00"/>
    <n v="0"/>
    <n v="0"/>
    <n v="0"/>
    <s v=""/>
    <s v=""/>
    <d v="2013-04-05T00:00:00"/>
    <n v="38400000"/>
    <n v="38400000"/>
    <n v="0"/>
    <m/>
    <x v="3"/>
    <x v="0"/>
    <x v="3"/>
    <s v=""/>
    <x v="1"/>
  </r>
  <r>
    <x v="39"/>
    <x v="38"/>
    <n v="900220190"/>
    <s v="Adquirir a título de compraventa por el sistema de precios unitarios de elementos, medicamentos e insumos  para dotar los botiquines, consultorio y brigadas de emergencia del Concejo de Bogotá, D.C."/>
    <n v="3961330"/>
    <s v=" "/>
    <n v="2012"/>
    <s v=" "/>
    <d v="2012-12-03T00:00:00"/>
    <d v="2013-02-03T00:00:00"/>
    <n v="0"/>
    <n v="0"/>
    <n v="0"/>
    <s v=""/>
    <s v=""/>
    <d v="2013-02-03T00:00:00"/>
    <n v="3961330"/>
    <n v="3961330"/>
    <n v="0"/>
    <m/>
    <x v="3"/>
    <x v="0"/>
    <x v="3"/>
    <s v=""/>
    <x v="1"/>
  </r>
  <r>
    <x v="40"/>
    <x v="39"/>
    <n v="900350416"/>
    <s v="EJECUTAR ACTIVIDADES DE CAPACITACIÓN PARA EL CONCEJO DE BOGOTÁ, EN EL EJE TEMÁTICO DEL SISTEMA DE INFORMACIÓN Y GESTIÓN DOCUMENTAL DE ARCHIVO Y CORRESPONDENCIA, DE CONFORMIDAD CON LOS DOCUMENTOS QUE HACEN PARTE DE LA PRESENTE CONTRATACIÓN Y  LO ESTABLECIDO EN LA PRESENTE INVITACIÓN PÚBLICA"/>
    <n v="24000000"/>
    <s v=" SDH-SMINC-52-2012"/>
    <n v="2012"/>
    <s v=" "/>
    <d v="2012-12-27T00:00:00"/>
    <d v="2013-06-27T00:00:00"/>
    <n v="0"/>
    <n v="0"/>
    <n v="0"/>
    <s v=""/>
    <s v=""/>
    <d v="2013-06-27T00:00:00"/>
    <n v="24000000"/>
    <n v="24000000"/>
    <n v="0"/>
    <m/>
    <x v="3"/>
    <x v="0"/>
    <x v="3"/>
    <s v=""/>
    <x v="1"/>
  </r>
  <r>
    <x v="41"/>
    <x v="40"/>
    <n v="80725449"/>
    <s v="Contratar el servicio para la elaboración del retrato sobre lienzo al óleo del Honorable Concejal de Bogotá D.C., doctor Darío Fernando Cepeda Peña, actual Presidente de la Mesa Directiva del Concejo de Bogotá D.C.k, de conformidad con los estudios previo"/>
    <n v="6000000"/>
    <s v=" "/>
    <n v="2012"/>
    <s v=" "/>
    <d v="2013-01-18T00:00:00"/>
    <d v="2013-03-17T00:00:00"/>
    <n v="0"/>
    <n v="0"/>
    <n v="0"/>
    <s v=""/>
    <s v=""/>
    <d v="2013-03-17T00:00:00"/>
    <n v="6000000"/>
    <n v="6000000"/>
    <n v="0"/>
    <m/>
    <x v="3"/>
    <x v="0"/>
    <x v="3"/>
    <s v=""/>
    <x v="1"/>
  </r>
  <r>
    <x v="42"/>
    <x v="41"/>
    <n v="830067096"/>
    <s v="Suscripción a la  revista El Congreso Siglo XXI, con destino al Concejo de Bogotá, D.C., de acuerdo con lo establecido en los estudios previos"/>
    <n v="7740000"/>
    <s v=" 120000-125-0-2012"/>
    <n v="2012"/>
    <s v=" "/>
    <d v="2012-07-17T00:00:00"/>
    <d v="2013-07-17T00:00:00"/>
    <n v="0"/>
    <n v="0"/>
    <n v="0"/>
    <s v=""/>
    <s v=""/>
    <d v="2013-07-17T00:00:00"/>
    <n v="7740000"/>
    <n v="7740000"/>
    <n v="0"/>
    <m/>
    <x v="3"/>
    <x v="0"/>
    <x v="3"/>
    <s v=""/>
    <x v="1"/>
  </r>
  <r>
    <x v="43"/>
    <x v="42"/>
    <n v="830034865"/>
    <s v="Contratar el servicio de exámenes médicos ocupacionales y paraclínicos y suministro y aplicación de vacunas"/>
    <n v="47000000"/>
    <s v=" SDH-SAMC-001-2012"/>
    <n v="2012"/>
    <s v=" "/>
    <d v="2012-06-04T00:00:00"/>
    <d v="2013-02-04T00:00:00"/>
    <n v="0"/>
    <n v="0"/>
    <n v="1"/>
    <s v="3 meses"/>
    <d v="2013-05-04T00:00:00"/>
    <d v="2013-05-04T00:00:00"/>
    <n v="47000000"/>
    <n v="41245000"/>
    <n v="5755000"/>
    <m/>
    <x v="19"/>
    <x v="0"/>
    <x v="19"/>
    <s v=""/>
    <x v="0"/>
  </r>
  <r>
    <x v="44"/>
    <x v="43"/>
    <n v="830012587"/>
    <s v="Contratar la preproducción, producción, emisión y postproducción de 140 programas de televisión, con un término de duración de treinta (30) minutos cada uno, que permita a los bogotanos conocer el diario transcurrir de la Corporación, así como las opiniones de los Honorables Concejales que representan los intereses de los diferentes sectores sociales de la Capital, de conformidad con lo establecido en los estudios previos."/>
    <n v="950000000"/>
    <s v=" 120000-177-0-2012"/>
    <n v="2012"/>
    <s v=" "/>
    <d v="2012-05-24T00:00:00"/>
    <d v="2013-04-24T00:00:00"/>
    <n v="0"/>
    <n v="0"/>
    <n v="1"/>
    <s v="12 días"/>
    <d v="2013-05-06T00:00:00"/>
    <d v="2013-05-06T00:00:00"/>
    <n v="950000000"/>
    <n v="950000000"/>
    <n v="0"/>
    <m/>
    <x v="3"/>
    <x v="0"/>
    <x v="3"/>
    <s v=""/>
    <x v="1"/>
  </r>
  <r>
    <x v="45"/>
    <x v="44"/>
    <n v="900118932"/>
    <s v="Alquiler de medios tecnológicos para ser utilizados como apoyo en el esquema de seguridad para la permanencia y adecuada protección de los bienes muebles e inmuebles de propiedad del Concejo de Bogotá D.C., de conformidad con lo establecido en la Invitación Pública No. SHD-SMINC-015-2012 y la propuesta presentada por el contratista."/>
    <n v="27918648"/>
    <s v=" "/>
    <n v="2012"/>
    <s v=" "/>
    <d v="2012-06-21T00:00:00"/>
    <d v="2012-08-11T00:00:00"/>
    <n v="2"/>
    <n v="13786987"/>
    <n v="2"/>
    <s v="1 mes y 20 días"/>
    <d v="2012-10-31T00:00:00"/>
    <d v="2012-10-31T00:00:00"/>
    <n v="41705635"/>
    <n v="41705635"/>
    <n v="0"/>
    <m/>
    <x v="3"/>
    <x v="0"/>
    <x v="3"/>
    <s v=""/>
    <x v="1"/>
  </r>
  <r>
    <x v="46"/>
    <x v="45"/>
    <n v="860009578"/>
    <s v="Contratar con una compañía de seguros legalmente autorizada para funcionar en el país, las pólizas de Seguro Obligatorio SOAT requerida para la adecuada protección de los vehículos de propiedad de la SECRETARIA DE HACIENDA y del CONCEJO DE BOGOTÁ"/>
    <n v="4100000"/>
    <s v=" SDH-SMINC-19-2012"/>
    <n v="2012"/>
    <s v=" "/>
    <d v="2012-07-13T00:00:00"/>
    <d v="2013-07-16T00:00:00"/>
    <n v="0"/>
    <n v="0"/>
    <n v="0"/>
    <s v=""/>
    <s v=""/>
    <d v="2013-07-16T00:00:00"/>
    <n v="4100000"/>
    <n v="3389600"/>
    <n v="710400"/>
    <m/>
    <x v="20"/>
    <x v="0"/>
    <x v="20"/>
    <s v=""/>
    <x v="0"/>
  </r>
  <r>
    <x v="47"/>
    <x v="46"/>
    <n v="900268429"/>
    <s v="Prestar el servicio de mantenimiento preventivo y correctivo al sistema eléctrico del  Centro Administrativo Distrital CAD y al Sistema de Generación y Transferencia Eléctrica de Emergencia  del Concejo de Bogotá, DC."/>
    <n v="8932201"/>
    <s v=" "/>
    <n v="2012"/>
    <s v=" "/>
    <d v="2012-08-30T00:00:00"/>
    <d v="2013-05-30T00:00:00"/>
    <n v="0"/>
    <n v="0"/>
    <n v="1"/>
    <s v="4 meses"/>
    <d v="2013-09-30T00:00:00"/>
    <d v="2013-09-30T00:00:00"/>
    <n v="8932201"/>
    <n v="8906668"/>
    <n v="25533"/>
    <m/>
    <x v="21"/>
    <x v="0"/>
    <x v="21"/>
    <s v=""/>
    <x v="0"/>
  </r>
  <r>
    <x v="48"/>
    <x v="47"/>
    <n v="830006177"/>
    <s v="Contrata el transporte  de bienes muebles, equipos de oficina y cajas de archivo documental  para la Secretaría Distrital de Hacienda, dentro el perímetro urbano de Bogotá, D.C."/>
    <n v="8545000"/>
    <s v=" "/>
    <n v="2012"/>
    <s v=" "/>
    <d v="2012-09-03T00:00:00"/>
    <d v="2013-04-03T00:00:00"/>
    <n v="0"/>
    <n v="0"/>
    <n v="1"/>
    <s v="3 meses"/>
    <d v="2013-07-03T00:00:00"/>
    <d v="2013-07-03T00:00:00"/>
    <n v="8545000"/>
    <n v="4336000"/>
    <n v="4209000"/>
    <m/>
    <x v="22"/>
    <x v="0"/>
    <x v="22"/>
    <s v=""/>
    <x v="0"/>
  </r>
  <r>
    <x v="49"/>
    <x v="48"/>
    <n v="900548648"/>
    <s v="Prestar el servicio integral de aseo y cafetería  para las instalaciones del Concejo de Bogotá y la Secretaria de Hacienda "/>
    <n v="220839000"/>
    <s v=" "/>
    <n v="2012"/>
    <s v=" "/>
    <d v="2012-09-20T00:00:00"/>
    <d v="2013-04-20T00:00:00"/>
    <n v="1"/>
    <n v="21739353"/>
    <n v="1"/>
    <s v="2 meses"/>
    <d v="2013-06-20T00:00:00"/>
    <d v="2013-06-20T00:00:00"/>
    <n v="242578353"/>
    <n v="218264339"/>
    <n v="24314014"/>
    <m/>
    <x v="23"/>
    <x v="0"/>
    <x v="23"/>
    <s v=""/>
    <x v="0"/>
  </r>
  <r>
    <x v="50"/>
    <x v="49"/>
    <n v="79661783"/>
    <s v="Prestar el servicio de empaste y/o encuadernación de documentos de archivo en libros tamaños carta, oficio o extra-oficio para el Concejo de Bogotá D.C:, de conformidad con lo establecido en las especificaciones enunciadas en el Anexo Técnico - Especifica"/>
    <n v="4493000"/>
    <s v=" "/>
    <n v="2012"/>
    <s v=" "/>
    <d v="2012-09-20T00:00:00"/>
    <d v="2013-03-20T00:00:00"/>
    <n v="0"/>
    <n v="0"/>
    <n v="1"/>
    <s v="2 meses"/>
    <d v="2013-05-20T00:00:00"/>
    <d v="2013-05-20T00:00:00"/>
    <n v="4493000"/>
    <n v="3309000"/>
    <n v="1184000"/>
    <m/>
    <x v="24"/>
    <x v="0"/>
    <x v="24"/>
    <s v=""/>
    <x v="0"/>
  </r>
  <r>
    <x v="51"/>
    <x v="50"/>
    <n v="830053669"/>
    <s v="Contratar la prestación de servicio de fotocopiado y servicios afines para el Concejo de Bogotá y la Secretaría de Hacienda"/>
    <n v="22726000"/>
    <s v=" "/>
    <n v="2012"/>
    <s v=" "/>
    <d v="2012-09-11T00:00:00"/>
    <d v="2013-04-11T00:00:00"/>
    <n v="1"/>
    <n v="2000000"/>
    <n v="1"/>
    <s v="1 mes y 20 días"/>
    <d v="2013-05-31T00:00:00"/>
    <d v="2013-05-31T00:00:00"/>
    <n v="24726000"/>
    <n v="24725958"/>
    <n v="42"/>
    <m/>
    <x v="25"/>
    <x v="0"/>
    <x v="25"/>
    <s v=""/>
    <x v="1"/>
  </r>
  <r>
    <x v="52"/>
    <x v="51"/>
    <n v="900552779"/>
    <s v="Contratar la prestación de los servicio de mensajería expresa masiva del Concejo de  Bogotá  de conformidad con los pliegos de condiciones del proceso de Selección Abreviada de Menor Cuantía No. SDH-SAMC-003-2012 y la propuesta presentada."/>
    <n v="19116000"/>
    <s v=" SDH-SAMC-003-2012"/>
    <n v="2012"/>
    <s v=" "/>
    <d v="2012-09-24T00:00:00"/>
    <d v="2013-04-24T00:00:00"/>
    <n v="1"/>
    <n v="1807575"/>
    <n v="1"/>
    <s v="21 días calendario"/>
    <d v="2013-05-15T00:00:00"/>
    <d v="2013-05-15T00:00:00"/>
    <n v="20923575"/>
    <n v="19912200"/>
    <n v="1011375"/>
    <m/>
    <x v="26"/>
    <x v="0"/>
    <x v="26"/>
    <s v=""/>
    <x v="0"/>
  </r>
  <r>
    <x v="53"/>
    <x v="52"/>
    <n v="830143378"/>
    <s v="Realizar la ejecución de actividades de capacitación para el Concejo de Bogotá, D.C., correspondientes a los Grupos 4: Eje temático: Administración Pública; 5: Eje temático: Componente Jurídico y 9: Eje temático: Sistema Integrado de Gestión,  de la Licitación Pública SDH-LP-002-2012, de conformidad con lo establecido en el pliego de condiciones."/>
    <n v="282073266"/>
    <s v=" "/>
    <n v="2012"/>
    <s v=" "/>
    <d v="2012-10-16T00:00:00"/>
    <d v="2013-06-16T00:00:00"/>
    <n v="0"/>
    <n v="0"/>
    <n v="0"/>
    <s v=""/>
    <s v=""/>
    <d v="2013-06-16T00:00:00"/>
    <n v="282073266"/>
    <n v="282073266"/>
    <n v="0"/>
    <m/>
    <x v="3"/>
    <x v="0"/>
    <x v="3"/>
    <s v=""/>
    <x v="1"/>
  </r>
  <r>
    <x v="54"/>
    <x v="53"/>
    <n v="830126085"/>
    <s v="Realizar la ejecución de actividades de capacitación para el Concejo de Bogotá, D.C., correspondientes al Grupo 8: Ejes temáticos : Comunicación Organizacional y Calidad de Vida Laboral para los grupos de apoyo normativo, de la Licitación Pública SDH-LP-002-2012, de conformidad con lo establecido en el pliego de condiciones, el Anexo técnico y la propuesta"/>
    <n v="50618751"/>
    <s v=" "/>
    <n v="2012"/>
    <s v=" "/>
    <d v="2012-10-16T00:00:00"/>
    <d v="2013-06-16T00:00:00"/>
    <n v="0"/>
    <n v="0"/>
    <n v="0"/>
    <s v=""/>
    <s v=""/>
    <d v="2013-06-16T00:00:00"/>
    <n v="50618751"/>
    <n v="50618751"/>
    <n v="0"/>
    <m/>
    <x v="3"/>
    <x v="0"/>
    <x v="3"/>
    <s v=""/>
    <x v="1"/>
  </r>
  <r>
    <x v="55"/>
    <x v="54"/>
    <n v="860015685"/>
    <s v="Realizar la ejecución de actividades de capacitación para el Concejo de Bogotá, D.C., correspondientes al Grupo 7: Eje temático: Sistemas y Herramientas Informáticas,  de la Licitación Pública SDH-LP-002-2012, de conformidad con lo establecido en el pliego"/>
    <n v="69900000"/>
    <s v=" "/>
    <n v="2012"/>
    <s v=" "/>
    <d v="2012-10-20T00:00:00"/>
    <d v="2013-06-20T00:00:00"/>
    <n v="0"/>
    <n v="0"/>
    <n v="0"/>
    <s v="41 días"/>
    <d v="2013-07-31T00:00:00"/>
    <d v="2013-07-31T00:00:00"/>
    <n v="69900000"/>
    <n v="69900000"/>
    <n v="0"/>
    <m/>
    <x v="3"/>
    <x v="0"/>
    <x v="3"/>
    <s v=""/>
    <x v="1"/>
  </r>
  <r>
    <x v="56"/>
    <x v="55"/>
    <n v="860506170"/>
    <s v="LA SECRETARÍA DISTRITAL DE HACIENDA Y EL INSTITUTO DISTRITAL DE PATRIMONIO CULTURAL, se comprometen a aunar esfuerzos, recursos técnicos, humanos y financieros para la intervención y realización de las actividades asociadas a la restauración - conservación de los bienes muebles de carácter patrimonial del Honorable Concejo de Bogotá D.C."/>
    <n v="500000000"/>
    <s v=" "/>
    <n v="2012"/>
    <s v=" "/>
    <d v="2012-09-18T00:00:00"/>
    <d v="2013-05-18T00:00:00"/>
    <n v="0"/>
    <n v="0"/>
    <n v="0"/>
    <s v=""/>
    <s v=""/>
    <d v="2013-05-18T00:00:00"/>
    <n v="500000000"/>
    <n v="500000000"/>
    <n v="0"/>
    <m/>
    <x v="3"/>
    <x v="0"/>
    <x v="3"/>
    <s v=""/>
    <x v="1"/>
  </r>
  <r>
    <x v="57"/>
    <x v="56"/>
    <n v="860049921"/>
    <s v="REALIZAR LAS  AUDITORIAS DE SEGUIMIENTO AL SISTEMA DE GESTIÓN DE CALIDAD DEL CONCEJO DE BOGOTÁ"/>
    <n v="10440000"/>
    <s v=" 120000-196-0-2012"/>
    <n v="2012"/>
    <s v=" "/>
    <d v="2012-06-07T00:00:00"/>
    <d v="2013-02-07T00:00:00"/>
    <n v="0"/>
    <n v="0"/>
    <n v="0"/>
    <s v=""/>
    <s v=""/>
    <d v="2013-02-07T00:00:00"/>
    <n v="10440000"/>
    <n v="10440000"/>
    <n v="0"/>
    <m/>
    <x v="3"/>
    <x v="0"/>
    <x v="3"/>
    <s v=""/>
    <x v="1"/>
  </r>
  <r>
    <x v="58"/>
    <x v="57"/>
    <n v="830085352"/>
    <s v="Realizar la interventoría técnica, administrativa, ambiental, contable, contractual, financiera, legal y presupuestal, para el contrato de “Mantenimiento integral locativo, con el suministro de personal, materiales y repuestos para las instalaciones físicas del Concejo D.C.&quot;, de conformidad con lo establecido en la invitación pública del proceso SDH-SMINC-029-2012 y la propuesta presentada."/>
    <n v="24824832"/>
    <s v=" SDH-SMINC-029-2012"/>
    <n v="2012"/>
    <s v=" "/>
    <d v="2012-10-26T00:00:00"/>
    <d v="2013-07-26T00:00:00"/>
    <n v="0"/>
    <n v="0"/>
    <n v="0"/>
    <s v=""/>
    <s v=""/>
    <d v="2013-07-26T00:00:00"/>
    <n v="24824832"/>
    <n v="24824832"/>
    <n v="0"/>
    <m/>
    <x v="3"/>
    <x v="0"/>
    <x v="3"/>
    <s v=""/>
    <x v="1"/>
  </r>
  <r>
    <x v="59"/>
    <x v="58"/>
    <n v="900169179"/>
    <s v="Suscripción  al diario Periódico de Bogotá, con destino al Concejo de Bogotá, DC., de conformidad con los estudios previos."/>
    <n v="810000"/>
    <s v=" "/>
    <n v="2012"/>
    <s v=" "/>
    <d v="2012-10-11T00:00:00"/>
    <d v="2013-10-11T00:00:00"/>
    <n v="0"/>
    <n v="0"/>
    <n v="0"/>
    <s v=""/>
    <s v=""/>
    <d v="2013-10-11T00:00:00"/>
    <n v="810000"/>
    <n v="810000"/>
    <n v="0"/>
    <m/>
    <x v="3"/>
    <x v="0"/>
    <x v="3"/>
    <s v=""/>
    <x v="1"/>
  </r>
  <r>
    <x v="60"/>
    <x v="59"/>
    <n v="830042460"/>
    <s v="Contratar el servicio de mantenimiento integral locativo con el suministro de personal, equipo y repuestos en las instalaciones físicas del Concejo de Bogotá y la Secretaría de Hacienda"/>
    <n v="299287875"/>
    <s v=" SDH-SAMC-004-2012"/>
    <n v="2012"/>
    <s v=" "/>
    <d v="2012-10-26T00:00:00"/>
    <d v="2013-06-26T00:00:00"/>
    <n v="0"/>
    <n v="0"/>
    <n v="0"/>
    <s v=""/>
    <s v=""/>
    <d v="2013-06-26T00:00:00"/>
    <n v="299287875"/>
    <n v="160844981"/>
    <n v="138442894"/>
    <m/>
    <x v="27"/>
    <x v="0"/>
    <x v="27"/>
    <s v=""/>
    <x v="0"/>
  </r>
  <r>
    <x v="61"/>
    <x v="60"/>
    <n v="830017796"/>
    <s v="Revisión general de los sistemas de transporte vertical del CAD y del Concejo de Bogotá y Expedir la certificación de conformidad con la normatividad vigente sobre el tema"/>
    <n v="1392000"/>
    <s v=" SMINC-35-2012"/>
    <n v="2012"/>
    <s v=" "/>
    <d v="2012-11-29T00:00:00"/>
    <d v="2013-01-29T00:00:00"/>
    <n v="0"/>
    <n v="0"/>
    <n v="4"/>
    <s v="9 meses"/>
    <d v="2013-09-17T00:00:00"/>
    <d v="2013-09-17T00:00:00"/>
    <n v="1392000"/>
    <n v="0"/>
    <n v="1392000"/>
    <m/>
    <x v="6"/>
    <x v="0"/>
    <x v="6"/>
    <s v=""/>
    <x v="0"/>
  </r>
  <r>
    <x v="62"/>
    <x v="61"/>
    <n v="830043839"/>
    <s v="Contratar el servicio de mantenimiento preventivo y correctivo de los sistemas de archivos rodantes, de propiedad del Concejo de Bogotá y la Secretaría de Hacienda"/>
    <n v="4056000"/>
    <s v=" SDH-SMINC-34-2012"/>
    <n v="2012"/>
    <s v=" "/>
    <d v="2012-10-26T00:00:00"/>
    <d v="2013-04-26T00:00:00"/>
    <n v="0"/>
    <n v="0"/>
    <n v="0"/>
    <s v=""/>
    <s v=""/>
    <d v="2013-04-26T00:00:00"/>
    <n v="4056000"/>
    <n v="4056000"/>
    <n v="0"/>
    <m/>
    <x v="3"/>
    <x v="0"/>
    <x v="3"/>
    <s v=""/>
    <x v="1"/>
  </r>
  <r>
    <x v="63"/>
    <x v="62"/>
    <n v="900431177"/>
    <s v="Prestar el servicio integral de vigilancia y seguridad privada para la permanente y adecuada protección de las personas (funcionarios, visitantes, contribuyentes), los bienes muebles e inmuebles de propiedad de la entidad contratante, así como de aquellos por los que les correspondiere velar en virtud de disposición legal, contractual o convencional, para el Concejo de Bogotá D.C., de conformidad con lo establecido en el pliego de condiciones del proceso de selección SDH-LP-003-2012, sus anexos y la propuesta presentada."/>
    <n v="431745000"/>
    <s v=" SDH-LP-003-2012"/>
    <n v="2012"/>
    <s v=" "/>
    <d v="2012-11-01T00:00:00"/>
    <d v="2013-09-01T00:00:00"/>
    <n v="1"/>
    <n v="95000000"/>
    <n v="1"/>
    <s v="2 meses"/>
    <d v="2013-11-01T00:00:00"/>
    <d v="2013-11-01T00:00:00"/>
    <n v="526745000"/>
    <n v="526745000"/>
    <n v="0"/>
    <m/>
    <x v="3"/>
    <x v="0"/>
    <x v="3"/>
    <s v=""/>
    <x v="1"/>
  </r>
  <r>
    <x v="64"/>
    <x v="63"/>
    <n v="860066942"/>
    <s v="Prestar los servicios integrales para desarrollar las actividades contenidas en los planes de bienestar e incentivos del Concejo de Bogotá, de conformidad con lo establecido en el pliego de condiciones del Proceso de Selección de Menor Cuantía SDH-SAMC-005-2012 y la propuesta."/>
    <n v="407400000"/>
    <s v=" "/>
    <n v="2012"/>
    <s v=" "/>
    <d v="2012-11-19T00:00:00"/>
    <d v="2013-04-19T00:00:00"/>
    <n v="2"/>
    <n v="211889880"/>
    <n v="4"/>
    <s v="5 meses y 27 días"/>
    <d v="2013-10-15T00:00:00"/>
    <d v="2013-10-15T00:00:00"/>
    <n v="619289880"/>
    <n v="619289880"/>
    <n v="0"/>
    <m/>
    <x v="3"/>
    <x v="0"/>
    <x v="3"/>
    <s v=""/>
    <x v="1"/>
  </r>
  <r>
    <x v="65"/>
    <x v="64"/>
    <n v="80199707"/>
    <s v="Realizar el servicio de mantenimiento correctivo, incluyendo los repuestos y/o elementos nuevos que requieran las sillas existentes en el Concejo de Bogotá."/>
    <n v="37359000"/>
    <s v=" "/>
    <n v="2012"/>
    <s v=" "/>
    <d v="2012-11-21T00:00:00"/>
    <d v="2013-06-21T00:00:00"/>
    <n v="0"/>
    <n v="0"/>
    <n v="0"/>
    <s v=""/>
    <s v=""/>
    <d v="2013-06-21T00:00:00"/>
    <n v="37359000"/>
    <n v="37359000"/>
    <n v="0"/>
    <m/>
    <x v="3"/>
    <x v="0"/>
    <x v="3"/>
    <s v=""/>
    <x v="1"/>
  </r>
  <r>
    <x v="66"/>
    <x v="65"/>
    <n v="830100153"/>
    <s v="Suministrar elementos de promoción institucional y actos protocolarios del Concejo de Bogotá D.C., de acuerdo a las especificaciones técnicas y en las cantidades solicitadas, de conformidad con lo establecido en la Invitación Pública No. SDH-SMINC-046-2012"/>
    <n v="20358000"/>
    <s v=" "/>
    <n v="2012"/>
    <s v=" "/>
    <d v="2012-11-27T00:00:00"/>
    <d v="2013-05-27T00:00:00"/>
    <n v="1"/>
    <n v="8062000"/>
    <n v="1"/>
    <s v="1 mes"/>
    <d v="2013-06-27T00:00:00"/>
    <d v="2013-06-27T00:00:00"/>
    <n v="28420000"/>
    <n v="28379400"/>
    <n v="40600"/>
    <m/>
    <x v="28"/>
    <x v="0"/>
    <x v="28"/>
    <s v=""/>
    <x v="0"/>
  </r>
  <r>
    <x v="67"/>
    <x v="66"/>
    <n v="860030197"/>
    <s v="La SDH Y EL JARDÍN BOTÁNICO, se compromete a aunar esfuerzos y recursos técnicos, humanos financieros para realizar actividades de arborización y manejo integral de arboles en el Concejo de Bogotá"/>
    <n v="6388708"/>
    <s v=" 012000-466-0-2012"/>
    <n v="2012"/>
    <s v=" "/>
    <d v="2012-12-05T00:00:00"/>
    <d v="2013-08-14T00:00:00"/>
    <n v="1"/>
    <n v="2648556"/>
    <n v="3"/>
    <s v="3 meses y 20 días"/>
    <d v="2013-11-02T00:00:00"/>
    <d v="2013-11-02T00:00:00"/>
    <n v="9037264"/>
    <n v="7492420"/>
    <n v="1544844"/>
    <m/>
    <x v="29"/>
    <x v="0"/>
    <x v="29"/>
    <s v=""/>
    <x v="0"/>
  </r>
  <r>
    <x v="68"/>
    <x v="67"/>
    <n v="860007336"/>
    <s v="Entregar a título de compraventa bonos del Plan de Bienestar para el Concejo de Bogotá D.C. de conformidad con los establecido en el proceso SDJH-SAMC-006-2012 y el anexo Técnico N° 1"/>
    <n v="58300000"/>
    <s v=" "/>
    <n v="2012"/>
    <s v=" "/>
    <d v="2012-12-17T00:00:00"/>
    <d v="2013-02-17T00:00:00"/>
    <n v="0"/>
    <n v="0"/>
    <n v="0"/>
    <s v=""/>
    <s v=""/>
    <d v="2013-02-17T00:00:00"/>
    <n v="58300000"/>
    <n v="58300000"/>
    <n v="0"/>
    <m/>
    <x v="3"/>
    <x v="0"/>
    <x v="3"/>
    <s v=""/>
    <x v="1"/>
  </r>
  <r>
    <x v="69"/>
    <x v="68"/>
    <n v="800045878"/>
    <s v="Prestar el servicio integral en comunicación, consistente en el diseño, producción y ejecución de las estrategias de divulgación en medios de comunicación de carácter masivo, alternativo y comunitario al servicio del Concejo de Bogotá D.C., de conformidad con lo establecido en los pliegos de condiciones del proceso No. SDH-SIE-06-2012 y Oferta económica."/>
    <n v="293000000"/>
    <s v=" "/>
    <n v="2012"/>
    <s v=" "/>
    <d v="2012-12-26T00:00:00"/>
    <d v="2013-06-26T00:00:00"/>
    <n v="2"/>
    <n v="118000000"/>
    <n v="4"/>
    <s v="4 meses y 20 días"/>
    <d v="2013-11-15T00:00:00"/>
    <d v="2013-11-15T00:00:00"/>
    <n v="411000000"/>
    <n v="411000000"/>
    <n v="0"/>
    <m/>
    <x v="3"/>
    <x v="0"/>
    <x v="3"/>
    <s v=""/>
    <x v="1"/>
  </r>
  <r>
    <x v="70"/>
    <x v="69"/>
    <n v="830050320"/>
    <s v="Realizar el mantenimiento preventivo y correctivo (con suministro de repuestos) a las plantas purificadoras y dispensadores de agua del Concejo de Bogotá, D.C., de conformidad con la Invitación Pública del proceso de Selección de Mínima Cuantía No. SDH-SMINC-054-2012."/>
    <n v="10032000"/>
    <s v="SDH-SMINC-54-2012 "/>
    <n v="2012"/>
    <s v=" "/>
    <d v="2012-12-28T00:00:00"/>
    <d v="2013-08-28T00:00:00"/>
    <n v="0"/>
    <n v="0"/>
    <n v="1"/>
    <s v="2 meses"/>
    <d v="2013-10-28T00:00:00"/>
    <d v="2013-10-28T00:00:00"/>
    <n v="10032000"/>
    <n v="9339930"/>
    <n v="692070"/>
    <m/>
    <x v="30"/>
    <x v="0"/>
    <x v="30"/>
    <s v=""/>
    <x v="0"/>
  </r>
  <r>
    <x v="71"/>
    <x v="70"/>
    <n v="805006014"/>
    <s v="Suscripción al Sistema de Televisión Satelital para ser instalado en la sede del Concejo de Bogotá, D.C"/>
    <n v="1633200"/>
    <s v=" "/>
    <n v="2012"/>
    <s v=" "/>
    <d v="2013-01-14T00:00:00"/>
    <d v="2014-01-13T00:00:00"/>
    <n v="1"/>
    <n v="285000"/>
    <n v="1"/>
    <s v="2 meses"/>
    <d v="2014-03-13T00:00:00"/>
    <d v="2014-03-13T00:00:00"/>
    <n v="1918200"/>
    <n v="1755170"/>
    <n v="163030"/>
    <m/>
    <x v="31"/>
    <x v="0"/>
    <x v="31"/>
    <s v=""/>
    <x v="0"/>
  </r>
  <r>
    <x v="72"/>
    <x v="55"/>
    <n v="860506170"/>
    <s v="Aunar esfuerzos técnicos, humanos y financieros para la intervención y realización de las actividades asociadas a la restauración - conservación de los bienes de carácter patrimonial del Honorable Concejo de Bogotá, D.C., fase II, que incluye los bienes en el segundo orden de prioridad para restauración. "/>
    <n v="398614000"/>
    <s v=" "/>
    <n v="2013"/>
    <s v=" "/>
    <d v="2014-08-13T00:00:00"/>
    <d v="2015-04-13T00:00:00"/>
    <n v="0"/>
    <n v="0"/>
    <n v="1"/>
    <s v="7 meses"/>
    <d v="2015-11-13T00:00:00"/>
    <d v="2015-11-13T00:00:00"/>
    <n v="398614000"/>
    <n v="398614000"/>
    <n v="0"/>
    <m/>
    <x v="3"/>
    <x v="0"/>
    <x v="3"/>
    <s v=""/>
    <x v="1"/>
  </r>
  <r>
    <x v="73"/>
    <x v="71"/>
    <n v="900006611"/>
    <s v="Adquirir a título de compra el  libro memorias y luchas urbanas por el derecho a una vida digna, autor Doctor Álvaro Oviedo Hernández, de conformidad con lo establecido en la Invitación Pública SDH-SMINC-59-2012."/>
    <n v="1062500"/>
    <s v=" SDH-SMINC-59-2012"/>
    <n v="2012"/>
    <s v=" "/>
    <d v="2013-01-18T00:00:00"/>
    <d v="2013-02-17T00:00:00"/>
    <n v="0"/>
    <n v="0"/>
    <n v="0"/>
    <s v=""/>
    <s v=""/>
    <d v="2013-02-17T00:00:00"/>
    <n v="1062500"/>
    <n v="1062500"/>
    <n v="0"/>
    <m/>
    <x v="3"/>
    <x v="0"/>
    <x v="3"/>
    <s v=""/>
    <x v="1"/>
  </r>
  <r>
    <x v="74"/>
    <x v="72"/>
    <n v="830039811"/>
    <s v="Contratar los servicios de mantenimiento, soporte técnico especializado, administración, seguridad y comunicaciones de las plataformas Oracle y Microsoft del Concejo de Bogotá, de conformidad con lo establecido en el pliego de condiciones y los anexos del proceso de selección abreviada de menor cuantía N° SDH-SAMC-016-2012"/>
    <n v="80074800"/>
    <s v=" "/>
    <n v="2012"/>
    <s v=" "/>
    <d v="2013-02-08T00:00:00"/>
    <d v="2014-03-07T00:00:00"/>
    <n v="1"/>
    <n v="35588800"/>
    <n v="1"/>
    <s v="1 mes"/>
    <d v="2014-04-07T00:00:00"/>
    <d v="2014-04-07T00:00:00"/>
    <n v="115663600"/>
    <n v="115663040"/>
    <n v="560"/>
    <m/>
    <x v="32"/>
    <x v="0"/>
    <x v="32"/>
    <s v=""/>
    <x v="1"/>
  </r>
  <r>
    <x v="75"/>
    <x v="73"/>
    <n v="4831"/>
    <s v="Prestación del servicio de mantenimiento correctivo con suministro de repuestos de los automotores marca CHEVROLET al servicio del Concejo de Bogotá."/>
    <n v="13806000"/>
    <s v=" "/>
    <n v="2012"/>
    <s v=" "/>
    <d v="2013-01-04T00:00:00"/>
    <d v="2013-06-04T00:00:00"/>
    <n v="0"/>
    <n v="0"/>
    <n v="1"/>
    <s v="1 mes"/>
    <d v="2013-07-04T00:00:00"/>
    <d v="2013-07-04T00:00:00"/>
    <n v="13806000"/>
    <n v="12439108"/>
    <n v="1366892"/>
    <m/>
    <x v="33"/>
    <x v="0"/>
    <x v="33"/>
    <s v=""/>
    <x v="0"/>
  </r>
  <r>
    <x v="76"/>
    <x v="74"/>
    <n v="860053274"/>
    <s v="Suministrar papelería y útiles de escritorio por el sistema de precios unitarios fijos, en la modalidad de proveeduría integral (outsourcing) para el Concejo de Bogotá D.C., de conformidad con los requerimientos establecidos en el pliego de condiciones y "/>
    <n v="59046000"/>
    <s v=" "/>
    <n v="2012"/>
    <s v=" "/>
    <d v="2013-01-18T00:00:00"/>
    <d v="2013-06-17T00:00:00"/>
    <n v="1"/>
    <n v="20167111"/>
    <n v="2"/>
    <s v="5 meses y 13 días"/>
    <d v="2013-11-30T00:00:00"/>
    <d v="2013-11-30T00:00:00"/>
    <n v="79213111"/>
    <n v="65129800"/>
    <n v="14083311"/>
    <m/>
    <x v="34"/>
    <x v="0"/>
    <x v="34"/>
    <s v=""/>
    <x v="0"/>
  </r>
  <r>
    <x v="77"/>
    <x v="75"/>
    <n v="860066942"/>
    <s v="Prestar los servicios integrales para desarrollar las actividades contenidas en los planes de bienestar e incentivos del Concejo de Bogotá, de conformidad con lo establecido en el pliego de condiciones del Proceso de Selección de Menor Cuantía SDH-SAMC-00"/>
    <n v="49500000"/>
    <s v=" "/>
    <n v="2012"/>
    <s v=" "/>
    <d v="2013-02-20T00:00:00"/>
    <d v="2013-08-19T00:00:00"/>
    <n v="1"/>
    <n v="25746412"/>
    <n v="0"/>
    <s v=""/>
    <s v=""/>
    <d v="2013-08-19T00:00:00"/>
    <n v="75246412"/>
    <n v="75232704"/>
    <n v="13708"/>
    <m/>
    <x v="35"/>
    <x v="0"/>
    <x v="35"/>
    <s v=""/>
    <x v="1"/>
  </r>
  <r>
    <x v="78"/>
    <x v="76"/>
    <n v="891501783"/>
    <s v="Adquisición de un sistema de control de contenidos para el Concejo de Bogotá"/>
    <n v="36990000"/>
    <s v=" SDH-SMINC-64-2012"/>
    <n v="2012"/>
    <s v=" "/>
    <d v="2013-02-18T00:00:00"/>
    <d v="2013-06-17T00:00:00"/>
    <n v="0"/>
    <n v="0"/>
    <n v="0"/>
    <s v=""/>
    <s v=""/>
    <d v="2013-06-17T00:00:00"/>
    <n v="36990000"/>
    <n v="36990000"/>
    <n v="0"/>
    <m/>
    <x v="3"/>
    <x v="0"/>
    <x v="3"/>
    <s v=""/>
    <x v="1"/>
  </r>
  <r>
    <x v="79"/>
    <x v="77"/>
    <n v="800058607"/>
    <s v="Adquisición de licencias Exchange, licencias directorio activo Windows Server, para el Concejo de Bogotá  D.C."/>
    <n v="85314724"/>
    <s v=" "/>
    <n v="2012"/>
    <s v=" "/>
    <d v="2013-02-11T00:00:00"/>
    <d v="2014-02-10T00:00:00"/>
    <n v="0"/>
    <n v="0"/>
    <n v="0"/>
    <s v=""/>
    <s v=""/>
    <d v="2014-02-10T00:00:00"/>
    <n v="85314724"/>
    <n v="85314724"/>
    <n v="0"/>
    <m/>
    <x v="3"/>
    <x v="0"/>
    <x v="3"/>
    <s v=""/>
    <x v="1"/>
  </r>
  <r>
    <x v="80"/>
    <x v="78"/>
    <n v="830017209"/>
    <s v="Adquisición de licencias e implementación del Software para la gestión de la mesa de ayuda de la TIC'S para el Concejo de Bogotá D.C., de conformidad con lo establecido en pliego de condiciones del proceso de selección No. SDH -SIE-12-2012, y la propuesta presentada por el contratista."/>
    <n v="123000000"/>
    <s v=" SDH-SIE-12-2012"/>
    <n v="2013"/>
    <s v=" "/>
    <d v="2013-02-14T00:00:00"/>
    <d v="2014-02-13T00:00:00"/>
    <n v="0"/>
    <n v="0"/>
    <n v="0"/>
    <s v=""/>
    <s v=""/>
    <d v="2014-02-13T00:00:00"/>
    <n v="123000000"/>
    <n v="123000000"/>
    <n v="0"/>
    <s v="Porcentaje de avance"/>
    <x v="3"/>
    <x v="0"/>
    <x v="3"/>
    <s v=""/>
    <x v="1"/>
  </r>
  <r>
    <x v="81"/>
    <x v="79"/>
    <n v="900241832"/>
    <s v="Prestar el servicio integral a todo costo de desinsectación, desinfección y desratización, para el control o manejo integrado de plagas en las instalaciones de la Secretaria de Hacienda, zonas comunes del Centro Administrativo Distrital CAD y el Concejo de Bogotá."/>
    <n v="1113600"/>
    <s v=" SDH-SMINC-001-2013"/>
    <n v="2013"/>
    <s v=" "/>
    <d v="2013-03-14T00:00:00"/>
    <d v="2014-03-13T00:00:00"/>
    <n v="0"/>
    <n v="0"/>
    <n v="0"/>
    <s v=""/>
    <s v=""/>
    <d v="2014-03-13T00:00:00"/>
    <n v="1113600"/>
    <n v="1113600"/>
    <n v="0"/>
    <s v="Se efectuará un pago por cada una de las visitas correspondientes al servicio objeto del contrato, de conformidad con los servicios efectivamente prestados y cajas porta-cebos suministradas._x000a_"/>
    <x v="3"/>
    <x v="0"/>
    <x v="3"/>
    <s v=""/>
    <x v="1"/>
  </r>
  <r>
    <x v="82"/>
    <x v="80"/>
    <n v="830122370"/>
    <s v="Realizar el mantenimiento correctivo y preventivo para las maquinas: Impresora Litográfica MULTILITH modelo 1250, compaginadora DUPLO DC 10 , Guillotina de Cizalla Manual; ubicadas en la oficina de Anales y Publicaciones del Concejo de Bogotá."/>
    <n v="4967474"/>
    <s v="SDH-SMINC-03-2013 "/>
    <n v="2013"/>
    <s v=" "/>
    <d v="2013-03-14T00:00:00"/>
    <d v="2014-01-13T00:00:00"/>
    <n v="0"/>
    <n v="0"/>
    <n v="0"/>
    <s v=""/>
    <s v=""/>
    <d v="2014-01-13T00:00:00"/>
    <n v="4967474"/>
    <n v="4453683"/>
    <n v="513791"/>
    <s v="Se realizará un pago por cada visita de mantenimiento preventivo y/o correctivo efectuadas de acuerdo con la programación que establezca con el supervisor."/>
    <x v="36"/>
    <x v="0"/>
    <x v="36"/>
    <s v=""/>
    <x v="0"/>
  </r>
  <r>
    <x v="83"/>
    <x v="81"/>
    <n v="860025639"/>
    <s v="Prestar el servicio de mantenimiento preventivo y correctivo ocasional a los ascensores marca Mitsubishi ubicados en el Concejo de Bogotá."/>
    <n v="15913500"/>
    <s v=" "/>
    <n v="2013"/>
    <s v=" "/>
    <d v="2013-04-03T00:00:00"/>
    <d v="2014-04-02T00:00:00"/>
    <n v="0"/>
    <n v="0"/>
    <n v="0"/>
    <s v=""/>
    <s v=""/>
    <d v="2014-04-02T00:00:00"/>
    <n v="15913500"/>
    <n v="15453868"/>
    <n v="459632"/>
    <m/>
    <x v="37"/>
    <x v="0"/>
    <x v="37"/>
    <s v=""/>
    <x v="0"/>
  </r>
  <r>
    <x v="84"/>
    <x v="82"/>
    <n v="860001022"/>
    <s v="Entregar tres ejemplares de cada uno de los diarios, El Tiempo, y Portafolio por el término de un (1) año para el Concejo de Bogotá D.C."/>
    <n v="1197000"/>
    <s v=" "/>
    <n v="2013"/>
    <s v=" "/>
    <d v="2013-03-19T00:00:00"/>
    <d v="2014-03-18T00:00:00"/>
    <n v="0"/>
    <n v="0"/>
    <n v="0"/>
    <s v=""/>
    <s v=""/>
    <d v="2014-03-18T00:00:00"/>
    <n v="1197000"/>
    <n v="1197000"/>
    <n v="0"/>
    <s v="Único pago"/>
    <x v="3"/>
    <x v="0"/>
    <x v="3"/>
    <s v=""/>
    <x v="1"/>
  </r>
  <r>
    <x v="85"/>
    <x v="22"/>
    <n v="900152368"/>
    <s v="Contratar el servicio de mantenimiento preventivo y correctivo para los tanques de almacenamiento y equipos de bombeo hidráulicos de agua potable, residual y aguas negras de las instalaciones del Centro Administrativo Distrital CAD ."/>
    <n v="8360000"/>
    <s v=" "/>
    <n v="2013"/>
    <s v=" "/>
    <d v="2013-05-06T00:00:00"/>
    <d v="2014-05-05T00:00:00"/>
    <n v="0"/>
    <n v="0"/>
    <n v="0"/>
    <s v=""/>
    <s v=""/>
    <d v="2014-05-05T00:00:00"/>
    <n v="8360000"/>
    <n v="7018000"/>
    <n v="1342000"/>
    <s v="Los mantenimientos preventivos se cancelarán bimestralmente de acuerdo con los servicios efectivamente prestados conforme con el cronograma establecido. El mantenimiento correctivo y el suministro de repuestos se cancelarán de acuerdo a la demanda durante en el respectivo periodo, manteniendo los precios unitarios ofrecidos en la propuesta."/>
    <x v="38"/>
    <x v="0"/>
    <x v="38"/>
    <s v=""/>
    <x v="0"/>
  </r>
  <r>
    <x v="86"/>
    <x v="83"/>
    <n v="800249557"/>
    <s v="Adquirir a título de compraventa ejemplares del Directorio de Despachos Públicos de Colombia, 22ª publicación, edición 2012-2013, para el Concejo de Bogotá, de conformidad con lo señalado en los estudios previos"/>
    <n v="3700000"/>
    <s v=" 130106-0-2013"/>
    <n v="2013"/>
    <s v=" "/>
    <d v="2013-04-29T00:00:00"/>
    <d v="2013-09-28T00:00:00"/>
    <n v="0"/>
    <n v="0"/>
    <n v="0"/>
    <s v=""/>
    <s v=""/>
    <d v="2013-09-28T00:00:00"/>
    <n v="3700000"/>
    <n v="3700000"/>
    <n v="0"/>
    <s v="Un pago a la entrega a satisfacción de los 60 Directorios."/>
    <x v="3"/>
    <x v="0"/>
    <x v="3"/>
    <s v=""/>
    <x v="1"/>
  </r>
  <r>
    <x v="87"/>
    <x v="84"/>
    <n v="79843891"/>
    <s v="Prestar servicios profesionales para apoyar a la Dirección Financiera del Concejo de Bogotá en la supervisión de los contratos que le sean asignados, implementando mecanismos que le permitan contribuir efectivamente al seguimiento técnico, administrativo, financiero  contable y jurídico sobre el cumplimiento del objeto de cada contrato asignado"/>
    <n v="50000000"/>
    <s v=" 130116-0-2013"/>
    <n v="2013"/>
    <s v=" "/>
    <d v="2013-04-23T00:00:00"/>
    <d v="2014-02-22T00:00:00"/>
    <n v="0"/>
    <n v="0"/>
    <n v="0"/>
    <s v=""/>
    <s v=""/>
    <d v="2014-02-22T00:00:00"/>
    <n v="50000000"/>
    <n v="50000000"/>
    <n v="0"/>
    <s v="Mensual"/>
    <x v="3"/>
    <x v="0"/>
    <x v="3"/>
    <s v=""/>
    <x v="1"/>
  </r>
  <r>
    <x v="88"/>
    <x v="85"/>
    <n v="51931422"/>
    <s v="Prestar servicios profesionales para acompañar la definición, contratación, intervención y seguimiento de los temas relacionados con la infraestructura del Concejo de Bogotá D.C. "/>
    <n v="41600000"/>
    <s v=" 130121-0-2013"/>
    <n v="2013"/>
    <s v=" "/>
    <d v="2013-05-02T00:00:00"/>
    <d v="2014-03-01T00:00:00"/>
    <n v="0"/>
    <n v="0"/>
    <n v="0"/>
    <s v=""/>
    <s v=""/>
    <d v="2014-03-01T00:00:00"/>
    <n v="41600000"/>
    <n v="41600000"/>
    <n v="0"/>
    <s v="Mensual"/>
    <x v="3"/>
    <x v="0"/>
    <x v="3"/>
    <s v=""/>
    <x v="1"/>
  </r>
  <r>
    <x v="89"/>
    <x v="16"/>
    <n v="899999115"/>
    <s v="Contratar los servicios de impresión, para la Secretaria Distrital de hacienda y el Concejo de Bogotá de conformidad con los requerimientos establecidos en el pliego de condiciones"/>
    <n v="160000000"/>
    <s v=" "/>
    <n v="2013"/>
    <s v=" "/>
    <d v="2013-05-17T00:00:00"/>
    <d v="2013-07-22T00:00:00"/>
    <n v="1"/>
    <n v="80000000"/>
    <n v="1"/>
    <s v="1 mes"/>
    <d v="2013-08-22T00:00:00"/>
    <d v="2013-08-22T00:00:00"/>
    <n v="240000000"/>
    <n v="239999964"/>
    <n v="36"/>
    <s v="La Secretaría Distrital de Hacienda efectuará dos (2) pagos mensuales vencidos correspondientes a la gestión del servicio integral de impresión la cual incluirá el valor correspondiente Al cupo mensual de impresiones establecido por la Secretaría Distrital de Hacienda y el Concejo de Bogotá, más el valor de las impresiones adicionales (fuera del rango base establecido por la Secretaría y el Concejo de Bogotá) en el mismo periodo."/>
    <x v="39"/>
    <x v="0"/>
    <x v="39"/>
    <s v=""/>
    <x v="1"/>
  </r>
  <r>
    <x v="90"/>
    <x v="42"/>
    <n v="830034865"/>
    <s v="Contratar el servicio de exámenes médicos ocupacionales y paraclínicos y suministro y aplicación de vacunas"/>
    <n v="55784000"/>
    <s v=" "/>
    <n v="2013"/>
    <s v=" "/>
    <d v="2013-05-09T00:00:00"/>
    <d v="2014-02-08T00:00:00"/>
    <n v="1"/>
    <n v="11395000"/>
    <n v="3"/>
    <s v="7 meses"/>
    <d v="2014-09-08T00:00:00"/>
    <d v="2014-09-08T00:00:00"/>
    <n v="67179000"/>
    <n v="67115300"/>
    <n v="63700"/>
    <s v="Mensual"/>
    <x v="40"/>
    <x v="0"/>
    <x v="40"/>
    <s v=""/>
    <x v="1"/>
  </r>
  <r>
    <x v="91"/>
    <x v="33"/>
    <n v="830095213"/>
    <s v="Suministro de combustible para el Concejo de Bogotá D.C., de conformidad con los pliegos de condiciones del proceso de selección abreviada de menor cuantía No. SDH-SAMC-002-2012 y la propuesta."/>
    <n v="351295000"/>
    <s v=" SDH-SAMC-02-2013"/>
    <n v="2013"/>
    <s v=" "/>
    <d v="2013-06-01T00:00:00"/>
    <d v="2014-02-01T00:00:00"/>
    <n v="2"/>
    <n v="121839060"/>
    <n v="3"/>
    <s v="5 meses"/>
    <d v="2014-06-30T00:00:00"/>
    <d v="2014-06-30T00:00:00"/>
    <n v="473134060"/>
    <n v="473133510"/>
    <n v="550"/>
    <s v="Mensual"/>
    <x v="41"/>
    <x v="0"/>
    <x v="41"/>
    <s v=""/>
    <x v="1"/>
  </r>
  <r>
    <x v="92"/>
    <x v="86"/>
    <n v="830070625"/>
    <s v="Contratar la prestación del servicio de mantenimiento preventivo y correctivo con suministro de repuestos del sistema de alarmas de emergencia, ubicado en las sedes del Concejo de Bogotá D.C."/>
    <n v="2096276"/>
    <s v=" SDH-SMINC-06-2013"/>
    <n v="2013"/>
    <s v=" "/>
    <d v="2013-05-23T00:00:00"/>
    <d v="2014-02-22T00:00:00"/>
    <n v="0"/>
    <n v="0"/>
    <n v="0"/>
    <s v=""/>
    <s v=""/>
    <d v="2014-02-22T00:00:00"/>
    <n v="2096276"/>
    <n v="2086672"/>
    <n v="9604"/>
    <s v="Se efectuará un pago por cada una de las visitas de mantenimiento preventivo efectuadas. Los repuestos se cancelarán de acuerdo a la demanda requerida en el respectivo periodo, manteniendo los precios unitarios ofrecidos en la propuesta."/>
    <x v="42"/>
    <x v="0"/>
    <x v="42"/>
    <s v=""/>
    <x v="0"/>
  </r>
  <r>
    <x v="93"/>
    <x v="87"/>
    <n v="860019063"/>
    <s v="Contratar la prestación del servicio de mantenimiento correctivo con suministro de repuestos de los automotores marca MITSUBISHI al servicio del Concejo de Bogotá."/>
    <n v="12594000"/>
    <s v=" "/>
    <n v="2013"/>
    <s v=" "/>
    <d v="2013-05-22T00:00:00"/>
    <d v="2014-01-21T00:00:00"/>
    <n v="1"/>
    <n v="6150000"/>
    <n v="0"/>
    <s v=""/>
    <s v=""/>
    <d v="2014-01-21T00:00:00"/>
    <n v="18744000"/>
    <n v="18286734"/>
    <n v="457266"/>
    <s v="Los mantenimientos correctivos y el suministro de repuestos se cancelarán mensualmente de acuerdo con los servicios efectivamente prestados."/>
    <x v="43"/>
    <x v="0"/>
    <x v="43"/>
    <s v=""/>
    <x v="0"/>
  </r>
  <r>
    <x v="94"/>
    <x v="41"/>
    <n v="830067096"/>
    <s v="Suscripción a la revista EL CONGRESO Siglo XXI, con destino al Concejo de Bogotá D.C. "/>
    <n v="7740000"/>
    <s v=" 130139-0-2013"/>
    <n v="2013"/>
    <s v=" "/>
    <d v="2013-05-16T00:00:00"/>
    <d v="2014-05-15T00:00:00"/>
    <n v="0"/>
    <n v="0"/>
    <n v="0"/>
    <s v=""/>
    <s v=""/>
    <d v="2014-05-15T00:00:00"/>
    <n v="7740000"/>
    <n v="7740000"/>
    <n v="0"/>
    <m/>
    <x v="3"/>
    <x v="0"/>
    <x v="3"/>
    <s v=""/>
    <x v="1"/>
  </r>
  <r>
    <x v="95"/>
    <x v="88"/>
    <n v="52353202"/>
    <s v="Prestar servicios profesionales para apoyar a la Dirección Financiera del Concejo de Bogotá en la supervisión de los contratos que le sean asignados, implementando mecanismos que le permitan contribuir efectivamente al seguimiento técnico, administrativo, financiero  contable y jurídico sobre el cumplimiento del objeto de cada contrato asignado"/>
    <n v="50000000"/>
    <s v=" "/>
    <n v="2013"/>
    <s v=" "/>
    <d v="2013-05-16T00:00:00"/>
    <d v="2014-03-15T00:00:00"/>
    <n v="0"/>
    <n v="0"/>
    <n v="0"/>
    <s v=""/>
    <s v=""/>
    <d v="2014-03-15T00:00:00"/>
    <n v="50000000"/>
    <n v="27500000"/>
    <n v="22500000"/>
    <s v="Mensual"/>
    <x v="44"/>
    <x v="0"/>
    <x v="44"/>
    <s v=""/>
    <x v="0"/>
  </r>
  <r>
    <x v="96"/>
    <x v="89"/>
    <n v="900333228"/>
    <s v="Contratar los servicios de mantenimiento, preventivo y correctivo con suministro de repuestos de la puerta eléctrica y talanqueras de acceso vehicular en el Concejo de Bogotá. "/>
    <n v="9366000"/>
    <s v=" SDH-SMINC-007-2013"/>
    <n v="2013"/>
    <s v=" "/>
    <d v="2013-05-29T00:00:00"/>
    <d v="2014-02-28T00:00:00"/>
    <n v="0"/>
    <n v="0"/>
    <n v="0"/>
    <s v=""/>
    <s v=""/>
    <d v="2014-02-28T00:00:00"/>
    <n v="9366000"/>
    <n v="7783682"/>
    <n v="1582318"/>
    <s v="Se efectuará un pago por cada una de las visitas de mantenimiento preventivo efectuadas. Los repuestos se cancelarán de acuerdo a la demanda requerida en el respectivo periodo, manteniendo los precios unitarios ofrecidos en la propuesta."/>
    <x v="45"/>
    <x v="0"/>
    <x v="45"/>
    <s v=""/>
    <x v="0"/>
  </r>
  <r>
    <x v="97"/>
    <x v="51"/>
    <n v="900611595"/>
    <s v="Contratar la prestación de los servicio de mensajería expresa masiva del Concejo de  Bogotá  de conformidad con los pliegos de condiciones del proceso de Selección Abreviada de Menor Cuantía No. SDH-SAMC-003-2012 y la propuesta presentada."/>
    <n v="22300000"/>
    <s v=" SDH-SAMC-01-2013"/>
    <n v="2013"/>
    <s v=" "/>
    <d v="2013-05-16T00:00:00"/>
    <d v="2013-12-15T00:00:00"/>
    <n v="3"/>
    <n v="10820000"/>
    <n v="3"/>
    <s v="6 meses  "/>
    <d v="2014-06-16T00:00:00"/>
    <d v="2014-06-16T00:00:00"/>
    <n v="33120000"/>
    <n v="32832950"/>
    <n v="287050"/>
    <s v="Mensual"/>
    <x v="46"/>
    <x v="0"/>
    <x v="46"/>
    <s v=""/>
    <x v="0"/>
  </r>
  <r>
    <x v="98"/>
    <x v="90"/>
    <n v="830109807"/>
    <s v="Contratar la suscripción al servicio de información jurídica a través de boletines informativos por correo electrónico, consultas en pagina WEB y biblioteca digital de la legislación y jurisprudencia colombiana actualizada"/>
    <n v="1030000"/>
    <s v=" "/>
    <n v="2013"/>
    <s v=" "/>
    <d v="2013-06-13T00:00:00"/>
    <d v="2014-06-12T00:00:00"/>
    <n v="0"/>
    <n v="0"/>
    <n v="0"/>
    <s v=""/>
    <s v=""/>
    <d v="2014-06-12T00:00:00"/>
    <n v="1030000"/>
    <n v="1030000"/>
    <n v="0"/>
    <s v="Único pago"/>
    <x v="3"/>
    <x v="0"/>
    <x v="3"/>
    <s v=""/>
    <x v="1"/>
  </r>
  <r>
    <x v="99"/>
    <x v="91"/>
    <n v="830005370"/>
    <s v="Contratar la preproducción, emisión y posproducción de programas de televisión que permita a los bogotanos conocer el diario trascurrir de la Corporación, así como las opiniones de los Honorables Concejales que representan los intereses de los diferentes sectores sociales de la capital."/>
    <n v="1379939352"/>
    <s v=" "/>
    <n v="2013"/>
    <s v=" "/>
    <d v="2013-05-27T00:00:00"/>
    <d v="2014-05-26T00:00:00"/>
    <n v="1"/>
    <n v="172492424"/>
    <n v="3"/>
    <s v="3 meses y 20 días"/>
    <d v="2014-09-15T00:00:00"/>
    <d v="2014-09-15T00:00:00"/>
    <n v="1552431776"/>
    <n v="1552431775"/>
    <n v="1"/>
    <s v="Mensual"/>
    <x v="47"/>
    <x v="0"/>
    <x v="47"/>
    <s v=""/>
    <x v="1"/>
  </r>
  <r>
    <x v="100"/>
    <x v="20"/>
    <n v="860009759"/>
    <s v="SUSCRIPCIÓN AL DIARIO LA REPÚBLICA, POR EL TÉRMINO DE UN AÑO, PARA EL CONCEJO DE BOGOTÁ_x000a_"/>
    <n v="849000"/>
    <s v=" "/>
    <n v="2013"/>
    <s v=" "/>
    <d v="2013-05-27T00:00:00"/>
    <d v="2014-11-26T00:00:00"/>
    <n v="0"/>
    <n v="0"/>
    <n v="0"/>
    <s v=""/>
    <s v=""/>
    <d v="2014-11-26T00:00:00"/>
    <n v="849000"/>
    <n v="849000"/>
    <n v="0"/>
    <s v="Único pago"/>
    <x v="3"/>
    <x v="0"/>
    <x v="3"/>
    <s v=""/>
    <x v="1"/>
  </r>
  <r>
    <x v="101"/>
    <x v="92"/>
    <n v="830101973"/>
    <s v="Servicio de trasporte de bienes muebles y cajas de archivo documental para el Concejo de Bogotá, D.C."/>
    <n v="15000000"/>
    <s v=" "/>
    <n v="2013"/>
    <s v=" "/>
    <d v="2013-07-04T00:00:00"/>
    <d v="2014-03-03T00:00:00"/>
    <n v="0"/>
    <n v="0"/>
    <n v="1"/>
    <s v="4 meses"/>
    <d v="2014-07-03T00:00:00"/>
    <d v="2014-07-03T00:00:00"/>
    <n v="15000000"/>
    <n v="5368620"/>
    <n v="9631380"/>
    <s v="Mensual"/>
    <x v="48"/>
    <x v="0"/>
    <x v="48"/>
    <s v=""/>
    <x v="0"/>
  </r>
  <r>
    <x v="102"/>
    <x v="50"/>
    <n v="830053669"/>
    <s v="Contratar la prestación de servicio de fotocopiado y servicios afines para el Concejo de Bogotá y la Secretaría de Hacienda"/>
    <n v="31904847"/>
    <s v=" SDH-SIE-01-2013"/>
    <n v="2013"/>
    <s v=" "/>
    <d v="2013-06-01T00:00:00"/>
    <d v="2014-03-31T00:00:00"/>
    <n v="2"/>
    <n v="4000000"/>
    <n v="2"/>
    <s v="3 meses"/>
    <d v="2014-06-30T00:00:00"/>
    <d v="2014-06-30T00:00:00"/>
    <n v="35904847"/>
    <n v="35904845"/>
    <n v="2"/>
    <s v="Mensual"/>
    <x v="49"/>
    <x v="0"/>
    <x v="49"/>
    <s v=""/>
    <x v="1"/>
  </r>
  <r>
    <x v="103"/>
    <x v="93"/>
    <n v="230802"/>
    <s v="Prestar servicios profesionales de asesoría jurídica en orden a la identificación de riesgos potenciales a los que se encuentra expuesto el Concejo de Bogotá."/>
    <n v="40000000"/>
    <s v=" 130161-0-2013"/>
    <n v="2013"/>
    <s v=" "/>
    <d v="2013-05-22T00:00:00"/>
    <d v="2014-01-21T00:00:00"/>
    <n v="0"/>
    <n v="0"/>
    <n v="0"/>
    <s v=""/>
    <s v=""/>
    <d v="2014-01-21T00:00:00"/>
    <n v="40000000"/>
    <n v="16667000"/>
    <n v="23333000"/>
    <s v="Mensual"/>
    <x v="50"/>
    <x v="0"/>
    <x v="50"/>
    <s v=""/>
    <x v="0"/>
  </r>
  <r>
    <x v="104"/>
    <x v="56"/>
    <n v="860049921"/>
    <s v="Realizar la auditoria de seguimiento al sistema de Gestión de calidad del Concejo de Bogotá D.C. bajo las normas ISO 9001-2008 y la NTC-GP 1000;2009"/>
    <n v="4524000"/>
    <s v=" "/>
    <n v="2013"/>
    <s v=" "/>
    <d v="2013-10-01T00:00:00"/>
    <d v="2013-10-31T00:00:00"/>
    <n v="0"/>
    <n v="0"/>
    <n v="0"/>
    <s v=""/>
    <s v=""/>
    <d v="2013-10-31T00:00:00"/>
    <n v="4524000"/>
    <n v="4524000"/>
    <n v="0"/>
    <s v="El servicio será cancelado una vez realizada la auditoría de seguimiento, previa presentación de la factura correspondiente y aprobación de la misma por parte del supervisor del contrato, acompañada de la correspondiente Certificación de cumplimiento a satisfacción expedidas por el mismo, en las cuales conste el valor a pagar por el contratista  Los pagos se efectuarán dentro de los diez (10) días hábiles siguientes a la radicación en la Subdirección Financiera  de la certificación de cumplimiento a satisfacción del objeto y obligaciones expedida por el supervisor del contrato, acompañada de los recibos de pago por concepto de aportes al Sistema de Seguridad Social Integral salud y pensión y Riesgos Laborales."/>
    <x v="3"/>
    <x v="0"/>
    <x v="3"/>
    <s v=""/>
    <x v="1"/>
  </r>
  <r>
    <x v="105"/>
    <x v="94"/>
    <n v="79887061"/>
    <s v="Prestar servicios profesionales para llevar a cabo el seguimiento de todas las solicitudes registradas en el aplicativo Mesa de Ayuda del proceso de sistemas del Concejo de Bogotá D.C."/>
    <n v="20800000"/>
    <s v=" "/>
    <n v="2013"/>
    <s v=" "/>
    <d v="2013-05-27T00:00:00"/>
    <d v="2014-01-26T00:00:00"/>
    <n v="0"/>
    <n v="0"/>
    <n v="0"/>
    <s v=""/>
    <s v=""/>
    <d v="2014-01-26T00:00:00"/>
    <n v="20800000"/>
    <n v="20800000"/>
    <n v="0"/>
    <s v="Mensual"/>
    <x v="3"/>
    <x v="0"/>
    <x v="3"/>
    <s v=""/>
    <x v="1"/>
  </r>
  <r>
    <x v="106"/>
    <x v="95"/>
    <n v="51721571"/>
    <s v="Formular una propuesta de &quot;Manual de Manejo de Conflictos&quot; a partir del diagnóstico del clima laboral, de forma tal que se permita detectar, prevenir e intervenir de manera oportuna los riesgos potenciales en materia de relaciones interpersonales de los servidores públicos en el Concejo de Bogotá D.C. previo diagnóstico del clima organizacional actual."/>
    <n v="28000000"/>
    <s v=" "/>
    <n v="2013"/>
    <s v=" "/>
    <d v="2013-05-29T00:00:00"/>
    <d v="2014-01-28T00:00:00"/>
    <n v="0"/>
    <n v="0"/>
    <n v="0"/>
    <s v=""/>
    <s v=""/>
    <d v="2014-01-28T00:00:00"/>
    <n v="28000000"/>
    <n v="28000000"/>
    <n v="0"/>
    <s v="Mensual"/>
    <x v="3"/>
    <x v="0"/>
    <x v="3"/>
    <s v=""/>
    <x v="1"/>
  </r>
  <r>
    <x v="107"/>
    <x v="96"/>
    <n v="800026212"/>
    <s v="Adquisición de impresoras para el Concejo de Bogotá, de conformidad con los requerimientos establecidos en el pliego de condiciones del proceso SDH-SIE-02-2013"/>
    <n v="266580829"/>
    <s v=" "/>
    <n v="2013"/>
    <s v=" "/>
    <d v="2013-07-02T00:00:00"/>
    <d v="2013-08-15T00:00:00"/>
    <n v="0"/>
    <n v="0"/>
    <n v="0"/>
    <s v=""/>
    <s v=""/>
    <d v="2013-08-15T00:00:00"/>
    <n v="266580829"/>
    <n v="266580829"/>
    <n v="0"/>
    <m/>
    <x v="3"/>
    <x v="0"/>
    <x v="3"/>
    <s v=""/>
    <x v="1"/>
  </r>
  <r>
    <x v="108"/>
    <x v="97"/>
    <n v="900450570"/>
    <s v="Contratar a titulo de arrendamiento un inmueble para uso de parqueadero, para el Concejo de Bogotá D.C."/>
    <n v="232000000"/>
    <s v=" "/>
    <n v="2013"/>
    <s v=" "/>
    <d v="2013-07-08T00:00:00"/>
    <d v="2014-05-07T00:00:00"/>
    <n v="2"/>
    <n v="116897514"/>
    <n v="1"/>
    <s v="2 meses y 22 días"/>
    <d v="2014-07-29T00:00:00"/>
    <d v="2014-07-29T00:00:00"/>
    <n v="348897514"/>
    <n v="348897514"/>
    <n v="0"/>
    <s v="Mensual"/>
    <x v="3"/>
    <x v="0"/>
    <x v="3"/>
    <s v=""/>
    <x v="1"/>
  </r>
  <r>
    <x v="109"/>
    <x v="65"/>
    <n v="830100153"/>
    <s v="Suministrar elementos de promoción institucional y actos protocolarios del Concejo de Bogotá D.C., de acuerdo con las especificaciones técnicas y en las cantidades solicitadas de conformidad con lo establecido en la presente Invitación Pública."/>
    <n v="23246000"/>
    <s v=" "/>
    <n v="2013"/>
    <s v=" "/>
    <d v="2013-07-08T00:00:00"/>
    <d v="2014-01-07T00:00:00"/>
    <n v="0"/>
    <n v="0"/>
    <n v="2"/>
    <s v="3 meses"/>
    <d v="2014-04-07T00:00:00"/>
    <d v="2014-04-07T00:00:00"/>
    <n v="23246000"/>
    <n v="19772977"/>
    <n v="3473023"/>
    <s v="Mensual"/>
    <x v="51"/>
    <x v="0"/>
    <x v="51"/>
    <s v=""/>
    <x v="0"/>
  </r>
  <r>
    <x v="110"/>
    <x v="48"/>
    <n v="900548648"/>
    <s v="Prestar el servicio integral de aseo y cafetería  para las instalaciones del Concejo de Bogotá y la Secretaria de Hacienda"/>
    <n v="301200000"/>
    <s v=" "/>
    <n v="2013"/>
    <s v=" "/>
    <d v="2013-06-21T00:00:00"/>
    <d v="2014-03-20T00:00:00"/>
    <n v="1"/>
    <n v="20373359"/>
    <n v="2"/>
    <s v="3 meses"/>
    <d v="2014-06-20T00:00:00"/>
    <d v="2014-06-20T00:00:00"/>
    <n v="321573359"/>
    <n v="317232018"/>
    <n v="4341341"/>
    <m/>
    <x v="52"/>
    <x v="0"/>
    <x v="52"/>
    <s v=""/>
    <x v="0"/>
  </r>
  <r>
    <x v="111"/>
    <x v="98"/>
    <n v="80422654"/>
    <s v="Realizar la interventoría técnica, administrativa, ambiental, contractual, financiera, legal y presupuestal para el contrato de mantenimiento integral locativo con el suministro de personal, equipo y repuestos en las instalaciones del Concejo de Bogotá."/>
    <n v="15797970"/>
    <s v=" "/>
    <n v="2013"/>
    <s v=" "/>
    <d v="2013-07-09T00:00:00"/>
    <d v="2014-04-08T00:00:00"/>
    <n v="2"/>
    <n v="6494721"/>
    <n v="2"/>
    <s v="3 meses y 21 días"/>
    <d v="2014-07-31T00:00:00"/>
    <d v="2014-07-31T00:00:00"/>
    <n v="22292691"/>
    <n v="22292691"/>
    <n v="0"/>
    <s v="La Secretaría Distrital de Hacienda pagará el valor facturado correspondiente de la siguiente manera:  El 90% del valor del contrato se cancelará mediante ocho (8) pagos mensuales iguales, previa presentación de las facturas respectivas y aprobación de las mismas y la certificación de cumplimiento expedida por el supervisor  del contrato."/>
    <x v="3"/>
    <x v="0"/>
    <x v="3"/>
    <s v=""/>
    <x v="1"/>
  </r>
  <r>
    <x v="112"/>
    <x v="99"/>
    <n v="4098836"/>
    <s v="Prestar los servicios profesionales para apoyar a la Dirección Financiera del Concejo de Bogotá D.C., en la revisión y estudio de las historias laborales de los funcionarios para establecer la definición técnica y jurídica del cumplimiento de los requisitos en los diferentes regímenes de pensión."/>
    <n v="23989000"/>
    <s v=" "/>
    <n v="2013"/>
    <s v=" "/>
    <d v="2013-07-02T00:00:00"/>
    <d v="2014-02-01T00:00:00"/>
    <n v="0"/>
    <n v="0"/>
    <n v="0"/>
    <s v=""/>
    <s v=""/>
    <d v="2014-02-01T00:00:00"/>
    <n v="23989000"/>
    <n v="23989000"/>
    <n v="0"/>
    <s v="Mensual"/>
    <x v="3"/>
    <x v="0"/>
    <x v="3"/>
    <s v=""/>
    <x v="1"/>
  </r>
  <r>
    <x v="113"/>
    <x v="73"/>
    <n v="4831"/>
    <s v="Prestación del servicio de mantenimiento correctivo con suministro de repuestos de los automotores marca CHEVROLET al servicio del Concejo de Bogotá."/>
    <n v="13576000"/>
    <s v=" "/>
    <n v="2013"/>
    <s v=" "/>
    <d v="2013-07-15T00:00:00"/>
    <d v="2014-03-14T00:00:00"/>
    <n v="1"/>
    <n v="6000000"/>
    <n v="0"/>
    <s v=""/>
    <s v=""/>
    <d v="2014-03-14T00:00:00"/>
    <n v="19576000"/>
    <n v="19571370"/>
    <n v="4630"/>
    <s v="Mensual"/>
    <x v="53"/>
    <x v="0"/>
    <x v="53"/>
    <s v=""/>
    <x v="1"/>
  </r>
  <r>
    <x v="114"/>
    <x v="100"/>
    <n v="900090485"/>
    <s v="Contratar la adquisición de medios de almacenamiento (cintas para tape backup, CD, DVD y Felpas)"/>
    <n v="6499930"/>
    <s v=" "/>
    <n v="2013"/>
    <s v=" "/>
    <d v="2013-07-16T00:00:00"/>
    <d v="2013-10-15T00:00:00"/>
    <n v="0"/>
    <n v="0"/>
    <n v="0"/>
    <s v=""/>
    <s v=""/>
    <d v="2013-10-15T00:00:00"/>
    <n v="6499930"/>
    <n v="6499930"/>
    <n v="0"/>
    <m/>
    <x v="3"/>
    <x v="0"/>
    <x v="3"/>
    <s v=""/>
    <x v="1"/>
  </r>
  <r>
    <x v="115"/>
    <x v="101"/>
    <n v="804002433"/>
    <s v="Realizar la recolección, trasporte, tratamiento y disposición final de los residuos peligrosos existentes en el Concejo de Bogotá D.C. atendiendo los lineamientos y directrices normativas en ésta materia."/>
    <n v="2367000"/>
    <s v=" SDH-SMINC-27-2013"/>
    <n v="2013"/>
    <s v=" "/>
    <d v="2013-07-17T00:00:00"/>
    <d v="2013-09-16T00:00:00"/>
    <n v="0"/>
    <n v="0"/>
    <n v="0"/>
    <s v=""/>
    <s v=""/>
    <d v="2013-09-16T00:00:00"/>
    <n v="2367000"/>
    <n v="2367000"/>
    <n v="0"/>
    <s v="Un pago equivalente al 100% del valor del contrato, una vez se hayan entregado y aprobado por el supervisor la totalidad de los resultados objeto del contrato."/>
    <x v="3"/>
    <x v="0"/>
    <x v="3"/>
    <s v=""/>
    <x v="1"/>
  </r>
  <r>
    <x v="116"/>
    <x v="102"/>
    <n v="900629446"/>
    <s v="Contratar el mantenimiento integral locativo con el suministro de personal, equipo y repuestos en las instalaciones físicas del Concejo de Bogotá, de conformidad con lo establecido en el pliego de condiciones del proceso SDH-SAMC-004-2013."/>
    <n v="269441460"/>
    <s v=" "/>
    <n v="2013"/>
    <s v=" "/>
    <d v="2013-07-09T00:00:00"/>
    <d v="2014-03-08T00:00:00"/>
    <n v="0"/>
    <n v="0"/>
    <n v="2"/>
    <s v="3 meses y 23 días"/>
    <d v="2014-06-30T00:00:00"/>
    <d v="2014-06-30T00:00:00"/>
    <n v="269441460"/>
    <n v="265223666"/>
    <n v="4217794"/>
    <s v="Mensual"/>
    <x v="54"/>
    <x v="0"/>
    <x v="54"/>
    <s v=""/>
    <x v="0"/>
  </r>
  <r>
    <x v="117"/>
    <x v="27"/>
    <n v="860536029"/>
    <s v="SUSCRIPCIÓN AL DIARIO EL NUEVO SIGLO, PARA EL CONCEJO DE BOGOTÁ D.C."/>
    <n v="840000"/>
    <n v="130209"/>
    <n v="2013"/>
    <s v=" "/>
    <d v="2013-09-14T00:00:00"/>
    <d v="2014-09-13T00:00:00"/>
    <n v="0"/>
    <n v="0"/>
    <n v="0"/>
    <s v=""/>
    <s v=""/>
    <d v="2014-09-13T00:00:00"/>
    <n v="840000"/>
    <n v="840000"/>
    <n v="0"/>
    <s v="Único pago"/>
    <x v="3"/>
    <x v="0"/>
    <x v="3"/>
    <s v=""/>
    <x v="1"/>
  </r>
  <r>
    <x v="118"/>
    <x v="64"/>
    <n v="80199707"/>
    <s v="Realizar el servicio de mantenimiento correctivo, incluyendo los repuestos y/o elementos nuevos que requieran las sillas existentes en el Concejo de Bogotá."/>
    <n v="38271000"/>
    <s v=" "/>
    <n v="2013"/>
    <s v=" "/>
    <d v="2013-07-17T00:00:00"/>
    <d v="2014-02-16T00:00:00"/>
    <n v="0"/>
    <n v="0"/>
    <n v="1"/>
    <s v="1 mes"/>
    <d v="2014-03-16T00:00:00"/>
    <d v="2014-03-16T00:00:00"/>
    <n v="38271000"/>
    <n v="38271000"/>
    <n v="0"/>
    <s v="Mensual"/>
    <x v="3"/>
    <x v="0"/>
    <x v="3"/>
    <s v=""/>
    <x v="1"/>
  </r>
  <r>
    <x v="119"/>
    <x v="103"/>
    <n v="890903407"/>
    <s v="Contratar la expedición de las pólizas de seguro obligatorio SOAT para los vehículos del CONCEJO DE BOGOTÁ, de conformidad con lo establecido en la invitación publica de mínima Cuantía  No SDH-SMINC-31-2013"/>
    <n v="4001000"/>
    <s v=" SDH-SMINC-31-2013"/>
    <n v="2013"/>
    <s v=" "/>
    <d v="2013-07-17T00:00:00"/>
    <d v="2015-03-19T00:00:00"/>
    <n v="0"/>
    <n v="0"/>
    <n v="1"/>
    <s v="1 mes"/>
    <d v="2014-03-16T00:00:00"/>
    <d v="2015-03-19T00:00:00"/>
    <n v="4001000"/>
    <n v="4001000"/>
    <n v="0"/>
    <s v="Los pagos se efectuarán dentro de los sesenta (60) días calendario siguientes al recibo del original de la póliza adjudicada, previa revisión del intermediario de seguros y aprobación del Supervisor del contrato, la cual debe ser radicada en la Subdirección Financiera, acompañadas de las respectivas certificaciones de cumplimiento a satisfacción del objeto y obligaciones, expedida por el supervisor del contrato y de los respectivos recibos de pago por concepto de aportes al Sistema de Seguridad Social "/>
    <x v="3"/>
    <x v="0"/>
    <x v="3"/>
    <s v=""/>
    <x v="1"/>
  </r>
  <r>
    <x v="120"/>
    <x v="104"/>
    <n v="900268429"/>
    <s v="Prestar el servicio de mantenimiento preventivo y correctivo al sistema de generación y trasferencia eléctrica de emergencia del concejo de Bogotá D.C., de conformidad con lo establecido en la invitación pública SDH-SMINC-023-2013,"/>
    <n v="10222000"/>
    <s v=" SDH-SMINC-023-2013"/>
    <n v="2013"/>
    <s v=" "/>
    <d v="2013-10-01T00:00:00"/>
    <d v="2014-05-31T00:00:00"/>
    <n v="0"/>
    <n v="0"/>
    <n v="0"/>
    <s v=""/>
    <s v=""/>
    <d v="2014-05-31T00:00:00"/>
    <n v="10222000"/>
    <n v="10208006"/>
    <n v="13994"/>
    <s v="Los pagos se realizarán cada dos (2) meses de acuerdo a los servicios efectivamente prestados por concepto de mantenimiento preventivo y correctivo. Los insumos se cancelarán de acuerdo a la demanda requerida en el respectivo periodo, manteniendo los precios ofrecidos en la propuesta, previa presentación del informe de los servicios prestados por parte del contratista y certificación de cumplimiento y recibo a satisfacción del servicio, expedida por el supervisor del contrato en la cual se indique el valor a pagar al contratista._x000a_"/>
    <x v="55"/>
    <x v="0"/>
    <x v="55"/>
    <s v=""/>
    <x v="0"/>
  </r>
  <r>
    <x v="121"/>
    <x v="105"/>
    <n v="80117116"/>
    <s v="Prestar los servicios profesionales para apoyar a la Dirección Financiera del Concejo de Bogotá D.C. en la revisión  y estudio de las historias laborales de los funcionarios para establecer la definición técnica y jurídica del cumplimiento de  los requisitos  en los diferentes regímenes de pensión."/>
    <n v="23989000"/>
    <s v=" 130220-0-2013"/>
    <n v="2013"/>
    <s v=" "/>
    <d v="2013-07-22T00:00:00"/>
    <d v="2014-02-21T00:00:00"/>
    <n v="0"/>
    <n v="0"/>
    <n v="0"/>
    <s v=""/>
    <s v=""/>
    <d v="2014-02-21T00:00:00"/>
    <n v="23989000"/>
    <n v="23989000"/>
    <n v="0"/>
    <s v="Mensual"/>
    <x v="3"/>
    <x v="0"/>
    <x v="3"/>
    <s v=""/>
    <x v="1"/>
  </r>
  <r>
    <x v="122"/>
    <x v="28"/>
    <n v="860509265"/>
    <s v="SUSCRIPCIÓN A LA REVISTA SEMANA, PARA EL CONCEJO DE BOGOTÁ"/>
    <n v="795000"/>
    <s v=" 130227-0-2013"/>
    <n v="2013"/>
    <s v=" "/>
    <d v="2013-09-30T00:00:00"/>
    <d v="2014-09-29T00:00:00"/>
    <n v="0"/>
    <n v="0"/>
    <n v="0"/>
    <s v=""/>
    <s v=""/>
    <d v="2014-09-29T00:00:00"/>
    <n v="795000"/>
    <n v="795000"/>
    <n v="0"/>
    <s v="Único pago"/>
    <x v="3"/>
    <x v="0"/>
    <x v="3"/>
    <s v=""/>
    <x v="1"/>
  </r>
  <r>
    <x v="123"/>
    <x v="26"/>
    <n v="860007590"/>
    <s v="SUSCRIPCIÓN AL DIARIO EL ESPECTADOR, PARA EL CONCEJO DE BOGOTÁ."/>
    <n v="936000"/>
    <s v=" 130228-0-2013"/>
    <n v="2013"/>
    <s v=" "/>
    <d v="2013-09-11T00:00:00"/>
    <d v="2014-09-10T00:00:00"/>
    <n v="0"/>
    <n v="0"/>
    <n v="0"/>
    <s v=""/>
    <s v=""/>
    <d v="2014-09-10T00:00:00"/>
    <n v="936000"/>
    <n v="936000"/>
    <n v="0"/>
    <s v="Único pago"/>
    <x v="3"/>
    <x v="0"/>
    <x v="3"/>
    <s v=""/>
    <x v="1"/>
  </r>
  <r>
    <x v="124"/>
    <x v="106"/>
    <n v="1016050827"/>
    <s v="Contratar le prestación de servicios de empaste y/ o encuadernación de documentos del Concejo de Bogotá D.C.,  de conformidad con lo establecido en la invitación publica del proceso citado en el asunto y la propuesta por usted presentada. "/>
    <n v="3847300"/>
    <s v=" "/>
    <n v="2013"/>
    <s v=" "/>
    <d v="2013-08-08T00:00:00"/>
    <d v="2014-05-07T00:00:00"/>
    <n v="0"/>
    <n v="0"/>
    <n v="1"/>
    <s v="3 meses"/>
    <d v="2014-08-07T00:00:00"/>
    <d v="2014-08-07T00:00:00"/>
    <n v="3847300"/>
    <n v="3847300"/>
    <n v="0"/>
    <m/>
    <x v="3"/>
    <x v="0"/>
    <x v="3"/>
    <s v=""/>
    <x v="1"/>
  </r>
  <r>
    <x v="125"/>
    <x v="1"/>
    <n v="800015583"/>
    <s v="Contratar la gestión integral de servicio de mesa  de ayuda, soporte informático, mantenimiento preventivo y correctivo d  la infraestructura tecnológica con suministros de repuestos  para el Concejo de Bogotá de conformidad con los estudios previos, los anexos técnicos y la prepuesta presentada del proceso de selección Subasta Inversa Electrónica SDH-SMINC-005-2013."/>
    <n v="46411000"/>
    <s v=" "/>
    <n v="2013"/>
    <s v=" "/>
    <d v="2013-08-14T00:00:00"/>
    <d v="2014-06-13T00:00:00"/>
    <n v="2"/>
    <n v="14282200"/>
    <n v="1"/>
    <s v="2 meses"/>
    <d v="2014-08-13T00:00:00"/>
    <d v="2014-08-13T00:00:00"/>
    <n v="60693200"/>
    <n v="59391828"/>
    <n v="1301372"/>
    <s v="Se realizará un (1) pago para el servicio de mantenimiento preventivo correspondientes a la visita de mantenimiento con el contratista durante el plazo de ejecución del contrato, según el cronograma definido por la Secretaría Distrital de Hacienda, previa entrega del informe de las actividades realizadas en el mismo."/>
    <x v="56"/>
    <x v="0"/>
    <x v="56"/>
    <s v=""/>
    <x v="0"/>
  </r>
  <r>
    <x v="126"/>
    <x v="107"/>
    <n v="830047489"/>
    <s v="Contratar el servicio de mantenimiento correctivo, traslado, incluyendo los repuestos y/o elementos nuevos que requieran los sistemas de archivos rodantes, existentes en las diferentes dependencias del Concejo de Bogotá, de conformidad con lo establecido en la invitación Publica."/>
    <n v="4393120"/>
    <s v=" "/>
    <n v="2013"/>
    <s v=" "/>
    <d v="2013-08-26T00:00:00"/>
    <d v="2014-05-25T00:00:00"/>
    <n v="0"/>
    <n v="0"/>
    <n v="1"/>
    <s v="3 meses"/>
    <d v="2014-08-25T00:00:00"/>
    <d v="2014-08-25T00:00:00"/>
    <n v="4393120"/>
    <n v="2578000"/>
    <n v="1815120"/>
    <s v="Mensual"/>
    <x v="57"/>
    <x v="0"/>
    <x v="57"/>
    <s v=""/>
    <x v="0"/>
  </r>
  <r>
    <x v="127"/>
    <x v="108"/>
    <n v="900055635"/>
    <s v="Prestar los servicios de mantenimiento periódico preventivo del parque automotor al servicio del Concejo de Bogotá D.C. de conformidad con lo establecido en la invitación Publica del proceso No SDH-SMINC-038-2013 y la propuesta presentada por el contratista."/>
    <n v="16804000"/>
    <s v=" "/>
    <n v="2013"/>
    <s v=" "/>
    <d v="2013-09-06T00:00:00"/>
    <d v="2014-05-05T00:00:00"/>
    <n v="1"/>
    <n v="8400000"/>
    <n v="3"/>
    <s v="11 meses"/>
    <d v="2015-04-05T00:00:00"/>
    <d v="2015-04-05T00:00:00"/>
    <n v="25204000"/>
    <n v="25201450"/>
    <n v="2550"/>
    <s v="Mensual"/>
    <x v="58"/>
    <x v="0"/>
    <x v="58"/>
    <s v=""/>
    <x v="1"/>
  </r>
  <r>
    <x v="128"/>
    <x v="109"/>
    <n v="800230639"/>
    <s v="Contratar los servicios de mantenimiento correctivo por demanda, con repuestos, soporte técnico especializado y actualización para el sistema integrado de la red de cableado estructurado  (voz y datos), fibra óptica, energía eléctrica (normal y regulada) de la Secretaria Distrital de Hacienda y el Concejo de Bogotá, de conformidad con el pliego de Condiciones Proceso SDH-SIE-07-2013."/>
    <n v="86923131"/>
    <s v=" "/>
    <n v="2013"/>
    <s v=" "/>
    <d v="2013-08-20T00:00:00"/>
    <d v="2014-08-20T00:00:00"/>
    <n v="1"/>
    <n v="43461566"/>
    <n v="1"/>
    <s v="5 meses"/>
    <d v="2015-02-20T00:00:00"/>
    <d v="2015-02-20T00:00:00"/>
    <n v="130384697"/>
    <n v="96359635"/>
    <n v="34025062"/>
    <m/>
    <x v="59"/>
    <x v="0"/>
    <x v="59"/>
    <s v=""/>
    <x v="0"/>
  </r>
  <r>
    <x v="129"/>
    <x v="110"/>
    <n v="800039398"/>
    <s v="Prestar los servicios de mantenimiento preventivo y correctivo con repuesto y bienes fungibles para el sistema de corriente regulada (UPS APC) Para el concejo de Bogotá D.C: en las condiciones descritas en el pliego de condiciones del proceso de selección SDH-SIE-08-2013, el anexo técnico No 1 Ítem 3 y la propuesta presentada para el Ítem 3"/>
    <n v="45056000"/>
    <s v=" "/>
    <n v="2013"/>
    <s v=" "/>
    <d v="2013-09-16T00:00:00"/>
    <d v="2014-09-15T00:00:00"/>
    <n v="0"/>
    <n v="0"/>
    <n v="0"/>
    <s v=""/>
    <s v=""/>
    <d v="2014-09-15T00:00:00"/>
    <n v="45056000"/>
    <n v="25056000"/>
    <n v="20000000"/>
    <m/>
    <x v="60"/>
    <x v="0"/>
    <x v="60"/>
    <s v=""/>
    <x v="0"/>
  </r>
  <r>
    <x v="130"/>
    <x v="111"/>
    <n v="860066942"/>
    <s v="Contratar el alquiler diferentes tipos de escenarios: salones, auditorios y espacios abiertos de diversas capacidades donde en forma adicional al espacio se suministre el apoyo logístico, alimentación, equipamiento y personal necesario para el desarrollo de eventos, actos de orden institucional y protocolario en cumplimiento de las funciones del Concejo de Bogotá, de conformidad con las condiciones establecidas en el pliego de condiciones del proceso SDH-SAMC-06-2013"/>
    <n v="76223000"/>
    <s v=" SDH-SAMC-06-2013"/>
    <n v="2013"/>
    <s v=" "/>
    <d v="2013-09-24T00:00:00"/>
    <d v="2014-03-23T00:00:00"/>
    <n v="2"/>
    <n v="38002288"/>
    <n v="1"/>
    <s v="2 meses"/>
    <d v="2014-05-23T00:00:00"/>
    <d v="2014-05-23T00:00:00"/>
    <n v="114225288"/>
    <n v="114217068"/>
    <n v="8220"/>
    <m/>
    <x v="61"/>
    <x v="0"/>
    <x v="61"/>
    <s v=""/>
    <x v="1"/>
  </r>
  <r>
    <x v="131"/>
    <x v="112"/>
    <n v="800105847"/>
    <s v="Realizar el mantenimiento, revisión, recarga general y suministro de repuesto de los extintores de las sedes del Concejo de Bogotá, y la revisión, mantenimiento y suministro de repuestos de los gabinetes contra incendio de la Corporación, de conformidad con lo establecido en la Invitación Pública SDH-SMINC-39-2013."/>
    <n v="4715000"/>
    <s v=" SDH-SMINC-39-2013"/>
    <n v="2013"/>
    <s v=" "/>
    <d v="2013-10-08T00:00:00"/>
    <d v="2013-12-07T00:00:00"/>
    <n v="0"/>
    <n v="0"/>
    <n v="0"/>
    <s v=""/>
    <s v=""/>
    <d v="2013-12-07T00:00:00"/>
    <n v="4715000"/>
    <n v="4715000"/>
    <n v="0"/>
    <s v="Mensual"/>
    <x v="3"/>
    <x v="0"/>
    <x v="3"/>
    <s v=""/>
    <x v="1"/>
  </r>
  <r>
    <x v="132"/>
    <x v="113"/>
    <n v="899999230"/>
    <s v="Contratar los servicios integrales para la ejecución y desarrollo de plan institucional de capacitación del Concejo de Bogotá D.C. de conformidad con la normatividad vigente."/>
    <n v="457000000"/>
    <s v=" "/>
    <n v="2013"/>
    <s v=" "/>
    <d v="2013-10-09T00:00:00"/>
    <d v="2014-06-08T00:00:00"/>
    <n v="0"/>
    <n v="0"/>
    <n v="2"/>
    <s v="3 meses"/>
    <d v="2014-09-08T00:00:00"/>
    <d v="2014-09-08T00:00:00"/>
    <n v="457000000"/>
    <n v="416287285"/>
    <n v="40712715"/>
    <s v="Cuatro (4) pagos así: _x000a_a. Un primer pago equivalente al 40% del valor del contrato, a la entrega del plan de trabajo que incluya las etapas de planeación, preparación y presentación de contenidos, propuestas de las jornadas de capacitación y evaluación y de acuerdo con la concertación de los contenido temáticos, así como los diseños metodológicos de la capacitación, los cuales deberán estar acompañados del informe ejecutivo y avalado por el supervisor del contrato. _x000a_b. Un segundo pago equivalente al 25% del valor del contrato, previa presentación de los contenidos, resultados preliminares de las evaluaciones de entrada realizadas a los funcionarios, y el desarrollo del 30% de ejecución de los programas de capacitación, así como la entrega del informe de avance donde se evidencia la ejecución de las actividades antes mencionadas, aprobado por el supervisor del contrato._x000a_c. Un tercer pago equivalente al 25% del valor del contrato, al desarrollo del 70% de ejecución de los programas de capacitación, así como la entrega del informe de avance donde se evidencia la ejecución de las actividades antes mencionadas, aprobadas por el supervisor del contrato._x000a_d. Un cuarto y último pago equivalente al 10 % del valor del contrato, informe final de actividades que resuma el cumplimiento del objeto, los productos y obligaciones pactadas en su totalidad, y recibido a satisfacción por parte del supervisor._x000a__x000a_"/>
    <x v="62"/>
    <x v="0"/>
    <x v="62"/>
    <s v=""/>
    <x v="0"/>
  </r>
  <r>
    <x v="133"/>
    <x v="114"/>
    <n v="900207129"/>
    <s v="Adquirir a titulo de compraventa mediante el sistema de precios unitarios, elementos, medicamentos e insumos para dotar el consultorio medico, brigada de emergencia y los botiquines del Concejo de Bogotá D.C. de conformidad con lo establecido en la invitación del proceso No SDH-SMINC-40-2013 Y  la propuesta presentada por el contratista."/>
    <n v="3356320"/>
    <s v=" SDH-SMINC-40-2013"/>
    <n v="2013"/>
    <s v=" "/>
    <d v="2013-10-07T00:00:00"/>
    <d v="2014-01-06T00:00:00"/>
    <n v="0"/>
    <n v="0"/>
    <n v="0"/>
    <s v=""/>
    <s v=""/>
    <d v="2014-01-06T00:00:00"/>
    <n v="3356320"/>
    <n v="3356320"/>
    <n v="0"/>
    <s v="Único pago"/>
    <x v="3"/>
    <x v="0"/>
    <x v="3"/>
    <s v=""/>
    <x v="1"/>
  </r>
  <r>
    <x v="134"/>
    <x v="115"/>
    <n v="830069296"/>
    <s v="Contratar la adquisición, mantenimiento y soporte de licencias de software antivirus para la plataforma del Concejo de Bogotá D.C, de conformidad con lo establecido en el pliego de condiciones del proceso No SDH-SMINC-43-2013"/>
    <n v="19965572"/>
    <s v=" SDH-SMINC-43-2013"/>
    <n v="2013"/>
    <s v=" "/>
    <d v="2013-10-08T00:00:00"/>
    <d v="2014-10-23T00:00:00"/>
    <n v="0"/>
    <n v="0"/>
    <n v="0"/>
    <s v=""/>
    <s v=""/>
    <d v="2014-10-23T00:00:00"/>
    <n v="19965572"/>
    <n v="19965572"/>
    <n v="0"/>
    <m/>
    <x v="3"/>
    <x v="0"/>
    <x v="3"/>
    <s v=""/>
    <x v="1"/>
  </r>
  <r>
    <x v="135"/>
    <x v="14"/>
    <n v="830112518"/>
    <s v="Prestar el servicio de mantenimiento, soporte y actualización al software &quot;Prontus&quot; (pagina web e intranet)"/>
    <n v="38280000"/>
    <s v=" "/>
    <n v="2013"/>
    <s v=" "/>
    <d v="2013-10-15T00:00:00"/>
    <d v="2014-10-14T00:00:00"/>
    <n v="0"/>
    <n v="0"/>
    <n v="0"/>
    <s v=""/>
    <s v=""/>
    <d v="2014-10-14T00:00:00"/>
    <n v="38280000"/>
    <n v="38280000"/>
    <n v="0"/>
    <s v="Mensual"/>
    <x v="3"/>
    <x v="0"/>
    <x v="3"/>
    <s v=""/>
    <x v="1"/>
  </r>
  <r>
    <x v="136"/>
    <x v="116"/>
    <n v="900309238"/>
    <s v="Contratar el suministro de elementos necesarios para la recolección y manejo integral de residuos solidos del  Concejo de Bogotá D.C. de conformidad con lo estipulado en la invitación Publica del proceso SDH-SMINC-042-2013"/>
    <n v="26073552"/>
    <s v=" SDH-SMINC-042-2013"/>
    <n v="2013"/>
    <s v=" "/>
    <d v="2013-10-15T00:00:00"/>
    <d v="2013-11-14T00:00:00"/>
    <n v="0"/>
    <n v="0"/>
    <n v="0"/>
    <s v=""/>
    <s v=""/>
    <d v="2013-11-14T00:00:00"/>
    <n v="26073552"/>
    <n v="26073552"/>
    <n v="0"/>
    <m/>
    <x v="3"/>
    <x v="0"/>
    <x v="3"/>
    <s v=""/>
    <x v="1"/>
  </r>
  <r>
    <x v="137"/>
    <x v="117"/>
    <n v="900542684"/>
    <s v="Adquirir a titulo de compraventa elementos de protección personal  para los servidores Públicos del concejo de Bogotá D.C. de conformidad con lo establecido en la invitación publica No SDH-SMINC-45-2013"/>
    <n v="17262940"/>
    <s v=" SDH-SMINC-45-2013"/>
    <n v="2013"/>
    <s v=" "/>
    <d v="2013-10-23T00:00:00"/>
    <d v="2014-02-22T00:00:00"/>
    <n v="0"/>
    <n v="0"/>
    <n v="0"/>
    <s v=""/>
    <s v=""/>
    <d v="2014-02-22T00:00:00"/>
    <n v="17262940"/>
    <n v="17262940"/>
    <n v="0"/>
    <s v="Único pago"/>
    <x v="3"/>
    <x v="0"/>
    <x v="3"/>
    <s v=""/>
    <x v="1"/>
  </r>
  <r>
    <x v="138"/>
    <x v="58"/>
    <n v="900169179"/>
    <s v="Suscripción al diario El Periódico, con destino al Concejo de Bogotá D.C. , de conformidad con los estudios previos."/>
    <n v="810000"/>
    <s v=" 130297-0-2013"/>
    <n v="2013"/>
    <s v=" "/>
    <d v="2013-10-28T00:00:00"/>
    <d v="2014-10-27T00:00:00"/>
    <n v="0"/>
    <n v="0"/>
    <n v="0"/>
    <s v=""/>
    <s v=""/>
    <d v="2014-10-27T00:00:00"/>
    <n v="810000"/>
    <n v="810000"/>
    <n v="0"/>
    <m/>
    <x v="3"/>
    <x v="0"/>
    <x v="3"/>
    <s v=""/>
    <x v="1"/>
  </r>
  <r>
    <x v="139"/>
    <x v="118"/>
    <n v="830080652"/>
    <s v="Adquirir a titulo de compraventa los elementos descritos en el Ítem 2 de la invitación publica SDH-SMINC-44-2013 que tiene por objeto &quot;Adquirir a titulo de compraventa por el sistema de precios unitarios mobiliario y equipos de oficinas consistentes en sillas y elementos ergonómicos, para adecuar los puestos de trabajo de los servidores Públicos del Concejo de Bogotá D.C.&quot;"/>
    <n v="5545000"/>
    <s v=" SDH-SMINC-44-2013"/>
    <n v="2013"/>
    <s v=" "/>
    <d v="2013-11-12T00:00:00"/>
    <d v="2014-01-11T00:00:00"/>
    <n v="0"/>
    <n v="0"/>
    <n v="0"/>
    <s v=""/>
    <s v=""/>
    <d v="2014-01-11T00:00:00"/>
    <n v="5545000"/>
    <n v="5545000"/>
    <n v="0"/>
    <s v="Único pago"/>
    <x v="3"/>
    <x v="0"/>
    <x v="3"/>
    <s v=""/>
    <x v="1"/>
  </r>
  <r>
    <x v="140"/>
    <x v="119"/>
    <n v="900236701"/>
    <s v="Adquirir a titulo de compraventa los elementos descritos en el ítem 1 de la invitación publica SDH-SMINC-44-2013, que tiene por objeto &quot;Adquirir a titulo de Compraventa por el sistema de precios unitarios mobiliario y equipos de oficina consistentes en sillas y elementos ergonómicos, para adecuar los puestos de trabajo de los servidores públicos del Concejo de Bogotá D.C.&quot;"/>
    <n v="19360400"/>
    <s v=" SDH-SMINC-44-2013"/>
    <n v="2013"/>
    <s v=" "/>
    <d v="2013-11-12T00:00:00"/>
    <d v="2014-01-11T00:00:00"/>
    <n v="0"/>
    <n v="0"/>
    <n v="0"/>
    <s v=""/>
    <s v=""/>
    <d v="2014-01-11T00:00:00"/>
    <n v="19360400"/>
    <n v="19360400"/>
    <n v="0"/>
    <s v="Único pago"/>
    <x v="3"/>
    <x v="0"/>
    <x v="3"/>
    <s v=""/>
    <x v="1"/>
  </r>
  <r>
    <x v="141"/>
    <x v="120"/>
    <n v="860066942"/>
    <s v="Aunar esfuerzos para el desarrollo de las actividades contenidas en los planes de bienestar e incentivos del Concejo de Bogotá D.C."/>
    <n v="336560000"/>
    <s v=" 130301-0-2013"/>
    <n v="2013"/>
    <s v=" "/>
    <d v="2013-10-25T00:00:00"/>
    <d v="2014-06-24T00:00:00"/>
    <n v="2"/>
    <n v="165720800"/>
    <n v="0"/>
    <s v=""/>
    <s v=""/>
    <d v="2014-06-24T00:00:00"/>
    <n v="502280800"/>
    <n v="502247588"/>
    <n v="33212"/>
    <m/>
    <x v="63"/>
    <x v="0"/>
    <x v="63"/>
    <s v=""/>
    <x v="1"/>
  </r>
  <r>
    <x v="142"/>
    <x v="121"/>
    <n v="900228623"/>
    <s v="Prestar los servicios de vigilancia privada para la permanente y adecuada protección de las personas (funcionarios, contratista, visitantes, contribuyentes) los bienes muebles e inmuebles de propiedad de la entidad contratante, así como de aquellos por los  que les correspondiere salvaguardar en virtud de disposición legal, contractual o convencional. para el Concejo de Bogotá D.C. de conformidad con lo establecido en le pliego de condiciones del proceso de selección SDH-SIE-11-2013,  sus anexos y la propuesta presentada"/>
    <n v="533636000"/>
    <s v=" SDH-SIE-11-2013"/>
    <n v="2013"/>
    <s v=" "/>
    <d v="2013-11-02T00:00:00"/>
    <d v="2014-11-01T00:00:00"/>
    <n v="1"/>
    <n v="159203272"/>
    <n v="1"/>
    <s v="1 mes"/>
    <d v="2014-12-02T00:00:00"/>
    <d v="2014-12-02T00:00:00"/>
    <n v="692839272"/>
    <n v="678164443"/>
    <n v="14674829"/>
    <s v="Mensual"/>
    <x v="64"/>
    <x v="0"/>
    <x v="64"/>
    <s v=""/>
    <x v="0"/>
  </r>
  <r>
    <x v="143"/>
    <x v="122"/>
    <m/>
    <s v="Prestar los Servicios de conectividad de canales de comunicación, dedicados e Internet y servicios complementarios para la Secretaría Distrital de Hacienda y Concejo de Bogotá."/>
    <n v="150000000"/>
    <s v=" "/>
    <n v="2013"/>
    <s v=" "/>
    <d v="2013-12-02T00:00:00"/>
    <d v="2014-12-02T00:00:00"/>
    <n v="0"/>
    <n v="0"/>
    <n v="0"/>
    <s v=""/>
    <s v=""/>
    <d v="2014-12-02T00:00:00"/>
    <n v="150000000"/>
    <n v="0"/>
    <n v="150000000"/>
    <s v="Pagos mensuales vencidos durante la vigencia del contrato,  correspondiente al servicio mensual prestado y recibido a satisfacción por el supervisor del contrato._x000a__x000a_2. Un solo pago correspondiente a los servicios de actualización y soporte para el administrador de ancho de banda una vez se haga entrega del soporte de mantenimiento suscrito con el fabricante por valor de $39.900.000 incluido IVA._x000a__x000a_3. El valor destinado como Bolsa de Servicios, se pagará por demanda, de acuerdo a los requerimientos de nuevos servicios solicitados durante el mes que se causen._x000a_"/>
    <x v="6"/>
    <x v="0"/>
    <x v="6"/>
    <s v=""/>
    <x v="0"/>
  </r>
  <r>
    <x v="144"/>
    <x v="123"/>
    <n v="899999061"/>
    <s v="Suministrar por parte de la SECRETARIA DISTRITAL DE HACIENDA el sistema de información Hacendario SI CAPIT@L, entregando copia de los programas fuentes y documentación del software como manuales técnico y de usuario, al Concejo de Bogotá D.C., autorizando su uso en virtud de la cooperación interinstitucional. "/>
    <n v="0"/>
    <s v=" "/>
    <n v="2013"/>
    <s v=" "/>
    <d v="2014-02-26T00:00:00"/>
    <d v="2016-02-25T00:00:00"/>
    <n v="0"/>
    <n v="0"/>
    <n v="0"/>
    <s v=""/>
    <s v=""/>
    <d v="2016-02-25T00:00:00"/>
    <n v="0"/>
    <n v="0"/>
    <n v="0"/>
    <m/>
    <x v="65"/>
    <x v="0"/>
    <x v="65"/>
    <s v=""/>
    <x v="2"/>
  </r>
  <r>
    <x v="145"/>
    <x v="55"/>
    <n v="860506170"/>
    <s v="LA SECRETARÍA DISTRITAL DE HACIENDA Y EL INSTITUTO DISTRITAL DE PATRIMONIO CULTURAL, se comprometen a aunar esfuerzos y recursos técnicos, humanos y financieros, para adelantar las actividades requeridas en la actualización física y tecnológica del inmueble denominado Edificio del Claustro del Concejo de Bogotá, D. C., ubicado en la calle 36 No. 28 A 41 de la ciudad de Bogotá., de conformidad con lo establecido en los estudios previos y los Anexos Nos. 1, 2 y 3."/>
    <n v="2689440000"/>
    <s v=" 120000-518-0-2012"/>
    <n v="2012"/>
    <s v=" "/>
    <d v="2012-12-20T00:00:00"/>
    <d v="2014-12-20T00:00:00"/>
    <n v="4"/>
    <n v="1210934978"/>
    <n v="4"/>
    <s v="5 años y 6 meses y 10 dias calendario"/>
    <d v="2018-06-30T00:00:00"/>
    <d v="2018-06-30T00:00:00"/>
    <n v="3900374978"/>
    <n v="680003244"/>
    <n v="3220371734"/>
    <m/>
    <x v="66"/>
    <x v="0"/>
    <x v="66"/>
    <s v=""/>
    <x v="0"/>
  </r>
  <r>
    <x v="146"/>
    <x v="124"/>
    <n v="830110570"/>
    <s v="Adquisición de equipos PC`s para el Concejo de Bogotá, de conformidad con lo establecido en el pliego de condiciones y en la propuesta presentada por NEX COMPUTER S.A., dentro del procesos de selección abreviada a través del procedimiento de subasta inversa electrónica Nº SDH-SIE-010-2013"/>
    <n v="430036764"/>
    <s v=" SDH-SIE-010-2013"/>
    <n v="2013"/>
    <s v=" "/>
    <d v="2014-01-20T00:00:00"/>
    <d v="2014-04-19T00:00:00"/>
    <n v="0"/>
    <n v="0"/>
    <n v="0"/>
    <s v=""/>
    <s v=""/>
    <d v="2014-04-19T00:00:00"/>
    <n v="430036764"/>
    <n v="430036600"/>
    <n v="164"/>
    <s v="Se realizarán pagos parciales, cuyo valor corresponderá al valor unitario establecido en la propuesta final, por el número de equipos entregados por el contratista a la Secretaría Distrital de Hacienda y al Concejo de Bogotá. "/>
    <x v="67"/>
    <x v="0"/>
    <x v="67"/>
    <s v=""/>
    <x v="1"/>
  </r>
  <r>
    <x v="147"/>
    <x v="40"/>
    <n v="80725449"/>
    <s v="Contratar el servicio para la elaboración del retrato sobre lienzo al óleo de la Honorable Concejal de Bogotá D.C., Doctora  María Clara Name Ramírez, actual Presidenta de la Mesa Directiva del Concejo de Bogotá D.C., de conformidad con los estudios previos."/>
    <n v="6000000"/>
    <s v=" 130336-0-2013"/>
    <n v="2013"/>
    <s v=" "/>
    <d v="2013-12-12T00:00:00"/>
    <d v="2014-02-11T00:00:00"/>
    <n v="0"/>
    <n v="0"/>
    <n v="0"/>
    <s v=""/>
    <s v=""/>
    <d v="2014-02-11T00:00:00"/>
    <n v="6000000"/>
    <n v="6000000"/>
    <n v="0"/>
    <s v="Único pago"/>
    <x v="3"/>
    <x v="0"/>
    <x v="3"/>
    <s v=""/>
    <x v="1"/>
  </r>
  <r>
    <x v="148"/>
    <x v="125"/>
    <n v="860536079"/>
    <s v="Suministrar e instalar plantas purificadoras de agua semi-industriales en las dependencias del Concejo de Bogotá D.C., de acuerdo con las especificaciones y condiciones descritas en los estudios previos y anexo Técnico de conformidad con lo establecido en la invitación publica SDH-SMINC-53-2013"/>
    <n v="7937504"/>
    <s v=" SDH-SMINC-53-2013"/>
    <n v="2013"/>
    <s v=" "/>
    <d v="2014-01-02T00:00:00"/>
    <d v="2015-01-01T00:00:00"/>
    <n v="0"/>
    <n v="0"/>
    <n v="0"/>
    <s v=""/>
    <s v=""/>
    <d v="2015-01-01T00:00:00"/>
    <n v="7937504"/>
    <n v="5992064"/>
    <n v="1945440"/>
    <s v="Un primer pago correspondiente al 100% del valor adjudicado según oferta presentada sobre las plantas purificadoras (ítem 1) instaladas y puestas en funcionamiento previa certificación de cumplimiento expedida por el supervisor del contrato._x000a_El valor de los mantenimientos preventivos (ítem 2) se pagará teniendo en cuenta el valor adjudicado para el respectivo ítem, una vez se hayan prestado los servicios y cuenten con la respectiva certificación de cumplimiento expedida por el supervisor del contrato_x000a__x000a_Los elementos e insumos susceptibles a cambio y/o desgaste (ítem 3) se cancelarán de acuerdo a su consumo, teniendo en cuenta la frecuencia de cambio y valores unitarios presentados en la oferta económica, previa certificación de cumplimiento expedida por el supervisor del contrato._x000a__x000a_"/>
    <x v="68"/>
    <x v="0"/>
    <x v="68"/>
    <s v=""/>
    <x v="0"/>
  </r>
  <r>
    <x v="149"/>
    <x v="126"/>
    <n v="79106019"/>
    <s v="Prestar el servicio de alquiler, instalación y desmonte de la decoración navideña para la sede principal del Concejo de Bogotá D.C., de conformidad con los establecidos en la invitación publica SDH-SMINC-58-2013."/>
    <n v="15000000"/>
    <s v=" "/>
    <n v="2013"/>
    <s v=" "/>
    <d v="2013-12-04T00:00:00"/>
    <d v="2014-01-19T00:00:00"/>
    <n v="0"/>
    <n v="0"/>
    <n v="0"/>
    <s v=""/>
    <s v=""/>
    <d v="2014-01-19T00:00:00"/>
    <n v="15000000"/>
    <n v="15000000"/>
    <n v="0"/>
    <s v="1. Un pago por el 80% del valor del contrato al momento de la instalación y puesta en funcionamiento de la iluminación navideña objeto del contrato, previa presentación de certificación de recibo a satisfacción emitida por el Supervisor del contrato._x000a__x000a_2. El 20% restante al momento del retiro y desmonte de la iluminación navideña objeto del contrato, previa presentación de certificación de cumplimiento emitida por el Supervisor del contrato._x000a__x000a_"/>
    <x v="3"/>
    <x v="0"/>
    <x v="3"/>
    <s v=""/>
    <x v="1"/>
  </r>
  <r>
    <x v="150"/>
    <x v="127"/>
    <n v="800064773"/>
    <s v="Prestar el servicio integral en comunicación, consistente en el diseño, producción y ejecución de las estrategias de divulgación en medios de carácter masivo, alternativo y comunitario al servicio del Concejo de Bogotá D.C."/>
    <n v="452974000"/>
    <s v=" SDH-SIE-013-2013"/>
    <n v="2013"/>
    <s v=" "/>
    <d v="2013-12-13T00:00:00"/>
    <d v="2014-12-12T00:00:00"/>
    <n v="0"/>
    <n v="0"/>
    <n v="0"/>
    <s v=""/>
    <s v=""/>
    <d v="2014-12-12T00:00:00"/>
    <n v="452974000"/>
    <n v="452973998"/>
    <n v="2"/>
    <s v="Mensual"/>
    <x v="69"/>
    <x v="0"/>
    <x v="69"/>
    <s v=""/>
    <x v="1"/>
  </r>
  <r>
    <x v="151"/>
    <x v="128"/>
    <n v="830113914"/>
    <s v="Suministrar papelería y útiles de escritorio por el sistema de precios unitarios fijos, en la modalidad de proveeduría integral (outsourcing) para el Concejo de Bogotá D.C., de conformidad con los requerimientos establecidos en el pliego de condiciones."/>
    <n v="95000000"/>
    <s v=" "/>
    <n v="2013"/>
    <s v=" "/>
    <d v="2014-01-08T00:00:00"/>
    <d v="2014-09-07T00:00:00"/>
    <n v="0"/>
    <n v="0"/>
    <n v="1"/>
    <s v="3 meses"/>
    <d v="2014-12-07T00:00:00"/>
    <d v="2014-12-07T00:00:00"/>
    <n v="95000000"/>
    <n v="88983693"/>
    <n v="6016307"/>
    <s v="Mensual"/>
    <x v="70"/>
    <x v="0"/>
    <x v="70"/>
    <s v=""/>
    <x v="0"/>
  </r>
  <r>
    <x v="152"/>
    <x v="129"/>
    <n v="860007336"/>
    <s v="Adquirir a titulo de compraventa bonos para el Concejo de Bogotá"/>
    <n v="63128000"/>
    <s v=" SDH-SAMC-010-2013"/>
    <n v="2013"/>
    <s v=" "/>
    <d v="2013-12-18T00:00:00"/>
    <d v="2014-01-02T00:00:00"/>
    <n v="0"/>
    <n v="0"/>
    <n v="0"/>
    <s v=""/>
    <s v=""/>
    <d v="2014-01-02T00:00:00"/>
    <n v="63128000"/>
    <n v="63128000"/>
    <n v="0"/>
    <s v="Único pago"/>
    <x v="3"/>
    <x v="0"/>
    <x v="3"/>
    <s v=""/>
    <x v="1"/>
  </r>
  <r>
    <x v="153"/>
    <x v="130"/>
    <n v="52935011"/>
    <s v="Prestar servicios profesionales al Concejo de Bogotá D.C. para realización de actividades de identificación, clasificación, depuración organización y actualización de la normativa de los acuerdos distritales."/>
    <n v="5000000"/>
    <s v=" 130361-2013"/>
    <n v="2013"/>
    <s v=" "/>
    <d v="2013-12-20T00:00:00"/>
    <d v="2014-01-19T00:00:00"/>
    <n v="0"/>
    <n v="0"/>
    <n v="0"/>
    <s v=""/>
    <s v=""/>
    <d v="2014-01-19T00:00:00"/>
    <n v="5000000"/>
    <n v="5000000"/>
    <n v="0"/>
    <s v="La Secretaría de Hacienda realizará un pago a la entrega de los productos objeto del contrato, previa certificación de recibo a satisfacción por parte del Supervisor del contrato"/>
    <x v="3"/>
    <x v="0"/>
    <x v="3"/>
    <s v=""/>
    <x v="1"/>
  </r>
  <r>
    <x v="154"/>
    <x v="131"/>
    <n v="19327657"/>
    <s v="Prestar servicios profesionales al Concejo de Bogotá D.C. para realización de actividades de identificación, clasificación, depuración organización y actualización de la normativa de los acuerdos distritales."/>
    <n v="5000000"/>
    <s v=" "/>
    <n v="2013"/>
    <s v=" "/>
    <d v="2013-12-20T00:00:00"/>
    <d v="2014-01-19T00:00:00"/>
    <n v="0"/>
    <n v="0"/>
    <n v="0"/>
    <s v=""/>
    <s v=""/>
    <d v="2014-01-19T00:00:00"/>
    <n v="5000000"/>
    <n v="5000000"/>
    <n v="0"/>
    <s v="La Secretaría de Hacienda realizará un pago a la entrega de los productos objeto del contrato, previa certificación de recibo a satisfacción por parte del Supervisor del contrato"/>
    <x v="3"/>
    <x v="0"/>
    <x v="3"/>
    <s v=""/>
    <x v="1"/>
  </r>
  <r>
    <x v="155"/>
    <x v="132"/>
    <n v="900683150"/>
    <s v="Realizar el avaluó de los bienes muebles considerados de carácter patrimonial para el concejo de Bogotá D. C. de conformidad con lo establecido en el pliego de condiciones del proceso de selección SDH-SAMC-11-2013,  el Anexo No 1 y la propuesta."/>
    <n v="70000000"/>
    <s v=" SDH-SAMC-11-2013"/>
    <n v="2013"/>
    <s v=" "/>
    <d v="2014-01-08T00:00:00"/>
    <d v="2014-03-07T00:00:00"/>
    <n v="0"/>
    <n v="0"/>
    <n v="2"/>
    <s v="3 meses"/>
    <d v="2014-06-07T00:00:00"/>
    <d v="2014-06-07T00:00:00"/>
    <n v="70000000"/>
    <n v="69658711"/>
    <n v="341289"/>
    <s v="Mensual"/>
    <x v="71"/>
    <x v="0"/>
    <x v="71"/>
    <s v=""/>
    <x v="0"/>
  </r>
  <r>
    <x v="156"/>
    <x v="133"/>
    <n v="19136712"/>
    <s v="Prestar servicios profesionales al Concejo de Bogotá D.C. para realización de actividades de identificación, clasificación, depuración organización y actualización de la normativa de los acuerdos distritales."/>
    <n v="5000000"/>
    <s v=" 130364-0-2013"/>
    <n v="2013"/>
    <s v=" "/>
    <d v="2013-12-20T00:00:00"/>
    <d v="2014-01-19T00:00:00"/>
    <n v="0"/>
    <n v="0"/>
    <n v="0"/>
    <s v=""/>
    <s v=""/>
    <d v="2014-01-19T00:00:00"/>
    <n v="5000000"/>
    <n v="5000000"/>
    <n v="0"/>
    <s v="La Secretaría de Hacienda realizará un pago a la entrega de los productos objeto del contrato, previa certificación de recibo a satisfacción por parte del Supervisor del contrato"/>
    <x v="3"/>
    <x v="0"/>
    <x v="3"/>
    <s v=""/>
    <x v="1"/>
  </r>
  <r>
    <x v="157"/>
    <x v="134"/>
    <n v="7212142"/>
    <s v="Prestar servicios profesionales al Concejo de Bogotá D.C. para realización de actividades de identificación, clasificación, depuración organización y actualización de la normativa de los acuerdos distritales."/>
    <n v="5000000"/>
    <s v=" 130365-0-2013"/>
    <n v="2013"/>
    <s v=" "/>
    <d v="2013-12-20T00:00:00"/>
    <d v="2014-01-19T00:00:00"/>
    <n v="0"/>
    <n v="0"/>
    <n v="0"/>
    <s v=""/>
    <s v=""/>
    <d v="2014-01-19T00:00:00"/>
    <n v="5000000"/>
    <n v="5000000"/>
    <n v="0"/>
    <s v="La Secretaría de Hacienda realizará un pago a la entrega de los productos objeto del contrato, previa certificación de recibo a satisfacción por parte del Supervisor del contrato"/>
    <x v="3"/>
    <x v="0"/>
    <x v="3"/>
    <s v=""/>
    <x v="1"/>
  </r>
  <r>
    <x v="158"/>
    <x v="124"/>
    <n v="830110570"/>
    <s v="La adquisición de dispositivos de entrada para pantallas Touch del Sistema de Voto Electrónico para el Concejo de Bogotá, de conformidad con lo establecido en la invitación publica SDH-SMINC-51-2013"/>
    <n v="3017160"/>
    <s v=" SDH-SMINC-51-2013"/>
    <n v="2013"/>
    <s v=" "/>
    <d v="2014-01-23T00:00:00"/>
    <d v="2014-04-22T00:00:00"/>
    <n v="0"/>
    <n v="0"/>
    <n v="0"/>
    <s v=""/>
    <s v=""/>
    <d v="2014-04-22T00:00:00"/>
    <n v="3017160"/>
    <n v="3017160"/>
    <n v="0"/>
    <s v="Único pago"/>
    <x v="3"/>
    <x v="0"/>
    <x v="3"/>
    <s v=""/>
    <x v="1"/>
  </r>
  <r>
    <x v="159"/>
    <x v="135"/>
    <n v="811021363"/>
    <s v="Contratar el suministro de tóner para los equipos de impresión del Concejo de Bogotá D.C"/>
    <n v="60000000"/>
    <s v=" "/>
    <n v="2013"/>
    <s v=" "/>
    <d v="2014-01-16T00:00:00"/>
    <d v="2015-01-15T00:00:00"/>
    <n v="1"/>
    <n v="30000000"/>
    <n v="0"/>
    <s v=""/>
    <s v=""/>
    <d v="2015-01-15T00:00:00"/>
    <n v="90000000"/>
    <n v="42574877.200000003"/>
    <n v="47425122.799999997"/>
    <s v="Los pagos se realizarán en forma bimestral, de acuerdo a los suministros efectivamente realizados por el contratista y recibidas a satisfacción, las cuales deben ser certificadas_x000a_por el supervisor del contrato._x000a_"/>
    <x v="72"/>
    <x v="0"/>
    <x v="72"/>
    <s v=""/>
    <x v="0"/>
  </r>
  <r>
    <x v="160"/>
    <x v="136"/>
    <n v="72167924"/>
    <s v="Prestar servicios profesionales al Concejo de Bogotá D.C. para realización de actividades de identificación, clasificación, depuración organización y actualización de la normativa de los acuerdos distritales."/>
    <n v="5000000"/>
    <s v=" 130372-0-2013"/>
    <n v="2013"/>
    <s v=" "/>
    <d v="2013-12-26T00:00:00"/>
    <d v="2014-01-25T00:00:00"/>
    <n v="0"/>
    <n v="0"/>
    <n v="0"/>
    <s v=""/>
    <s v=""/>
    <d v="2014-01-25T00:00:00"/>
    <n v="5000000"/>
    <n v="5000000"/>
    <n v="0"/>
    <s v="La Secretaría de Hacienda realizará un pago a la entrega de los productos objeto del contrato, previa certificación de recibo a satisfacción por parte del Supervisor del contrato"/>
    <x v="3"/>
    <x v="0"/>
    <x v="3"/>
    <s v=""/>
    <x v="1"/>
  </r>
  <r>
    <x v="161"/>
    <x v="1"/>
    <n v="800015583"/>
    <s v="Compra de dos (2) impresoras de tickets para el Concejo de Bogotá D.C. de acuerdo con las especificaciones y condiciones descritas en los estudios previos y anexo técnico, de conformidad con lo establecido en la invitación publica SDH-SMINC-60-2013"/>
    <n v="3743343"/>
    <s v=" SDH-SMINC-60-2013"/>
    <n v="2013"/>
    <s v=" "/>
    <d v="2014-01-23T00:00:00"/>
    <d v="2014-04-25T00:00:00"/>
    <n v="0"/>
    <n v="0"/>
    <n v="0"/>
    <s v=""/>
    <s v=""/>
    <d v="2014-04-25T00:00:00"/>
    <n v="3743343"/>
    <n v="3743343"/>
    <n v="0"/>
    <s v="Único pago"/>
    <x v="3"/>
    <x v="0"/>
    <x v="3"/>
    <s v=""/>
    <x v="1"/>
  </r>
  <r>
    <x v="162"/>
    <x v="137"/>
    <n v="52374136"/>
    <s v="Prestación de servicios de mantenimiento preventivo y correctivo de los aires acondicionado del Concejo de Bogotá D.C. de acuerdo con las especificaciones y condiciones descritas en los estudios previos y anexo técnico de conformidad con lo establecido en la invitación publica SDH-SMINC-55-2013"/>
    <n v="1620000"/>
    <s v=" "/>
    <n v="2013"/>
    <s v=" "/>
    <d v="2014-01-23T00:00:00"/>
    <d v="2015-01-22T00:00:00"/>
    <n v="0"/>
    <n v="0"/>
    <n v="0"/>
    <s v=""/>
    <s v=""/>
    <d v="2015-01-22T00:00:00"/>
    <n v="1620000"/>
    <n v="354000"/>
    <n v="1266000"/>
    <s v="Para todos los servicios de mantenimiento preventivo y correctivo (por demanda):  Se realizarán pagos trimestrales por concepto de la  prestación de los servicios por demanda incluidos los repuestos y/o partes utilizados y/o actividades desarrolladas en el período a facturar._x000a_"/>
    <x v="73"/>
    <x v="0"/>
    <x v="73"/>
    <s v=""/>
    <x v="0"/>
  </r>
  <r>
    <x v="163"/>
    <x v="110"/>
    <n v="800039398"/>
    <s v="Prestar el servicio de arrendamiento de sistemas UPS y Aire acondicionado para el Concejo de Bogotá, de conformidad con lo establecido en la invitación publica No SDH-SMINC-67-2013"/>
    <n v="32048480"/>
    <s v=" SDH-SMINC-67-2013"/>
    <n v="2013"/>
    <s v=" "/>
    <d v="2014-01-16T00:00:00"/>
    <d v="2014-03-15T00:00:00"/>
    <n v="0"/>
    <n v="0"/>
    <n v="0"/>
    <s v=""/>
    <s v=""/>
    <d v="2014-03-15T00:00:00"/>
    <n v="32048480"/>
    <n v="32048480"/>
    <n v="0"/>
    <s v="Dos (2) pagos iguales mes vencido, por concepto de servicio de arrendamiento, previa presentación de: a) Factura, donde se especifiquen las cantidades arrendadas._x000a_"/>
    <x v="3"/>
    <x v="0"/>
    <x v="3"/>
    <s v=""/>
    <x v="1"/>
  </r>
  <r>
    <x v="164"/>
    <x v="138"/>
    <n v="830093579"/>
    <s v="Contratar la adquisición de medios magnéticos para copias de respaldo (cintas para tape backup ) para el Concejo de Bogotá D.C. de conformidad con lo establecido en la invitación publica SDH-SMINC-68-2013."/>
    <n v="3480000"/>
    <s v=" SDH-SMINC-68-2013"/>
    <n v="2013"/>
    <s v=" "/>
    <d v="2014-01-23T00:00:00"/>
    <d v="2014-03-22T00:00:00"/>
    <n v="0"/>
    <n v="0"/>
    <n v="0"/>
    <s v=""/>
    <s v=""/>
    <d v="2014-03-22T00:00:00"/>
    <n v="3480000"/>
    <n v="3480000"/>
    <n v="0"/>
    <s v="Único pago"/>
    <x v="3"/>
    <x v="0"/>
    <x v="3"/>
    <s v=""/>
    <x v="1"/>
  </r>
  <r>
    <x v="165"/>
    <x v="110"/>
    <n v="800039398"/>
    <s v="Adquisición de unidades de aire acondicionado para el cuarto de las UPS y la Subestación Eléctrica del Concejo de Bogotá de conformidad con el pliego de condiciones del proceso de selección abreviada mediante subasta inversa electrónica SDH-SIE-015-2013  y la propuesta presentada."/>
    <n v="126308000"/>
    <s v=" SDH-SIE-015-2013"/>
    <n v="2013"/>
    <s v=" "/>
    <d v="2014-01-23T00:00:00"/>
    <d v="2014-04-07T00:00:00"/>
    <n v="0"/>
    <n v="0"/>
    <n v="0"/>
    <s v=""/>
    <s v=""/>
    <d v="2014-04-07T00:00:00"/>
    <n v="126308000"/>
    <n v="126308000"/>
    <n v="0"/>
    <s v="Concejo de Bogotá 1) Un primer pago por el treinta por ciento (30%), al recibo a satisfacción del equipo por parte del supervisor y el ingreso al almacén del Concejo de Bogotá. 2) Un segundo pago por el setenta por ciento (70%), una vez instalado, configurado y puesto en funcionamiento, previo recibo a satisfacción por parte del supervisor del Concejo de Bogotá. "/>
    <x v="3"/>
    <x v="0"/>
    <x v="3"/>
    <s v=""/>
    <x v="1"/>
  </r>
  <r>
    <x v="166"/>
    <x v="139"/>
    <n v="1010168639"/>
    <s v="Prestar servicios profesionales para apoyar al Concejo de Bogotá D.C. para realización de actividades de identificación, clasificación, depuración organización y actualización de la normativa de los acuerdos distritales."/>
    <n v="3500000"/>
    <s v=" 130385-0-2013"/>
    <n v="2013"/>
    <s v=" "/>
    <d v="2013-12-30T00:00:00"/>
    <d v="2014-01-29T00:00:00"/>
    <n v="0"/>
    <n v="0"/>
    <n v="0"/>
    <s v=""/>
    <s v=""/>
    <d v="2014-01-29T00:00:00"/>
    <n v="3500000"/>
    <n v="3500000"/>
    <n v="0"/>
    <s v="La Secretaría de Hacienda realizará un pago a la entrega de los productos objeto del contrato, previa certificación de recibo a satisfacción por parte del Supervisor del contrato. "/>
    <x v="3"/>
    <x v="0"/>
    <x v="3"/>
    <s v=""/>
    <x v="1"/>
  </r>
  <r>
    <x v="167"/>
    <x v="77"/>
    <n v="800058607"/>
    <s v="Adquisición de elementos de  tecnología informática, servicio de mantenimiento y actualización de licencias de software y traslado de Data center del Concejo de Bogotá D.C., de conformidad con lo establecido en le pliego de condiciones de la subasta inversa Electrónica No SDH-SIE-18-2013 y la propuestas presentada por el contratista."/>
    <n v="803432165"/>
    <s v=" SDH-SIE-18-2013"/>
    <n v="2013"/>
    <s v=" "/>
    <d v="2014-01-31T00:00:00"/>
    <d v="2014-04-30T00:00:00"/>
    <n v="0"/>
    <n v="0"/>
    <n v="1"/>
    <s v="30 días"/>
    <d v="2014-05-30T00:00:00"/>
    <d v="2014-05-30T00:00:00"/>
    <n v="803432165"/>
    <n v="741115935"/>
    <n v="62316230"/>
    <s v="La Secretaría Distrital de Hacienda de Bogotá, D.C., efectuará los pagos en pesos colombianos de acuerdo con lo establecido en el numeral 5.4 forma de pago del pliego de condiciones."/>
    <x v="74"/>
    <x v="0"/>
    <x v="74"/>
    <s v=""/>
    <x v="0"/>
  </r>
  <r>
    <x v="168"/>
    <x v="87"/>
    <n v="860019063"/>
    <s v="Prestar servicio de mantenimiento correctivo con suministro de repuestos de los automotores marca MITSUBISHI, al servicio del  Concejo de Bogotá D.C., de conformidad con lo establecido en el proceso SDH-SMINC-002-2014."/>
    <n v="30000000"/>
    <s v=" SDH-SMINC-002-2014"/>
    <n v="2014"/>
    <s v=" "/>
    <d v="2014-03-05T00:00:00"/>
    <d v="2015-03-04T00:00:00"/>
    <n v="0"/>
    <n v="0"/>
    <n v="1"/>
    <s v="2 meses"/>
    <d v="2015-05-05T00:00:00"/>
    <d v="2015-05-05T00:00:00"/>
    <n v="30000000"/>
    <n v="28330110"/>
    <n v="1669890"/>
    <s v="Los mantenimientos correctivos y el suministro de repuestos se cancelarán mensualmente de acuerdo con los servicios efectivamente prestados._x000a_"/>
    <x v="75"/>
    <x v="0"/>
    <x v="75"/>
    <s v=""/>
    <x v="0"/>
  </r>
  <r>
    <x v="169"/>
    <x v="41"/>
    <n v="830067096"/>
    <s v="Suscripción a la revista el congreso siglo XXI con destino al Concejo de Bogotá D.C., de conformidad con lo previsto en le documento de estudios previos."/>
    <n v="7740000"/>
    <n v="140034"/>
    <n v="2014"/>
    <s v=" "/>
    <d v="2014-05-16T00:00:00"/>
    <d v="2015-05-15T00:00:00"/>
    <n v="0"/>
    <n v="0"/>
    <n v="0"/>
    <s v=""/>
    <s v=""/>
    <d v="2015-05-15T00:00:00"/>
    <n v="7740000"/>
    <n v="7740000"/>
    <n v="0"/>
    <s v="Un único pago contra la presentación de la factura, acompañada de la constancia de suscripción objeto de la contratación,  previa  certificación expedida por el supervisor del contrato._x000a__x000a_"/>
    <x v="3"/>
    <x v="0"/>
    <x v="3"/>
    <s v=""/>
    <x v="1"/>
  </r>
  <r>
    <x v="170"/>
    <x v="94"/>
    <n v="79887061"/>
    <s v="Prestar servicios profesionales para ejecutar acciones que contribuyan a la identificación de riesgos potenciales en materia de seguridad informática y su regulación en los mapas de riesgos y manuales de contingencia."/>
    <n v="29819999"/>
    <s v=" "/>
    <n v="2014"/>
    <s v=" "/>
    <d v="2014-02-05T00:00:00"/>
    <d v="2015-01-04T00:00:00"/>
    <n v="0"/>
    <n v="0"/>
    <n v="0"/>
    <s v=""/>
    <s v=""/>
    <d v="2015-01-04T00:00:00"/>
    <n v="29819999"/>
    <n v="29819999"/>
    <n v="0"/>
    <s v="El pago de los honorarios se efectuará así: a) El primer pago vencido se cancelará en proporción a los días ejecutados en el mes en que se inicie la ejecución del contrato. b) Diez (10) mensualidades vencidas de DOS MILLONES SETECIENTOS DIEZ MIL NOVECIENTOS NUEVE MIL PESOS M/CTE ($ 2.710.909), previa presentación del informe de actividades, del respectivo período, aprobado por el supervisor. c) En el último pago se cancelará el saldo del presente contrato previa presentación del informe final aprobado por el supervisor."/>
    <x v="3"/>
    <x v="0"/>
    <x v="3"/>
    <s v=""/>
    <x v="1"/>
  </r>
  <r>
    <x v="171"/>
    <x v="82"/>
    <n v="860001022"/>
    <s v="Suscripción a los diarios el TIEMPO Y PORTAFOLIO con destino al concejo de Bogotá D.C."/>
    <n v="1197000"/>
    <s v=" "/>
    <n v="2014"/>
    <s v=" "/>
    <d v="2014-03-19T00:00:00"/>
    <d v="2015-03-18T00:00:00"/>
    <n v="0"/>
    <n v="0"/>
    <n v="0"/>
    <s v=""/>
    <s v=""/>
    <d v="2015-03-18T00:00:00"/>
    <n v="1197000"/>
    <n v="1197000"/>
    <n v="0"/>
    <s v="Un único pago contra la presentación de la factura, acompañada de la constancia de suscripción objeto de la contratación,  previa  certificación expedida por el supervisor del contrato. _x000a__x000a__x000a_"/>
    <x v="3"/>
    <x v="0"/>
    <x v="3"/>
    <s v=""/>
    <x v="1"/>
  </r>
  <r>
    <x v="172"/>
    <x v="83"/>
    <n v="800249557"/>
    <s v="Adquirir a titulo de compra ejemplares del Directorio de Despachos Públicos de Colombia 2014, para el Concejo de Bogotá D.C."/>
    <n v="4000000"/>
    <s v=" "/>
    <n v="2014"/>
    <s v=" "/>
    <d v="2014-04-10T00:00:00"/>
    <d v="2014-09-09T00:00:00"/>
    <n v="0"/>
    <n v="0"/>
    <n v="0"/>
    <s v=""/>
    <s v=""/>
    <d v="2014-09-09T00:00:00"/>
    <n v="4000000"/>
    <n v="4000000"/>
    <n v="0"/>
    <s v="Un pago único dentro de los ocho (8) días hábiles  siguientes a la radicación en la Subdirección Financiera de los siguientes  documentos: a) Certificación de cumplimiento a satisfacción del objeto y obligaciones, expedida por el supervisor del respectivo contrato, b) factura(s), c) Certificación de pago por concepto de aportes al Sistema de Seguridad Social Integral en Salud, Pensión, ARL, aportes parafiscales: Sena, ICBF y Cajas de Compensación Familiar, cuando corresponda, d) Certificación del banco donde conste que el contratista tiene  cuenta de ahorros o corriente y a la cual se le va a consignar._x000a__x000a_"/>
    <x v="3"/>
    <x v="0"/>
    <x v="3"/>
    <s v=""/>
    <x v="1"/>
  </r>
  <r>
    <x v="173"/>
    <x v="85"/>
    <n v="51931422"/>
    <s v="Prestar los servicios profesionales para acompañar técnicamente los temas relacionados con la intervención y seguimiento a los proyectos de infraestructura y reforzamiento estructural del Concejo de Bogotá D.C., de conformidad con los estudios previos."/>
    <n v="42800000"/>
    <s v=" "/>
    <n v="2014"/>
    <s v=" "/>
    <d v="2014-03-03T00:00:00"/>
    <d v="2015-01-02T00:00:00"/>
    <n v="0"/>
    <n v="0"/>
    <n v="0"/>
    <s v=""/>
    <s v=""/>
    <d v="2015-01-02T00:00:00"/>
    <n v="42800000"/>
    <n v="42800000"/>
    <n v="0"/>
    <s v="El pago de los honorarios se efectuará así: a) El primer pago vencido se cancelará en proporción a los días ejecutados en el mes en que se inicie la ejecución del contrato. b) Nueve (09) mensualidades vencidas de  Cuatro millones Ciento Sesenta Mil Pesos ($4.160.000) M/CTE, previa presentación del informe de actividades, del respectivo período, aprobado por el supervisor. c) En el último pago se cancelará el saldo del presente contrato previa presentación del informe final aprobado por el supervisor del contrato."/>
    <x v="3"/>
    <x v="0"/>
    <x v="3"/>
    <s v=""/>
    <x v="1"/>
  </r>
  <r>
    <x v="174"/>
    <x v="105"/>
    <n v="80117116"/>
    <s v="Prestar servicios profesionales para la actualización, administración, publicación y salvaguardar de la información publica en la pagina WEB oficial del Concejo de Bogotá D. C."/>
    <n v="38830000"/>
    <s v=" "/>
    <n v="2014"/>
    <s v=" "/>
    <d v="2014-03-10T00:00:00"/>
    <d v="2015-01-09T00:00:00"/>
    <n v="0"/>
    <n v="0"/>
    <n v="0"/>
    <s v=""/>
    <s v=""/>
    <d v="2015-01-09T00:00:00"/>
    <n v="38830000"/>
    <n v="38830000"/>
    <n v="0"/>
    <s v="El pago de los honorarios se efectuará así: a) El primer pago vencido se cancelará en proporción a los días ejecutados en el mes en que se inicie la ejecución del contrato. b) Nueve (9) mensualidades vencidas de TRES MILLONES OCHOCIENTOS OCHENTA Y TRES MIL PESOS M/CTE ($ 3.883.000), previa presentación del informe de actividades, del respectivo período, aprobado por el supervisor. c) En el último pago se cancelará el saldo del presente contrato previa presentación del informe final aprobado por el "/>
    <x v="3"/>
    <x v="0"/>
    <x v="3"/>
    <s v=""/>
    <x v="1"/>
  </r>
  <r>
    <x v="175"/>
    <x v="99"/>
    <n v="4098836"/>
    <s v="Prestar servicios profesionales para apoyar a la dirección financiera del Concejo de Bogotá D. C., en la revisión y estudio de las historias laborales de los funcionarios para establecer la definición técnica y jurídica del cumplimiento de los requisitos en los diferentes regímenes de pensión, en la articulación con cada uno de los funcionarios que lo requiera, de conformidad con los estudios previos."/>
    <n v="40997000"/>
    <s v=" "/>
    <n v="2014"/>
    <s v=" "/>
    <d v="2014-02-05T00:00:00"/>
    <d v="2015-01-04T00:00:00"/>
    <n v="0"/>
    <n v="0"/>
    <n v="0"/>
    <s v=""/>
    <s v=""/>
    <d v="2015-01-04T00:00:00"/>
    <n v="40997000"/>
    <n v="40997000"/>
    <n v="0"/>
    <s v="El pago de los honorarios se efectuará así: a) El primer pago vencido se cancelará en proporción a los días ejecutados en el mes en que se inicie la ejecución del contrato. b) Seis (06) mensualidades vencidas de  Tres Millones Cuatrocientos Veintisiete Mil Pesos ($3.427.000) M/CTE, previa presentación del informe de actividades, del respectivo período, aprobado por el supervisor. c) En el último pago se cancelará el saldo del presente contrato previa presentación del informe final aprobado por el supervisor del contrato. "/>
    <x v="3"/>
    <x v="0"/>
    <x v="3"/>
    <s v=""/>
    <x v="1"/>
  </r>
  <r>
    <x v="176"/>
    <x v="133"/>
    <n v="19136712"/>
    <s v="Prestar servicios profesionales al Concejo de Bogotá D.C. para realización de actividades de identificación, clasificación, depuración organización y actualización de la normativa de los acuerdos distritales en segunda y tercera fases, de conformidad con los estudios previos."/>
    <n v="55000000"/>
    <s v=" "/>
    <n v="2014"/>
    <d v="2014-01-24T00:00:00"/>
    <d v="2014-02-05T00:00:00"/>
    <d v="2015-01-04T00:00:00"/>
    <n v="0"/>
    <n v="0"/>
    <n v="0"/>
    <s v=""/>
    <s v=""/>
    <d v="2015-01-04T00:00:00"/>
    <n v="55000000"/>
    <n v="54333333"/>
    <n v="666667"/>
    <s v="El pago de los honorarios se efectuará así: _x000a_a) El primer pago vencido se cancelará en proporción a los días ejecutados en el mes en que se inicie la ejecución del contrato._x000a_b) Diez (10) mensualidades vencidas de  CINCO MILLONES DE PESOS ($5.000.000), previa presentación del informe de actividades, del respectivo período, aprobado por el supervisor._x000a_c) En el último pago se cancelará el saldo del presente contrato previa presentación del informe final aprobado por el interventor. _x000a_"/>
    <x v="76"/>
    <x v="0"/>
    <x v="76"/>
    <s v=""/>
    <x v="0"/>
  </r>
  <r>
    <x v="177"/>
    <x v="134"/>
    <n v="7212142"/>
    <s v="Prestar servicios profesionales al Concejo de Bogotá D.C. para realización de actividades de identificación, clasificación, depuración organización y actualización de la normativa de los acuerdos distritales en segunda y tercera fases, de conformidad con los estudios previos."/>
    <n v="55000000"/>
    <s v=" "/>
    <n v="2014"/>
    <d v="2014-01-24T00:00:00"/>
    <d v="2014-02-05T00:00:00"/>
    <d v="2015-01-04T00:00:00"/>
    <n v="0"/>
    <n v="0"/>
    <n v="0"/>
    <s v=""/>
    <s v=""/>
    <d v="2015-01-04T00:00:00"/>
    <n v="55000000"/>
    <n v="55000000"/>
    <n v="0"/>
    <s v="El pago de los honorarios se efectuará así: _x000a_a) El primer pago vencido se cancelará en proporción a los días ejecutados en el mes en que se inicie la ejecución del contrato._x000a_b) Diez (10) mensualidades vencidas de  CINCO MILLONES DE PESOS ($5.000.000), previa presentación del informe de actividades, del respectivo período, aprobado por el supervisor._x000a_c) En el último pago se cancelará el saldo del presente contrato previa presentación del informe final aprobado por el interventor. _x000a_"/>
    <x v="3"/>
    <x v="0"/>
    <x v="3"/>
    <s v=""/>
    <x v="1"/>
  </r>
  <r>
    <x v="178"/>
    <x v="140"/>
    <n v="72167924"/>
    <s v="Prestar servicios profesionales al Concejo de Bogotá D.C. para realización de actividades de identificación, clasificación, depuración organización y actualización de la normativa de los acuerdos distritales en segunda y tercera fases, de conformidad con los estudios previos."/>
    <n v="55000000"/>
    <s v=" 140159-0-2014"/>
    <n v="2014"/>
    <d v="2014-01-24T00:00:00"/>
    <d v="2014-02-05T00:00:00"/>
    <d v="2015-01-04T00:00:00"/>
    <n v="0"/>
    <n v="0"/>
    <n v="0"/>
    <s v=""/>
    <s v=""/>
    <d v="2015-01-04T00:00:00"/>
    <n v="55000000"/>
    <n v="54666666"/>
    <n v="333334"/>
    <s v="El pago de los honorarios se efectuará así: _x000a_a) El primer pago vencido se cancelará en proporción a los días ejecutados en el mes en que se inicie la ejecución del contrato._x000a_b) Diez (10) mensualidades vencidas de  CINCO MILLONES DE PESOS ($5.000.000), previa presentación del informe de actividades, del respectivo período, aprobado por el supervisor._x000a_c) En el último pago se cancelará el saldo del presente contrato previa presentación del informe final aprobado por el interventor. _x000a_"/>
    <x v="77"/>
    <x v="0"/>
    <x v="77"/>
    <s v=""/>
    <x v="0"/>
  </r>
  <r>
    <x v="179"/>
    <x v="139"/>
    <n v="1010168639"/>
    <s v="Prestar servicios profesionales para apoyar al Concejo de Bogotá D.C. en la realización de actividades de identificación, clasificación, depuración organización y actualización de la normativa de los acuerdos distritales en  segunda y tercera fases, de conformidad con los estudios previos."/>
    <n v="38500000"/>
    <s v=" 140160-0-2014"/>
    <n v="2014"/>
    <d v="2014-01-24T00:00:00"/>
    <d v="2014-02-05T00:00:00"/>
    <d v="2015-01-04T00:00:00"/>
    <n v="0"/>
    <n v="0"/>
    <n v="0"/>
    <s v=""/>
    <s v=""/>
    <d v="2015-01-04T00:00:00"/>
    <n v="38500000"/>
    <n v="38500000"/>
    <n v="0"/>
    <s v="El pago de los honorarios se efectuará así: a) El primer pago vencido se cancelará en proporción a los días ejecutados en el mes en que se inicie la ejecución del contrato. b) Diez (10) mensualidades vencidas de  TRES MILLONES QUINIENTOS MIL PESOS ($3.500.000) M/CTE, previa presentación del informe de actividades, del respectivo período, aprobado por el supervisor o interventor. c) En el último pago se cancelará el saldo del presente contrato previa presentación del informe final aprobado por el supervisor o interventor del contrato, según corresponda. _x000a__x000a_"/>
    <x v="3"/>
    <x v="0"/>
    <x v="3"/>
    <s v=""/>
    <x v="1"/>
  </r>
  <r>
    <x v="180"/>
    <x v="130"/>
    <n v="52935011"/>
    <s v="Prestar servicios profesionales al Concejo de Bogotá D.C. para la realización de actividades de identificación, clasificación, depuración organización y actualización de la normativa de los acuerdos distritales en segunda y tercera fases."/>
    <n v="55000000"/>
    <s v=" "/>
    <n v="2014"/>
    <d v="2014-01-24T00:00:00"/>
    <d v="2014-02-05T00:00:00"/>
    <d v="2015-01-04T00:00:00"/>
    <n v="0"/>
    <n v="0"/>
    <n v="0"/>
    <s v=""/>
    <s v=""/>
    <d v="2015-01-04T00:00:00"/>
    <n v="55000000"/>
    <n v="55000000"/>
    <n v="0"/>
    <s v="El pago de los honorarios se efectuará así: _x000a_a) El primer pago vencido se cancelará en proporción a los días ejecutados en el mes en que se inicie la ejecución del contrato._x000a_b) Diez (10) mensualidades vencidas de  CINCO MILLONES DE PESOS ($5.000.000), previa presentación del informe de actividades, del respectivo período, aprobado por el supervisor._x000a_c) En el último pago se cancelará el saldo del presente contrato previa presentación del informe final aprobado por el interventor. _x000a__x000a_"/>
    <x v="3"/>
    <x v="0"/>
    <x v="3"/>
    <s v=""/>
    <x v="1"/>
  </r>
  <r>
    <x v="181"/>
    <x v="131"/>
    <n v="19327657"/>
    <s v="Prestar servicios profesionales al Concejo de Bogotá D.C. para realización de actividades de identificación, clasificación, depuración organización y actualización de la normativa de los acuerdos distritales en segunda y tercera fases, de conformidad con los estudios previos."/>
    <n v="55000000"/>
    <s v=" "/>
    <n v="2014"/>
    <d v="2014-01-24T00:00:00"/>
    <d v="2014-02-05T00:00:00"/>
    <d v="2015-01-04T00:00:00"/>
    <n v="0"/>
    <n v="0"/>
    <n v="0"/>
    <s v=""/>
    <s v=""/>
    <d v="2015-01-04T00:00:00"/>
    <n v="55000000"/>
    <n v="55000000"/>
    <n v="0"/>
    <s v="El pago de los honorarios se efectuará así: _x000a_a) El primer pago vencido se cancelará en proporción a los días ejecutados en el mes en que se inicie la ejecución del contrato._x000a_b) Diez (10) mensualidades vencidas de  CINCO MILLONES DE PESOS ($5.000.000), previa presentación del informe de actividades, del respectivo período, aprobado por el supervisor._x000a_c) En el último pago se cancelará el saldo del presente contrato previa presentación del informe final aprobado por el interventor. _x000a_"/>
    <x v="3"/>
    <x v="0"/>
    <x v="3"/>
    <s v=""/>
    <x v="1"/>
  </r>
  <r>
    <x v="182"/>
    <x v="141"/>
    <n v="860025639"/>
    <s v="Prestar el servicio de mantenimiento preventivo y correctivo ocasional a los ascensores marca Mitsubishi ubicados en el Concejo de Bogotá. D.C., de conformidad con lo previsto en los estudios previos y la propuesta presentada."/>
    <n v="16555000"/>
    <s v=" "/>
    <n v="2014"/>
    <s v=" "/>
    <d v="2014-04-03T00:00:00"/>
    <d v="2015-04-02T00:00:00"/>
    <n v="0"/>
    <n v="0"/>
    <n v="0"/>
    <s v=""/>
    <s v=""/>
    <d v="2015-04-02T00:00:00"/>
    <n v="16555000"/>
    <n v="15762669"/>
    <n v="792331"/>
    <s v="Los mantenimientos preventivos se cancelarán mensualmente de acuerdo con los servicios efectivamente prestados conforme con el cronograma aprobado por el supervisor. El mantenimiento correctivo y el suministro de repuestos se cancelarán con el pago mensual correspondiente al mes de la ejecución. _x000a_"/>
    <x v="78"/>
    <x v="0"/>
    <x v="78"/>
    <s v=""/>
    <x v="0"/>
  </r>
  <r>
    <x v="183"/>
    <x v="95"/>
    <n v="51721571"/>
    <s v="Prestar servicios profesionales para el apoyo en la implementación del manual de convivencia adoptado por el Concejo de Bogotá D.C., para el mejoramiento del clima laboral, de conformidad con los estudios previos."/>
    <n v="39600000"/>
    <s v=" "/>
    <n v="2014"/>
    <s v=" "/>
    <d v="2014-02-05T00:00:00"/>
    <d v="2015-01-04T00:00:00"/>
    <n v="0"/>
    <n v="0"/>
    <n v="0"/>
    <s v=""/>
    <s v=""/>
    <d v="2015-01-04T00:00:00"/>
    <n v="39600000"/>
    <n v="24720000"/>
    <n v="14880000"/>
    <s v="El pago de los honorarios se efectuará así: a) El primer pago vencido se cancelará en proporción a los días ejecutados en el mes en que se inicie la ejecución del contrato. b) diez (10) mensualidades vencidas de Tres Millones Seiscientos Mil Pesos ($3.600.000) M/CTE, previa presentación del informe de actividades, del respectivo período, aprobado por el supervisor. c) En el último pago se cancelará el saldo del presente contrato previa presentación del informe final aprobado por el supervisor del contrato, según corresponda. "/>
    <x v="79"/>
    <x v="0"/>
    <x v="79"/>
    <s v=""/>
    <x v="0"/>
  </r>
  <r>
    <x v="184"/>
    <x v="84"/>
    <n v="79843891"/>
    <s v="Prestar servicios profesionales para apoyar a la dirección financiera del Concejo de Bogotá en la supervisión de los contratos que le sean asignados, implementado mecanismos que le permitan contribuir efectivamente al seguimiento técnico, administrativo, financiero, contable, y jurídico sobre el cumplimiento del objeto de cada contrato asignado."/>
    <n v="51500000"/>
    <s v=" "/>
    <n v="2014"/>
    <s v=" "/>
    <d v="2014-02-24T00:00:00"/>
    <d v="2014-12-23T00:00:00"/>
    <n v="0"/>
    <n v="0"/>
    <n v="1"/>
    <s v=""/>
    <d v="2014-09-05T00:00:00"/>
    <d v="2014-09-05T00:00:00"/>
    <n v="51500000"/>
    <n v="32788333"/>
    <n v="18711667"/>
    <s v="El pago de los honorarios se efectuará así: _x000a_a) El primer pago vencido se cancelará en proporción a los días ejecutados en el mes en que se inicie la ejecución del contrato._x000a_b) Nueve (9) mensualidades vencidas de  CINCO MILLONES CIENTO CINCUENTA MIL DE PESOS ($5.150.000), previa presentación del informe de actividades, del respectivo período, aprobado por el supervisor._x000a_c) En el último pago se cancelará el saldo del presente contrato previa presentación del informe final aprobado por el interventor. _x000a__x000a__x000a_"/>
    <x v="80"/>
    <x v="0"/>
    <x v="80"/>
    <s v=""/>
    <x v="0"/>
  </r>
  <r>
    <x v="185"/>
    <x v="142"/>
    <n v="1018434911"/>
    <s v="Prestar servicios de apoyo al Concejo de Bogotá D.C., en la elaboración y actualización de las bases de datos para el control, depuración y actualización de la normativa de los acuerdos distritales en segunda y tercera fases."/>
    <n v="16500000"/>
    <s v=" 140168-0-2014"/>
    <n v="2014"/>
    <s v=" "/>
    <d v="2014-02-05T00:00:00"/>
    <d v="2015-01-04T00:00:00"/>
    <n v="0"/>
    <n v="0"/>
    <n v="0"/>
    <s v=""/>
    <s v=""/>
    <d v="2015-01-04T00:00:00"/>
    <n v="16500000"/>
    <n v="10300000"/>
    <n v="6200000"/>
    <s v="El pago de los honorarios se efectuará así: a) El primer pago vencido se cancelará en proporción a los días ejecutados en el mes en que se inicie la ejecución del contrato. b) diez (10) mensualidades vencidas de Un Millón Quinientos Mil Pesos ($1.500.000) M/CTE, previa presentación del informe de actividades, del respectivo período, aprobado por el supervisor. c) En el último pago se cancelará el saldo del presente contrato previa presentación del informe final aprobado por el supervisor del contrato, según corresponda. "/>
    <x v="79"/>
    <x v="0"/>
    <x v="79"/>
    <s v=""/>
    <x v="0"/>
  </r>
  <r>
    <x v="186"/>
    <x v="143"/>
    <n v="60289180"/>
    <s v="Prestar servicios profesionales para apoyar a la dirección financiera del Concejo de Bogotá D. C., en la supervisión de los contratos que le sean asignados, implementado mecanismos que le permitan contribuir efectivamente al seguimiento técnico, administrativo, financiero, contable, y jurídico sobre el cumplimiento del objeto de cada contrato asignado."/>
    <n v="51500000"/>
    <s v=" "/>
    <n v="2014"/>
    <s v=" "/>
    <d v="2014-02-07T00:00:00"/>
    <d v="2014-12-06T00:00:00"/>
    <n v="1"/>
    <n v="10300000"/>
    <n v="2"/>
    <s v="2 meses"/>
    <d v="2015-01-02T00:00:00"/>
    <d v="2015-01-02T00:00:00"/>
    <n v="61800000"/>
    <n v="54933333"/>
    <n v="6866667"/>
    <s v="El pago de los honorarios se efectuará así: _x000a_a) El primer pago vencido se cancelará en proporción a los días ejecutados en el mes en que se inicie la ejecución del contrato._x000a_b) Nueve (9) mensualidades vencidas de  CINCO MILLONES CIENTO CINCUENTA MIL DE PESOS ($5.150.000), previa presentación del informe de actividades, del respectivo período, aprobado por el supervisor._x000a_c) En el último pago se cancelará el saldo del presente contrato previa presentación del informe final aprobado por el interventor. _x000a__x000a_"/>
    <x v="81"/>
    <x v="0"/>
    <x v="81"/>
    <s v=""/>
    <x v="0"/>
  </r>
  <r>
    <x v="187"/>
    <x v="110"/>
    <n v="800039398"/>
    <s v="Adquisición de equipos para control Ambiental (aires acondicionados), conectividad (Switc de borde) y Energía Regulada (UPS) para el Concejo de Bogotá. I ítem No 1, de conformidad con el pliego de condiciones del proceso de selección abreviada mediante subasta inversa electrónica SDH-SIE-019-2013 y la propuesta presentada."/>
    <n v="340808000"/>
    <s v=" SDH-SIE-019-2013"/>
    <n v="2014"/>
    <s v=" "/>
    <d v="2014-03-06T00:00:00"/>
    <d v="2014-04-19T00:00:00"/>
    <n v="0"/>
    <n v="0"/>
    <n v="0"/>
    <s v=""/>
    <s v=""/>
    <d v="2014-04-19T00:00:00"/>
    <n v="340808000"/>
    <n v="340808000"/>
    <n v="0"/>
    <s v="Para todos los ítems se efectuará la siguiente forma de pago:_x000a_1. Un primer pago por el cincuenta por ciento (50%) de los bienes descritos en los items 1 y 2, previo: a) certificación expedida por el supervisor, en la cual conste el recibo a satisfacción y el ingreso al Almacén de la SDH; b) la factura respectiva; y c) la Certificación de pagos por concepto de aportes a los sistemas de seguridad social Integral en Salud, Pensiones, Riesgos Laborales, aportes parafiscales: Sena, ICBF y Cajas de Compensación Familiar, cuando corresponda._x000a_2. Un segundo pago por el cincuenta por ciento (50%) de los bienes descritos en los items 1 y 2, previo: a) instalación, configuración, puesta en funcionamiento; actividades que deben estar debidamente recibidas a satisfacción por el supervisor; b) la factura respectiva; y c) la Certificación de pagos por concepto de aportes a los sistemas de seguridad social Integral en Salud, Pensiones, Riesgos Laborales, aportes parafiscales: Sena, ICBF y Cajas de Compensación Familiar, cuando corresponda._x000a_"/>
    <x v="3"/>
    <x v="0"/>
    <x v="3"/>
    <s v=""/>
    <x v="1"/>
  </r>
  <r>
    <x v="188"/>
    <x v="144"/>
    <n v="900381188"/>
    <s v="Adquisición de equipos para control Ambiental (aires acondicionados), conectividad (Switc de borde) y Energía Regulada (UPS) para el Concejo de Bogotá. I ítem No 2, de conformidad con el pliego de condiciones del proceso de selección abreviada mediante subasta inversa electrónica SDH-SIE-019-2013 y la propuesta presentada."/>
    <n v="28900000"/>
    <s v=" "/>
    <n v="2014"/>
    <s v=" "/>
    <d v="2014-03-06T00:00:00"/>
    <d v="2014-04-19T00:00:00"/>
    <n v="0"/>
    <n v="0"/>
    <n v="0"/>
    <s v=""/>
    <s v=""/>
    <d v="2014-04-19T00:00:00"/>
    <n v="28900000"/>
    <n v="28900000"/>
    <n v="0"/>
    <s v="Para todos los ítems se efectuará la siguiente forma de pago:_x000a_1. Un primer pago por el cincuenta por ciento (50%) de los bienes descritos en los items 1 y 2, previo: a) certificación expedida por el supervisor, en la cual conste el recibo a satisfacción y el ingreso al Almacén de la SDH; b) la factura respectiva; y c) la Certificación de pagos por concepto de aportes a los sistemas de seguridad social Integral en Salud, Pensiones, Riesgos Laborales, aportes parafiscales: Sena, ICBF y Cajas de Compensación Familiar, cuando corresponda._x000a_2. Un segundo pago por el cincuenta por ciento (50%) de los bienes descritos en los items 1 y 2, previo: a) instalación, configuración, puesta en funcionamiento; actividades que deben estar debidamente recibidas a satisfacción por el supervisor; b) la factura respectiva; y c) la Certificación de pagos por concepto de aportes a los sistemas de seguridad social Integral en Salud, Pensiones, Riesgos Laborales, aportes parafiscales: Sena, ICBF y Cajas de Compensación Familiar, cuando corresponda."/>
    <x v="3"/>
    <x v="0"/>
    <x v="3"/>
    <s v=""/>
    <x v="1"/>
  </r>
  <r>
    <x v="189"/>
    <x v="145"/>
    <n v="900157564"/>
    <s v="Adquisición, entrega y montaje de mobiliario de oficina para el Concejo de Bogotá D.C."/>
    <n v="248000000"/>
    <s v=" SHD-SIE-020-2013"/>
    <n v="2014"/>
    <s v=" "/>
    <d v="2014-03-10T00:00:00"/>
    <d v="2014-04-09T00:00:00"/>
    <n v="1"/>
    <n v="77128875"/>
    <n v="0"/>
    <s v=""/>
    <s v=""/>
    <d v="2014-04-09T00:00:00"/>
    <n v="325128875"/>
    <n v="325028452"/>
    <n v="100423"/>
    <m/>
    <x v="82"/>
    <x v="0"/>
    <x v="82"/>
    <s v=""/>
    <x v="1"/>
  </r>
  <r>
    <x v="190"/>
    <x v="89"/>
    <n v="900333228"/>
    <s v="Prestar el servicio de mantenimiento preventivo y correctivo con suministro de repuestos de la puerta eléctrica y talanqueras de acceso vehicular al Concejo de Bogotá D.C., de conformidad con lo establecido en la invitación Pública del proceso No SDH-SMINC-01-2014"/>
    <n v="11000000"/>
    <s v=" SDH-SMINC-01-2014"/>
    <n v="2014"/>
    <s v=" "/>
    <d v="2014-04-09T00:00:00"/>
    <d v="2015-01-08T00:00:00"/>
    <n v="0"/>
    <n v="0"/>
    <n v="0"/>
    <s v=""/>
    <s v=""/>
    <d v="2015-01-08T00:00:00"/>
    <n v="11000000"/>
    <n v="2672466"/>
    <n v="8327534"/>
    <s v="Se efectuará un pago por cada una de las visitas de mantenimiento preventivo efectuadas. Los repuestos y/o elementos se cancelarán de acuerdo a la demanda requerida en el respectivo periodo, manteniendo los precios unitarios  de referencia aplicando el porcentaje de descuento ofrecido en la propuesta. "/>
    <x v="83"/>
    <x v="0"/>
    <x v="83"/>
    <s v=""/>
    <x v="0"/>
  </r>
  <r>
    <x v="191"/>
    <x v="70"/>
    <n v="805006014"/>
    <s v="Contratar la suscripción al sistema de Televisión Satelital para ser instalado en la sede del Concejo de Bogotá D.C., de conformidad con lo establecido en la invitación Publica SDH-SMINC-03-2014."/>
    <n v="1325400"/>
    <s v=" SDH-SMINC-03-2014"/>
    <n v="2014"/>
    <s v=" "/>
    <d v="2014-04-09T00:00:00"/>
    <d v="2015-04-08T00:00:00"/>
    <n v="1"/>
    <n v="282000"/>
    <n v="0"/>
    <s v=""/>
    <s v=""/>
    <d v="2015-04-08T00:00:00"/>
    <n v="1607400"/>
    <n v="0"/>
    <n v="1607400"/>
    <s v="Ünico pago"/>
    <x v="6"/>
    <x v="0"/>
    <x v="6"/>
    <s v=""/>
    <x v="0"/>
  </r>
  <r>
    <x v="192"/>
    <x v="80"/>
    <n v="830122370"/>
    <s v="Prestar el servicio de mantenimiento preventivo y correctivo para las maquinas: Impresora Litográfica MULTILITH modelo 1250, Compaginadora DUPLO DC 10, Guillotina y Cizalla manual, ubicadas en la oficina de Anales y Publicaciones del Concejo de Bogotá D.C., de conformidad con lo establecido en la invitación publica del proceso SDH-SMINC-05-2014."/>
    <n v="4982000"/>
    <s v=" SDH-SMINC-05-2014"/>
    <n v="2014"/>
    <s v=" "/>
    <d v="2014-03-27T00:00:00"/>
    <d v="2014-11-26T00:00:00"/>
    <n v="0"/>
    <n v="0"/>
    <n v="0"/>
    <s v=""/>
    <s v=""/>
    <d v="2014-11-26T00:00:00"/>
    <n v="4982000"/>
    <n v="2832000"/>
    <n v="2150000"/>
    <s v="Se realizará un pago por cada visita de mantenimiento preventivo y/o correctivo efectuadas de acuerdo con la programación concertada con el  supervisor del contrato. _x000a__x000a__x000a_"/>
    <x v="84"/>
    <x v="0"/>
    <x v="84"/>
    <s v=""/>
    <x v="0"/>
  </r>
  <r>
    <x v="193"/>
    <x v="146"/>
    <n v="900197284"/>
    <s v="Prestar el servicio de mantenimiento correctivo, incluyendo el suministro de repuestos y/o elementos nuevos que requieran las sillas existentes en el  Concejo de Bogotá D.C., de conformidad con lo establecido en la invitación Publica del proceso No SDH-SMINC-08-2014"/>
    <n v="28000000"/>
    <s v=" SDH-SMINC-08-2014"/>
    <n v="2014"/>
    <s v=" "/>
    <d v="2014-04-09T00:00:00"/>
    <d v="2014-11-08T00:00:00"/>
    <n v="0"/>
    <n v="0"/>
    <n v="0"/>
    <s v=""/>
    <s v=""/>
    <d v="2014-11-08T00:00:00"/>
    <n v="28000000"/>
    <n v="10978240"/>
    <n v="17021760"/>
    <s v="Los mantenimientos correctivos y el suministro de repuestos y/o elementos se cancelarán mensualmente de acuerdo con los servicios efectivamente prestados."/>
    <x v="85"/>
    <x v="0"/>
    <x v="85"/>
    <s v=""/>
    <x v="0"/>
  </r>
  <r>
    <x v="194"/>
    <x v="147"/>
    <n v="900587953"/>
    <s v="Prestar servicio de mantenimiento preventivo y correctivo con suministro de repuestos del sistema de alarmas de emergencias y botones de pánico ubicados en la sedes del  Concejo de Bogotá D.C., de conformidad con lo establecido en la invitación pública del proceso SDH-SMINC-06-2014"/>
    <n v="2122000"/>
    <s v="SDH-SMINC-06-2014 "/>
    <n v="2014"/>
    <s v=" "/>
    <d v="2014-04-23T00:00:00"/>
    <d v="2015-04-22T00:00:00"/>
    <n v="0"/>
    <n v="0"/>
    <n v="0"/>
    <s v=""/>
    <s v=""/>
    <d v="2015-04-22T00:00:00"/>
    <n v="2122000"/>
    <n v="2122000"/>
    <n v="0"/>
    <s v="Se efectuará un pago por cada una de las visitas de mantenimiento preventivo efectuadas. Los repuestos se cancelarán de acuerdo a la demanda requerida en el respectivo periodo, manteniendo los precios unitarios ofrecidos en la propuesta._x000a__x000a__x000a_"/>
    <x v="3"/>
    <x v="0"/>
    <x v="3"/>
    <s v=""/>
    <x v="1"/>
  </r>
  <r>
    <x v="195"/>
    <x v="73"/>
    <n v="4831"/>
    <s v="Prestar el servicio de mantenimiento preventivo y correctivo con suministro de repuestos del parque automotor marca Chevrolet al servicio del Concejo de Bogotá D.C. de conformidad con lo establecido en la invitación pública del proceso No SDH-SMINc-015-2014 y la propuesta presentada por el contratista."/>
    <n v="20872000"/>
    <s v="SDH-SMINC-015-2014 "/>
    <n v="2014"/>
    <s v=" "/>
    <d v="2014-04-28T00:00:00"/>
    <d v="2015-02-27T00:00:00"/>
    <n v="1"/>
    <n v="10346000"/>
    <n v="1"/>
    <s v="1 mes   "/>
    <d v="2015-03-28T00:00:00"/>
    <d v="2015-03-28T00:00:00"/>
    <n v="31218000"/>
    <n v="29571427"/>
    <n v="1646573"/>
    <s v="Los pagos se realizarán por mensualidades vencidas de acuerdo a los servicios y repuestos efectivamente prestados y suministrados en el respectivo mes manteniendo los precios y descuento ofrecidos en la propuesta._x000a__x000a__x000a_"/>
    <x v="86"/>
    <x v="0"/>
    <x v="86"/>
    <s v=""/>
    <x v="0"/>
  </r>
  <r>
    <x v="196"/>
    <x v="76"/>
    <n v="891501783"/>
    <s v="Alquiler del dispositivo de Hw y Sw (tipo aplliance) en tecnología UTM para controlar y administrar la seguridad perimetral y las aplicaciones Web, para el Concejo de Bogotá de conformidad con lo establecido en la invitación Publica SDH-SMINC-16-2014"/>
    <n v="12145200"/>
    <s v=" SDH-SMINC-16-2014"/>
    <n v="2014"/>
    <s v=" "/>
    <d v="2014-05-05T00:00:00"/>
    <d v="2014-09-19T00:00:00"/>
    <n v="1"/>
    <n v="6072600"/>
    <n v="1"/>
    <s v="1 mes y 15 días"/>
    <d v="2014-09-19T00:00:00"/>
    <d v="2014-09-19T00:00:00"/>
    <n v="18217800"/>
    <n v="18217800"/>
    <n v="0"/>
    <s v="Tres pagos iguales mes vencidode acuerdo con lo ofertado en su propuesta, por concepto de servicio de arrendamiento, previe presentación de la factura, para lo cual el proveedor deberá cumplir con todas las especificaciones señaladas en el anexo técnico."/>
    <x v="3"/>
    <x v="0"/>
    <x v="3"/>
    <s v=""/>
    <x v="1"/>
  </r>
  <r>
    <x v="197"/>
    <x v="148"/>
    <n v="900414308"/>
    <s v="Adquirir diademas de un solo auricular para el concejo de Bogotá D.C., de conformidad con lo establecido en la invitación pública del proceso No SDH-SMINC-13-2014 y la propuesta presentada por el contratista."/>
    <n v="1700007"/>
    <s v=" SDH-SMINC-13-2014"/>
    <n v="2014"/>
    <s v=" "/>
    <d v="2014-04-28T00:00:00"/>
    <d v="2014-06-27T00:00:00"/>
    <n v="0"/>
    <n v="0"/>
    <n v="0"/>
    <s v=""/>
    <s v=""/>
    <d v="2014-06-27T00:00:00"/>
    <n v="1700007"/>
    <n v="1700000"/>
    <n v="7"/>
    <m/>
    <x v="87"/>
    <x v="0"/>
    <x v="87"/>
    <s v=""/>
    <x v="1"/>
  </r>
  <r>
    <x v="198"/>
    <x v="149"/>
    <n v="830055827"/>
    <s v="Suministrar elementos de promoción institucional y actos protocolarios del Concejo de Bogotá D.C.,  de conformidad con lo establecido en la Invitación Pública No. SDH-SMINC-010-2014"/>
    <n v="32631000"/>
    <s v=" "/>
    <n v="2014"/>
    <s v=" "/>
    <d v="2014-04-24T00:00:00"/>
    <d v="2015-04-23T00:00:00"/>
    <n v="0"/>
    <n v="0"/>
    <n v="0"/>
    <s v=""/>
    <s v=""/>
    <d v="2015-04-23T00:00:00"/>
    <n v="32631000"/>
    <n v="32594631"/>
    <n v="36369"/>
    <s v="Se realizarán pagos mensuales correspondientes a la cantidad de elementos elaborados y entregados dentro de cada mes, de acuerdo con los requerimientos del supervisor del contrato._x000a_  "/>
    <x v="88"/>
    <x v="0"/>
    <x v="88"/>
    <s v=""/>
    <x v="0"/>
  </r>
  <r>
    <x v="199"/>
    <x v="150"/>
    <n v="830055842"/>
    <s v="Contratar la prestación de los servicios de mensajería expresa masiva para el Concejo de Bogotá de conformidad con lo establecido en el pliego de condiciones y documentos soportes del proceso de selección SDH-SIE-001-2014 y a la propuesta presentada"/>
    <n v="40000000"/>
    <s v=" SDH-SIE-001-2014"/>
    <n v="2014"/>
    <s v=" "/>
    <d v="2014-06-17T00:00:00"/>
    <d v="2015-02-16T00:00:00"/>
    <n v="1"/>
    <n v="5100746"/>
    <n v="2"/>
    <s v="2 meses y 18 días"/>
    <d v="2015-05-04T00:00:00"/>
    <d v="2015-05-04T00:00:00"/>
    <n v="45100746"/>
    <n v="45045000"/>
    <n v="55746"/>
    <s v="Mensualidades vencidas"/>
    <x v="89"/>
    <x v="0"/>
    <x v="89"/>
    <s v=""/>
    <x v="0"/>
  </r>
  <r>
    <x v="200"/>
    <x v="151"/>
    <m/>
    <s v="Aunar esfuerzos humanos, técnicos, logísticos y administrativos para garantizar la protección integral de los miembros del Concejo de Bogotá que se encuentren en situación de riesgo extraordinario o extremo como consecuencia directa del ejercicio de las funciones del cargo de elección popular en el cual se encuentran posesionados."/>
    <n v="0"/>
    <s v=" "/>
    <n v="2014"/>
    <s v=" "/>
    <m/>
    <m/>
    <n v="0"/>
    <n v="0"/>
    <n v="1"/>
    <s v="9 meses y 7 días"/>
    <d v="2020-02-29T00:00:00"/>
    <d v="2020-02-29T00:00:00"/>
    <n v="0"/>
    <n v="0"/>
    <n v="0"/>
    <m/>
    <x v="65"/>
    <x v="1"/>
    <x v="65"/>
    <n v="247"/>
    <x v="2"/>
  </r>
  <r>
    <x v="201"/>
    <x v="135"/>
    <n v="811021363"/>
    <s v="La adquisición de medios magnéticos para copias de respaldo, para la Secretaria distrital de Hacienda y el Concejo de Bogotá, de conformidad con lo establecido en la invitación publica SDH-SMINC-020-2014."/>
    <n v="9998117"/>
    <s v=" SDH-SMINC-020-2014"/>
    <n v="2014"/>
    <s v=" "/>
    <d v="2014-06-04T00:00:00"/>
    <d v="2014-08-04T00:00:00"/>
    <n v="0"/>
    <n v="0"/>
    <n v="0"/>
    <s v=""/>
    <s v=""/>
    <d v="2014-08-04T00:00:00"/>
    <n v="9998117"/>
    <n v="9998097"/>
    <n v="20"/>
    <s v="Un (1) único pagocontra entrega asatisfacción de los bienes, previa presentación de la factura acompañada del acta de recibo a satisfacción del supervisor donde se especifiquen las cantidades entregadas."/>
    <x v="90"/>
    <x v="0"/>
    <x v="90"/>
    <s v=""/>
    <x v="1"/>
  </r>
  <r>
    <x v="202"/>
    <x v="152"/>
    <n v="800199498"/>
    <s v="Adquisición de impresoras de tarjetas para el Concejo de Bogotá, D.C."/>
    <n v="14975600"/>
    <s v=" "/>
    <n v="2014"/>
    <s v=" "/>
    <d v="2014-08-20T00:00:00"/>
    <d v="2014-10-20T00:00:00"/>
    <n v="0"/>
    <n v="0"/>
    <n v="0"/>
    <s v=""/>
    <s v=""/>
    <d v="2014-10-20T00:00:00"/>
    <n v="14975600"/>
    <n v="14975600"/>
    <n v="0"/>
    <s v="Se efectuarán los siguientes pagos, tanto para la Secretaría Distrital de Hacienda como para el Concejo de Bogotá: _x000a_Un pago único del ciento  (100%) a la entrega e implementación y correcto funcionamiento de la impresora de tarjetas PVC y de los insumos objeto de este contrato, previa certificación de cumplimiento expedida por el supervisor del contrato._x000a__x000a_"/>
    <x v="3"/>
    <x v="0"/>
    <x v="3"/>
    <s v=""/>
    <x v="1"/>
  </r>
  <r>
    <x v="203"/>
    <x v="153"/>
    <n v="900599628"/>
    <s v="Servicio de transporte de bienes muebles, equipos de oficina y cajas de archivo documental para el Concejo de Bogotá D.C., de conformidad con lo establecido en la invitación publica del proceso SDH-SMINC-22-2014"/>
    <n v="12000000"/>
    <s v=" SDH-SMINC-22-2014"/>
    <n v="2014"/>
    <s v=" "/>
    <d v="2014-07-04T00:00:00"/>
    <d v="2015-03-03T00:00:00"/>
    <n v="0"/>
    <n v="0"/>
    <n v="2"/>
    <s v="8 meses"/>
    <d v="2015-11-04T00:00:00"/>
    <d v="2015-11-04T00:00:00"/>
    <n v="12000000"/>
    <n v="10800000"/>
    <n v="1200000"/>
    <s v="Pagos mensuales correspondientes a los servicios prestados de acuerdo con la certificación de cumplimiento expedida por el supervisor del contrato"/>
    <x v="91"/>
    <x v="0"/>
    <x v="91"/>
    <s v=""/>
    <x v="0"/>
  </r>
  <r>
    <x v="204"/>
    <x v="114"/>
    <n v="900207129"/>
    <s v="Adquirir a titulo de compraventa elementos, medicamentos e insumos para dotar el consultorio medico y los botiquines del Concejo de Bogotá D.C., de conformidad con lo establecido en la invitación publica SDH-SMINC-26-2014"/>
    <n v="5719790"/>
    <s v=" "/>
    <n v="2014"/>
    <s v=" "/>
    <d v="2014-06-17T00:00:00"/>
    <d v="2014-08-16T00:00:00"/>
    <n v="0"/>
    <n v="0"/>
    <n v="0"/>
    <s v=""/>
    <s v=""/>
    <d v="2014-08-16T00:00:00"/>
    <n v="5719790"/>
    <n v="5719790"/>
    <n v="0"/>
    <s v="Un único pago que se efectuará a la entrega de los bienes objeto de contratación, previa  radicación de la factura en la Subdirección Financiera y certificación de recibo  a satisfacción expedida por el supervisor y constancia de ingreso al Almacén.  _x000a_"/>
    <x v="3"/>
    <x v="0"/>
    <x v="3"/>
    <s v=""/>
    <x v="1"/>
  </r>
  <r>
    <x v="205"/>
    <x v="48"/>
    <n v="900548648"/>
    <s v="Presentar los servicios integrales de aseo y cafetería y servicio de fumigación para las instalaciones del Concejo de Bogotá, y los inmuebles por lo que sea legalmente responsables, según el pliego de condiciones de la subasta inversa electrónica SDH-SIE-03-201 y la propuesta presentada."/>
    <n v="337487000"/>
    <s v=" "/>
    <n v="2014"/>
    <s v=" "/>
    <d v="2014-06-21T00:00:00"/>
    <d v="2015-05-06T00:00:00"/>
    <n v="0"/>
    <n v="0"/>
    <n v="2"/>
    <s v="1 mes y 25 días"/>
    <d v="2015-07-01T00:00:00"/>
    <d v="2015-07-01T00:00:00"/>
    <n v="337487000"/>
    <n v="337486998"/>
    <n v="2"/>
    <s v="Las Entidades efectuarán los pagos correspondiente a los servicios prestados por mensualidades vencidas de acuerdo con los servicios prestados y elementos suministrados dentro del período, previa presentación de las facturas respectivas y aprobación de las mismas por parte del supervisor del contrato, acompañadas de las correspondientes certificaciones de cumplimiento a satisfacción expedidas por el mismo en las cuales conste el valor a pagar por el contratista. El primer pago se deberá facturar por los días de servicio prestados del primer mes, los siguientes serán por mensualidades vencidas, de acuerdo a los bienes y servicios prestados_x000a_EJEMPLOS_x000a__x000a_Pago Anticipado del   ____% (NO aplica a Prestación de servicios)_x000a_Anticipo del          ____% (NO aplica a Prestación de servicios)_x000a_Pagos parciales del   ____% contra entregas parciales_x000a_                ____% contra entrega final a satisfacción y firma del acta de liquidación._x000a__x000a_En todo caso,  un anticipo o el pago anticipado no podrá ser superior al 50% del valor del contrato._x000a__x000a_Los pagos se efectuarán dentro de los diez (10) días hábiles  siguientes a la radicación en la Subdirección Financiera de la certificación de cumplimiento a satisfacción del objeto y obligaciones, expedida por el interventor del contrato, acompañada de los respectivos recibos de pago por concepto de aportes al Sistema de Seguridad Social Integral en Salud y Pensión, aportes parafiscales: Sena, ICBF y Cajas de Compensación Familiar, cuando corresponda._x000a_"/>
    <x v="92"/>
    <x v="0"/>
    <x v="92"/>
    <s v=""/>
    <x v="1"/>
  </r>
  <r>
    <x v="206"/>
    <x v="154"/>
    <n v="900475780"/>
    <s v="Aunar esfuerzos humanos, técnicos, logísticos y administrativos para implementar el esquema de seguridad requerido por los Concejales del distrito Capital que se  encuentran en situación de riesgo extraordinario o extremo como consecuencia directa del ejercicio de sus funciones."/>
    <n v="2447846100"/>
    <s v=" "/>
    <n v="2014"/>
    <s v=" "/>
    <d v="2014-06-18T00:00:00"/>
    <d v="2015-01-17T00:00:00"/>
    <n v="1"/>
    <n v="1015608000"/>
    <n v="2"/>
    <s v="3 meses y 5 días"/>
    <d v="2015-04-22T00:00:00"/>
    <d v="2015-04-22T00:00:00"/>
    <n v="3463454100"/>
    <n v="3320263630"/>
    <n v="143190470"/>
    <s v="Un primer desembolso, equivalente al 30% de los recursos estimados para el Convenio, una vez sean implementados los esquemas de seguridad de por lo menos el 80% de los Concejales._x000a__x000a_Un segundo desembolso, correspondiente al 30% de los recursos estimados para el Convenio, una vez finalizado el segundo mes de ejecución._x000a_"/>
    <x v="93"/>
    <x v="0"/>
    <x v="93"/>
    <s v=""/>
    <x v="0"/>
  </r>
  <r>
    <x v="207"/>
    <x v="155"/>
    <n v="900007203"/>
    <s v="Adquisidor de chalecos tipo alpinista para el Concejo de Bogotá D.C., de conformidad con lo establecido en la invitación pública SDH-SMINC-032-2014."/>
    <n v="330000"/>
    <s v=" "/>
    <n v="2014"/>
    <s v=" "/>
    <d v="2014-07-21T00:00:00"/>
    <d v="2014-08-21T00:00:00"/>
    <n v="0"/>
    <n v="0"/>
    <n v="0"/>
    <s v=""/>
    <s v=""/>
    <d v="2014-08-21T00:00:00"/>
    <n v="330000"/>
    <n v="330000"/>
    <n v="0"/>
    <s v="Un pago al recibo de los chalecos por parte de la Entidad, previa certificación de recibo a satisfacción suscrita por el supervisor del contrato._x000a_"/>
    <x v="3"/>
    <x v="0"/>
    <x v="3"/>
    <s v=""/>
    <x v="1"/>
  </r>
  <r>
    <x v="208"/>
    <x v="33"/>
    <n v="830095213"/>
    <s v="Suministro de combustible para el Concejo de Bogotá D.C."/>
    <n v="251750000"/>
    <s v=" "/>
    <n v="2014"/>
    <s v=" "/>
    <d v="2014-06-16T00:00:00"/>
    <d v="2014-11-16T00:00:00"/>
    <n v="0"/>
    <n v="0"/>
    <n v="0"/>
    <s v=""/>
    <s v=""/>
    <d v="2014-11-16T00:00:00"/>
    <n v="251750000"/>
    <n v="180186681"/>
    <n v="71563319"/>
    <s v="De conformidad con la cláusula 10 del Acuerdo Marco de Precios: Los Proveedores deben facturar quincenalmente el consumo de Combustible a cada una de las Entidades Compradoras de forma independiente. Los Proveedores deben presentar las facturas en la dirección indicada para el efecto por la Entidad Compradora en la Orden de Compra el día 5 y el día 20 de cada mes. Si el día en el cual debe expedirse la factura no es un día hábil, el Proveedor debe expedir la factura el día hábil siguiente. Adicionalmente, los Proveedores deben publicar copia de la factura en la misma fecha en el aplicativo del SECOP. La factura debe contener la información necesaria para ser una factura de venta como lo disponen las normas comerciales y tributarias. La factura debe indicar la fecha de inicio y la fecha de corte del suministro de Combustible para que la Entidad Compradora pueda verificar la información de la factura con el Sistema de Control. El Proveedor debe presentar como anexo a la factura un certificado suscrito por su representante legal en el cual manifieste que el Proveedor está a paz y salvo con sus obligaciones laborales frente al sistema de seguridad social integral y demás aportes relacionados con sus obligaciones laborales. Las Entidades Compradoras deben aprobar o rechazar las facturas dentro de los diez (10) días hábiles siguientes a la fecha de su presentación. El aplicativo del SECOP notificará al Proveedor la aceptación o el rechazo de las facturas y en este último caso la justificación del rechazo. Las Entidades Compradoras deben pagar las facturas dentro de los cinco (5) días hábiles siguientes a la aprobación de la misma. En caso de mora en el pago mayor a treinta (30) días calendario el Proveedor puede abstenerse de suministrar Combustible a la Entidad Compradora en mora y debe avisar a Colombia Compra Eficiente un día hábil antes de la suspensión del servicio."/>
    <x v="94"/>
    <x v="0"/>
    <x v="94"/>
    <s v=""/>
    <x v="0"/>
  </r>
  <r>
    <x v="209"/>
    <x v="22"/>
    <n v="900152368"/>
    <s v="Prestar el servicio de mantenimiento preventivo y correctivo para los tanques de almacenamiento y equipos de bombeo hidráulicos de agua potable, residual y aguas negras de las instalaciones del  Concejo de Bogotá."/>
    <n v="6252000"/>
    <s v=" "/>
    <n v="2014"/>
    <s v=" "/>
    <d v="2014-07-22T00:00:00"/>
    <d v="2015-07-22T00:00:00"/>
    <n v="0"/>
    <n v="0"/>
    <n v="0"/>
    <s v=""/>
    <s v=""/>
    <d v="2015-07-22T00:00:00"/>
    <n v="6252000"/>
    <n v="5665189"/>
    <n v="586811"/>
    <s v="Los mantenimientos preventivos se cancelarán bimestralmente de acuerdo con los servicios efectivamente prestados conforme con el cronograma establecido y certificación de recibo  a satisfacción expedida por el supervisor. El mantenimiento correctivo y el suministro de repuestos se cancelarán de acuerdo a la demanda durante en el respectivo periodo, manteniendo los precios unitarios ofrecidos en la propuesta._x000a_ "/>
    <x v="95"/>
    <x v="0"/>
    <x v="95"/>
    <s v=""/>
    <x v="0"/>
  </r>
  <r>
    <x v="210"/>
    <x v="156"/>
    <n v="19303649"/>
    <s v="Adquirir a titulo de compraventa lockers y bancas para vestier para el Concejo de Bogotá D.C."/>
    <n v="2962640"/>
    <s v=" SDH-SMINC-033-2014"/>
    <n v="2014"/>
    <s v=" "/>
    <d v="2014-07-18T00:00:00"/>
    <d v="2014-08-01T00:00:00"/>
    <n v="0"/>
    <n v="0"/>
    <n v="0"/>
    <s v=""/>
    <s v=""/>
    <d v="2014-08-01T00:00:00"/>
    <n v="2962640"/>
    <n v="2962640"/>
    <n v="0"/>
    <s v="Un único pago contra la presentación de la factura,  previa  certificación de recibo a satisfacción, de los bienes objeto de contratación, expedida por el supervisor del contrato."/>
    <x v="3"/>
    <x v="0"/>
    <x v="3"/>
    <s v=""/>
    <x v="1"/>
  </r>
  <r>
    <x v="211"/>
    <x v="157"/>
    <n v="900153597"/>
    <s v="Prestar el servicio integral de fotocopiado y servicios afines para el Concejo de Bogotá  bajo la modalidad de outsourcing."/>
    <n v="36581760"/>
    <s v=" SDH-SIE-04-2014"/>
    <n v="2014"/>
    <s v=" "/>
    <d v="2014-07-01T00:00:00"/>
    <d v="2015-03-30T00:00:00"/>
    <n v="0"/>
    <n v="0"/>
    <n v="1"/>
    <s v="3 meses"/>
    <d v="2015-07-01T00:00:00"/>
    <d v="2015-07-01T00:00:00"/>
    <n v="36581760"/>
    <n v="34363318"/>
    <n v="2218442"/>
    <s v="Por mensualidades vencidas, de acuerdo al consumo de cada periodo, previa radicación de los documentos y soportes requeridos en la Subdirección Financiera y certificación de cumplimiento a satisfacción expedida por el Supervisor del contrato."/>
    <x v="96"/>
    <x v="0"/>
    <x v="96"/>
    <s v=""/>
    <x v="0"/>
  </r>
  <r>
    <x v="212"/>
    <x v="158"/>
    <n v="79619132"/>
    <s v="Realizar la interventoría técnica, administrativa, ambiental,  financiera, legal y  contable  para el contrato de mantenimiento integral locativo con el suministro de personal, equipo y repuestos en las instalaciones del Concejo de Bogotá D.C., de conformidad con lo establecido en la invitación publica del Proceso SDH-SMINC-034-2014"/>
    <n v="16390000"/>
    <s v=" "/>
    <n v="2014"/>
    <s v=" "/>
    <d v="2014-06-09T00:00:00"/>
    <d v="2015-07-08T00:00:00"/>
    <n v="1"/>
    <n v="2324400"/>
    <n v="1"/>
    <s v="1 mes y 22 días"/>
    <d v="2015-08-31T00:00:00"/>
    <d v="2015-08-31T00:00:00"/>
    <n v="18714400"/>
    <n v="18714400"/>
    <n v="0"/>
    <s v="El 90% del contrato mediante 11 pagos mensuales iguales y unpago final equivalente al 10% del contratodentro de los quince días siguientes al al firma del axcta de liquidación"/>
    <x v="3"/>
    <x v="0"/>
    <x v="3"/>
    <s v=""/>
    <x v="1"/>
  </r>
  <r>
    <x v="213"/>
    <x v="90"/>
    <n v="830109807"/>
    <s v="Suscripción al servicio de información de boletines informáticos por correo electrónico consultas en pagina Web y biblioteca de la legislación y jurisprudencia colombiana actualizada para el Concejo de Bogotá D.C., de conformidad con lo establecido en la invitación publica SDH-SMINC-037-2014"/>
    <n v="683000"/>
    <s v=" "/>
    <n v="2014"/>
    <s v=" "/>
    <d v="2014-07-18T00:00:00"/>
    <d v="2015-07-18T00:00:00"/>
    <n v="0"/>
    <n v="0"/>
    <n v="0"/>
    <s v=""/>
    <s v=""/>
    <d v="2015-07-18T00:00:00"/>
    <n v="683000"/>
    <n v="683000"/>
    <n v="0"/>
    <s v="Se efectuará un pago único contra la presentación de la factura, acompañada de la constancia de suscripción del servicio y certificación de recibido a satisfacción de la suscripción expedida por el supervisor del contrato._x000a_"/>
    <x v="3"/>
    <x v="0"/>
    <x v="3"/>
    <s v=""/>
    <x v="1"/>
  </r>
  <r>
    <x v="214"/>
    <x v="159"/>
    <n v="832004433"/>
    <s v="Contratar la realización del servicio de mantenimiento correctivo y traslado, incluyendo los repuestos y/o elementos nuevos que requieran los sistemas de archivo rodante, existente en las diferentes dependencias del Concejo de Bogotá D.C.; de conformidad con lo establecido en la invitación pública  SDH-SMINC-035-2014."/>
    <n v="4672000"/>
    <s v=" SDH-SMINC-035-2014"/>
    <n v="2014"/>
    <s v=" "/>
    <d v="2014-07-15T00:00:00"/>
    <d v="2015-02-15T00:00:00"/>
    <n v="0"/>
    <n v="0"/>
    <n v="0"/>
    <s v=""/>
    <s v=""/>
    <d v="2015-02-15T00:00:00"/>
    <n v="4672000"/>
    <n v="1806200"/>
    <n v="2865800"/>
    <s v="Pagos mensuales correspondientes a los servicios prestados.  Los repuestos se cancelarán de acuerdo a la demanda requerida en el respectivo periodo, manteniendo los precios unitarios ofrecidos en la oferta económica; previa certificación de cumplimiento expedida por el supervisor del contrato._x000a_"/>
    <x v="97"/>
    <x v="0"/>
    <x v="97"/>
    <s v=""/>
    <x v="0"/>
  </r>
  <r>
    <x v="215"/>
    <x v="160"/>
    <m/>
    <s v="Expedir las pólizas de seguro obligatorio SOAT para los vehículos del Concejo de Bogotá, D.C., de conformidad con lo establecido en el Acuerdo Marco de Precios CCE-070-1AMP-2013."/>
    <n v="3846133"/>
    <s v=" LP-AMP-011-2013"/>
    <n v="2014"/>
    <s v=" "/>
    <d v="2014-07-17T00:00:00"/>
    <d v="2015-07-17T00:00:00"/>
    <n v="0"/>
    <n v="0"/>
    <n v="0"/>
    <s v=""/>
    <s v=""/>
    <d v="2015-07-17T00:00:00"/>
    <n v="3846133"/>
    <n v="0"/>
    <n v="3846133"/>
    <m/>
    <x v="6"/>
    <x v="0"/>
    <x v="6"/>
    <s v=""/>
    <x v="3"/>
  </r>
  <r>
    <x v="216"/>
    <x v="104"/>
    <n v="900268429"/>
    <s v="Prestar el servicio de mantenimiento preventivo y correctivo con suministro de al sistema de generación y transferencia eléctrica de emergencia del Concejo de Bogotá, D.C., de conformidad con lo establecido en la invitación pública del proceso No. SDH-SMINC-012-2014."/>
    <n v="10564000"/>
    <s v=" "/>
    <n v="2014"/>
    <s v=" "/>
    <d v="2014-06-03T00:00:00"/>
    <d v="2015-04-02T00:00:00"/>
    <n v="0"/>
    <n v="0"/>
    <n v="0"/>
    <s v=""/>
    <s v=""/>
    <d v="2015-04-02T00:00:00"/>
    <n v="10564000"/>
    <n v="10055157"/>
    <n v="508843"/>
    <s v="Los pagos se realizarán cada dos (2) meses de acuerdo a los servicios efectivamente prestados por concepto de mantenimiento preventivo y correctivo. Los insumos y repuestos se cancelarán de acuerdo a la demanda requerida en el respectivo periodo, manteniendo los precios ofrecidos con la propuesta, previa presentación del informe de los servicios prestados por parte del contratista y certificación de cumplimiento y recibo a satisfacción del servicio, expedida por el supervisor del contrato en la cual se indique el valor a pagar al contratista._x000a__x000a_"/>
    <x v="98"/>
    <x v="0"/>
    <x v="98"/>
    <s v=""/>
    <x v="0"/>
  </r>
  <r>
    <x v="217"/>
    <x v="161"/>
    <n v="830021364"/>
    <s v="Prestar el servicio de mantenimiento integral locativo con el suministro de personal, equipo y  repuestos, en las instalaciones físicas del  Concejo Bogotá, D.C., de acuerdo con lo establecido en el pliego de condiciones del proceso de selección abreviada  de menor cuantía  No. SDH-SAMC-01-2014 y la propuesta económica presentada por el contratista."/>
    <n v="249991314"/>
    <s v=" "/>
    <n v="2014"/>
    <s v=" "/>
    <d v="2014-07-17T00:00:00"/>
    <d v="2015-06-16T00:00:00"/>
    <n v="0"/>
    <n v="0"/>
    <n v="1"/>
    <s v="1 mes y 14 días"/>
    <d v="2015-07-31T00:00:00"/>
    <d v="2015-07-31T00:00:00"/>
    <n v="249991314"/>
    <n v="248275406"/>
    <n v="1715908"/>
    <s v="El valor del personal y el suministro de repuestos y materiales del periodo se cancelarán por pagos mensuales vencidos, previa certificación del supervisor y/o interventor designado por la entidad, en la cual conste el cumplimiento a satisfacción del objeto y obligaciones. _x000a__x000a_Para el primer pago el contratista deberá cobrar los días prestados del mes de inicio del contrato, los siguientes serán por pagos mensuales completos. _x000a__x000a_Los mantenimientos de las persianas y puertas de vidrio se cancelarán mediante pagos parciales mensuales, de conformidad con los mantenimientos efectuados y certificados por el supervisor y/o interventor designado por la entidad. _x000a__x000a_El contratista deberá adjuntar a las facturas de cobro, una relación de los servicios y actividades ejecutadas, ordenes de pedido de repuestos, materiales con la previa autorización del supervisor y/o interventor, comprobante de los servicios prestados con el recibido a satisfacción. _x000a__x000a_Si las facturas no han sido correctamente elaboradas o no se acompañan de los documentos requeridos para el pago, el término para éste solamente empezará a contarse desde la fecha en que se presenten en debida forma o se haya aportado el último de los documentos. Las demoras que se presenten por estos conceptos serán responsabilidad del CONTRATISTA y no tendrá por ello derecho al pago de intereses o compensación de ninguna naturaleza._x000a__x000a_Los pagos se efectuarán dentro de los ocho (8) días hábiles  siguientes a la radicación en la Subdirección Financiera de la certificación de cumplimiento a satisfacción del objeto y obligaciones, expedida por el supervisor y/o interventor del contrato, acompañada de los respectivos recibos de pago por concepto de aportes al Sistema de Seguridad Social Integral en Salud, Pensión y ARL, aportes parafiscales: Sena, ICBF y Cajas de Compensación Familiar, cuando corresponda._x000a__x000a_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_x000a_EJEMPLOS_x000a__x000a_Pago Anticipado del   ____% (NO aplica a Prestación de servicios)_x000a_Anticipo del          ____% (NO aplica a Prestación de servicios)_x000a_Pagos parciales del   ____% contra entregas parciales_x000a_                ____% contra entrega final a satisfacción y firma del acta de liquidación._x000a__x000a_En todo caso,  un anticipo o el pago anticipado no podrá ser superior al 50% del valor del contrato._x000a__x000a_Los pagos se efectuarán dentro de los diez (10) días hábiles  siguientes a la radicación en la Subdirección Financiera de la certificación de cumplimiento a satisfacción del objeto y obligaciones, expedida por el interventor del contrato, acompañada de los respectivos recibos de pago por concepto de aportes al Sistema de Seguridad Social Integral en Salud y Pensión, aportes parafiscales: Sena, ICBF y Cajas de Compensación Familiar, cuando corresponda._x000a__x000a_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
    <x v="99"/>
    <x v="0"/>
    <x v="99"/>
    <s v=""/>
    <x v="0"/>
  </r>
  <r>
    <x v="218"/>
    <x v="162"/>
    <n v="830145054"/>
    <s v="Revisión, mantenimiento y recarga de extintores y gabinetes contra incendio, con suminstro de repuestos y otros elementos de seguridad industrial para el Concejo de Bogotá, D.C., de conformidad con lo establecido en la invitación pública y propuesta por ustedes presentada."/>
    <n v="4136000"/>
    <s v=" SDH-SMINC-59-2012"/>
    <n v="2014"/>
    <s v=" "/>
    <d v="2014-10-23T00:00:00"/>
    <d v="2015-01-23T00:00:00"/>
    <n v="0"/>
    <n v="0"/>
    <n v="0"/>
    <s v=""/>
    <s v=""/>
    <d v="2015-01-23T00:00:00"/>
    <n v="4136000"/>
    <n v="2251047"/>
    <n v="1884953"/>
    <s v="Mensual"/>
    <x v="100"/>
    <x v="0"/>
    <x v="100"/>
    <s v=""/>
    <x v="0"/>
  </r>
  <r>
    <x v="219"/>
    <x v="163"/>
    <n v="860066942"/>
    <s v="Prestar servicios de alquiler de escenarios como salones, auditorios y espacios  abiertos, apoyo logísticos y servicios de catering  para el desarrollo de eventos que requieran el Concejo de Bogotá D.C., de conformidad con lo establecido en le pliego de condiciones del proceso de selección abreviada de menor cuantía No SDH-SAMC-02-2014 y la propuesta presentada por el contratista. "/>
    <n v="65200000"/>
    <s v=" "/>
    <n v="2014"/>
    <s v=" "/>
    <d v="2014-07-15T00:00:00"/>
    <d v="2015-03-15T00:00:00"/>
    <n v="1"/>
    <n v="32600000"/>
    <n v="1"/>
    <s v="2 meses"/>
    <d v="2015-05-15T00:00:00"/>
    <d v="2015-05-15T00:00:00"/>
    <n v="97800000"/>
    <n v="97794518"/>
    <n v="5482"/>
    <s v="La Secretaría Distrital de Hacienda efectuará los pagos mensualmente en pesos colombianos de acuerdo con las actividades efectivamente ejecutadas en su totalidad en el mes anterior y que sean aprobadas y certificadas por los Supervisores para el contrato de la Secretaria Distrital de Hacienda y para el Concejo de Bogotá, previa presentación de las facturas respectivas."/>
    <x v="101"/>
    <x v="0"/>
    <x v="101"/>
    <s v=""/>
    <x v="1"/>
  </r>
  <r>
    <x v="220"/>
    <x v="7"/>
    <n v="830040274"/>
    <s v="Realizar auditorias de seguimiento a los sistemas de gestión ambiental y seguridad y salud ocupacional bajo las normas ISO14001:2014 y OHSAS 18001:2007 al Concejo de Bogotá, de conformidad con los estudios previos."/>
    <n v="2228070"/>
    <s v=" 140243-0-2014"/>
    <n v="2014"/>
    <s v=" "/>
    <d v="2014-07-22T00:00:00"/>
    <d v="2014-11-22T00:00:00"/>
    <n v="0"/>
    <n v="0"/>
    <n v="0"/>
    <s v=""/>
    <s v=""/>
    <d v="2014-11-22T00:00:00"/>
    <n v="2228070"/>
    <n v="2228070"/>
    <n v="0"/>
    <s v="El servicio será cancelado una vez realizada la auditoría de seguimiento y entrega del informe de resultado de la auditoría, previa presentación de la factura y aprobación de la misma, junto con la certificación de cumplimiento de recibo a satisfacción expedida por el supervisor del contrato."/>
    <x v="3"/>
    <x v="0"/>
    <x v="3"/>
    <s v=""/>
    <x v="1"/>
  </r>
  <r>
    <x v="221"/>
    <x v="164"/>
    <n v="800047094"/>
    <s v="Servicio de manejo Integral de los residuos peligrosos existentes en la sede del Concejo de Bogotá, D.C."/>
    <n v="2260000"/>
    <s v=" "/>
    <n v="2014"/>
    <s v=" "/>
    <d v="2014-08-11T00:00:00"/>
    <d v="2014-10-11T00:00:00"/>
    <n v="0"/>
    <n v="0"/>
    <n v="0"/>
    <s v=""/>
    <s v=""/>
    <d v="2014-10-11T00:00:00"/>
    <n v="2260000"/>
    <n v="1595000"/>
    <n v="665000"/>
    <s v="Un pago equivalente al 100% del valor del contrato, una vez se hayan entregado y aprobado por el supervisor la totalidad de los resultados objeto del contrato."/>
    <x v="102"/>
    <x v="0"/>
    <x v="102"/>
    <s v=""/>
    <x v="0"/>
  </r>
  <r>
    <x v="222"/>
    <x v="97"/>
    <n v="900450570"/>
    <s v="Contratar a título de arrendamiento un inmueble para uso de parqueadero, por parte del Concejo de Bogotá D.C., de acuerdo con lo establecido en el documento de estudios previos."/>
    <n v="202978686"/>
    <s v=" 140249-0-2014"/>
    <n v="2014"/>
    <s v=" "/>
    <d v="2014-07-30T00:00:00"/>
    <d v="2015-01-30T00:00:00"/>
    <n v="1"/>
    <n v="87669877"/>
    <n v="1"/>
    <s v="2 meses y 15 días"/>
    <d v="2015-04-14T00:00:00"/>
    <d v="2015-04-14T00:00:00"/>
    <n v="290648563"/>
    <n v="290648563"/>
    <n v="0"/>
    <s v="El pago se efectuará por mensualidades anticipadas así: a) El primer pago se cancelará en proporción a los días ejecutados en el mes en que se inicie la ejecución del contrato. b) cinco (5) mensualidades anticipadas de TREINTA Y TRES MILLONES OCHOCIENTOS VEINTINUEVE MIL SETECIENTOS OCHENTA Y UN PESOS MONEDA CORRIENTE $33.829.781, incluido IVA, por concepto de canon de arrendamiento c) En el último pago se cancelará el saldo del presente contrato. "/>
    <x v="3"/>
    <x v="0"/>
    <x v="3"/>
    <s v=""/>
    <x v="1"/>
  </r>
  <r>
    <x v="223"/>
    <x v="165"/>
    <n v="800188299"/>
    <s v="Contratar la actuallización, mantenimiento y soporte de licencias de software antivirus para la plataforma del Concejo de Bogotá D.C."/>
    <n v="16592327"/>
    <s v=" SDH-SMINC-39-2014"/>
    <n v="2014"/>
    <s v=" "/>
    <d v="2014-10-24T00:00:00"/>
    <d v="2015-10-24T00:00:00"/>
    <n v="0"/>
    <n v="0"/>
    <n v="0"/>
    <s v=""/>
    <s v=""/>
    <d v="2015-10-24T00:00:00"/>
    <n v="16592327"/>
    <n v="14933095"/>
    <n v="1659232"/>
    <s v="Se efectuarán los siguientes pagos, tanto para la Secretaría Distrital de Hacienda como para el Concejo de Bogotá._x000a__x000a_a) Un pago inicial correspondiente al 70% del valor del contrato, contra entrega del documento para la actualización de las licencias y funcionamiento del software antivirus de forma satisfactoria._x000a__x000a_b) Un Segundo pago del 15% al tercer mes de ejecución del contrato, correspondiente al servicio de soporte y mantenimiento de las licencias software antivirus._x000a__x000a_c) Ultimo pago del 15% al sexto mes de ejecución del contrato, correspondiente al servicio de soporte y mantenimiento de las licencias software antivirus."/>
    <x v="103"/>
    <x v="0"/>
    <x v="103"/>
    <s v=""/>
    <x v="0"/>
  </r>
  <r>
    <x v="224"/>
    <x v="28"/>
    <n v="860509265"/>
    <s v="Suscripción a LA REVISTA SEMANA, para el Concejo de Bogotá."/>
    <n v="807000"/>
    <s v=" "/>
    <n v="2014"/>
    <s v=" "/>
    <d v="2014-09-30T00:00:00"/>
    <d v="2015-09-30T00:00:00"/>
    <n v="0"/>
    <n v="0"/>
    <n v="0"/>
    <s v=""/>
    <s v=""/>
    <d v="2015-09-30T00:00:00"/>
    <n v="807000"/>
    <n v="807000"/>
    <n v="0"/>
    <s v="Un pago único contra la presentación de la factura, acompañada de la constancia de suscripción A LA REVISTA SEMANA y certificación de cumplimiento a satisfacción de la suscripción expedida por el supervisor. "/>
    <x v="3"/>
    <x v="0"/>
    <x v="3"/>
    <s v=""/>
    <x v="1"/>
  </r>
  <r>
    <x v="225"/>
    <x v="26"/>
    <n v="860007590"/>
    <s v="Suscripción al Diario El Espectador, para el Concejo de Bogotá, D.C."/>
    <n v="936000"/>
    <s v=" "/>
    <n v="2014"/>
    <s v=" "/>
    <d v="2014-09-11T00:00:00"/>
    <d v="2015-09-11T00:00:00"/>
    <n v="0"/>
    <n v="0"/>
    <n v="0"/>
    <s v=""/>
    <s v=""/>
    <d v="2015-09-11T00:00:00"/>
    <n v="936000"/>
    <n v="936000"/>
    <n v="0"/>
    <s v="Un pago único contra la presentación de la factura, acompañada de la constancia de suscripción al diario EL ESPECTADOR y certificación de cumplimiento a satisfacción de la suscripción expedida por el supervisor.  _x000a__x000a_Los pagos se efectuarán dentro de los ocho (8) días hábiles siguientes a la radicación en la Subdirección Financiera de la certificación de cumplimiento a satisfacción del objeto y obligaciones, expedida por el supervisor del contrato, acompañada de los respectivos recibos de pago por concepto de aportes al Sistema de Seguridad Social Integral en Salud y Pensión, aportes parafiscales: Sena, ICBF y Cajas de Compensación Familiar, cuando corresponda._x000a__x000a_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_x000a__x000a_Si las factura(s), cuando haya lugar, no han sido correctamente elaboradas o no se acompañen de los documentos requeridos para el pago, el término para éste solamente empezará a contarse desde la fecha en que se presenten en debida forma o se haya aportado el último de los documentos. Las demoras que se presenten por estos conceptos serán responsabilidad del CONTRATISTA y no tendrá por ello derecho al pago de intereses o compensación de ninguna naturaleza._x000a_"/>
    <x v="3"/>
    <x v="0"/>
    <x v="3"/>
    <s v=""/>
    <x v="1"/>
  </r>
  <r>
    <x v="226"/>
    <x v="27"/>
    <n v="860536029"/>
    <s v="Suscripción al Diario el Nuevo Siglo, para el Concejo de Bogotá,  D.C."/>
    <n v="855000"/>
    <s v="140279-0-2014"/>
    <n v="2014"/>
    <s v=" "/>
    <d v="2014-09-14T00:00:00"/>
    <d v="2015-09-14T00:00:00"/>
    <n v="0"/>
    <n v="0"/>
    <n v="0"/>
    <s v=""/>
    <s v=""/>
    <d v="2015-09-14T00:00:00"/>
    <n v="855000"/>
    <n v="855000"/>
    <n v="0"/>
    <s v="Un único pago contra la presentación de la factura, acompañada de la constancia de suscripción objeto de la contratación,  previa  certificación expedida por el supervisor del contrato._x000a__x000a_Los pagos se efectuarán dentro de los ocho (8) días hábiles  siguientes a la radicación en la Subdirección Financiera de la certificación de cumplimiento a satisfacción del objeto y obligaciones, expedida por el interventor del contrato, acompañada de los respectivos recibos de pago por concepto de aportes al Sistema de Seguridad Social Integral en Salud y Pensión, aportes parafiscales: Sena, ICBF y Cajas de Compensación Familiar, cuando corresponda._x000a__x000a_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_x000a_"/>
    <x v="3"/>
    <x v="0"/>
    <x v="3"/>
    <s v=""/>
    <x v="1"/>
  </r>
  <r>
    <x v="227"/>
    <x v="166"/>
    <n v="830144875"/>
    <s v="Adquirir a título de compraventa elementos de protección para los servidores públicos del Concejo de Bogotá, D.C., de conformidad con lo establecido en la presente invitación pública."/>
    <n v="19356282"/>
    <s v=" "/>
    <n v="2014"/>
    <s v=" "/>
    <d v="2014-09-05T00:00:00"/>
    <d v="2015-01-05T00:00:00"/>
    <n v="0"/>
    <n v="0"/>
    <n v="0"/>
    <s v=""/>
    <s v=""/>
    <d v="2015-01-05T00:00:00"/>
    <n v="19356282"/>
    <n v="19356282"/>
    <n v="0"/>
    <s v="La Secretaría Distrital de Hacienda efectuará un único pago que se efectuará a la entrega de los bienes objeto de contratación, previa  radicación de la factura en la Subdirección Financiera y certificación de recibo  a satisfacción expedida por el supervisor y constancia de ingreso al Almacén.   _x000a__x000a_|Los pagos se efectuarán dentro de los ocho (8)  días hábiles  siguientes a la radicación en la Subdirección Financiera de la certificación de cumplimiento a satisfacción del objeto y obligaciones, expedida por el supervisor o interventor del contrato, acompañada de los respectivos recibos de pago por concepto de aportes al Sistema de Seguridad Social Integral en Salud y Pensión, aportes parafiscales: Sena, ICBF y Cajas de Compensación Familiar, cuando corresponda._x000a__x000a_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_x000a_"/>
    <x v="3"/>
    <x v="0"/>
    <x v="3"/>
    <s v=""/>
    <x v="1"/>
  </r>
  <r>
    <x v="228"/>
    <x v="58"/>
    <n v="900169179"/>
    <s v="Suscripción al diario el Periódico, con destino al Concejo de Bogotá."/>
    <n v="810000"/>
    <s v=" 140282-0-2014"/>
    <n v="2014"/>
    <s v=" "/>
    <d v="2014-10-28T00:00:00"/>
    <d v="2015-10-28T00:00:00"/>
    <n v="0"/>
    <n v="0"/>
    <n v="0"/>
    <s v=""/>
    <s v=""/>
    <d v="2015-10-28T00:00:00"/>
    <n v="810000"/>
    <n v="810000"/>
    <n v="0"/>
    <m/>
    <x v="3"/>
    <x v="0"/>
    <x v="3"/>
    <s v=""/>
    <x v="1"/>
  </r>
  <r>
    <x v="229"/>
    <x v="56"/>
    <n v="860049921"/>
    <s v="Realizar las auditorias de seguimiento a los sistemas de gestión de calidad bajo las normas ISO 9001:2008 y NTC-GP 100:2009 al Concejo de Bogotá."/>
    <n v="4621440"/>
    <s v=" "/>
    <n v="2014"/>
    <s v=" "/>
    <d v="2014-10-22T00:00:00"/>
    <d v="2015-03-22T00:00:00"/>
    <n v="0"/>
    <n v="0"/>
    <n v="0"/>
    <s v=""/>
    <s v=""/>
    <d v="2015-03-22T00:00:00"/>
    <n v="4621440"/>
    <n v="4621440"/>
    <n v="0"/>
    <m/>
    <x v="3"/>
    <x v="0"/>
    <x v="3"/>
    <s v=""/>
    <x v="1"/>
  </r>
  <r>
    <x v="230"/>
    <x v="167"/>
    <n v="800180176"/>
    <s v="Prestar el servicio de exámenes médicos ocupacionales y complementarios y aplicaciones de vacunas para los funcionarios del Concejo de Bogotá, D.C., de conformidad con el pliego de condiciones del proceso de selección abreviada de menor cuantía SDH-SAMC-004-2014"/>
    <n v="41850000"/>
    <s v=" "/>
    <n v="2014"/>
    <s v=" "/>
    <d v="2014-10-14T00:00:00"/>
    <d v="2015-05-14T00:00:00"/>
    <n v="0"/>
    <n v="0"/>
    <n v="0"/>
    <s v=""/>
    <s v=""/>
    <d v="2015-05-14T00:00:00"/>
    <n v="41850000"/>
    <n v="26363000"/>
    <n v="15487000"/>
    <s v="Se efectuarán los pagos por mensualidades vencidas de acuerdo con los servicios realizados dentro del mes, previa presentación de las facturas respectivas las cuales deben cumplir con los lineamientos establecidos en los artículos 1 y 3 de la ley 131 de 2208, y aprobación de las mismas por parte del supervisor del contrato, acompañadas de las correspondientes certificaciones de cumplimiento a satisfacción expedidas por el mismo._x000a_EJEMPLOS_x000a__x000a_Pago Anticipado del   ____% (NO aplica a Prestación de servicios)_x000a_Anticipo del          ____% (NO aplica a Prestación de servicios)_x000a_Pagos parciales del   ____% contra entregas parciales_x000a_                ____% contra entrega final a satisfacción y firma del acta de liquidación._x000a__x000a_En todo caso,  un anticipo o el pago anticipado no podrá ser superior al 50% del valor del contrato._x000a__x000a_Los pagos se efectuarán dentro de los diez (10) días hábiles  siguientes a la radicación en la Subdirección Financiera de la certificación de cumplimiento a satisfacción del objeto y obligaciones, expedida por el interventor del contrato, acompañada de los respectivos recibos de pago por concepto de aportes al Sistema de Seguridad Social Integral en Salud y Pensión, aportes parafiscales: Sena, ICBF y Cajas de Compensación Familiar, cuando corresponda._x000a__x000a_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
    <x v="104"/>
    <x v="0"/>
    <x v="104"/>
    <s v=""/>
    <x v="0"/>
  </r>
  <r>
    <x v="231"/>
    <x v="168"/>
    <n v="52857895"/>
    <s v="Prestar Servicios Profesionales para realizar acompañamiento y seguimiento a los procesos de adquisición de bienes y servicios y seguimiento a la ejecución de contratos para el Concejo de Bogotá, D.C."/>
    <n v="25000000"/>
    <s v=" "/>
    <n v="2014"/>
    <s v=" "/>
    <d v="2014-09-09T00:00:00"/>
    <d v="2015-01-09T00:00:00"/>
    <n v="0"/>
    <n v="0"/>
    <n v="0"/>
    <s v=""/>
    <s v=""/>
    <d v="2015-01-09T00:00:00"/>
    <n v="25000000"/>
    <n v="25000000"/>
    <n v="0"/>
    <s v="a) El primer pago vencido se cancelará en proporción a los días ejecutados en el mes en que se inicie la ejecución del contrato._x000a_b) Tres (3) mensualidades vencidas de SEIS MILLONES DOSCIENTOS CINCUENTA MIL ($6.250.000) Pesos, previa presentación del informe de actividades, del respectivo periodo, aprobado por el supervisor._x000a_c) En el último pago se cancelara el saldo del presente contrato previa presentación del informe final aprobado por el Supervisor. _x000a_"/>
    <x v="3"/>
    <x v="0"/>
    <x v="3"/>
    <s v=""/>
    <x v="1"/>
  </r>
  <r>
    <x v="232"/>
    <x v="169"/>
    <n v="1026250449"/>
    <s v="Prestar Servicios Profesionales para elaborar las especificaciones y condiciones técnicas de los procesos para la adquisición de bienes y servicios y apoyar la función de supervisión de los contratos del Concejo de Bogotá, D.C."/>
    <n v="25000000"/>
    <s v=" "/>
    <n v="2014"/>
    <s v=" "/>
    <d v="2014-09-11T00:00:00"/>
    <d v="2015-02-11T00:00:00"/>
    <n v="0"/>
    <n v="0"/>
    <n v="0"/>
    <s v=""/>
    <s v=""/>
    <d v="2015-02-11T00:00:00"/>
    <n v="25000000"/>
    <n v="25000000"/>
    <n v="0"/>
    <s v="a) El primer pago vencido se cancelará en proporción a los días ejecutados en el mes en que se inicie la ejecución del contrato._x000a_b) Cuatro (4) mensualidades vencidas de CINCO MILLONES DE PESOS ($5.000.000), previa presentación del informe de actividades, del respectivo período, aprobado por el supervisor._x000a_c) En el último pago se cancelará el saldo del presente contrato previa presentación del informe final aprobado por el Supervisor_x000a__x000a_Los pagos se efectuarán dentro de los ocho (8) días hábiles siguientes a la radicación en la subdirección Financiera de la certificación de cumplimiento a satisfacción del objeto y obligaciones, expedida por el supervisor del contrato, acompañada de los respectivos recibos de pago por concepto de aportes al sistema de seguridad social integrales en salud, pensión y ARL, aportes parafiscales: Sena, ICBF y Cajas de Compensación Familiar, cuando corresponda._x000a__x000a_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_x000a_"/>
    <x v="3"/>
    <x v="0"/>
    <x v="3"/>
    <s v=""/>
    <x v="1"/>
  </r>
  <r>
    <x v="233"/>
    <x v="110"/>
    <n v="800039398"/>
    <s v="Contratar la Adqusión de UPS para el Concejo de Bogotá D.C., de conformidad con lo establecido en el pliego de condiciones del proceso SDH-SIE-10-2014 y la propuesta presentada por el contratista."/>
    <n v="311460000"/>
    <s v=" SDH-SIE-10-2014"/>
    <n v="2014"/>
    <s v=" "/>
    <d v="2014-09-25T00:00:00"/>
    <d v="2014-12-23T00:00:00"/>
    <n v="0"/>
    <n v="0"/>
    <n v="0"/>
    <s v=""/>
    <s v=""/>
    <d v="2014-12-23T00:00:00"/>
    <n v="311460000"/>
    <n v="311460000"/>
    <n v="0"/>
    <s v="se efectuaran los pagos así:_x000a_- un primer pago el 30% del valor del contrato._x000a_- un segundo pago por el 70% del valor del contrato"/>
    <x v="3"/>
    <x v="0"/>
    <x v="3"/>
    <s v=""/>
    <x v="1"/>
  </r>
  <r>
    <x v="234"/>
    <x v="170"/>
    <n v="1073156298"/>
    <s v="Prestar servicios profesionales para sistematizar y consolidar la información de los trámites contractuales a cargo de la Dirección Financiera de los procesos administrativos y financieros del Concejo de Bogotá, D.C."/>
    <n v="17500000"/>
    <s v=" "/>
    <n v="2014"/>
    <s v=" "/>
    <d v="2014-09-18T00:00:00"/>
    <d v="2015-02-18T00:00:00"/>
    <n v="0"/>
    <n v="0"/>
    <n v="0"/>
    <s v=""/>
    <s v=""/>
    <d v="2015-02-18T00:00:00"/>
    <n v="17500000"/>
    <n v="17500000"/>
    <n v="0"/>
    <s v="El pago de los honorarios se efectuará así: a) El primer pago vencido se cancelará en proporción a los días ejecutados en el mes en que se inicie la ejecución del contrato. b) cuatro (4) mensualidades vencidas de ($3.500.000) pesos M/CTE, previa presentación del informe de actividades, del respectivo período, aprobado por el supervisor o interventor. c) En el último pago se cancelará el saldo del presente contrato previa presentación del informe final aprobado por el supervisor o interventor del contrato, según corresponda"/>
    <x v="3"/>
    <x v="0"/>
    <x v="3"/>
    <s v=""/>
    <x v="1"/>
  </r>
  <r>
    <x v="235"/>
    <x v="171"/>
    <n v="830024826"/>
    <s v="Adquisición de computadores de escritorio y portátiles, para el Concejo de Bogotá"/>
    <n v="14153603"/>
    <s v=" SDH-SIE-08-2014"/>
    <n v="2014"/>
    <s v=" "/>
    <d v="2014-10-17T00:00:00"/>
    <d v="2015-01-17T00:00:00"/>
    <n v="0"/>
    <n v="0"/>
    <n v="0"/>
    <s v=""/>
    <s v=""/>
    <d v="2015-01-17T00:00:00"/>
    <n v="14153603"/>
    <n v="14153603"/>
    <n v="0"/>
    <s v="Se realizará un pago único, cuyo valor corresponderá al valor unitario establecido en la propuesta final, por el número de equipos entregados por el contratista a la Secretaría Distrital de Hacienda y al Concejo de Bogotá, a la entrega e  ingreso al almacén de la Secretaria Distrital de Hacienda y  recibo a satisfacción por parte del supervisor del contrato. "/>
    <x v="3"/>
    <x v="0"/>
    <x v="3"/>
    <s v=""/>
    <x v="1"/>
  </r>
  <r>
    <x v="236"/>
    <x v="172"/>
    <n v="1026269949"/>
    <s v="Prestar servicios profesionales para apoyar la gestión administrativa, documental y contractual en los asuntos de competencia de la Dirección Financiera del Concejo de Bogotá, D.C."/>
    <n v="10000000"/>
    <s v=" "/>
    <n v="2014"/>
    <s v=" "/>
    <d v="2014-09-29T00:00:00"/>
    <d v="2015-01-29T00:00:00"/>
    <n v="0"/>
    <n v="0"/>
    <n v="0"/>
    <s v=""/>
    <s v=""/>
    <d v="2015-01-29T00:00:00"/>
    <n v="10000000"/>
    <n v="10000000"/>
    <n v="0"/>
    <s v="El pago de los honorarios se efectuará así: a) El primer pago vencido se cancelará en proporción a los días ejecutados en el mes en que se inicie la ejecución del contrato. b) tres (3) mensualidades vencidas de ($2.500.000) pesos M/CTE, previa presentación del informe de actividades, del respectivo período, aprobado por el supervisor o interventor. c) En el último pago se cancelará el saldo del presente contrato previa presentación del informe final aprobado por el supervisor o interventor del contrato, según corresponda."/>
    <x v="3"/>
    <x v="0"/>
    <x v="3"/>
    <s v=""/>
    <x v="1"/>
  </r>
  <r>
    <x v="237"/>
    <x v="173"/>
    <n v="900332071"/>
    <s v="Prestar el servicio técnico de actualización del Software de contabilidad SIIGO OFICIAL e instalación en nuevo equipo servidor para el Concejo de Bogotá"/>
    <n v="812500"/>
    <s v=" "/>
    <n v="2014"/>
    <s v=" "/>
    <d v="2014-10-16T00:00:00"/>
    <d v="2014-12-31T00:00:00"/>
    <n v="0"/>
    <n v="0"/>
    <n v="0"/>
    <s v=""/>
    <s v=""/>
    <d v="2014-12-31T00:00:00"/>
    <n v="812500"/>
    <n v="812500"/>
    <n v="0"/>
    <m/>
    <x v="3"/>
    <x v="0"/>
    <x v="3"/>
    <s v=""/>
    <x v="1"/>
  </r>
  <r>
    <x v="238"/>
    <x v="14"/>
    <n v="830112518"/>
    <s v="Prestar el servicio de actualización, mantenimiento y soporte al sitio web e intranet del Concejo de Bogotá."/>
    <n v="44544000"/>
    <s v="  140317-0-2014"/>
    <n v="2014"/>
    <s v=" "/>
    <d v="2014-10-17T00:00:00"/>
    <d v="2015-10-17T00:00:00"/>
    <n v="1"/>
    <n v="22272000"/>
    <n v="1"/>
    <s v="6 meses"/>
    <d v="2016-04-17T00:00:00"/>
    <d v="2016-04-17T00:00:00"/>
    <n v="66816000"/>
    <n v="66816000"/>
    <n v="0"/>
    <s v="a) Un primer pago por valor de $4.176.000 incluido Iva, correspondiente a la entrega de la actualización de las licencias, previo ingreso de las licencias al Almacén e instalación, así como la certificación de recibido a satisfacción por parte del supervisor, conforme a la propuesta económica remitida por el Contratista._x000a_b) Se realizarán doce (12) mensualidades vencidas de Tres Millones Trescientos Sesenta y Cuatro Mil pesos ($3.364.000.oo) cada una incluido Iva, correspondientes al mantenimiento y soporte mensual.  _x000a_"/>
    <x v="3"/>
    <x v="0"/>
    <x v="3"/>
    <s v=""/>
    <x v="1"/>
  </r>
  <r>
    <x v="239"/>
    <x v="91"/>
    <n v="830005370"/>
    <s v="Realizar la preproducción, producción, postproducción y emisión de programas de televisión para el Concejo de Bogotá"/>
    <n v="818527824"/>
    <s v=" 140319-0-2014"/>
    <n v="2014"/>
    <s v=" "/>
    <d v="2014-10-09T00:00:00"/>
    <d v="2015-04-08T00:00:00"/>
    <n v="0"/>
    <n v="0"/>
    <n v="1"/>
    <s v="13 días"/>
    <d v="2015-04-22T00:00:00"/>
    <d v="2015-04-22T00:00:00"/>
    <n v="818527824"/>
    <n v="800790708"/>
    <n v="17737116"/>
    <m/>
    <x v="105"/>
    <x v="0"/>
    <x v="105"/>
    <s v=""/>
    <x v="0"/>
  </r>
  <r>
    <x v="240"/>
    <x v="174"/>
    <n v="830001338"/>
    <s v="Adquisión de equipos y licencias para la actualización de la plataforma tecnológica del Concejo de Bogotá, de conformidad con lo establecido en el pliego de condiciones SDH-SIE-12-2014 y la propuesta presentada por el contratista."/>
    <n v="75520000"/>
    <s v=" "/>
    <n v="2014"/>
    <s v=" "/>
    <d v="2014-10-17T00:00:00"/>
    <d v="2015-10-17T00:00:00"/>
    <n v="0"/>
    <n v="0"/>
    <n v="0"/>
    <s v="2 meses"/>
    <d v="2015-12-31T00:00:00"/>
    <d v="2015-12-31T00:00:00"/>
    <n v="75520000"/>
    <n v="75519999"/>
    <n v="1"/>
    <m/>
    <x v="106"/>
    <x v="0"/>
    <x v="106"/>
    <s v=""/>
    <x v="1"/>
  </r>
  <r>
    <x v="241"/>
    <x v="118"/>
    <n v="830080652"/>
    <s v="Adquisición e instalación de cortinas enrollables tipo Blackout, para el Concejo de Bogotá, D.C., de conformidad con lo establecido en la presente invitación pública SDH-SMINC-55-2014 y la propuesta por ustedes presentadas."/>
    <n v="324800"/>
    <s v=" "/>
    <n v="2014"/>
    <s v=" "/>
    <d v="2014-10-27T00:00:00"/>
    <d v="2014-11-27T00:00:00"/>
    <n v="0"/>
    <n v="0"/>
    <n v="0"/>
    <s v=""/>
    <s v=""/>
    <d v="2014-11-27T00:00:00"/>
    <n v="324800"/>
    <n v="324800"/>
    <n v="0"/>
    <s v="Único pago"/>
    <x v="3"/>
    <x v="0"/>
    <x v="3"/>
    <s v=""/>
    <x v="1"/>
  </r>
</pivotCacheRecords>
</file>

<file path=xl/pivotCache/pivotCacheRecords4.xml><?xml version="1.0" encoding="utf-8"?>
<pivotCacheRecords xmlns="http://schemas.openxmlformats.org/spreadsheetml/2006/main" xmlns:r="http://schemas.openxmlformats.org/officeDocument/2006/relationships" count="12">
  <r>
    <x v="0"/>
    <n v="161"/>
  </r>
  <r>
    <x v="1"/>
    <n v="176"/>
  </r>
  <r>
    <x v="2"/>
    <n v="183"/>
  </r>
  <r>
    <x v="3"/>
    <n v="192"/>
  </r>
  <r>
    <x v="4"/>
    <n v="194"/>
  </r>
  <r>
    <x v="5"/>
    <n v="202"/>
  </r>
  <r>
    <x v="6"/>
    <n v="213"/>
  </r>
  <r>
    <x v="7"/>
    <n v="216"/>
  </r>
  <r>
    <x v="8"/>
    <n v="225"/>
  </r>
  <r>
    <x v="9"/>
    <n v="235"/>
  </r>
  <r>
    <x v="10"/>
    <n v="244"/>
  </r>
  <r>
    <x v="11"/>
    <n v="250"/>
  </r>
</pivotCacheRecords>
</file>

<file path=xl/pivotCache/pivotCacheRecords5.xml><?xml version="1.0" encoding="utf-8"?>
<pivotCacheRecords xmlns="http://schemas.openxmlformats.org/spreadsheetml/2006/main" xmlns:r="http://schemas.openxmlformats.org/officeDocument/2006/relationships" count="12">
  <r>
    <x v="0"/>
    <n v="13"/>
  </r>
  <r>
    <x v="1"/>
    <n v="15"/>
  </r>
  <r>
    <x v="2"/>
    <n v="15"/>
  </r>
  <r>
    <x v="3"/>
    <n v="16"/>
  </r>
  <r>
    <x v="4"/>
    <n v="17"/>
  </r>
  <r>
    <x v="5"/>
    <n v="22"/>
  </r>
  <r>
    <x v="6"/>
    <n v="27"/>
  </r>
  <r>
    <x v="7"/>
    <n v="33"/>
  </r>
  <r>
    <x v="8"/>
    <n v="45"/>
  </r>
  <r>
    <x v="9"/>
    <n v="56"/>
  </r>
  <r>
    <x v="10"/>
    <n v="63"/>
  </r>
  <r>
    <x v="11"/>
    <n v="68"/>
  </r>
</pivotCacheRecords>
</file>

<file path=xl/pivotCache/pivotCacheRecords6.xml><?xml version="1.0" encoding="utf-8"?>
<pivotCacheRecords xmlns="http://schemas.openxmlformats.org/spreadsheetml/2006/main" xmlns:r="http://schemas.openxmlformats.org/officeDocument/2006/relationships" count="12">
  <r>
    <x v="0"/>
    <n v="74"/>
  </r>
  <r>
    <x v="1"/>
    <n v="79"/>
  </r>
  <r>
    <x v="2"/>
    <n v="82"/>
  </r>
  <r>
    <x v="3"/>
    <n v="85"/>
  </r>
  <r>
    <x v="4"/>
    <n v="100"/>
  </r>
  <r>
    <x v="5"/>
    <n v="105"/>
  </r>
  <r>
    <x v="6"/>
    <n v="117"/>
  </r>
  <r>
    <x v="7"/>
    <n v="121"/>
  </r>
  <r>
    <x v="8"/>
    <n v="126"/>
  </r>
  <r>
    <x v="9"/>
    <n v="138"/>
  </r>
  <r>
    <x v="10"/>
    <n v="141"/>
  </r>
  <r>
    <x v="11"/>
    <n v="152"/>
  </r>
</pivotCacheRecords>
</file>

<file path=xl/pivotCache/pivotCacheRecords7.xml><?xml version="1.0" encoding="utf-8"?>
<pivotCacheRecords xmlns="http://schemas.openxmlformats.org/spreadsheetml/2006/main" xmlns:r="http://schemas.openxmlformats.org/officeDocument/2006/relationships" count="246">
  <r>
    <x v="0"/>
    <x v="0"/>
    <m/>
    <x v="0"/>
    <n v="7329236109"/>
    <s v=" "/>
    <n v="2008"/>
    <s v=" "/>
    <d v="2008-10-03T00:00:00"/>
    <d v="2014-02-03T00:00:00"/>
    <n v="0"/>
    <n v="0"/>
    <n v="0"/>
    <s v=""/>
    <s v=""/>
    <d v="2014-02-03T00:00:00"/>
    <n v="7329236109"/>
    <n v="6218260556"/>
    <n v="1110975553"/>
    <m/>
    <n v="0.84841864329684125"/>
    <x v="0"/>
    <n v="0.15158135670315875"/>
    <s v=""/>
    <x v="0"/>
  </r>
  <r>
    <x v="1"/>
    <x v="1"/>
    <n v="800015583"/>
    <x v="1"/>
    <n v="2026575001"/>
    <s v=" "/>
    <n v="2008"/>
    <d v="2008-12-26T00:00:00"/>
    <d v="2009-04-01T00:00:00"/>
    <d v="2013-07-31T00:00:00"/>
    <n v="1"/>
    <n v="1073825676"/>
    <n v="0"/>
    <s v=""/>
    <s v=""/>
    <d v="2013-07-31T00:00:00"/>
    <n v="3100400677"/>
    <n v="3066561119"/>
    <n v="33839558"/>
    <m/>
    <n v="0.98908542426434254"/>
    <x v="0"/>
    <n v="1.0914575735657461E-2"/>
    <s v=""/>
    <x v="0"/>
  </r>
  <r>
    <x v="2"/>
    <x v="2"/>
    <m/>
    <x v="2"/>
    <n v="2909992591"/>
    <s v=" "/>
    <n v="2008"/>
    <s v=" "/>
    <d v="2009-02-20T00:00:00"/>
    <d v="2013-07-21T00:00:00"/>
    <n v="0"/>
    <n v="0"/>
    <n v="0"/>
    <s v=""/>
    <s v=""/>
    <d v="2013-07-21T00:00:00"/>
    <n v="2909992591"/>
    <n v="13400894"/>
    <n v="2896591697"/>
    <m/>
    <n v="4.6051299379407939E-3"/>
    <x v="0"/>
    <n v="0.99539487006205918"/>
    <s v=""/>
    <x v="0"/>
  </r>
  <r>
    <x v="3"/>
    <x v="3"/>
    <m/>
    <x v="3"/>
    <n v="234495075"/>
    <s v=" "/>
    <n v="2009"/>
    <s v=" "/>
    <d v="2010-01-19T00:00:00"/>
    <d v="2013-02-18T00:00:00"/>
    <n v="0"/>
    <n v="0"/>
    <n v="0"/>
    <s v=""/>
    <s v=""/>
    <d v="2013-02-18T00:00:00"/>
    <n v="234495075"/>
    <n v="234495075"/>
    <n v="0"/>
    <m/>
    <n v="1"/>
    <x v="0"/>
    <n v="0"/>
    <s v=""/>
    <x v="1"/>
  </r>
  <r>
    <x v="4"/>
    <x v="1"/>
    <n v="800015583"/>
    <x v="4"/>
    <n v="507000000"/>
    <s v=" "/>
    <n v="2009"/>
    <s v=" "/>
    <d v="2009-12-03T00:00:00"/>
    <d v="2013-03-03T00:00:00"/>
    <n v="0"/>
    <n v="0"/>
    <n v="0"/>
    <s v=""/>
    <s v=""/>
    <d v="2013-03-03T00:00:00"/>
    <n v="507000000"/>
    <n v="471070424"/>
    <n v="35929576"/>
    <m/>
    <n v="0.92913298619329387"/>
    <x v="0"/>
    <n v="7.0867013806706125E-2"/>
    <s v=""/>
    <x v="0"/>
  </r>
  <r>
    <x v="5"/>
    <x v="4"/>
    <n v="900231022"/>
    <x v="5"/>
    <n v="12835200"/>
    <s v=" SDH-SMINC-042-2011"/>
    <n v="2011"/>
    <s v=" "/>
    <d v="2012-02-27T00:00:00"/>
    <d v="2013-02-27T00:00:00"/>
    <n v="0"/>
    <n v="0"/>
    <n v="0"/>
    <s v=""/>
    <s v=""/>
    <d v="2013-02-27T00:00:00"/>
    <n v="12835200"/>
    <n v="1092200"/>
    <n v="11743000"/>
    <m/>
    <n v="8.5094116180503609E-2"/>
    <x v="0"/>
    <n v="0.91490588381949634"/>
    <s v=""/>
    <x v="0"/>
  </r>
  <r>
    <x v="6"/>
    <x v="5"/>
    <n v="800109177"/>
    <x v="6"/>
    <n v="1750000"/>
    <s v=" "/>
    <n v="2011"/>
    <s v=" "/>
    <d v="2011-10-06T00:00:00"/>
    <d v="2012-10-06T00:00:00"/>
    <n v="1"/>
    <n v="875000"/>
    <n v="1"/>
    <s v="6 meses"/>
    <d v="2013-04-06T00:00:00"/>
    <d v="2013-04-06T00:00:00"/>
    <n v="2625000"/>
    <n v="0"/>
    <n v="2625000"/>
    <m/>
    <n v="0"/>
    <x v="0"/>
    <n v="1"/>
    <s v=""/>
    <x v="0"/>
  </r>
  <r>
    <x v="7"/>
    <x v="6"/>
    <n v="830050919"/>
    <x v="7"/>
    <n v="497000000"/>
    <s v=" "/>
    <n v="2011"/>
    <s v=" "/>
    <d v="2011-07-22T00:00:00"/>
    <d v="2012-07-22T00:00:00"/>
    <n v="0"/>
    <n v="0"/>
    <n v="0"/>
    <s v=""/>
    <s v=""/>
    <d v="2012-07-22T00:00:00"/>
    <n v="497000000"/>
    <n v="495932967"/>
    <n v="1067033"/>
    <m/>
    <n v="0.99785305231388333"/>
    <x v="0"/>
    <n v="2.1469476861166736E-3"/>
    <s v=""/>
    <x v="0"/>
  </r>
  <r>
    <x v="8"/>
    <x v="7"/>
    <n v="830040274"/>
    <x v="8"/>
    <n v="9425000"/>
    <s v=" "/>
    <n v="2011"/>
    <s v=" "/>
    <d v="2011-11-23T00:00:00"/>
    <d v="2012-11-23T00:00:00"/>
    <n v="0"/>
    <n v="0"/>
    <n v="1"/>
    <s v="4 meses"/>
    <d v="2013-03-23T00:00:00"/>
    <d v="2013-03-23T00:00:00"/>
    <n v="9425000"/>
    <n v="9425000"/>
    <n v="0"/>
    <m/>
    <n v="1"/>
    <x v="0"/>
    <n v="0"/>
    <s v=""/>
    <x v="1"/>
  </r>
  <r>
    <x v="9"/>
    <x v="8"/>
    <n v="900340597"/>
    <x v="9"/>
    <n v="15000000"/>
    <s v=" "/>
    <n v="2011"/>
    <s v=" "/>
    <d v="2011-11-16T00:00:00"/>
    <d v="2013-03-31T00:00:00"/>
    <n v="1"/>
    <n v="7930000"/>
    <n v="0"/>
    <s v=""/>
    <s v=""/>
    <d v="2013-03-31T00:00:00"/>
    <n v="22930000"/>
    <n v="18432731"/>
    <n v="4497269"/>
    <m/>
    <n v="0.80386964675098127"/>
    <x v="0"/>
    <n v="0.19613035324901873"/>
    <s v=""/>
    <x v="0"/>
  </r>
  <r>
    <x v="10"/>
    <x v="9"/>
    <n v="860403052"/>
    <x v="10"/>
    <n v="15063760"/>
    <s v=" "/>
    <n v="2011"/>
    <s v=" "/>
    <d v="2011-11-15T00:00:00"/>
    <d v="2012-11-29T00:00:00"/>
    <n v="1"/>
    <n v="4981040"/>
    <n v="1"/>
    <s v=""/>
    <d v="2013-03-29T00:00:00"/>
    <d v="2013-03-29T00:00:00"/>
    <n v="20044800"/>
    <n v="20044800"/>
    <n v="0"/>
    <m/>
    <n v="1"/>
    <x v="0"/>
    <n v="0"/>
    <s v=""/>
    <x v="1"/>
  </r>
  <r>
    <x v="11"/>
    <x v="10"/>
    <n v="800045609"/>
    <x v="11"/>
    <n v="8506800"/>
    <s v=" SDH-SMINC-027-2011"/>
    <n v="2011"/>
    <s v=" "/>
    <d v="2011-11-18T00:00:00"/>
    <d v="2012-11-18T00:00:00"/>
    <n v="1"/>
    <n v="1470000"/>
    <n v="1"/>
    <s v=""/>
    <d v="2013-02-18T00:00:00"/>
    <d v="2013-02-18T00:00:00"/>
    <n v="9976800"/>
    <n v="9976596"/>
    <n v="204"/>
    <m/>
    <n v="0.99997955256194371"/>
    <x v="0"/>
    <n v="2.0447438056292455E-5"/>
    <s v=""/>
    <x v="1"/>
  </r>
  <r>
    <x v="12"/>
    <x v="11"/>
    <n v="830073623"/>
    <x v="12"/>
    <n v="1306508"/>
    <s v=" "/>
    <n v="2011"/>
    <s v=" "/>
    <d v="2011-12-14T00:00:00"/>
    <d v="2012-01-14T00:00:00"/>
    <n v="0"/>
    <n v="0"/>
    <n v="0"/>
    <s v=""/>
    <s v=""/>
    <d v="2012-01-14T00:00:00"/>
    <n v="1306508"/>
    <n v="1306508"/>
    <n v="0"/>
    <m/>
    <n v="1"/>
    <x v="0"/>
    <n v="0"/>
    <s v=""/>
    <x v="1"/>
  </r>
  <r>
    <x v="13"/>
    <x v="12"/>
    <n v="860053274"/>
    <x v="13"/>
    <n v="102786079"/>
    <s v=" "/>
    <n v="2011"/>
    <s v=" "/>
    <d v="2011-12-20T00:00:00"/>
    <d v="2012-07-20T00:00:00"/>
    <n v="0"/>
    <n v="0"/>
    <n v="1"/>
    <s v="4 meses y 10 días"/>
    <d v="2012-11-30T00:00:00"/>
    <d v="2012-11-30T00:00:00"/>
    <n v="102786079"/>
    <n v="84046373"/>
    <n v="18739706"/>
    <m/>
    <n v="0.81768245094746728"/>
    <x v="0"/>
    <n v="0.18231754905253272"/>
    <s v=""/>
    <x v="0"/>
  </r>
  <r>
    <x v="14"/>
    <x v="13"/>
    <n v="860518574"/>
    <x v="14"/>
    <n v="49376272"/>
    <s v=" SDH-SMINC-043-2011"/>
    <n v="2011"/>
    <s v=" "/>
    <d v="2012-02-07T00:00:00"/>
    <d v="2013-02-07T00:00:00"/>
    <n v="0"/>
    <n v="0"/>
    <n v="0"/>
    <s v=""/>
    <s v=""/>
    <d v="2013-02-07T00:00:00"/>
    <n v="49376272"/>
    <n v="49376272"/>
    <n v="0"/>
    <m/>
    <n v="1"/>
    <x v="0"/>
    <n v="0"/>
    <s v=""/>
    <x v="1"/>
  </r>
  <r>
    <x v="15"/>
    <x v="14"/>
    <n v="830112518"/>
    <x v="15"/>
    <n v="79634000"/>
    <s v=" 040000-221-0-2012"/>
    <n v="2012"/>
    <s v=" "/>
    <d v="2012-06-27T00:00:00"/>
    <d v="2013-06-27T00:00:00"/>
    <n v="0"/>
    <n v="0"/>
    <n v="1"/>
    <s v="2 meses"/>
    <d v="2013-08-27T00:00:00"/>
    <d v="2013-08-27T00:00:00"/>
    <n v="79634000"/>
    <n v="79634000"/>
    <n v="0"/>
    <m/>
    <n v="1"/>
    <x v="0"/>
    <n v="0"/>
    <s v=""/>
    <x v="1"/>
  </r>
  <r>
    <x v="16"/>
    <x v="15"/>
    <n v="20546554"/>
    <x v="16"/>
    <n v="4206160"/>
    <s v=" SHD-SMINC-26-2012"/>
    <n v="2012"/>
    <s v=" "/>
    <d v="2012-10-31T00:00:00"/>
    <d v="2012-12-31T00:00:00"/>
    <n v="0"/>
    <n v="0"/>
    <n v="0"/>
    <s v=""/>
    <s v=""/>
    <d v="2012-12-31T00:00:00"/>
    <n v="4206160"/>
    <n v="0"/>
    <n v="4206160"/>
    <m/>
    <n v="0"/>
    <x v="0"/>
    <n v="1"/>
    <s v=""/>
    <x v="0"/>
  </r>
  <r>
    <x v="17"/>
    <x v="16"/>
    <n v="899999115"/>
    <x v="17"/>
    <n v="726335435"/>
    <s v=" "/>
    <n v="2012"/>
    <s v=" "/>
    <d v="2012-10-24T00:00:00"/>
    <d v="2013-12-01T00:00:00"/>
    <n v="0"/>
    <n v="0"/>
    <n v="0"/>
    <s v=""/>
    <s v=""/>
    <d v="2013-12-01T00:00:00"/>
    <n v="726335435"/>
    <n v="577978609"/>
    <n v="148356826"/>
    <m/>
    <n v="0.79574612658130883"/>
    <x v="0"/>
    <n v="0.20425387341869117"/>
    <s v=""/>
    <x v="0"/>
  </r>
  <r>
    <x v="18"/>
    <x v="17"/>
    <n v="860026518"/>
    <x v="18"/>
    <n v="48720000"/>
    <s v=" "/>
    <n v="2012"/>
    <s v=" "/>
    <d v="2012-04-26T00:00:00"/>
    <d v="2013-06-30T00:00:00"/>
    <n v="3"/>
    <n v="22376157"/>
    <n v="2"/>
    <s v="5 meses y 15 días"/>
    <d v="2013-12-15T00:00:00"/>
    <d v="2013-12-15T00:00:00"/>
    <n v="71096157"/>
    <n v="71096157"/>
    <n v="0"/>
    <m/>
    <n v="1"/>
    <x v="0"/>
    <n v="0"/>
    <s v=""/>
    <x v="1"/>
  </r>
  <r>
    <x v="19"/>
    <x v="18"/>
    <n v="860025639"/>
    <x v="19"/>
    <n v="11587500"/>
    <s v=" "/>
    <n v="2012"/>
    <s v=" "/>
    <d v="2012-06-14T00:00:00"/>
    <d v="2013-03-14T00:00:00"/>
    <n v="0"/>
    <n v="0"/>
    <n v="0"/>
    <s v=""/>
    <s v=""/>
    <d v="2013-03-14T00:00:00"/>
    <n v="11587500"/>
    <n v="10316808"/>
    <n v="1270692"/>
    <m/>
    <n v="0.8903394174757282"/>
    <x v="0"/>
    <n v="0.1096605825242718"/>
    <s v=""/>
    <x v="0"/>
  </r>
  <r>
    <x v="20"/>
    <x v="19"/>
    <n v="900281089"/>
    <x v="20"/>
    <n v="4452000"/>
    <s v=" SDH-SMINC-45-2012"/>
    <n v="2012"/>
    <s v=" "/>
    <d v="2012-11-22T00:00:00"/>
    <d v="2013-01-04T00:00:00"/>
    <n v="0"/>
    <n v="0"/>
    <n v="0"/>
    <s v=""/>
    <s v=""/>
    <d v="2013-01-04T00:00:00"/>
    <n v="4452000"/>
    <n v="4452000"/>
    <n v="0"/>
    <m/>
    <n v="1"/>
    <x v="0"/>
    <n v="0"/>
    <s v=""/>
    <x v="1"/>
  </r>
  <r>
    <x v="21"/>
    <x v="20"/>
    <n v="860009759"/>
    <x v="21"/>
    <n v="849000"/>
    <s v=" "/>
    <n v="2012"/>
    <s v=" "/>
    <d v="2012-05-15T00:00:00"/>
    <d v="2013-05-15T00:00:00"/>
    <n v="0"/>
    <n v="0"/>
    <n v="0"/>
    <s v=""/>
    <s v=""/>
    <d v="2013-05-15T00:00:00"/>
    <n v="849000"/>
    <n v="849000"/>
    <n v="0"/>
    <m/>
    <n v="1"/>
    <x v="0"/>
    <n v="0"/>
    <s v=""/>
    <x v="1"/>
  </r>
  <r>
    <x v="22"/>
    <x v="21"/>
    <n v="830107673"/>
    <x v="22"/>
    <n v="7192000"/>
    <s v=" "/>
    <n v="2012"/>
    <s v=" "/>
    <d v="2012-06-29T00:00:00"/>
    <d v="2013-02-28T00:00:00"/>
    <n v="0"/>
    <n v="0"/>
    <n v="0"/>
    <s v=""/>
    <s v=""/>
    <d v="2013-02-28T00:00:00"/>
    <n v="7192000"/>
    <n v="7192000"/>
    <n v="0"/>
    <m/>
    <n v="1"/>
    <x v="0"/>
    <n v="0"/>
    <s v=""/>
    <x v="1"/>
  </r>
  <r>
    <x v="23"/>
    <x v="22"/>
    <n v="900152368"/>
    <x v="23"/>
    <n v="4839200"/>
    <s v=" "/>
    <n v="2012"/>
    <s v=" "/>
    <d v="2012-08-23T00:00:00"/>
    <d v="2013-02-23T00:00:00"/>
    <n v="0"/>
    <n v="0"/>
    <n v="0"/>
    <s v=""/>
    <s v=""/>
    <d v="2013-02-23T00:00:00"/>
    <n v="4839200"/>
    <n v="4839200"/>
    <n v="0"/>
    <m/>
    <n v="1"/>
    <x v="0"/>
    <n v="0"/>
    <s v=""/>
    <x v="1"/>
  </r>
  <r>
    <x v="24"/>
    <x v="23"/>
    <n v="830038886"/>
    <x v="24"/>
    <n v="13527752"/>
    <s v=" "/>
    <n v="2012"/>
    <s v=" "/>
    <d v="2012-08-16T00:00:00"/>
    <d v="2013-03-16T00:00:00"/>
    <n v="0"/>
    <n v="0"/>
    <n v="0"/>
    <s v=""/>
    <s v=""/>
    <d v="2013-03-16T00:00:00"/>
    <n v="13527752"/>
    <n v="0"/>
    <n v="13527752"/>
    <m/>
    <n v="0"/>
    <x v="0"/>
    <n v="1"/>
    <s v=""/>
    <x v="0"/>
  </r>
  <r>
    <x v="25"/>
    <x v="24"/>
    <n v="860011153"/>
    <x v="25"/>
    <n v="85219000"/>
    <s v=" SDH-LP-001-2012"/>
    <n v="2012"/>
    <s v=" "/>
    <d v="2012-08-01T00:00:00"/>
    <d v="2013-09-14T00:00:00"/>
    <n v="1"/>
    <n v="15102355"/>
    <n v="0"/>
    <s v=""/>
    <s v=""/>
    <d v="2013-09-14T00:00:00"/>
    <n v="100321355"/>
    <n v="95321355"/>
    <n v="5000000"/>
    <m/>
    <n v="0.95016016280880577"/>
    <x v="0"/>
    <n v="4.9839837191194225E-2"/>
    <s v=""/>
    <x v="0"/>
  </r>
  <r>
    <x v="26"/>
    <x v="25"/>
    <m/>
    <x v="26"/>
    <n v="81888094"/>
    <s v=" "/>
    <n v="2012"/>
    <s v=" "/>
    <d v="2012-08-01T00:00:00"/>
    <d v="2013-08-30T00:00:00"/>
    <n v="1"/>
    <n v="17234233"/>
    <n v="2"/>
    <s v="107 días calendario"/>
    <d v="2013-12-15T00:00:00"/>
    <d v="2013-12-15T00:00:00"/>
    <n v="99122327"/>
    <n v="93840542"/>
    <n v="5281785"/>
    <m/>
    <n v="0.94671447735483449"/>
    <x v="0"/>
    <n v="5.3285522645165506E-2"/>
    <s v=""/>
    <x v="0"/>
  </r>
  <r>
    <x v="27"/>
    <x v="26"/>
    <n v="860007590"/>
    <x v="27"/>
    <n v="900000"/>
    <s v=" "/>
    <n v="2012"/>
    <s v=" "/>
    <d v="2012-09-10T00:00:00"/>
    <d v="2013-09-10T00:00:00"/>
    <n v="0"/>
    <n v="0"/>
    <n v="0"/>
    <s v=""/>
    <s v=""/>
    <d v="2013-09-10T00:00:00"/>
    <n v="900000"/>
    <n v="900000"/>
    <n v="0"/>
    <m/>
    <n v="1"/>
    <x v="0"/>
    <n v="0"/>
    <s v=""/>
    <x v="1"/>
  </r>
  <r>
    <x v="28"/>
    <x v="27"/>
    <n v="860536029"/>
    <x v="28"/>
    <n v="840000"/>
    <s v=" "/>
    <n v="2012"/>
    <s v=" "/>
    <d v="2012-09-13T00:00:00"/>
    <d v="2013-09-13T00:00:00"/>
    <n v="0"/>
    <n v="0"/>
    <n v="0"/>
    <s v=""/>
    <s v=""/>
    <d v="2013-09-13T00:00:00"/>
    <n v="840000"/>
    <n v="840000"/>
    <n v="0"/>
    <m/>
    <n v="1"/>
    <x v="0"/>
    <n v="0"/>
    <s v=""/>
    <x v="1"/>
  </r>
  <r>
    <x v="29"/>
    <x v="28"/>
    <n v="860509265"/>
    <x v="29"/>
    <n v="795000"/>
    <s v=" 050000-348-0-2012"/>
    <n v="2012"/>
    <s v=" "/>
    <d v="2012-09-28T00:00:00"/>
    <d v="2013-09-28T00:00:00"/>
    <n v="0"/>
    <n v="0"/>
    <n v="0"/>
    <s v=""/>
    <s v=""/>
    <d v="2013-09-28T00:00:00"/>
    <n v="795000"/>
    <n v="795000"/>
    <n v="0"/>
    <m/>
    <n v="1"/>
    <x v="0"/>
    <n v="0"/>
    <s v=""/>
    <x v="1"/>
  </r>
  <r>
    <x v="30"/>
    <x v="29"/>
    <n v="800008838"/>
    <x v="30"/>
    <n v="1818000"/>
    <s v=" "/>
    <n v="2012"/>
    <s v=" "/>
    <d v="2012-09-13T00:00:00"/>
    <d v="2013-03-13T00:00:00"/>
    <n v="0"/>
    <n v="0"/>
    <n v="0"/>
    <s v=""/>
    <s v=""/>
    <d v="2013-03-13T00:00:00"/>
    <n v="1818000"/>
    <n v="0"/>
    <n v="1818000"/>
    <m/>
    <n v="0"/>
    <x v="0"/>
    <n v="1"/>
    <s v=""/>
    <x v="0"/>
  </r>
  <r>
    <x v="31"/>
    <x v="30"/>
    <n v="51979294"/>
    <x v="31"/>
    <n v="30000000"/>
    <s v=" "/>
    <n v="2012"/>
    <s v=" "/>
    <d v="2012-08-30T00:00:00"/>
    <d v="2013-02-28T00:00:00"/>
    <n v="0"/>
    <n v="0"/>
    <n v="0"/>
    <s v=""/>
    <s v=""/>
    <d v="2013-02-28T00:00:00"/>
    <n v="30000000"/>
    <n v="30000000"/>
    <n v="0"/>
    <m/>
    <n v="1"/>
    <x v="0"/>
    <n v="0"/>
    <s v=""/>
    <x v="1"/>
  </r>
  <r>
    <x v="32"/>
    <x v="31"/>
    <n v="39753021"/>
    <x v="32"/>
    <n v="35000000"/>
    <s v=" "/>
    <n v="2012"/>
    <s v=" "/>
    <d v="2012-09-03T00:00:00"/>
    <d v="2013-04-03T00:00:00"/>
    <n v="0"/>
    <n v="0"/>
    <n v="0"/>
    <s v=""/>
    <s v=""/>
    <d v="2013-04-03T00:00:00"/>
    <n v="35000000"/>
    <n v="34666667"/>
    <n v="333333"/>
    <m/>
    <n v="0.99047620000000003"/>
    <x v="0"/>
    <n v="9.5237999999999712E-3"/>
    <s v=""/>
    <x v="0"/>
  </r>
  <r>
    <x v="33"/>
    <x v="32"/>
    <n v="830031631"/>
    <x v="33"/>
    <n v="8334226"/>
    <s v=" "/>
    <n v="2012"/>
    <s v=" "/>
    <d v="2012-09-18T00:00:00"/>
    <d v="2013-12-18T00:00:00"/>
    <n v="0"/>
    <n v="0"/>
    <n v="0"/>
    <s v=""/>
    <s v=""/>
    <d v="2013-12-18T00:00:00"/>
    <n v="8334226"/>
    <n v="8334226"/>
    <n v="0"/>
    <m/>
    <n v="1"/>
    <x v="0"/>
    <n v="0"/>
    <s v=""/>
    <x v="1"/>
  </r>
  <r>
    <x v="34"/>
    <x v="33"/>
    <n v="830095213"/>
    <x v="34"/>
    <n v="315000000"/>
    <s v=" SDH-SAMC-002-2012"/>
    <n v="2012"/>
    <s v=" "/>
    <d v="2012-09-11T00:00:00"/>
    <d v="2013-04-11T00:00:00"/>
    <n v="0"/>
    <n v="0"/>
    <n v="1"/>
    <s v="77 días"/>
    <d v="2013-06-27T00:00:00"/>
    <d v="2013-06-27T00:00:00"/>
    <n v="315000000"/>
    <n v="314473887"/>
    <n v="526113"/>
    <m/>
    <n v="0.99832980000000004"/>
    <x v="0"/>
    <n v="1.6701999999999551E-3"/>
    <s v=""/>
    <x v="0"/>
  </r>
  <r>
    <x v="35"/>
    <x v="34"/>
    <n v="80089626"/>
    <x v="35"/>
    <n v="20565000"/>
    <s v=" "/>
    <n v="2012"/>
    <s v=" "/>
    <d v="2012-09-10T00:00:00"/>
    <d v="2013-03-10T00:00:00"/>
    <n v="0"/>
    <n v="0"/>
    <n v="0"/>
    <s v=""/>
    <s v=""/>
    <d v="2013-03-10T00:00:00"/>
    <n v="20565000"/>
    <n v="20565000"/>
    <n v="0"/>
    <m/>
    <n v="1"/>
    <x v="0"/>
    <n v="0"/>
    <s v=""/>
    <x v="1"/>
  </r>
  <r>
    <x v="36"/>
    <x v="35"/>
    <n v="52798119"/>
    <x v="36"/>
    <n v="6730000"/>
    <s v=" "/>
    <n v="2012"/>
    <s v=" "/>
    <d v="2012-10-11T00:00:00"/>
    <d v="2012-12-11T00:00:00"/>
    <n v="0"/>
    <n v="0"/>
    <n v="1"/>
    <s v="9 días"/>
    <d v="2012-12-20T00:00:00"/>
    <d v="2012-12-20T00:00:00"/>
    <n v="6730000"/>
    <n v="6395000"/>
    <n v="335000"/>
    <m/>
    <n v="0.95022288261515597"/>
    <x v="0"/>
    <n v="4.9777117384844027E-2"/>
    <s v=""/>
    <x v="0"/>
  </r>
  <r>
    <x v="37"/>
    <x v="36"/>
    <n v="79425541"/>
    <x v="37"/>
    <n v="23994880"/>
    <s v=" 050000-427-0-2012"/>
    <n v="2012"/>
    <s v=" "/>
    <d v="2012-10-23T00:00:00"/>
    <d v="2013-04-23T00:00:00"/>
    <n v="0"/>
    <n v="0"/>
    <n v="0"/>
    <s v=""/>
    <s v=""/>
    <d v="2013-04-23T00:00:00"/>
    <n v="23994880"/>
    <n v="23994876"/>
    <n v="4"/>
    <m/>
    <n v="0.9999998332977702"/>
    <x v="0"/>
    <n v="1.66702229797977E-7"/>
    <s v=""/>
    <x v="1"/>
  </r>
  <r>
    <x v="38"/>
    <x v="37"/>
    <n v="5946865"/>
    <x v="38"/>
    <n v="38400000"/>
    <s v=" "/>
    <n v="2012"/>
    <s v=" "/>
    <d v="2012-10-05T00:00:00"/>
    <d v="2013-04-05T00:00:00"/>
    <n v="0"/>
    <n v="0"/>
    <n v="0"/>
    <s v=""/>
    <s v=""/>
    <d v="2013-04-05T00:00:00"/>
    <n v="38400000"/>
    <n v="38400000"/>
    <n v="0"/>
    <m/>
    <n v="1"/>
    <x v="0"/>
    <n v="0"/>
    <s v=""/>
    <x v="1"/>
  </r>
  <r>
    <x v="39"/>
    <x v="38"/>
    <n v="900220190"/>
    <x v="39"/>
    <n v="3961330"/>
    <s v=" "/>
    <n v="2012"/>
    <s v=" "/>
    <d v="2012-12-03T00:00:00"/>
    <d v="2013-02-03T00:00:00"/>
    <n v="0"/>
    <n v="0"/>
    <n v="0"/>
    <s v=""/>
    <s v=""/>
    <d v="2013-02-03T00:00:00"/>
    <n v="3961330"/>
    <n v="3961330"/>
    <n v="0"/>
    <m/>
    <n v="1"/>
    <x v="0"/>
    <n v="0"/>
    <s v=""/>
    <x v="1"/>
  </r>
  <r>
    <x v="40"/>
    <x v="39"/>
    <n v="900350416"/>
    <x v="40"/>
    <n v="24000000"/>
    <s v=" SDH-SMINC-52-2012"/>
    <n v="2012"/>
    <s v=" "/>
    <d v="2012-12-27T00:00:00"/>
    <d v="2013-06-27T00:00:00"/>
    <n v="0"/>
    <n v="0"/>
    <n v="0"/>
    <s v=""/>
    <s v=""/>
    <d v="2013-06-27T00:00:00"/>
    <n v="24000000"/>
    <n v="24000000"/>
    <n v="0"/>
    <m/>
    <n v="1"/>
    <x v="0"/>
    <n v="0"/>
    <s v=""/>
    <x v="1"/>
  </r>
  <r>
    <x v="41"/>
    <x v="40"/>
    <n v="80725449"/>
    <x v="41"/>
    <n v="6000000"/>
    <s v=" "/>
    <n v="2012"/>
    <s v=" "/>
    <d v="2013-01-18T00:00:00"/>
    <d v="2013-03-17T00:00:00"/>
    <n v="0"/>
    <n v="0"/>
    <n v="0"/>
    <s v=""/>
    <s v=""/>
    <d v="2013-03-17T00:00:00"/>
    <n v="6000000"/>
    <n v="6000000"/>
    <n v="0"/>
    <m/>
    <n v="1"/>
    <x v="0"/>
    <n v="0"/>
    <s v=""/>
    <x v="1"/>
  </r>
  <r>
    <x v="42"/>
    <x v="41"/>
    <n v="830067096"/>
    <x v="42"/>
    <n v="7740000"/>
    <s v=" 120000-125-0-2012"/>
    <n v="2012"/>
    <s v=" "/>
    <d v="2012-07-17T00:00:00"/>
    <d v="2013-07-17T00:00:00"/>
    <n v="0"/>
    <n v="0"/>
    <n v="0"/>
    <s v=""/>
    <s v=""/>
    <d v="2013-07-17T00:00:00"/>
    <n v="7740000"/>
    <n v="7740000"/>
    <n v="0"/>
    <m/>
    <n v="1"/>
    <x v="0"/>
    <n v="0"/>
    <s v=""/>
    <x v="1"/>
  </r>
  <r>
    <x v="43"/>
    <x v="42"/>
    <n v="830034865"/>
    <x v="43"/>
    <n v="47000000"/>
    <s v=" SDH-SAMC-001-2012"/>
    <n v="2012"/>
    <s v=" "/>
    <d v="2012-06-04T00:00:00"/>
    <d v="2013-02-04T00:00:00"/>
    <n v="0"/>
    <n v="0"/>
    <n v="1"/>
    <s v="3 meses"/>
    <d v="2013-05-04T00:00:00"/>
    <d v="2013-05-04T00:00:00"/>
    <n v="47000000"/>
    <n v="41245000"/>
    <n v="5755000"/>
    <m/>
    <n v="0.87755319148936173"/>
    <x v="0"/>
    <n v="0.12244680851063827"/>
    <s v=""/>
    <x v="0"/>
  </r>
  <r>
    <x v="44"/>
    <x v="43"/>
    <n v="830012587"/>
    <x v="44"/>
    <n v="950000000"/>
    <s v=" 120000-177-0-2012"/>
    <n v="2012"/>
    <s v=" "/>
    <d v="2012-05-24T00:00:00"/>
    <d v="2013-04-24T00:00:00"/>
    <n v="0"/>
    <n v="0"/>
    <n v="1"/>
    <s v="12 días"/>
    <d v="2013-05-06T00:00:00"/>
    <d v="2013-05-06T00:00:00"/>
    <n v="950000000"/>
    <n v="950000000"/>
    <n v="0"/>
    <m/>
    <n v="1"/>
    <x v="0"/>
    <n v="0"/>
    <s v=""/>
    <x v="1"/>
  </r>
  <r>
    <x v="45"/>
    <x v="44"/>
    <n v="900118932"/>
    <x v="45"/>
    <n v="27918648"/>
    <s v=" "/>
    <n v="2012"/>
    <s v=" "/>
    <d v="2012-06-21T00:00:00"/>
    <d v="2012-08-11T00:00:00"/>
    <n v="2"/>
    <n v="13786987"/>
    <n v="2"/>
    <s v="1 mes y 20 días"/>
    <d v="2012-10-31T00:00:00"/>
    <d v="2012-10-31T00:00:00"/>
    <n v="41705635"/>
    <n v="41705635"/>
    <n v="0"/>
    <m/>
    <n v="1"/>
    <x v="0"/>
    <n v="0"/>
    <s v=""/>
    <x v="1"/>
  </r>
  <r>
    <x v="46"/>
    <x v="45"/>
    <n v="860009578"/>
    <x v="46"/>
    <n v="4100000"/>
    <s v=" SDH-SMINC-19-2012"/>
    <n v="2012"/>
    <s v=" "/>
    <d v="2012-07-13T00:00:00"/>
    <d v="2013-07-16T00:00:00"/>
    <n v="0"/>
    <n v="0"/>
    <n v="0"/>
    <s v=""/>
    <s v=""/>
    <d v="2013-07-16T00:00:00"/>
    <n v="4100000"/>
    <n v="3389600"/>
    <n v="710400"/>
    <m/>
    <n v="0.82673170731707313"/>
    <x v="0"/>
    <n v="0.17326829268292687"/>
    <s v=""/>
    <x v="0"/>
  </r>
  <r>
    <x v="47"/>
    <x v="46"/>
    <n v="900268429"/>
    <x v="47"/>
    <n v="8932201"/>
    <s v=" "/>
    <n v="2012"/>
    <s v=" "/>
    <d v="2012-08-30T00:00:00"/>
    <d v="2013-05-30T00:00:00"/>
    <n v="0"/>
    <n v="0"/>
    <n v="1"/>
    <s v="4 meses"/>
    <d v="2013-09-30T00:00:00"/>
    <d v="2013-09-30T00:00:00"/>
    <n v="8932201"/>
    <n v="8906668"/>
    <n v="25533"/>
    <m/>
    <n v="0.99714146602836184"/>
    <x v="0"/>
    <n v="2.8585339716381553E-3"/>
    <s v=""/>
    <x v="0"/>
  </r>
  <r>
    <x v="48"/>
    <x v="47"/>
    <n v="830006177"/>
    <x v="48"/>
    <n v="8545000"/>
    <s v=" "/>
    <n v="2012"/>
    <s v=" "/>
    <d v="2012-09-03T00:00:00"/>
    <d v="2013-04-03T00:00:00"/>
    <n v="0"/>
    <n v="0"/>
    <n v="1"/>
    <s v="3 meses"/>
    <d v="2013-07-03T00:00:00"/>
    <d v="2013-07-03T00:00:00"/>
    <n v="8545000"/>
    <n v="4336000"/>
    <n v="4209000"/>
    <m/>
    <n v="0.50743124634289061"/>
    <x v="0"/>
    <n v="0.49256875365710939"/>
    <s v=""/>
    <x v="0"/>
  </r>
  <r>
    <x v="49"/>
    <x v="48"/>
    <n v="900548648"/>
    <x v="49"/>
    <n v="220839000"/>
    <s v=" "/>
    <n v="2012"/>
    <s v=" "/>
    <d v="2012-09-20T00:00:00"/>
    <d v="2013-04-20T00:00:00"/>
    <n v="1"/>
    <n v="21739353"/>
    <n v="1"/>
    <s v="2 meses"/>
    <d v="2013-06-20T00:00:00"/>
    <d v="2013-06-20T00:00:00"/>
    <n v="242578353"/>
    <n v="218264339"/>
    <n v="24314014"/>
    <m/>
    <n v="0.89976841008562702"/>
    <x v="0"/>
    <n v="0.10023158991437298"/>
    <s v=""/>
    <x v="0"/>
  </r>
  <r>
    <x v="50"/>
    <x v="49"/>
    <n v="79661783"/>
    <x v="50"/>
    <n v="4493000"/>
    <s v=" "/>
    <n v="2012"/>
    <s v=" "/>
    <d v="2012-09-20T00:00:00"/>
    <d v="2013-03-20T00:00:00"/>
    <n v="0"/>
    <n v="0"/>
    <n v="1"/>
    <s v="2 meses"/>
    <d v="2013-05-20T00:00:00"/>
    <d v="2013-05-20T00:00:00"/>
    <n v="4493000"/>
    <n v="3309000"/>
    <n v="1184000"/>
    <m/>
    <n v="0.73647896728243933"/>
    <x v="0"/>
    <n v="0.26352103271756067"/>
    <s v=""/>
    <x v="0"/>
  </r>
  <r>
    <x v="51"/>
    <x v="50"/>
    <n v="830053669"/>
    <x v="51"/>
    <n v="22726000"/>
    <s v=" "/>
    <n v="2012"/>
    <s v=" "/>
    <d v="2012-09-11T00:00:00"/>
    <d v="2013-04-11T00:00:00"/>
    <n v="1"/>
    <n v="2000000"/>
    <n v="1"/>
    <s v="1 mes y 20 días"/>
    <d v="2013-05-31T00:00:00"/>
    <d v="2013-05-31T00:00:00"/>
    <n v="24726000"/>
    <n v="24725958"/>
    <n v="42"/>
    <m/>
    <n v="0.99999830138315948"/>
    <x v="0"/>
    <n v="1.6986168405175306E-6"/>
    <s v=""/>
    <x v="1"/>
  </r>
  <r>
    <x v="52"/>
    <x v="51"/>
    <n v="900552779"/>
    <x v="52"/>
    <n v="19116000"/>
    <s v=" SDH-SAMC-003-2012"/>
    <n v="2012"/>
    <s v=" "/>
    <d v="2012-09-24T00:00:00"/>
    <d v="2013-04-24T00:00:00"/>
    <n v="1"/>
    <n v="1807575"/>
    <n v="1"/>
    <s v="21 días calendario"/>
    <d v="2013-05-15T00:00:00"/>
    <d v="2013-05-15T00:00:00"/>
    <n v="20923575"/>
    <n v="19912200"/>
    <n v="1011375"/>
    <m/>
    <n v="0.95166337492517417"/>
    <x v="0"/>
    <n v="4.8336625074825834E-2"/>
    <s v=""/>
    <x v="0"/>
  </r>
  <r>
    <x v="53"/>
    <x v="52"/>
    <n v="830143378"/>
    <x v="53"/>
    <n v="282073266"/>
    <s v=" "/>
    <n v="2012"/>
    <s v=" "/>
    <d v="2012-10-16T00:00:00"/>
    <d v="2013-06-16T00:00:00"/>
    <n v="0"/>
    <n v="0"/>
    <n v="0"/>
    <s v=""/>
    <s v=""/>
    <d v="2013-06-16T00:00:00"/>
    <n v="282073266"/>
    <n v="282073266"/>
    <n v="0"/>
    <m/>
    <n v="1"/>
    <x v="0"/>
    <n v="0"/>
    <s v=""/>
    <x v="1"/>
  </r>
  <r>
    <x v="54"/>
    <x v="53"/>
    <n v="830126085"/>
    <x v="54"/>
    <n v="50618751"/>
    <s v=" "/>
    <n v="2012"/>
    <s v=" "/>
    <d v="2012-10-16T00:00:00"/>
    <d v="2013-06-16T00:00:00"/>
    <n v="0"/>
    <n v="0"/>
    <n v="0"/>
    <s v=""/>
    <s v=""/>
    <d v="2013-06-16T00:00:00"/>
    <n v="50618751"/>
    <n v="50618751"/>
    <n v="0"/>
    <m/>
    <n v="1"/>
    <x v="0"/>
    <n v="0"/>
    <s v=""/>
    <x v="1"/>
  </r>
  <r>
    <x v="55"/>
    <x v="54"/>
    <n v="860015685"/>
    <x v="55"/>
    <n v="69900000"/>
    <s v=" "/>
    <n v="2012"/>
    <s v=" "/>
    <d v="2012-10-20T00:00:00"/>
    <d v="2013-06-20T00:00:00"/>
    <n v="0"/>
    <n v="0"/>
    <n v="0"/>
    <s v="41 días"/>
    <d v="2013-07-31T00:00:00"/>
    <d v="2013-07-31T00:00:00"/>
    <n v="69900000"/>
    <n v="69900000"/>
    <n v="0"/>
    <m/>
    <n v="1"/>
    <x v="0"/>
    <n v="0"/>
    <s v=""/>
    <x v="1"/>
  </r>
  <r>
    <x v="56"/>
    <x v="55"/>
    <n v="860506170"/>
    <x v="56"/>
    <n v="500000000"/>
    <s v=" "/>
    <n v="2012"/>
    <s v=" "/>
    <d v="2012-09-18T00:00:00"/>
    <d v="2013-05-18T00:00:00"/>
    <n v="0"/>
    <n v="0"/>
    <n v="0"/>
    <s v=""/>
    <s v=""/>
    <d v="2013-05-18T00:00:00"/>
    <n v="500000000"/>
    <n v="500000000"/>
    <n v="0"/>
    <m/>
    <n v="1"/>
    <x v="0"/>
    <n v="0"/>
    <s v=""/>
    <x v="1"/>
  </r>
  <r>
    <x v="57"/>
    <x v="56"/>
    <n v="860049921"/>
    <x v="57"/>
    <n v="10440000"/>
    <s v=" 120000-196-0-2012"/>
    <n v="2012"/>
    <s v=" "/>
    <d v="2012-06-07T00:00:00"/>
    <d v="2013-02-07T00:00:00"/>
    <n v="0"/>
    <n v="0"/>
    <n v="0"/>
    <s v=""/>
    <s v=""/>
    <d v="2013-02-07T00:00:00"/>
    <n v="10440000"/>
    <n v="10440000"/>
    <n v="0"/>
    <m/>
    <n v="1"/>
    <x v="0"/>
    <n v="0"/>
    <s v=""/>
    <x v="1"/>
  </r>
  <r>
    <x v="58"/>
    <x v="57"/>
    <n v="830085352"/>
    <x v="58"/>
    <n v="24824832"/>
    <s v=" SDH-SMINC-029-2012"/>
    <n v="2012"/>
    <s v=" "/>
    <d v="2012-10-26T00:00:00"/>
    <d v="2013-07-26T00:00:00"/>
    <n v="0"/>
    <n v="0"/>
    <n v="0"/>
    <s v=""/>
    <s v=""/>
    <d v="2013-07-26T00:00:00"/>
    <n v="24824832"/>
    <n v="24824832"/>
    <n v="0"/>
    <m/>
    <n v="1"/>
    <x v="0"/>
    <n v="0"/>
    <s v=""/>
    <x v="1"/>
  </r>
  <r>
    <x v="59"/>
    <x v="58"/>
    <n v="900169179"/>
    <x v="59"/>
    <n v="810000"/>
    <s v=" "/>
    <n v="2012"/>
    <s v=" "/>
    <d v="2012-10-11T00:00:00"/>
    <d v="2013-10-11T00:00:00"/>
    <n v="0"/>
    <n v="0"/>
    <n v="0"/>
    <s v=""/>
    <s v=""/>
    <d v="2013-10-11T00:00:00"/>
    <n v="810000"/>
    <n v="810000"/>
    <n v="0"/>
    <m/>
    <n v="1"/>
    <x v="0"/>
    <n v="0"/>
    <s v=""/>
    <x v="1"/>
  </r>
  <r>
    <x v="60"/>
    <x v="59"/>
    <n v="830042460"/>
    <x v="60"/>
    <n v="299287875"/>
    <s v=" SDH-SAMC-004-2012"/>
    <n v="2012"/>
    <s v=" "/>
    <d v="2012-10-26T00:00:00"/>
    <d v="2013-06-26T00:00:00"/>
    <n v="0"/>
    <n v="0"/>
    <n v="0"/>
    <s v=""/>
    <s v=""/>
    <d v="2013-06-26T00:00:00"/>
    <n v="299287875"/>
    <n v="160844981"/>
    <n v="138442894"/>
    <m/>
    <n v="0.53742565080526572"/>
    <x v="0"/>
    <n v="0.46257434919473428"/>
    <s v=""/>
    <x v="0"/>
  </r>
  <r>
    <x v="61"/>
    <x v="60"/>
    <n v="830017796"/>
    <x v="61"/>
    <n v="1392000"/>
    <s v=" SMINC-35-2012"/>
    <n v="2012"/>
    <s v=" "/>
    <d v="2012-11-29T00:00:00"/>
    <d v="2013-01-29T00:00:00"/>
    <n v="0"/>
    <n v="0"/>
    <n v="4"/>
    <s v="9 meses"/>
    <d v="2013-09-17T00:00:00"/>
    <d v="2013-09-17T00:00:00"/>
    <n v="1392000"/>
    <n v="0"/>
    <n v="1392000"/>
    <m/>
    <n v="0"/>
    <x v="0"/>
    <n v="1"/>
    <s v=""/>
    <x v="0"/>
  </r>
  <r>
    <x v="62"/>
    <x v="61"/>
    <n v="830043839"/>
    <x v="62"/>
    <n v="4056000"/>
    <s v=" SDH-SMINC-34-2012"/>
    <n v="2012"/>
    <s v=" "/>
    <d v="2012-10-26T00:00:00"/>
    <d v="2013-04-26T00:00:00"/>
    <n v="0"/>
    <n v="0"/>
    <n v="0"/>
    <s v=""/>
    <s v=""/>
    <d v="2013-04-26T00:00:00"/>
    <n v="4056000"/>
    <n v="4056000"/>
    <n v="0"/>
    <m/>
    <n v="1"/>
    <x v="0"/>
    <n v="0"/>
    <s v=""/>
    <x v="1"/>
  </r>
  <r>
    <x v="63"/>
    <x v="62"/>
    <n v="900431177"/>
    <x v="63"/>
    <n v="431745000"/>
    <s v=" SDH-LP-003-2012"/>
    <n v="2012"/>
    <s v=" "/>
    <d v="2012-11-01T00:00:00"/>
    <d v="2013-09-01T00:00:00"/>
    <n v="1"/>
    <n v="95000000"/>
    <n v="1"/>
    <s v="2 meses"/>
    <d v="2013-11-01T00:00:00"/>
    <d v="2013-11-01T00:00:00"/>
    <n v="526745000"/>
    <n v="526745000"/>
    <n v="0"/>
    <m/>
    <n v="1"/>
    <x v="0"/>
    <n v="0"/>
    <s v=""/>
    <x v="1"/>
  </r>
  <r>
    <x v="64"/>
    <x v="63"/>
    <n v="860066942"/>
    <x v="64"/>
    <n v="407400000"/>
    <s v=" "/>
    <n v="2012"/>
    <s v=" "/>
    <d v="2012-11-19T00:00:00"/>
    <d v="2013-04-19T00:00:00"/>
    <n v="2"/>
    <n v="211889880"/>
    <n v="4"/>
    <s v="5 meses y 27 días"/>
    <d v="2013-10-15T00:00:00"/>
    <d v="2013-10-15T00:00:00"/>
    <n v="619289880"/>
    <n v="619289880"/>
    <n v="0"/>
    <m/>
    <n v="1"/>
    <x v="0"/>
    <n v="0"/>
    <s v=""/>
    <x v="1"/>
  </r>
  <r>
    <x v="65"/>
    <x v="64"/>
    <n v="80199707"/>
    <x v="65"/>
    <n v="37359000"/>
    <s v=" "/>
    <n v="2012"/>
    <s v=" "/>
    <d v="2012-11-21T00:00:00"/>
    <d v="2013-06-21T00:00:00"/>
    <n v="0"/>
    <n v="0"/>
    <n v="0"/>
    <s v=""/>
    <s v=""/>
    <d v="2013-06-21T00:00:00"/>
    <n v="37359000"/>
    <n v="37359000"/>
    <n v="0"/>
    <m/>
    <n v="1"/>
    <x v="0"/>
    <n v="0"/>
    <s v=""/>
    <x v="1"/>
  </r>
  <r>
    <x v="66"/>
    <x v="65"/>
    <n v="830100153"/>
    <x v="66"/>
    <n v="20358000"/>
    <s v=" "/>
    <n v="2012"/>
    <s v=" "/>
    <d v="2012-11-27T00:00:00"/>
    <d v="2013-05-27T00:00:00"/>
    <n v="1"/>
    <n v="8062000"/>
    <n v="1"/>
    <s v="1 mes"/>
    <d v="2013-06-27T00:00:00"/>
    <d v="2013-06-27T00:00:00"/>
    <n v="28420000"/>
    <n v="28379400"/>
    <n v="40600"/>
    <m/>
    <n v="0.99857142857142855"/>
    <x v="0"/>
    <n v="1.4285714285714457E-3"/>
    <s v=""/>
    <x v="0"/>
  </r>
  <r>
    <x v="67"/>
    <x v="66"/>
    <n v="860030197"/>
    <x v="67"/>
    <n v="6388708"/>
    <s v=" 012000-466-0-2012"/>
    <n v="2012"/>
    <s v=" "/>
    <d v="2012-12-05T00:00:00"/>
    <d v="2013-08-14T00:00:00"/>
    <n v="1"/>
    <n v="2648556"/>
    <n v="3"/>
    <s v="3 meses y 20 días"/>
    <d v="2013-11-02T00:00:00"/>
    <d v="2013-11-02T00:00:00"/>
    <n v="9037264"/>
    <n v="7492420"/>
    <n v="1544844"/>
    <m/>
    <n v="0.82905844069621071"/>
    <x v="0"/>
    <n v="0.17094155930378929"/>
    <s v=""/>
    <x v="0"/>
  </r>
  <r>
    <x v="68"/>
    <x v="67"/>
    <n v="860007336"/>
    <x v="68"/>
    <n v="58300000"/>
    <s v=" "/>
    <n v="2012"/>
    <s v=" "/>
    <d v="2012-12-17T00:00:00"/>
    <d v="2013-02-17T00:00:00"/>
    <n v="0"/>
    <n v="0"/>
    <n v="0"/>
    <s v=""/>
    <s v=""/>
    <d v="2013-02-17T00:00:00"/>
    <n v="58300000"/>
    <n v="58300000"/>
    <n v="0"/>
    <m/>
    <n v="1"/>
    <x v="0"/>
    <n v="0"/>
    <s v=""/>
    <x v="1"/>
  </r>
  <r>
    <x v="69"/>
    <x v="68"/>
    <n v="800045878"/>
    <x v="69"/>
    <n v="293000000"/>
    <s v=" "/>
    <n v="2012"/>
    <s v=" "/>
    <d v="2012-12-26T00:00:00"/>
    <d v="2013-06-26T00:00:00"/>
    <n v="2"/>
    <n v="118000000"/>
    <n v="4"/>
    <s v="4 meses y 20 días"/>
    <d v="2013-11-15T00:00:00"/>
    <d v="2013-11-15T00:00:00"/>
    <n v="411000000"/>
    <n v="411000000"/>
    <n v="0"/>
    <m/>
    <n v="1"/>
    <x v="0"/>
    <n v="0"/>
    <s v=""/>
    <x v="1"/>
  </r>
  <r>
    <x v="70"/>
    <x v="69"/>
    <n v="830050320"/>
    <x v="70"/>
    <n v="10032000"/>
    <s v="SDH-SMINC-54-2012 "/>
    <n v="2012"/>
    <s v=" "/>
    <d v="2012-12-28T00:00:00"/>
    <d v="2013-08-28T00:00:00"/>
    <n v="0"/>
    <n v="0"/>
    <n v="1"/>
    <s v="2 meses"/>
    <d v="2013-10-28T00:00:00"/>
    <d v="2013-10-28T00:00:00"/>
    <n v="10032000"/>
    <n v="9339930"/>
    <n v="692070"/>
    <m/>
    <n v="0.93101375598086122"/>
    <x v="0"/>
    <n v="6.8986244019138776E-2"/>
    <s v=""/>
    <x v="0"/>
  </r>
  <r>
    <x v="71"/>
    <x v="70"/>
    <n v="805006014"/>
    <x v="71"/>
    <n v="1633200"/>
    <s v=" "/>
    <n v="2012"/>
    <s v=" "/>
    <d v="2013-01-14T00:00:00"/>
    <d v="2014-01-13T00:00:00"/>
    <n v="1"/>
    <n v="285000"/>
    <n v="1"/>
    <s v="2 meses"/>
    <d v="2014-03-13T00:00:00"/>
    <d v="2014-03-13T00:00:00"/>
    <n v="1918200"/>
    <n v="1755170"/>
    <n v="163030"/>
    <m/>
    <n v="0.91500886247523716"/>
    <x v="0"/>
    <n v="8.4991137524762839E-2"/>
    <s v=""/>
    <x v="0"/>
  </r>
  <r>
    <x v="72"/>
    <x v="55"/>
    <n v="860506170"/>
    <x v="72"/>
    <n v="398614000"/>
    <s v=" "/>
    <n v="2013"/>
    <s v=" "/>
    <d v="2014-08-13T00:00:00"/>
    <d v="2015-04-13T00:00:00"/>
    <n v="0"/>
    <n v="0"/>
    <n v="1"/>
    <s v="7 meses"/>
    <d v="2015-11-13T00:00:00"/>
    <d v="2015-11-13T00:00:00"/>
    <n v="398614000"/>
    <n v="398614000"/>
    <n v="0"/>
    <m/>
    <n v="1"/>
    <x v="0"/>
    <n v="0"/>
    <s v=""/>
    <x v="1"/>
  </r>
  <r>
    <x v="73"/>
    <x v="71"/>
    <n v="900006611"/>
    <x v="73"/>
    <n v="1062500"/>
    <s v=" SDH-SMINC-59-2012"/>
    <n v="2012"/>
    <s v=" "/>
    <d v="2013-01-18T00:00:00"/>
    <d v="2013-02-17T00:00:00"/>
    <n v="0"/>
    <n v="0"/>
    <n v="0"/>
    <s v=""/>
    <s v=""/>
    <d v="2013-02-17T00:00:00"/>
    <n v="1062500"/>
    <n v="1062500"/>
    <n v="0"/>
    <m/>
    <n v="1"/>
    <x v="0"/>
    <n v="0"/>
    <s v=""/>
    <x v="1"/>
  </r>
  <r>
    <x v="74"/>
    <x v="72"/>
    <n v="830039811"/>
    <x v="74"/>
    <n v="80074800"/>
    <s v=" "/>
    <n v="2012"/>
    <s v=" "/>
    <d v="2013-02-08T00:00:00"/>
    <d v="2014-03-07T00:00:00"/>
    <n v="1"/>
    <n v="35588800"/>
    <n v="1"/>
    <s v="1 mes"/>
    <d v="2014-04-07T00:00:00"/>
    <d v="2014-04-07T00:00:00"/>
    <n v="115663600"/>
    <n v="115663040"/>
    <n v="560"/>
    <m/>
    <n v="0.99999515837307507"/>
    <x v="0"/>
    <n v="4.8416269249340615E-6"/>
    <s v=""/>
    <x v="1"/>
  </r>
  <r>
    <x v="75"/>
    <x v="73"/>
    <n v="4831"/>
    <x v="75"/>
    <n v="13806000"/>
    <s v=" "/>
    <n v="2012"/>
    <s v=" "/>
    <d v="2013-01-04T00:00:00"/>
    <d v="2013-06-04T00:00:00"/>
    <n v="0"/>
    <n v="0"/>
    <n v="1"/>
    <s v="1 mes"/>
    <d v="2013-07-04T00:00:00"/>
    <d v="2013-07-04T00:00:00"/>
    <n v="13806000"/>
    <n v="12439108"/>
    <n v="1366892"/>
    <m/>
    <n v="0.90099290163696943"/>
    <x v="0"/>
    <n v="9.9007098363030566E-2"/>
    <s v=""/>
    <x v="0"/>
  </r>
  <r>
    <x v="76"/>
    <x v="74"/>
    <n v="860053274"/>
    <x v="13"/>
    <n v="59046000"/>
    <s v=" "/>
    <n v="2012"/>
    <s v=" "/>
    <d v="2013-01-18T00:00:00"/>
    <d v="2013-06-17T00:00:00"/>
    <n v="1"/>
    <n v="20167111"/>
    <n v="2"/>
    <s v="5 meses y 13 días"/>
    <d v="2013-11-30T00:00:00"/>
    <d v="2013-11-30T00:00:00"/>
    <n v="79213111"/>
    <n v="65129800"/>
    <n v="14083311"/>
    <m/>
    <n v="0.82220984856913393"/>
    <x v="0"/>
    <n v="0.17779015143086607"/>
    <s v=""/>
    <x v="0"/>
  </r>
  <r>
    <x v="77"/>
    <x v="75"/>
    <n v="860066942"/>
    <x v="76"/>
    <n v="49500000"/>
    <s v=" "/>
    <n v="2012"/>
    <s v=" "/>
    <d v="2013-02-20T00:00:00"/>
    <d v="2013-08-19T00:00:00"/>
    <n v="1"/>
    <n v="25746412"/>
    <n v="0"/>
    <s v=""/>
    <s v=""/>
    <d v="2013-08-19T00:00:00"/>
    <n v="75246412"/>
    <n v="75232704"/>
    <n v="13708"/>
    <m/>
    <n v="0.99981782520075513"/>
    <x v="0"/>
    <n v="1.821747992448719E-4"/>
    <s v=""/>
    <x v="1"/>
  </r>
  <r>
    <x v="78"/>
    <x v="76"/>
    <n v="891501783"/>
    <x v="77"/>
    <n v="36990000"/>
    <s v=" SDH-SMINC-64-2012"/>
    <n v="2012"/>
    <s v=" "/>
    <d v="2013-02-18T00:00:00"/>
    <d v="2013-06-17T00:00:00"/>
    <n v="0"/>
    <n v="0"/>
    <n v="0"/>
    <s v=""/>
    <s v=""/>
    <d v="2013-06-17T00:00:00"/>
    <n v="36990000"/>
    <n v="36990000"/>
    <n v="0"/>
    <m/>
    <n v="1"/>
    <x v="0"/>
    <n v="0"/>
    <s v=""/>
    <x v="1"/>
  </r>
  <r>
    <x v="79"/>
    <x v="77"/>
    <n v="800058607"/>
    <x v="78"/>
    <n v="85314724"/>
    <s v=" "/>
    <n v="2012"/>
    <s v=" "/>
    <d v="2013-02-11T00:00:00"/>
    <d v="2014-02-10T00:00:00"/>
    <n v="0"/>
    <n v="0"/>
    <n v="0"/>
    <s v=""/>
    <s v=""/>
    <d v="2014-02-10T00:00:00"/>
    <n v="85314724"/>
    <n v="85314724"/>
    <n v="0"/>
    <m/>
    <n v="1"/>
    <x v="0"/>
    <n v="0"/>
    <s v=""/>
    <x v="1"/>
  </r>
  <r>
    <x v="80"/>
    <x v="78"/>
    <n v="830017209"/>
    <x v="79"/>
    <n v="123000000"/>
    <s v=" SDH-SIE-12-2012"/>
    <n v="2013"/>
    <s v=" "/>
    <d v="2013-02-14T00:00:00"/>
    <d v="2014-02-13T00:00:00"/>
    <n v="0"/>
    <n v="0"/>
    <n v="0"/>
    <s v=""/>
    <s v=""/>
    <d v="2014-02-13T00:00:00"/>
    <n v="123000000"/>
    <n v="123000000"/>
    <n v="0"/>
    <s v="Porcentaje de avance"/>
    <n v="1"/>
    <x v="0"/>
    <n v="0"/>
    <s v=""/>
    <x v="1"/>
  </r>
  <r>
    <x v="81"/>
    <x v="79"/>
    <n v="900241832"/>
    <x v="80"/>
    <n v="1113600"/>
    <s v=" SDH-SMINC-001-2013"/>
    <n v="2013"/>
    <s v=" "/>
    <d v="2013-03-14T00:00:00"/>
    <d v="2014-03-13T00:00:00"/>
    <n v="0"/>
    <n v="0"/>
    <n v="0"/>
    <s v=""/>
    <s v=""/>
    <d v="2014-03-13T00:00:00"/>
    <n v="1113600"/>
    <n v="1113600"/>
    <n v="0"/>
    <s v="Se efectuará un pago por cada una de las visitas correspondientes al servicio objeto del contrato, de conformidad con los servicios efectivamente prestados y cajas porta-cebos suministradas._x000a_"/>
    <n v="1"/>
    <x v="0"/>
    <n v="0"/>
    <s v=""/>
    <x v="1"/>
  </r>
  <r>
    <x v="82"/>
    <x v="80"/>
    <n v="830122370"/>
    <x v="81"/>
    <n v="4967474"/>
    <s v="SDH-SMINC-03-2013 "/>
    <n v="2013"/>
    <s v=" "/>
    <d v="2013-03-14T00:00:00"/>
    <d v="2014-01-13T00:00:00"/>
    <n v="0"/>
    <n v="0"/>
    <n v="0"/>
    <s v=""/>
    <s v=""/>
    <d v="2014-01-13T00:00:00"/>
    <n v="4967474"/>
    <n v="4453683"/>
    <n v="513791"/>
    <s v="Se realizará un pago por cada visita de mantenimiento preventivo y/o correctivo efectuadas de acuerdo con la programación que establezca con el supervisor."/>
    <n v="0.89656896040120193"/>
    <x v="0"/>
    <n v="0.10343103959879807"/>
    <s v=""/>
    <x v="0"/>
  </r>
  <r>
    <x v="83"/>
    <x v="81"/>
    <n v="860025639"/>
    <x v="19"/>
    <n v="15913500"/>
    <s v=" "/>
    <n v="2013"/>
    <s v=" "/>
    <d v="2013-04-03T00:00:00"/>
    <d v="2014-04-02T00:00:00"/>
    <n v="0"/>
    <n v="0"/>
    <n v="0"/>
    <s v=""/>
    <s v=""/>
    <d v="2014-04-02T00:00:00"/>
    <n v="15913500"/>
    <n v="15453868"/>
    <n v="459632"/>
    <m/>
    <n v="0.971116850472869"/>
    <x v="0"/>
    <n v="2.8883149527131002E-2"/>
    <s v=""/>
    <x v="0"/>
  </r>
  <r>
    <x v="84"/>
    <x v="82"/>
    <n v="860001022"/>
    <x v="82"/>
    <n v="1197000"/>
    <s v=" "/>
    <n v="2013"/>
    <s v=" "/>
    <d v="2013-03-19T00:00:00"/>
    <d v="2014-03-18T00:00:00"/>
    <n v="0"/>
    <n v="0"/>
    <n v="0"/>
    <s v=""/>
    <s v=""/>
    <d v="2014-03-18T00:00:00"/>
    <n v="1197000"/>
    <n v="1197000"/>
    <n v="0"/>
    <s v="Único pago"/>
    <n v="1"/>
    <x v="0"/>
    <n v="0"/>
    <s v=""/>
    <x v="1"/>
  </r>
  <r>
    <x v="85"/>
    <x v="22"/>
    <n v="900152368"/>
    <x v="23"/>
    <n v="8360000"/>
    <s v=" "/>
    <n v="2013"/>
    <s v=" "/>
    <d v="2013-05-06T00:00:00"/>
    <d v="2014-05-05T00:00:00"/>
    <n v="0"/>
    <n v="0"/>
    <n v="0"/>
    <s v=""/>
    <s v=""/>
    <d v="2014-05-05T00:00:00"/>
    <n v="8360000"/>
    <n v="7018000"/>
    <n v="1342000"/>
    <s v="Los mantenimientos preventivos se cancelarán bimestralmente de acuerdo con los servicios efectivamente prestados conforme con el cronograma establecido. El mantenimiento correctivo y el suministro de repuestos se cancelarán de acuerdo a la demanda durante en el respectivo periodo, manteniendo los precios unitarios ofrecidos en la propuesta."/>
    <n v="0.83947368421052626"/>
    <x v="0"/>
    <n v="0.16052631578947374"/>
    <s v=""/>
    <x v="0"/>
  </r>
  <r>
    <x v="86"/>
    <x v="83"/>
    <n v="800249557"/>
    <x v="83"/>
    <n v="3700000"/>
    <s v=" 130106-0-2013"/>
    <n v="2013"/>
    <s v=" "/>
    <d v="2013-04-29T00:00:00"/>
    <d v="2013-09-28T00:00:00"/>
    <n v="0"/>
    <n v="0"/>
    <n v="0"/>
    <s v=""/>
    <s v=""/>
    <d v="2013-09-28T00:00:00"/>
    <n v="3700000"/>
    <n v="3700000"/>
    <n v="0"/>
    <s v="Un pago a la entrega a satisfacción de los 60 Directorios."/>
    <n v="1"/>
    <x v="0"/>
    <n v="0"/>
    <s v=""/>
    <x v="1"/>
  </r>
  <r>
    <x v="87"/>
    <x v="84"/>
    <n v="79843891"/>
    <x v="84"/>
    <n v="50000000"/>
    <s v=" 130116-0-2013"/>
    <n v="2013"/>
    <s v=" "/>
    <d v="2013-04-23T00:00:00"/>
    <d v="2014-02-22T00:00:00"/>
    <n v="0"/>
    <n v="0"/>
    <n v="0"/>
    <s v=""/>
    <s v=""/>
    <d v="2014-02-22T00:00:00"/>
    <n v="50000000"/>
    <n v="50000000"/>
    <n v="0"/>
    <s v="Mensual"/>
    <n v="1"/>
    <x v="0"/>
    <n v="0"/>
    <s v=""/>
    <x v="1"/>
  </r>
  <r>
    <x v="88"/>
    <x v="85"/>
    <n v="51931422"/>
    <x v="85"/>
    <n v="41600000"/>
    <s v=" 130121-0-2013"/>
    <n v="2013"/>
    <s v=" "/>
    <d v="2013-05-02T00:00:00"/>
    <d v="2014-03-01T00:00:00"/>
    <n v="0"/>
    <n v="0"/>
    <n v="0"/>
    <s v=""/>
    <s v=""/>
    <d v="2014-03-01T00:00:00"/>
    <n v="41600000"/>
    <n v="41600000"/>
    <n v="0"/>
    <s v="Mensual"/>
    <n v="1"/>
    <x v="0"/>
    <n v="0"/>
    <s v=""/>
    <x v="1"/>
  </r>
  <r>
    <x v="89"/>
    <x v="16"/>
    <n v="899999115"/>
    <x v="86"/>
    <n v="160000000"/>
    <s v=" "/>
    <n v="2013"/>
    <s v=" "/>
    <d v="2013-05-17T00:00:00"/>
    <d v="2013-07-22T00:00:00"/>
    <n v="1"/>
    <n v="80000000"/>
    <n v="1"/>
    <s v="1 mes"/>
    <d v="2013-08-22T00:00:00"/>
    <d v="2013-08-22T00:00:00"/>
    <n v="240000000"/>
    <n v="239999964"/>
    <n v="36"/>
    <s v="La Secretaría Distrital de Hacienda efectuará dos (2) pagos mensuales vencidos correspondientes a la gestión del servicio integral de impresión la cual incluirá el valor correspondiente Al cupo mensual de impresiones establecido por la Secretaría Distrital de Hacienda y el Concejo de Bogotá, más el valor de las impresiones adicionales (fuera del rango base establecido por la Secretaría y el Concejo de Bogotá) en el mismo periodo."/>
    <n v="0.99999985000000002"/>
    <x v="0"/>
    <n v="1.4999999997655777E-7"/>
    <s v=""/>
    <x v="1"/>
  </r>
  <r>
    <x v="90"/>
    <x v="42"/>
    <n v="830034865"/>
    <x v="43"/>
    <n v="55784000"/>
    <s v=" "/>
    <n v="2013"/>
    <s v=" "/>
    <d v="2013-05-09T00:00:00"/>
    <d v="2014-02-08T00:00:00"/>
    <n v="1"/>
    <n v="11395000"/>
    <n v="3"/>
    <s v="7 meses"/>
    <d v="2014-09-08T00:00:00"/>
    <d v="2014-09-08T00:00:00"/>
    <n v="67179000"/>
    <n v="67115300"/>
    <n v="63700"/>
    <s v="Mensual"/>
    <n v="0.9990517870167761"/>
    <x v="0"/>
    <n v="9.4821298322389502E-4"/>
    <s v=""/>
    <x v="1"/>
  </r>
  <r>
    <x v="91"/>
    <x v="33"/>
    <n v="830095213"/>
    <x v="34"/>
    <n v="351295000"/>
    <s v=" SDH-SAMC-02-2013"/>
    <n v="2013"/>
    <s v=" "/>
    <d v="2013-06-01T00:00:00"/>
    <d v="2014-02-01T00:00:00"/>
    <n v="2"/>
    <n v="121839060"/>
    <n v="3"/>
    <s v="5 meses"/>
    <d v="2014-06-30T00:00:00"/>
    <d v="2014-06-30T00:00:00"/>
    <n v="473134060"/>
    <n v="473133510"/>
    <n v="550"/>
    <s v="Mensual"/>
    <n v="0.99999883753877283"/>
    <x v="0"/>
    <n v="1.1624612271665669E-6"/>
    <s v=""/>
    <x v="1"/>
  </r>
  <r>
    <x v="92"/>
    <x v="86"/>
    <n v="830070625"/>
    <x v="87"/>
    <n v="2096276"/>
    <s v=" SDH-SMINC-06-2013"/>
    <n v="2013"/>
    <s v=" "/>
    <d v="2013-05-23T00:00:00"/>
    <d v="2014-02-22T00:00:00"/>
    <n v="0"/>
    <n v="0"/>
    <n v="0"/>
    <s v=""/>
    <s v=""/>
    <d v="2014-02-22T00:00:00"/>
    <n v="2096276"/>
    <n v="2086672"/>
    <n v="9604"/>
    <s v="Se efectuará un pago por cada una de las visitas de mantenimiento preventivo efectuadas. Los repuestos se cancelarán de acuerdo a la demanda requerida en el respectivo periodo, manteniendo los precios unitarios ofrecidos en la propuesta."/>
    <n v="0.99541854221486104"/>
    <x v="0"/>
    <n v="4.5814577851389648E-3"/>
    <s v=""/>
    <x v="0"/>
  </r>
  <r>
    <x v="93"/>
    <x v="87"/>
    <n v="860019063"/>
    <x v="88"/>
    <n v="12594000"/>
    <s v=" "/>
    <n v="2013"/>
    <s v=" "/>
    <d v="2013-05-22T00:00:00"/>
    <d v="2014-01-21T00:00:00"/>
    <n v="1"/>
    <n v="6150000"/>
    <n v="0"/>
    <s v=""/>
    <s v=""/>
    <d v="2014-01-21T00:00:00"/>
    <n v="18744000"/>
    <n v="18286734"/>
    <n v="457266"/>
    <s v="Los mantenimientos correctivos y el suministro de repuestos se cancelarán mensualmente de acuerdo con los servicios efectivamente prestados."/>
    <n v="0.9756046734955186"/>
    <x v="0"/>
    <n v="2.4395326504481396E-2"/>
    <s v=""/>
    <x v="0"/>
  </r>
  <r>
    <x v="94"/>
    <x v="41"/>
    <n v="830067096"/>
    <x v="89"/>
    <n v="7740000"/>
    <s v=" 130139-0-2013"/>
    <n v="2013"/>
    <s v=" "/>
    <d v="2013-05-16T00:00:00"/>
    <d v="2014-05-15T00:00:00"/>
    <n v="0"/>
    <n v="0"/>
    <n v="0"/>
    <s v=""/>
    <s v=""/>
    <d v="2014-05-15T00:00:00"/>
    <n v="7740000"/>
    <n v="7740000"/>
    <n v="0"/>
    <m/>
    <n v="1"/>
    <x v="0"/>
    <n v="0"/>
    <s v=""/>
    <x v="1"/>
  </r>
  <r>
    <x v="95"/>
    <x v="88"/>
    <n v="52353202"/>
    <x v="84"/>
    <n v="50000000"/>
    <s v=" "/>
    <n v="2013"/>
    <s v=" "/>
    <d v="2013-05-16T00:00:00"/>
    <d v="2014-03-15T00:00:00"/>
    <n v="0"/>
    <n v="0"/>
    <n v="0"/>
    <s v=""/>
    <s v=""/>
    <d v="2014-03-15T00:00:00"/>
    <n v="50000000"/>
    <n v="27500000"/>
    <n v="22500000"/>
    <s v="Mensual"/>
    <n v="0.55000000000000004"/>
    <x v="0"/>
    <n v="0.44999999999999996"/>
    <s v=""/>
    <x v="0"/>
  </r>
  <r>
    <x v="96"/>
    <x v="89"/>
    <n v="900333228"/>
    <x v="90"/>
    <n v="9366000"/>
    <s v=" SDH-SMINC-007-2013"/>
    <n v="2013"/>
    <s v=" "/>
    <d v="2013-05-29T00:00:00"/>
    <d v="2014-02-28T00:00:00"/>
    <n v="0"/>
    <n v="0"/>
    <n v="0"/>
    <s v=""/>
    <s v=""/>
    <d v="2014-02-28T00:00:00"/>
    <n v="9366000"/>
    <n v="7783682"/>
    <n v="1582318"/>
    <s v="Se efectuará un pago por cada una de las visitas de mantenimiento preventivo efectuadas. Los repuestos se cancelarán de acuerdo a la demanda requerida en el respectivo periodo, manteniendo los precios unitarios ofrecidos en la propuesta."/>
    <n v="0.83105722827247486"/>
    <x v="0"/>
    <n v="0.16894277172752514"/>
    <s v=""/>
    <x v="0"/>
  </r>
  <r>
    <x v="97"/>
    <x v="51"/>
    <n v="900611595"/>
    <x v="52"/>
    <n v="22300000"/>
    <s v=" SDH-SAMC-01-2013"/>
    <n v="2013"/>
    <s v=" "/>
    <d v="2013-05-16T00:00:00"/>
    <d v="2013-12-15T00:00:00"/>
    <n v="3"/>
    <n v="10820000"/>
    <n v="3"/>
    <s v="6 meses  "/>
    <d v="2014-06-16T00:00:00"/>
    <d v="2014-06-16T00:00:00"/>
    <n v="33120000"/>
    <n v="32832950"/>
    <n v="287050"/>
    <s v="Mensual"/>
    <n v="0.99133303140096618"/>
    <x v="0"/>
    <n v="8.6669685990338197E-3"/>
    <s v=""/>
    <x v="0"/>
  </r>
  <r>
    <x v="98"/>
    <x v="90"/>
    <n v="830109807"/>
    <x v="91"/>
    <n v="1030000"/>
    <s v=" "/>
    <n v="2013"/>
    <s v=" "/>
    <d v="2013-06-13T00:00:00"/>
    <d v="2014-06-12T00:00:00"/>
    <n v="0"/>
    <n v="0"/>
    <n v="0"/>
    <s v=""/>
    <s v=""/>
    <d v="2014-06-12T00:00:00"/>
    <n v="1030000"/>
    <n v="1030000"/>
    <n v="0"/>
    <s v="Único pago"/>
    <n v="1"/>
    <x v="0"/>
    <n v="0"/>
    <s v=""/>
    <x v="1"/>
  </r>
  <r>
    <x v="99"/>
    <x v="91"/>
    <n v="830005370"/>
    <x v="92"/>
    <n v="1379939352"/>
    <s v=" "/>
    <n v="2013"/>
    <s v=" "/>
    <d v="2013-05-27T00:00:00"/>
    <d v="2014-05-26T00:00:00"/>
    <n v="1"/>
    <n v="172492424"/>
    <n v="3"/>
    <s v="3 meses y 20 días"/>
    <d v="2014-09-15T00:00:00"/>
    <d v="2014-09-15T00:00:00"/>
    <n v="1552431776"/>
    <n v="1552431775"/>
    <n v="1"/>
    <s v="Mensual"/>
    <n v="0.99999999935584927"/>
    <x v="0"/>
    <n v="6.4415073275370105E-10"/>
    <s v=""/>
    <x v="1"/>
  </r>
  <r>
    <x v="100"/>
    <x v="20"/>
    <n v="860009759"/>
    <x v="21"/>
    <n v="849000"/>
    <s v=" "/>
    <n v="2013"/>
    <s v=" "/>
    <d v="2013-05-27T00:00:00"/>
    <d v="2014-11-26T00:00:00"/>
    <n v="0"/>
    <n v="0"/>
    <n v="0"/>
    <s v=""/>
    <s v=""/>
    <d v="2014-11-26T00:00:00"/>
    <n v="849000"/>
    <n v="849000"/>
    <n v="0"/>
    <s v="Único pago"/>
    <n v="1"/>
    <x v="0"/>
    <n v="0"/>
    <s v=""/>
    <x v="1"/>
  </r>
  <r>
    <x v="101"/>
    <x v="92"/>
    <n v="830101973"/>
    <x v="93"/>
    <n v="15000000"/>
    <s v=" "/>
    <n v="2013"/>
    <s v=" "/>
    <d v="2013-07-04T00:00:00"/>
    <d v="2014-03-03T00:00:00"/>
    <n v="0"/>
    <n v="0"/>
    <n v="1"/>
    <s v="4 meses"/>
    <d v="2014-07-03T00:00:00"/>
    <d v="2014-07-03T00:00:00"/>
    <n v="15000000"/>
    <n v="5368620"/>
    <n v="9631380"/>
    <s v="Mensual"/>
    <n v="0.357908"/>
    <x v="0"/>
    <n v="0.642092"/>
    <s v=""/>
    <x v="0"/>
  </r>
  <r>
    <x v="102"/>
    <x v="50"/>
    <n v="830053669"/>
    <x v="51"/>
    <n v="31904847"/>
    <s v=" SDH-SIE-01-2013"/>
    <n v="2013"/>
    <s v=" "/>
    <d v="2013-06-01T00:00:00"/>
    <d v="2014-03-31T00:00:00"/>
    <n v="2"/>
    <n v="4000000"/>
    <n v="2"/>
    <s v="3 meses"/>
    <d v="2014-06-30T00:00:00"/>
    <d v="2014-06-30T00:00:00"/>
    <n v="35904847"/>
    <n v="35904845"/>
    <n v="2"/>
    <s v="Mensual"/>
    <n v="0.99999994429721428"/>
    <x v="0"/>
    <n v="5.5702785717315351E-8"/>
    <s v=""/>
    <x v="1"/>
  </r>
  <r>
    <x v="103"/>
    <x v="93"/>
    <n v="230802"/>
    <x v="94"/>
    <n v="40000000"/>
    <s v=" 130161-0-2013"/>
    <n v="2013"/>
    <s v=" "/>
    <d v="2013-05-22T00:00:00"/>
    <d v="2014-01-21T00:00:00"/>
    <n v="0"/>
    <n v="0"/>
    <n v="0"/>
    <s v=""/>
    <s v=""/>
    <d v="2014-01-21T00:00:00"/>
    <n v="40000000"/>
    <n v="16667000"/>
    <n v="23333000"/>
    <s v="Mensual"/>
    <n v="0.41667500000000002"/>
    <x v="0"/>
    <n v="0.58332499999999998"/>
    <s v=""/>
    <x v="0"/>
  </r>
  <r>
    <x v="104"/>
    <x v="56"/>
    <n v="860049921"/>
    <x v="95"/>
    <n v="4524000"/>
    <s v=" "/>
    <n v="2013"/>
    <s v=" "/>
    <d v="2013-10-01T00:00:00"/>
    <d v="2013-10-31T00:00:00"/>
    <n v="0"/>
    <n v="0"/>
    <n v="0"/>
    <s v=""/>
    <s v=""/>
    <d v="2013-10-31T00:00:00"/>
    <n v="4524000"/>
    <n v="4524000"/>
    <n v="0"/>
    <s v="El servicio será cancelado una vez realizada la auditoría de seguimiento, previa presentación de la factura correspondiente y aprobación de la misma por parte del supervisor del contrato, acompañada de la correspondiente Certificación de cumplimiento a satisfacción expedidas por el mismo, en las cuales conste el valor a pagar por el contratista  Los pagos se efectuarán dentro de los diez (10) días hábiles siguientes a la radicación en la Subdirección Financiera  de la certificación de cumplimiento a satisfacción del objeto y obligaciones expedida por el supervisor del contrato, acompañada de los recibos de pago por concepto de aportes al Sistema de Seguridad Social Integral salud y pensión y Riesgos Laborales."/>
    <n v="1"/>
    <x v="0"/>
    <n v="0"/>
    <s v=""/>
    <x v="1"/>
  </r>
  <r>
    <x v="105"/>
    <x v="94"/>
    <n v="79887061"/>
    <x v="96"/>
    <n v="20800000"/>
    <s v=" "/>
    <n v="2013"/>
    <s v=" "/>
    <d v="2013-05-27T00:00:00"/>
    <d v="2014-01-26T00:00:00"/>
    <n v="0"/>
    <n v="0"/>
    <n v="0"/>
    <s v=""/>
    <s v=""/>
    <d v="2014-01-26T00:00:00"/>
    <n v="20800000"/>
    <n v="20800000"/>
    <n v="0"/>
    <s v="Mensual"/>
    <n v="1"/>
    <x v="0"/>
    <n v="0"/>
    <s v=""/>
    <x v="1"/>
  </r>
  <r>
    <x v="106"/>
    <x v="95"/>
    <n v="51721571"/>
    <x v="97"/>
    <n v="28000000"/>
    <s v=" "/>
    <n v="2013"/>
    <s v=" "/>
    <d v="2013-05-29T00:00:00"/>
    <d v="2014-01-28T00:00:00"/>
    <n v="0"/>
    <n v="0"/>
    <n v="0"/>
    <s v=""/>
    <s v=""/>
    <d v="2014-01-28T00:00:00"/>
    <n v="28000000"/>
    <n v="28000000"/>
    <n v="0"/>
    <s v="Mensual"/>
    <n v="1"/>
    <x v="0"/>
    <n v="0"/>
    <s v=""/>
    <x v="1"/>
  </r>
  <r>
    <x v="107"/>
    <x v="96"/>
    <n v="800026212"/>
    <x v="98"/>
    <n v="266580829"/>
    <s v=" "/>
    <n v="2013"/>
    <s v=" "/>
    <d v="2013-07-02T00:00:00"/>
    <d v="2013-08-15T00:00:00"/>
    <n v="0"/>
    <n v="0"/>
    <n v="0"/>
    <s v=""/>
    <s v=""/>
    <d v="2013-08-15T00:00:00"/>
    <n v="266580829"/>
    <n v="266580829"/>
    <n v="0"/>
    <m/>
    <n v="1"/>
    <x v="0"/>
    <n v="0"/>
    <s v=""/>
    <x v="1"/>
  </r>
  <r>
    <x v="108"/>
    <x v="97"/>
    <n v="900450570"/>
    <x v="99"/>
    <n v="232000000"/>
    <s v=" "/>
    <n v="2013"/>
    <s v=" "/>
    <d v="2013-07-08T00:00:00"/>
    <d v="2014-05-07T00:00:00"/>
    <n v="2"/>
    <n v="116897514"/>
    <n v="1"/>
    <s v="2 meses y 22 días"/>
    <d v="2014-07-29T00:00:00"/>
    <d v="2014-07-29T00:00:00"/>
    <n v="348897514"/>
    <n v="348897514"/>
    <n v="0"/>
    <s v="Mensual"/>
    <n v="1"/>
    <x v="0"/>
    <n v="0"/>
    <s v=""/>
    <x v="1"/>
  </r>
  <r>
    <x v="109"/>
    <x v="65"/>
    <n v="830100153"/>
    <x v="100"/>
    <n v="23246000"/>
    <s v=" "/>
    <n v="2013"/>
    <s v=" "/>
    <d v="2013-07-08T00:00:00"/>
    <d v="2014-01-07T00:00:00"/>
    <n v="0"/>
    <n v="0"/>
    <n v="2"/>
    <s v="3 meses"/>
    <d v="2014-04-07T00:00:00"/>
    <d v="2014-04-07T00:00:00"/>
    <n v="23246000"/>
    <n v="19772977"/>
    <n v="3473023"/>
    <s v="Mensual"/>
    <n v="0.85059696291835152"/>
    <x v="0"/>
    <n v="0.14940303708164848"/>
    <s v=""/>
    <x v="0"/>
  </r>
  <r>
    <x v="110"/>
    <x v="48"/>
    <n v="900548648"/>
    <x v="101"/>
    <n v="301200000"/>
    <s v=" "/>
    <n v="2013"/>
    <s v=" "/>
    <d v="2013-06-21T00:00:00"/>
    <d v="2014-03-20T00:00:00"/>
    <n v="1"/>
    <n v="20373359"/>
    <n v="2"/>
    <s v="3 meses"/>
    <d v="2014-06-20T00:00:00"/>
    <d v="2014-06-20T00:00:00"/>
    <n v="321573359"/>
    <n v="317232018"/>
    <n v="4341341"/>
    <m/>
    <n v="0.98649968699677015"/>
    <x v="0"/>
    <n v="1.3500313003229847E-2"/>
    <s v=""/>
    <x v="0"/>
  </r>
  <r>
    <x v="111"/>
    <x v="98"/>
    <n v="80422654"/>
    <x v="102"/>
    <n v="15797970"/>
    <s v=" "/>
    <n v="2013"/>
    <s v=" "/>
    <d v="2013-07-09T00:00:00"/>
    <d v="2014-04-08T00:00:00"/>
    <n v="2"/>
    <n v="6494721"/>
    <n v="2"/>
    <s v="3 meses y 21 días"/>
    <d v="2014-07-31T00:00:00"/>
    <d v="2014-07-31T00:00:00"/>
    <n v="22292691"/>
    <n v="22292691"/>
    <n v="0"/>
    <s v="La Secretaría Distrital de Hacienda pagará el valor facturado correspondiente de la siguiente manera:  El 90% del valor del contrato se cancelará mediante ocho (8) pagos mensuales iguales, previa presentación de las facturas respectivas y aprobación de las mismas y la certificación de cumplimiento expedida por el supervisor  del contrato."/>
    <n v="1"/>
    <x v="0"/>
    <n v="0"/>
    <s v=""/>
    <x v="1"/>
  </r>
  <r>
    <x v="112"/>
    <x v="99"/>
    <n v="4098836"/>
    <x v="103"/>
    <n v="23989000"/>
    <s v=" "/>
    <n v="2013"/>
    <s v=" "/>
    <d v="2013-07-02T00:00:00"/>
    <d v="2014-02-01T00:00:00"/>
    <n v="0"/>
    <n v="0"/>
    <n v="0"/>
    <s v=""/>
    <s v=""/>
    <d v="2014-02-01T00:00:00"/>
    <n v="23989000"/>
    <n v="23989000"/>
    <n v="0"/>
    <s v="Mensual"/>
    <n v="1"/>
    <x v="0"/>
    <n v="0"/>
    <s v=""/>
    <x v="1"/>
  </r>
  <r>
    <x v="113"/>
    <x v="73"/>
    <n v="4831"/>
    <x v="75"/>
    <n v="13576000"/>
    <s v=" "/>
    <n v="2013"/>
    <s v=" "/>
    <d v="2013-07-15T00:00:00"/>
    <d v="2014-03-14T00:00:00"/>
    <n v="1"/>
    <n v="6000000"/>
    <n v="0"/>
    <s v=""/>
    <s v=""/>
    <d v="2014-03-14T00:00:00"/>
    <n v="19576000"/>
    <n v="19571370"/>
    <n v="4630"/>
    <s v="Mensual"/>
    <n v="0.99976348590110342"/>
    <x v="0"/>
    <n v="2.365140988965786E-4"/>
    <s v=""/>
    <x v="1"/>
  </r>
  <r>
    <x v="114"/>
    <x v="100"/>
    <n v="900090485"/>
    <x v="104"/>
    <n v="6499930"/>
    <s v=" "/>
    <n v="2013"/>
    <s v=" "/>
    <d v="2013-07-16T00:00:00"/>
    <d v="2013-10-15T00:00:00"/>
    <n v="0"/>
    <n v="0"/>
    <n v="0"/>
    <s v=""/>
    <s v=""/>
    <d v="2013-10-15T00:00:00"/>
    <n v="6499930"/>
    <n v="6499930"/>
    <n v="0"/>
    <m/>
    <n v="1"/>
    <x v="0"/>
    <n v="0"/>
    <s v=""/>
    <x v="1"/>
  </r>
  <r>
    <x v="115"/>
    <x v="101"/>
    <n v="804002433"/>
    <x v="105"/>
    <n v="2367000"/>
    <s v=" SDH-SMINC-27-2013"/>
    <n v="2013"/>
    <s v=" "/>
    <d v="2013-07-17T00:00:00"/>
    <d v="2013-09-16T00:00:00"/>
    <n v="0"/>
    <n v="0"/>
    <n v="0"/>
    <s v=""/>
    <s v=""/>
    <d v="2013-09-16T00:00:00"/>
    <n v="2367000"/>
    <n v="2367000"/>
    <n v="0"/>
    <s v="Un pago equivalente al 100% del valor del contrato, una vez se hayan entregado y aprobado por el supervisor la totalidad de los resultados objeto del contrato."/>
    <n v="1"/>
    <x v="0"/>
    <n v="0"/>
    <s v=""/>
    <x v="1"/>
  </r>
  <r>
    <x v="116"/>
    <x v="102"/>
    <n v="900629446"/>
    <x v="106"/>
    <n v="269441460"/>
    <s v=" "/>
    <n v="2013"/>
    <s v=" "/>
    <d v="2013-07-09T00:00:00"/>
    <d v="2014-03-08T00:00:00"/>
    <n v="0"/>
    <n v="0"/>
    <n v="2"/>
    <s v="3 meses y 23 días"/>
    <d v="2014-06-30T00:00:00"/>
    <d v="2014-06-30T00:00:00"/>
    <n v="269441460"/>
    <n v="265223666"/>
    <n v="4217794"/>
    <s v="Mensual"/>
    <n v="0.98434615815992088"/>
    <x v="0"/>
    <n v="1.5653841840079119E-2"/>
    <s v=""/>
    <x v="0"/>
  </r>
  <r>
    <x v="117"/>
    <x v="27"/>
    <n v="860536029"/>
    <x v="107"/>
    <n v="840000"/>
    <n v="130209"/>
    <n v="2013"/>
    <s v=" "/>
    <d v="2013-09-14T00:00:00"/>
    <d v="2014-09-13T00:00:00"/>
    <n v="0"/>
    <n v="0"/>
    <n v="0"/>
    <s v=""/>
    <s v=""/>
    <d v="2014-09-13T00:00:00"/>
    <n v="840000"/>
    <n v="840000"/>
    <n v="0"/>
    <s v="Único pago"/>
    <n v="1"/>
    <x v="0"/>
    <n v="0"/>
    <s v=""/>
    <x v="1"/>
  </r>
  <r>
    <x v="118"/>
    <x v="64"/>
    <n v="80199707"/>
    <x v="65"/>
    <n v="38271000"/>
    <s v=" "/>
    <n v="2013"/>
    <s v=" "/>
    <d v="2013-07-17T00:00:00"/>
    <d v="2014-02-16T00:00:00"/>
    <n v="0"/>
    <n v="0"/>
    <n v="1"/>
    <s v="1 mes"/>
    <d v="2014-03-16T00:00:00"/>
    <d v="2014-03-16T00:00:00"/>
    <n v="38271000"/>
    <n v="38271000"/>
    <n v="0"/>
    <s v="Mensual"/>
    <n v="1"/>
    <x v="0"/>
    <n v="0"/>
    <s v=""/>
    <x v="1"/>
  </r>
  <r>
    <x v="119"/>
    <x v="103"/>
    <n v="890903407"/>
    <x v="108"/>
    <n v="4001000"/>
    <s v=" SDH-SMINC-31-2013"/>
    <n v="2013"/>
    <s v=" "/>
    <d v="2013-07-17T00:00:00"/>
    <d v="2015-03-19T00:00:00"/>
    <n v="0"/>
    <n v="0"/>
    <n v="1"/>
    <s v="1 mes"/>
    <d v="2014-03-16T00:00:00"/>
    <d v="2015-03-19T00:00:00"/>
    <n v="4001000"/>
    <n v="4001000"/>
    <n v="0"/>
    <s v="Los pagos se efectuarán dentro de los sesenta (60) días calendario siguientes al recibo del original de la póliza adjudicada, previa revisión del intermediario de seguros y aprobación del Supervisor del contrato, la cual debe ser radicada en la Subdirección Financiera, acompañadas de las respectivas certificaciones de cumplimiento a satisfacción del objeto y obligaciones, expedida por el supervisor del contrato y de los respectivos recibos de pago por concepto de aportes al Sistema de Seguridad Social "/>
    <n v="1"/>
    <x v="0"/>
    <n v="0"/>
    <s v=""/>
    <x v="1"/>
  </r>
  <r>
    <x v="120"/>
    <x v="104"/>
    <n v="900268429"/>
    <x v="109"/>
    <n v="10222000"/>
    <s v=" SDH-SMINC-023-2013"/>
    <n v="2013"/>
    <s v=" "/>
    <d v="2013-10-01T00:00:00"/>
    <d v="2014-05-31T00:00:00"/>
    <n v="0"/>
    <n v="0"/>
    <n v="0"/>
    <s v=""/>
    <s v=""/>
    <d v="2014-05-31T00:00:00"/>
    <n v="10222000"/>
    <n v="10208006"/>
    <n v="13994"/>
    <s v="Los pagos se realizarán cada dos (2) meses de acuerdo a los servicios efectivamente prestados por concepto de mantenimiento preventivo y correctivo. Los insumos se cancelarán de acuerdo a la demanda requerida en el respectivo periodo, manteniendo los precios ofrecidos en la propuesta, previa presentación del informe de los servicios prestados por parte del contratista y certificación de cumplimiento y recibo a satisfacción del servicio, expedida por el supervisor del contrato en la cual se indique el valor a pagar al contratista._x000a_"/>
    <n v="0.99863099197808647"/>
    <x v="0"/>
    <n v="1.3690080219135314E-3"/>
    <s v=""/>
    <x v="0"/>
  </r>
  <r>
    <x v="121"/>
    <x v="105"/>
    <n v="80117116"/>
    <x v="110"/>
    <n v="23989000"/>
    <s v=" 130220-0-2013"/>
    <n v="2013"/>
    <s v=" "/>
    <d v="2013-07-22T00:00:00"/>
    <d v="2014-02-21T00:00:00"/>
    <n v="0"/>
    <n v="0"/>
    <n v="0"/>
    <s v=""/>
    <s v=""/>
    <d v="2014-02-21T00:00:00"/>
    <n v="23989000"/>
    <n v="23989000"/>
    <n v="0"/>
    <s v="Mensual"/>
    <n v="1"/>
    <x v="0"/>
    <n v="0"/>
    <s v=""/>
    <x v="1"/>
  </r>
  <r>
    <x v="122"/>
    <x v="28"/>
    <n v="860509265"/>
    <x v="111"/>
    <n v="795000"/>
    <s v=" 130227-0-2013"/>
    <n v="2013"/>
    <s v=" "/>
    <d v="2013-09-30T00:00:00"/>
    <d v="2014-09-29T00:00:00"/>
    <n v="0"/>
    <n v="0"/>
    <n v="0"/>
    <s v=""/>
    <s v=""/>
    <d v="2014-09-29T00:00:00"/>
    <n v="795000"/>
    <n v="795000"/>
    <n v="0"/>
    <s v="Único pago"/>
    <n v="1"/>
    <x v="0"/>
    <n v="0"/>
    <s v=""/>
    <x v="1"/>
  </r>
  <r>
    <x v="123"/>
    <x v="26"/>
    <n v="860007590"/>
    <x v="112"/>
    <n v="936000"/>
    <s v=" 130228-0-2013"/>
    <n v="2013"/>
    <s v=" "/>
    <d v="2013-09-11T00:00:00"/>
    <d v="2014-09-10T00:00:00"/>
    <n v="0"/>
    <n v="0"/>
    <n v="0"/>
    <s v=""/>
    <s v=""/>
    <d v="2014-09-10T00:00:00"/>
    <n v="936000"/>
    <n v="936000"/>
    <n v="0"/>
    <s v="Único pago"/>
    <n v="1"/>
    <x v="0"/>
    <n v="0"/>
    <s v=""/>
    <x v="1"/>
  </r>
  <r>
    <x v="124"/>
    <x v="106"/>
    <n v="1016050827"/>
    <x v="113"/>
    <n v="3847300"/>
    <s v=" "/>
    <n v="2013"/>
    <s v=" "/>
    <d v="2013-08-08T00:00:00"/>
    <d v="2014-05-07T00:00:00"/>
    <n v="0"/>
    <n v="0"/>
    <n v="1"/>
    <s v="3 meses"/>
    <d v="2014-08-07T00:00:00"/>
    <d v="2014-08-07T00:00:00"/>
    <n v="3847300"/>
    <n v="3847300"/>
    <n v="0"/>
    <m/>
    <n v="1"/>
    <x v="0"/>
    <n v="0"/>
    <s v=""/>
    <x v="1"/>
  </r>
  <r>
    <x v="125"/>
    <x v="1"/>
    <n v="800015583"/>
    <x v="114"/>
    <n v="46411000"/>
    <s v=" "/>
    <n v="2013"/>
    <s v=" "/>
    <d v="2013-08-14T00:00:00"/>
    <d v="2014-06-13T00:00:00"/>
    <n v="2"/>
    <n v="14282200"/>
    <n v="1"/>
    <s v="2 meses"/>
    <d v="2014-08-13T00:00:00"/>
    <d v="2014-08-13T00:00:00"/>
    <n v="60693200"/>
    <n v="59391828"/>
    <n v="1301372"/>
    <s v="Se realizará un (1) pago para el servicio de mantenimiento preventivo correspondientes a la visita de mantenimiento con el contratista durante el plazo de ejecución del contrato, según el cronograma definido por la Secretaría Distrital de Hacienda, previa entrega del informe de las actividades realizadas en el mismo."/>
    <n v="0.97855819103293284"/>
    <x v="0"/>
    <n v="2.1441808967067155E-2"/>
    <s v=""/>
    <x v="0"/>
  </r>
  <r>
    <x v="126"/>
    <x v="107"/>
    <n v="830047489"/>
    <x v="115"/>
    <n v="4393120"/>
    <s v=" "/>
    <n v="2013"/>
    <s v=" "/>
    <d v="2013-08-26T00:00:00"/>
    <d v="2014-05-25T00:00:00"/>
    <n v="0"/>
    <n v="0"/>
    <n v="1"/>
    <s v="3 meses"/>
    <d v="2014-08-25T00:00:00"/>
    <d v="2014-08-25T00:00:00"/>
    <n v="4393120"/>
    <n v="2578000"/>
    <n v="1815120"/>
    <s v="Mensual"/>
    <n v="0.58682667443639147"/>
    <x v="0"/>
    <n v="0.41317332556360853"/>
    <s v=""/>
    <x v="0"/>
  </r>
  <r>
    <x v="127"/>
    <x v="108"/>
    <n v="900055635"/>
    <x v="116"/>
    <n v="16804000"/>
    <s v=" "/>
    <n v="2013"/>
    <s v=" "/>
    <d v="2013-09-06T00:00:00"/>
    <d v="2014-05-05T00:00:00"/>
    <n v="1"/>
    <n v="8400000"/>
    <n v="3"/>
    <s v="11 meses"/>
    <d v="2015-04-05T00:00:00"/>
    <d v="2015-04-05T00:00:00"/>
    <n v="25204000"/>
    <n v="25201450"/>
    <n v="2550"/>
    <s v="Mensual"/>
    <n v="0.99989882558324072"/>
    <x v="0"/>
    <n v="1.0117441675927541E-4"/>
    <s v=""/>
    <x v="1"/>
  </r>
  <r>
    <x v="128"/>
    <x v="109"/>
    <n v="800230639"/>
    <x v="117"/>
    <n v="86923131"/>
    <s v=" "/>
    <n v="2013"/>
    <s v=" "/>
    <d v="2013-08-20T00:00:00"/>
    <d v="2014-08-20T00:00:00"/>
    <n v="1"/>
    <n v="43461566"/>
    <n v="1"/>
    <s v="5 meses"/>
    <d v="2015-02-20T00:00:00"/>
    <d v="2015-02-20T00:00:00"/>
    <n v="130384697"/>
    <n v="96359635"/>
    <n v="34025062"/>
    <m/>
    <n v="0.7390409857684449"/>
    <x v="0"/>
    <n v="0.2609590142315551"/>
    <s v=""/>
    <x v="0"/>
  </r>
  <r>
    <x v="129"/>
    <x v="110"/>
    <n v="800039398"/>
    <x v="118"/>
    <n v="45056000"/>
    <s v=" "/>
    <n v="2013"/>
    <s v=" "/>
    <d v="2013-09-16T00:00:00"/>
    <d v="2014-09-15T00:00:00"/>
    <n v="0"/>
    <n v="0"/>
    <n v="0"/>
    <s v=""/>
    <s v=""/>
    <d v="2014-09-15T00:00:00"/>
    <n v="45056000"/>
    <n v="25056000"/>
    <n v="20000000"/>
    <m/>
    <n v="0.55610795454545459"/>
    <x v="0"/>
    <n v="0.44389204545454541"/>
    <s v=""/>
    <x v="0"/>
  </r>
  <r>
    <x v="130"/>
    <x v="111"/>
    <n v="860066942"/>
    <x v="119"/>
    <n v="76223000"/>
    <s v=" SDH-SAMC-06-2013"/>
    <n v="2013"/>
    <s v=" "/>
    <d v="2013-09-24T00:00:00"/>
    <d v="2014-03-23T00:00:00"/>
    <n v="2"/>
    <n v="38002288"/>
    <n v="1"/>
    <s v="2 meses"/>
    <d v="2014-05-23T00:00:00"/>
    <d v="2014-05-23T00:00:00"/>
    <n v="114225288"/>
    <n v="114217068"/>
    <n v="8220"/>
    <m/>
    <n v="0.99992803695097709"/>
    <x v="0"/>
    <n v="7.1963049022905068E-5"/>
    <s v=""/>
    <x v="1"/>
  </r>
  <r>
    <x v="131"/>
    <x v="112"/>
    <n v="800105847"/>
    <x v="120"/>
    <n v="4715000"/>
    <s v=" SDH-SMINC-39-2013"/>
    <n v="2013"/>
    <s v=" "/>
    <d v="2013-10-08T00:00:00"/>
    <d v="2013-12-07T00:00:00"/>
    <n v="0"/>
    <n v="0"/>
    <n v="0"/>
    <s v=""/>
    <s v=""/>
    <d v="2013-12-07T00:00:00"/>
    <n v="4715000"/>
    <n v="4715000"/>
    <n v="0"/>
    <s v="Mensual"/>
    <n v="1"/>
    <x v="0"/>
    <n v="0"/>
    <s v=""/>
    <x v="1"/>
  </r>
  <r>
    <x v="132"/>
    <x v="113"/>
    <n v="899999230"/>
    <x v="121"/>
    <n v="457000000"/>
    <s v=" "/>
    <n v="2013"/>
    <s v=" "/>
    <d v="2013-10-09T00:00:00"/>
    <d v="2014-06-08T00:00:00"/>
    <n v="0"/>
    <n v="0"/>
    <n v="2"/>
    <s v="3 meses"/>
    <d v="2014-09-08T00:00:00"/>
    <d v="2014-09-08T00:00:00"/>
    <n v="457000000"/>
    <n v="416287285"/>
    <n v="40712715"/>
    <s v="Cuatro (4) pagos así: _x000a_a. Un primer pago equivalente al 40% del valor del contrato, a la entrega del plan de trabajo que incluya las etapas de planeación, preparación y presentación de contenidos, propuestas de las jornadas de capacitación y evaluación y de acuerdo con la concertación de los contenido temáticos, así como los diseños metodológicos de la capacitación, los cuales deberán estar acompañados del informe ejecutivo y avalado por el supervisor del contrato. _x000a_b. Un segundo pago equivalente al 25% del valor del contrato, previa presentación de los contenidos, resultados preliminares de las evaluaciones de entrada realizadas a los funcionarios, y el desarrollo del 30% de ejecución de los programas de capacitación, así como la entrega del informe de avance donde se evidencia la ejecución de las actividades antes mencionadas, aprobado por el supervisor del contrato._x000a_c. Un tercer pago equivalente al 25% del valor del contrato, al desarrollo del 70% de ejecución de los programas de capacitación, así como la entrega del informe de avance donde se evidencia la ejecución de las actividades antes mencionadas, aprobadas por el supervisor del contrato._x000a_d. Un cuarto y último pago equivalente al 10 % del valor del contrato, informe final de actividades que resuma el cumplimiento del objeto, los productos y obligaciones pactadas en su totalidad, y recibido a satisfacción por parte del supervisor._x000a__x000a_"/>
    <n v="0.91091309628008754"/>
    <x v="0"/>
    <n v="8.9086903719912458E-2"/>
    <s v=""/>
    <x v="0"/>
  </r>
  <r>
    <x v="133"/>
    <x v="114"/>
    <n v="900207129"/>
    <x v="122"/>
    <n v="3356320"/>
    <s v=" SDH-SMINC-40-2013"/>
    <n v="2013"/>
    <s v=" "/>
    <d v="2013-10-07T00:00:00"/>
    <d v="2014-01-06T00:00:00"/>
    <n v="0"/>
    <n v="0"/>
    <n v="0"/>
    <s v=""/>
    <s v=""/>
    <d v="2014-01-06T00:00:00"/>
    <n v="3356320"/>
    <n v="3356320"/>
    <n v="0"/>
    <s v="Único pago"/>
    <n v="1"/>
    <x v="0"/>
    <n v="0"/>
    <s v=""/>
    <x v="1"/>
  </r>
  <r>
    <x v="134"/>
    <x v="115"/>
    <n v="830069296"/>
    <x v="123"/>
    <n v="19965572"/>
    <s v=" SDH-SMINC-43-2013"/>
    <n v="2013"/>
    <s v=" "/>
    <d v="2013-10-08T00:00:00"/>
    <d v="2014-10-23T00:00:00"/>
    <n v="0"/>
    <n v="0"/>
    <n v="0"/>
    <s v=""/>
    <s v=""/>
    <d v="2014-10-23T00:00:00"/>
    <n v="19965572"/>
    <n v="19965572"/>
    <n v="0"/>
    <m/>
    <n v="1"/>
    <x v="0"/>
    <n v="0"/>
    <s v=""/>
    <x v="1"/>
  </r>
  <r>
    <x v="135"/>
    <x v="14"/>
    <n v="830112518"/>
    <x v="124"/>
    <n v="38280000"/>
    <s v=" "/>
    <n v="2013"/>
    <s v=" "/>
    <d v="2013-10-15T00:00:00"/>
    <d v="2014-10-14T00:00:00"/>
    <n v="0"/>
    <n v="0"/>
    <n v="0"/>
    <s v=""/>
    <s v=""/>
    <d v="2014-10-14T00:00:00"/>
    <n v="38280000"/>
    <n v="38280000"/>
    <n v="0"/>
    <s v="Mensual"/>
    <n v="1"/>
    <x v="0"/>
    <n v="0"/>
    <s v=""/>
    <x v="1"/>
  </r>
  <r>
    <x v="136"/>
    <x v="116"/>
    <n v="900309238"/>
    <x v="125"/>
    <n v="26073552"/>
    <s v=" SDH-SMINC-042-2013"/>
    <n v="2013"/>
    <s v=" "/>
    <d v="2013-10-15T00:00:00"/>
    <d v="2013-11-14T00:00:00"/>
    <n v="0"/>
    <n v="0"/>
    <n v="0"/>
    <s v=""/>
    <s v=""/>
    <d v="2013-11-14T00:00:00"/>
    <n v="26073552"/>
    <n v="26073552"/>
    <n v="0"/>
    <m/>
    <n v="1"/>
    <x v="0"/>
    <n v="0"/>
    <s v=""/>
    <x v="1"/>
  </r>
  <r>
    <x v="137"/>
    <x v="117"/>
    <n v="900542684"/>
    <x v="126"/>
    <n v="17262940"/>
    <s v=" SDH-SMINC-45-2013"/>
    <n v="2013"/>
    <s v=" "/>
    <d v="2013-10-23T00:00:00"/>
    <d v="2014-02-22T00:00:00"/>
    <n v="0"/>
    <n v="0"/>
    <n v="0"/>
    <s v=""/>
    <s v=""/>
    <d v="2014-02-22T00:00:00"/>
    <n v="17262940"/>
    <n v="17262940"/>
    <n v="0"/>
    <s v="Único pago"/>
    <n v="1"/>
    <x v="0"/>
    <n v="0"/>
    <s v=""/>
    <x v="1"/>
  </r>
  <r>
    <x v="138"/>
    <x v="58"/>
    <n v="900169179"/>
    <x v="127"/>
    <n v="810000"/>
    <s v=" 130297-0-2013"/>
    <n v="2013"/>
    <s v=" "/>
    <d v="2013-10-28T00:00:00"/>
    <d v="2014-10-27T00:00:00"/>
    <n v="0"/>
    <n v="0"/>
    <n v="0"/>
    <s v=""/>
    <s v=""/>
    <d v="2014-10-27T00:00:00"/>
    <n v="810000"/>
    <n v="810000"/>
    <n v="0"/>
    <m/>
    <n v="1"/>
    <x v="0"/>
    <n v="0"/>
    <s v=""/>
    <x v="1"/>
  </r>
  <r>
    <x v="139"/>
    <x v="118"/>
    <n v="830080652"/>
    <x v="128"/>
    <n v="5545000"/>
    <s v=" SDH-SMINC-44-2013"/>
    <n v="2013"/>
    <s v=" "/>
    <d v="2013-11-12T00:00:00"/>
    <d v="2014-01-11T00:00:00"/>
    <n v="0"/>
    <n v="0"/>
    <n v="0"/>
    <s v=""/>
    <s v=""/>
    <d v="2014-01-11T00:00:00"/>
    <n v="5545000"/>
    <n v="5545000"/>
    <n v="0"/>
    <s v="Único pago"/>
    <n v="1"/>
    <x v="0"/>
    <n v="0"/>
    <s v=""/>
    <x v="1"/>
  </r>
  <r>
    <x v="140"/>
    <x v="119"/>
    <n v="900236701"/>
    <x v="129"/>
    <n v="19360400"/>
    <s v=" SDH-SMINC-44-2013"/>
    <n v="2013"/>
    <s v=" "/>
    <d v="2013-11-12T00:00:00"/>
    <d v="2014-01-11T00:00:00"/>
    <n v="0"/>
    <n v="0"/>
    <n v="0"/>
    <s v=""/>
    <s v=""/>
    <d v="2014-01-11T00:00:00"/>
    <n v="19360400"/>
    <n v="19360400"/>
    <n v="0"/>
    <s v="Único pago"/>
    <n v="1"/>
    <x v="0"/>
    <n v="0"/>
    <s v=""/>
    <x v="1"/>
  </r>
  <r>
    <x v="141"/>
    <x v="120"/>
    <n v="860066942"/>
    <x v="130"/>
    <n v="336560000"/>
    <s v=" 130301-0-2013"/>
    <n v="2013"/>
    <s v=" "/>
    <d v="2013-10-25T00:00:00"/>
    <d v="2014-06-24T00:00:00"/>
    <n v="2"/>
    <n v="165720800"/>
    <n v="0"/>
    <s v=""/>
    <s v=""/>
    <d v="2014-06-24T00:00:00"/>
    <n v="502280800"/>
    <n v="502247588"/>
    <n v="33212"/>
    <m/>
    <n v="0.99993387762383112"/>
    <x v="0"/>
    <n v="6.6122376168875618E-5"/>
    <s v=""/>
    <x v="1"/>
  </r>
  <r>
    <x v="142"/>
    <x v="121"/>
    <n v="900228623"/>
    <x v="131"/>
    <n v="533636000"/>
    <s v=" SDH-SIE-11-2013"/>
    <n v="2013"/>
    <s v=" "/>
    <d v="2013-11-02T00:00:00"/>
    <d v="2014-11-01T00:00:00"/>
    <n v="1"/>
    <n v="159203272"/>
    <n v="1"/>
    <s v="1 mes"/>
    <d v="2014-12-02T00:00:00"/>
    <d v="2014-12-02T00:00:00"/>
    <n v="692839272"/>
    <n v="678164443"/>
    <n v="14674829"/>
    <s v="Mensual"/>
    <n v="0.97881928811910646"/>
    <x v="0"/>
    <n v="2.1180711880893544E-2"/>
    <s v=""/>
    <x v="0"/>
  </r>
  <r>
    <x v="143"/>
    <x v="122"/>
    <m/>
    <x v="132"/>
    <n v="150000000"/>
    <s v=" "/>
    <n v="2013"/>
    <s v=" "/>
    <d v="2013-12-02T00:00:00"/>
    <d v="2014-12-02T00:00:00"/>
    <n v="0"/>
    <n v="0"/>
    <n v="0"/>
    <s v=""/>
    <s v=""/>
    <d v="2014-12-02T00:00:00"/>
    <n v="150000000"/>
    <n v="0"/>
    <n v="150000000"/>
    <s v="Pagos mensuales vencidos durante la vigencia del contrato,  correspondiente al servicio mensual prestado y recibido a satisfacción por el supervisor del contrato._x000a__x000a_2. Un solo pago correspondiente a los servicios de actualización y soporte para el administrador de ancho de banda una vez se haga entrega del soporte de mantenimiento suscrito con el fabricante por valor de $39.900.000 incluido IVA._x000a__x000a_3. El valor destinado como Bolsa de Servicios, se pagará por demanda, de acuerdo a los requerimientos de nuevos servicios solicitados durante el mes que se causen._x000a_"/>
    <n v="0"/>
    <x v="0"/>
    <n v="1"/>
    <s v=""/>
    <x v="0"/>
  </r>
  <r>
    <x v="144"/>
    <x v="123"/>
    <n v="899999061"/>
    <x v="133"/>
    <n v="0"/>
    <s v=" "/>
    <n v="2013"/>
    <s v=" "/>
    <d v="2014-02-26T00:00:00"/>
    <d v="2016-02-25T00:00:00"/>
    <n v="0"/>
    <n v="0"/>
    <n v="0"/>
    <s v=""/>
    <s v=""/>
    <d v="2016-02-25T00:00:00"/>
    <n v="0"/>
    <n v="0"/>
    <n v="0"/>
    <m/>
    <e v="#DIV/0!"/>
    <x v="0"/>
    <e v="#DIV/0!"/>
    <s v=""/>
    <x v="2"/>
  </r>
  <r>
    <x v="145"/>
    <x v="55"/>
    <n v="860506170"/>
    <x v="134"/>
    <n v="2689440000"/>
    <s v=" 120000-518-0-2012"/>
    <n v="2012"/>
    <s v=" "/>
    <d v="2012-12-20T00:00:00"/>
    <d v="2014-12-20T00:00:00"/>
    <n v="4"/>
    <n v="1210934978"/>
    <n v="4"/>
    <s v="5 años y 6 meses y 10 dias calendario"/>
    <d v="2018-06-30T00:00:00"/>
    <d v="2018-06-30T00:00:00"/>
    <n v="3900374978"/>
    <n v="680003244"/>
    <n v="3220371734"/>
    <m/>
    <n v="0.17434304338314827"/>
    <x v="0"/>
    <n v="0.82565695661685168"/>
    <s v=""/>
    <x v="0"/>
  </r>
  <r>
    <x v="146"/>
    <x v="124"/>
    <n v="830110570"/>
    <x v="135"/>
    <n v="430036764"/>
    <s v=" SDH-SIE-010-2013"/>
    <n v="2013"/>
    <s v=" "/>
    <d v="2014-01-20T00:00:00"/>
    <d v="2014-04-19T00:00:00"/>
    <n v="0"/>
    <n v="0"/>
    <n v="0"/>
    <s v=""/>
    <s v=""/>
    <d v="2014-04-19T00:00:00"/>
    <n v="430036764"/>
    <n v="430036600"/>
    <n v="164"/>
    <s v="Se realizarán pagos parciales, cuyo valor corresponderá al valor unitario establecido en la propuesta final, por el número de equipos entregados por el contratista a la Secretaría Distrital de Hacienda y al Concejo de Bogotá. "/>
    <n v="0.99999961863725684"/>
    <x v="0"/>
    <n v="3.8136274316258323E-7"/>
    <s v=""/>
    <x v="1"/>
  </r>
  <r>
    <x v="147"/>
    <x v="40"/>
    <n v="80725449"/>
    <x v="136"/>
    <n v="6000000"/>
    <s v=" 130336-0-2013"/>
    <n v="2013"/>
    <s v=" "/>
    <d v="2013-12-12T00:00:00"/>
    <d v="2014-02-11T00:00:00"/>
    <n v="0"/>
    <n v="0"/>
    <n v="0"/>
    <s v=""/>
    <s v=""/>
    <d v="2014-02-11T00:00:00"/>
    <n v="6000000"/>
    <n v="6000000"/>
    <n v="0"/>
    <s v="Único pago"/>
    <n v="1"/>
    <x v="0"/>
    <n v="0"/>
    <s v=""/>
    <x v="1"/>
  </r>
  <r>
    <x v="148"/>
    <x v="125"/>
    <n v="860536079"/>
    <x v="137"/>
    <n v="7937504"/>
    <s v=" SDH-SMINC-53-2013"/>
    <n v="2013"/>
    <s v=" "/>
    <d v="2014-01-02T00:00:00"/>
    <d v="2015-01-01T00:00:00"/>
    <n v="0"/>
    <n v="0"/>
    <n v="0"/>
    <s v=""/>
    <s v=""/>
    <d v="2015-01-01T00:00:00"/>
    <n v="7937504"/>
    <n v="5992064"/>
    <n v="1945440"/>
    <s v="Un primer pago correspondiente al 100% del valor adjudicado según oferta presentada sobre las plantas purificadoras (ítem 1) instaladas y puestas en funcionamiento previa certificación de cumplimiento expedida por el supervisor del contrato._x000a_El valor de los mantenimientos preventivos (ítem 2) se pagará teniendo en cuenta el valor adjudicado para el respectivo ítem, una vez se hayan prestado los servicios y cuenten con la respectiva certificación de cumplimiento expedida por el supervisor del contrato_x000a__x000a_Los elementos e insumos susceptibles a cambio y/o desgaste (ítem 3) se cancelarán de acuerdo a su consumo, teniendo en cuenta la frecuencia de cambio y valores unitarios presentados en la oferta económica, previa certificación de cumplimiento expedida por el supervisor del contrato._x000a__x000a_"/>
    <n v="0.75490532036267322"/>
    <x v="0"/>
    <n v="0.24509467963732678"/>
    <s v=""/>
    <x v="0"/>
  </r>
  <r>
    <x v="149"/>
    <x v="126"/>
    <n v="79106019"/>
    <x v="138"/>
    <n v="15000000"/>
    <s v=" "/>
    <n v="2013"/>
    <s v=" "/>
    <d v="2013-12-04T00:00:00"/>
    <d v="2014-01-19T00:00:00"/>
    <n v="0"/>
    <n v="0"/>
    <n v="0"/>
    <s v=""/>
    <s v=""/>
    <d v="2014-01-19T00:00:00"/>
    <n v="15000000"/>
    <n v="15000000"/>
    <n v="0"/>
    <s v="1. Un pago por el 80% del valor del contrato al momento de la instalación y puesta en funcionamiento de la iluminación navideña objeto del contrato, previa presentación de certificación de recibo a satisfacción emitida por el Supervisor del contrato._x000a__x000a_2. El 20% restante al momento del retiro y desmonte de la iluminación navideña objeto del contrato, previa presentación de certificación de cumplimiento emitida por el Supervisor del contrato._x000a__x000a_"/>
    <n v="1"/>
    <x v="0"/>
    <n v="0"/>
    <s v=""/>
    <x v="1"/>
  </r>
  <r>
    <x v="150"/>
    <x v="127"/>
    <n v="800064773"/>
    <x v="139"/>
    <n v="452974000"/>
    <s v=" SDH-SIE-013-2013"/>
    <n v="2013"/>
    <s v=" "/>
    <d v="2013-12-13T00:00:00"/>
    <d v="2014-12-12T00:00:00"/>
    <n v="0"/>
    <n v="0"/>
    <n v="0"/>
    <s v=""/>
    <s v=""/>
    <d v="2014-12-12T00:00:00"/>
    <n v="452974000"/>
    <n v="452973998"/>
    <n v="2"/>
    <s v="Mensual"/>
    <n v="0.99999999558473551"/>
    <x v="0"/>
    <n v="4.4152644873562963E-9"/>
    <s v=""/>
    <x v="1"/>
  </r>
  <r>
    <x v="151"/>
    <x v="128"/>
    <n v="830113914"/>
    <x v="140"/>
    <n v="95000000"/>
    <s v=" "/>
    <n v="2013"/>
    <s v=" "/>
    <d v="2014-01-08T00:00:00"/>
    <d v="2014-09-07T00:00:00"/>
    <n v="0"/>
    <n v="0"/>
    <n v="1"/>
    <s v="3 meses"/>
    <d v="2014-12-07T00:00:00"/>
    <d v="2014-12-07T00:00:00"/>
    <n v="95000000"/>
    <n v="88983693"/>
    <n v="6016307"/>
    <s v="Mensual"/>
    <n v="0.936670452631579"/>
    <x v="0"/>
    <n v="6.3329547368421002E-2"/>
    <s v=""/>
    <x v="0"/>
  </r>
  <r>
    <x v="152"/>
    <x v="129"/>
    <n v="860007336"/>
    <x v="141"/>
    <n v="63128000"/>
    <s v=" SDH-SAMC-010-2013"/>
    <n v="2013"/>
    <s v=" "/>
    <d v="2013-12-18T00:00:00"/>
    <d v="2014-01-02T00:00:00"/>
    <n v="0"/>
    <n v="0"/>
    <n v="0"/>
    <s v=""/>
    <s v=""/>
    <d v="2014-01-02T00:00:00"/>
    <n v="63128000"/>
    <n v="63128000"/>
    <n v="0"/>
    <s v="Único pago"/>
    <n v="1"/>
    <x v="0"/>
    <n v="0"/>
    <s v=""/>
    <x v="1"/>
  </r>
  <r>
    <x v="153"/>
    <x v="130"/>
    <n v="52935011"/>
    <x v="142"/>
    <n v="5000000"/>
    <s v=" 130361-2013"/>
    <n v="2013"/>
    <s v=" "/>
    <d v="2013-12-20T00:00:00"/>
    <d v="2014-01-19T00:00:00"/>
    <n v="0"/>
    <n v="0"/>
    <n v="0"/>
    <s v=""/>
    <s v=""/>
    <d v="2014-01-19T00:00:00"/>
    <n v="5000000"/>
    <n v="5000000"/>
    <n v="0"/>
    <s v="La Secretaría de Hacienda realizará un pago a la entrega de los productos objeto del contrato, previa certificación de recibo a satisfacción por parte del Supervisor del contrato"/>
    <n v="1"/>
    <x v="0"/>
    <n v="0"/>
    <s v=""/>
    <x v="1"/>
  </r>
  <r>
    <x v="154"/>
    <x v="131"/>
    <n v="19327657"/>
    <x v="142"/>
    <n v="5000000"/>
    <s v=" "/>
    <n v="2013"/>
    <s v=" "/>
    <d v="2013-12-20T00:00:00"/>
    <d v="2014-01-19T00:00:00"/>
    <n v="0"/>
    <n v="0"/>
    <n v="0"/>
    <s v=""/>
    <s v=""/>
    <d v="2014-01-19T00:00:00"/>
    <n v="5000000"/>
    <n v="5000000"/>
    <n v="0"/>
    <s v="La Secretaría de Hacienda realizará un pago a la entrega de los productos objeto del contrato, previa certificación de recibo a satisfacción por parte del Supervisor del contrato"/>
    <n v="1"/>
    <x v="0"/>
    <n v="0"/>
    <s v=""/>
    <x v="1"/>
  </r>
  <r>
    <x v="155"/>
    <x v="132"/>
    <n v="900683150"/>
    <x v="143"/>
    <n v="70000000"/>
    <s v=" SDH-SAMC-11-2013"/>
    <n v="2013"/>
    <s v=" "/>
    <d v="2014-01-08T00:00:00"/>
    <d v="2014-03-07T00:00:00"/>
    <n v="0"/>
    <n v="0"/>
    <n v="2"/>
    <s v="3 meses"/>
    <d v="2014-06-07T00:00:00"/>
    <d v="2014-06-07T00:00:00"/>
    <n v="70000000"/>
    <n v="69658711"/>
    <n v="341289"/>
    <s v="Mensual"/>
    <n v="0.99512444285714285"/>
    <x v="0"/>
    <n v="4.8755571428571454E-3"/>
    <s v=""/>
    <x v="0"/>
  </r>
  <r>
    <x v="156"/>
    <x v="133"/>
    <n v="19136712"/>
    <x v="142"/>
    <n v="5000000"/>
    <s v=" 130364-0-2013"/>
    <n v="2013"/>
    <s v=" "/>
    <d v="2013-12-20T00:00:00"/>
    <d v="2014-01-19T00:00:00"/>
    <n v="0"/>
    <n v="0"/>
    <n v="0"/>
    <s v=""/>
    <s v=""/>
    <d v="2014-01-19T00:00:00"/>
    <n v="5000000"/>
    <n v="5000000"/>
    <n v="0"/>
    <s v="La Secretaría de Hacienda realizará un pago a la entrega de los productos objeto del contrato, previa certificación de recibo a satisfacción por parte del Supervisor del contrato"/>
    <n v="1"/>
    <x v="0"/>
    <n v="0"/>
    <s v=""/>
    <x v="1"/>
  </r>
  <r>
    <x v="157"/>
    <x v="134"/>
    <n v="7212142"/>
    <x v="142"/>
    <n v="5000000"/>
    <s v=" 130365-0-2013"/>
    <n v="2013"/>
    <s v=" "/>
    <d v="2013-12-20T00:00:00"/>
    <d v="2014-01-19T00:00:00"/>
    <n v="0"/>
    <n v="0"/>
    <n v="0"/>
    <s v=""/>
    <s v=""/>
    <d v="2014-01-19T00:00:00"/>
    <n v="5000000"/>
    <n v="5000000"/>
    <n v="0"/>
    <s v="La Secretaría de Hacienda realizará un pago a la entrega de los productos objeto del contrato, previa certificación de recibo a satisfacción por parte del Supervisor del contrato"/>
    <n v="1"/>
    <x v="0"/>
    <n v="0"/>
    <s v=""/>
    <x v="1"/>
  </r>
  <r>
    <x v="158"/>
    <x v="124"/>
    <n v="830110570"/>
    <x v="144"/>
    <n v="3017160"/>
    <s v=" SDH-SMINC-51-2013"/>
    <n v="2013"/>
    <s v=" "/>
    <d v="2014-01-23T00:00:00"/>
    <d v="2014-04-22T00:00:00"/>
    <n v="0"/>
    <n v="0"/>
    <n v="0"/>
    <s v=""/>
    <s v=""/>
    <d v="2014-04-22T00:00:00"/>
    <n v="3017160"/>
    <n v="3017160"/>
    <n v="0"/>
    <s v="Único pago"/>
    <n v="1"/>
    <x v="0"/>
    <n v="0"/>
    <s v=""/>
    <x v="1"/>
  </r>
  <r>
    <x v="159"/>
    <x v="135"/>
    <n v="811021363"/>
    <x v="145"/>
    <n v="60000000"/>
    <s v=" "/>
    <n v="2013"/>
    <s v=" "/>
    <d v="2014-01-16T00:00:00"/>
    <d v="2015-01-15T00:00:00"/>
    <n v="1"/>
    <n v="30000000"/>
    <n v="0"/>
    <s v=""/>
    <s v=""/>
    <d v="2015-01-15T00:00:00"/>
    <n v="90000000"/>
    <n v="42574877.200000003"/>
    <n v="47425122.799999997"/>
    <s v="Los pagos se realizarán en forma bimestral, de acuerdo a los suministros efectivamente realizados por el contratista y recibidas a satisfacción, las cuales deben ser certificadas_x000a_por el supervisor del contrato._x000a_"/>
    <n v="0.47305419111111113"/>
    <x v="0"/>
    <n v="0.52694580888888887"/>
    <s v=""/>
    <x v="0"/>
  </r>
  <r>
    <x v="160"/>
    <x v="136"/>
    <n v="72167924"/>
    <x v="142"/>
    <n v="5000000"/>
    <s v=" 130372-0-2013"/>
    <n v="2013"/>
    <s v=" "/>
    <d v="2013-12-26T00:00:00"/>
    <d v="2014-01-25T00:00:00"/>
    <n v="0"/>
    <n v="0"/>
    <n v="0"/>
    <s v=""/>
    <s v=""/>
    <d v="2014-01-25T00:00:00"/>
    <n v="5000000"/>
    <n v="5000000"/>
    <n v="0"/>
    <s v="La Secretaría de Hacienda realizará un pago a la entrega de los productos objeto del contrato, previa certificación de recibo a satisfacción por parte del Supervisor del contrato"/>
    <n v="1"/>
    <x v="0"/>
    <n v="0"/>
    <s v=""/>
    <x v="1"/>
  </r>
  <r>
    <x v="161"/>
    <x v="1"/>
    <n v="800015583"/>
    <x v="146"/>
    <n v="3743343"/>
    <s v=" SDH-SMINC-60-2013"/>
    <n v="2013"/>
    <s v=" "/>
    <d v="2014-01-23T00:00:00"/>
    <d v="2014-04-25T00:00:00"/>
    <n v="0"/>
    <n v="0"/>
    <n v="0"/>
    <s v=""/>
    <s v=""/>
    <d v="2014-04-25T00:00:00"/>
    <n v="3743343"/>
    <n v="3743343"/>
    <n v="0"/>
    <s v="Único pago"/>
    <n v="1"/>
    <x v="0"/>
    <n v="0"/>
    <s v=""/>
    <x v="1"/>
  </r>
  <r>
    <x v="162"/>
    <x v="137"/>
    <n v="52374136"/>
    <x v="147"/>
    <n v="1620000"/>
    <s v=" "/>
    <n v="2013"/>
    <s v=" "/>
    <d v="2014-01-23T00:00:00"/>
    <d v="2015-01-22T00:00:00"/>
    <n v="0"/>
    <n v="0"/>
    <n v="0"/>
    <s v=""/>
    <s v=""/>
    <d v="2015-01-22T00:00:00"/>
    <n v="1620000"/>
    <n v="354000"/>
    <n v="1266000"/>
    <s v="Para todos los servicios de mantenimiento preventivo y correctivo (por demanda):  Se realizarán pagos trimestrales por concepto de la  prestación de los servicios por demanda incluidos los repuestos y/o partes utilizados y/o actividades desarrolladas en el período a facturar._x000a_"/>
    <n v="0.21851851851851853"/>
    <x v="0"/>
    <n v="0.78148148148148144"/>
    <s v=""/>
    <x v="0"/>
  </r>
  <r>
    <x v="163"/>
    <x v="110"/>
    <n v="800039398"/>
    <x v="148"/>
    <n v="32048480"/>
    <s v=" SDH-SMINC-67-2013"/>
    <n v="2013"/>
    <s v=" "/>
    <d v="2014-01-16T00:00:00"/>
    <d v="2014-03-15T00:00:00"/>
    <n v="0"/>
    <n v="0"/>
    <n v="0"/>
    <s v=""/>
    <s v=""/>
    <d v="2014-03-15T00:00:00"/>
    <n v="32048480"/>
    <n v="32048480"/>
    <n v="0"/>
    <s v="Dos (2) pagos iguales mes vencido, por concepto de servicio de arrendamiento, previa presentación de: a) Factura, donde se especifiquen las cantidades arrendadas._x000a_"/>
    <n v="1"/>
    <x v="0"/>
    <n v="0"/>
    <s v=""/>
    <x v="1"/>
  </r>
  <r>
    <x v="164"/>
    <x v="138"/>
    <n v="830093579"/>
    <x v="149"/>
    <n v="3480000"/>
    <s v=" SDH-SMINC-68-2013"/>
    <n v="2013"/>
    <s v=" "/>
    <d v="2014-01-23T00:00:00"/>
    <d v="2014-03-22T00:00:00"/>
    <n v="0"/>
    <n v="0"/>
    <n v="0"/>
    <s v=""/>
    <s v=""/>
    <d v="2014-03-22T00:00:00"/>
    <n v="3480000"/>
    <n v="3480000"/>
    <n v="0"/>
    <s v="Único pago"/>
    <n v="1"/>
    <x v="0"/>
    <n v="0"/>
    <s v=""/>
    <x v="1"/>
  </r>
  <r>
    <x v="165"/>
    <x v="110"/>
    <n v="800039398"/>
    <x v="150"/>
    <n v="126308000"/>
    <s v=" SDH-SIE-015-2013"/>
    <n v="2013"/>
    <s v=" "/>
    <d v="2014-01-23T00:00:00"/>
    <d v="2014-04-07T00:00:00"/>
    <n v="0"/>
    <n v="0"/>
    <n v="0"/>
    <s v=""/>
    <s v=""/>
    <d v="2014-04-07T00:00:00"/>
    <n v="126308000"/>
    <n v="126308000"/>
    <n v="0"/>
    <s v="Concejo de Bogotá 1) Un primer pago por el treinta por ciento (30%), al recibo a satisfacción del equipo por parte del supervisor y el ingreso al almacén del Concejo de Bogotá. 2) Un segundo pago por el setenta por ciento (70%), una vez instalado, configurado y puesto en funcionamiento, previo recibo a satisfacción por parte del supervisor del Concejo de Bogotá. "/>
    <n v="1"/>
    <x v="0"/>
    <n v="0"/>
    <s v=""/>
    <x v="1"/>
  </r>
  <r>
    <x v="166"/>
    <x v="139"/>
    <n v="1010168639"/>
    <x v="151"/>
    <n v="3500000"/>
    <s v=" 130385-0-2013"/>
    <n v="2013"/>
    <s v=" "/>
    <d v="2013-12-30T00:00:00"/>
    <d v="2014-01-29T00:00:00"/>
    <n v="0"/>
    <n v="0"/>
    <n v="0"/>
    <s v=""/>
    <s v=""/>
    <d v="2014-01-29T00:00:00"/>
    <n v="3500000"/>
    <n v="3500000"/>
    <n v="0"/>
    <s v="La Secretaría de Hacienda realizará un pago a la entrega de los productos objeto del contrato, previa certificación de recibo a satisfacción por parte del Supervisor del contrato. "/>
    <n v="1"/>
    <x v="0"/>
    <n v="0"/>
    <s v=""/>
    <x v="1"/>
  </r>
  <r>
    <x v="167"/>
    <x v="77"/>
    <n v="800058607"/>
    <x v="152"/>
    <n v="803432165"/>
    <s v=" SDH-SIE-18-2013"/>
    <n v="2013"/>
    <s v=" "/>
    <d v="2014-01-31T00:00:00"/>
    <d v="2014-04-30T00:00:00"/>
    <n v="0"/>
    <n v="0"/>
    <n v="1"/>
    <s v="30 días"/>
    <d v="2014-05-30T00:00:00"/>
    <d v="2014-05-30T00:00:00"/>
    <n v="803432165"/>
    <n v="741115935"/>
    <n v="62316230"/>
    <s v="La Secretaría Distrital de Hacienda de Bogotá, D.C., efectuará los pagos en pesos colombianos de acuerdo con lo establecido en el numeral 5.4 forma de pago del pliego de condiciones."/>
    <n v="0.92243747174349189"/>
    <x v="0"/>
    <n v="7.7562528256508112E-2"/>
    <s v=""/>
    <x v="0"/>
  </r>
  <r>
    <x v="168"/>
    <x v="87"/>
    <n v="860019063"/>
    <x v="153"/>
    <n v="30000000"/>
    <s v=" SDH-SMINC-002-2014"/>
    <n v="2014"/>
    <s v=" "/>
    <d v="2014-03-05T00:00:00"/>
    <d v="2015-03-04T00:00:00"/>
    <n v="0"/>
    <n v="0"/>
    <n v="1"/>
    <s v="2 meses"/>
    <d v="2015-05-05T00:00:00"/>
    <d v="2015-05-05T00:00:00"/>
    <n v="30000000"/>
    <n v="28330110"/>
    <n v="1669890"/>
    <s v="Los mantenimientos correctivos y el suministro de repuestos se cancelarán mensualmente de acuerdo con los servicios efectivamente prestados._x000a_"/>
    <n v="0.94433699999999998"/>
    <x v="0"/>
    <n v="5.5663000000000018E-2"/>
    <s v=""/>
    <x v="0"/>
  </r>
  <r>
    <x v="169"/>
    <x v="41"/>
    <n v="830067096"/>
    <x v="154"/>
    <n v="7740000"/>
    <n v="140034"/>
    <n v="2014"/>
    <s v=" "/>
    <d v="2014-05-16T00:00:00"/>
    <d v="2015-05-15T00:00:00"/>
    <n v="0"/>
    <n v="0"/>
    <n v="0"/>
    <s v=""/>
    <s v=""/>
    <d v="2015-05-15T00:00:00"/>
    <n v="7740000"/>
    <n v="7740000"/>
    <n v="0"/>
    <s v="Un único pago contra la presentación de la factura, acompañada de la constancia de suscripción objeto de la contratación,  previa  certificación expedida por el supervisor del contrato._x000a__x000a_"/>
    <n v="1"/>
    <x v="0"/>
    <n v="0"/>
    <s v=""/>
    <x v="1"/>
  </r>
  <r>
    <x v="170"/>
    <x v="94"/>
    <n v="79887061"/>
    <x v="155"/>
    <n v="29819999"/>
    <s v=" "/>
    <n v="2014"/>
    <s v=" "/>
    <d v="2014-02-05T00:00:00"/>
    <d v="2015-01-04T00:00:00"/>
    <n v="0"/>
    <n v="0"/>
    <n v="0"/>
    <s v=""/>
    <s v=""/>
    <d v="2015-01-04T00:00:00"/>
    <n v="29819999"/>
    <n v="29819999"/>
    <n v="0"/>
    <s v="El pago de los honorarios se efectuará así: a) El primer pago vencido se cancelará en proporción a los días ejecutados en el mes en que se inicie la ejecución del contrato. b) Diez (10) mensualidades vencidas de DOS MILLONES SETECIENTOS DIEZ MIL NOVECIENTOS NUEVE MIL PESOS M/CTE ($ 2.710.909), previa presentación del informe de actividades, del respectivo período, aprobado por el supervisor. c) En el último pago se cancelará el saldo del presente contrato previa presentación del informe final aprobado por el supervisor."/>
    <n v="1"/>
    <x v="0"/>
    <n v="0"/>
    <s v=""/>
    <x v="1"/>
  </r>
  <r>
    <x v="171"/>
    <x v="82"/>
    <n v="860001022"/>
    <x v="156"/>
    <n v="1197000"/>
    <s v=" "/>
    <n v="2014"/>
    <s v=" "/>
    <d v="2014-03-19T00:00:00"/>
    <d v="2015-03-18T00:00:00"/>
    <n v="0"/>
    <n v="0"/>
    <n v="0"/>
    <s v=""/>
    <s v=""/>
    <d v="2015-03-18T00:00:00"/>
    <n v="1197000"/>
    <n v="1197000"/>
    <n v="0"/>
    <s v="Un único pago contra la presentación de la factura, acompañada de la constancia de suscripción objeto de la contratación,  previa  certificación expedida por el supervisor del contrato. _x000a__x000a__x000a_"/>
    <n v="1"/>
    <x v="0"/>
    <n v="0"/>
    <s v=""/>
    <x v="1"/>
  </r>
  <r>
    <x v="172"/>
    <x v="83"/>
    <n v="800249557"/>
    <x v="157"/>
    <n v="4000000"/>
    <s v=" "/>
    <n v="2014"/>
    <s v=" "/>
    <d v="2014-04-10T00:00:00"/>
    <d v="2014-09-09T00:00:00"/>
    <n v="0"/>
    <n v="0"/>
    <n v="0"/>
    <s v=""/>
    <s v=""/>
    <d v="2014-09-09T00:00:00"/>
    <n v="4000000"/>
    <n v="4000000"/>
    <n v="0"/>
    <s v="Un pago único dentro de los ocho (8) días hábiles  siguientes a la radicación en la Subdirección Financiera de los siguientes  documentos: a) Certificación de cumplimiento a satisfacción del objeto y obligaciones, expedida por el supervisor del respectivo contrato, b) factura(s), c) Certificación de pago por concepto de aportes al Sistema de Seguridad Social Integral en Salud, Pensión, ARL, aportes parafiscales: Sena, ICBF y Cajas de Compensación Familiar, cuando corresponda, d) Certificación del banco donde conste que el contratista tiene  cuenta de ahorros o corriente y a la cual se le va a consignar._x000a__x000a_"/>
    <n v="1"/>
    <x v="0"/>
    <n v="0"/>
    <s v=""/>
    <x v="1"/>
  </r>
  <r>
    <x v="173"/>
    <x v="85"/>
    <n v="51931422"/>
    <x v="158"/>
    <n v="42800000"/>
    <s v=" "/>
    <n v="2014"/>
    <s v=" "/>
    <d v="2014-03-03T00:00:00"/>
    <d v="2015-01-02T00:00:00"/>
    <n v="0"/>
    <n v="0"/>
    <n v="0"/>
    <s v=""/>
    <s v=""/>
    <d v="2015-01-02T00:00:00"/>
    <n v="42800000"/>
    <n v="42800000"/>
    <n v="0"/>
    <s v="El pago de los honorarios se efectuará así: a) El primer pago vencido se cancelará en proporción a los días ejecutados en el mes en que se inicie la ejecución del contrato. b) Nueve (09) mensualidades vencidas de  Cuatro millones Ciento Sesenta Mil Pesos ($4.160.000) M/CTE, previa presentación del informe de actividades, del respectivo período, aprobado por el supervisor. c) En el último pago se cancelará el saldo del presente contrato previa presentación del informe final aprobado por el supervisor del contrato."/>
    <n v="1"/>
    <x v="0"/>
    <n v="0"/>
    <s v=""/>
    <x v="1"/>
  </r>
  <r>
    <x v="174"/>
    <x v="105"/>
    <n v="80117116"/>
    <x v="159"/>
    <n v="38830000"/>
    <s v=" "/>
    <n v="2014"/>
    <s v=" "/>
    <d v="2014-03-10T00:00:00"/>
    <d v="2015-01-09T00:00:00"/>
    <n v="0"/>
    <n v="0"/>
    <n v="0"/>
    <s v=""/>
    <s v=""/>
    <d v="2015-01-09T00:00:00"/>
    <n v="38830000"/>
    <n v="38830000"/>
    <n v="0"/>
    <s v="El pago de los honorarios se efectuará así: a) El primer pago vencido se cancelará en proporción a los días ejecutados en el mes en que se inicie la ejecución del contrato. b) Nueve (9) mensualidades vencidas de TRES MILLONES OCHOCIENTOS OCHENTA Y TRES MIL PESOS M/CTE ($ 3.883.000), previa presentación del informe de actividades, del respectivo período, aprobado por el supervisor. c) En el último pago se cancelará el saldo del presente contrato previa presentación del informe final aprobado por el "/>
    <n v="1"/>
    <x v="0"/>
    <n v="0"/>
    <s v=""/>
    <x v="1"/>
  </r>
  <r>
    <x v="175"/>
    <x v="99"/>
    <n v="4098836"/>
    <x v="160"/>
    <n v="40997000"/>
    <s v=" "/>
    <n v="2014"/>
    <s v=" "/>
    <d v="2014-02-05T00:00:00"/>
    <d v="2015-01-04T00:00:00"/>
    <n v="0"/>
    <n v="0"/>
    <n v="0"/>
    <s v=""/>
    <s v=""/>
    <d v="2015-01-04T00:00:00"/>
    <n v="40997000"/>
    <n v="40997000"/>
    <n v="0"/>
    <s v="El pago de los honorarios se efectuará así: a) El primer pago vencido se cancelará en proporción a los días ejecutados en el mes en que se inicie la ejecución del contrato. b) Seis (06) mensualidades vencidas de  Tres Millones Cuatrocientos Veintisiete Mil Pesos ($3.427.000) M/CTE, previa presentación del informe de actividades, del respectivo período, aprobado por el supervisor. c) En el último pago se cancelará el saldo del presente contrato previa presentación del informe final aprobado por el supervisor del contrato. "/>
    <n v="1"/>
    <x v="0"/>
    <n v="0"/>
    <s v=""/>
    <x v="1"/>
  </r>
  <r>
    <x v="176"/>
    <x v="133"/>
    <n v="19136712"/>
    <x v="161"/>
    <n v="55000000"/>
    <s v=" "/>
    <n v="2014"/>
    <d v="2014-01-24T00:00:00"/>
    <d v="2014-02-05T00:00:00"/>
    <d v="2015-01-04T00:00:00"/>
    <n v="0"/>
    <n v="0"/>
    <n v="0"/>
    <s v=""/>
    <s v=""/>
    <d v="2015-01-04T00:00:00"/>
    <n v="55000000"/>
    <n v="54333333"/>
    <n v="666667"/>
    <s v="El pago de los honorarios se efectuará así: _x000a_a) El primer pago vencido se cancelará en proporción a los días ejecutados en el mes en que se inicie la ejecución del contrato._x000a_b) Diez (10) mensualidades vencidas de  CINCO MILLONES DE PESOS ($5.000.000), previa presentación del informe de actividades, del respectivo período, aprobado por el supervisor._x000a_c) En el último pago se cancelará el saldo del presente contrato previa presentación del informe final aprobado por el interventor. _x000a_"/>
    <n v="0.98787878181818178"/>
    <x v="0"/>
    <n v="1.2121218181818216E-2"/>
    <s v=""/>
    <x v="0"/>
  </r>
  <r>
    <x v="177"/>
    <x v="134"/>
    <n v="7212142"/>
    <x v="161"/>
    <n v="55000000"/>
    <s v=" "/>
    <n v="2014"/>
    <d v="2014-01-24T00:00:00"/>
    <d v="2014-02-05T00:00:00"/>
    <d v="2015-01-04T00:00:00"/>
    <n v="0"/>
    <n v="0"/>
    <n v="0"/>
    <s v=""/>
    <s v=""/>
    <d v="2015-01-04T00:00:00"/>
    <n v="55000000"/>
    <n v="55000000"/>
    <n v="0"/>
    <s v="El pago de los honorarios se efectuará así: _x000a_a) El primer pago vencido se cancelará en proporción a los días ejecutados en el mes en que se inicie la ejecución del contrato._x000a_b) Diez (10) mensualidades vencidas de  CINCO MILLONES DE PESOS ($5.000.000), previa presentación del informe de actividades, del respectivo período, aprobado por el supervisor._x000a_c) En el último pago se cancelará el saldo del presente contrato previa presentación del informe final aprobado por el interventor. _x000a_"/>
    <n v="1"/>
    <x v="0"/>
    <n v="0"/>
    <s v=""/>
    <x v="1"/>
  </r>
  <r>
    <x v="178"/>
    <x v="140"/>
    <n v="72167924"/>
    <x v="161"/>
    <n v="55000000"/>
    <s v=" 140159-0-2014"/>
    <n v="2014"/>
    <d v="2014-01-24T00:00:00"/>
    <d v="2014-02-05T00:00:00"/>
    <d v="2015-01-04T00:00:00"/>
    <n v="0"/>
    <n v="0"/>
    <n v="0"/>
    <s v=""/>
    <s v=""/>
    <d v="2015-01-04T00:00:00"/>
    <n v="55000000"/>
    <n v="54666666"/>
    <n v="333334"/>
    <s v="El pago de los honorarios se efectuará así: _x000a_a) El primer pago vencido se cancelará en proporción a los días ejecutados en el mes en que se inicie la ejecución del contrato._x000a_b) Diez (10) mensualidades vencidas de  CINCO MILLONES DE PESOS ($5.000.000), previa presentación del informe de actividades, del respectivo período, aprobado por el supervisor._x000a_c) En el último pago se cancelará el saldo del presente contrato previa presentación del informe final aprobado por el interventor. _x000a_"/>
    <n v="0.99393938181818187"/>
    <x v="0"/>
    <n v="6.0606181818181337E-3"/>
    <s v=""/>
    <x v="0"/>
  </r>
  <r>
    <x v="179"/>
    <x v="139"/>
    <n v="1010168639"/>
    <x v="162"/>
    <n v="38500000"/>
    <s v=" 140160-0-2014"/>
    <n v="2014"/>
    <d v="2014-01-24T00:00:00"/>
    <d v="2014-02-05T00:00:00"/>
    <d v="2015-01-04T00:00:00"/>
    <n v="0"/>
    <n v="0"/>
    <n v="0"/>
    <s v=""/>
    <s v=""/>
    <d v="2015-01-04T00:00:00"/>
    <n v="38500000"/>
    <n v="38500000"/>
    <n v="0"/>
    <s v="El pago de los honorarios se efectuará así: a) El primer pago vencido se cancelará en proporción a los días ejecutados en el mes en que se inicie la ejecución del contrato. b) Diez (10) mensualidades vencidas de  TRES MILLONES QUINIENTOS MIL PESOS ($3.500.000) M/CTE, previa presentación del informe de actividades, del respectivo período, aprobado por el supervisor o interventor. c) En el último pago se cancelará el saldo del presente contrato previa presentación del informe final aprobado por el supervisor o interventor del contrato, según corresponda. _x000a__x000a_"/>
    <n v="1"/>
    <x v="0"/>
    <n v="0"/>
    <s v=""/>
    <x v="1"/>
  </r>
  <r>
    <x v="180"/>
    <x v="130"/>
    <n v="52935011"/>
    <x v="163"/>
    <n v="55000000"/>
    <s v=" "/>
    <n v="2014"/>
    <d v="2014-01-24T00:00:00"/>
    <d v="2014-02-05T00:00:00"/>
    <d v="2015-01-04T00:00:00"/>
    <n v="0"/>
    <n v="0"/>
    <n v="0"/>
    <s v=""/>
    <s v=""/>
    <d v="2015-01-04T00:00:00"/>
    <n v="55000000"/>
    <n v="55000000"/>
    <n v="0"/>
    <s v="El pago de los honorarios se efectuará así: _x000a_a) El primer pago vencido se cancelará en proporción a los días ejecutados en el mes en que se inicie la ejecución del contrato._x000a_b) Diez (10) mensualidades vencidas de  CINCO MILLONES DE PESOS ($5.000.000), previa presentación del informe de actividades, del respectivo período, aprobado por el supervisor._x000a_c) En el último pago se cancelará el saldo del presente contrato previa presentación del informe final aprobado por el interventor. _x000a__x000a_"/>
    <n v="1"/>
    <x v="0"/>
    <n v="0"/>
    <s v=""/>
    <x v="1"/>
  </r>
  <r>
    <x v="181"/>
    <x v="131"/>
    <n v="19327657"/>
    <x v="161"/>
    <n v="55000000"/>
    <s v=" "/>
    <n v="2014"/>
    <d v="2014-01-24T00:00:00"/>
    <d v="2014-02-05T00:00:00"/>
    <d v="2015-01-04T00:00:00"/>
    <n v="0"/>
    <n v="0"/>
    <n v="0"/>
    <s v=""/>
    <s v=""/>
    <d v="2015-01-04T00:00:00"/>
    <n v="55000000"/>
    <n v="55000000"/>
    <n v="0"/>
    <s v="El pago de los honorarios se efectuará así: _x000a_a) El primer pago vencido se cancelará en proporción a los días ejecutados en el mes en que se inicie la ejecución del contrato._x000a_b) Diez (10) mensualidades vencidas de  CINCO MILLONES DE PESOS ($5.000.000), previa presentación del informe de actividades, del respectivo período, aprobado por el supervisor._x000a_c) En el último pago se cancelará el saldo del presente contrato previa presentación del informe final aprobado por el interventor. _x000a_"/>
    <n v="1"/>
    <x v="0"/>
    <n v="0"/>
    <s v=""/>
    <x v="1"/>
  </r>
  <r>
    <x v="182"/>
    <x v="141"/>
    <n v="860025639"/>
    <x v="164"/>
    <n v="16555000"/>
    <s v=" "/>
    <n v="2014"/>
    <s v=" "/>
    <d v="2014-04-03T00:00:00"/>
    <d v="2015-04-02T00:00:00"/>
    <n v="0"/>
    <n v="0"/>
    <n v="0"/>
    <s v=""/>
    <s v=""/>
    <d v="2015-04-02T00:00:00"/>
    <n v="16555000"/>
    <n v="15762669"/>
    <n v="792331"/>
    <s v="Los mantenimientos preventivos se cancelarán mensualmente de acuerdo con los servicios efectivamente prestados conforme con el cronograma aprobado por el supervisor. El mantenimiento correctivo y el suministro de repuestos se cancelarán con el pago mensual correspondiente al mes de la ejecución. _x000a_"/>
    <n v="0.95213947447900937"/>
    <x v="0"/>
    <n v="4.7860525520990627E-2"/>
    <s v=""/>
    <x v="0"/>
  </r>
  <r>
    <x v="183"/>
    <x v="95"/>
    <n v="51721571"/>
    <x v="165"/>
    <n v="39600000"/>
    <s v=" "/>
    <n v="2014"/>
    <s v=" "/>
    <d v="2014-02-05T00:00:00"/>
    <d v="2015-01-04T00:00:00"/>
    <n v="0"/>
    <n v="0"/>
    <n v="0"/>
    <s v=""/>
    <s v=""/>
    <d v="2015-01-04T00:00:00"/>
    <n v="39600000"/>
    <n v="24720000"/>
    <n v="14880000"/>
    <s v="El pago de los honorarios se efectuará así: a) El primer pago vencido se cancelará en proporción a los días ejecutados en el mes en que se inicie la ejecución del contrato. b) diez (10) mensualidades vencidas de Tres Millones Seiscientos Mil Pesos ($3.600.000) M/CTE, previa presentación del informe de actividades, del respectivo período, aprobado por el supervisor. c) En el último pago se cancelará el saldo del presente contrato previa presentación del informe final aprobado por el supervisor del contrato, según corresponda. "/>
    <n v="0.62424242424242427"/>
    <x v="0"/>
    <n v="0.37575757575757573"/>
    <s v=""/>
    <x v="0"/>
  </r>
  <r>
    <x v="184"/>
    <x v="84"/>
    <n v="79843891"/>
    <x v="166"/>
    <n v="51500000"/>
    <s v=" "/>
    <n v="2014"/>
    <s v=" "/>
    <d v="2014-02-24T00:00:00"/>
    <d v="2014-12-23T00:00:00"/>
    <n v="0"/>
    <n v="0"/>
    <n v="1"/>
    <s v=""/>
    <d v="2014-09-05T00:00:00"/>
    <d v="2014-09-05T00:00:00"/>
    <n v="51500000"/>
    <n v="32788333"/>
    <n v="18711667"/>
    <s v="El pago de los honorarios se efectuará así: _x000a_a) El primer pago vencido se cancelará en proporción a los días ejecutados en el mes en que se inicie la ejecución del contrato._x000a_b) Nueve (9) mensualidades vencidas de  CINCO MILLONES CIENTO CINCUENTA MIL DE PESOS ($5.150.000), previa presentación del informe de actividades, del respectivo período, aprobado por el supervisor._x000a_c) En el último pago se cancelará el saldo del presente contrato previa presentación del informe final aprobado por el interventor. _x000a__x000a__x000a_"/>
    <n v="0.63666666019417473"/>
    <x v="0"/>
    <n v="0.36333333980582527"/>
    <s v=""/>
    <x v="0"/>
  </r>
  <r>
    <x v="185"/>
    <x v="142"/>
    <n v="1018434911"/>
    <x v="167"/>
    <n v="16500000"/>
    <s v=" 140168-0-2014"/>
    <n v="2014"/>
    <s v=" "/>
    <d v="2014-02-05T00:00:00"/>
    <d v="2015-01-04T00:00:00"/>
    <n v="0"/>
    <n v="0"/>
    <n v="0"/>
    <s v=""/>
    <s v=""/>
    <d v="2015-01-04T00:00:00"/>
    <n v="16500000"/>
    <n v="10300000"/>
    <n v="6200000"/>
    <s v="El pago de los honorarios se efectuará así: a) El primer pago vencido se cancelará en proporción a los días ejecutados en el mes en que se inicie la ejecución del contrato. b) diez (10) mensualidades vencidas de Un Millón Quinientos Mil Pesos ($1.500.000) M/CTE, previa presentación del informe de actividades, del respectivo período, aprobado por el supervisor. c) En el último pago se cancelará el saldo del presente contrato previa presentación del informe final aprobado por el supervisor del contrato, según corresponda. "/>
    <n v="0.62424242424242427"/>
    <x v="0"/>
    <n v="0.37575757575757573"/>
    <s v=""/>
    <x v="0"/>
  </r>
  <r>
    <x v="186"/>
    <x v="143"/>
    <n v="60289180"/>
    <x v="168"/>
    <n v="51500000"/>
    <s v=" "/>
    <n v="2014"/>
    <s v=" "/>
    <d v="2014-02-07T00:00:00"/>
    <d v="2014-12-06T00:00:00"/>
    <n v="1"/>
    <n v="10300000"/>
    <n v="2"/>
    <s v="2 meses"/>
    <d v="2015-01-02T00:00:00"/>
    <d v="2015-01-02T00:00:00"/>
    <n v="61800000"/>
    <n v="54933333"/>
    <n v="6866667"/>
    <s v="El pago de los honorarios se efectuará así: _x000a_a) El primer pago vencido se cancelará en proporción a los días ejecutados en el mes en que se inicie la ejecución del contrato._x000a_b) Nueve (9) mensualidades vencidas de  CINCO MILLONES CIENTO CINCUENTA MIL DE PESOS ($5.150.000), previa presentación del informe de actividades, del respectivo período, aprobado por el supervisor._x000a_c) En el último pago se cancelará el saldo del presente contrato previa presentación del informe final aprobado por el interventor. _x000a__x000a_"/>
    <n v="0.88888888349514561"/>
    <x v="0"/>
    <n v="0.11111111650485439"/>
    <s v=""/>
    <x v="0"/>
  </r>
  <r>
    <x v="187"/>
    <x v="110"/>
    <n v="800039398"/>
    <x v="169"/>
    <n v="340808000"/>
    <s v=" SDH-SIE-019-2013"/>
    <n v="2014"/>
    <s v=" "/>
    <d v="2014-03-06T00:00:00"/>
    <d v="2014-04-19T00:00:00"/>
    <n v="0"/>
    <n v="0"/>
    <n v="0"/>
    <s v=""/>
    <s v=""/>
    <d v="2014-04-19T00:00:00"/>
    <n v="340808000"/>
    <n v="340808000"/>
    <n v="0"/>
    <s v="Para todos los ítems se efectuará la siguiente forma de pago:_x000a_1. Un primer pago por el cincuenta por ciento (50%) de los bienes descritos en los items 1 y 2, previo: a) certificación expedida por el supervisor, en la cual conste el recibo a satisfacción y el ingreso al Almacén de la SDH; b) la factura respectiva; y c) la Certificación de pagos por concepto de aportes a los sistemas de seguridad social Integral en Salud, Pensiones, Riesgos Laborales, aportes parafiscales: Sena, ICBF y Cajas de Compensación Familiar, cuando corresponda._x000a_2. Un segundo pago por el cincuenta por ciento (50%) de los bienes descritos en los items 1 y 2, previo: a) instalación, configuración, puesta en funcionamiento; actividades que deben estar debidamente recibidas a satisfacción por el supervisor; b) la factura respectiva; y c) la Certificación de pagos por concepto de aportes a los sistemas de seguridad social Integral en Salud, Pensiones, Riesgos Laborales, aportes parafiscales: Sena, ICBF y Cajas de Compensación Familiar, cuando corresponda._x000a_"/>
    <n v="1"/>
    <x v="0"/>
    <n v="0"/>
    <s v=""/>
    <x v="1"/>
  </r>
  <r>
    <x v="188"/>
    <x v="144"/>
    <n v="900381188"/>
    <x v="170"/>
    <n v="28900000"/>
    <s v=" "/>
    <n v="2014"/>
    <s v=" "/>
    <d v="2014-03-06T00:00:00"/>
    <d v="2014-04-19T00:00:00"/>
    <n v="0"/>
    <n v="0"/>
    <n v="0"/>
    <s v=""/>
    <s v=""/>
    <d v="2014-04-19T00:00:00"/>
    <n v="28900000"/>
    <n v="28900000"/>
    <n v="0"/>
    <s v="Para todos los ítems se efectuará la siguiente forma de pago:_x000a_1. Un primer pago por el cincuenta por ciento (50%) de los bienes descritos en los items 1 y 2, previo: a) certificación expedida por el supervisor, en la cual conste el recibo a satisfacción y el ingreso al Almacén de la SDH; b) la factura respectiva; y c) la Certificación de pagos por concepto de aportes a los sistemas de seguridad social Integral en Salud, Pensiones, Riesgos Laborales, aportes parafiscales: Sena, ICBF y Cajas de Compensación Familiar, cuando corresponda._x000a_2. Un segundo pago por el cincuenta por ciento (50%) de los bienes descritos en los items 1 y 2, previo: a) instalación, configuración, puesta en funcionamiento; actividades que deben estar debidamente recibidas a satisfacción por el supervisor; b) la factura respectiva; y c) la Certificación de pagos por concepto de aportes a los sistemas de seguridad social Integral en Salud, Pensiones, Riesgos Laborales, aportes parafiscales: Sena, ICBF y Cajas de Compensación Familiar, cuando corresponda."/>
    <n v="1"/>
    <x v="0"/>
    <n v="0"/>
    <s v=""/>
    <x v="1"/>
  </r>
  <r>
    <x v="189"/>
    <x v="145"/>
    <n v="900157564"/>
    <x v="171"/>
    <n v="248000000"/>
    <s v=" SHD-SIE-020-2013"/>
    <n v="2014"/>
    <s v=" "/>
    <d v="2014-03-10T00:00:00"/>
    <d v="2014-04-09T00:00:00"/>
    <n v="1"/>
    <n v="77128875"/>
    <n v="0"/>
    <s v=""/>
    <s v=""/>
    <d v="2014-04-09T00:00:00"/>
    <n v="325128875"/>
    <n v="325028452"/>
    <n v="100423"/>
    <m/>
    <n v="0.99969112863322274"/>
    <x v="0"/>
    <n v="3.0887136677726357E-4"/>
    <s v=""/>
    <x v="1"/>
  </r>
  <r>
    <x v="190"/>
    <x v="89"/>
    <n v="900333228"/>
    <x v="172"/>
    <n v="11000000"/>
    <s v=" SDH-SMINC-01-2014"/>
    <n v="2014"/>
    <s v=" "/>
    <d v="2014-04-09T00:00:00"/>
    <d v="2015-01-08T00:00:00"/>
    <n v="0"/>
    <n v="0"/>
    <n v="0"/>
    <s v=""/>
    <s v=""/>
    <d v="2015-01-08T00:00:00"/>
    <n v="11000000"/>
    <n v="2672466"/>
    <n v="8327534"/>
    <s v="Se efectuará un pago por cada una de las visitas de mantenimiento preventivo efectuadas. Los repuestos y/o elementos se cancelarán de acuerdo a la demanda requerida en el respectivo periodo, manteniendo los precios unitarios  de referencia aplicando el porcentaje de descuento ofrecido en la propuesta. "/>
    <n v="0.24295145454545455"/>
    <x v="0"/>
    <n v="0.75704854545454547"/>
    <s v=""/>
    <x v="0"/>
  </r>
  <r>
    <x v="191"/>
    <x v="70"/>
    <n v="805006014"/>
    <x v="173"/>
    <n v="1325400"/>
    <s v=" SDH-SMINC-03-2014"/>
    <n v="2014"/>
    <s v=" "/>
    <d v="2014-04-09T00:00:00"/>
    <d v="2015-04-08T00:00:00"/>
    <n v="1"/>
    <n v="282000"/>
    <n v="0"/>
    <s v=""/>
    <s v=""/>
    <d v="2015-04-08T00:00:00"/>
    <n v="1607400"/>
    <n v="0"/>
    <n v="1607400"/>
    <s v="Ünico pago"/>
    <n v="0"/>
    <x v="0"/>
    <n v="1"/>
    <s v=""/>
    <x v="0"/>
  </r>
  <r>
    <x v="192"/>
    <x v="80"/>
    <n v="830122370"/>
    <x v="174"/>
    <n v="4982000"/>
    <s v=" SDH-SMINC-05-2014"/>
    <n v="2014"/>
    <s v=" "/>
    <d v="2014-03-27T00:00:00"/>
    <d v="2014-11-26T00:00:00"/>
    <n v="0"/>
    <n v="0"/>
    <n v="0"/>
    <s v=""/>
    <s v=""/>
    <d v="2014-11-26T00:00:00"/>
    <n v="4982000"/>
    <n v="2832000"/>
    <n v="2150000"/>
    <s v="Se realizará un pago por cada visita de mantenimiento preventivo y/o correctivo efectuadas de acuerdo con la programación concertada con el  supervisor del contrato. _x000a__x000a__x000a_"/>
    <n v="0.56844640706543559"/>
    <x v="0"/>
    <n v="0.43155359293456441"/>
    <s v=""/>
    <x v="0"/>
  </r>
  <r>
    <x v="193"/>
    <x v="146"/>
    <n v="900197284"/>
    <x v="175"/>
    <n v="28000000"/>
    <s v=" SDH-SMINC-08-2014"/>
    <n v="2014"/>
    <s v=" "/>
    <d v="2014-04-09T00:00:00"/>
    <d v="2014-11-08T00:00:00"/>
    <n v="0"/>
    <n v="0"/>
    <n v="0"/>
    <s v=""/>
    <s v=""/>
    <d v="2014-11-08T00:00:00"/>
    <n v="28000000"/>
    <n v="10978240"/>
    <n v="17021760"/>
    <s v="Los mantenimientos correctivos y el suministro de repuestos y/o elementos se cancelarán mensualmente de acuerdo con los servicios efectivamente prestados."/>
    <n v="0.39207999999999998"/>
    <x v="0"/>
    <n v="0.60792000000000002"/>
    <s v=""/>
    <x v="0"/>
  </r>
  <r>
    <x v="194"/>
    <x v="147"/>
    <n v="900587953"/>
    <x v="176"/>
    <n v="2122000"/>
    <s v="SDH-SMINC-06-2014 "/>
    <n v="2014"/>
    <s v=" "/>
    <d v="2014-04-23T00:00:00"/>
    <d v="2015-04-22T00:00:00"/>
    <n v="0"/>
    <n v="0"/>
    <n v="0"/>
    <s v=""/>
    <s v=""/>
    <d v="2015-04-22T00:00:00"/>
    <n v="2122000"/>
    <n v="2122000"/>
    <n v="0"/>
    <s v="Se efectuará un pago por cada una de las visitas de mantenimiento preventivo efectuadas. Los repuestos se cancelarán de acuerdo a la demanda requerida en el respectivo periodo, manteniendo los precios unitarios ofrecidos en la propuesta._x000a__x000a__x000a_"/>
    <n v="1"/>
    <x v="0"/>
    <n v="0"/>
    <s v=""/>
    <x v="1"/>
  </r>
  <r>
    <x v="195"/>
    <x v="73"/>
    <n v="4831"/>
    <x v="177"/>
    <n v="20872000"/>
    <s v="SDH-SMINC-015-2014 "/>
    <n v="2014"/>
    <s v=" "/>
    <d v="2014-04-28T00:00:00"/>
    <d v="2015-02-27T00:00:00"/>
    <n v="1"/>
    <n v="10346000"/>
    <n v="1"/>
    <s v="1 mes   "/>
    <d v="2015-03-28T00:00:00"/>
    <d v="2015-03-28T00:00:00"/>
    <n v="31218000"/>
    <n v="29571427"/>
    <n v="1646573"/>
    <s v="Los pagos se realizarán por mensualidades vencidas de acuerdo a los servicios y repuestos efectivamente prestados y suministrados en el respectivo mes manteniendo los precios y descuento ofrecidos en la propuesta._x000a__x000a__x000a_"/>
    <n v="0.9472556537894804"/>
    <x v="0"/>
    <n v="5.2744346210519599E-2"/>
    <s v=""/>
    <x v="0"/>
  </r>
  <r>
    <x v="196"/>
    <x v="76"/>
    <n v="891501783"/>
    <x v="178"/>
    <n v="12145200"/>
    <s v=" SDH-SMINC-16-2014"/>
    <n v="2014"/>
    <s v=" "/>
    <d v="2014-05-05T00:00:00"/>
    <d v="2014-09-19T00:00:00"/>
    <n v="1"/>
    <n v="6072600"/>
    <n v="1"/>
    <s v="1 mes y 15 días"/>
    <d v="2014-09-19T00:00:00"/>
    <d v="2014-09-19T00:00:00"/>
    <n v="18217800"/>
    <n v="18217800"/>
    <n v="0"/>
    <s v="Tres pagos iguales mes vencidode acuerdo con lo ofertado en su propuesta, por concepto de servicio de arrendamiento, previe presentación de la factura, para lo cual el proveedor deberá cumplir con todas las especificaciones señaladas en el anexo técnico."/>
    <n v="1"/>
    <x v="0"/>
    <n v="0"/>
    <s v=""/>
    <x v="1"/>
  </r>
  <r>
    <x v="197"/>
    <x v="148"/>
    <n v="900414308"/>
    <x v="179"/>
    <n v="1700007"/>
    <s v=" SDH-SMINC-13-2014"/>
    <n v="2014"/>
    <s v=" "/>
    <d v="2014-04-28T00:00:00"/>
    <d v="2014-06-27T00:00:00"/>
    <n v="0"/>
    <n v="0"/>
    <n v="0"/>
    <s v=""/>
    <s v=""/>
    <d v="2014-06-27T00:00:00"/>
    <n v="1700007"/>
    <n v="1700000"/>
    <n v="7"/>
    <m/>
    <n v="0.99999588236989612"/>
    <x v="0"/>
    <n v="4.1176301038836627E-6"/>
    <s v=""/>
    <x v="1"/>
  </r>
  <r>
    <x v="198"/>
    <x v="149"/>
    <n v="830055827"/>
    <x v="180"/>
    <n v="32631000"/>
    <s v=" "/>
    <n v="2014"/>
    <s v=" "/>
    <d v="2014-04-24T00:00:00"/>
    <d v="2015-04-23T00:00:00"/>
    <n v="0"/>
    <n v="0"/>
    <n v="0"/>
    <s v=""/>
    <s v=""/>
    <d v="2015-04-23T00:00:00"/>
    <n v="32631000"/>
    <n v="32594631"/>
    <n v="36369"/>
    <s v="Se realizarán pagos mensuales correspondientes a la cantidad de elementos elaborados y entregados dentro de cada mes, de acuerdo con los requerimientos del supervisor del contrato._x000a_  "/>
    <n v="0.99888544635469334"/>
    <x v="0"/>
    <n v="1.1145536453066596E-3"/>
    <s v=""/>
    <x v="0"/>
  </r>
  <r>
    <x v="199"/>
    <x v="150"/>
    <n v="830055842"/>
    <x v="181"/>
    <n v="40000000"/>
    <s v=" SDH-SIE-001-2014"/>
    <n v="2014"/>
    <s v=" "/>
    <d v="2014-06-17T00:00:00"/>
    <d v="2015-02-16T00:00:00"/>
    <n v="1"/>
    <n v="5100746"/>
    <n v="2"/>
    <s v="2 meses y 18 días"/>
    <d v="2015-05-04T00:00:00"/>
    <d v="2015-05-04T00:00:00"/>
    <n v="45100746"/>
    <n v="45045000"/>
    <n v="55746"/>
    <s v="Mensualidades vencidas"/>
    <n v="0.99876396723016514"/>
    <x v="0"/>
    <n v="1.2360327698348605E-3"/>
    <s v=""/>
    <x v="0"/>
  </r>
  <r>
    <x v="200"/>
    <x v="151"/>
    <m/>
    <x v="182"/>
    <n v="0"/>
    <s v=" "/>
    <n v="2014"/>
    <s v=" "/>
    <m/>
    <m/>
    <n v="0"/>
    <n v="0"/>
    <n v="1"/>
    <s v="9 meses y 7 días"/>
    <d v="2020-02-29T00:00:00"/>
    <d v="2020-02-29T00:00:00"/>
    <n v="0"/>
    <n v="0"/>
    <n v="0"/>
    <m/>
    <e v="#DIV/0!"/>
    <x v="1"/>
    <e v="#DIV/0!"/>
    <n v="247"/>
    <x v="2"/>
  </r>
  <r>
    <x v="201"/>
    <x v="135"/>
    <n v="811021363"/>
    <x v="183"/>
    <n v="9998117"/>
    <s v=" SDH-SMINC-020-2014"/>
    <n v="2014"/>
    <s v=" "/>
    <d v="2014-06-04T00:00:00"/>
    <d v="2014-08-04T00:00:00"/>
    <n v="0"/>
    <n v="0"/>
    <n v="0"/>
    <s v=""/>
    <s v=""/>
    <d v="2014-08-04T00:00:00"/>
    <n v="9998117"/>
    <n v="9998097"/>
    <n v="20"/>
    <s v="Un (1) único pagocontra entrega asatisfacción de los bienes, previa presentación de la factura acompañada del acta de recibo a satisfacción del supervisor donde se especifiquen las cantidades entregadas."/>
    <n v="0.99999799962332903"/>
    <x v="0"/>
    <n v="2.000376670974191E-6"/>
    <s v=""/>
    <x v="1"/>
  </r>
  <r>
    <x v="202"/>
    <x v="152"/>
    <n v="800199498"/>
    <x v="184"/>
    <n v="14975600"/>
    <s v=" "/>
    <n v="2014"/>
    <s v=" "/>
    <d v="2014-08-20T00:00:00"/>
    <d v="2014-10-20T00:00:00"/>
    <n v="0"/>
    <n v="0"/>
    <n v="0"/>
    <s v=""/>
    <s v=""/>
    <d v="2014-10-20T00:00:00"/>
    <n v="14975600"/>
    <n v="14975600"/>
    <n v="0"/>
    <s v="Se efectuarán los siguientes pagos, tanto para la Secretaría Distrital de Hacienda como para el Concejo de Bogotá: _x000a_Un pago único del ciento  (100%) a la entrega e implementación y correcto funcionamiento de la impresora de tarjetas PVC y de los insumos objeto de este contrato, previa certificación de cumplimiento expedida por el supervisor del contrato._x000a__x000a_"/>
    <n v="1"/>
    <x v="0"/>
    <n v="0"/>
    <s v=""/>
    <x v="1"/>
  </r>
  <r>
    <x v="203"/>
    <x v="153"/>
    <n v="900599628"/>
    <x v="185"/>
    <n v="12000000"/>
    <s v=" SDH-SMINC-22-2014"/>
    <n v="2014"/>
    <s v=" "/>
    <d v="2014-07-04T00:00:00"/>
    <d v="2015-03-03T00:00:00"/>
    <n v="0"/>
    <n v="0"/>
    <n v="2"/>
    <s v="8 meses"/>
    <d v="2015-11-04T00:00:00"/>
    <d v="2015-11-04T00:00:00"/>
    <n v="12000000"/>
    <n v="10800000"/>
    <n v="1200000"/>
    <s v="Pagos mensuales correspondientes a los servicios prestados de acuerdo con la certificación de cumplimiento expedida por el supervisor del contrato"/>
    <n v="0.9"/>
    <x v="0"/>
    <n v="9.9999999999999978E-2"/>
    <s v=""/>
    <x v="0"/>
  </r>
  <r>
    <x v="204"/>
    <x v="114"/>
    <n v="900207129"/>
    <x v="186"/>
    <n v="5719790"/>
    <s v=" "/>
    <n v="2014"/>
    <s v=" "/>
    <d v="2014-06-17T00:00:00"/>
    <d v="2014-08-16T00:00:00"/>
    <n v="0"/>
    <n v="0"/>
    <n v="0"/>
    <s v=""/>
    <s v=""/>
    <d v="2014-08-16T00:00:00"/>
    <n v="5719790"/>
    <n v="5719790"/>
    <n v="0"/>
    <s v="Un único pago que se efectuará a la entrega de los bienes objeto de contratación, previa  radicación de la factura en la Subdirección Financiera y certificación de recibo  a satisfacción expedida por el supervisor y constancia de ingreso al Almacén.  _x000a_"/>
    <n v="1"/>
    <x v="0"/>
    <n v="0"/>
    <s v=""/>
    <x v="1"/>
  </r>
  <r>
    <x v="205"/>
    <x v="48"/>
    <n v="900548648"/>
    <x v="187"/>
    <n v="337487000"/>
    <s v=" "/>
    <n v="2014"/>
    <s v=" "/>
    <d v="2014-06-21T00:00:00"/>
    <d v="2015-05-06T00:00:00"/>
    <n v="0"/>
    <n v="0"/>
    <n v="2"/>
    <s v="1 mes y 25 días"/>
    <d v="2015-07-01T00:00:00"/>
    <d v="2015-07-01T00:00:00"/>
    <n v="337487000"/>
    <n v="337486998"/>
    <n v="2"/>
    <s v="Las Entidades efectuarán los pagos correspondiente a los servicios prestados por mensualidades vencidas de acuerdo con los servicios prestados y elementos suministrados dentro del período, previa presentación de las facturas respectivas y aprobación de las mismas por parte del supervisor del contrato, acompañadas de las correspondientes certificaciones de cumplimiento a satisfacción expedidas por el mismo en las cuales conste el valor a pagar por el contratista. El primer pago se deberá facturar por los días de servicio prestados del primer mes, los siguientes serán por mensualidades vencidas, de acuerdo a los bienes y servicios prestados_x000a_EJEMPLOS_x000a__x000a_Pago Anticipado del   ____% (NO aplica a Prestación de servicios)_x000a_Anticipo del          ____% (NO aplica a Prestación de servicios)_x000a_Pagos parciales del   ____% contra entregas parciales_x000a_                ____% contra entrega final a satisfacción y firma del acta de liquidación._x000a__x000a_En todo caso,  un anticipo o el pago anticipado no podrá ser superior al 50% del valor del contrato._x000a__x000a_Los pagos se efectuarán dentro de los diez (10) días hábiles  siguientes a la radicación en la Subdirección Financiera de la certificación de cumplimiento a satisfacción del objeto y obligaciones, expedida por el interventor del contrato, acompañada de los respectivos recibos de pago por concepto de aportes al Sistema de Seguridad Social Integral en Salud y Pensión, aportes parafiscales: Sena, ICBF y Cajas de Compensación Familiar, cuando corresponda._x000a_"/>
    <n v="0.99999999407384577"/>
    <x v="0"/>
    <n v="5.9261542340038886E-9"/>
    <s v=""/>
    <x v="1"/>
  </r>
  <r>
    <x v="206"/>
    <x v="154"/>
    <n v="900475780"/>
    <x v="188"/>
    <n v="2447846100"/>
    <s v=" "/>
    <n v="2014"/>
    <s v=" "/>
    <d v="2014-06-18T00:00:00"/>
    <d v="2015-01-17T00:00:00"/>
    <n v="1"/>
    <n v="1015608000"/>
    <n v="2"/>
    <s v="3 meses y 5 días"/>
    <d v="2015-04-22T00:00:00"/>
    <d v="2015-04-22T00:00:00"/>
    <n v="3463454100"/>
    <n v="3320263630"/>
    <n v="143190470"/>
    <s v="Un primer desembolso, equivalente al 30% de los recursos estimados para el Convenio, una vez sean implementados los esquemas de seguridad de por lo menos el 80% de los Concejales._x000a__x000a_Un segundo desembolso, correspondiente al 30% de los recursos estimados para el Convenio, una vez finalizado el segundo mes de ejecución._x000a_"/>
    <n v="0.95865674385579414"/>
    <x v="0"/>
    <n v="4.1343256144205864E-2"/>
    <s v=""/>
    <x v="0"/>
  </r>
  <r>
    <x v="207"/>
    <x v="155"/>
    <n v="900007203"/>
    <x v="189"/>
    <n v="330000"/>
    <s v=" "/>
    <n v="2014"/>
    <s v=" "/>
    <d v="2014-07-21T00:00:00"/>
    <d v="2014-08-21T00:00:00"/>
    <n v="0"/>
    <n v="0"/>
    <n v="0"/>
    <s v=""/>
    <s v=""/>
    <d v="2014-08-21T00:00:00"/>
    <n v="330000"/>
    <n v="330000"/>
    <n v="0"/>
    <s v="Un pago al recibo de los chalecos por parte de la Entidad, previa certificación de recibo a satisfacción suscrita por el supervisor del contrato._x000a_"/>
    <n v="1"/>
    <x v="0"/>
    <n v="0"/>
    <s v=""/>
    <x v="1"/>
  </r>
  <r>
    <x v="208"/>
    <x v="33"/>
    <n v="830095213"/>
    <x v="190"/>
    <n v="251750000"/>
    <s v=" "/>
    <n v="2014"/>
    <s v=" "/>
    <d v="2014-06-16T00:00:00"/>
    <d v="2014-11-16T00:00:00"/>
    <n v="0"/>
    <n v="0"/>
    <n v="0"/>
    <s v=""/>
    <s v=""/>
    <d v="2014-11-16T00:00:00"/>
    <n v="251750000"/>
    <n v="180186681"/>
    <n v="71563319"/>
    <s v="De conformidad con la cláusula 10 del Acuerdo Marco de Precios: Los Proveedores deben facturar quincenalmente el consumo de Combustible a cada una de las Entidades Compradoras de forma independiente. Los Proveedores deben presentar las facturas en la dirección indicada para el efecto por la Entidad Compradora en la Orden de Compra el día 5 y el día 20 de cada mes. Si el día en el cual debe expedirse la factura no es un día hábil, el Proveedor debe expedir la factura el día hábil siguiente. Adicionalmente, los Proveedores deben publicar copia de la factura en la misma fecha en el aplicativo del SECOP. La factura debe contener la información necesaria para ser una factura de venta como lo disponen las normas comerciales y tributarias. La factura debe indicar la fecha de inicio y la fecha de corte del suministro de Combustible para que la Entidad Compradora pueda verificar la información de la factura con el Sistema de Control. El Proveedor debe presentar como anexo a la factura un certificado suscrito por su representante legal en el cual manifieste que el Proveedor está a paz y salvo con sus obligaciones laborales frente al sistema de seguridad social integral y demás aportes relacionados con sus obligaciones laborales. Las Entidades Compradoras deben aprobar o rechazar las facturas dentro de los diez (10) días hábiles siguientes a la fecha de su presentación. El aplicativo del SECOP notificará al Proveedor la aceptación o el rechazo de las facturas y en este último caso la justificación del rechazo. Las Entidades Compradoras deben pagar las facturas dentro de los cinco (5) días hábiles siguientes a la aprobación de la misma. En caso de mora en el pago mayor a treinta (30) días calendario el Proveedor puede abstenerse de suministrar Combustible a la Entidad Compradora en mora y debe avisar a Colombia Compra Eficiente un día hábil antes de la suspensión del servicio."/>
    <n v="0.71573656802383312"/>
    <x v="0"/>
    <n v="0.28426343197616688"/>
    <s v=""/>
    <x v="0"/>
  </r>
  <r>
    <x v="209"/>
    <x v="22"/>
    <n v="900152368"/>
    <x v="191"/>
    <n v="6252000"/>
    <s v=" "/>
    <n v="2014"/>
    <s v=" "/>
    <d v="2014-07-22T00:00:00"/>
    <d v="2015-07-22T00:00:00"/>
    <n v="0"/>
    <n v="0"/>
    <n v="0"/>
    <s v=""/>
    <s v=""/>
    <d v="2015-07-22T00:00:00"/>
    <n v="6252000"/>
    <n v="5665189"/>
    <n v="586811"/>
    <s v="Los mantenimientos preventivos se cancelarán bimestralmente de acuerdo con los servicios efectivamente prestados conforme con el cronograma establecido y certificación de recibo  a satisfacción expedida por el supervisor. El mantenimiento correctivo y el suministro de repuestos se cancelarán de acuerdo a la demanda durante en el respectivo periodo, manteniendo los precios unitarios ofrecidos en la propuesta._x000a_ "/>
    <n v="0.90614027511196416"/>
    <x v="0"/>
    <n v="9.3859724888035845E-2"/>
    <s v=""/>
    <x v="0"/>
  </r>
  <r>
    <x v="210"/>
    <x v="156"/>
    <n v="19303649"/>
    <x v="192"/>
    <n v="2962640"/>
    <s v=" SDH-SMINC-033-2014"/>
    <n v="2014"/>
    <s v=" "/>
    <d v="2014-07-18T00:00:00"/>
    <d v="2014-08-01T00:00:00"/>
    <n v="0"/>
    <n v="0"/>
    <n v="0"/>
    <s v=""/>
    <s v=""/>
    <d v="2014-08-01T00:00:00"/>
    <n v="2962640"/>
    <n v="2962640"/>
    <n v="0"/>
    <s v="Un único pago contra la presentación de la factura,  previa  certificación de recibo a satisfacción, de los bienes objeto de contratación, expedida por el supervisor del contrato."/>
    <n v="1"/>
    <x v="0"/>
    <n v="0"/>
    <s v=""/>
    <x v="1"/>
  </r>
  <r>
    <x v="211"/>
    <x v="157"/>
    <n v="900153597"/>
    <x v="193"/>
    <n v="36581760"/>
    <s v=" SDH-SIE-04-2014"/>
    <n v="2014"/>
    <s v=" "/>
    <d v="2014-07-01T00:00:00"/>
    <d v="2015-03-30T00:00:00"/>
    <n v="0"/>
    <n v="0"/>
    <n v="1"/>
    <s v="3 meses"/>
    <d v="2015-07-01T00:00:00"/>
    <d v="2015-07-01T00:00:00"/>
    <n v="36581760"/>
    <n v="34363318"/>
    <n v="2218442"/>
    <s v="Por mensualidades vencidas, de acuerdo al consumo de cada periodo, previa radicación de los documentos y soportes requeridos en la Subdirección Financiera y certificación de cumplimiento a satisfacción expedida por el Supervisor del contrato."/>
    <n v="0.93935660832064938"/>
    <x v="0"/>
    <n v="6.0643391679350622E-2"/>
    <s v=""/>
    <x v="0"/>
  </r>
  <r>
    <x v="212"/>
    <x v="158"/>
    <n v="79619132"/>
    <x v="194"/>
    <n v="16390000"/>
    <s v=" "/>
    <n v="2014"/>
    <s v=" "/>
    <d v="2014-06-09T00:00:00"/>
    <d v="2015-07-08T00:00:00"/>
    <n v="1"/>
    <n v="2324400"/>
    <n v="1"/>
    <s v="1 mes y 22 días"/>
    <d v="2015-08-31T00:00:00"/>
    <d v="2015-08-31T00:00:00"/>
    <n v="18714400"/>
    <n v="18714400"/>
    <n v="0"/>
    <s v="El 90% del contrato mediante 11 pagos mensuales iguales y unpago final equivalente al 10% del contratodentro de los quince días siguientes al al firma del axcta de liquidación"/>
    <n v="1"/>
    <x v="0"/>
    <n v="0"/>
    <s v=""/>
    <x v="1"/>
  </r>
  <r>
    <x v="213"/>
    <x v="90"/>
    <n v="830109807"/>
    <x v="195"/>
    <n v="683000"/>
    <s v=" "/>
    <n v="2014"/>
    <s v=" "/>
    <d v="2014-07-18T00:00:00"/>
    <d v="2015-07-18T00:00:00"/>
    <n v="0"/>
    <n v="0"/>
    <n v="0"/>
    <s v=""/>
    <s v=""/>
    <d v="2015-07-18T00:00:00"/>
    <n v="683000"/>
    <n v="683000"/>
    <n v="0"/>
    <s v="Se efectuará un pago único contra la presentación de la factura, acompañada de la constancia de suscripción del servicio y certificación de recibido a satisfacción de la suscripción expedida por el supervisor del contrato._x000a_"/>
    <n v="1"/>
    <x v="0"/>
    <n v="0"/>
    <s v=""/>
    <x v="1"/>
  </r>
  <r>
    <x v="214"/>
    <x v="159"/>
    <n v="832004433"/>
    <x v="196"/>
    <n v="4672000"/>
    <s v=" SDH-SMINC-035-2014"/>
    <n v="2014"/>
    <s v=" "/>
    <d v="2014-07-15T00:00:00"/>
    <d v="2015-02-15T00:00:00"/>
    <n v="0"/>
    <n v="0"/>
    <n v="0"/>
    <s v=""/>
    <s v=""/>
    <d v="2015-02-15T00:00:00"/>
    <n v="4672000"/>
    <n v="1806200"/>
    <n v="2865800"/>
    <s v="Pagos mensuales correspondientes a los servicios prestados.  Los repuestos se cancelarán de acuerdo a la demanda requerida en el respectivo periodo, manteniendo los precios unitarios ofrecidos en la oferta económica; previa certificación de cumplimiento expedida por el supervisor del contrato._x000a_"/>
    <n v="0.38660102739726027"/>
    <x v="0"/>
    <n v="0.61339897260273979"/>
    <s v=""/>
    <x v="0"/>
  </r>
  <r>
    <x v="215"/>
    <x v="160"/>
    <m/>
    <x v="197"/>
    <n v="3846133"/>
    <s v=" LP-AMP-011-2013"/>
    <n v="2014"/>
    <s v=" "/>
    <d v="2014-07-17T00:00:00"/>
    <d v="2015-07-17T00:00:00"/>
    <n v="0"/>
    <n v="0"/>
    <n v="0"/>
    <s v=""/>
    <s v=""/>
    <d v="2015-07-17T00:00:00"/>
    <n v="3846133"/>
    <n v="0"/>
    <n v="3846133"/>
    <m/>
    <n v="0"/>
    <x v="0"/>
    <n v="1"/>
    <s v=""/>
    <x v="3"/>
  </r>
  <r>
    <x v="216"/>
    <x v="104"/>
    <n v="900268429"/>
    <x v="198"/>
    <n v="10564000"/>
    <s v=" "/>
    <n v="2014"/>
    <s v=" "/>
    <d v="2014-06-03T00:00:00"/>
    <d v="2015-04-02T00:00:00"/>
    <n v="0"/>
    <n v="0"/>
    <n v="0"/>
    <s v=""/>
    <s v=""/>
    <d v="2015-04-02T00:00:00"/>
    <n v="10564000"/>
    <n v="10055157"/>
    <n v="508843"/>
    <s v="Los pagos se realizarán cada dos (2) meses de acuerdo a los servicios efectivamente prestados por concepto de mantenimiento preventivo y correctivo. Los insumos y repuestos se cancelarán de acuerdo a la demanda requerida en el respectivo periodo, manteniendo los precios ofrecidos con la propuesta, previa presentación del informe de los servicios prestados por parte del contratista y certificación de cumplimiento y recibo a satisfacción del servicio, expedida por el supervisor del contrato en la cual se indique el valor a pagar al contratista._x000a__x000a_"/>
    <n v="0.95183235516849674"/>
    <x v="0"/>
    <n v="4.8167644831503265E-2"/>
    <s v=""/>
    <x v="0"/>
  </r>
  <r>
    <x v="217"/>
    <x v="161"/>
    <n v="830021364"/>
    <x v="199"/>
    <n v="249991314"/>
    <s v=" "/>
    <n v="2014"/>
    <s v=" "/>
    <d v="2014-07-17T00:00:00"/>
    <d v="2015-06-16T00:00:00"/>
    <n v="0"/>
    <n v="0"/>
    <n v="1"/>
    <s v="1 mes y 14 días"/>
    <d v="2015-07-31T00:00:00"/>
    <d v="2015-07-31T00:00:00"/>
    <n v="249991314"/>
    <n v="248275406"/>
    <n v="1715908"/>
    <s v="El valor del personal y el suministro de repuestos y materiales del periodo se cancelarán por pagos mensuales vencidos, previa certificación del supervisor y/o interventor designado por la entidad, en la cual conste el cumplimiento a satisfacción del objeto y obligaciones. _x000a__x000a_Para el primer pago el contratista deberá cobrar los días prestados del mes de inicio del contrato, los siguientes serán por pagos mensuales completos. _x000a__x000a_Los mantenimientos de las persianas y puertas de vidrio se cancelarán mediante pagos parciales mensuales, de conformidad con los mantenimientos efectuados y certificados por el supervisor y/o interventor designado por la entidad. _x000a__x000a_El contratista deberá adjuntar a las facturas de cobro, una relación de los servicios y actividades ejecutadas, ordenes de pedido de repuestos, materiales con la previa autorización del supervisor y/o interventor, comprobante de los servicios prestados con el recibido a satisfacción. _x000a__x000a_Si las facturas no han sido correctamente elaboradas o no se acompañan de los documentos requeridos para el pago, el término para éste solamente empezará a contarse desde la fecha en que se presenten en debida forma o se haya aportado el último de los documentos. Las demoras que se presenten por estos conceptos serán responsabilidad del CONTRATISTA y no tendrá por ello derecho al pago de intereses o compensación de ninguna naturaleza._x000a__x000a_Los pagos se efectuarán dentro de los ocho (8) días hábiles  siguientes a la radicación en la Subdirección Financiera de la certificación de cumplimiento a satisfacción del objeto y obligaciones, expedida por el supervisor y/o interventor del contrato, acompañada de los respectivos recibos de pago por concepto de aportes al Sistema de Seguridad Social Integral en Salud, Pensión y ARL, aportes parafiscales: Sena, ICBF y Cajas de Compensación Familiar, cuando corresponda._x000a__x000a_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_x000a_EJEMPLOS_x000a__x000a_Pago Anticipado del   ____% (NO aplica a Prestación de servicios)_x000a_Anticipo del          ____% (NO aplica a Prestación de servicios)_x000a_Pagos parciales del   ____% contra entregas parciales_x000a_                ____% contra entrega final a satisfacción y firma del acta de liquidación._x000a__x000a_En todo caso,  un anticipo o el pago anticipado no podrá ser superior al 50% del valor del contrato._x000a__x000a_Los pagos se efectuarán dentro de los diez (10) días hábiles  siguientes a la radicación en la Subdirección Financiera de la certificación de cumplimiento a satisfacción del objeto y obligaciones, expedida por el interventor del contrato, acompañada de los respectivos recibos de pago por concepto de aportes al Sistema de Seguridad Social Integral en Salud y Pensión, aportes parafiscales: Sena, ICBF y Cajas de Compensación Familiar, cuando corresponda._x000a__x000a_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
    <n v="0.99313612952168406"/>
    <x v="0"/>
    <n v="6.8638704783159366E-3"/>
    <s v=""/>
    <x v="0"/>
  </r>
  <r>
    <x v="218"/>
    <x v="162"/>
    <n v="830145054"/>
    <x v="200"/>
    <n v="4136000"/>
    <s v=" SDH-SMINC-59-2012"/>
    <n v="2014"/>
    <s v=" "/>
    <d v="2014-10-23T00:00:00"/>
    <d v="2015-01-23T00:00:00"/>
    <n v="0"/>
    <n v="0"/>
    <n v="0"/>
    <s v=""/>
    <s v=""/>
    <d v="2015-01-23T00:00:00"/>
    <n v="4136000"/>
    <n v="2251047"/>
    <n v="1884953"/>
    <s v="Mensual"/>
    <n v="0.54425701160541584"/>
    <x v="0"/>
    <n v="0.45574298839458416"/>
    <s v=""/>
    <x v="0"/>
  </r>
  <r>
    <x v="219"/>
    <x v="163"/>
    <n v="860066942"/>
    <x v="201"/>
    <n v="65200000"/>
    <s v=" "/>
    <n v="2014"/>
    <s v=" "/>
    <d v="2014-07-15T00:00:00"/>
    <d v="2015-03-15T00:00:00"/>
    <n v="1"/>
    <n v="32600000"/>
    <n v="1"/>
    <s v="2 meses"/>
    <d v="2015-05-15T00:00:00"/>
    <d v="2015-05-15T00:00:00"/>
    <n v="97800000"/>
    <n v="97794518"/>
    <n v="5482"/>
    <s v="La Secretaría Distrital de Hacienda efectuará los pagos mensualmente en pesos colombianos de acuerdo con las actividades efectivamente ejecutadas en su totalidad en el mes anterior y que sean aprobadas y certificadas por los Supervisores para el contrato de la Secretaria Distrital de Hacienda y para el Concejo de Bogotá, previa presentación de las facturas respectivas."/>
    <n v="0.99994394683026588"/>
    <x v="0"/>
    <n v="5.6053169734116004E-5"/>
    <s v=""/>
    <x v="1"/>
  </r>
  <r>
    <x v="220"/>
    <x v="7"/>
    <n v="830040274"/>
    <x v="202"/>
    <n v="2228070"/>
    <s v=" 140243-0-2014"/>
    <n v="2014"/>
    <s v=" "/>
    <d v="2014-07-22T00:00:00"/>
    <d v="2014-11-22T00:00:00"/>
    <n v="0"/>
    <n v="0"/>
    <n v="0"/>
    <s v=""/>
    <s v=""/>
    <d v="2014-11-22T00:00:00"/>
    <n v="2228070"/>
    <n v="2228070"/>
    <n v="0"/>
    <s v="El servicio será cancelado una vez realizada la auditoría de seguimiento y entrega del informe de resultado de la auditoría, previa presentación de la factura y aprobación de la misma, junto con la certificación de cumplimiento de recibo a satisfacción expedida por el supervisor del contrato."/>
    <n v="1"/>
    <x v="0"/>
    <n v="0"/>
    <s v=""/>
    <x v="1"/>
  </r>
  <r>
    <x v="221"/>
    <x v="164"/>
    <n v="800047094"/>
    <x v="203"/>
    <n v="2260000"/>
    <s v=" "/>
    <n v="2014"/>
    <s v=" "/>
    <d v="2014-08-11T00:00:00"/>
    <d v="2014-10-11T00:00:00"/>
    <n v="0"/>
    <n v="0"/>
    <n v="0"/>
    <s v=""/>
    <s v=""/>
    <d v="2014-10-11T00:00:00"/>
    <n v="2260000"/>
    <n v="1595000"/>
    <n v="665000"/>
    <s v="Un pago equivalente al 100% del valor del contrato, una vez se hayan entregado y aprobado por el supervisor la totalidad de los resultados objeto del contrato."/>
    <n v="0.70575221238938057"/>
    <x v="0"/>
    <n v="0.29424778761061943"/>
    <s v=""/>
    <x v="0"/>
  </r>
  <r>
    <x v="222"/>
    <x v="97"/>
    <n v="900450570"/>
    <x v="204"/>
    <n v="202978686"/>
    <s v=" 140249-0-2014"/>
    <n v="2014"/>
    <s v=" "/>
    <d v="2014-07-30T00:00:00"/>
    <d v="2015-01-30T00:00:00"/>
    <n v="1"/>
    <n v="87669877"/>
    <n v="1"/>
    <s v="2 meses y 15 días"/>
    <d v="2015-04-14T00:00:00"/>
    <d v="2015-04-14T00:00:00"/>
    <n v="290648563"/>
    <n v="290648563"/>
    <n v="0"/>
    <s v="El pago se efectuará por mensualidades anticipadas así: a) El primer pago se cancelará en proporción a los días ejecutados en el mes en que se inicie la ejecución del contrato. b) cinco (5) mensualidades anticipadas de TREINTA Y TRES MILLONES OCHOCIENTOS VEINTINUEVE MIL SETECIENTOS OCHENTA Y UN PESOS MONEDA CORRIENTE $33.829.781, incluido IVA, por concepto de canon de arrendamiento c) En el último pago se cancelará el saldo del presente contrato. "/>
    <n v="1"/>
    <x v="0"/>
    <n v="0"/>
    <s v=""/>
    <x v="1"/>
  </r>
  <r>
    <x v="223"/>
    <x v="165"/>
    <n v="800188299"/>
    <x v="205"/>
    <n v="16592327"/>
    <s v=" SDH-SMINC-39-2014"/>
    <n v="2014"/>
    <s v=" "/>
    <d v="2014-10-24T00:00:00"/>
    <d v="2015-10-24T00:00:00"/>
    <n v="0"/>
    <n v="0"/>
    <n v="0"/>
    <s v=""/>
    <s v=""/>
    <d v="2015-10-24T00:00:00"/>
    <n v="16592327"/>
    <n v="14933095"/>
    <n v="1659232"/>
    <s v="Se efectuarán los siguientes pagos, tanto para la Secretaría Distrital de Hacienda como para el Concejo de Bogotá._x000a__x000a_a) Un pago inicial correspondiente al 70% del valor del contrato, contra entrega del documento para la actualización de las licencias y funcionamiento del software antivirus de forma satisfactoria._x000a__x000a_b) Un Segundo pago del 15% al tercer mes de ejecución del contrato, correspondiente al servicio de soporte y mantenimiento de las licencias software antivirus._x000a__x000a_c) Ultimo pago del 15% al sexto mes de ejecución del contrato, correspondiente al servicio de soporte y mantenimiento de las licencias software antivirus."/>
    <n v="0.90000004218817531"/>
    <x v="0"/>
    <n v="9.9999957811824691E-2"/>
    <s v=""/>
    <x v="0"/>
  </r>
  <r>
    <x v="224"/>
    <x v="28"/>
    <n v="860509265"/>
    <x v="206"/>
    <n v="807000"/>
    <s v=" "/>
    <n v="2014"/>
    <s v=" "/>
    <d v="2014-09-30T00:00:00"/>
    <d v="2015-09-30T00:00:00"/>
    <n v="0"/>
    <n v="0"/>
    <n v="0"/>
    <s v=""/>
    <s v=""/>
    <d v="2015-09-30T00:00:00"/>
    <n v="807000"/>
    <n v="807000"/>
    <n v="0"/>
    <s v="Un pago único contra la presentación de la factura, acompañada de la constancia de suscripción A LA REVISTA SEMANA y certificación de cumplimiento a satisfacción de la suscripción expedida por el supervisor. "/>
    <n v="1"/>
    <x v="0"/>
    <n v="0"/>
    <s v=""/>
    <x v="1"/>
  </r>
  <r>
    <x v="225"/>
    <x v="26"/>
    <n v="860007590"/>
    <x v="207"/>
    <n v="936000"/>
    <s v=" "/>
    <n v="2014"/>
    <s v=" "/>
    <d v="2014-09-11T00:00:00"/>
    <d v="2015-09-11T00:00:00"/>
    <n v="0"/>
    <n v="0"/>
    <n v="0"/>
    <s v=""/>
    <s v=""/>
    <d v="2015-09-11T00:00:00"/>
    <n v="936000"/>
    <n v="936000"/>
    <n v="0"/>
    <s v="Un pago único contra la presentación de la factura, acompañada de la constancia de suscripción al diario EL ESPECTADOR y certificación de cumplimiento a satisfacción de la suscripción expedida por el supervisor.  _x000a__x000a_Los pagos se efectuarán dentro de los ocho (8) días hábiles siguientes a la radicación en la Subdirección Financiera de la certificación de cumplimiento a satisfacción del objeto y obligaciones, expedida por el supervisor del contrato, acompañada de los respectivos recibos de pago por concepto de aportes al Sistema de Seguridad Social Integral en Salud y Pensión, aportes parafiscales: Sena, ICBF y Cajas de Compensación Familiar, cuando corresponda._x000a__x000a_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_x000a__x000a_Si las factura(s), cuando haya lugar, no han sido correctamente elaboradas o no se acompañen de los documentos requeridos para el pago, el término para éste solamente empezará a contarse desde la fecha en que se presenten en debida forma o se haya aportado el último de los documentos. Las demoras que se presenten por estos conceptos serán responsabilidad del CONTRATISTA y no tendrá por ello derecho al pago de intereses o compensación de ninguna naturaleza._x000a_"/>
    <n v="1"/>
    <x v="0"/>
    <n v="0"/>
    <s v=""/>
    <x v="1"/>
  </r>
  <r>
    <x v="226"/>
    <x v="27"/>
    <n v="860536029"/>
    <x v="208"/>
    <n v="855000"/>
    <s v="140279-0-2014"/>
    <n v="2014"/>
    <s v=" "/>
    <d v="2014-09-14T00:00:00"/>
    <d v="2015-09-14T00:00:00"/>
    <n v="0"/>
    <n v="0"/>
    <n v="0"/>
    <s v=""/>
    <s v=""/>
    <d v="2015-09-14T00:00:00"/>
    <n v="855000"/>
    <n v="855000"/>
    <n v="0"/>
    <s v="Un único pago contra la presentación de la factura, acompañada de la constancia de suscripción objeto de la contratación,  previa  certificación expedida por el supervisor del contrato._x000a__x000a_Los pagos se efectuarán dentro de los ocho (8) días hábiles  siguientes a la radicación en la Subdirección Financiera de la certificación de cumplimiento a satisfacción del objeto y obligaciones, expedida por el interventor del contrato, acompañada de los respectivos recibos de pago por concepto de aportes al Sistema de Seguridad Social Integral en Salud y Pensión, aportes parafiscales: Sena, ICBF y Cajas de Compensación Familiar, cuando corresponda._x000a__x000a_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_x000a_"/>
    <n v="1"/>
    <x v="0"/>
    <n v="0"/>
    <s v=""/>
    <x v="1"/>
  </r>
  <r>
    <x v="227"/>
    <x v="166"/>
    <n v="830144875"/>
    <x v="209"/>
    <n v="19356282"/>
    <s v=" "/>
    <n v="2014"/>
    <s v=" "/>
    <d v="2014-09-05T00:00:00"/>
    <d v="2015-01-05T00:00:00"/>
    <n v="0"/>
    <n v="0"/>
    <n v="0"/>
    <s v=""/>
    <s v=""/>
    <d v="2015-01-05T00:00:00"/>
    <n v="19356282"/>
    <n v="19356282"/>
    <n v="0"/>
    <s v="La Secretaría Distrital de Hacienda efectuará un único pago que se efectuará a la entrega de los bienes objeto de contratación, previa  radicación de la factura en la Subdirección Financiera y certificación de recibo  a satisfacción expedida por el supervisor y constancia de ingreso al Almacén.   _x000a__x000a_|Los pagos se efectuarán dentro de los ocho (8)  días hábiles  siguientes a la radicación en la Subdirección Financiera de la certificación de cumplimiento a satisfacción del objeto y obligaciones, expedida por el supervisor o interventor del contrato, acompañada de los respectivos recibos de pago por concepto de aportes al Sistema de Seguridad Social Integral en Salud y Pensión, aportes parafiscales: Sena, ICBF y Cajas de Compensación Familiar, cuando corresponda._x000a__x000a_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_x000a_"/>
    <n v="1"/>
    <x v="0"/>
    <n v="0"/>
    <s v=""/>
    <x v="1"/>
  </r>
  <r>
    <x v="228"/>
    <x v="58"/>
    <n v="900169179"/>
    <x v="210"/>
    <n v="810000"/>
    <s v=" 140282-0-2014"/>
    <n v="2014"/>
    <s v=" "/>
    <d v="2014-10-28T00:00:00"/>
    <d v="2015-10-28T00:00:00"/>
    <n v="0"/>
    <n v="0"/>
    <n v="0"/>
    <s v=""/>
    <s v=""/>
    <d v="2015-10-28T00:00:00"/>
    <n v="810000"/>
    <n v="810000"/>
    <n v="0"/>
    <m/>
    <n v="1"/>
    <x v="0"/>
    <n v="0"/>
    <s v=""/>
    <x v="1"/>
  </r>
  <r>
    <x v="229"/>
    <x v="56"/>
    <n v="860049921"/>
    <x v="211"/>
    <n v="4621440"/>
    <s v=" "/>
    <n v="2014"/>
    <s v=" "/>
    <d v="2014-10-22T00:00:00"/>
    <d v="2015-03-22T00:00:00"/>
    <n v="0"/>
    <n v="0"/>
    <n v="0"/>
    <s v=""/>
    <s v=""/>
    <d v="2015-03-22T00:00:00"/>
    <n v="4621440"/>
    <n v="4621440"/>
    <n v="0"/>
    <m/>
    <n v="1"/>
    <x v="0"/>
    <n v="0"/>
    <s v=""/>
    <x v="1"/>
  </r>
  <r>
    <x v="230"/>
    <x v="167"/>
    <n v="800180176"/>
    <x v="212"/>
    <n v="41850000"/>
    <s v=" "/>
    <n v="2014"/>
    <s v=" "/>
    <d v="2014-10-14T00:00:00"/>
    <d v="2015-05-14T00:00:00"/>
    <n v="0"/>
    <n v="0"/>
    <n v="0"/>
    <s v=""/>
    <s v=""/>
    <d v="2015-05-14T00:00:00"/>
    <n v="41850000"/>
    <n v="26363000"/>
    <n v="15487000"/>
    <s v="Se efectuarán los pagos por mensualidades vencidas de acuerdo con los servicios realizados dentro del mes, previa presentación de las facturas respectivas las cuales deben cumplir con los lineamientos establecidos en los artículos 1 y 3 de la ley 131 de 2208, y aprobación de las mismas por parte del supervisor del contrato, acompañadas de las correspondientes certificaciones de cumplimiento a satisfacción expedidas por el mismo._x000a_EJEMPLOS_x000a__x000a_Pago Anticipado del   ____% (NO aplica a Prestación de servicios)_x000a_Anticipo del          ____% (NO aplica a Prestación de servicios)_x000a_Pagos parciales del   ____% contra entregas parciales_x000a_                ____% contra entrega final a satisfacción y firma del acta de liquidación._x000a__x000a_En todo caso,  un anticipo o el pago anticipado no podrá ser superior al 50% del valor del contrato._x000a__x000a_Los pagos se efectuarán dentro de los diez (10) días hábiles  siguientes a la radicación en la Subdirección Financiera de la certificación de cumplimiento a satisfacción del objeto y obligaciones, expedida por el interventor del contrato, acompañada de los respectivos recibos de pago por concepto de aportes al Sistema de Seguridad Social Integral en Salud y Pensión, aportes parafiscales: Sena, ICBF y Cajas de Compensación Familiar, cuando corresponda._x000a__x000a_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
    <n v="0.6299402628434887"/>
    <x v="0"/>
    <n v="0.3700597371565113"/>
    <s v=""/>
    <x v="0"/>
  </r>
  <r>
    <x v="231"/>
    <x v="168"/>
    <n v="52857895"/>
    <x v="213"/>
    <n v="25000000"/>
    <s v=" "/>
    <n v="2014"/>
    <s v=" "/>
    <d v="2014-09-09T00:00:00"/>
    <d v="2015-01-09T00:00:00"/>
    <n v="0"/>
    <n v="0"/>
    <n v="0"/>
    <s v=""/>
    <s v=""/>
    <d v="2015-01-09T00:00:00"/>
    <n v="25000000"/>
    <n v="25000000"/>
    <n v="0"/>
    <s v="a) El primer pago vencido se cancelará en proporción a los días ejecutados en el mes en que se inicie la ejecución del contrato._x000a_b) Tres (3) mensualidades vencidas de SEIS MILLONES DOSCIENTOS CINCUENTA MIL ($6.250.000) Pesos, previa presentación del informe de actividades, del respectivo periodo, aprobado por el supervisor._x000a_c) En el último pago se cancelara el saldo del presente contrato previa presentación del informe final aprobado por el Supervisor. _x000a_"/>
    <n v="1"/>
    <x v="0"/>
    <n v="0"/>
    <s v=""/>
    <x v="1"/>
  </r>
  <r>
    <x v="232"/>
    <x v="169"/>
    <n v="1026250449"/>
    <x v="214"/>
    <n v="25000000"/>
    <s v=" "/>
    <n v="2014"/>
    <s v=" "/>
    <d v="2014-09-11T00:00:00"/>
    <d v="2015-02-11T00:00:00"/>
    <n v="0"/>
    <n v="0"/>
    <n v="0"/>
    <s v=""/>
    <s v=""/>
    <d v="2015-02-11T00:00:00"/>
    <n v="25000000"/>
    <n v="25000000"/>
    <n v="0"/>
    <s v="a) El primer pago vencido se cancelará en proporción a los días ejecutados en el mes en que se inicie la ejecución del contrato._x000a_b) Cuatro (4) mensualidades vencidas de CINCO MILLONES DE PESOS ($5.000.000), previa presentación del informe de actividades, del respectivo período, aprobado por el supervisor._x000a_c) En el último pago se cancelará el saldo del presente contrato previa presentación del informe final aprobado por el Supervisor_x000a__x000a_Los pagos se efectuarán dentro de los ocho (8) días hábiles siguientes a la radicación en la subdirección Financiera de la certificación de cumplimiento a satisfacción del objeto y obligaciones, expedida por el supervisor del contrato, acompañada de los respectivos recibos de pago por concepto de aportes al sistema de seguridad social integrales en salud, pensión y ARL, aportes parafiscales: Sena, ICBF y Cajas de Compensación Familiar, cuando corresponda._x000a__x000a_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_x000a_"/>
    <n v="1"/>
    <x v="0"/>
    <n v="0"/>
    <s v=""/>
    <x v="1"/>
  </r>
  <r>
    <x v="233"/>
    <x v="110"/>
    <n v="800039398"/>
    <x v="215"/>
    <n v="311460000"/>
    <s v=" SDH-SIE-10-2014"/>
    <n v="2014"/>
    <s v=" "/>
    <d v="2014-09-25T00:00:00"/>
    <d v="2014-12-23T00:00:00"/>
    <n v="0"/>
    <n v="0"/>
    <n v="0"/>
    <s v=""/>
    <s v=""/>
    <d v="2014-12-23T00:00:00"/>
    <n v="311460000"/>
    <n v="311460000"/>
    <n v="0"/>
    <s v="se efectuaran los pagos así:_x000a_- un primer pago el 30% del valor del contrato._x000a_- un segundo pago por el 70% del valor del contrato"/>
    <n v="1"/>
    <x v="0"/>
    <n v="0"/>
    <s v=""/>
    <x v="1"/>
  </r>
  <r>
    <x v="234"/>
    <x v="170"/>
    <n v="1073156298"/>
    <x v="216"/>
    <n v="17500000"/>
    <s v=" "/>
    <n v="2014"/>
    <s v=" "/>
    <d v="2014-09-18T00:00:00"/>
    <d v="2015-02-18T00:00:00"/>
    <n v="0"/>
    <n v="0"/>
    <n v="0"/>
    <s v=""/>
    <s v=""/>
    <d v="2015-02-18T00:00:00"/>
    <n v="17500000"/>
    <n v="17500000"/>
    <n v="0"/>
    <s v="El pago de los honorarios se efectuará así: a) El primer pago vencido se cancelará en proporción a los días ejecutados en el mes en que se inicie la ejecución del contrato. b) cuatro (4) mensualidades vencidas de ($3.500.000) pesos M/CTE, previa presentación del informe de actividades, del respectivo período, aprobado por el supervisor o interventor. c) En el último pago se cancelará el saldo del presente contrato previa presentación del informe final aprobado por el supervisor o interventor del contrato, según corresponda"/>
    <n v="1"/>
    <x v="0"/>
    <n v="0"/>
    <s v=""/>
    <x v="1"/>
  </r>
  <r>
    <x v="235"/>
    <x v="171"/>
    <n v="830024826"/>
    <x v="217"/>
    <n v="14153603"/>
    <s v=" SDH-SIE-08-2014"/>
    <n v="2014"/>
    <s v=" "/>
    <d v="2014-10-17T00:00:00"/>
    <d v="2015-01-17T00:00:00"/>
    <n v="0"/>
    <n v="0"/>
    <n v="0"/>
    <s v=""/>
    <s v=""/>
    <d v="2015-01-17T00:00:00"/>
    <n v="14153603"/>
    <n v="14153603"/>
    <n v="0"/>
    <s v="Se realizará un pago único, cuyo valor corresponderá al valor unitario establecido en la propuesta final, por el número de equipos entregados por el contratista a la Secretaría Distrital de Hacienda y al Concejo de Bogotá, a la entrega e  ingreso al almacén de la Secretaria Distrital de Hacienda y  recibo a satisfacción por parte del supervisor del contrato. "/>
    <n v="1"/>
    <x v="0"/>
    <n v="0"/>
    <s v=""/>
    <x v="1"/>
  </r>
  <r>
    <x v="236"/>
    <x v="172"/>
    <n v="1026269949"/>
    <x v="218"/>
    <n v="10000000"/>
    <s v=" "/>
    <n v="2014"/>
    <s v=" "/>
    <d v="2014-09-29T00:00:00"/>
    <d v="2015-01-29T00:00:00"/>
    <n v="0"/>
    <n v="0"/>
    <n v="0"/>
    <s v=""/>
    <s v=""/>
    <d v="2015-01-29T00:00:00"/>
    <n v="10000000"/>
    <n v="10000000"/>
    <n v="0"/>
    <s v="El pago de los honorarios se efectuará así: a) El primer pago vencido se cancelará en proporción a los días ejecutados en el mes en que se inicie la ejecución del contrato. b) tres (3) mensualidades vencidas de ($2.500.000) pesos M/CTE, previa presentación del informe de actividades, del respectivo período, aprobado por el supervisor o interventor. c) En el último pago se cancelará el saldo del presente contrato previa presentación del informe final aprobado por el supervisor o interventor del contrato, según corresponda."/>
    <n v="1"/>
    <x v="0"/>
    <n v="0"/>
    <s v=""/>
    <x v="1"/>
  </r>
  <r>
    <x v="237"/>
    <x v="173"/>
    <n v="900332071"/>
    <x v="219"/>
    <n v="812500"/>
    <s v=" "/>
    <n v="2014"/>
    <s v=" "/>
    <d v="2014-10-16T00:00:00"/>
    <d v="2014-12-31T00:00:00"/>
    <n v="0"/>
    <n v="0"/>
    <n v="0"/>
    <s v=""/>
    <s v=""/>
    <d v="2014-12-31T00:00:00"/>
    <n v="812500"/>
    <n v="812500"/>
    <n v="0"/>
    <m/>
    <n v="1"/>
    <x v="0"/>
    <n v="0"/>
    <s v=""/>
    <x v="1"/>
  </r>
  <r>
    <x v="238"/>
    <x v="14"/>
    <n v="830112518"/>
    <x v="220"/>
    <n v="44544000"/>
    <s v="  140317-0-2014"/>
    <n v="2014"/>
    <s v=" "/>
    <d v="2014-10-17T00:00:00"/>
    <d v="2015-10-17T00:00:00"/>
    <n v="1"/>
    <n v="22272000"/>
    <n v="1"/>
    <s v="6 meses"/>
    <d v="2016-04-17T00:00:00"/>
    <d v="2016-04-17T00:00:00"/>
    <n v="66816000"/>
    <n v="66816000"/>
    <n v="0"/>
    <s v="a) Un primer pago por valor de $4.176.000 incluido Iva, correspondiente a la entrega de la actualización de las licencias, previo ingreso de las licencias al Almacén e instalación, así como la certificación de recibido a satisfacción por parte del supervisor, conforme a la propuesta económica remitida por el Contratista._x000a_b) Se realizarán doce (12) mensualidades vencidas de Tres Millones Trescientos Sesenta y Cuatro Mil pesos ($3.364.000.oo) cada una incluido Iva, correspondientes al mantenimiento y soporte mensual.  _x000a_"/>
    <n v="1"/>
    <x v="0"/>
    <n v="0"/>
    <s v=""/>
    <x v="1"/>
  </r>
  <r>
    <x v="239"/>
    <x v="91"/>
    <n v="830005370"/>
    <x v="221"/>
    <n v="818527824"/>
    <s v=" 140319-0-2014"/>
    <n v="2014"/>
    <s v=" "/>
    <d v="2014-10-09T00:00:00"/>
    <d v="2015-04-08T00:00:00"/>
    <n v="0"/>
    <n v="0"/>
    <n v="1"/>
    <s v="13 días"/>
    <d v="2015-04-22T00:00:00"/>
    <d v="2015-04-22T00:00:00"/>
    <n v="818527824"/>
    <n v="800790708"/>
    <n v="17737116"/>
    <m/>
    <n v="0.97833046662565259"/>
    <x v="0"/>
    <n v="2.1669533374347405E-2"/>
    <s v=""/>
    <x v="0"/>
  </r>
  <r>
    <x v="240"/>
    <x v="174"/>
    <n v="830001338"/>
    <x v="222"/>
    <n v="75520000"/>
    <s v=" "/>
    <n v="2014"/>
    <s v=" "/>
    <d v="2014-10-17T00:00:00"/>
    <d v="2015-10-17T00:00:00"/>
    <n v="0"/>
    <n v="0"/>
    <n v="0"/>
    <s v="2 meses"/>
    <d v="2015-12-31T00:00:00"/>
    <d v="2015-12-31T00:00:00"/>
    <n v="75520000"/>
    <n v="75519999"/>
    <n v="1"/>
    <m/>
    <n v="0.99999998675847457"/>
    <x v="0"/>
    <n v="1.3241525431695322E-8"/>
    <s v=""/>
    <x v="1"/>
  </r>
  <r>
    <x v="241"/>
    <x v="118"/>
    <n v="830080652"/>
    <x v="223"/>
    <n v="324800"/>
    <s v=" "/>
    <n v="2014"/>
    <s v=" "/>
    <d v="2014-10-27T00:00:00"/>
    <d v="2014-11-27T00:00:00"/>
    <n v="0"/>
    <n v="0"/>
    <n v="0"/>
    <s v=""/>
    <s v=""/>
    <d v="2014-11-27T00:00:00"/>
    <n v="324800"/>
    <n v="324800"/>
    <n v="0"/>
    <s v="Único pago"/>
    <n v="1"/>
    <x v="0"/>
    <n v="0"/>
    <s v=""/>
    <x v="1"/>
  </r>
  <r>
    <x v="242"/>
    <x v="175"/>
    <n v="830120684"/>
    <x v="224"/>
    <n v="1659960"/>
    <s v=" SDH-SMINC-58-2014"/>
    <n v="2014"/>
    <s v=" "/>
    <d v="2014-11-25T00:00:00"/>
    <d v="2015-08-25T00:00:00"/>
    <n v="1"/>
    <n v="800000"/>
    <n v="0"/>
    <s v=""/>
    <s v=""/>
    <d v="2015-08-25T00:00:00"/>
    <n v="2459960"/>
    <n v="2457884"/>
    <n v="2076"/>
    <s v="Por producto"/>
    <n v="0.99915608383876164"/>
    <x v="0"/>
    <n v="8.4391616123835611E-4"/>
    <s v=""/>
    <x v="1"/>
  </r>
  <r>
    <x v="243"/>
    <x v="176"/>
    <n v="79403174"/>
    <x v="225"/>
    <n v="20188000"/>
    <s v=" 140344-0-2014"/>
    <n v="2014"/>
    <s v=" "/>
    <d v="2014-11-14T00:00:00"/>
    <d v="2015-03-14T00:00:00"/>
    <n v="0"/>
    <n v="0"/>
    <n v="0"/>
    <s v=""/>
    <s v=""/>
    <d v="2015-03-14T00:00:00"/>
    <n v="20188000"/>
    <n v="20188000"/>
    <n v="0"/>
    <s v="Mensual"/>
    <n v="1"/>
    <x v="0"/>
    <n v="0"/>
    <s v=""/>
    <x v="1"/>
  </r>
  <r>
    <x v="244"/>
    <x v="177"/>
    <n v="830025104"/>
    <x v="226"/>
    <n v="59383678"/>
    <s v=" SDH-SMINC-046-2014"/>
    <n v="2014"/>
    <s v=" "/>
    <d v="2014-10-29T00:00:00"/>
    <d v="2015-01-29T00:00:00"/>
    <n v="0"/>
    <n v="0"/>
    <n v="3"/>
    <s v="5 meses"/>
    <d v="2015-06-29T00:00:00"/>
    <d v="2015-06-29T00:00:00"/>
    <n v="59383678"/>
    <n v="27770152"/>
    <n v="31613526"/>
    <s v="Por entrega"/>
    <n v="0.46763947494124564"/>
    <x v="0"/>
    <n v="0.53236052505875442"/>
    <s v=""/>
    <x v="0"/>
  </r>
  <r>
    <x v="245"/>
    <x v="20"/>
    <n v="860009759"/>
    <x v="227"/>
    <n v="764100"/>
    <s v=" "/>
    <n v="2014"/>
    <s v=" "/>
    <d v="2014-11-27T00:00:00"/>
    <d v="2015-11-27T00:00:00"/>
    <n v="0"/>
    <n v="0"/>
    <n v="0"/>
    <s v=""/>
    <s v=""/>
    <d v="2015-11-27T00:00:00"/>
    <n v="764100"/>
    <n v="764100"/>
    <n v="0"/>
    <s v="Único pago"/>
    <n v="1"/>
    <x v="0"/>
    <n v="0"/>
    <s v=""/>
    <x v="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pivotTable1.xml><?xml version="1.0" encoding="utf-8"?>
<pivotTableDefinition xmlns="http://schemas.openxmlformats.org/spreadsheetml/2006/main" name="Tabla dinámica1" cacheId="30" applyNumberFormats="0" applyBorderFormats="0" applyFontFormats="0" applyPatternFormats="0" applyAlignmentFormats="0" applyWidthHeightFormats="1" dataCaption="Valores" updatedVersion="5" minRefreshableVersion="3" rowGrandTotals="0" colGrandTotals="0" itemPrintTitles="1" createdVersion="4" indent="0" outline="1" outlineData="1" multipleFieldFilters="0">
  <location ref="A16:F746" firstHeaderRow="0" firstDataRow="1" firstDataCol="1" rowPageCount="2" colPageCount="1"/>
  <pivotFields count="25">
    <pivotField axis="axisRow" showAll="0" defaultSubtotal="0">
      <items count="253">
        <item x="0"/>
        <item x="1"/>
        <item x="2"/>
        <item x="15"/>
        <item x="16"/>
        <item x="17"/>
        <item x="3"/>
        <item x="18"/>
        <item x="19"/>
        <item x="21"/>
        <item x="22"/>
        <item x="6"/>
        <item x="23"/>
        <item x="24"/>
        <item x="25"/>
        <item x="26"/>
        <item x="27"/>
        <item x="28"/>
        <item x="29"/>
        <item x="30"/>
        <item x="31"/>
        <item x="32"/>
        <item x="33"/>
        <item m="1" x="251"/>
        <item x="35"/>
        <item x="36"/>
        <item x="37"/>
        <item x="38"/>
        <item x="39"/>
        <item x="40"/>
        <item x="41"/>
        <item x="42"/>
        <item x="43"/>
        <item x="44"/>
        <item x="57"/>
        <item x="45"/>
        <item x="7"/>
        <item x="8"/>
        <item x="9"/>
        <item x="46"/>
        <item x="10"/>
        <item x="11"/>
        <item x="47"/>
        <item x="48"/>
        <item x="12"/>
        <item x="13"/>
        <item x="49"/>
        <item x="50"/>
        <item x="51"/>
        <item x="52"/>
        <item x="53"/>
        <item x="54"/>
        <item x="55"/>
        <item x="56"/>
        <item x="58"/>
        <item x="59"/>
        <item x="60"/>
        <item x="61"/>
        <item x="62"/>
        <item x="5"/>
        <item x="14"/>
        <item x="63"/>
        <item x="64"/>
        <item x="75"/>
        <item x="65"/>
        <item x="20"/>
        <item x="66"/>
        <item m="1" x="248"/>
        <item x="68"/>
        <item x="69"/>
        <item x="70"/>
        <item x="71"/>
        <item x="76"/>
        <item x="77"/>
        <item x="145"/>
        <item x="73"/>
        <item x="74"/>
        <item x="78"/>
        <item x="79"/>
        <item x="4"/>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4"/>
        <item x="72"/>
        <item x="146"/>
        <item x="147"/>
        <item x="148"/>
        <item x="149"/>
        <item x="150"/>
        <item x="151"/>
        <item x="152"/>
        <item x="153"/>
        <item x="154"/>
        <item x="155"/>
        <item x="156"/>
        <item x="157"/>
        <item x="158"/>
        <item x="159"/>
        <item x="160"/>
        <item x="161"/>
        <item x="162"/>
        <item x="163"/>
        <item x="164"/>
        <item x="165"/>
        <item x="166"/>
        <item x="167"/>
        <item x="169"/>
        <item x="170"/>
        <item x="171"/>
        <item x="172"/>
        <item x="173"/>
        <item x="174"/>
        <item x="175"/>
        <item x="176"/>
        <item m="1" x="249"/>
        <item x="178"/>
        <item x="179"/>
        <item x="180"/>
        <item x="181"/>
        <item x="182"/>
        <item x="183"/>
        <item x="184"/>
        <item x="185"/>
        <item x="186"/>
        <item x="187"/>
        <item x="188"/>
        <item x="189"/>
        <item m="1" x="252"/>
        <item x="190"/>
        <item x="191"/>
        <item x="192"/>
        <item x="193"/>
        <item x="216"/>
        <item x="194"/>
        <item x="195"/>
        <item x="196"/>
        <item x="197"/>
        <item x="198"/>
        <item x="199"/>
        <item x="201"/>
        <item x="203"/>
        <item x="217"/>
        <item x="204"/>
        <item x="205"/>
        <item x="206"/>
        <item x="207"/>
        <item x="208"/>
        <item x="210"/>
        <item x="211"/>
        <item x="212"/>
        <item x="213"/>
        <item x="214"/>
        <item x="219"/>
        <item x="220"/>
        <item x="221"/>
        <item x="222"/>
        <item x="202"/>
        <item x="225"/>
        <item x="226"/>
        <item x="227"/>
        <item x="231"/>
        <item x="232"/>
        <item m="1" x="246"/>
        <item x="234"/>
        <item x="236"/>
        <item m="1" x="247"/>
        <item x="200"/>
        <item x="209"/>
        <item x="218"/>
        <item x="215"/>
        <item x="168"/>
        <item x="177"/>
        <item x="235"/>
        <item x="237"/>
        <item x="239"/>
        <item x="240"/>
        <item m="1" x="250"/>
        <item x="223"/>
        <item x="224"/>
        <item x="230"/>
        <item x="233"/>
        <item x="238"/>
        <item x="67"/>
        <item x="143"/>
        <item x="228"/>
        <item x="229"/>
        <item x="241"/>
        <item x="242"/>
        <item x="243"/>
        <item x="244"/>
        <item x="245"/>
        <item x="34"/>
      </items>
    </pivotField>
    <pivotField axis="axisRow" showAll="0" defaultSubtotal="0">
      <items count="200">
        <item x="119"/>
        <item x="150"/>
        <item x="107"/>
        <item x="17"/>
        <item x="89"/>
        <item x="19"/>
        <item x="31"/>
        <item x="79"/>
        <item x="130"/>
        <item x="93"/>
        <item x="90"/>
        <item x="67"/>
        <item m="1" x="190"/>
        <item x="75"/>
        <item x="63"/>
        <item x="111"/>
        <item x="32"/>
        <item m="1" x="196"/>
        <item x="43"/>
        <item x="98"/>
        <item x="37"/>
        <item x="82"/>
        <item x="52"/>
        <item x="40"/>
        <item x="116"/>
        <item x="1"/>
        <item x="117"/>
        <item x="59"/>
        <item x="120"/>
        <item x="163"/>
        <item x="2"/>
        <item x="138"/>
        <item x="26"/>
        <item m="1" x="191"/>
        <item x="8"/>
        <item x="102"/>
        <item x="13"/>
        <item x="77"/>
        <item x="109"/>
        <item x="39"/>
        <item x="7"/>
        <item x="65"/>
        <item x="4"/>
        <item m="1" x="193"/>
        <item x="38"/>
        <item x="3"/>
        <item x="72"/>
        <item x="101"/>
        <item x="137"/>
        <item x="70"/>
        <item x="159"/>
        <item x="83"/>
        <item x="53"/>
        <item x="95"/>
        <item x="99"/>
        <item x="84"/>
        <item x="20"/>
        <item x="27"/>
        <item m="1" x="189"/>
        <item x="10"/>
        <item m="1" x="183"/>
        <item x="158"/>
        <item x="16"/>
        <item x="14"/>
        <item x="133"/>
        <item x="0"/>
        <item m="1" x="198"/>
        <item x="76"/>
        <item x="149"/>
        <item x="58"/>
        <item x="161"/>
        <item x="73"/>
        <item x="152"/>
        <item x="57"/>
        <item x="61"/>
        <item x="164"/>
        <item x="71"/>
        <item m="1" x="182"/>
        <item x="110"/>
        <item x="22"/>
        <item x="100"/>
        <item x="128"/>
        <item m="1" x="181"/>
        <item x="55"/>
        <item x="29"/>
        <item x="108"/>
        <item x="97"/>
        <item x="115"/>
        <item x="6"/>
        <item x="23"/>
        <item x="66"/>
        <item sd="0" x="134"/>
        <item x="36"/>
        <item x="142"/>
        <item x="131"/>
        <item x="156"/>
        <item x="34"/>
        <item x="169"/>
        <item x="145"/>
        <item x="106"/>
        <item x="35"/>
        <item x="11"/>
        <item x="94"/>
        <item x="148"/>
        <item m="1" x="195"/>
        <item x="88"/>
        <item x="155"/>
        <item x="60"/>
        <item x="81"/>
        <item x="18"/>
        <item x="64"/>
        <item x="141"/>
        <item x="146"/>
        <item sd="0" x="87"/>
        <item m="1" x="188"/>
        <item x="92"/>
        <item m="1" x="185"/>
        <item x="49"/>
        <item x="78"/>
        <item x="124"/>
        <item x="139"/>
        <item x="33"/>
        <item x="74"/>
        <item x="12"/>
        <item x="9"/>
        <item x="5"/>
        <item x="47"/>
        <item x="24"/>
        <item x="112"/>
        <item x="21"/>
        <item x="127"/>
        <item x="28"/>
        <item x="41"/>
        <item x="96"/>
        <item x="125"/>
        <item m="1" x="184"/>
        <item x="85"/>
        <item x="44"/>
        <item x="147"/>
        <item x="86"/>
        <item x="45"/>
        <item x="103"/>
        <item x="68"/>
        <item m="1" x="197"/>
        <item x="56"/>
        <item x="123"/>
        <item x="69"/>
        <item x="42"/>
        <item x="104"/>
        <item x="118"/>
        <item x="46"/>
        <item x="50"/>
        <item x="144"/>
        <item x="166"/>
        <item x="80"/>
        <item x="157"/>
        <item x="114"/>
        <item m="1" x="192"/>
        <item x="154"/>
        <item x="132"/>
        <item m="1" x="199"/>
        <item x="48"/>
        <item x="51"/>
        <item x="25"/>
        <item x="121"/>
        <item x="62"/>
        <item x="135"/>
        <item x="113"/>
        <item x="54"/>
        <item x="136"/>
        <item m="1" x="186"/>
        <item x="30"/>
        <item m="1" x="178"/>
        <item x="168"/>
        <item x="170"/>
        <item x="172"/>
        <item m="1" x="180"/>
        <item x="151"/>
        <item m="1" x="194"/>
        <item m="1" x="187"/>
        <item sd="0" x="160"/>
        <item x="171"/>
        <item x="173"/>
        <item x="91"/>
        <item x="174"/>
        <item x="129"/>
        <item m="1" x="179"/>
        <item x="165"/>
        <item x="167"/>
        <item x="122"/>
        <item x="162"/>
        <item x="175"/>
        <item x="176"/>
        <item x="177"/>
        <item x="143"/>
        <item x="105"/>
        <item x="140"/>
        <item x="153"/>
        <item x="126"/>
        <item x="15"/>
      </items>
    </pivotField>
    <pivotField showAll="0" defaultSubtotal="0"/>
    <pivotField axis="axisRow" showAll="0" defaultSubtotal="0">
      <items count="258">
        <item x="157"/>
        <item x="73"/>
        <item x="141"/>
        <item x="36"/>
        <item x="83"/>
        <item x="209"/>
        <item x="126"/>
        <item x="33"/>
        <item x="186"/>
        <item x="192"/>
        <item m="1" x="230"/>
        <item x="128"/>
        <item x="122"/>
        <item x="39"/>
        <item x="179"/>
        <item x="16"/>
        <item x="12"/>
        <item x="14"/>
        <item x="152"/>
        <item x="3"/>
        <item x="169"/>
        <item x="170"/>
        <item x="135"/>
        <item x="184"/>
        <item x="98"/>
        <item x="79"/>
        <item x="78"/>
        <item x="77"/>
        <item x="150"/>
        <item x="10"/>
        <item x="171"/>
        <item x="189"/>
        <item x="45"/>
        <item x="178"/>
        <item x="188"/>
        <item x="130"/>
        <item m="1" x="241"/>
        <item x="146"/>
        <item x="48"/>
        <item x="20"/>
        <item x="99"/>
        <item x="204"/>
        <item x="46"/>
        <item x="119"/>
        <item m="1" x="232"/>
        <item x="43"/>
        <item x="115"/>
        <item x="60"/>
        <item x="62"/>
        <item x="23"/>
        <item x="136"/>
        <item x="41"/>
        <item x="125"/>
        <item x="145"/>
        <item x="4"/>
        <item x="104"/>
        <item x="149"/>
        <item x="123"/>
        <item x="108"/>
        <item x="114"/>
        <item m="1" x="250"/>
        <item x="1"/>
        <item x="18"/>
        <item x="92"/>
        <item x="44"/>
        <item x="52"/>
        <item x="181"/>
        <item x="51"/>
        <item x="88"/>
        <item x="87"/>
        <item x="196"/>
        <item x="91"/>
        <item x="173"/>
        <item x="113"/>
        <item x="86"/>
        <item x="117"/>
        <item x="5"/>
        <item x="90"/>
        <item m="1" x="243"/>
        <item x="121"/>
        <item x="37"/>
        <item x="7"/>
        <item x="40"/>
        <item x="68"/>
        <item x="82"/>
        <item x="97"/>
        <item x="144"/>
        <item x="183"/>
        <item x="0"/>
        <item x="67"/>
        <item x="134"/>
        <item x="56"/>
        <item m="1" x="231"/>
        <item x="26"/>
        <item x="15"/>
        <item x="187"/>
        <item m="1" x="247"/>
        <item x="147"/>
        <item x="75"/>
        <item m="1" x="229"/>
        <item x="148"/>
        <item x="50"/>
        <item x="9"/>
        <item x="175"/>
        <item x="199"/>
        <item x="24"/>
        <item m="1" x="245"/>
        <item x="11"/>
        <item x="109"/>
        <item x="47"/>
        <item x="172"/>
        <item m="1" x="236"/>
        <item x="30"/>
        <item x="19"/>
        <item x="164"/>
        <item x="174"/>
        <item x="124"/>
        <item m="1" x="249"/>
        <item x="101"/>
        <item x="49"/>
        <item x="193"/>
        <item m="1" x="255"/>
        <item x="69"/>
        <item x="17"/>
        <item x="116"/>
        <item x="118"/>
        <item x="131"/>
        <item x="76"/>
        <item x="64"/>
        <item x="158"/>
        <item x="110"/>
        <item x="103"/>
        <item x="35"/>
        <item x="31"/>
        <item x="38"/>
        <item x="32"/>
        <item x="153"/>
        <item m="1" x="242"/>
        <item x="201"/>
        <item x="167"/>
        <item m="1" x="254"/>
        <item x="161"/>
        <item x="142"/>
        <item x="94"/>
        <item x="85"/>
        <item x="160"/>
        <item x="168"/>
        <item x="166"/>
        <item x="84"/>
        <item m="1" x="237"/>
        <item x="151"/>
        <item x="155"/>
        <item x="214"/>
        <item x="159"/>
        <item x="96"/>
        <item x="213"/>
        <item x="202"/>
        <item x="143"/>
        <item x="81"/>
        <item m="1" x="238"/>
        <item x="70"/>
        <item x="120"/>
        <item x="65"/>
        <item x="95"/>
        <item x="53"/>
        <item x="55"/>
        <item m="1" x="257"/>
        <item x="194"/>
        <item x="58"/>
        <item x="102"/>
        <item x="105"/>
        <item x="28"/>
        <item x="57"/>
        <item x="8"/>
        <item x="61"/>
        <item x="203"/>
        <item x="185"/>
        <item x="93"/>
        <item x="137"/>
        <item x="180"/>
        <item m="1" x="244"/>
        <item x="13"/>
        <item x="140"/>
        <item x="133"/>
        <item x="190"/>
        <item x="34"/>
        <item x="59"/>
        <item x="42"/>
        <item x="154"/>
        <item x="89"/>
        <item x="111"/>
        <item x="29"/>
        <item x="156"/>
        <item x="207"/>
        <item x="112"/>
        <item x="27"/>
        <item x="107"/>
        <item x="208"/>
        <item x="127"/>
        <item x="21"/>
        <item x="195"/>
        <item x="6"/>
        <item x="71"/>
        <item m="1" x="228"/>
        <item m="1" x="248"/>
        <item m="1" x="252"/>
        <item x="80"/>
        <item x="216"/>
        <item x="218"/>
        <item m="1" x="234"/>
        <item x="182"/>
        <item x="191"/>
        <item m="1" x="246"/>
        <item x="197"/>
        <item x="139"/>
        <item x="165"/>
        <item x="198"/>
        <item x="217"/>
        <item m="1" x="253"/>
        <item x="221"/>
        <item x="222"/>
        <item m="1" x="251"/>
        <item x="206"/>
        <item m="1" x="233"/>
        <item m="1" x="239"/>
        <item x="220"/>
        <item x="2"/>
        <item x="215"/>
        <item x="132"/>
        <item x="200"/>
        <item x="210"/>
        <item x="211"/>
        <item x="223"/>
        <item x="224"/>
        <item x="225"/>
        <item m="1" x="235"/>
        <item x="227"/>
        <item m="1" x="256"/>
        <item x="22"/>
        <item x="25"/>
        <item x="54"/>
        <item x="63"/>
        <item x="74"/>
        <item x="106"/>
        <item x="129"/>
        <item x="138"/>
        <item x="176"/>
        <item m="1" x="240"/>
        <item x="66"/>
        <item x="100"/>
        <item x="226"/>
        <item x="163"/>
        <item x="177"/>
        <item x="212"/>
        <item x="219"/>
        <item x="72"/>
        <item x="205"/>
        <item x="162"/>
      </items>
    </pivotField>
    <pivotField showAll="0" defaultSubtotal="0"/>
    <pivotField showAll="0" defaultSubtotal="0"/>
    <pivotField showAll="0" defaultSubtotal="0"/>
    <pivotField showAll="0" defaultSubtotal="0"/>
    <pivotField dataField="1" showAll="0" defaultSubtotal="0"/>
    <pivotField showAll="0" defaultSubtotal="0"/>
    <pivotField numFmtId="1" showAll="0" defaultSubtotal="0"/>
    <pivotField showAll="0" defaultSubtotal="0"/>
    <pivotField numFmtId="1" showAll="0" defaultSubtotal="0"/>
    <pivotField showAll="0" defaultSubtotal="0"/>
    <pivotField showAll="0" defaultSubtotal="0"/>
    <pivotField dataField="1" numFmtId="169" showAll="0" defaultSubtotal="0"/>
    <pivotField dataField="1" showAll="0" defaultSubtotal="0"/>
    <pivotField dataField="1" showAll="0" defaultSubtotal="0"/>
    <pivotField dataField="1" showAll="0" defaultSubtotal="0"/>
    <pivotField showAll="0" defaultSubtotal="0"/>
    <pivotField showAll="0" defaultSubtotal="0"/>
    <pivotField axis="axisPage" multipleItemSelectionAllowed="1" showAll="0" sumSubtotal="1">
      <items count="4763">
        <item m="1" x="4466"/>
        <item m="1" x="508"/>
        <item m="1" x="3214"/>
        <item m="1" x="286"/>
        <item m="1" x="86"/>
        <item m="1" x="4538"/>
        <item m="1" x="2400"/>
        <item m="1" x="290"/>
        <item m="1" x="409"/>
        <item m="1" x="3700"/>
        <item m="1" x="4660"/>
        <item m="1" x="448"/>
        <item m="1" x="4009"/>
        <item m="1" x="2323"/>
        <item m="1" x="4471"/>
        <item m="1" x="87"/>
        <item m="1" x="2762"/>
        <item m="1" x="2403"/>
        <item m="1" x="2649"/>
        <item m="1" x="2067"/>
        <item m="1" x="4677"/>
        <item m="1" x="1860"/>
        <item m="1" x="1871"/>
        <item m="1" x="1557"/>
        <item m="1" x="1335"/>
        <item m="1" x="3830"/>
        <item m="1" x="4500"/>
        <item m="1" x="539"/>
        <item m="1" x="482"/>
        <item m="1" x="1202"/>
        <item m="1" x="1566"/>
        <item m="1" x="24"/>
        <item m="1" x="4253"/>
        <item m="1" x="3530"/>
        <item m="1" x="579"/>
        <item m="1" x="4449"/>
        <item m="1" x="3484"/>
        <item m="1" x="1462"/>
        <item m="1" x="1981"/>
        <item m="1" x="174"/>
        <item m="1" x="766"/>
        <item m="1" x="2128"/>
        <item m="1" x="2798"/>
        <item m="1" x="3846"/>
        <item m="1" x="4382"/>
        <item m="1" x="3457"/>
        <item m="1" x="2502"/>
        <item m="1" x="4074"/>
        <item m="1" x="4725"/>
        <item m="1" x="3661"/>
        <item m="1" x="4637"/>
        <item x="0"/>
        <item m="1" x="4209"/>
        <item h="1" m="1" x="1404"/>
        <item h="1" m="1" x="3648"/>
        <item h="1" m="1" x="1647"/>
        <item h="1" m="1" x="176"/>
        <item h="1" m="1" x="1221"/>
        <item h="1" m="1" x="1313"/>
        <item h="1" m="1" x="615"/>
        <item h="1" m="1" x="1817"/>
        <item h="1" m="1" x="4336"/>
        <item h="1" m="1" x="1491"/>
        <item h="1" m="1" x="3561"/>
        <item h="1" m="1" x="248"/>
        <item h="1" m="1" x="2322"/>
        <item h="1" m="1" x="1049"/>
        <item h="1" m="1" x="71"/>
        <item h="1" m="1" x="3192"/>
        <item h="1" m="1" x="347"/>
        <item h="1" m="1" x="3159"/>
        <item h="1" m="1" x="111"/>
        <item h="1" m="1" x="3118"/>
        <item h="1" m="1" x="2446"/>
        <item h="1" m="1" x="1061"/>
        <item h="1" m="1" x="3036"/>
        <item h="1" m="1" x="3883"/>
        <item h="1" m="1" x="1179"/>
        <item h="1" m="1" x="3887"/>
        <item h="1" m="1" x="2021"/>
        <item h="1" m="1" x="4458"/>
        <item h="1" m="1" x="3349"/>
        <item h="1" m="1" x="4010"/>
        <item h="1" m="1" x="3521"/>
        <item h="1" m="1" x="2558"/>
        <item h="1" m="1" x="1626"/>
        <item h="1" m="1" x="3608"/>
        <item h="1" m="1" x="3706"/>
        <item h="1" m="1" x="4603"/>
        <item h="1" m="1" x="354"/>
        <item h="1" m="1" x="3038"/>
        <item h="1" m="1" x="555"/>
        <item h="1" m="1" x="3503"/>
        <item h="1" m="1" x="771"/>
        <item h="1" m="1" x="1837"/>
        <item h="1" m="1" x="1986"/>
        <item h="1" m="1" x="4106"/>
        <item h="1" m="1" x="1635"/>
        <item h="1" m="1" x="1926"/>
        <item h="1" m="1" x="2589"/>
        <item h="1" m="1" x="3871"/>
        <item h="1" m="1" x="4071"/>
        <item h="1" m="1" x="3874"/>
        <item h="1" m="1" x="263"/>
        <item h="1" m="1" x="2826"/>
        <item h="1" m="1" x="1819"/>
        <item h="1" m="1" x="1480"/>
        <item h="1" m="1" x="1979"/>
        <item h="1" m="1" x="2056"/>
        <item h="1" m="1" x="1399"/>
        <item h="1" m="1" x="398"/>
        <item h="1" m="1" x="4300"/>
        <item h="1" m="1" x="2253"/>
        <item h="1" m="1" x="102"/>
        <item h="1" m="1" x="1586"/>
        <item h="1" m="1" x="3598"/>
        <item h="1" m="1" x="1827"/>
        <item h="1" m="1" x="2146"/>
        <item h="1" m="1" x="1114"/>
        <item m="1" x="1149"/>
        <item h="1" m="1" x="1618"/>
        <item h="1" m="1" x="3269"/>
        <item h="1" m="1" x="3893"/>
        <item h="1" m="1" x="1378"/>
        <item h="1" m="1" x="4721"/>
        <item h="1" m="1" x="859"/>
        <item m="1" x="1211"/>
        <item h="1" m="1" x="2086"/>
        <item h="1" m="1" x="3935"/>
        <item m="1" x="4044"/>
        <item h="1" m="1" x="2842"/>
        <item h="1" m="1" x="4103"/>
        <item h="1" m="1" x="2223"/>
        <item h="1" m="1" x="2773"/>
        <item h="1" m="1" x="1678"/>
        <item h="1" m="1" x="3695"/>
        <item h="1" m="1" x="3267"/>
        <item h="1" m="1" x="3497"/>
        <item h="1" m="1" x="1213"/>
        <item h="1" m="1" x="1106"/>
        <item h="1" m="1" x="109"/>
        <item h="1" m="1" x="1765"/>
        <item h="1" m="1" x="2301"/>
        <item h="1" m="1" x="149"/>
        <item h="1" m="1" x="980"/>
        <item h="1" m="1" x="1646"/>
        <item h="1" m="1" x="2704"/>
        <item h="1" m="1" x="4177"/>
        <item h="1" m="1" x="4621"/>
        <item h="1" m="1" x="2698"/>
        <item h="1" m="1" x="4384"/>
        <item h="1" m="1" x="312"/>
        <item h="1" m="1" x="1823"/>
        <item m="1" x="3538"/>
        <item m="1" x="3932"/>
        <item m="1" x="2062"/>
        <item m="1" x="3299"/>
        <item m="1" x="3244"/>
        <item m="1" x="3330"/>
        <item m="1" x="2685"/>
        <item m="1" x="3252"/>
        <item m="1" x="4266"/>
        <item m="1" x="3527"/>
        <item m="1" x="1433"/>
        <item m="1" x="2852"/>
        <item m="1" x="4355"/>
        <item m="1" x="3068"/>
        <item m="1" x="4189"/>
        <item m="1" x="4260"/>
        <item m="1" x="2442"/>
        <item m="1" x="4736"/>
        <item m="1" x="1708"/>
        <item m="1" x="439"/>
        <item m="1" x="4496"/>
        <item m="1" x="3667"/>
        <item m="1" x="3410"/>
        <item m="1" x="3232"/>
        <item m="1" x="2467"/>
        <item m="1" x="4540"/>
        <item m="1" x="1931"/>
        <item m="1" x="1287"/>
        <item m="1" x="97"/>
        <item m="1" x="2808"/>
        <item m="1" x="885"/>
        <item m="1" x="3017"/>
        <item m="1" x="1728"/>
        <item m="1" x="3772"/>
        <item m="1" x="2315"/>
        <item m="1" x="2920"/>
        <item m="1" x="1476"/>
        <item m="1" x="4433"/>
        <item m="1" x="216"/>
        <item m="1" x="4684"/>
        <item m="1" x="4337"/>
        <item m="1" x="3245"/>
        <item m="1" x="552"/>
        <item m="1" x="3333"/>
        <item m="1" x="3790"/>
        <item m="1" x="1414"/>
        <item m="1" x="1507"/>
        <item m="1" x="461"/>
        <item m="1" x="933"/>
        <item m="1" x="4173"/>
        <item h="1" m="1" x="4232"/>
        <item h="1" m="1" x="3767"/>
        <item h="1" m="1" x="2786"/>
        <item h="1" m="1" x="3334"/>
        <item h="1" m="1" x="212"/>
        <item h="1" m="1" x="3901"/>
        <item h="1" m="1" x="3994"/>
        <item h="1" m="1" x="76"/>
        <item h="1" m="1" x="4631"/>
        <item h="1" m="1" x="4199"/>
        <item h="1" m="1" x="2090"/>
        <item h="1" m="1" x="2970"/>
        <item h="1" m="1" x="3759"/>
        <item h="1" m="1" x="749"/>
        <item h="1" m="1" x="3698"/>
        <item h="1" m="1" x="3061"/>
        <item h="1" m="1" x="1130"/>
        <item h="1" m="1" x="3337"/>
        <item h="1" m="1" x="2530"/>
        <item h="1" m="1" x="2518"/>
        <item h="1" m="1" x="4329"/>
        <item h="1" m="1" x="586"/>
        <item h="1" m="1" x="3191"/>
        <item h="1" m="1" x="3309"/>
        <item h="1" m="1" x="607"/>
        <item h="1" m="1" x="4439"/>
        <item h="1" m="1" x="1985"/>
        <item h="1" m="1" x="4309"/>
        <item h="1" m="1" x="3682"/>
        <item h="1" m="1" x="3035"/>
        <item m="1" x="4668"/>
        <item h="1" m="1" x="3264"/>
        <item h="1" m="1" x="3782"/>
        <item h="1" m="1" x="4465"/>
        <item h="1" m="1" x="986"/>
        <item h="1" m="1" x="3875"/>
        <item h="1" m="1" x="524"/>
        <item h="1" m="1" x="3934"/>
        <item h="1" m="1" x="1544"/>
        <item h="1" m="1" x="270"/>
        <item h="1" m="1" x="4490"/>
        <item h="1" m="1" x="1241"/>
        <item h="1" m="1" x="1089"/>
        <item h="1" m="1" x="3432"/>
        <item h="1" m="1" x="3043"/>
        <item h="1" m="1" x="1297"/>
        <item h="1" m="1" x="3886"/>
        <item h="1" m="1" x="1587"/>
        <item h="1" m="1" x="1224"/>
        <item h="1" m="1" x="3678"/>
        <item h="1" m="1" x="3335"/>
        <item m="1" x="1328"/>
        <item h="1" m="1" x="632"/>
        <item h="1" m="1" x="1579"/>
        <item h="1" m="1" x="353"/>
        <item h="1" m="1" x="1504"/>
        <item h="1" m="1" x="4126"/>
        <item m="1" x="826"/>
        <item h="1" m="1" x="1067"/>
        <item h="1" m="1" x="650"/>
        <item h="1" m="1" x="4202"/>
        <item h="1" m="1" x="361"/>
        <item m="1" x="3595"/>
        <item h="1" m="1" x="3134"/>
        <item h="1" m="1" x="1223"/>
        <item h="1" m="1" x="4575"/>
        <item h="1" m="1" x="3407"/>
        <item h="1" m="1" x="1228"/>
        <item h="1" m="1" x="321"/>
        <item h="1" m="1" x="692"/>
        <item h="1" m="1" x="2583"/>
        <item h="1" m="1" x="104"/>
        <item h="1" m="1" x="510"/>
        <item h="1" m="1" x="1766"/>
        <item h="1" m="1" x="1699"/>
        <item h="1" m="1" x="3609"/>
        <item h="1" m="1" x="3126"/>
        <item h="1" m="1" x="74"/>
        <item h="1" m="1" x="1889"/>
        <item h="1" m="1" x="2107"/>
        <item h="1" m="1" x="799"/>
        <item h="1" m="1" x="2376"/>
        <item h="1" m="1" x="3539"/>
        <item h="1" m="1" x="1748"/>
        <item h="1" m="1" x="628"/>
        <item h="1" m="1" x="117"/>
        <item h="1" m="1" x="2571"/>
        <item h="1" m="1" x="1945"/>
        <item h="1" m="1" x="3389"/>
        <item h="1" m="1" x="4623"/>
        <item h="1" m="1" x="2270"/>
        <item h="1" m="1" x="3189"/>
        <item h="1" m="1" x="3999"/>
        <item h="1" m="1" x="460"/>
        <item h="1" m="1" x="385"/>
        <item h="1" m="1" x="3848"/>
        <item h="1" m="1" x="4614"/>
        <item h="1" m="1" x="2609"/>
        <item h="1" m="1" x="1969"/>
        <item h="1" m="1" x="4410"/>
        <item h="1" m="1" x="319"/>
        <item h="1" m="1" x="2782"/>
        <item h="1" m="1" x="122"/>
        <item h="1" m="1" x="2299"/>
        <item h="1" m="1" x="1606"/>
        <item h="1" m="1" x="3614"/>
        <item h="1" m="1" x="2369"/>
        <item h="1" m="1" x="2713"/>
        <item h="1" m="1" x="2634"/>
        <item h="1" m="1" x="1170"/>
        <item h="1" m="1" x="2026"/>
        <item h="1" m="1" x="3113"/>
        <item m="1" x="4464"/>
        <item h="1" m="1" x="120"/>
        <item h="1" m="1" x="3495"/>
        <item h="1" m="1" x="1244"/>
        <item h="1" m="1" x="2524"/>
        <item h="1" m="1" x="1290"/>
        <item h="1" m="1" x="750"/>
        <item h="1" m="1" x="4615"/>
        <item h="1" m="1" x="3266"/>
        <item h="1" m="1" x="2507"/>
        <item h="1" m="1" x="327"/>
        <item h="1" m="1" x="3853"/>
        <item h="1" m="1" x="3178"/>
        <item h="1" m="1" x="148"/>
        <item h="1" m="1" x="891"/>
        <item h="1" m="1" x="985"/>
        <item h="1" m="1" x="1087"/>
        <item h="1" m="1" x="935"/>
        <item h="1" m="1" x="3656"/>
        <item h="1" m="1" x="4669"/>
        <item h="1" m="1" x="3737"/>
        <item h="1" m="1" x="3892"/>
        <item h="1" m="1" x="1051"/>
        <item h="1" m="1" x="2998"/>
        <item h="1" m="1" x="1422"/>
        <item h="1" m="1" x="3778"/>
        <item h="1" m="1" x="277"/>
        <item h="1" m="1" x="765"/>
        <item h="1" m="1" x="2048"/>
        <item h="1" m="1" x="3209"/>
        <item h="1" m="1" x="1961"/>
        <item h="1" m="1" x="2751"/>
        <item h="1" m="1" x="4343"/>
        <item h="1" m="1" x="4269"/>
        <item h="1" m="1" x="531"/>
        <item h="1" m="1" x="4510"/>
        <item h="1" m="1" x="776"/>
        <item h="1" m="1" x="857"/>
        <item h="1" m="1" x="3467"/>
        <item h="1" m="1" x="661"/>
        <item h="1" m="1" x="2239"/>
        <item h="1" m="1" x="951"/>
        <item h="1" m="1" x="4116"/>
        <item h="1" m="1" x="1000"/>
        <item h="1" m="1" x="2539"/>
        <item h="1" m="1" x="1153"/>
        <item h="1" m="1" x="4504"/>
        <item h="1" m="1" x="757"/>
        <item h="1" m="1" x="4139"/>
        <item h="1" m="1" x="2404"/>
        <item h="1" m="1" x="1459"/>
        <item h="1" m="1" x="3206"/>
        <item h="1" m="1" x="4526"/>
        <item h="1" m="1" x="4000"/>
        <item h="1" m="1" x="3025"/>
        <item h="1" m="1" x="3131"/>
        <item h="1" m="1" x="1701"/>
        <item h="1" m="1" x="4572"/>
        <item h="1" m="1" x="3894"/>
        <item h="1" m="1" x="924"/>
        <item h="1" m="1" x="3813"/>
        <item h="1" m="1" x="3496"/>
        <item h="1" m="1" x="2678"/>
        <item h="1" m="1" x="898"/>
        <item h="1" m="1" x="2864"/>
        <item h="1" m="1" x="4084"/>
        <item h="1" m="1" x="3509"/>
        <item h="1" m="1" x="1538"/>
        <item h="1" m="1" x="1276"/>
        <item m="1" x="1537"/>
        <item h="1" m="1" x="1754"/>
        <item h="1" m="1" x="1779"/>
        <item h="1" m="1" x="2755"/>
        <item h="1" m="1" x="3195"/>
        <item m="1" x="2993"/>
        <item m="1" x="3385"/>
        <item m="1" x="341"/>
        <item m="1" x="83"/>
        <item m="1" x="3376"/>
        <item m="1" x="4008"/>
        <item m="1" x="3347"/>
        <item m="1" x="4066"/>
        <item m="1" x="675"/>
        <item m="1" x="4211"/>
        <item m="1" x="2098"/>
        <item m="1" x="3806"/>
        <item m="1" x="3776"/>
        <item m="1" x="1356"/>
        <item m="1" x="2481"/>
        <item m="1" x="1319"/>
        <item m="1" x="1535"/>
        <item m="1" x="2845"/>
        <item m="1" x="3517"/>
        <item m="1" x="2163"/>
        <item m="1" x="3153"/>
        <item m="1" x="921"/>
        <item m="1" x="839"/>
        <item m="1" x="2477"/>
        <item m="1" x="4740"/>
        <item m="1" x="4053"/>
        <item m="1" x="1184"/>
        <item m="1" x="2280"/>
        <item m="1" x="1439"/>
        <item m="1" x="1294"/>
        <item m="1" x="3353"/>
        <item m="1" x="847"/>
        <item m="1" x="2652"/>
        <item m="1" x="3468"/>
        <item m="1" x="2760"/>
        <item m="1" x="3890"/>
        <item m="1" x="2017"/>
        <item m="1" x="37"/>
        <item m="1" x="2604"/>
        <item m="1" x="202"/>
        <item m="1" x="2528"/>
        <item m="1" x="3865"/>
        <item m="1" x="2028"/>
        <item m="1" x="1836"/>
        <item m="1" x="3773"/>
        <item m="1" x="1026"/>
        <item h="1" m="1" x="2573"/>
        <item h="1" m="1" x="2821"/>
        <item h="1" m="1" x="91"/>
        <item h="1" m="1" x="329"/>
        <item h="1" m="1" x="250"/>
        <item h="1" m="1" x="550"/>
        <item h="1" m="1" x="3631"/>
        <item h="1" m="1" x="2708"/>
        <item h="1" m="1" x="637"/>
        <item h="1" m="1" x="754"/>
        <item h="1" m="1" x="3381"/>
        <item h="1" m="1" x="4648"/>
        <item h="1" m="1" x="4282"/>
        <item h="1" m="1" x="298"/>
        <item h="1" m="1" x="3373"/>
        <item h="1" m="1" x="2572"/>
        <item h="1" m="1" x="4406"/>
        <item h="1" m="1" x="861"/>
        <item h="1" m="1" x="207"/>
        <item h="1" m="1" x="3030"/>
        <item h="1" m="1" x="663"/>
        <item h="1" m="1" x="458"/>
        <item h="1" m="1" x="3895"/>
        <item h="1" m="1" x="2215"/>
        <item h="1" m="1" x="4546"/>
        <item h="1" m="1" x="2142"/>
        <item h="1" m="1" x="1706"/>
        <item h="1" m="1" x="222"/>
        <item h="1" m="1" x="4643"/>
        <item h="1" m="1" x="1260"/>
        <item h="1" m="1" x="446"/>
        <item h="1" m="1" x="145"/>
        <item h="1" m="1" x="3638"/>
        <item h="1" m="1" x="3454"/>
        <item h="1" m="1" x="470"/>
        <item h="1" m="1" x="2227"/>
        <item h="1" m="1" x="3624"/>
        <item h="1" m="1" x="1734"/>
        <item h="1" m="1" x="1136"/>
        <item h="1" m="1" x="2623"/>
        <item h="1" m="1" x="4100"/>
        <item h="1" m="1" x="3181"/>
        <item h="1" m="1" x="2686"/>
        <item h="1" m="1" x="4452"/>
        <item h="1" m="1" x="2669"/>
        <item h="1" m="1" x="1776"/>
        <item h="1" m="1" x="4050"/>
        <item h="1" m="1" x="3430"/>
        <item h="1" m="1" x="420"/>
        <item h="1" m="1" x="1342"/>
        <item h="1" m="1" x="702"/>
        <item h="1" m="1" x="784"/>
        <item h="1" m="1" x="603"/>
        <item h="1" m="1" x="1521"/>
        <item h="1" m="1" x="4144"/>
        <item h="1" m="1" x="1344"/>
        <item h="1" m="1" x="840"/>
        <item h="1" m="1" x="2870"/>
        <item h="1" m="1" x="1641"/>
        <item h="1" m="1" x="677"/>
        <item h="1" m="1" x="968"/>
        <item h="1" m="1" x="381"/>
        <item h="1" m="1" x="3148"/>
        <item h="1" m="1" x="3346"/>
        <item h="1" m="1" x="4553"/>
        <item h="1" m="1" x="3207"/>
        <item h="1" m="1" x="1793"/>
        <item h="1" m="1" x="4274"/>
        <item h="1" m="1" x="2266"/>
        <item h="1" m="1" x="542"/>
        <item h="1" m="1" x="520"/>
        <item h="1" m="1" x="1711"/>
        <item h="1" m="1" x="336"/>
        <item h="1" m="1" x="471"/>
        <item h="1" m="1" x="4691"/>
        <item h="1" m="1" x="1334"/>
        <item h="1" m="1" x="2549"/>
        <item h="1" m="1" x="14"/>
        <item h="1" m="1" x="4335"/>
        <item h="1" m="1" x="2234"/>
        <item h="1" m="1" x="2510"/>
        <item h="1" m="1" x="3716"/>
        <item h="1" m="1" x="2335"/>
        <item h="1" m="1" x="4036"/>
        <item h="1" m="1" x="4653"/>
        <item h="1" m="1" x="4214"/>
        <item h="1" m="1" x="2241"/>
        <item h="1" m="1" x="3711"/>
        <item h="1" m="1" x="1426"/>
        <item h="1" m="1" x="3783"/>
        <item h="1" m="1" x="3352"/>
        <item h="1" m="1" x="595"/>
        <item h="1" m="1" x="1500"/>
        <item h="1" m="1" x="3100"/>
        <item h="1" m="1" x="4298"/>
        <item h="1" m="1" x="125"/>
        <item h="1" m="1" x="3821"/>
        <item h="1" m="1" x="2271"/>
        <item h="1" m="1" x="1109"/>
        <item h="1" m="1" x="1453"/>
        <item h="1" m="1" x="3579"/>
        <item h="1" m="1" x="2883"/>
        <item h="1" m="1" x="3672"/>
        <item h="1" m="1" x="577"/>
        <item h="1" m="1" x="1497"/>
        <item h="1" m="1" x="2474"/>
        <item h="1" m="1" x="812"/>
        <item h="1" m="1" x="477"/>
        <item h="1" m="1" x="2599"/>
        <item h="1" m="1" x="1231"/>
        <item h="1" m="1" x="2302"/>
        <item h="1" m="1" x="3586"/>
        <item h="1" m="1" x="831"/>
        <item h="1" m="1" x="2374"/>
        <item h="1" m="1" x="2096"/>
        <item h="1" m="1" x="2454"/>
        <item h="1" m="1" x="2482"/>
        <item h="1" m="1" x="947"/>
        <item h="1" m="1" x="54"/>
        <item h="1" m="1" x="2022"/>
        <item h="1" m="1" x="3368"/>
        <item h="1" m="1" x="2670"/>
        <item h="1" m="1" x="4451"/>
        <item h="1" m="1" x="3584"/>
        <item h="1" m="1" x="1111"/>
        <item h="1" m="1" x="1247"/>
        <item h="1" m="1" x="2012"/>
        <item h="1" m="1" x="90"/>
        <item h="1" m="1" x="1124"/>
        <item h="1" m="1" x="902"/>
        <item h="1" m="1" x="4417"/>
        <item h="1" m="1" x="1163"/>
        <item h="1" m="1" x="208"/>
        <item h="1" m="1" x="3664"/>
        <item h="1" m="1" x="1040"/>
        <item h="1" m="1" x="1015"/>
        <item h="1" m="1" x="55"/>
        <item h="1" m="1" x="453"/>
        <item h="1" m="1" x="1306"/>
        <item h="1" m="1" x="4532"/>
        <item h="1" m="1" x="2380"/>
        <item h="1" m="1" x="975"/>
        <item h="1" m="1" x="2181"/>
        <item h="1" m="1" x="43"/>
        <item h="1" m="1" x="1989"/>
        <item h="1" m="1" x="1762"/>
        <item h="1" m="1" x="390"/>
        <item h="1" m="1" x="3840"/>
        <item h="1" m="1" x="3574"/>
        <item h="1" m="1" x="2216"/>
        <item h="1" m="1" x="2095"/>
        <item h="1" m="1" x="2328"/>
        <item h="1" m="1" x="3041"/>
        <item h="1" m="1" x="2057"/>
        <item h="1" m="1" x="4112"/>
        <item h="1" m="1" x="3791"/>
        <item h="1" m="1" x="1159"/>
        <item h="1" m="1" x="758"/>
        <item h="1" m="1" x="2242"/>
        <item h="1" m="1" x="988"/>
        <item h="1" m="1" x="406"/>
        <item h="1" m="1" x="356"/>
        <item h="1" m="1" x="3536"/>
        <item h="1" m="1" x="3450"/>
        <item h="1" m="1" x="1436"/>
        <item h="1" m="1" x="1234"/>
        <item h="1" m="1" x="495"/>
        <item h="1" m="1" x="139"/>
        <item h="1" m="1" x="4196"/>
        <item h="1" m="1" x="1963"/>
        <item h="1" m="1" x="532"/>
        <item h="1" m="1" x="1885"/>
        <item h="1" m="1" x="2899"/>
        <item h="1" m="1" x="4638"/>
        <item h="1" m="1" x="1508"/>
        <item h="1" m="1" x="1869"/>
        <item h="1" m="1" x="2452"/>
        <item h="1" m="1" x="3847"/>
        <item h="1" m="1" x="1842"/>
        <item h="1" m="1" x="260"/>
        <item h="1" m="1" x="1716"/>
        <item h="1" m="1" x="2662"/>
        <item h="1" m="1" x="3049"/>
        <item h="1" m="1" x="3397"/>
        <item h="1" m="1" x="1383"/>
        <item h="1" m="1" x="2810"/>
        <item h="1" m="1" x="701"/>
        <item h="1" m="1" x="2087"/>
        <item h="1" m="1" x="2168"/>
        <item h="1" m="1" x="2393"/>
        <item h="1" m="1" x="3305"/>
        <item h="1" m="1" x="4592"/>
        <item h="1" m="1" x="1747"/>
        <item h="1" m="1" x="3965"/>
        <item h="1" m="1" x="2450"/>
        <item h="1" m="1" x="1066"/>
        <item h="1" m="1" x="4358"/>
        <item h="1" m="1" x="1417"/>
        <item h="1" m="1" x="4407"/>
        <item h="1" m="1" x="3862"/>
        <item h="1" m="1" x="1887"/>
        <item h="1" m="1" x="4089"/>
        <item h="1" m="1" x="1281"/>
        <item h="1" m="1" x="2594"/>
        <item h="1" m="1" x="1812"/>
        <item h="1" m="1" x="1585"/>
        <item h="1" m="1" x="3114"/>
        <item h="1" m="1" x="780"/>
        <item h="1" m="1" x="714"/>
        <item h="1" m="1" x="1905"/>
        <item h="1" m="1" x="4317"/>
        <item h="1" m="1" x="3843"/>
        <item h="1" m="1" x="3884"/>
        <item h="1" m="1" x="646"/>
        <item h="1" m="1" x="1107"/>
        <item h="1" m="1" x="4672"/>
        <item h="1" m="1" x="865"/>
        <item h="1" m="1" x="4401"/>
        <item h="1" m="1" x="3018"/>
        <item h="1" m="1" x="1743"/>
        <item h="1" m="1" x="1217"/>
        <item h="1" m="1" x="1125"/>
        <item h="1" m="1" x="4348"/>
        <item h="1" m="1" x="373"/>
        <item h="1" m="1" x="192"/>
        <item h="1" m="1" x="2988"/>
        <item h="1" m="1" x="486"/>
        <item h="1" m="1" x="720"/>
        <item h="1" m="1" x="4210"/>
        <item h="1" m="1" x="3760"/>
        <item h="1" m="1" x="1828"/>
        <item h="1" m="1" x="3670"/>
        <item h="1" m="1" x="3966"/>
        <item h="1" m="1" x="3050"/>
        <item h="1" m="1" x="1732"/>
        <item h="1" m="1" x="23"/>
        <item h="1" m="1" x="2666"/>
        <item h="1" m="1" x="3576"/>
        <item h="1" m="1" x="4339"/>
        <item h="1" m="1" x="1959"/>
        <item h="1" m="1" x="1936"/>
        <item h="1" m="1" x="2737"/>
        <item h="1" m="1" x="4434"/>
        <item h="1" m="1" x="1727"/>
        <item h="1" m="1" x="3582"/>
        <item h="1" m="1" x="3941"/>
        <item h="1" m="1" x="3026"/>
        <item h="1" m="1" x="1939"/>
        <item h="1" m="1" x="4005"/>
        <item h="1" m="1" x="4056"/>
        <item h="1" m="1" x="3899"/>
        <item h="1" m="1" x="2683"/>
        <item h="1" m="1" x="2436"/>
        <item h="1" m="1" x="3591"/>
        <item h="1" m="1" x="2160"/>
        <item h="1" m="1" x="1982"/>
        <item h="1" m="1" x="983"/>
        <item h="1" m="1" x="3225"/>
        <item h="1" m="1" x="3738"/>
        <item h="1" m="1" x="2030"/>
        <item h="1" m="1" x="623"/>
        <item h="1" m="1" x="4411"/>
        <item h="1" m="1" x="4095"/>
        <item h="1" m="1" x="4483"/>
        <item h="1" m="1" x="3045"/>
        <item h="1" m="1" x="2894"/>
        <item h="1" m="1" x="1562"/>
        <item h="1" m="1" x="2075"/>
        <item h="1" m="1" x="2386"/>
        <item h="1" m="1" x="3158"/>
        <item h="1" m="1" x="4515"/>
        <item h="1" m="1" x="1059"/>
        <item h="1" m="1" x="1850"/>
        <item h="1" m="1" x="4481"/>
        <item h="1" m="1" x="1523"/>
        <item h="1" m="1" x="4305"/>
        <item h="1" m="1" x="2659"/>
        <item h="1" m="1" x="4714"/>
        <item h="1" m="1" x="134"/>
        <item h="1" m="1" x="3838"/>
        <item h="1" m="1" x="1057"/>
        <item h="1" m="1" x="1731"/>
        <item h="1" m="1" x="2231"/>
        <item h="1" m="1" x="782"/>
        <item h="1" m="1" x="3411"/>
        <item h="1" m="1" x="225"/>
        <item h="1" m="1" x="893"/>
        <item h="1" m="1" x="310"/>
        <item h="1" m="1" x="4437"/>
        <item h="1" m="1" x="1171"/>
        <item h="1" m="1" x="2536"/>
        <item h="1" m="1" x="706"/>
        <item h="1" m="1" x="845"/>
        <item h="1" m="1" x="2418"/>
        <item h="1" m="1" x="4441"/>
        <item h="1" m="1" x="3236"/>
        <item h="1" m="1" x="2901"/>
        <item h="1" m="1" x="3004"/>
        <item h="1" m="1" x="4219"/>
        <item h="1" m="1" x="2570"/>
        <item h="1" m="1" x="4620"/>
        <item h="1" m="1" x="3655"/>
        <item h="1" m="1" x="644"/>
        <item h="1" m="1" x="3617"/>
        <item h="1" m="1" x="3866"/>
        <item h="1" m="1" x="3958"/>
        <item h="1" m="1" x="2331"/>
        <item h="1" m="1" x="3372"/>
        <item h="1" m="1" x="3732"/>
        <item h="1" m="1" x="1845"/>
        <item h="1" m="1" x="2800"/>
        <item h="1" m="1" x="4446"/>
        <item h="1" m="1" x="3331"/>
        <item h="1" m="1" x="2830"/>
        <item h="1" m="1" x="3262"/>
        <item h="1" m="1" x="3439"/>
        <item h="1" m="1" x="4167"/>
        <item h="1" m="1" x="3211"/>
        <item h="1" m="1" x="1578"/>
        <item h="1" m="1" x="3914"/>
        <item h="1" m="1" x="3220"/>
        <item h="1" m="1" x="4001"/>
        <item h="1" m="1" x="2343"/>
        <item h="1" m="1" x="4539"/>
        <item h="1" m="1" x="2191"/>
        <item h="1" m="1" x="4704"/>
        <item h="1" m="1" x="1120"/>
        <item h="1" m="1" x="3442"/>
        <item h="1" m="1" x="1676"/>
        <item h="1" m="1" x="2940"/>
        <item h="1" m="1" x="961"/>
        <item h="1" m="1" x="4283"/>
        <item h="1" m="1" x="1259"/>
        <item h="1" m="1" x="2293"/>
        <item h="1" m="1" x="1456"/>
        <item h="1" m="1" x="1714"/>
        <item h="1" m="1" x="3400"/>
        <item h="1" m="1" x="3185"/>
        <item h="1" m="1" x="807"/>
        <item h="1" m="1" x="60"/>
        <item h="1" m="1" x="2600"/>
        <item h="1" m="1" x="3133"/>
        <item h="1" m="1" x="3051"/>
        <item h="1" m="1" x="4278"/>
        <item h="1" m="1" x="2955"/>
        <item h="1" m="1" x="547"/>
        <item h="1" m="1" x="4063"/>
        <item h="1" m="1" x="4051"/>
        <item h="1" m="1" x="2336"/>
        <item h="1" m="1" x="1041"/>
        <item h="1" m="1" x="2364"/>
        <item h="1" m="1" x="4068"/>
        <item h="1" m="1" x="518"/>
        <item h="1" m="1" x="2292"/>
        <item h="1" m="1" x="2675"/>
        <item h="1" m="1" x="4544"/>
        <item h="1" m="1" x="2647"/>
        <item h="1" m="1" x="2495"/>
        <item h="1" m="1" x="543"/>
        <item h="1" m="1" x="3471"/>
        <item h="1" m="1" x="625"/>
        <item h="1" m="1" x="1922"/>
        <item h="1" m="1" x="4695"/>
        <item h="1" m="1" x="3857"/>
        <item h="1" m="1" x="733"/>
        <item h="1" m="1" x="3978"/>
        <item h="1" m="1" x="457"/>
        <item h="1" m="1" x="3096"/>
        <item h="1" m="1" x="4170"/>
        <item h="1" m="1" x="4149"/>
        <item h="1" m="1" x="3145"/>
        <item h="1" m="1" x="2157"/>
        <item h="1" m="1" x="715"/>
        <item h="1" m="1" x="1984"/>
        <item h="1" m="1" x="2930"/>
        <item h="1" m="1" x="832"/>
        <item h="1" m="1" x="3222"/>
        <item h="1" m="1" x="4389"/>
        <item h="1" m="1" x="276"/>
        <item h="1" m="1" x="4580"/>
        <item h="1" m="1" x="3168"/>
        <item h="1" m="1" x="1233"/>
        <item h="1" m="1" x="3581"/>
        <item h="1" m="1" x="3955"/>
        <item h="1" m="1" x="426"/>
        <item h="1" m="1" x="1954"/>
        <item h="1" m="1" x="3392"/>
        <item h="1" m="1" x="3092"/>
        <item h="1" m="1" x="4368"/>
        <item h="1" m="1" x="3370"/>
        <item h="1" m="1" x="2944"/>
        <item h="1" m="1" x="4468"/>
        <item h="1" m="1" x="3982"/>
        <item h="1" m="1" x="3163"/>
        <item h="1" m="1" x="833"/>
        <item h="1" m="1" x="3763"/>
        <item h="1" m="1" x="3626"/>
        <item h="1" m="1" x="3482"/>
        <item h="1" m="1" x="1756"/>
        <item h="1" m="1" x="88"/>
        <item h="1" m="1" x="62"/>
        <item h="1" m="1" x="883"/>
        <item h="1" m="1" x="4314"/>
        <item h="1" m="1" x="493"/>
        <item h="1" m="1" x="4186"/>
        <item h="1" m="1" x="3723"/>
        <item h="1" m="1" x="2060"/>
        <item h="1" m="1" x="860"/>
        <item h="1" m="1" x="3544"/>
        <item h="1" m="1" x="2471"/>
        <item h="1" m="1" x="2553"/>
        <item h="1" m="1" x="4117"/>
        <item h="1" m="1" x="2344"/>
        <item h="1" m="1" x="4657"/>
        <item h="1" m="1" x="1249"/>
        <item h="1" m="1" x="1292"/>
        <item h="1" m="1" x="2118"/>
        <item h="1" m="1" x="2045"/>
        <item h="1" m="1" x="3364"/>
        <item h="1" m="1" x="3456"/>
        <item h="1" m="1" x="3703"/>
        <item h="1" m="1" x="3448"/>
        <item h="1" m="1" x="3019"/>
        <item h="1" m="1" x="1665"/>
        <item h="1" m="1" x="2770"/>
        <item h="1" m="1" x="132"/>
        <item h="1" m="1" x="3502"/>
        <item h="1" m="1" x="4698"/>
        <item h="1" m="1" x="3777"/>
        <item h="1" m="1" x="3961"/>
        <item h="1" m="1" x="2893"/>
        <item h="1" m="1" x="816"/>
        <item h="1" m="1" x="1293"/>
        <item h="1" m="1" x="3426"/>
        <item h="1" m="1" x="3142"/>
        <item h="1" m="1" x="4444"/>
        <item h="1" m="1" x="2401"/>
        <item h="1" m="1" x="4320"/>
        <item h="1" m="1" x="900"/>
        <item h="1" m="1" x="49"/>
        <item h="1" m="1" x="4067"/>
        <item h="1" m="1" x="1367"/>
        <item h="1" m="1" x="3743"/>
        <item h="1" m="1" x="1745"/>
        <item h="1" m="1" x="616"/>
        <item h="1" m="1" x="2295"/>
        <item h="1" m="1" x="3308"/>
        <item h="1" m="1" x="881"/>
        <item h="1" m="1" x="872"/>
        <item h="1" m="1" x="4169"/>
        <item h="1" m="1" x="3274"/>
        <item h="1" m="1" x="4324"/>
        <item h="1" m="1" x="1515"/>
        <item h="1" m="1" x="2204"/>
        <item h="1" m="1" x="2316"/>
        <item h="1" m="1" x="2700"/>
        <item h="1" m="1" x="4166"/>
        <item h="1" m="1" x="1166"/>
        <item h="1" m="1" x="256"/>
        <item h="1" m="1" x="3342"/>
        <item h="1" m="1" x="237"/>
        <item h="1" m="1" x="3210"/>
        <item h="1" m="1" x="2951"/>
        <item h="1" m="1" x="2538"/>
        <item h="1" m="1" x="4041"/>
        <item h="1" m="1" x="2621"/>
        <item h="1" m="1" x="245"/>
        <item h="1" m="1" x="4741"/>
        <item h="1" m="1" x="57"/>
        <item h="1" m="1" x="3420"/>
        <item h="1" m="1" x="1304"/>
        <item h="1" m="1" x="269"/>
        <item h="1" m="1" x="718"/>
        <item h="1" m="1" x="1299"/>
        <item h="1" m="1" x="1810"/>
        <item h="1" m="1" x="2862"/>
        <item h="1" m="1" x="3363"/>
        <item h="1" m="1" x="3910"/>
        <item h="1" m="1" x="3915"/>
        <item h="1" m="1" x="1116"/>
        <item h="1" m="1" x="3799"/>
        <item h="1" m="1" x="1238"/>
        <item h="1" m="1" x="2283"/>
        <item h="1" m="1" x="3401"/>
        <item h="1" m="1" x="3293"/>
        <item h="1" m="1" x="503"/>
        <item h="1" m="1" x="4080"/>
        <item h="1" m="1" x="2082"/>
        <item h="1" m="1" x="3042"/>
        <item h="1" m="1" x="1186"/>
        <item h="1" m="1" x="4098"/>
        <item h="1" m="1" x="144"/>
        <item h="1" m="1" x="724"/>
        <item h="1" m="1" x="3234"/>
        <item h="1" m="1" x="2766"/>
        <item h="1" m="1" x="1457"/>
        <item h="1" m="1" x="1533"/>
        <item h="1" m="1" x="247"/>
        <item h="1" m="1" x="2974"/>
        <item h="1" m="1" x="3924"/>
        <item h="1" m="1" x="3620"/>
        <item h="1" m="1" x="1723"/>
        <item h="1" m="1" x="401"/>
        <item h="1" m="1" x="274"/>
        <item h="1" m="1" x="2881"/>
        <item h="1" m="1" x="2823"/>
        <item h="1" m="1" x="2505"/>
        <item h="1" m="1" x="4018"/>
        <item h="1" m="1" x="3422"/>
        <item h="1" m="1" x="3692"/>
        <item h="1" m="1" x="3123"/>
        <item h="1" m="1" x="3750"/>
        <item h="1" m="1" x="2379"/>
        <item h="1" m="1" x="2774"/>
        <item h="1" m="1" x="2839"/>
        <item h="1" m="1" x="1121"/>
        <item h="1" m="1" x="4431"/>
        <item h="1" m="1" x="3238"/>
        <item h="1" m="1" x="3240"/>
        <item h="1" m="1" x="3775"/>
        <item h="1" m="1" x="3971"/>
        <item h="1" m="1" x="4734"/>
        <item h="1" m="1" x="107"/>
        <item h="1" m="1" x="3212"/>
        <item h="1" m="1" x="1092"/>
        <item h="1" m="1" x="3925"/>
        <item h="1" m="1" x="811"/>
        <item h="1" m="1" x="1811"/>
        <item h="1" m="1" x="556"/>
        <item h="1" m="1" x="2313"/>
        <item h="1" m="1" x="1524"/>
        <item h="1" m="1" x="2224"/>
        <item h="1" m="1" x="3329"/>
        <item h="1" m="1" x="1995"/>
        <item h="1" m="1" x="3933"/>
        <item h="1" m="1" x="3462"/>
        <item h="1" m="1" x="1652"/>
        <item h="1" m="1" x="877"/>
        <item h="1" m="1" x="1604"/>
        <item h="1" m="1" x="4224"/>
        <item h="1" m="1" x="584"/>
        <item h="1" m="1" x="3224"/>
        <item h="1" m="1" x="3604"/>
        <item h="1" m="1" x="2554"/>
        <item h="1" m="1" x="2819"/>
        <item h="1" m="1" x="25"/>
        <item h="1" m="1" x="1167"/>
        <item h="1" m="1" x="1611"/>
        <item h="1" m="1" x="2809"/>
        <item h="1" m="1" x="926"/>
        <item h="1" m="1" x="2473"/>
        <item h="1" m="1" x="1371"/>
        <item h="1" m="1" x="3972"/>
        <item h="1" m="1" x="121"/>
        <item h="1" m="1" x="905"/>
        <item h="1" m="1" x="1343"/>
        <item h="1" m="1" x="219"/>
        <item h="1" m="1" x="1568"/>
        <item h="1" m="1" x="3003"/>
        <item h="1" m="1" x="2138"/>
        <item h="1" m="1" x="1326"/>
        <item h="1" m="1" x="3764"/>
        <item h="1" m="1" x="659"/>
        <item h="1" m="1" x="1489"/>
        <item h="1" m="1" x="2801"/>
        <item h="1" m="1" x="3623"/>
        <item h="1" m="1" x="2603"/>
        <item h="1" m="1" x="3611"/>
        <item h="1" m="1" x="4573"/>
        <item h="1" m="1" x="378"/>
        <item h="1" m="1" x="2129"/>
        <item h="1" m="1" x="1496"/>
        <item h="1" m="1" x="281"/>
        <item h="1" m="1" x="2965"/>
        <item h="1" m="1" x="808"/>
        <item h="1" m="1" x="609"/>
        <item h="1" m="1" x="507"/>
        <item h="1" m="1" x="392"/>
        <item h="1" m="1" x="4151"/>
        <item h="1" m="1" x="2260"/>
        <item h="1" m="1" x="1218"/>
        <item h="1" m="1" x="4327"/>
        <item h="1" m="1" x="1518"/>
        <item h="1" m="1" x="2910"/>
        <item h="1" m="1" x="1035"/>
        <item h="1" m="1" x="4114"/>
        <item h="1" m="1" x="911"/>
        <item h="1" m="1" x="258"/>
        <item h="1" m="1" x="824"/>
        <item h="1" m="1" x="190"/>
        <item h="1" m="1" x="2219"/>
        <item h="1" m="1" x="1403"/>
        <item h="1" m="1" x="1773"/>
        <item h="1" m="1" x="2049"/>
        <item h="1" m="1" x="3103"/>
        <item h="1" m="1" x="1336"/>
        <item h="1" m="1" x="3403"/>
        <item h="1" m="1" x="3300"/>
        <item h="1" m="1" x="2108"/>
        <item h="1" m="1" x="987"/>
        <item h="1" m="1" x="1441"/>
        <item h="1" m="1" x="2221"/>
        <item h="1" m="1" x="3931"/>
        <item h="1" m="1" x="981"/>
        <item h="1" m="1" x="4688"/>
        <item h="1" m="1" x="210"/>
        <item h="1" m="1" x="511"/>
        <item h="1" m="1" x="3199"/>
        <item h="1" m="1" x="2410"/>
        <item h="1" m="1" x="1248"/>
        <item h="1" m="1" x="1958"/>
        <item h="1" m="1" x="4007"/>
        <item h="1" m="1" x="4610"/>
        <item h="1" m="1" x="803"/>
        <item h="1" m="1" x="1572"/>
        <item h="1" m="1" x="1927"/>
        <item h="1" m="1" x="1994"/>
        <item h="1" m="1" x="4585"/>
        <item h="1" m="1" x="4040"/>
        <item h="1" m="1" x="3752"/>
        <item h="1" m="1" x="664"/>
        <item h="1" m="1" x="3464"/>
        <item h="1" m="1" x="4061"/>
        <item h="1" m="1" x="3295"/>
        <item h="1" m="1" x="4436"/>
        <item h="1" m="1" x="2515"/>
        <item h="1" m="1" x="4183"/>
        <item h="1" m="1" x="4279"/>
        <item h="1" m="1" x="3684"/>
        <item h="1" m="1" x="1755"/>
        <item h="1" m="1" x="2468"/>
        <item h="1" m="1" x="1760"/>
        <item h="1" m="1" x="4711"/>
        <item h="1" m="1" x="1946"/>
        <item h="1" m="1" x="796"/>
        <item h="1" m="1" x="4236"/>
        <item h="1" m="1" x="3476"/>
        <item h="1" m="1" x="636"/>
        <item h="1" m="1" x="1486"/>
        <item h="1" m="1" x="1481"/>
        <item h="1" m="1" x="476"/>
        <item h="1" m="1" x="3219"/>
        <item h="1" m="1" x="2412"/>
        <item h="1" m="1" x="2912"/>
        <item h="1" m="1" x="3398"/>
        <item h="1" m="1" x="2409"/>
        <item h="1" m="1" x="2727"/>
        <item h="1" m="1" x="4229"/>
        <item h="1" m="1" x="2950"/>
        <item h="1" m="1" x="1844"/>
        <item h="1" m="1" x="2304"/>
        <item h="1" m="1" x="3076"/>
        <item h="1" m="1" x="34"/>
        <item h="1" m="1" x="4731"/>
        <item h="1" m="1" x="3354"/>
        <item h="1" m="1" x="2053"/>
        <item h="1" m="1" x="1596"/>
        <item h="1" m="1" x="3081"/>
        <item h="1" m="1" x="2765"/>
        <item m="1" x="2456"/>
        <item h="1" m="1" x="4379"/>
        <item h="1" m="1" x="4392"/>
        <item h="1" m="1" x="1302"/>
        <item h="1" m="1" x="3856"/>
        <item h="1" m="1" x="4659"/>
        <item h="1" m="1" x="429"/>
        <item h="1" m="1" x="2318"/>
        <item h="1" m="1" x="3640"/>
        <item h="1" m="1" x="2024"/>
        <item h="1" m="1" x="2543"/>
        <item h="1" m="1" x="421"/>
        <item h="1" m="1" x="170"/>
        <item h="1" m="1" x="1726"/>
        <item h="1" m="1" x="3501"/>
        <item h="1" m="1" x="115"/>
        <item h="1" m="1" x="4113"/>
        <item h="1" m="1" x="483"/>
        <item h="1" m="1" x="4019"/>
        <item h="1" m="1" x="2340"/>
        <item h="1" m="1" x="1900"/>
        <item h="1" m="1" x="223"/>
        <item h="1" m="1" x="4488"/>
        <item h="1" m="1" x="3786"/>
        <item h="1" m="1" x="4426"/>
        <item h="1" m="1" x="4180"/>
        <item h="1" m="1" x="4143"/>
        <item h="1" m="1" x="279"/>
        <item h="1" m="1" x="1907"/>
        <item h="1" m="1" x="3179"/>
        <item h="1" m="1" x="2900"/>
        <item h="1" m="1" x="1835"/>
        <item h="1" m="1" x="3578"/>
        <item h="1" m="1" x="3647"/>
        <item h="1" m="1" x="2847"/>
        <item h="1" m="1" x="4124"/>
        <item h="1" m="1" x="3811"/>
        <item h="1" m="1" x="2856"/>
        <item h="1" m="1" x="443"/>
        <item h="1" m="1" x="1627"/>
        <item h="1" m="1" x="2385"/>
        <item h="1" m="1" x="2607"/>
        <item h="1" m="1" x="1243"/>
        <item h="1" m="1" x="1965"/>
        <item h="1" m="1" x="3524"/>
        <item h="1" m="1" x="3745"/>
        <item h="1" m="1" x="368"/>
        <item h="1" m="1" x="4680"/>
        <item h="1" m="1" x="4094"/>
        <item h="1" m="1" x="18"/>
        <item h="1" m="1" x="3508"/>
        <item h="1" m="1" x="2587"/>
        <item h="1" m="1" x="2235"/>
        <item h="1" m="1" x="1032"/>
        <item h="1" m="1" x="32"/>
        <item h="1" m="1" x="259"/>
        <item h="1" m="1" x="1882"/>
        <item h="1" m="1" x="2321"/>
        <item h="1" m="1" x="445"/>
        <item h="1" m="1" x="1612"/>
        <item h="1" m="1" x="4760"/>
        <item h="1" m="1" x="4261"/>
        <item h="1" m="1" x="3104"/>
        <item h="1" m="1" x="2184"/>
        <item h="1" m="1" x="1129"/>
        <item h="1" m="1" x="569"/>
        <item h="1" m="1" x="1411"/>
        <item h="1" m="1" x="415"/>
        <item h="1" m="1" x="2840"/>
        <item h="1" m="1" x="1360"/>
        <item h="1" m="1" x="4125"/>
        <item h="1" m="1" x="2113"/>
        <item h="1" m="1" x="3575"/>
        <item h="1" m="1" x="1833"/>
        <item h="1" m="1" x="2000"/>
        <item h="1" m="1" x="656"/>
        <item h="1" m="1" x="3568"/>
        <item h="1" m="1" x="2526"/>
        <item h="1" m="1" x="2031"/>
        <item h="1" m="1" x="4622"/>
        <item h="1" m="1" x="774"/>
        <item h="1" m="1" x="4559"/>
        <item h="1" m="1" x="744"/>
        <item h="1" m="1" x="3601"/>
        <item h="1" m="1" x="965"/>
        <item h="1" m="1" x="137"/>
        <item h="1" m="1" x="4501"/>
        <item h="1" m="1" x="3900"/>
        <item h="1" m="1" x="1341"/>
        <item h="1" m="1" x="4030"/>
        <item h="1" m="1" x="4493"/>
        <item h="1" m="1" x="617"/>
        <item h="1" m="1" x="101"/>
        <item h="1" m="1" x="2941"/>
        <item h="1" m="1" x="2982"/>
        <item h="1" m="1" x="3336"/>
        <item h="1" m="1" x="3156"/>
        <item h="1" m="1" x="3268"/>
        <item h="1" m="1" x="316"/>
        <item h="1" m="1" x="756"/>
        <item h="1" m="1" x="723"/>
        <item h="1" m="1" x="1879"/>
        <item h="1" m="1" x="4109"/>
        <item h="1" m="1" x="1191"/>
        <item h="1" m="1" x="2857"/>
        <item h="1" m="1" x="4194"/>
        <item h="1" m="1" x="2305"/>
        <item h="1" m="1" x="708"/>
        <item h="1" m="1" x="3455"/>
        <item h="1" m="1" x="4132"/>
        <item h="1" m="1" x="2790"/>
        <item h="1" m="1" x="1682"/>
        <item h="1" m="1" x="2011"/>
        <item h="1" m="1" x="3230"/>
        <item h="1" m="1" x="2329"/>
        <item h="1" m="1" x="4302"/>
        <item h="1" m="1" x="3986"/>
        <item h="1" m="1" x="4057"/>
        <item h="1" m="1" x="2523"/>
        <item h="1" m="1" x="1824"/>
        <item h="1" m="1" x="389"/>
        <item h="1" m="1" x="2226"/>
        <item h="1" m="1" x="95"/>
        <item h="1" m="1" x="2080"/>
        <item h="1" m="1" x="2719"/>
        <item h="1" m="1" x="4187"/>
        <item h="1" m="1" x="726"/>
        <item h="1" m="1" x="2180"/>
        <item h="1" m="1" x="1312"/>
        <item h="1" m="1" x="3248"/>
        <item h="1" m="1" x="1953"/>
        <item h="1" m="1" x="2749"/>
        <item h="1" m="1" x="230"/>
        <item h="1" m="1" x="4632"/>
        <item h="1" m="1" x="3858"/>
        <item h="1" m="1" x="2928"/>
        <item h="1" m="1" x="4346"/>
        <item h="1" m="1" x="1999"/>
        <item h="1" m="1" x="3139"/>
        <item h="1" m="1" x="288"/>
        <item h="1" m="1" x="403"/>
        <item h="1" m="1" x="2904"/>
        <item h="1" m="1" x="384"/>
        <item h="1" m="1" x="413"/>
        <item h="1" m="1" x="1351"/>
        <item h="1" m="1" x="153"/>
        <item h="1" m="1" x="17"/>
        <item h="1" m="1" x="971"/>
        <item h="1" m="1" x="3528"/>
        <item h="1" m="1" x="1393"/>
        <item h="1" m="1" x="2975"/>
        <item h="1" m="1" x="1577"/>
        <item h="1" m="1" x="4252"/>
        <item h="1" m="1" x="2186"/>
        <item h="1" m="1" x="3137"/>
        <item h="1" m="1" x="2309"/>
        <item h="1" m="1" x="2745"/>
        <item h="1" m="1" x="3343"/>
        <item h="1" m="1" x="3505"/>
        <item h="1" m="1" x="315"/>
        <item h="1" m="1" x="2684"/>
        <item h="1" m="1" x="1407"/>
        <item h="1" m="1" x="3566"/>
        <item h="1" m="1" x="601"/>
        <item h="1" m="1" x="4649"/>
        <item h="1" m="1" x="1490"/>
        <item h="1" m="1" x="2238"/>
        <item h="1" m="1" x="2692"/>
        <item h="1" m="1" x="4342"/>
        <item h="1" m="1" x="3283"/>
        <item h="1" m="1" x="805"/>
        <item h="1" m="1" x="4227"/>
        <item h="1" m="1" x="4306"/>
        <item h="1" m="1" x="540"/>
        <item h="1" m="1" x="3771"/>
        <item h="1" m="1" x="1660"/>
        <item h="1" m="1" x="672"/>
        <item h="1" m="1" x="4138"/>
        <item h="1" m="1" x="3784"/>
        <item h="1" m="1" x="2065"/>
        <item h="1" m="1" x="4529"/>
        <item h="1" m="1" x="3863"/>
        <item h="1" m="1" x="996"/>
        <item h="1" m="1" x="535"/>
        <item h="1" m="1" x="4470"/>
        <item h="1" m="1" x="2822"/>
        <item h="1" m="1" x="4727"/>
        <item h="1" m="1" x="246"/>
        <item h="1" m="1" x="3681"/>
        <item h="1" m="1" x="3130"/>
        <item h="1" m="1" x="4271"/>
        <item h="1" m="1" x="1255"/>
        <item h="1" m="1" x="1948"/>
        <item h="1" m="1" x="1657"/>
        <item h="1" m="1" x="2458"/>
        <item h="1" m="1" x="1073"/>
        <item h="1" m="1" x="3936"/>
        <item h="1" m="1" x="3946"/>
        <item h="1" m="1" x="4683"/>
        <item h="1" m="1" x="4512"/>
        <item h="1" m="1" x="1550"/>
        <item h="1" m="1" x="3671"/>
        <item h="1" m="1" x="2125"/>
        <item h="1" m="1" x="4754"/>
        <item h="1" m="1" x="198"/>
        <item h="1" m="1" x="2958"/>
        <item h="1" m="1" x="2715"/>
        <item h="1" m="1" x="4370"/>
        <item h="1" m="1" x="4201"/>
        <item h="1" m="1" x="4031"/>
        <item h="1" m="1" x="2395"/>
        <item h="1" m="1" x="591"/>
        <item h="1" m="1" x="2182"/>
        <item h="1" m="1" x="4586"/>
        <item h="1" m="1" x="2360"/>
        <item h="1" m="1" x="1467"/>
        <item h="1" m="1" x="2359"/>
        <item h="1" m="1" x="211"/>
        <item h="1" m="1" x="1967"/>
        <item h="1" m="1" x="2796"/>
        <item h="1" m="1" x="3315"/>
        <item h="1" m="1" x="4012"/>
        <item h="1" m="1" x="3854"/>
        <item h="1" m="1" x="307"/>
        <item h="1" m="1" x="2032"/>
        <item h="1" m="1" x="1389"/>
        <item h="1" m="1" x="4737"/>
        <item h="1" m="1" x="1782"/>
        <item h="1" m="1" x="4035"/>
        <item h="1" m="1" x="141"/>
        <item h="1" m="1" x="1616"/>
        <item h="1" m="1" x="4072"/>
        <item h="1" m="1" x="1280"/>
        <item h="1" m="1" x="1570"/>
        <item h="1" m="1" x="391"/>
        <item h="1" m="1" x="1904"/>
        <item h="1" m="1" x="358"/>
        <item h="1" m="1" x="1212"/>
        <item h="1" m="1" x="4432"/>
        <item h="1" m="1" x="3650"/>
        <item h="1" m="1" x="514"/>
        <item h="1" m="1" x="189"/>
        <item h="1" m="1" x="3922"/>
        <item h="1" m="1" x="2906"/>
        <item h="1" m="1" x="3010"/>
        <item h="1" m="1" x="3679"/>
        <item h="1" m="1" x="846"/>
        <item h="1" m="1" x="827"/>
        <item h="1" m="1" x="200"/>
        <item h="1" m="1" x="1729"/>
        <item h="1" m="1" x="3469"/>
        <item h="1" m="1" x="1768"/>
        <item h="1" m="1" x="3605"/>
        <item h="1" m="1" x="670"/>
        <item h="1" m="1" x="1764"/>
        <item h="1" m="1" x="4509"/>
        <item h="1" m="1" x="3675"/>
        <item h="1" m="1" x="4304"/>
        <item h="1" m="1" x="491"/>
        <item h="1" m="1" x="3371"/>
        <item h="1" m="1" x="4742"/>
        <item h="1" m="1" x="2192"/>
        <item h="1" m="1" x="4487"/>
        <item h="1" m="1" x="3406"/>
        <item h="1" m="1" x="427"/>
        <item h="1" m="1" x="820"/>
        <item h="1" m="1" x="3541"/>
        <item h="1" m="1" x="2020"/>
        <item h="1" m="1" x="209"/>
        <item h="1" m="1" x="1893"/>
        <item h="1" m="1" x="3917"/>
        <item h="1" m="1" x="2560"/>
        <item h="1" m="1" x="2294"/>
        <item h="1" m="1" x="4092"/>
        <item h="1" m="1" x="982"/>
        <item h="1" m="1" x="2976"/>
        <item h="1" m="1" x="878"/>
        <item h="1" m="1" x="4551"/>
        <item h="1" m="1" x="705"/>
        <item h="1" m="1" x="1622"/>
        <item h="1" m="1" x="1177"/>
        <item h="1" m="1" x="1144"/>
        <item h="1" m="1" x="4055"/>
        <item h="1" m="1" x="1725"/>
        <item h="1" m="1" x="2531"/>
        <item h="1" m="1" x="2443"/>
        <item h="1" m="1" x="300"/>
        <item h="1" m="1" x="38"/>
        <item h="1" m="1" x="3663"/>
        <item h="1" m="1" x="348"/>
        <item h="1" m="1" x="3317"/>
        <item h="1" m="1" x="1551"/>
        <item h="1" m="1" x="142"/>
        <item h="1" m="1" x="2435"/>
        <item h="1" m="1" x="3559"/>
        <item h="1" m="1" x="2612"/>
        <item h="1" m="1" x="2667"/>
        <item h="1" m="1" x="2720"/>
        <item h="1" m="1" x="372"/>
        <item h="1" m="1" x="2252"/>
        <item h="1" m="1" x="255"/>
        <item h="1" m="1" x="4616"/>
        <item h="1" m="1" x="682"/>
        <item h="1" m="1" x="450"/>
        <item h="1" m="1" x="4153"/>
        <item h="1" m="1" x="3440"/>
        <item h="1" m="1" x="3981"/>
        <item h="1" m="1" x="1454"/>
        <item h="1" m="1" x="2567"/>
        <item h="1" m="1" x="436"/>
        <item h="1" m="1" x="910"/>
        <item h="1" m="1" x="1011"/>
        <item h="1" m="1" x="4612"/>
        <item h="1" m="1" x="3797"/>
        <item h="1" m="1" x="3553"/>
        <item h="1" m="1" x="3360"/>
        <item h="1" m="1" x="2550"/>
        <item h="1" m="1" x="3622"/>
        <item h="1" m="1" x="4230"/>
        <item h="1" m="1" x="4682"/>
        <item h="1" m="1" x="2051"/>
        <item h="1" m="1" x="4618"/>
        <item h="1" m="1" x="3108"/>
        <item h="1" m="1" x="3831"/>
        <item h="1" m="1" x="3184"/>
        <item h="1" m="1" x="3537"/>
        <item h="1" m="1" x="2923"/>
        <item h="1" m="1" x="688"/>
        <item h="1" m="1" x="3633"/>
        <item h="1" m="1" x="2767"/>
        <item h="1" m="1" x="819"/>
        <item h="1" m="1" x="973"/>
        <item h="1" m="1" x="466"/>
        <item h="1" m="1" x="4318"/>
        <item h="1" m="1" x="2099"/>
        <item h="1" m="1" x="1286"/>
        <item h="1" m="1" x="2068"/>
        <item h="1" m="1" x="224"/>
        <item h="1" m="1" x="2298"/>
        <item h="1" m="1" x="2453"/>
        <item h="1" m="1" x="3506"/>
        <item h="1" m="1" x="1117"/>
        <item h="1" m="1" x="1605"/>
        <item h="1" m="1" x="1584"/>
        <item h="1" m="1" x="1966"/>
        <item h="1" m="1" x="4029"/>
        <item h="1" m="1" x="894"/>
        <item h="1" m="1" x="3366"/>
        <item h="1" m="1" x="837"/>
        <item h="1" m="1" x="3798"/>
        <item h="1" m="1" x="4685"/>
        <item h="1" m="1" x="1607"/>
        <item h="1" m="1" x="3625"/>
        <item h="1" m="1" x="3023"/>
        <item h="1" m="1" x="836"/>
        <item h="1" m="1" x="1029"/>
        <item h="1" m="1" x="2863"/>
        <item h="1" m="1" x="1208"/>
        <item h="1" m="1" x="1670"/>
        <item h="1" m="1" x="4290"/>
        <item h="1" m="1" x="4578"/>
        <item h="1" m="1" x="4154"/>
        <item h="1" m="1" x="4666"/>
        <item h="1" m="1" x="4014"/>
        <item h="1" m="1" x="4484"/>
        <item h="1" m="1" x="3278"/>
        <item h="1" m="1" x="2389"/>
        <item h="1" m="1" x="3034"/>
        <item h="1" m="1" x="838"/>
        <item h="1" m="1" x="4427"/>
        <item h="1" m="1" x="2034"/>
        <item h="1" m="1" x="727"/>
        <item h="1" m="1" x="473"/>
        <item h="1" m="1" x="2397"/>
        <item h="1" m="1" x="1867"/>
        <item h="1" m="1" x="1941"/>
        <item h="1" m="1" x="154"/>
        <item h="1" m="1" x="582"/>
        <item h="1" m="1" x="3665"/>
        <item h="1" m="1" x="3590"/>
        <item h="1" m="1" x="3989"/>
        <item h="1" m="1" x="3246"/>
        <item h="1" m="1" x="678"/>
        <item h="1" m="1" x="1133"/>
        <item h="1" m="1" x="82"/>
        <item h="1" m="1" x="2470"/>
        <item h="1" m="1" x="517"/>
        <item h="1" m="1" x="2740"/>
        <item h="1" m="1" x="1392"/>
        <item h="1" m="1" x="4607"/>
        <item h="1" m="1" x="2457"/>
        <item h="1" m="1" x="2907"/>
        <item h="1" m="1" x="4315"/>
        <item h="1" m="1" x="3311"/>
        <item h="1" m="1" x="1739"/>
        <item h="1" m="1" x="3391"/>
        <item h="1" m="1" x="66"/>
        <item h="1" m="1" x="309"/>
        <item h="1" m="1" x="2984"/>
        <item h="1" m="1" x="1310"/>
        <item h="1" m="1" x="1805"/>
        <item h="1" m="1" x="1854"/>
        <item h="1" m="1" x="2747"/>
        <item h="1" m="1" x="2694"/>
        <item h="1" m="1" x="3657"/>
        <item h="1" m="1" x="2878"/>
        <item h="1" m="1" x="4728"/>
        <item h="1" m="1" x="600"/>
        <item h="1" m="1" x="4595"/>
        <item h="1" m="1" x="168"/>
        <item h="1" m="1" x="778"/>
        <item h="1" m="1" x="2744"/>
        <item h="1" m="1" x="1246"/>
        <item h="1" m="1" x="611"/>
        <item h="1" m="1" x="467"/>
        <item h="1" m="1" x="1303"/>
        <item h="1" m="1" x="261"/>
        <item h="1" m="1" x="1425"/>
        <item h="1" m="1" x="3945"/>
        <item h="1" m="1" x="2754"/>
        <item h="1" m="1" x="4328"/>
        <item h="1" m="1" x="3921"/>
        <item h="1" m="1" x="2300"/>
        <item h="1" m="1" x="1226"/>
        <item h="1" m="1" x="2759"/>
        <item h="1" m="1" x="4160"/>
        <item h="1" m="1" x="713"/>
        <item h="1" m="1" x="3028"/>
        <item h="1" m="1" x="163"/>
        <item h="1" m="1" x="2199"/>
        <item h="1" m="1" x="3479"/>
        <item h="1" m="1" x="151"/>
        <item h="1" m="1" x="1197"/>
        <item h="1" m="1" x="3704"/>
        <item h="1" m="1" x="2350"/>
        <item h="1" m="1" x="3649"/>
        <item h="1" m="1" x="4"/>
        <item h="1" m="1" x="1088"/>
        <item h="1" m="1" x="3885"/>
        <item h="1" m="1" x="233"/>
        <item h="1" m="1" x="3318"/>
        <item h="1" m="1" x="206"/>
        <item h="1" m="1" x="4454"/>
        <item h="1" m="1" x="4606"/>
        <item h="1" m="1" x="3289"/>
        <item h="1" m="1" x="841"/>
        <item h="1" m="1" x="4363"/>
        <item h="1" m="1" x="26"/>
        <item h="1" m="1" x="3906"/>
        <item h="1" m="1" x="2620"/>
        <item h="1" m="1" x="2230"/>
        <item h="1" m="1" x="2346"/>
        <item h="1" m="1" x="4299"/>
        <item h="1" m="1" x="3483"/>
        <item h="1" m="1" x="558"/>
        <item h="1" m="1" x="3065"/>
        <item h="1" m="1" x="1514"/>
        <item h="1" m="1" x="4353"/>
        <item h="1" m="1" x="2608"/>
        <item h="1" m="1" x="4604"/>
        <item h="1" m="1" x="1806"/>
        <item h="1" m="1" x="4413"/>
        <item h="1" m="1" x="3186"/>
        <item h="1" m="1" x="1266"/>
        <item h="1" m="1" x="992"/>
        <item h="1" m="1" x="2645"/>
        <item h="1" m="1" x="1689"/>
        <item h="1" m="1" x="3730"/>
        <item h="1" m="1" x="1921"/>
        <item h="1" m="1" x="2917"/>
        <item h="1" m="1" x="3867"/>
        <item h="1" m="1" x="242"/>
        <item h="1" m="1" x="1305"/>
        <item h="1" m="1" x="2714"/>
        <item h="1" m="1" x="614"/>
        <item h="1" m="1" x="4438"/>
        <item h="1" m="1" x="61"/>
        <item h="1" m="1" x="77"/>
        <item h="1" m="1" x="160"/>
        <item h="1" m="1" x="729"/>
        <item h="1" m="1" x="2122"/>
        <item h="1" m="1" x="4060"/>
        <item h="1" m="1" x="2815"/>
        <item h="1" m="1" x="3099"/>
        <item h="1" m="1" x="3109"/>
        <item h="1" m="1" x="3794"/>
        <item h="1" m="1" x="2996"/>
        <item h="1" m="1" x="1546"/>
        <item h="1" m="1" x="3928"/>
        <item h="1" m="1" x="2874"/>
        <item h="1" m="1" x="3255"/>
        <item h="1" m="1" x="676"/>
        <item h="1" m="1" x="762"/>
        <item h="1" m="1" x="1923"/>
        <item h="1" m="1" x="916"/>
        <item h="1" m="1" x="1949"/>
        <item h="1" m="1" x="936"/>
        <item h="1" m="1" x="4197"/>
        <item h="1" m="1" x="4107"/>
        <item h="1" m="1" x="1434"/>
        <item h="1" m="1" x="3088"/>
        <item h="1" m="1" x="1440"/>
        <item h="1" m="1" x="3441"/>
        <item h="1" m="1" x="3993"/>
        <item h="1" m="1" x="1628"/>
        <item h="1" m="1" x="783"/>
        <item h="1" m="1" x="1517"/>
        <item h="1" m="1" x="4405"/>
        <item h="1" m="1" x="1384"/>
        <item h="1" m="1" x="2154"/>
        <item h="1" m="1" x="3253"/>
        <item h="1" m="1" x="918"/>
        <item h="1" m="1" x="3882"/>
        <item h="1" m="1" x="3835"/>
        <item h="1" m="1" x="4655"/>
        <item h="1" m="1" x="2722"/>
        <item h="1" m="1" x="3164"/>
        <item h="1" m="1" x="2233"/>
        <item h="1" m="1" x="2690"/>
        <item h="1" m="1" x="2855"/>
        <item h="1" m="1" x="3170"/>
        <item h="1" m="1" x="1369"/>
        <item h="1" m="1" x="1390"/>
        <item h="1" m="1" x="1401"/>
        <item h="1" m="1" x="3312"/>
        <item h="1" m="1" x="4325"/>
        <item h="1" m="1" x="844"/>
        <item h="1" m="1" x="1232"/>
        <item h="1" m="1" x="1025"/>
        <item h="1" m="1" x="2541"/>
        <item h="1" m="1" x="4635"/>
        <item h="1" m="1" x="2378"/>
        <item h="1" m="1" x="3115"/>
        <item h="1" m="1" x="995"/>
        <item h="1" m="1" x="1400"/>
        <item h="1" m="1" x="1325"/>
        <item h="1" m="1" x="1079"/>
        <item h="1" m="1" x="4280"/>
        <item h="1" m="1" x="187"/>
        <item h="1" m="1" x="1671"/>
        <item h="1" m="1" x="4397"/>
        <item h="1" m="1" x="65"/>
        <item h="1" m="1" x="2829"/>
        <item h="1" m="1" x="825"/>
        <item h="1" m="1" x="730"/>
        <item h="1" m="1" x="402"/>
        <item h="1" m="1" x="425"/>
        <item h="1" m="1" x="4088"/>
        <item h="1" m="1" x="2888"/>
        <item h="1" m="1" x="2545"/>
        <item h="1" m="1" x="2124"/>
        <item h="1" m="1" x="2913"/>
        <item h="1" m="1" x="2933"/>
        <item h="1" m="1" x="604"/>
        <item h="1" m="1" x="2733"/>
        <item h="1" m="1" x="1277"/>
        <item h="1" m="1" x="1206"/>
        <item h="1" m="1" x="191"/>
        <item h="1" m="1" x="3472"/>
        <item h="1" m="1" x="630"/>
        <item h="1" m="1" x="4288"/>
        <item h="1" m="1" x="2938"/>
        <item h="1" m="1" x="794"/>
        <item h="1" m="1" x="4476"/>
        <item h="1" m="1" x="1471"/>
        <item h="1" m="1" x="4456"/>
        <item h="1" m="1" x="63"/>
        <item h="1" m="1" x="2776"/>
        <item h="1" m="1" x="3757"/>
        <item h="1" m="1" x="1220"/>
        <item h="1" m="1" x="68"/>
        <item h="1" m="1" x="3304"/>
        <item h="1" m="1" x="4081"/>
        <item h="1" m="1" x="3951"/>
        <item h="1" m="1" x="4568"/>
        <item h="1" m="1" x="4678"/>
        <item h="1" m="1" x="592"/>
        <item h="1" m="1" x="2977"/>
        <item h="1" m="1" x="1033"/>
        <item h="1" m="1" x="1098"/>
        <item h="1" m="1" x="2043"/>
        <item h="1" m="1" x="1352"/>
        <item h="1" m="1" x="4263"/>
        <item h="1" m="1" x="2750"/>
        <item h="1" m="1" x="952"/>
        <item h="1" m="1" x="3872"/>
        <item h="1" m="1" x="1561"/>
        <item h="1" m="1" x="3533"/>
        <item h="1" m="1" x="3942"/>
        <item h="1" m="1" x="1192"/>
        <item h="1" m="1" x="1826"/>
        <item h="1" m="1" x="1200"/>
        <item h="1" m="1" x="3552"/>
        <item h="1" m="1" x="564"/>
        <item h="1" m="1" x="3489"/>
        <item h="1" m="1" x="3793"/>
        <item h="1" m="1" x="4589"/>
        <item h="1" m="1" x="3691"/>
        <item h="1" m="1" x="2419"/>
        <item h="1" m="1" x="12"/>
        <item h="1" m="1" x="3124"/>
        <item h="1" m="1" x="3728"/>
        <item h="1" m="1" x="2851"/>
        <item h="1" m="1" x="2555"/>
        <item h="1" m="1" x="4121"/>
        <item h="1" m="1" x="925"/>
        <item h="1" m="1" x="44"/>
        <item h="1" m="1" x="1479"/>
        <item h="1" m="1" x="365"/>
        <item h="1" m="1" x="641"/>
        <item h="1" m="1" x="835"/>
        <item h="1" m="1" x="788"/>
        <item h="1" m="1" x="494"/>
        <item h="1" m="1" x="751"/>
        <item h="1" m="1" x="4584"/>
        <item h="1" m="1" x="2493"/>
        <item h="1" m="1" x="4119"/>
        <item h="1" m="1" x="2137"/>
        <item h="1" m="1" x="2707"/>
        <item h="1" m="1" x="854"/>
        <item h="1" m="1" x="1104"/>
        <item h="1" m="1" x="4352"/>
        <item m="1" x="1137"/>
        <item h="1" m="1" x="4519"/>
        <item h="1" m="1" x="2337"/>
        <item h="1" m="1" x="1567"/>
        <item h="1" m="1" x="2228"/>
        <item h="1" m="1" x="252"/>
        <item h="1" m="1" x="4707"/>
        <item h="1" m="1" x="1195"/>
        <item h="1" m="1" x="866"/>
        <item h="1" m="1" x="2141"/>
        <item h="1" m="1" x="4237"/>
        <item h="1" m="1" x="4262"/>
        <item h="1" m="1" x="4037"/>
        <item h="1" m="1" x="3923"/>
        <item h="1" m="1" x="2915"/>
        <item h="1" m="1" x="2646"/>
        <item h="1" m="1" x="4747"/>
        <item h="1" m="1" x="642"/>
        <item h="1" m="1" x="2383"/>
        <item h="1" m="1" x="4402"/>
        <item h="1" m="1" x="182"/>
        <item h="1" m="1" x="3969"/>
        <item h="1" m="1" x="639"/>
        <item h="1" m="1" x="412"/>
        <item h="1" m="1" x="587"/>
        <item h="1" m="1" x="1530"/>
        <item h="1" m="1" x="1444"/>
        <item h="1" m="1" x="4482"/>
        <item h="1" m="1" x="570"/>
        <item h="1" m="1" x="1123"/>
        <item h="1" m="1" x="2275"/>
        <item h="1" m="1" x="4469"/>
        <item h="1" m="1" x="2723"/>
        <item h="1" m="1" x="1108"/>
        <item h="1" m="1" x="140"/>
        <item h="1" m="1" x="2402"/>
        <item h="1" m="1" x="1735"/>
        <item h="1" m="1" x="2746"/>
        <item h="1" m="1" x="1323"/>
        <item h="1" m="1" x="4518"/>
        <item h="1" m="1" x="4591"/>
        <item h="1" m="1" x="1308"/>
        <item h="1" m="1" x="2788"/>
        <item h="1" m="1" x="843"/>
        <item h="1" m="1" x="3144"/>
        <item h="1" m="1" x="4249"/>
        <item h="1" m="1" x="1209"/>
        <item h="1" m="1" x="3183"/>
        <item h="1" m="1" x="69"/>
        <item h="1" m="1" x="1589"/>
        <item h="1" m="1" x="271"/>
        <item h="1" m="1" x="3217"/>
        <item h="1" m="1" x="1405"/>
        <item h="1" m="1" x="3073"/>
        <item h="1" m="1" x="1365"/>
        <item h="1" m="1" x="3823"/>
        <item h="1" m="1" x="3361"/>
        <item h="1" m="1" x="1009"/>
        <item h="1" m="1" x="3646"/>
        <item h="1" m="1" x="2491"/>
        <item h="1" m="1" x="1418"/>
        <item h="1" m="1" x="3216"/>
        <item h="1" m="1" x="3912"/>
        <item h="1" m="1" x="1262"/>
        <item h="1" m="1" x="3281"/>
        <item h="1" m="1" x="896"/>
        <item h="1" m="1" x="2519"/>
        <item h="1" m="1" x="4190"/>
        <item h="1" m="1" x="2615"/>
        <item h="1" m="1" x="1575"/>
        <item h="1" m="1" x="2308"/>
        <item h="1" m="1" x="1529"/>
        <item h="1" m="1" x="1781"/>
        <item h="1" m="1" x="1512"/>
        <item h="1" m="1" x="1825"/>
        <item h="1" m="1" x="999"/>
        <item h="1" m="1" x="2872"/>
        <item h="1" m="1" x="1406"/>
        <item h="1" m="1" x="2106"/>
        <item h="1" m="1" x="1541"/>
        <item h="1" m="1" x="2055"/>
        <item h="1" m="1" x="3718"/>
        <item h="1" m="1" x="2297"/>
        <item h="1" m="1" x="1070"/>
        <item h="1" m="1" x="1199"/>
        <item h="1" m="1" x="3751"/>
        <item h="1" m="1" x="10"/>
        <item h="1" m="1" x="3380"/>
        <item h="1" m="1" x="3110"/>
        <item h="1" m="1" x="3789"/>
        <item h="1" m="1" x="4486"/>
        <item h="1" m="1" x="4522"/>
        <item h="1" m="1" x="3344"/>
        <item h="1" m="1" x="2703"/>
        <item h="1" m="1" x="3083"/>
        <item h="1" m="1" x="3084"/>
        <item h="1" m="1" x="3177"/>
        <item h="1" m="1" x="186"/>
        <item h="1" m="1" x="2248"/>
        <item h="1" m="1" x="2622"/>
        <item h="1" m="1" x="4630"/>
        <item h="1" m="1" x="3708"/>
        <item h="1" m="1" x="4179"/>
        <item h="1" m="1" x="1150"/>
        <item h="1" m="1" x="1631"/>
        <item h="1" m="1" x="2073"/>
        <item h="1" m="1" x="326"/>
        <item h="1" m="1" x="1022"/>
        <item h="1" m="1" x="1802"/>
        <item h="1" m="1" x="1549"/>
        <item h="1" m="1" x="605"/>
        <item h="1" m="1" x="2673"/>
        <item h="1" m="1" x="92"/>
        <item h="1" m="1" x="1752"/>
        <item h="1" m="1" x="1899"/>
        <item h="1" m="1" x="4361"/>
        <item h="1" m="1" x="948"/>
        <item h="1" m="1" x="602"/>
        <item h="1" m="1" x="171"/>
        <item h="1" m="1" x="2196"/>
        <item h="1" m="1" x="2428"/>
        <item h="1" m="1" x="2939"/>
        <item h="1" m="1" x="4110"/>
        <item h="1" m="1" x="2949"/>
        <item h="1" m="1" x="438"/>
        <item h="1" m="1" x="2484"/>
        <item h="1" m="1" x="1912"/>
        <item h="1" m="1" x="4743"/>
        <item h="1" m="1" x="2797"/>
        <item h="1" m="1" x="1348"/>
        <item h="1" m="1" x="2411"/>
        <item h="1" m="1" x="1203"/>
        <item h="1" m="1" x="1895"/>
        <item h="1" m="1" x="4459"/>
        <item h="1" m="1" x="1870"/>
        <item h="1" m="1" x="2576"/>
        <item h="1" m="1" x="2254"/>
        <item h="1" m="1" x="1712"/>
        <item h="1" m="1" x="4043"/>
        <item h="1" m="1" x="3007"/>
        <item h="1" m="1" x="4697"/>
        <item h="1" m="1" x="4295"/>
        <item h="1" m="1" x="1531"/>
        <item h="1" m="1" x="544"/>
        <item h="1" m="1" x="2999"/>
        <item h="1" m="1" x="3970"/>
        <item h="1" m="1" x="2417"/>
        <item h="1" m="1" x="291"/>
        <item h="1" m="1" x="4128"/>
        <item h="1" m="1" x="4039"/>
        <item h="1" m="1" x="3992"/>
        <item h="1" m="1" x="1391"/>
        <item h="1" m="1" x="2185"/>
        <item h="1" m="1" x="606"/>
        <item h="1" m="1" x="4530"/>
        <item h="1" m="1" x="3451"/>
        <item h="1" m="1" x="183"/>
        <item h="1" m="1" x="1053"/>
        <item h="1" m="1" x="2954"/>
        <item h="1" m="1" x="2281"/>
        <item h="1" m="1" x="2758"/>
        <item h="1" m="1" x="2405"/>
        <item h="1" m="1" x="937"/>
        <item h="1" m="1" x="863"/>
        <item h="1" m="1" x="2880"/>
        <item h="1" m="1" x="4393"/>
        <item h="1" m="1" x="1874"/>
        <item h="1" m="1" x="717"/>
        <item h="1" m="1" x="1054"/>
        <item h="1" m="1" x="906"/>
        <item h="1" m="1" x="3215"/>
        <item h="1" m="1" x="879"/>
        <item h="1" m="1" x="747"/>
        <item h="1" m="1" x="21"/>
        <item h="1" m="1" x="4641"/>
        <item h="1" m="1" x="4598"/>
        <item h="1" m="1" x="3282"/>
        <item h="1" m="1" x="4270"/>
        <item h="1" m="1" x="4238"/>
        <item h="1" m="1" x="2836"/>
        <item h="1" m="1" x="4661"/>
        <item h="1" m="1" x="1315"/>
        <item h="1" m="1" x="1135"/>
        <item h="1" m="1" x="4494"/>
        <item h="1" m="1" x="1525"/>
        <item h="1" m="1" x="2038"/>
        <item h="1" m="1" x="188"/>
        <item h="1" m="1" x="1036"/>
        <item h="1" m="1" x="3079"/>
        <item h="1" m="1" x="35"/>
        <item h="1" m="1" x="1864"/>
        <item h="1" m="1" x="1161"/>
        <item h="1" m="1" x="2718"/>
        <item h="1" m="1" x="3048"/>
        <item h="1" m="1" x="2498"/>
        <item h="1" m="1" x="928"/>
        <item h="1" m="1" x="2103"/>
        <item h="1" m="1" x="3390"/>
        <item m="1" x="1113"/>
        <item h="1" m="1" x="618"/>
        <item h="1" m="1" x="204"/>
        <item h="1" m="1" x="3979"/>
        <item h="1" m="1" x="3014"/>
        <item h="1" m="1" x="267"/>
        <item h="1" m="1" x="1193"/>
        <item h="1" m="1" x="4387"/>
        <item h="1" m="1" x="1311"/>
        <item h="1" m="1" x="3095"/>
        <item h="1" m="1" x="1030"/>
        <item h="1" m="1" x="4277"/>
        <item h="1" m="1" x="3907"/>
        <item h="1" m="1" x="3714"/>
        <item h="1" m="1" x="1321"/>
        <item h="1" m="1" x="1553"/>
        <item h="1" m="1" x="3836"/>
        <item h="1" m="1" x="474"/>
        <item h="1" m="1" x="1749"/>
        <item h="1" m="1" x="386"/>
        <item h="1" m="1" x="972"/>
        <item h="1" m="1" x="3849"/>
        <item h="1" m="1" x="4689"/>
        <item h="1" m="1" x="2691"/>
        <item h="1" m="1" x="4756"/>
        <item h="1" m="1" x="4193"/>
        <item h="1" m="1" x="133"/>
        <item h="1" m="1" x="1495"/>
        <item h="1" m="1" x="4564"/>
        <item h="1" m="1" x="1388"/>
        <item h="1" m="1" x="2867"/>
        <item h="1" m="1" x="4164"/>
        <item h="1" m="1" x="1813"/>
        <item h="1" m="1" x="2693"/>
        <item h="1" m="1" x="2325"/>
        <item h="1" m="1" x="3059"/>
        <item h="1" m="1" x="159"/>
        <item h="1" m="1" x="2240"/>
        <item h="1" m="1" x="4077"/>
        <item h="1" m="1" x="1696"/>
        <item h="1" m="1" x="4198"/>
        <item h="1" m="1" x="590"/>
        <item h="1" m="1" x="1972"/>
        <item h="1" m="1" x="4206"/>
        <item h="1" m="1" x="770"/>
        <item h="1" m="1" x="3973"/>
        <item h="1" m="1" x="2355"/>
        <item h="1" m="1" x="4218"/>
        <item h="1" m="1" x="2663"/>
        <item h="1" m="1" x="2525"/>
        <item h="1" m="1" x="1978"/>
        <item h="1" m="1" x="1346"/>
        <item h="1" m="1" x="1794"/>
        <item h="1" m="1" x="1673"/>
        <item h="1" m="1" x="1240"/>
        <item h="1" m="1" x="3904"/>
        <item h="1" m="1" x="4364"/>
        <item h="1" m="1" x="2639"/>
        <item h="1" m="1" x="989"/>
        <item h="1" m="1" x="3271"/>
        <item h="1" m="1" x="3975"/>
        <item h="1" m="1" x="647"/>
        <item h="1" m="1" x="526"/>
        <item h="1" m="1" x="1215"/>
        <item h="1" m="1" x="4554"/>
        <item h="1" m="1" x="3478"/>
        <item h="1" m="1" x="851"/>
        <item h="1" m="1" x="2342"/>
        <item h="1" m="1" x="1877"/>
        <item h="1" m="1" x="731"/>
        <item h="1" m="1" x="850"/>
        <item h="1" m="1" x="2131"/>
        <item h="1" m="1" x="4155"/>
        <item h="1" m="1" x="2514"/>
        <item h="1" m="1" x="969"/>
        <item h="1" m="1" x="3555"/>
        <item h="1" m="1" x="4513"/>
        <item h="1" m="1" x="1427"/>
        <item h="1" m="1" x="1576"/>
        <item h="1" m="1" x="3814"/>
        <item h="1" m="1" x="2512"/>
        <item h="1" m="1" x="2664"/>
        <item h="1" m="1" x="685"/>
        <item h="1" m="1" x="3201"/>
        <item h="1" m="1" x="697"/>
        <item h="1" m="1" x="2423"/>
        <item h="1" m="1" x="2768"/>
        <item h="1" m="1" x="668"/>
        <item h="1" m="1" x="1230"/>
        <item h="1" m="1" x="821"/>
        <item h="1" m="1" x="1473"/>
        <item h="1" m="1" x="1443"/>
        <item h="1" m="1" x="3024"/>
        <item h="1" m="1" x="1145"/>
        <item h="1" m="1" x="3938"/>
        <item h="1" m="1" x="2777"/>
        <item h="1" m="1" x="2688"/>
        <item h="1" m="1" x="306"/>
        <item h="1" m="1" x="1724"/>
        <item h="1" m="1" x="4560"/>
        <item h="1" m="1" x="1838"/>
        <item h="1" m="1" x="3803"/>
        <item h="1" m="1" x="2890"/>
        <item h="1" m="1" x="3788"/>
        <item h="1" m="1" x="2835"/>
        <item h="1" m="1" x="2489"/>
        <item h="1" m="1" x="201"/>
        <item h="1" m="1" x="3632"/>
        <item h="1" m="1" x="1478"/>
        <item h="1" m="1" x="4479"/>
        <item h="1" m="1" x="1534"/>
        <item h="1" m="1" x="997"/>
        <item h="1" m="1" x="3774"/>
        <item h="1" m="1" x="317"/>
        <item h="1" m="1" x="2732"/>
        <item h="1" m="1" x="4381"/>
        <item h="1" m="1" x="2307"/>
        <item h="1" m="1" x="2476"/>
        <item h="1" m="1" x="2854"/>
        <item h="1" m="1" x="768"/>
        <item h="1" m="1" x="4425"/>
        <item h="1" m="1" x="4579"/>
        <item m="1" x="4602"/>
        <item h="1" m="1" x="1158"/>
        <item h="1" m="1" x="3229"/>
        <item h="1" m="1" x="3307"/>
        <item h="1" m="1" x="693"/>
        <item h="1" m="1" x="241"/>
        <item h="1" m="1" x="1738"/>
        <item h="1" m="1" x="2546"/>
        <item h="1" m="1" x="249"/>
        <item h="1" m="1" x="2349"/>
        <item h="1" m="1" x="809"/>
        <item h="1" m="1" x="1093"/>
        <item h="1" m="1" x="1592"/>
        <item h="1" m="1" x="4049"/>
        <item h="1" m="1" x="3449"/>
        <item h="1" m="1" x="2041"/>
        <item h="1" m="1" x="3490"/>
        <item h="1" m="1" x="2709"/>
        <item h="1" m="1" x="3197"/>
        <item h="1" m="1" x="2631"/>
        <item h="1" m="1" x="3493"/>
        <item h="1" m="1" x="3964"/>
        <item h="1" m="1" x="2962"/>
        <item h="1" m="1" x="3748"/>
        <item h="1" m="1" x="2135"/>
        <item h="1" m="1" x="3616"/>
        <item h="1" m="1" x="941"/>
        <item h="1" m="1" x="1458"/>
        <item h="1" m="1" x="4184"/>
        <item h="1" m="1" x="4619"/>
        <item h="1" m="1" x="4528"/>
        <item h="1" m="1" x="3386"/>
        <item h="1" m="1" x="103"/>
        <item h="1" m="1" x="2348"/>
        <item h="1" m="1" x="2063"/>
        <item h="1" m="1" x="2009"/>
        <item h="1" m="1" x="1363"/>
        <item h="1" m="1" x="953"/>
        <item h="1" m="1" x="3673"/>
        <item h="1" m="1" x="3834"/>
        <item h="1" m="1" x="4152"/>
        <item h="1" m="1" x="2356"/>
        <item h="1" m="1" x="2327"/>
        <item h="1" m="1" x="1906"/>
        <item h="1" m="1" x="1593"/>
        <item h="1" m="1" x="4096"/>
        <item h="1" m="1" x="2084"/>
        <item h="1" m="1" x="3044"/>
        <item h="1" m="1" x="3414"/>
        <item h="1" m="1" x="2193"/>
        <item h="1" m="1" x="1648"/>
        <item h="1" m="1" x="1951"/>
        <item h="1" m="1" x="1023"/>
        <item h="1" m="1" x="2717"/>
        <item h="1" m="1" x="3739"/>
        <item h="1" m="1" x="1644"/>
        <item h="1" m="1" x="4054"/>
        <item h="1" m="1" x="3844"/>
        <item h="1" m="1" x="2479"/>
        <item h="1" m="1" x="4333"/>
        <item h="1" m="1" x="1679"/>
        <item h="1" m="1" x="4221"/>
        <item h="1" m="1" x="3187"/>
        <item h="1" m="1" x="1013"/>
        <item m="1" x="4022"/>
        <item h="1" m="1" x="3742"/>
        <item h="1" m="1" x="468"/>
        <item h="1" m="1" x="2668"/>
        <item h="1" m="1" x="4733"/>
        <item h="1" m="1" x="2869"/>
        <item h="1" m="1" x="31"/>
        <item h="1" m="1" x="345"/>
        <item h="1" m="1" x="523"/>
        <item h="1" m="1" x="3980"/>
        <item h="1" m="1" x="1952"/>
        <item h="1" m="1" x="2413"/>
        <item h="1" m="1" x="4006"/>
        <item h="1" m="1" x="4523"/>
        <item h="1" m="1" x="3069"/>
        <item h="1" m="1" x="974"/>
        <item h="1" m="1" x="2370"/>
        <item h="1" m="1" x="3694"/>
        <item h="1" m="1" x="3492"/>
        <item h="1" m="1" x="998"/>
        <item h="1" m="1" x="3953"/>
        <item h="1" m="1" x="648"/>
        <item h="1" m="1" x="2642"/>
        <item h="1" m="1" x="1938"/>
        <item h="1" m="1" x="28"/>
        <item h="1" m="1" x="2110"/>
        <item h="1" m="1" x="4415"/>
        <item h="1" m="1" x="2091"/>
        <item h="1" m="1" x="4244"/>
        <item h="1" m="1" x="4694"/>
        <item h="1" m="1" x="98"/>
        <item h="1" m="1" x="2013"/>
        <item h="1" m="1" x="1091"/>
        <item h="1" m="1" x="4663"/>
        <item h="1" m="1" x="3474"/>
        <item h="1" m="1" x="1071"/>
        <item h="1" m="1" x="383"/>
        <item h="1" m="1" x="3066"/>
        <item h="1" m="1" x="4416"/>
        <item h="1" m="1" x="4076"/>
        <item h="1" m="1" x="16"/>
        <item h="1" m="1" x="2046"/>
        <item h="1" m="1" x="1261"/>
        <item h="1" m="1" x="4174"/>
        <item h="1" m="1" x="3902"/>
        <item h="1" m="1" x="2513"/>
        <item h="1" m="1" x="455"/>
        <item h="1" m="1" x="2387"/>
        <item h="1" m="1" x="1242"/>
        <item h="1" m="1" x="3950"/>
        <item h="1" m="1" x="1853"/>
        <item h="1" m="1" x="1560"/>
        <item h="1" m="1" x="2534"/>
        <item h="1" m="1" x="244"/>
        <item h="1" m="1" x="2003"/>
        <item h="1" m="1" x="1185"/>
        <item h="1" m="1" x="1797"/>
        <item h="1" m="1" x="124"/>
        <item h="1" m="1" x="4372"/>
        <item h="1" m="1" x="2961"/>
        <item h="1" m="1" x="417"/>
        <item h="1" m="1" x="597"/>
        <item h="1" m="1" x="236"/>
        <item h="1" m="1" x="2657"/>
        <item h="1" m="1" x="4013"/>
        <item h="1" m="1" x="2432"/>
        <item h="1" m="1" x="3052"/>
        <item h="1" m="1" x="229"/>
        <item h="1" m="1" x="1229"/>
        <item h="1" m="1" x="2425"/>
        <item h="1" m="1" x="4722"/>
        <item h="1" m="1" x="862"/>
        <item h="1" m="1" x="411"/>
        <item h="1" m="1" x="3592"/>
        <item h="1" m="1" x="2176"/>
        <item h="1" m="1" x="1684"/>
        <item h="1" m="1" x="3011"/>
        <item m="1" x="4296"/>
        <item h="1" m="1" x="3279"/>
        <item h="1" m="1" x="2947"/>
        <item h="1" m="1" x="346"/>
        <item h="1" m="1" x="2285"/>
        <item h="1" m="1" x="2431"/>
        <item h="1" m="1" x="1930"/>
        <item h="1" m="1" x="4069"/>
        <item h="1" m="1" x="1014"/>
        <item h="1" m="1" x="4489"/>
        <item h="1" m="1" x="2876"/>
        <item h="1" m="1" x="3956"/>
        <item h="1" m="1" x="2499"/>
        <item h="1" m="1" x="593"/>
        <item h="1" m="1" x="1683"/>
        <item h="1" m="1" x="3948"/>
        <item h="1" m="1" x="589"/>
        <item h="1" m="1" x="1717"/>
        <item h="1" m="1" x="2362"/>
        <item h="1" m="1" x="979"/>
        <item h="1" m="1" x="1187"/>
        <item h="1" m="1" x="690"/>
        <item h="1" m="1" x="2416"/>
        <item h="1" m="1" x="272"/>
        <item h="1" m="1" x="3383"/>
        <item h="1" m="1" x="4025"/>
        <item h="1" m="1" x="1168"/>
        <item h="1" m="1" x="3570"/>
        <item h="1" m="1" x="2357"/>
        <item h="1" m="1" x="2544"/>
        <item h="1" m="1" x="3200"/>
        <item h="1" m="1" x="2162"/>
        <item h="1" m="1" x="3458"/>
        <item h="1" m="1" x="3182"/>
        <item h="1" m="1" x="3540"/>
        <item h="1" m="1" x="1295"/>
        <item h="1" m="1" x="3746"/>
        <item h="1" m="1" x="1820"/>
        <item h="1" m="1" x="3435"/>
        <item h="1" m="1" x="3765"/>
        <item h="1" m="1" x="294"/>
        <item h="1" m="1" x="1317"/>
        <item h="1" m="1" x="633"/>
        <item h="1" m="1" x="3642"/>
        <item h="1" m="1" x="1008"/>
        <item h="1" m="1" x="4161"/>
        <item h="1" m="1" x="3744"/>
        <item h="1" m="1" x="113"/>
        <item h="1" m="1" x="914"/>
        <item h="1" m="1" x="3431"/>
        <item h="1" m="1" x="922"/>
        <item h="1" m="1" x="3878"/>
        <item h="1" m="1" x="4670"/>
        <item h="1" m="1" x="960"/>
        <item h="1" m="1" x="1447"/>
        <item h="1" m="1" x="3254"/>
        <item h="1" m="1" x="3828"/>
        <item h="1" m="1" x="2451"/>
        <item h="1" m="1" x="792"/>
        <item h="1" m="1" x="769"/>
        <item h="1" m="1" x="169"/>
        <item h="1" m="1" x="1062"/>
        <item h="1" m="1" x="1707"/>
        <item h="1" m="1" x="29"/>
        <item h="1" m="1" x="2651"/>
        <item h="1" m="1" x="3294"/>
        <item h="1" m="1" x="41"/>
        <item h="1" m="1" x="193"/>
        <item h="1" m="1" x="4162"/>
        <item h="1" m="1" x="382"/>
        <item h="1" m="1" x="2887"/>
        <item h="1" m="1" x="4064"/>
        <item h="1" m="1" x="1634"/>
        <item h="1" m="1" x="1373"/>
        <item h="1" m="1" x="4004"/>
        <item h="1" m="1" x="4709"/>
        <item h="1" m="1" x="1801"/>
        <item h="1" m="1" x="3686"/>
        <item m="1" x="703"/>
        <item h="1" m="1" x="158"/>
        <item h="1" m="1" x="1539"/>
        <item h="1" m="1" x="3339"/>
        <item h="1" m="1" x="2212"/>
        <item h="1" m="1" x="1914"/>
        <item h="1" m="1" x="3348"/>
        <item h="1" m="1" x="2119"/>
        <item h="1" m="1" x="4048"/>
        <item h="1" m="1" x="3676"/>
        <item h="1" m="1" x="3106"/>
        <item h="1" m="1" x="1112"/>
        <item h="1" m="1" x="3063"/>
        <item h="1" m="1" x="2424"/>
        <item h="1" m="1" x="2338"/>
        <item h="1" m="1" x="4729"/>
        <item h="1" m="1" x="4195"/>
        <item h="1" m="1" x="4686"/>
        <item h="1" m="1" x="84"/>
        <item h="1" m="1" x="1131"/>
        <item h="1" m="1" x="1847"/>
        <item h="1" m="1" x="4362"/>
        <item h="1" m="1" x="1468"/>
        <item h="1" m="1" x="240"/>
        <item h="1" m="1" x="3825"/>
        <item h="1" m="1" x="1155"/>
        <item h="1" m="1" x="3402"/>
        <item h="1" m="1" x="3270"/>
        <item h="1" m="1" x="4710"/>
        <item h="1" m="1" x="3701"/>
        <item h="1" m="1" x="2650"/>
        <item h="1" m="1" x="1154"/>
        <item h="1" m="1" x="4024"/>
        <item h="1" m="1" x="1045"/>
        <item h="1" m="1" x="1498"/>
        <item h="1" m="1" x="3851"/>
        <item h="1" m="1" x="2656"/>
        <item h="1" m="1" x="1465"/>
        <item h="1" m="1" x="338"/>
        <item h="1" m="1" x="1264"/>
        <item h="1" m="1" x="4535"/>
        <item h="1" m="1" x="2824"/>
        <item h="1" m="1" x="1693"/>
        <item h="1" m="1" x="4250"/>
        <item h="1" m="1" x="3241"/>
        <item h="1" m="1" x="1892"/>
        <item h="1" m="1" x="3587"/>
        <item h="1" m="1" x="3379"/>
        <item h="1" m="1" x="4360"/>
        <item h="1" m="1" x="2953"/>
        <item h="1" m="1" x="4628"/>
        <item h="1" m="1" x="2986"/>
        <item h="1" m="1" x="3365"/>
        <item h="1" m="1" x="1148"/>
        <item h="1" m="1" x="2407"/>
        <item h="1" m="1" x="4605"/>
        <item h="1" m="1" x="536"/>
        <item h="1" m="1" x="2208"/>
        <item h="1" m="1" x="2802"/>
        <item h="1" m="1" x="530"/>
        <item h="1" m="1" x="3876"/>
        <item h="1" m="1" x="966"/>
        <item h="1" m="1" x="3829"/>
        <item h="1" m="1" x="3228"/>
        <item h="1" m="1" x="1830"/>
        <item h="1" m="1" x="4700"/>
        <item h="1" m="1" x="793"/>
        <item h="1" m="1" x="3596"/>
        <item h="1" m="1" x="3008"/>
        <item h="1" m="1" x="2521"/>
        <item h="1" m="1" x="2638"/>
        <item h="1" m="1" x="4516"/>
        <item h="1" m="1" x="627"/>
        <item h="1" m="1" x="366"/>
        <item h="1" m="1" x="2792"/>
        <item h="1" m="1" x="3636"/>
        <item h="1" m="1" x="1021"/>
        <item h="1" m="1" x="908"/>
        <item h="1" m="1" x="3072"/>
        <item h="1" m="1" x="1469"/>
        <item h="1" m="1" x="2827"/>
        <item h="1" m="1" x="1409"/>
        <item h="1" m="1" x="2147"/>
        <item h="1" m="1" x="2222"/>
        <item h="1" m="1" x="3287"/>
        <item h="1" m="1" x="4570"/>
        <item h="1" m="1" x="2640"/>
        <item h="1" m="1" x="2591"/>
        <item h="1" m="1" x="1394"/>
        <item h="1" m="1" x="3869"/>
        <item h="1" m="1" x="1692"/>
        <item h="1" m="1" x="3927"/>
        <item h="1" m="1" x="2006"/>
        <item h="1" m="1" x="3320"/>
        <item h="1" m="1" x="1668"/>
        <item h="1" m="1" x="2455"/>
        <item h="1" m="1" x="4340"/>
        <item h="1" m="1" x="1603"/>
        <item h="1" m="1" x="2151"/>
        <item h="1" m="1" x="199"/>
        <item h="1" m="1" x="2008"/>
        <item h="1" m="1" x="1898"/>
        <item h="1" m="1" x="2641"/>
        <item h="1" m="1" x="1019"/>
        <item h="1" m="1" x="2818"/>
        <item h="1" m="1" x="4409"/>
        <item h="1" m="1" x="869"/>
        <item h="1" m="1" x="3477"/>
        <item h="1" m="1" x="2509"/>
        <item h="1" m="1" x="1856"/>
        <item h="1" m="1" x="2742"/>
        <item h="1" m="1" x="1803"/>
        <item h="1" m="1" x="2503"/>
        <item h="1" m="1" x="1590"/>
        <item h="1" m="1" x="2627"/>
        <item h="1" m="1" x="1909"/>
        <item h="1" m="1" x="3593"/>
        <item h="1" m="1" x="1138"/>
        <item h="1" m="1" x="2696"/>
        <item h="1" m="1" x="4369"/>
        <item h="1" m="1" x="2363"/>
        <item h="1" m="1" x="658"/>
        <item h="1" m="1" x="2366"/>
        <item h="1" m="1" x="2394"/>
        <item h="1" m="1" x="4520"/>
        <item h="1" m="1" x="351"/>
        <item h="1" m="1" x="371"/>
        <item h="1" m="1" x="649"/>
        <item h="1" m="1" x="3996"/>
        <item h="1" m="1" x="2610"/>
        <item h="1" m="1" x="2391"/>
        <item h="1" m="1" x="4542"/>
        <item h="1" m="1" x="1667"/>
        <item h="1" m="1" x="3597"/>
        <item h="1" m="1" x="435"/>
        <item h="1" m="1" x="2943"/>
        <item h="1" m="1" x="22"/>
        <item h="1" m="1" x="3585"/>
        <item h="1" m="1" x="2314"/>
        <item h="1" m="1" x="3805"/>
        <item h="1" m="1" x="4552"/>
        <item h="1" m="1" x="1675"/>
        <item h="1" m="1" x="3285"/>
        <item h="1" m="1" x="3754"/>
        <item h="1" m="1" x="4163"/>
        <item h="1" m="1" x="680"/>
        <item h="1" m="1" x="3087"/>
        <item h="1" m="1" x="2637"/>
        <item h="1" m="1" x="3879"/>
        <item h="1" m="1" x="3987"/>
        <item h="1" m="1" x="4627"/>
        <item h="1" m="1" x="2877"/>
        <item h="1" m="1" x="2205"/>
        <item h="1" m="1" x="2813"/>
        <item h="1" m="1" x="2368"/>
        <item h="1" m="1" x="699"/>
        <item h="1" m="1" x="2210"/>
        <item h="1" m="1" x="3427"/>
        <item h="1" m="1" x="4588"/>
        <item h="1" m="1" x="4062"/>
        <item h="1" m="1" x="4398"/>
        <item h="1" m="1" x="1493"/>
        <item h="1" m="1" x="3542"/>
        <item h="1" m="1" x="2100"/>
        <item h="1" m="1" x="4322"/>
        <item h="1" m="1" x="3297"/>
        <item h="1" m="1" x="3198"/>
        <item h="1" m="1" x="2133"/>
        <item h="1" m="1" x="2562"/>
        <item h="1" m="1" x="4087"/>
        <item m="1" x="3356"/>
        <item h="1" m="1" x="4351"/>
        <item h="1" m="1" x="2092"/>
        <item h="1" m="1" x="2415"/>
        <item h="1" m="1" x="48"/>
        <item h="1" m="1" x="2552"/>
        <item h="1" m="1" x="3571"/>
        <item h="1" m="1" x="2388"/>
        <item h="1" m="1" x="418"/>
        <item h="1" m="1" x="4505"/>
        <item h="1" m="1" x="2170"/>
        <item h="1" m="1" x="3470"/>
        <item h="1" m="1" x="3176"/>
        <item h="1" m="1" x="2569"/>
        <item h="1" m="1" x="238"/>
        <item h="1" m="1" x="2501"/>
        <item h="1" m="1" x="3525"/>
        <item h="1" m="1" x="3290"/>
        <item h="1" m="1" x="1791"/>
        <item h="1" m="1" x="1347"/>
        <item h="1" m="1" x="1942"/>
        <item h="1" m="1" x="2220"/>
        <item h="1" m="1" x="2195"/>
        <item h="1" m="1" x="2563"/>
        <item h="1" m="1" x="904"/>
        <item h="1" m="1" x="2083"/>
        <item h="1" m="1" x="1974"/>
        <item h="1" m="1" x="3522"/>
        <item h="1" m="1" x="787"/>
        <item h="1" m="1" x="3674"/>
        <item h="1" m="1" x="1632"/>
        <item h="1" m="1" x="1929"/>
        <item h="1" m="1" x="3116"/>
        <item h="1" m="1" x="36"/>
        <item h="1" m="1" x="3513"/>
        <item h="1" m="1" x="3213"/>
        <item h="1" m="1" x="3375"/>
        <item h="1" m="1" x="551"/>
        <item h="1" m="1" x="1990"/>
        <item h="1" m="1" x="1858"/>
        <item h="1" m="1" x="2076"/>
        <item h="1" m="1" x="3653"/>
        <item h="1" m="1" x="239"/>
        <item h="1" m="1" x="4291"/>
        <item h="1" m="1" x="1175"/>
        <item h="1" m="1" x="1901"/>
        <item h="1" m="1" x="3859"/>
        <item h="1" m="1" x="4750"/>
        <item h="1" m="1" x="1253"/>
        <item h="1" m="1" x="1265"/>
        <item h="1" m="1" x="1314"/>
        <item h="1" m="1" x="2960"/>
        <item h="1" m="1" x="3712"/>
        <item h="1" m="1" x="785"/>
        <item h="1" m="1" x="324"/>
        <item h="1" m="1" x="2040"/>
        <item h="1" m="1" x="3693"/>
        <item h="1" m="1" x="3013"/>
        <item h="1" m="1" x="1482"/>
        <item h="1" m="1" x="1037"/>
        <item h="1" m="1" x="1662"/>
        <item h="1" m="1" x="3174"/>
        <item h="1" m="1" x="194"/>
        <item h="1" m="1" x="4349"/>
        <item h="1" m="1" x="761"/>
        <item h="1" m="1" x="2274"/>
        <item h="1" m="1" x="4583"/>
        <item h="1" m="1" x="1143"/>
        <item h="1" m="1" x="4171"/>
        <item h="1" m="1" x="2429"/>
        <item h="1" m="1" x="2935"/>
        <item h="1" m="1" x="4330"/>
        <item h="1" m="1" x="2089"/>
        <item h="1" m="1" x="499"/>
        <item h="1" m="1" x="4640"/>
        <item h="1" m="1" x="1140"/>
        <item h="1" m="1" x="533"/>
        <item h="1" m="1" x="4380"/>
        <item h="1" m="1" x="1408"/>
        <item h="1" m="1" x="2287"/>
        <item h="1" m="1" x="4414"/>
        <item h="1" m="1" x="4293"/>
        <item h="1" m="1" x="3861"/>
        <item h="1" m="1" x="331"/>
        <item h="1" m="1" x="9"/>
        <item h="1" m="1" x="147"/>
        <item h="1" m="1" x="447"/>
        <item h="1" m="1" x="2324"/>
        <item h="1" m="1" x="2414"/>
        <item h="1" m="1" x="3563"/>
        <item h="1" m="1" x="4565"/>
        <item h="1" m="1" x="3573"/>
        <item h="1" m="1" x="1608"/>
        <item h="1" m="1" x="1548"/>
        <item h="1" m="1" x="3284"/>
        <item h="1" m="1" x="205"/>
        <item h="1" m="1" x="4258"/>
        <item h="1" m="1" x="2891"/>
        <item h="1" m="1" x="3787"/>
        <item h="1" m="1" x="3487"/>
        <item h="1" m="1" x="2217"/>
        <item h="1" m="1" x="195"/>
        <item h="1" m="1" x="2422"/>
        <item h="1" m="1" x="3359"/>
        <item h="1" m="1" x="4547"/>
        <item h="1" m="1" x="4633"/>
        <item h="1" m="1" x="1873"/>
        <item h="1" m="1" x="4042"/>
        <item h="1" m="1" x="2004"/>
        <item h="1" m="1" x="2803"/>
        <item h="1" m="1" x="1659"/>
        <item h="1" m="1" x="3074"/>
        <item h="1" m="1" x="4600"/>
        <item h="1" m="1" x="3781"/>
        <item h="1" m="1" x="1997"/>
        <item h="1" m="1" x="3960"/>
        <item h="1" m="1" x="538"/>
        <item h="1" m="1" x="1851"/>
        <item h="1" m="1" x="374"/>
        <item h="1" m="1" x="1855"/>
        <item h="1" m="1" x="3881"/>
        <item h="1" m="1" x="2772"/>
        <item h="1" m="1" x="1327"/>
        <item h="1" m="1" x="3974"/>
        <item h="1" m="1" x="4134"/>
        <item h="1" m="1" x="2079"/>
        <item h="1" m="1" x="1719"/>
        <item h="1" m="1" x="4245"/>
        <item h="1" m="1" x="2743"/>
        <item h="1" m="1" x="3637"/>
        <item h="1" m="1" x="156"/>
        <item h="1" m="1" x="1934"/>
        <item h="1" m="1" x="3645"/>
        <item h="1" m="1" x="4233"/>
        <item h="1" m="1" x="571"/>
        <item h="1" m="1" x="264"/>
        <item h="1" m="1" x="3202"/>
        <item h="1" m="1" x="917"/>
        <item h="1" m="1" x="739"/>
        <item h="1" m="1" x="4457"/>
        <item h="1" m="1" x="1564"/>
        <item h="1" m="1" x="1338"/>
        <item h="1" m="1" x="1771"/>
        <item h="1" m="1" x="940"/>
        <item h="1" m="1" x="3891"/>
        <item h="1" m="1" x="2267"/>
        <item h="1" m="1" x="1649"/>
        <item h="1" m="1" x="3075"/>
        <item h="1" m="1" x="2015"/>
        <item h="1" m="1" x="897"/>
        <item h="1" m="1" x="1340"/>
        <item h="1" m="1" x="3488"/>
        <item h="1" m="1" x="2577"/>
        <item h="1" m="1" x="3817"/>
        <item h="1" m="1" x="725"/>
        <item h="1" m="1" x="4399"/>
        <item h="1" m="1" x="3135"/>
        <item h="1" m="1" x="541"/>
        <item h="1" m="1" x="1279"/>
        <item h="1" m="1" x="1996"/>
        <item h="1" m="1" x="2372"/>
        <item h="1" m="1" x="2990"/>
        <item h="1" m="1" x="1257"/>
        <item h="1" m="1" x="146"/>
        <item h="1" m="1" x="3627"/>
        <item h="1" m="1" x="3416"/>
        <item h="1" m="1" x="4273"/>
        <item h="1" m="1" x="1710"/>
        <item h="1" m="1" x="3138"/>
        <item h="1" m="1" x="394"/>
        <item h="1" m="1" x="1271"/>
        <item h="1" m="1" x="73"/>
        <item h="1" m="1" x="1002"/>
        <item h="1" m="1" x="4374"/>
        <item h="1" m="1" x="39"/>
        <item h="1" m="1" x="2731"/>
        <item h="1" m="1" x="3785"/>
        <item h="1" m="1" x="1376"/>
        <item h="1" m="1" x="4569"/>
        <item h="1" m="1" x="2296"/>
        <item h="1" m="1" x="4462"/>
        <item h="1" m="1" x="884"/>
        <item h="1" m="1" x="1908"/>
        <item h="1" m="1" x="3690"/>
        <item h="1" m="1" x="3444"/>
        <item h="1" m="1" x="1799"/>
        <item h="1" m="1" x="942"/>
        <item h="1" m="1" x="1891"/>
        <item h="1" m="1" x="3628"/>
        <item h="1" m="1" x="568"/>
        <item h="1" m="1" x="2959"/>
        <item h="1" m="1" x="4357"/>
        <item h="1" m="1" x="4720"/>
        <item h="1" m="1" x="4345"/>
        <item h="1" m="1" x="3016"/>
        <item h="1" m="1" x="1428"/>
        <item h="1" m="1" x="1956"/>
        <item h="1" m="1" x="3967"/>
        <item h="1" m="1" x="3618"/>
        <item h="1" m="1" x="657"/>
        <item h="1" m="1" x="2381"/>
        <item h="1" m="1" x="2064"/>
        <item h="1" m="1" x="2101"/>
        <item h="1" m="1" x="553"/>
        <item h="1" m="1" x="3812"/>
        <item h="1" m="1" x="4647"/>
        <item h="1" m="1" x="1787"/>
        <item h="1" m="1" x="2795"/>
        <item h="1" m="1" x="912"/>
        <item h="1" m="1" x="2430"/>
        <item h="1" m="1" x="1595"/>
        <item h="1" m="1" x="2921"/>
        <item h="1" m="1" x="2167"/>
        <item h="1" m="1" x="2487"/>
        <item h="1" m="1" x="3233"/>
        <item h="1" m="1" x="3762"/>
        <item h="1" m="1" x="3792"/>
        <item h="1" m="1" x="2769"/>
        <item h="1" m="1" x="545"/>
        <item h="1" m="1" x="3434"/>
        <item h="1" m="1" x="4313"/>
        <item h="1" m="1" x="3239"/>
        <item h="1" m="1" x="364"/>
        <item h="1" m="1" x="3908"/>
        <item h="1" m="1" x="2066"/>
        <item h="1" m="1" x="957"/>
        <item h="1" m="1" x="3985"/>
        <item h="1" m="1" x="667"/>
        <item h="1" m="1" x="2475"/>
        <item h="1" m="1" x="135"/>
        <item h="1" m="1" x="801"/>
        <item h="1" m="1" x="428"/>
        <item h="1" m="1" x="2439"/>
        <item h="1" m="1" x="3129"/>
        <item h="1" m="1" x="2243"/>
        <item h="1" m="1" x="4474"/>
        <item h="1" m="1" x="2697"/>
        <item m="1" x="790"/>
        <item h="1" m="1" x="2929"/>
        <item h="1" m="1" x="525"/>
        <item h="1" m="1" x="1084"/>
        <item h="1" m="1" x="1857"/>
        <item h="1" m="1" x="4693"/>
        <item h="1" m="1" x="932"/>
        <item h="1" m="1" x="871"/>
        <item h="1" m="1" x="1267"/>
        <item h="1" m="1" x="213"/>
        <item h="1" m="1" x="2496"/>
        <item h="1" m="1" x="4247"/>
        <item h="1" m="1" x="2371"/>
        <item h="1" m="1" x="3629"/>
        <item h="1" m="1" x="303"/>
        <item h="1" m="1" x="2676"/>
        <item h="1" m="1" x="1027"/>
        <item m="1" x="1165"/>
        <item h="1" m="1" x="4131"/>
        <item h="1" m="1" x="3002"/>
        <item h="1" m="1" x="683"/>
        <item h="1" m="1" x="3067"/>
        <item h="1" m="1" x="3685"/>
        <item h="1" m="1" x="123"/>
        <item h="1" m="1" x="549"/>
        <item h="1" m="1" x="2373"/>
        <item h="1" m="1" x="3319"/>
        <item h="1" m="1" x="3888"/>
        <item h="1" m="1" x="4443"/>
        <item h="1" m="1" x="815"/>
        <item h="1" m="1" x="1252"/>
        <item h="1" m="1" x="1044"/>
        <item h="1" m="1" x="1006"/>
        <item h="1" m="1" x="1077"/>
        <item h="1" m="1" x="1555"/>
        <item h="1" m="1" x="2265"/>
        <item h="1" m="1" x="740"/>
        <item h="1" m="1" x="2284"/>
        <item h="1" m="1" x="2741"/>
        <item h="1" m="1" x="2655"/>
        <item h="1" m="1" x="2859"/>
        <item h="1" m="1" x="2936"/>
        <item h="1" m="1" x="3055"/>
        <item h="1" m="1" x="1697"/>
        <item h="1" m="1" x="4611"/>
        <item h="1" m="1" x="4021"/>
        <item h="1" m="1" x="4108"/>
        <item h="1" m="1" x="721"/>
        <item h="1" m="1" x="3600"/>
        <item h="1" m="1" x="449"/>
        <item h="1" m="1" x="993"/>
        <item h="1" m="1" x="3705"/>
        <item h="1" m="1" x="1502"/>
        <item h="1" m="1" x="232"/>
        <item h="1" m="1" x="3286"/>
        <item h="1" m="1" x="2390"/>
        <item h="1" m="1" x="2178"/>
        <item h="1" m="1" x="1424"/>
        <item h="1" m="1" x="1173"/>
        <item h="1" m="1" x="755"/>
        <item h="1" m="1" x="2010"/>
        <item h="1" m="1" x="52"/>
        <item h="1" m="1" x="2506"/>
        <item h="1" m="1" x="2262"/>
        <item h="1" m="1" x="655"/>
        <item h="1" m="1" x="1992"/>
        <item h="1" m="1" x="4642"/>
        <item h="1" m="1" x="1485"/>
        <item h="1" m="1" x="561"/>
        <item h="1" m="1" x="737"/>
        <item h="1" m="1" x="275"/>
        <item h="1" m="1" x="100"/>
        <item h="1" m="1" x="2047"/>
        <item h="1" m="1" x="1162"/>
        <item h="1" m="1" x="4142"/>
        <item h="1" m="1" x="4078"/>
        <item h="1" m="1" x="3659"/>
        <item h="1" m="1" x="3937"/>
        <item h="1" m="1" x="231"/>
        <item h="1" m="1" x="943"/>
        <item h="1" m="1" x="362"/>
        <item h="1" m="1" x="314"/>
        <item h="1" m="1" x="4626"/>
        <item h="1" m="1" x="1430"/>
        <item h="1" m="1" x="2726"/>
        <item h="1" m="1" x="515"/>
        <item h="1" m="1" x="335"/>
        <item h="1" m="1" x="1172"/>
        <item h="1" m="1" x="1151"/>
        <item h="1" m="1" x="638"/>
        <item h="1" m="1" x="2286"/>
        <item h="1" m="1" x="2261"/>
        <item h="1" m="1" x="2332"/>
        <item h="1" m="1" x="3421"/>
        <item h="1" m="1" x="3445"/>
        <item h="1" m="1" x="1368"/>
        <item h="1" m="1" x="1097"/>
        <item h="1" m="1" x="4286"/>
        <item h="1" m="1" x="165"/>
        <item h="1" m="1" x="2972"/>
        <item h="1" m="1" x="1778"/>
        <item h="1" m="1" x="3905"/>
        <item h="1" m="1" x="2995"/>
        <item h="1" m="1" x="548"/>
        <item h="1" m="1" x="50"/>
        <item h="1" m="1" x="2831"/>
        <item h="1" m="1" x="1412"/>
        <item h="1" m="1" x="1809"/>
        <item h="1" m="1" x="1547"/>
        <item h="1" m="1" x="4284"/>
        <item h="1" m="1" x="1917"/>
        <item h="1" m="1" x="3275"/>
        <item h="1" m="1" x="2956"/>
        <item h="1" m="1" x="2244"/>
        <item h="1" m="1" x="1355"/>
        <item h="1" m="1" x="2258"/>
        <item h="1" m="1" x="1610"/>
        <item h="1" m="1" x="3897"/>
        <item h="1" m="1" x="2375"/>
        <item h="1" m="1" x="4130"/>
        <item h="1" m="1" x="709"/>
        <item h="1" m="1" x="112"/>
        <item h="1" m="1" x="2097"/>
        <item h="1" m="1" x="1750"/>
        <item h="1" m="1" x="2748"/>
        <item h="1" m="1" x="11"/>
        <item h="1" m="1" x="1915"/>
        <item h="1" m="1" x="1677"/>
        <item h="1" m="1" x="2426"/>
        <item h="1" m="1" x="2169"/>
        <item h="1" m="1" x="3466"/>
        <item h="1" m="1" x="1494"/>
        <item h="1" m="1" x="3125"/>
        <item h="1" m="1" x="3549"/>
        <item h="1" m="1" x="1358"/>
        <item h="1" m="1" x="2127"/>
        <item h="1" m="1" x="3196"/>
        <item h="1" m="1" x="3499"/>
        <item h="1" m="1" x="2465"/>
        <item h="1" m="1" x="779"/>
        <item h="1" m="1" x="1239"/>
        <item h="1" m="1" x="2897"/>
        <item h="1" m="1" x="1841"/>
        <item h="1" m="1" x="4758"/>
        <item h="1" m="1" x="1883"/>
        <item h="1" m="1" x="2644"/>
        <item h="1" m="1" x="330"/>
        <item h="1" m="1" x="719"/>
        <item h="1" m="1" x="4181"/>
        <item h="1" m="1" x="4440"/>
        <item h="1" m="1" x="3165"/>
        <item h="1" m="1" x="842"/>
        <item h="1" m="1" x="1581"/>
        <item h="1" m="1" x="2643"/>
        <item h="1" m="1" x="4435"/>
        <item h="1" m="1" x="1060"/>
        <item h="1" m="1" x="2590"/>
        <item h="1" m="1" x="1872"/>
        <item h="1" m="1" x="2579"/>
        <item h="1" m="1" x="2532"/>
        <item h="1" m="1" x="4706"/>
        <item h="1" m="1" x="990"/>
        <item h="1" m="1" x="2816"/>
        <item h="1" m="1" x="4562"/>
        <item h="1" m="1" x="3382"/>
        <item h="1" m="1" x="679"/>
        <item h="1" m="1" x="220"/>
        <item h="1" m="1" x="1681"/>
        <item h="1" m="1" x="3909"/>
        <item h="1" m="1" x="1421"/>
        <item h="1" m="1" x="2932"/>
        <item h="1" m="1" x="3006"/>
        <item h="1" m="1" x="2564"/>
        <item h="1" m="1" x="775"/>
        <item h="1" m="1" x="167"/>
        <item h="1" m="1" x="2820"/>
        <item h="1" m="1" x="1128"/>
        <item h="1" m="1" x="2249"/>
        <item h="1" m="1" x="1446"/>
        <item h="1" m="1" x="868"/>
        <item h="1" m="1" x="1540"/>
        <item h="1" m="1" x="631"/>
        <item h="1" m="1" x="3323"/>
        <item h="1" m="1" x="3610"/>
        <item h="1" m="1" x="4102"/>
        <item h="1" m="1" x="3808"/>
        <item h="1" m="1" x="2202"/>
        <item h="1" m="1" x="1488"/>
        <item h="1" m="1" x="681"/>
        <item h="1" m="1" x="2517"/>
        <item h="1" m="1" x="3889"/>
        <item h="1" m="1" x="4373"/>
        <item h="1" m="1" x="3313"/>
        <item h="1" m="1" x="3263"/>
        <item h="1" m="1" x="1483"/>
        <item h="1" m="1" x="2488"/>
        <item h="1" m="1" x="504"/>
        <item h="1" m="1" x="1048"/>
        <item h="1" m="1" x="1703"/>
        <item h="1" m="1" x="4281"/>
        <item h="1" m="1" x="1442"/>
        <item h="1" m="1" x="4674"/>
        <item h="1" m="1" x="4020"/>
        <item h="1" m="1" x="3565"/>
        <item h="1" m="1" x="2967"/>
        <item h="1" m="1" x="2268"/>
        <item h="1" m="1" x="3824"/>
        <item h="1" m="1" x="3235"/>
        <item h="1" m="1" x="126"/>
        <item h="1" m="1" x="710"/>
        <item h="1" m="1" x="4026"/>
        <item h="1" m="1" x="4696"/>
        <item h="1" m="1" x="4359"/>
        <item h="1" m="1" x="4757"/>
        <item h="1" m="1" x="1385"/>
        <item h="1" m="1" x="6"/>
        <item h="1" m="1" x="1733"/>
        <item h="1" m="1" x="4480"/>
        <item h="1" m="1" x="3852"/>
        <item h="1" m="1" x="671"/>
        <item h="1" m="1" x="3121"/>
        <item h="1" m="1" x="1742"/>
        <item h="1" m="1" x="2892"/>
        <item h="1" m="1" x="612"/>
        <item h="1" m="1" x="3251"/>
        <item h="1" m="1" x="3731"/>
        <item h="1" m="1" x="2310"/>
        <item h="1" m="1" x="4692"/>
        <item h="1" m="1" x="852"/>
        <item h="1" m="1" x="285"/>
        <item h="1" m="1" x="4003"/>
        <item h="1" m="1" x="4265"/>
        <item h="1" m="1" x="4639"/>
        <item h="1" m="1" x="328"/>
        <item h="1" m="1" x="1784"/>
        <item h="1" m="1" x="829"/>
        <item h="1" m="1" x="1571"/>
        <item h="1" m="1" x="3273"/>
        <item h="1" m="1" x="1503"/>
        <item h="1" m="1" x="870"/>
        <item h="1" m="1" x="2312"/>
        <item h="1" m="1" x="2153"/>
        <item h="1" m="1" x="4059"/>
        <item h="1" m="1" x="3463"/>
        <item h="1" m="1" x="2449"/>
        <item h="1" m="1" x="1069"/>
        <item h="1" m="1" x="4475"/>
        <item h="1" m="1" x="1141"/>
        <item h="1" m="1" x="2399"/>
        <item h="1" m="1" x="2282"/>
        <item h="1" m="1" x="3357"/>
        <item h="1" m="1" x="3428"/>
        <item h="1" m="1" x="3146"/>
        <item h="1" m="1" x="1012"/>
        <item h="1" m="1" x="3949"/>
        <item h="1" m="1" x="1774"/>
        <item h="1" m="1" x="2957"/>
        <item h="1" m="1" x="3190"/>
        <item h="1" m="1" x="2144"/>
        <item h="1" m="1" x="3997"/>
        <item h="1" m="1" x="890"/>
        <item h="1" m="1" x="1704"/>
        <item h="1" m="1" x="3058"/>
        <item h="1" m="1" x="748"/>
        <item h="1" m="1" x="2052"/>
        <item h="1" m="1" x="1268"/>
        <item h="1" m="1" x="3396"/>
        <item h="1" m="1" x="2326"/>
        <item h="1" m="1" x="1007"/>
        <item h="1" m="1" x="634"/>
        <item h="1" m="1" x="3699"/>
        <item h="1" m="1" x="4331"/>
        <item h="1" m="1" x="4085"/>
        <item h="1" m="1" x="387"/>
        <item h="1" m="1" x="1695"/>
        <item h="1" m="1" x="598"/>
        <item h="1" m="1" x="3753"/>
        <item h="1" m="1" x="938"/>
        <item h="1" m="1" x="2624"/>
        <item h="1" m="1" x="1387"/>
        <item h="1" m="1" x="3580"/>
        <item h="1" m="1" x="4690"/>
        <item h="1" m="1" x="4225"/>
        <item h="1" m="1" x="2658"/>
        <item h="1" m="1" x="2036"/>
        <item h="1" m="1" x="58"/>
        <item h="1" m="1" x="3523"/>
        <item h="1" m="1" x="318"/>
        <item h="1" m="1" x="903"/>
        <item h="1" m="1" x="2757"/>
        <item h="1" m="1" x="1654"/>
        <item h="1" m="1" x="2828"/>
        <item h="1" m="1" x="1178"/>
        <item h="1" m="1" x="4748"/>
        <item h="1" m="1" x="3952"/>
        <item h="1" m="1" x="546"/>
        <item h="1" m="1" x="1174"/>
        <item h="1" m="1" x="1413"/>
        <item h="1" m="1" x="3027"/>
        <item h="1" m="1" x="4664"/>
        <item h="1" m="1" x="2440"/>
        <item h="1" m="1" x="745"/>
        <item h="1" m="1" x="4137"/>
        <item h="1" m="1" x="4231"/>
        <item h="1" m="1" x="2148"/>
        <item h="1" m="1" x="1903"/>
        <item h="1" m="1" x="4254"/>
        <item h="1" m="1" x="287"/>
        <item h="1" m="1" x="1307"/>
        <item h="1" m="1" x="1630"/>
        <item h="1" m="1" x="2211"/>
        <item h="1" m="1" x="1350"/>
        <item h="1" m="1" x="251"/>
        <item h="1" m="1" x="1333"/>
        <item h="1" m="1" x="1103"/>
        <item h="1" m="1" x="2421"/>
        <item h="1" m="1" x="3643"/>
        <item h="1" m="1" x="512"/>
        <item h="1" m="1" x="2486"/>
        <item h="1" m="1" x="1484"/>
        <item h="1" m="1" x="485"/>
        <item h="1" m="1" x="653"/>
        <item h="1" m="1" x="4491"/>
        <item h="1" m="1" x="3607"/>
        <item h="1" m="1" x="4537"/>
        <item h="1" m="1" x="1324"/>
        <item h="1" m="1" x="1020"/>
        <item h="1" m="1" x="1685"/>
        <item h="1" m="1" x="3724"/>
        <item h="1" m="1" x="157"/>
        <item h="1" m="1" x="3837"/>
        <item h="1" m="1" x="2882"/>
        <item h="1" m="1" x="674"/>
        <item h="1" m="1" x="3037"/>
        <item h="1" m="1" x="2931"/>
        <item h="1" m="1" x="2680"/>
        <item h="1" m="1" x="673"/>
        <item h="1" m="1" x="734"/>
        <item h="1" m="1" x="1501"/>
        <item h="1" m="1" x="895"/>
        <item h="1" m="1" x="422"/>
        <item h="1" m="1" x="4558"/>
        <item h="1" m="1" x="867"/>
        <item h="1" m="1" x="704"/>
        <item h="1" m="1" x="1429"/>
        <item h="1" m="1" x="2361"/>
        <item h="1" m="1" x="810"/>
        <item h="1" m="1" x="1183"/>
        <item h="1" m="1" x="173"/>
        <item h="1" m="1" x="1438"/>
        <item h="1" m="1" x="130"/>
        <item h="1" m="1" x="2472"/>
        <item h="1" m="1" x="4203"/>
        <item h="1" m="1" x="1849"/>
        <item h="1" m="1" x="970"/>
        <item h="1" m="1" x="1625"/>
        <item h="1" m="1" x="4608"/>
        <item h="1" m="1" x="3827"/>
        <item h="1" m="1" x="3702"/>
        <item h="1" m="1" x="4386"/>
        <item h="1" m="1" x="1381"/>
        <item h="1" m="1" x="4129"/>
        <item h="1" m="1" x="3298"/>
        <item h="1" m="1" x="3162"/>
        <item h="1" m="1" x="4033"/>
        <item h="1" m="1" x="67"/>
        <item h="1" m="1" x="1042"/>
        <item h="1" m="1" x="2164"/>
        <item h="1" m="1" x="1380"/>
        <item h="1" m="1" x="4745"/>
        <item h="1" m="1" x="4566"/>
        <item h="1" m="1" x="2846"/>
        <item h="1" m="1" x="3249"/>
        <item h="1" m="1" x="2259"/>
        <item h="1" m="1" x="1878"/>
        <item h="1" m="1" x="4127"/>
        <item h="1" m="1" x="2251"/>
        <item h="1" m="1" x="2023"/>
        <item h="1" m="1" x="2561"/>
        <item h="1" m="1" x="1687"/>
        <item h="1" m="1" x="2478"/>
        <item h="1" m="1" x="2353"/>
        <item h="1" m="1" x="3769"/>
        <item h="1" m="1" x="3188"/>
        <item h="1" m="1" x="1320"/>
        <item h="1" m="1" x="441"/>
        <item h="1" m="1" x="2711"/>
        <item h="1" m="1" x="2188"/>
        <item h="1" m="1" x="1666"/>
        <item h="1" m="1" x="1359"/>
        <item h="1" m="1" x="949"/>
        <item h="1" m="1" x="3218"/>
        <item h="1" m="1" x="3047"/>
        <item h="1" m="1" x="1431"/>
        <item h="1" m="1" x="1700"/>
        <item h="1" m="1" x="3332"/>
        <item h="1" m="1" x="1861"/>
        <item h="1" m="1" x="2702"/>
        <item h="1" m="1" x="2115"/>
        <item h="1" m="1" x="882"/>
        <item h="1" m="1" x="2850"/>
        <item h="1" m="1" x="962"/>
        <item h="1" m="1" x="1094"/>
        <item h="1" m="1" x="64"/>
        <item h="1" m="1" x="1110"/>
        <item h="1" m="1" x="3243"/>
        <item h="1" m="1" x="3819"/>
        <item h="1" m="1" x="127"/>
        <item h="1" m="1" x="8"/>
        <item h="1" m="1" x="1487"/>
        <item h="1" m="1" x="1796"/>
        <item h="1" m="1" x="2150"/>
        <item h="1" m="1" x="2597"/>
        <item h="1" m="1" x="114"/>
        <item h="1" m="1" x="119"/>
        <item h="1" m="1" x="610"/>
        <item h="1" m="1" x="2469"/>
        <item h="1" m="1" x="1680"/>
        <item h="1" m="1" x="2527"/>
        <item h="1" m="1" x="3423"/>
        <item h="1" m="1" x="1472"/>
        <item h="1" m="1" x="3338"/>
        <item h="1" m="1" x="2054"/>
        <item h="1" m="1" x="4366"/>
        <item h="1" m="1" x="1613"/>
        <item h="1" m="1" x="2535"/>
        <item h="1" m="1" x="4115"/>
        <item h="1" m="1" x="243"/>
        <item h="1" m="1" x="2508"/>
        <item h="1" m="1" x="1672"/>
        <item h="1" m="1" x="2578"/>
        <item h="1" m="1" x="4536"/>
        <item h="1" m="1" x="3460"/>
        <item h="1" m="1" x="2257"/>
        <item h="1" m="1" x="3512"/>
        <item h="1" m="1" x="456"/>
        <item h="1" m="1" x="2843"/>
        <item h="1" m="1" x="1865"/>
        <item h="1" m="1" x="3394"/>
        <item h="1" m="1" x="875"/>
        <item h="1" m="1" x="3208"/>
        <item h="1" m="1" x="4717"/>
        <item h="1" m="1" x="1583"/>
        <item h="1" m="1" x="1964"/>
        <item h="1" m="1" x="3719"/>
        <item h="1" m="1" x="1139"/>
        <item h="1" m="1" x="4645"/>
        <item h="1" m="1" x="3326"/>
        <item h="1" m="1" x="1101"/>
        <item h="1" m="1" x="3033"/>
        <item h="1" m="1" x="4549"/>
        <item h="1" m="1" x="51"/>
        <item h="1" m="1" x="645"/>
        <item h="1" m="1" x="150"/>
        <item h="1" m="1" x="379"/>
        <item h="1" m="1" x="963"/>
        <item h="1" m="1" x="4002"/>
        <item h="1" m="1" x="2466"/>
        <item h="1" m="1" x="4636"/>
        <item m="1" x="3261"/>
        <item h="1" m="1" x="311"/>
        <item h="1" m="1" x="1096"/>
        <item h="1" m="1" x="2699"/>
        <item h="1" m="1" x="1741"/>
        <item h="1" m="1" x="1664"/>
        <item h="1" m="1" x="2625"/>
        <item h="1" m="1" x="325"/>
        <item h="1" m="1" x="2175"/>
        <item h="1" m="1" x="3603"/>
        <item h="1" m="1" x="2462"/>
        <item h="1" m="1" x="2152"/>
        <item h="1" m="1" x="2909"/>
        <item h="1" m="1" x="4093"/>
        <item h="1" m="1" x="3171"/>
        <item h="1" m="1" x="4312"/>
        <item h="1" m="1" x="2565"/>
        <item h="1" m="1" x="1816"/>
        <item h="1" m="1" x="47"/>
        <item h="1" m="1" x="696"/>
        <item h="1" m="1" x="1289"/>
        <item h="1" m="1" x="2232"/>
        <item h="1" m="1" x="519"/>
        <item h="1" m="1" x="1204"/>
        <item h="1" m="1" x="3136"/>
        <item h="1" m="1" x="3520"/>
        <item h="1" m="1" x="3602"/>
        <item h="1" m="1" x="3340"/>
        <item h="1" m="1" x="1086"/>
        <item h="1" m="1" x="1078"/>
        <item m="1" x="1661"/>
        <item m="1" x="2134"/>
        <item m="1" x="1455"/>
        <item m="1" x="3749"/>
        <item m="1" x="3167"/>
        <item m="1" x="1331"/>
        <item m="1" x="2968"/>
        <item m="1" x="4082"/>
        <item m="1" x="2602"/>
        <item m="1" x="711"/>
        <item m="1" x="2927"/>
        <item h="1" m="1" x="3194"/>
        <item h="1" m="1" x="4086"/>
        <item h="1" m="1" x="1658"/>
        <item h="1" m="1" x="2278"/>
        <item h="1" m="1" x="2213"/>
        <item h="1" m="1" x="4191"/>
        <item h="1" m="1" x="2438"/>
        <item h="1" m="1" x="4011"/>
        <item h="1" m="1" x="1859"/>
        <item h="1" m="1" x="343"/>
        <item h="1" m="1" x="3815"/>
        <item h="1" m="1" x="2601"/>
        <item h="1" m="1" x="42"/>
        <item h="1" m="1" x="753"/>
        <item h="1" m="1" x="1843"/>
        <item h="1" m="1" x="660"/>
        <item h="1" m="1" x="1807"/>
        <item h="1" m="1" x="3677"/>
        <item h="1" m="1" x="1890"/>
        <item h="1" m="1" x="3939"/>
        <item h="1" m="1" x="1085"/>
        <item h="1" m="1" x="4213"/>
        <item h="1" m="1" x="405"/>
        <item h="1" m="1" x="1655"/>
        <item h="1" m="1" x="2187"/>
        <item h="1" m="1" x="2027"/>
        <item h="1" m="1" x="3873"/>
        <item h="1" m="1" x="1880"/>
        <item h="1" m="1" x="292"/>
        <item h="1" m="1" x="3498"/>
        <item h="1" m="1" x="3855"/>
        <item h="1" m="1" x="3768"/>
        <item h="1" m="1" x="2730"/>
        <item h="1" m="1" x="2347"/>
        <item h="1" m="1" x="1332"/>
        <item h="1" m="1" x="4354"/>
        <item h="1" m="1" x="4301"/>
        <item h="1" m="1" x="3485"/>
        <item h="1" m="1" x="3717"/>
        <item h="1" m="1" x="580"/>
        <item h="1" m="1" x="806"/>
        <item h="1" m="1" x="2902"/>
        <item h="1" m="1" x="789"/>
        <item h="1" m="1" x="746"/>
        <item h="1" m="1" x="4276"/>
        <item h="1" m="1" x="3548"/>
        <item h="1" m="1" x="3112"/>
        <item h="1" m="1" x="313"/>
        <item h="1" m="1" x="576"/>
        <item h="1" m="1" x="302"/>
        <item h="1" m="1" x="3459"/>
        <item h="1" m="1" x="920"/>
        <item h="1" m="1" x="4385"/>
        <item h="1" m="1" x="399"/>
        <item h="1" m="1" x="1848"/>
        <item h="1" m="1" x="1543"/>
        <item h="1" m="1" x="4442"/>
        <item h="1" m="1" x="3766"/>
        <item h="1" m="1" x="2179"/>
        <item h="1" m="1" x="1769"/>
        <item h="1" m="1" x="4204"/>
        <item h="1" m="1" x="4135"/>
        <item h="1" m="1" x="2492"/>
        <item h="1" m="1" x="3833"/>
        <item h="1" m="1" x="337"/>
        <item h="1" m="1" x="1072"/>
        <item h="1" m="1" x="4463"/>
        <item h="1" m="1" x="1198"/>
        <item h="1" m="1" x="2289"/>
        <item h="1" m="1" x="3756"/>
        <item h="1" m="1" x="4403"/>
        <item h="1" m="1" x="2611"/>
        <item h="1" m="1" x="3461"/>
        <item h="1" m="1" x="2"/>
        <item h="1" m="1" x="2926"/>
        <item h="1" m="1" x="3822"/>
        <item h="1" m="1" x="262"/>
        <item h="1" m="1" x="280"/>
        <item h="1" m="1" x="254"/>
        <item h="1" m="1" x="2445"/>
        <item h="1" m="1" x="572"/>
        <item h="1" m="1" x="349"/>
        <item h="1" m="1" x="4576"/>
        <item h="1" m="1" x="1068"/>
        <item h="1" m="1" x="4334"/>
        <item h="1" m="1" x="4681"/>
        <item h="1" m="1" x="2866"/>
        <item h="1" m="1" x="3247"/>
        <item h="1" m="1" x="760"/>
        <item h="1" m="1" x="4289"/>
        <item h="1" m="1" x="3801"/>
        <item h="1" m="1" x="2177"/>
        <item h="1" m="1" x="1821"/>
        <item h="1" m="1" x="4761"/>
        <item h="1" m="1" x="4264"/>
        <item h="1" m="1" x="79"/>
        <item h="1" m="1" x="440"/>
        <item h="1" m="1" x="2793"/>
        <item h="1" m="1" x="2710"/>
        <item h="1" m="1" x="691"/>
        <item h="1" m="1" x="3532"/>
        <item h="1" m="1" x="3747"/>
        <item h="1" m="1" x="1329"/>
        <item h="1" m="1" x="2849"/>
        <item h="1" m="1" x="848"/>
        <item h="1" m="1" x="3621"/>
        <item h="1" m="1" x="1034"/>
        <item h="1" m="1" x="1522"/>
        <item h="1" m="1" x="497"/>
        <item h="1" m="1" x="1720"/>
        <item h="1" m="1" x="565"/>
        <item h="1" m="1" x="4667"/>
        <item h="1" m="1" x="1492"/>
        <item h="1" m="1" x="1354"/>
        <item h="1" m="1" x="619"/>
        <item h="1" m="1" x="3556"/>
        <item h="1" m="1" x="1017"/>
        <item h="1" m="1" x="1452"/>
        <item h="1" m="1" x="266"/>
        <item h="1" m="1" x="3040"/>
        <item h="1" m="1" x="2165"/>
        <item h="1" m="1" x="1928"/>
        <item h="1" m="1" x="1698"/>
        <item h="1" m="1" x="4531"/>
        <item h="1" m="1" x="1258"/>
        <item h="1" m="1" x="1126"/>
        <item h="1" m="1" x="4028"/>
        <item h="1" m="1" x="454"/>
        <item h="1" m="1" x="1397"/>
        <item h="1" m="1" x="4275"/>
        <item h="1" m="1" x="3741"/>
        <item h="1" m="1" x="2408"/>
        <item h="1" m="1" x="2989"/>
        <item h="1" m="1" x="1721"/>
        <item h="1" m="1" x="1043"/>
        <item h="1" m="1" x="3963"/>
        <item h="1" m="1" x="4644"/>
        <item h="1" m="1" x="1876"/>
        <item h="1" m="1" x="3515"/>
        <item h="1" m="1" x="3666"/>
        <item h="1" m="1" x="1055"/>
        <item h="1" m="1" x="560"/>
        <item h="1" m="1" x="4730"/>
        <item h="1" m="1" x="2598"/>
        <item h="1" m="1" x="1461"/>
        <item h="1" m="1" x="1633"/>
        <item h="1" m="1" x="4234"/>
        <item h="1" m="1" x="4447"/>
        <item h="1" m="1" x="4101"/>
        <item h="1" m="1" x="1815"/>
        <item h="1" m="1" x="2761"/>
        <item h="1" m="1" x="3583"/>
        <item h="1" m="1" x="2945"/>
        <item h="1" m="1" x="3736"/>
        <item h="1" m="1" x="3362"/>
        <item h="1" m="1" x="2942"/>
        <item h="1" m="1" x="3098"/>
        <item h="1" m="1" x="2007"/>
        <item h="1" m="1" x="1780"/>
        <item h="1" m="1" x="3534"/>
        <item h="1" m="1" x="2207"/>
        <item h="1" m="1" x="1285"/>
        <item h="1" m="1" x="939"/>
        <item h="1" m="1" x="1916"/>
        <item h="1" m="1" x="554"/>
        <item h="1" m="1" x="27"/>
        <item h="1" m="1" x="3111"/>
        <item h="1" m="1" x="2145"/>
        <item h="1" m="1" x="2460"/>
        <item h="1" m="1" x="20"/>
        <item h="1" m="1" x="2980"/>
        <item h="1" m="1" x="2140"/>
        <item h="1" m="1" x="488"/>
        <item h="1" m="1" x="3920"/>
        <item h="1" m="1" x="2156"/>
        <item h="1" m="1" x="1466"/>
        <item h="1" m="1" x="3870"/>
        <item h="1" m="1" x="583"/>
        <item h="1" m="1" x="2889"/>
        <item h="1" m="1" x="4702"/>
        <item h="1" m="1" x="2966"/>
        <item h="1" m="1" x="2614"/>
        <item h="1" m="1" x="4492"/>
        <item h="1" m="1" x="4420"/>
        <item h="1" m="1" x="3733"/>
        <item h="1" m="1" x="4052"/>
        <item h="1" m="1" x="3810"/>
        <item h="1" m="1" x="1751"/>
        <item h="1" m="1" x="2434"/>
        <item h="1" m="1" x="2547"/>
        <item h="1" m="1" x="3734"/>
        <item h="1" m="1" x="282"/>
        <item h="1" m="1" x="1122"/>
        <item h="1" m="1" x="78"/>
        <item h="1" m="1" x="4240"/>
        <item h="1" m="1" x="2272"/>
        <item h="1" m="1" x="3272"/>
        <item h="1" m="1" x="1888"/>
        <item h="1" m="1" x="2963"/>
        <item h="1" m="1" x="1702"/>
        <item h="1" m="1" x="1119"/>
        <item h="1" m="1" x="4347"/>
        <item h="1" m="1" x="585"/>
        <item h="1" m="1" x="2406"/>
        <item h="1" m="1" x="707"/>
        <item h="1" m="1" x="743"/>
        <item h="1" m="1" x="3276"/>
        <item h="1" m="1" x="1274"/>
        <item h="1" m="1" x="1600"/>
        <item h="1" m="1" x="2687"/>
        <item h="1" m="1" x="1582"/>
        <item h="1" m="1" x="772"/>
        <item h="1" m="1" x="858"/>
        <item h="1" m="1" x="4032"/>
        <item h="1" m="1" x="181"/>
        <item h="1" m="1" x="3193"/>
        <item h="1" m="1" x="478"/>
        <item h="1" m="1" x="4739"/>
        <item h="1" m="1" x="4255"/>
        <item h="1" m="1" x="955"/>
        <item h="1" m="1" x="4065"/>
        <item h="1" m="1" x="1669"/>
        <item h="1" m="1" x="1147"/>
        <item h="1" m="1" x="4396"/>
        <item h="1" m="1" x="3696"/>
        <item h="1" m="1" x="4477"/>
        <item h="1" m="1" x="4310"/>
        <item h="1" m="1" x="1115"/>
        <item h="1" m="1" x="4412"/>
        <item h="1" m="1" x="1180"/>
        <item h="1" m="1" x="2542"/>
        <item h="1" m="1" x="4429"/>
        <item h="1" m="1" x="1065"/>
        <item h="1" m="1" x="4383"/>
        <item h="1" m="1" x="3725"/>
        <item h="1" m="1" x="930"/>
        <item h="1" m="1" x="2679"/>
        <item h="1" m="1" x="1080"/>
        <item h="1" m="1" x="1911"/>
        <item h="1" m="1" x="976"/>
        <item h="1" m="1" x="3903"/>
        <item h="1" m="1" x="3832"/>
        <item h="1" m="1" x="2946"/>
        <item h="1" m="1" x="4246"/>
        <item h="1" m="1" x="2632"/>
        <item h="1" m="1" x="4323"/>
        <item h="1" m="1" x="1834"/>
        <item h="1" m="1" x="2158"/>
        <item h="1" m="1" x="465"/>
        <item h="1" m="1" x="3569"/>
        <item h="1" m="1" x="1102"/>
        <item h="1" m="1" x="4511"/>
        <item h="1" m="1" x="3350"/>
        <item h="1" m="1" x="2779"/>
        <item h="1" m="1" x="791"/>
        <item h="1" m="1" x="1767"/>
        <item h="1" m="1" x="1621"/>
        <item h="1" m="1" x="4467"/>
        <item h="1" m="1" x="185"/>
        <item h="1" m="1" x="2671"/>
        <item h="1" m="1" x="1201"/>
        <item h="1" m="1" x="3531"/>
        <item h="1" m="1" x="1284"/>
        <item h="1" m="1" x="1609"/>
        <item h="1" m="1" x="3713"/>
        <item h="1" m="1" x="2661"/>
        <item h="1" m="1" x="736"/>
        <item h="1" m="1" x="431"/>
        <item h="1" m="1" x="1527"/>
        <item h="1" m="1" x="3545"/>
        <item h="1" m="1" x="4239"/>
        <item h="1" m="1" x="622"/>
        <item h="1" m="1" x="4719"/>
        <item h="1" m="1" x="2833"/>
        <item h="1" m="1" x="3529"/>
        <item h="1" m="1" x="2206"/>
        <item h="1" m="1" x="1081"/>
        <item h="1" m="1" x="4120"/>
        <item h="1" m="1" x="813"/>
        <item h="1" m="1" x="3160"/>
        <item h="1" m="1" x="2978"/>
        <item h="1" m="1" x="3560"/>
        <item h="1" m="1" x="1638"/>
        <item h="1" m="1" x="4176"/>
        <item h="1" m="1" x="1947"/>
        <item h="1" m="1" x="3316"/>
        <item h="1" m="1" x="3599"/>
        <item h="1" m="1" x="1886"/>
        <item h="1" m="1" x="1475"/>
        <item h="1" m="1" x="2905"/>
        <item h="1" m="1" x="13"/>
        <item h="1" m="1" x="2303"/>
        <item h="1" m="1" x="227"/>
        <item h="1" m="1" x="3983"/>
        <item h="1" m="1" x="4046"/>
        <item h="1" m="1" x="752"/>
        <item h="1" m="1" x="1419"/>
        <item h="1" m="1" x="1896"/>
        <item h="1" m="1" x="1463"/>
        <item h="1" m="1" x="2677"/>
        <item h="1" m="1" x="1205"/>
        <item h="1" m="1" x="1636"/>
        <item h="1" m="1" x="3688"/>
        <item h="1" m="1" x="3009"/>
        <item h="1" m="1" x="3438"/>
        <item h="1" m="1" x="4550"/>
        <item h="1" m="1" x="741"/>
        <item h="1" m="1" x="1118"/>
        <item h="1" m="1" x="2804"/>
        <item h="1" m="1" x="3161"/>
        <item h="1" m="1" x="899"/>
        <item h="1" m="1" x="3180"/>
        <item h="1" m="1" x="1943"/>
        <item h="1" m="1" x="4356"/>
        <item h="1" m="1" x="1157"/>
        <item h="1" m="1" x="179"/>
        <item h="1" m="1" x="1010"/>
        <item h="1" m="1" x="3"/>
        <item h="1" m="1" x="2382"/>
        <item h="1" m="1" x="4498"/>
        <item h="1" m="1" x="498"/>
        <item h="1" m="1" x="344"/>
        <item h="1" m="1" x="3328"/>
        <item h="1" m="1" x="3259"/>
        <item h="1" m="1" x="2093"/>
        <item h="1" m="1" x="2566"/>
        <item h="1" m="1" x="4326"/>
        <item h="1" m="1" x="164"/>
        <item h="1" m="1" x="3151"/>
        <item h="1" m="1" x="451"/>
        <item h="1" m="1" x="96"/>
        <item h="1" m="1" x="2190"/>
        <item h="1" m="1" x="1318"/>
        <item h="1" m="1" x="2706"/>
        <item h="1" m="1" x="3615"/>
        <item h="1" m="1" x="4755"/>
        <item h="1" m="1" x="1960"/>
        <item h="1" m="1" x="1420"/>
        <item h="1" m="1" x="764"/>
        <item h="1" m="1" x="2059"/>
        <item h="1" m="1" x="1031"/>
        <item h="1" m="1" x="2734"/>
        <item h="1" m="1" x="4185"/>
        <item h="1" m="1" x="1619"/>
        <item h="1" m="1" x="3345"/>
        <item h="1" m="1" x="1614"/>
        <item h="1" m="1" x="3977"/>
        <item h="1" m="1" x="462"/>
        <item h="1" m="1" x="2111"/>
        <item h="1" m="1" x="797"/>
        <item h="1" m="1" x="3140"/>
        <item h="1" m="1" x="557"/>
        <item h="1" m="1" x="1798"/>
        <item h="1" m="1" x="2459"/>
        <item h="1" m="1" x="2433"/>
        <item h="1" m="1" x="2042"/>
        <item h="1" m="1" x="4749"/>
        <item h="1" m="1" x="1980"/>
        <item h="1" m="1" x="901"/>
        <item h="1" m="1" x="2351"/>
        <item h="1" m="1" x="1962"/>
        <item h="1" m="1" x="3535"/>
        <item h="1" m="1" x="1615"/>
        <item h="1" m="1" x="3399"/>
        <item h="1" m="1" x="2695"/>
        <item h="1" m="1" x="4111"/>
        <item h="1" m="1" x="2781"/>
        <item h="1" m="1" x="1339"/>
        <item h="1" m="1" x="695"/>
        <item h="1" m="1" x="2136"/>
        <item h="1" m="1" x="3446"/>
        <item h="1" m="1" x="3227"/>
        <item h="1" m="1" x="4241"/>
        <item h="1" m="1" x="3635"/>
        <item h="1" m="1" x="500"/>
        <item h="1" m="1" x="56"/>
        <item h="1" m="1" x="3715"/>
        <item h="1" m="1" x="116"/>
        <item h="1" m="1" x="3417"/>
        <item h="1" m="1" x="2712"/>
        <item h="1" m="1" x="3551"/>
        <item h="1" m="1" x="4316"/>
        <item h="1" m="1" x="397"/>
        <item h="1" m="1" x="528"/>
        <item h="1" m="1" x="4157"/>
        <item h="1" m="1" x="1196"/>
        <item h="1" m="1" x="4543"/>
        <item h="1" m="1" x="2785"/>
        <item h="1" m="1" x="2132"/>
        <item h="1" m="1" x="3500"/>
        <item h="1" m="1" x="4338"/>
        <item h="1" m="1" x="166"/>
        <item h="1" m="1" x="3918"/>
        <item h="1" m="1" x="4460"/>
        <item h="1" m="1" x="4172"/>
        <item h="1" m="1" x="3707"/>
        <item h="1" m="1" x="172"/>
        <item h="1" m="1" x="4525"/>
        <item h="1" m="1" x="3377"/>
        <item h="1" m="1" x="4377"/>
        <item h="1" m="1" x="521"/>
        <item h="1" m="1" x="1074"/>
        <item h="1" m="1" x="2002"/>
        <item h="1" m="1" x="375"/>
        <item h="1" m="1" x="2925"/>
        <item h="1" m="1" x="2077"/>
        <item h="1" m="1" x="2120"/>
        <item h="1" m="1" x="3054"/>
        <item h="1" m="1" x="1282"/>
        <item h="1" m="1" x="419"/>
        <item h="1" m="1" x="855"/>
        <item h="1" m="1" x="2844"/>
        <item h="1" m="1" x="3418"/>
        <item h="1" m="1" x="3697"/>
        <item h="1" m="1" x="4495"/>
        <item h="1" m="1" x="1445"/>
        <item h="1" m="1" x="3654"/>
        <item h="1" m="1" x="2246"/>
        <item h="1" m="1" x="516"/>
        <item h="1" m="1" x="1736"/>
        <item h="1" m="1" x="1645"/>
        <item h="1" m="1" x="2114"/>
        <item h="1" m="1" x="1263"/>
        <item h="1" m="1" x="786"/>
        <item h="1" m="1" x="2155"/>
        <item h="1" m="1" x="1435"/>
        <item h="1" m="1" x="513"/>
        <item h="1" m="1" x="1235"/>
        <item h="1" m="1" x="2724"/>
        <item h="1" m="1" x="2255"/>
        <item h="1" m="1" x="1366"/>
        <item h="1" m="1" x="1353"/>
        <item h="1" m="1" x="2648"/>
        <item h="1" m="1" x="2736"/>
        <item h="1" m="1" x="4563"/>
        <item h="1" m="1" x="956"/>
        <item h="1" m="1" x="3091"/>
        <item h="1" m="1" x="1977"/>
        <item h="1" m="1" x="4222"/>
        <item h="1" m="1" x="4156"/>
        <item h="1" m="1" x="537"/>
        <item h="1" m="1" x="4178"/>
        <item h="1" m="1" x="376"/>
        <item h="1" m="1" x="4216"/>
        <item h="1" m="1" x="4257"/>
        <item h="1" m="1" x="2218"/>
        <item h="1" m="1" x="4445"/>
        <item h="1" m="1" x="4699"/>
        <item h="1" m="1" x="284"/>
        <item h="1" m="1" x="1052"/>
        <item h="1" m="1" x="2398"/>
        <item h="1" m="1" x="2886"/>
        <item h="1" m="1" x="400"/>
        <item h="1" m="1" x="265"/>
        <item h="1" m="1" x="3944"/>
        <item h="1" m="1" x="2635"/>
        <item h="1" m="1" x="2367"/>
        <item h="1" m="1" x="2584"/>
        <item h="1" m="1" x="1382"/>
        <item h="1" m="1" x="333"/>
        <item h="1" m="1" x="562"/>
        <item h="1" m="1" x="4208"/>
        <item h="1" m="1" x="4308"/>
        <item h="1" m="1" x="3301"/>
        <item h="1" m="1" x="4574"/>
        <item h="1" m="1" x="798"/>
        <item h="1" m="1" x="393"/>
        <item h="1" m="1" x="1046"/>
        <item h="1" m="1" x="3473"/>
        <item h="1" m="1" x="3022"/>
        <item h="1" m="1" x="475"/>
        <item h="1" m="1" x="3303"/>
        <item h="1" m="1" x="2628"/>
        <item h="1" m="1" x="2480"/>
        <item h="1" m="1" x="15"/>
        <item h="1" m="1" x="1651"/>
        <item h="1" m="1" x="177"/>
        <item h="1" m="1" x="1038"/>
        <item h="1" m="1" x="380"/>
        <item h="1" m="1" x="3292"/>
        <item h="1" m="1" x="289"/>
        <item h="1" m="1" x="2580"/>
        <item h="1" m="1" x="2618"/>
        <item h="1" m="1" x="2529"/>
        <item h="1" m="1" x="575"/>
        <item h="1" m="1" x="1786"/>
        <item h="1" m="1" x="2330"/>
        <item h="1" m="1" x="355"/>
        <item h="1" m="1" x="3930"/>
        <item h="1" m="1" x="3127"/>
        <item h="1" m="1" x="2039"/>
        <item h="1" m="1" x="1715"/>
        <item h="1" m="1" x="2143"/>
        <item h="1" m="1" x="3288"/>
        <item h="1" m="1" x="4726"/>
        <item h="1" m="1" x="3984"/>
        <item h="1" m="1" x="1894"/>
        <item h="1" m="1" x="3740"/>
        <item h="1" m="1" x="3606"/>
        <item h="1" m="1" x="75"/>
        <item h="1" m="1" x="1588"/>
        <item h="1" m="1" x="2070"/>
        <item h="1" m="1" x="581"/>
        <item h="1" m="1" x="136"/>
        <item h="1" m="1" x="3120"/>
        <item h="1" m="1" x="2088"/>
        <item h="1" m="1" x="2256"/>
        <item h="1" m="1" x="2209"/>
        <item h="1" m="1" x="3988"/>
        <item h="1" m="1" x="196"/>
        <item h="1" m="1" x="4723"/>
        <item h="1" m="1" x="3475"/>
        <item h="1" m="1" x="2964"/>
        <item h="1" m="1" x="3809"/>
        <item h="1" m="1" x="253"/>
        <item h="1" m="1" x="4718"/>
        <item h="1" m="1" x="3543"/>
        <item h="1" m="1" x="3518"/>
        <item h="1" m="1" x="3868"/>
        <item h="1" m="1" x="4738"/>
        <item h="1" m="1" x="1574"/>
        <item h="1" m="1" x="3721"/>
        <item h="1" m="1" x="716"/>
        <item h="1" m="1" x="3107"/>
        <item h="1" m="1" x="2189"/>
        <item h="1" m="1" x="4448"/>
        <item h="1" m="1" x="2345"/>
        <item h="1" m="1" x="350"/>
        <item h="1" m="1" x="1569"/>
        <item h="1" m="1" x="59"/>
        <item h="1" m="1" x="781"/>
        <item h="1" m="1" x="1565"/>
        <item h="1" m="1" x="304"/>
        <item h="1" m="1" x="1194"/>
        <item h="1" m="1" x="853"/>
        <item h="1" m="1" x="1617"/>
        <item h="1" m="1" x="3101"/>
        <item h="1" m="1" x="1770"/>
        <item h="1" m="1" x="1372"/>
        <item h="1" m="1" x="2483"/>
        <item h="1" m="1" x="1511"/>
        <item h="1" m="1" x="1556"/>
        <item h="1" m="1" x="1753"/>
        <item h="1" m="1" x="915"/>
        <item h="1" m="1" x="2444"/>
        <item h="1" m="1" x="3094"/>
        <item h="1" m="1" x="1866"/>
        <item h="1" m="1" x="3001"/>
        <item h="1" m="1" x="2605"/>
        <item h="1" m="1" x="3150"/>
        <item h="1" m="1" x="490"/>
        <item h="1" m="1" x="3257"/>
        <item h="1" m="1" x="3166"/>
        <item h="1" m="1" x="4200"/>
        <item h="1" m="1" x="2094"/>
        <item h="1" m="1" x="3374"/>
        <item h="1" m="1" x="1063"/>
        <item h="1" m="1" x="3557"/>
        <item h="1" m="1" x="3669"/>
        <item h="1" m="1" x="1374"/>
        <item h="1" m="1" x="4105"/>
        <item h="1" m="1" x="2660"/>
        <item h="1" m="1" x="484"/>
        <item h="1" m="1" x="3314"/>
        <item h="1" m="1" x="4285"/>
        <item h="1" m="1" x="4259"/>
        <item h="1" m="1" x="3926"/>
        <item h="1" m="1" x="481"/>
        <item h="1" m="1" x="2805"/>
        <item h="1" m="1" x="4321"/>
        <item h="1" m="1" x="2085"/>
        <item h="1" m="1" x="1207"/>
        <item h="1" m="1" x="4675"/>
        <item h="1" m="1" x="3662"/>
        <item h="1" m="1" x="1470"/>
        <item h="1" m="1" x="2778"/>
        <item h="1" m="1" x="480"/>
        <item h="1" m="1" x="2868"/>
        <item h="1" m="1" x="4408"/>
        <item h="1" m="1" x="296"/>
        <item h="1" m="1" x="2081"/>
        <item h="1" m="1" x="1283"/>
        <item h="1" m="1" x="2078"/>
        <item h="1" m="1" x="1345"/>
        <item h="1" m="1" x="1642"/>
        <item h="1" m="1" x="469"/>
        <item h="1" m="1" x="2979"/>
        <item h="1" m="1" x="4524"/>
        <item h="1" m="1" x="2019"/>
        <item h="1" m="1" x="2072"/>
        <item h="1" m="1" x="1402"/>
        <item h="1" m="1" x="3641"/>
        <item h="1" m="1" x="1083"/>
        <item h="1" m="1" x="2987"/>
        <item h="1" m="1" x="2384"/>
        <item h="1" m="1" x="3634"/>
        <item h="1" m="1" x="1152"/>
        <item h="1" m="1" x="3039"/>
        <item h="1" m="1" x="1005"/>
        <item h="1" m="1" x="2557"/>
        <item h="1" m="1" x="1783"/>
        <item h="1" m="1" x="4646"/>
        <item h="1" m="1" x="3097"/>
        <item h="1" m="1" x="2606"/>
        <item h="1" m="1" x="3080"/>
        <item h="1" m="1" x="1526"/>
        <item h="1" m="1" x="4175"/>
        <item h="1" m="1" x="624"/>
        <item h="1" m="1" x="3093"/>
        <item h="1" m="1" x="3494"/>
        <item h="1" m="1" x="2595"/>
        <item h="1" m="1" x="1222"/>
        <item h="1" m="1" x="1674"/>
        <item h="1" m="1" x="4165"/>
        <item h="1" m="1" x="738"/>
        <item h="1" m="1" x="2035"/>
        <item h="1" m="1" x="3242"/>
        <item h="1" m="1" x="408"/>
        <item h="1" m="1" x="991"/>
        <item h="1" m="1" x="2171"/>
        <item h="1" m="1" x="93"/>
        <item h="1" m="1" x="2592"/>
        <item h="1" m="1" x="4715"/>
        <item h="1" m="1" x="1744"/>
        <item h="1" m="1" x="804"/>
        <item h="1" m="1" x="2585"/>
        <item h="1" m="1" x="3480"/>
        <item h="1" m="1" x="1808"/>
        <item h="1" m="1" x="4158"/>
        <item h="1" m="1" x="273"/>
        <item h="1" m="1" x="85"/>
        <item h="1" m="1" x="3378"/>
        <item h="1" m="1" x="1580"/>
        <item h="1" m="1" x="977"/>
        <item h="1" m="1" x="2277"/>
        <item h="1" m="1" x="1464"/>
        <item h="1" m="1" x="226"/>
        <item h="1" m="1" x="2582"/>
        <item h="1" m="1" x="1868"/>
        <item h="1" m="1" x="1971"/>
        <item h="1" m="1" x="4150"/>
        <item h="1" m="1" x="332"/>
        <item h="1" m="1" x="3619"/>
        <item h="1" m="1" x="3437"/>
        <item h="1" m="1" x="4148"/>
        <item h="1" m="1" x="388"/>
        <item h="1" m="1" x="2922"/>
        <item h="1" m="1" x="3504"/>
        <item h="1" m="1" x="2705"/>
        <item h="1" m="1" x="967"/>
        <item h="1" m="1" x="1852"/>
        <item h="1" m="1" x="3758"/>
        <item h="1" m="1" x="352"/>
        <item h="1" m="1" x="3077"/>
        <item h="1" m="1" x="340"/>
        <item h="1" m="1" x="2005"/>
        <item h="1" m="1" x="3057"/>
        <item h="1" m="1" x="4673"/>
        <item h="1" m="1" x="452"/>
        <item h="1" m="1" x="1746"/>
        <item h="1" m="1" x="3577"/>
        <item h="1" m="1" x="1528"/>
        <item h="1" m="1" x="1910"/>
        <item h="1" m="1" x="3053"/>
        <item h="1" m="1" x="423"/>
        <item h="1" m="1" x="3436"/>
        <item h="1" m="1" x="3071"/>
        <item h="1" m="1" x="3169"/>
        <item h="1" m="1" x="2117"/>
        <item h="1" m="1" x="4744"/>
        <item h="1" m="1" x="4665"/>
        <item h="1" m="1" x="7"/>
        <item h="1" m="1" x="4555"/>
        <item h="1" m="1" x="3722"/>
        <item h="1" m="1" x="1519"/>
        <item h="1" m="1" x="1449"/>
        <item h="1" m="1" x="563"/>
        <item h="1" m="1" x="3064"/>
        <item h="1" m="1" x="2898"/>
        <item h="1" m="1" x="1322"/>
        <item h="1" m="1" x="2775"/>
        <item h="1" m="1" x="4654"/>
        <item h="1" m="1" x="118"/>
        <item h="1" m="1" x="2105"/>
        <item h="1" m="1" x="4404"/>
        <item h="1" m="1" x="1509"/>
        <item h="1" m="1" x="1563"/>
        <item h="1" m="1" x="3443"/>
        <item h="1" m="1" x="1278"/>
        <item h="1" m="1" x="3062"/>
        <item h="1" m="1" x="53"/>
        <item h="1" m="1" x="2838"/>
        <item h="1" m="1" x="4394"/>
        <item h="1" m="1" x="4461"/>
        <item h="1" m="1" x="1127"/>
        <item h="1" m="1" x="1559"/>
        <item h="1" m="1" x="1398"/>
        <item h="1" m="1" x="2885"/>
        <item h="1" m="1" x="2981"/>
        <item h="1" m="1" x="4497"/>
        <item h="1" m="1" x="4587"/>
        <item h="1" m="1" x="1189"/>
        <item h="1" m="1" x="295"/>
        <item h="1" m="1" x="1451"/>
        <item h="1" m="1" x="1236"/>
        <item h="1" m="1" x="3845"/>
        <item h="1" m="1" x="1520"/>
        <item h="1" m="1" x="430"/>
        <item h="1" m="1" x="3090"/>
        <item h="1" m="1" x="4045"/>
        <item h="1" m="1" x="1832"/>
        <item h="1" m="1" x="4712"/>
        <item h="1" m="1" x="4507"/>
        <item h="1" m="1" x="1298"/>
        <item h="1" m="1" x="3132"/>
        <item h="1" m="1" x="1601"/>
        <item h="1" m="1" x="3404"/>
        <item h="1" m="1" x="4514"/>
        <item h="1" m="1" x="3154"/>
        <item h="1" m="1" x="2739"/>
        <item h="1" m="1" x="3277"/>
        <item h="1" m="1" x="3237"/>
        <item h="1" m="1" x="3780"/>
        <item h="1" m="1" x="4159"/>
        <item h="1" m="1" x="4624"/>
        <item h="1" m="1" x="89"/>
        <item h="1" m="1" x="2681"/>
        <item h="1" m="1" x="828"/>
        <item h="1" m="1" x="694"/>
        <item h="1" m="1" x="1740"/>
        <item h="1" m="1" x="3310"/>
        <item h="1" m="1" x="479"/>
        <item h="1" m="1" x="4212"/>
        <item h="1" m="1" x="3409"/>
        <item h="1" m="1" x="161"/>
        <item h="1" m="1" x="4136"/>
        <item h="1" m="1" x="3727"/>
        <item h="1" m="1" x="2198"/>
        <item h="1" m="1" x="221"/>
        <item h="1" m="1" x="138"/>
        <item h="1" m="1" x="3433"/>
        <item h="1" m="1" x="3947"/>
        <item h="1" m="1" x="3779"/>
        <item h="1" m="1" x="1510"/>
        <item h="1" m="1" x="278"/>
        <item h="1" m="1" x="2841"/>
        <item h="1" m="1" x="424"/>
        <item h="1" m="1" x="2333"/>
        <item h="1" m="1" x="1937"/>
        <item h="1" m="1" x="1789"/>
        <item h="1" m="1" x="487"/>
        <item h="1" m="1" x="1656"/>
        <item h="1" m="1" x="1998"/>
        <item h="1" m="1" x="3203"/>
        <item h="1" m="1" x="2985"/>
        <item h="1" m="1" x="3572"/>
        <item h="1" m="1" x="2139"/>
        <item h="1" m="1" x="3877"/>
        <item h="1" m="1" x="3804"/>
        <item h="1" m="1" x="416"/>
        <item h="1" m="1" x="1039"/>
        <item h="1" m="1" x="1788"/>
        <item h="1" m="1" x="3651"/>
        <item h="1" m="1" x="4133"/>
        <item h="1" m="1" x="522"/>
        <item h="1" m="1" x="3720"/>
        <item h="1" m="1" x="3424"/>
        <item h="1" m="1" x="1919"/>
        <item h="1" m="1" x="559"/>
        <item h="1" m="1" x="4506"/>
        <item h="1" m="1" x="94"/>
        <item h="1" m="1" x="3231"/>
        <item h="1" m="1" x="2183"/>
        <item h="1" m="1" x="203"/>
        <item h="1" m="1" x="2320"/>
        <item h="1" m="1" x="1599"/>
        <item h="1" m="1" x="218"/>
        <item h="1" m="1" x="4038"/>
        <item h="1" m="1" x="3943"/>
        <item h="1" m="1" x="4577"/>
        <item h="1" m="1" x="2520"/>
        <item h="1" m="1" x="1785"/>
        <item h="1" m="1" x="2807"/>
        <item h="1" m="1" x="2001"/>
        <item h="1" m="1" x="1190"/>
        <item h="1" m="1" x="4140"/>
        <item h="1" m="1" x="4376"/>
        <item h="1" m="1" x="2319"/>
        <item h="1" m="1" x="4292"/>
        <item h="1" m="1" x="2109"/>
        <item h="1" m="1" x="2812"/>
        <item h="1" m="1" x="4350"/>
        <item h="1" m="1" x="874"/>
        <item h="1" m="1" x="2884"/>
        <item h="1" m="1" x="2126"/>
        <item h="1" m="1" x="1024"/>
        <item h="1" m="1" x="2250"/>
        <item h="1" m="1" x="4508"/>
        <item h="1" m="1" x="1028"/>
        <item h="1" m="1" x="2559"/>
        <item h="1" m="1" x="1705"/>
        <item h="1" m="1" x="1499"/>
        <item h="1" m="1" x="2834"/>
        <item h="1" m="1" x="626"/>
        <item h="1" m="1" x="4687"/>
        <item h="1" m="1" x="654"/>
        <item h="1" m="1" x="2630"/>
        <item h="1" m="1" x="5"/>
        <item h="1" m="1" x="2112"/>
        <item h="1" m="1" x="3968"/>
        <item h="1" m="1" x="1650"/>
        <item h="1" m="1" x="1591"/>
        <item h="1" m="1" x="2173"/>
        <item h="1" m="1" x="1722"/>
        <item h="1" m="1" x="3020"/>
        <item h="1" m="1" x="3630"/>
        <item h="1" m="1" x="3412"/>
        <item h="1" m="1" x="3355"/>
        <item m="1" x="950"/>
        <item h="1" m="1" x="1925"/>
        <item h="1" m="1" x="4297"/>
        <item h="1" m="1" x="2044"/>
        <item h="1" m="1" x="1251"/>
        <item h="1" m="1" x="4122"/>
        <item h="1" m="1" x="4311"/>
        <item h="1" m="1" x="1379"/>
        <item h="1" m="1" x="2291"/>
        <item h="1" m="1" x="4567"/>
        <item h="1" m="1" x="2665"/>
        <item h="1" m="1" x="72"/>
        <item h="1" m="1" x="4016"/>
        <item h="1" m="1" x="1718"/>
        <item h="1" m="1" x="1216"/>
        <item h="1" m="1" x="2116"/>
        <item h="1" m="1" x="1846"/>
        <item h="1" m="1" x="2903"/>
        <item h="1" m="1" x="3413"/>
        <item h="1" m="1" x="3015"/>
        <item h="1" m="1" x="880"/>
        <item h="1" m="1" x="1913"/>
        <item h="1" m="1" x="830"/>
        <item h="1" m="1" x="1004"/>
        <item h="1" m="1" x="3554"/>
        <item h="1" m="1" x="1169"/>
        <item h="1" m="1" x="472"/>
        <item h="1" m="1" x="1300"/>
        <item h="1" m="1" x="2161"/>
        <item h="1" m="1" x="2633"/>
        <item h="1" m="1" x="3761"/>
        <item h="1" m="1" x="3000"/>
        <item h="1" m="1" x="4015"/>
        <item h="1" m="1" x="4365"/>
        <item h="1" m="1" x="873"/>
        <item h="1" m="1" x="958"/>
        <item h="1" m="1" x="2500"/>
        <item h="1" m="1" x="4083"/>
        <item h="1" m="1" x="3683"/>
        <item h="1" m="1" x="934"/>
        <item h="1" m="1" x="4499"/>
        <item h="1" m="1" x="2556"/>
        <item h="1" m="1" x="3816"/>
        <item h="1" m="1" x="2617"/>
        <item h="1" m="1" x="4609"/>
        <item h="1" m="1" x="4220"/>
        <item h="1" m="1" x="1254"/>
        <item h="1" m="1" x="1082"/>
        <item h="1" m="1" x="2593"/>
        <item h="1" m="1" x="2682"/>
        <item h="1" m="1" x="2716"/>
        <item h="1" m="1" x="4344"/>
        <item h="1" m="1" x="197"/>
        <item h="1" m="1" x="1225"/>
        <item h="1" m="1" x="4303"/>
        <item h="1" m="1" x="2794"/>
        <item h="1" m="1" x="3089"/>
        <item h="1" m="1" x="4430"/>
        <item h="1" m="1" x="4716"/>
        <item h="1" m="1" x="1361"/>
        <item h="1" m="1" x="4073"/>
        <item h="1" m="1" x="2924"/>
        <item h="1" m="1" x="3415"/>
        <item h="1" m="1" x="4548"/>
        <item h="1" m="1" x="2763"/>
        <item h="1" m="1" x="1423"/>
        <item h="1" m="1" x="4395"/>
        <item h="1" m="1" x="3613"/>
        <item h="1" m="1" x="1924"/>
        <item h="1" m="1" x="3689"/>
        <item h="1" m="1" x="3491"/>
        <item h="1" m="1" x="599"/>
        <item h="1" m="1" x="2837"/>
        <item h="1" m="1" x="2229"/>
        <item h="1" m="1" x="2214"/>
        <item h="1" m="1" x="3826"/>
        <item h="1" m="1" x="1003"/>
        <item h="1" m="1" x="669"/>
        <item h="1" m="1" x="3820"/>
        <item h="1" m="1" x="735"/>
        <item h="1" m="1" x="2629"/>
        <item h="1" m="1" x="2358"/>
        <item h="1" m="1" x="1991"/>
        <item h="1" m="1" x="3940"/>
        <item h="1" m="1" x="1349"/>
        <item h="1" m="1" x="802"/>
        <item h="1" m="1" x="665"/>
        <item h="1" m="1" x="2420"/>
        <item h="1" m="1" x="2911"/>
        <item h="1" m="1" x="2497"/>
        <item h="1" m="1" x="2290"/>
        <item h="1" m="1" x="4079"/>
        <item h="1" m="1" x="1100"/>
        <item h="1" m="1" x="931"/>
        <item h="1" m="1" x="414"/>
        <item h="1" m="1" x="2551"/>
        <item h="1" m="1" x="4534"/>
        <item h="1" m="1" x="4146"/>
        <item h="1" m="1" x="2061"/>
        <item h="1" m="1" x="4217"/>
        <item h="1" m="1" x="1415"/>
        <item h="1" m="1" x="1076"/>
        <item h="1" m="1" x="742"/>
        <item h="1" m="1" x="2674"/>
        <item h="1" m="1" x="80"/>
        <item h="1" m="1" x="4272"/>
        <item h="1" m="1" x="3660"/>
        <item h="1" m="1" x="1164"/>
        <item h="1" m="1" x="502"/>
        <item h="1" m="1" x="2791"/>
        <item h="1" m="1" x="4601"/>
        <item h="1" m="1" x="4428"/>
        <item h="1" m="1" x="3954"/>
        <item h="1" m="1" x="1301"/>
        <item h="1" m="1" x="3306"/>
        <item h="1" m="1" x="2861"/>
        <item h="1" m="1" x="818"/>
        <item h="1" m="1" x="2919"/>
        <item h="1" m="1" x="162"/>
        <item h="1" m="1" x="4545"/>
        <item h="1" m="1" x="3060"/>
        <item h="1" m="1" x="2997"/>
        <item h="1" m="1" x="2447"/>
        <item h="1" m="1" x="4599"/>
        <item h="1" m="1" x="4671"/>
        <item h="1" m="1" x="4658"/>
        <item h="1" m="1" x="4034"/>
        <item h="1" m="1" x="1545"/>
        <item h="1" m="1" x="2735"/>
        <item h="1" m="1" x="4735"/>
        <item h="1" m="1" x="1558"/>
        <item h="1" m="1" x="1629"/>
        <item h="1" m="1" x="4341"/>
        <item h="1" m="1" x="1694"/>
        <item h="1" m="1" x="3128"/>
        <item h="1" m="1" x="3265"/>
        <item h="1" m="1" x="2522"/>
        <item h="1" m="1" x="110"/>
        <item h="1" m="1" x="1875"/>
        <item h="1" m="1" x="1761"/>
        <item h="1" m="1" x="1227"/>
        <item h="1" m="1" x="3327"/>
        <item h="1" m="1" x="3395"/>
        <item h="1" m="1" x="2799"/>
        <item h="1" m="1" x="235"/>
        <item h="1" m="1" x="1643"/>
        <item h="1" m="1" x="1884"/>
        <item h="1" m="1" x="959"/>
        <item h="1" m="1" x="3453"/>
        <item h="1" m="1" x="305"/>
        <item h="1" m="1" x="308"/>
        <item h="1" m="1" x="2588"/>
        <item h="1" m="1" x="367"/>
        <item h="1" m="1" x="1957"/>
        <item h="1" m="1" x="2018"/>
        <item h="1" m="1" x="1309"/>
        <item h="1" m="1" x="3594"/>
        <item h="1" m="1" x="621"/>
        <item h="1" m="1" x="444"/>
        <item h="1" m="1" x="4192"/>
        <item h="1" m="1" x="2074"/>
        <item h="1" m="1" x="1056"/>
        <item h="1" m="1" x="3735"/>
        <item h="1" m="1" x="377"/>
        <item h="1" m="1" x="578"/>
        <item h="1" m="1" x="4503"/>
        <item h="1" m="1" x="2203"/>
        <item h="1" m="1" x="3850"/>
        <item h="1" m="1" x="3802"/>
        <item h="1" m="1" x="1377"/>
        <item h="1" m="1" x="3864"/>
        <item h="1" m="1" x="698"/>
        <item h="1" m="1" x="712"/>
        <item h="1" m="1" x="4256"/>
        <item h="1" m="1" x="2341"/>
        <item h="1" m="1" x="3919"/>
        <item h="1" m="1" x="2952"/>
        <item h="1" m="1" x="777"/>
        <item h="1" m="1" x="463"/>
        <item h="1" m="1" x="849"/>
        <item h="1" m="1" x="4571"/>
        <item h="1" m="1" x="3911"/>
        <item h="1" m="1" x="4058"/>
        <item h="1" m="1" x="3029"/>
        <item h="1" m="1" x="1623"/>
        <item h="1" m="1" x="2396"/>
        <item h="1" m="1" x="3173"/>
        <item h="1" m="1" x="1772"/>
        <item h="1" m="1" x="46"/>
        <item h="1" m="1" x="3998"/>
        <item h="1" m="1" x="105"/>
        <item h="1" m="1" x="3341"/>
        <item h="1" m="1" x="1757"/>
        <item h="1" m="1" x="2166"/>
        <item h="1" m="1" x="3322"/>
        <item h="1" m="1" x="1516"/>
        <item h="1" m="1" x="175"/>
        <item h="1" m="1" x="856"/>
        <item h="1" m="1" x="1822"/>
        <item h="1" m="1" x="3086"/>
        <item h="1" m="1" x="1881"/>
        <item h="1" m="1" x="2490"/>
        <item h="1" m="1" x="3452"/>
        <item h="1" m="1" x="1840"/>
        <item h="1" m="1" x="301"/>
        <item h="1" m="1" x="613"/>
        <item h="1" m="1" x="1950"/>
        <item h="1" m="1" x="4713"/>
        <item h="1" m="1" x="3519"/>
        <item h="1" m="1" x="4070"/>
        <item h="1" m="1" x="360"/>
        <item h="1" m="1" x="2247"/>
        <item h="1" m="1" x="3589"/>
        <item h="1" m="1" x="437"/>
        <item h="1" m="1" x="927"/>
        <item h="1" m="1" x="2069"/>
        <item h="1" m="1" x="257"/>
        <item h="1" m="1" x="3668"/>
        <item h="1" m="1" x="4391"/>
        <item h="1" m="1" x="509"/>
        <item h="1" m="1" x="1920"/>
        <item h="1" m="1" x="574"/>
        <item h="1" m="1" x="1273"/>
        <item h="1" m="1" x="2200"/>
        <item h="1" m="1" x="40"/>
        <item h="1" m="1" x="3796"/>
        <item h="1" m="1" x="4147"/>
        <item h="1" m="1" x="640"/>
        <item h="1" m="1" x="3486"/>
        <item h="1" m="1" x="2264"/>
        <item h="1" m="1" x="1001"/>
        <item h="1" m="1" x="2339"/>
        <item h="1" m="1" x="339"/>
        <item h="1" m="1" x="3916"/>
        <item h="1" m="1" x="773"/>
        <item h="1" m="1" x="3258"/>
        <item h="1" m="1" x="2392"/>
        <item h="1" m="1" x="2626"/>
        <item h="1" m="1" x="3991"/>
        <item h="1" m="1" x="4226"/>
        <item h="1" m="1" x="907"/>
        <item h="1" m="1" x="3564"/>
        <item h="1" m="1" x="2537"/>
        <item h="1" m="1" x="2908"/>
        <item h="1" m="1" x="4123"/>
        <item h="1" m="1" x="1763"/>
        <item h="1" m="1" x="964"/>
        <item h="1" m="1" x="1095"/>
        <item h="1" m="1" x="2596"/>
        <item h="1" m="1" x="1058"/>
        <item h="1" m="1" x="3880"/>
        <item h="1" m="1" x="2653"/>
        <item h="1" m="1" x="2701"/>
        <item h="1" m="1" x="4251"/>
        <item h="1" m="1" x="2058"/>
        <item h="1" m="1" x="1132"/>
        <item h="1" m="1" x="1410"/>
        <item h="1" m="1" x="2721"/>
        <item h="1" m="1" x="3658"/>
        <item h="1" m="1" x="2771"/>
        <item h="1" m="1" x="2994"/>
        <item h="1" m="1" x="4400"/>
        <item h="1" m="1" x="2365"/>
        <item h="1" m="1" x="1275"/>
        <item h="1" m="1" x="1188"/>
        <item h="1" m="1" x="2832"/>
        <item h="1" m="1" x="501"/>
        <item h="1" m="1" x="4455"/>
        <item h="1" m="1" x="2123"/>
        <item h="1" m="1" x="1395"/>
        <item h="1" m="1" x="1477"/>
        <item h="1" m="1" x="2973"/>
        <item h="1" m="1" x="814"/>
        <item h="1" m="1" x="4582"/>
        <item h="1" m="1" x="4378"/>
        <item h="1" m="1" x="1450"/>
        <item h="1" m="1" x="1804"/>
        <item h="1" m="1" x="3085"/>
        <item h="1" m="1" x="573"/>
        <item h="1" m="1" x="4705"/>
        <item h="1" m="1" x="1598"/>
        <item h="1" m="1" x="4027"/>
        <item h="1" m="1" x="3149"/>
        <item h="1" m="1" x="1554"/>
        <item h="1" m="1" x="892"/>
        <item h="1" m="1" x="1973"/>
        <item h="1" m="1" x="228"/>
        <item h="1" m="1" x="81"/>
        <item h="1" m="1" x="3807"/>
        <item h="1" m="1" x="3550"/>
        <item h="1" m="1" x="3122"/>
        <item h="1" m="1" x="1737"/>
        <item h="1" m="1" x="652"/>
        <item h="1" m="1" x="2033"/>
        <item h="1" m="1" x="4104"/>
        <item h="1" m="1" x="3612"/>
        <item h="1" m="1" x="3447"/>
        <item h="1" m="1" x="1800"/>
        <item h="1" m="1" x="2279"/>
        <item h="1" m="1" x="464"/>
        <item h="1" m="1" x="299"/>
        <item h="1" m="1" x="217"/>
        <item h="1" m="1" x="3205"/>
        <item h="1" m="1" x="1862"/>
        <item h="1" m="1" x="1955"/>
        <item h="1" m="1" x="3429"/>
        <item h="1" m="1" x="4188"/>
        <item h="1" m="1" x="3755"/>
        <item h="1" m="1" x="3526"/>
        <item h="1" m="1" x="1935"/>
        <item h="1" m="1" x="2871"/>
        <item h="1" m="1" x="596"/>
        <item h="1" m="1" x="1050"/>
        <item h="1" m="1" x="2225"/>
        <item h="1" m="1" x="3296"/>
        <item h="1" m="1" x="1993"/>
        <item h="1" m="1" x="2654"/>
        <item h="1" m="1" x="666"/>
        <item h="1" m="1" x="2025"/>
        <item h="1" m="1" x="3567"/>
        <item h="1" m="1" x="1375"/>
        <item h="1" m="1" x="2288"/>
        <item h="1" m="1" x="410"/>
        <item h="1" m="1" x="2948"/>
        <item h="1" m="1" x="732"/>
        <item h="1" m="1" x="1795"/>
        <item h="1" m="1" x="3644"/>
        <item h="1" m="1" x="1142"/>
        <item h="1" m="1" x="2354"/>
        <item h="1" m="1" x="459"/>
        <item h="1" m="1" x="489"/>
        <item h="1" m="1" x="534"/>
        <item h="1" m="1" x="620"/>
        <item h="1" m="1" x="4629"/>
        <item h="1" m="1" x="4075"/>
        <item h="1" m="1" x="3995"/>
        <item h="1" m="1" x="2764"/>
        <item h="1" m="1" x="2787"/>
        <item h="1" m="1" x="929"/>
        <item h="1" m="1" x="1272"/>
        <item h="1" m="1" x="4424"/>
        <item h="1" m="1" x="4145"/>
        <item h="1" m="1" x="3770"/>
        <item h="1" m="1" x="2825"/>
        <item h="1" m="1" x="3082"/>
        <item h="1" m="1" x="994"/>
        <item h="1" m="1" x="2485"/>
        <item h="1" m="1" x="4453"/>
        <item h="1" m="1" x="4708"/>
        <item h="1" m="1" x="4215"/>
        <item h="1" m="1" x="2896"/>
        <item h="1" m="1" x="2865"/>
        <item h="1" m="1" x="1075"/>
        <item h="1" m="1" x="2245"/>
        <item h="1" m="1" x="4517"/>
        <item h="1" m="1" x="1602"/>
        <item h="1" m="1" x="2672"/>
        <item h="1" m="1" x="3841"/>
        <item h="1" m="1" x="2969"/>
        <item h="1" m="1" x="3157"/>
        <item h="1" m="1" x="1160"/>
        <item h="1" m="1" x="2548"/>
        <item h="1" m="1" x="4581"/>
        <item h="1" m="1" x="1918"/>
        <item h="1" m="1" x="2738"/>
        <item h="1" m="1" x="689"/>
        <item h="1" m="1" x="1448"/>
        <item h="1" m="1" x="3481"/>
        <item h="1" m="1" x="1219"/>
        <item h="1" m="1" x="2317"/>
        <item h="1" m="1" x="4634"/>
        <item h="1" m="1" x="1686"/>
        <item h="1" m="1" x="2789"/>
        <item h="1" m="1" x="1513"/>
        <item h="1" m="1" x="334"/>
        <item h="1" m="1" x="4423"/>
        <item h="1" m="1" x="2619"/>
        <item h="1" m="1" x="4701"/>
        <item h="1" m="1" x="1983"/>
        <item h="1" m="1" x="2858"/>
        <item h="1" m="1" x="763"/>
        <item h="1" m="1" x="1594"/>
        <item h="1" m="1" x="106"/>
        <item h="1" m="1" x="4478"/>
        <item h="1" m="1" x="4223"/>
        <item h="1" m="1" x="3147"/>
        <item h="1" m="1" x="1759"/>
        <item h="1" m="1" x="2918"/>
        <item h="1" m="1" x="1663"/>
        <item h="1" m="1" x="407"/>
        <item h="1" m="1" x="4541"/>
        <item h="1" m="1" x="4527"/>
        <item h="1" m="1" x="3226"/>
        <item h="1" m="1" x="1730"/>
        <item h="1" m="1" x="184"/>
        <item h="1" m="1" x="4597"/>
        <item h="1" m="1" x="4287"/>
        <item h="1" m="1" x="3302"/>
        <item h="1" m="1" x="3652"/>
        <item h="1" m="1" x="1474"/>
        <item h="1" m="1" x="2991"/>
        <item h="1" m="1" x="155"/>
        <item h="1" m="1" x="496"/>
        <item h="1" m="1" x="4656"/>
        <item h="1" m="1" x="4596"/>
        <item h="1" m="1" x="3369"/>
        <item h="1" m="1" x="3408"/>
        <item h="1" m="1" x="1542"/>
        <item h="1" m="1" x="2756"/>
        <item h="1" m="1" x="215"/>
        <item h="1" m="1" x="2121"/>
        <item h="1" m="1" x="3105"/>
        <item h="1" m="1" x="4375"/>
        <item h="1" m="1" x="3425"/>
        <item h="1" m="1" x="3729"/>
        <item h="1" m="1" x="1624"/>
        <item h="1" m="1" x="3056"/>
        <item h="1" m="1" x="268"/>
        <item h="1" m="1" x="2441"/>
        <item h="1" m="1" x="3175"/>
        <item h="1" m="1" x="1932"/>
        <item h="1" m="1" x="2817"/>
        <item h="1" m="1" x="342"/>
        <item h="1" m="1" x="2201"/>
        <item h="1" m="1" x="3260"/>
        <item h="1" m="1" x="1552"/>
        <item h="1" m="1" x="1988"/>
        <item h="1" m="1" x="889"/>
        <item h="1" m="1" x="108"/>
        <item h="1" m="1" x="3119"/>
        <item h="1" m="1" x="404"/>
        <item h="1" m="1" x="2516"/>
        <item h="1" m="1" x="3325"/>
        <item h="1" m="1" x="2050"/>
        <item h="1" m="1" x="651"/>
        <item h="1" m="1" x="178"/>
        <item h="1" m="1" x="4752"/>
        <item h="1" m="1" x="3639"/>
        <item h="1" m="1" x="2273"/>
        <item h="1" m="1" x="3393"/>
        <item h="1" m="1" x="1639"/>
        <item h="1" m="1" x="2104"/>
        <item h="1" m="1" x="954"/>
        <item h="1" m="1" x="234"/>
        <item h="1" m="1" x="4521"/>
        <item h="1" m="1" x="3709"/>
        <item h="1" m="1" x="1047"/>
        <item h="1" m="1" x="363"/>
        <item h="1" m="1" x="370"/>
        <item h="1" m="1" x="3842"/>
        <item h="1" m="1" x="2016"/>
        <item h="1" m="1" x="3291"/>
        <item h="1" m="1" x="686"/>
        <item h="1" m="1" x="2427"/>
        <item h="1" m="1" x="4207"/>
        <item h="1" m="1" x="1792"/>
        <item h="1" m="1" x="2377"/>
        <item h="1" m="1" x="3367"/>
        <item h="1" m="1" x="822"/>
        <item h="1" m="1" x="2725"/>
        <item h="1" m="1" x="4267"/>
        <item h="1" m="1" x="2448"/>
        <item h="1" m="1" x="1437"/>
        <item h="1" m="1" x="1156"/>
        <item h="1" m="1" x="3687"/>
        <item h="1" m="1" x="888"/>
        <item h="1" m="1" x="3021"/>
        <item h="1" m="1" x="4332"/>
        <item h="1" m="1" x="1863"/>
        <item h="1" m="1" x="2511"/>
        <item h="1" m="1" x="1210"/>
        <item h="1" m="1" x="1214"/>
        <item h="1" m="1" x="529"/>
        <item h="1" m="1" x="4099"/>
        <item h="1" m="1" x="4625"/>
        <item h="1" m="1" x="2784"/>
        <item h="1" m="1" x="2783"/>
        <item h="1" m="1" x="4419"/>
        <item h="1" m="1" x="2574"/>
        <item h="1" m="1" x="1506"/>
        <item h="1" m="1" x="1288"/>
        <item h="1" m="1" x="283"/>
        <item h="1" m="1" x="4168"/>
        <item h="1" m="1" x="4422"/>
        <item h="1" m="1" x="2853"/>
        <item h="1" m="1" x="1944"/>
        <item h="1" m="1" x="2636"/>
        <item h="1" m="1" x="1296"/>
        <item h="1" m="1" x="1357"/>
        <item h="1" m="1" x="608"/>
        <item h="1" m="1" x="4235"/>
        <item h="1" m="1" x="4703"/>
        <item h="1" m="1" x="2916"/>
        <item h="1" m="1" x="3510"/>
        <item h="1" m="1" x="1105"/>
        <item h="1" m="1" x="919"/>
        <item h="1" m="1" x="4294"/>
        <item h="1" m="1" x="4485"/>
        <item h="1" m="1" x="2992"/>
        <item h="1" m="1" x="3839"/>
        <item h="1" m="1" x="1182"/>
        <item h="1" m="1" x="3155"/>
        <item h="1" m="1" x="4594"/>
        <item h="1" m="1" x="687"/>
        <item h="1" m="1" x="4367"/>
        <item h="1" m="1" x="33"/>
        <item h="1" m="1" x="3046"/>
        <item h="1" m="1" x="4141"/>
        <item h="1" m="1" x="1245"/>
        <item h="1" m="1" x="2934"/>
        <item h="1" m="1" x="4652"/>
        <item h="1" m="1" x="2806"/>
        <item h="1" m="1" x="4557"/>
        <item h="1" m="1" x="3102"/>
        <item h="1" m="1" x="3898"/>
        <item h="1" m="1" x="1316"/>
        <item h="1" m="1" x="3250"/>
        <item h="1" m="1" x="4732"/>
        <item h="1" m="1" x="2616"/>
        <item h="1" m="1" x="2879"/>
        <item h="1" m="1" x="1432"/>
        <item h="1" m="1" x="1620"/>
        <item h="1" m="1" x="3562"/>
        <item h="1" m="1" x="45"/>
        <item h="1" m="1" x="1758"/>
        <item h="1" m="1" x="1691"/>
        <item h="1" m="1" x="1090"/>
        <item h="1" m="1" x="4561"/>
        <item h="1" m="1" x="1831"/>
        <item h="1" m="1" x="1818"/>
        <item h="1" m="1" x="1181"/>
        <item h="1" m="1" x="4679"/>
        <item h="1" m="1" x="492"/>
        <item h="1" m="1" x="3388"/>
        <item h="1" m="1" x="913"/>
        <item h="1" m="1" x="4759"/>
        <item h="1" m="1" x="4371"/>
        <item h="1" m="1" x="1640"/>
        <item h="1" m="1" x="3726"/>
        <item h="1" m="1" x="293"/>
        <item h="1" m="1" x="1256"/>
        <item h="1" m="1" x="70"/>
        <item h="1" m="1" x="567"/>
        <item h="1" m="1" x="3516"/>
        <item h="1" m="1" x="4662"/>
        <item h="1" m="1" x="1713"/>
        <item h="1" m="1" x="3465"/>
        <item h="1" m="1" x="359"/>
        <item h="1" m="1" x="2814"/>
        <item h="1" m="1" x="3280"/>
        <item h="1" m="1" x="322"/>
        <item h="1" m="1" x="3588"/>
        <item h="1" m="1" x="4450"/>
        <item h="1" m="1" x="1777"/>
        <item h="1" m="1" x="3800"/>
        <item h="1" m="1" x="434"/>
        <item h="1" m="1" x="3351"/>
        <item h="1" m="1" x="1976"/>
        <item h="1" m="1" x="4746"/>
        <item h="1" m="1" x="1839"/>
        <item h="1" m="1" x="3558"/>
        <item h="1" m="1" x="506"/>
        <item h="1" m="1" x="2895"/>
        <item h="1" m="1" x="3959"/>
        <item h="1" m="1" x="2269"/>
        <item h="1" m="1" x="2130"/>
        <item h="1" m="1" x="1637"/>
        <item h="1" m="1" x="817"/>
        <item h="1" m="1" x="4023"/>
        <item h="1" m="1" x="2581"/>
        <item h="1" m="1" x="2197"/>
        <item h="1" m="1" x="1396"/>
        <item h="1" m="1" x="886"/>
        <item h="1" m="1" x="722"/>
        <item h="1" m="1" x="3795"/>
        <item h="1" m="1" x="2983"/>
        <item h="1" m="1" x="4097"/>
        <item h="1" m="1" x="2352"/>
        <item h="1" m="1" x="2263"/>
        <item h="1" m="1" x="944"/>
        <item h="1" m="1" x="3860"/>
        <item h="1" m="1" x="4590"/>
        <item h="1" m="1" x="2568"/>
        <item h="1" m="1" x="1460"/>
        <item h="1" m="1" x="1016"/>
        <item h="1" m="1" x="800"/>
        <item h="1" m="1" x="3913"/>
        <item h="1" m="1" x="143"/>
        <item h="1" m="1" x="4248"/>
        <item h="1" m="1" x="1790"/>
        <item h="1" m="1" x="1134"/>
        <item h="1" m="1" x="4651"/>
        <item h="1" m="1" x="4017"/>
        <item h="1" m="1" x="876"/>
        <item h="1" m="1" x="214"/>
        <item h="1" m="1" x="4319"/>
        <item h="1" m="1" x="2504"/>
        <item h="1" m="1" x="527"/>
        <item h="1" m="1" x="4090"/>
        <item h="1" m="1" x="2780"/>
        <item h="1" m="1" x="2159"/>
        <item h="1" m="1" x="4418"/>
        <item h="1" m="1" x="2575"/>
        <item h="1" m="1" x="1940"/>
        <item h="1" m="1" x="1291"/>
        <item h="1" m="1" x="3507"/>
        <item h="1" m="1" x="2860"/>
        <item h="1" m="1" x="2237"/>
        <item h="1" m="1" x="1597"/>
        <item h="1" m="1" x="357"/>
        <item h="1" m="1" x="3152"/>
        <item h="1" m="1" x="2014"/>
        <item h="1" m="1" x="1362"/>
        <item h="1" m="1" x="684"/>
        <item h="1" m="1" x="30"/>
        <item h="1" m="1" x="2311"/>
        <item h="1" m="1" x="442"/>
        <item h="1" m="1" x="4556"/>
        <item h="1" m="1" x="3896"/>
        <item h="1" m="1" x="759"/>
        <item h="1" m="1" x="99"/>
        <item h="1" m="1" x="3012"/>
        <item h="1" m="1" x="4617"/>
        <item h="1" m="1" x="3976"/>
        <item h="1" m="1" x="3324"/>
        <item h="1" m="1" x="2689"/>
        <item h="1" m="1" x="180"/>
        <item h="1" m="1" x="3070"/>
        <item h="1" m="1" x="2464"/>
        <item h="1" m="1" x="1829"/>
        <item h="1" m="1" x="3405"/>
        <item h="1" m="1" x="2752"/>
        <item h="1" m="1" x="909"/>
        <item h="1" m="1" x="2540"/>
        <item h="1" m="1" x="1897"/>
        <item h="1" m="1" x="1250"/>
        <item h="1" m="1" x="566"/>
        <item h="1" m="1" x="2811"/>
        <item h="1" m="1" x="2194"/>
        <item h="1" m="1" x="978"/>
        <item h="1" m="1" x="320"/>
        <item h="1" m="1" x="1975"/>
        <item h="1" m="1" x="1330"/>
        <item h="1" m="1" x="643"/>
        <item h="1" m="1" x="4205"/>
        <item h="1" m="1" x="945"/>
        <item h="1" m="1" x="2071"/>
        <item h="1" m="1" x="3710"/>
        <item h="1" m="1" x="594"/>
        <item h="1" m="1" x="1933"/>
        <item h="1" m="1" x="3546"/>
        <item h="1" m="1" x="432"/>
        <item h="1" m="1" x="3172"/>
        <item h="1" m="1" x="3384"/>
        <item h="1" m="1" x="4502"/>
        <item h="1" m="1" x="1416"/>
        <item h="1" m="1" x="3031"/>
        <item h="1" m="1" x="4676"/>
        <item h="1" m="1" x="1269"/>
        <item h="1" m="1" x="2873"/>
        <item h="1" m="1" x="3990"/>
        <item h="1" m="1" x="887"/>
        <item h="1" m="1" x="3680"/>
        <item h="1" m="1" x="19"/>
        <item h="1" m="1" x="1709"/>
        <item h="1" m="1" x="3321"/>
        <item h="1" m="1" x="2971"/>
        <item h="1" m="1" x="4613"/>
        <item h="1" m="1" x="1532"/>
        <item h="1" m="1" x="3141"/>
        <item h="1" m="1" x="4268"/>
        <item h="1" m="1" x="4472"/>
        <item h="1" m="1" x="823"/>
        <item h="1" m="1" x="2494"/>
        <item h="1" m="1" x="4118"/>
        <item h="1" m="1" x="1018"/>
        <item h="1" m="1" x="662"/>
        <item h="1" m="1" x="2334"/>
        <item h="1" m="1" x="3957"/>
        <item h="1" m="1" x="297"/>
        <item h="1" m="1" x="1987"/>
        <item h="1" m="1" x="2172"/>
        <item h="1" m="1" x="3256"/>
        <item h="1" m="1" x="152"/>
        <item h="1" m="1" x="3078"/>
        <item h="1" m="1" x="4751"/>
        <item h="1" m="1" x="1688"/>
        <item h="1" m="1" x="2753"/>
        <item h="1" m="1" x="4421"/>
        <item h="1" m="1" x="4047"/>
        <item h="1" m="1" x="946"/>
        <item h="1" m="1" x="2613"/>
        <item h="1" m="1" x="4242"/>
        <item h="1" m="1" x="1176"/>
        <item h="1" m="1" x="795"/>
        <item h="1" m="1" x="2461"/>
        <item h="1" m="1" x="3547"/>
        <item h="1" m="1" x="433"/>
        <item h="1" m="1" x="2102"/>
        <item h="1" m="1" x="1775"/>
        <item h="1" m="1" x="3387"/>
        <item h="1" m="1" x="1968"/>
        <item h="1" m="1" x="3032"/>
        <item h="1" m="1" x="3221"/>
        <item h="1" m="1" x="128"/>
        <item h="1" m="1" x="1270"/>
        <item h="1" m="1" x="2875"/>
        <item h="1" m="1" x="4533"/>
        <item h="1" m="1" x="1099"/>
        <item h="1" m="1" x="2728"/>
        <item h="1" m="1" x="4388"/>
        <item h="1" m="1" x="728"/>
        <item h="1" m="1" x="1902"/>
        <item h="1" m="1" x="3511"/>
        <item h="1" m="1" x="395"/>
        <item h="1" m="1" x="1536"/>
        <item h="1" m="1" x="3143"/>
        <item h="1" m="1" x="3358"/>
        <item h="1" m="1" x="4473"/>
        <item h="1" m="1" x="1386"/>
        <item h="1" m="1" x="3005"/>
        <item h="1" m="1" x="4650"/>
        <item h="1" m="1" x="4307"/>
        <item h="1" m="1" x="1237"/>
        <item h="1" m="1" x="2848"/>
        <item h="1" m="1" x="3962"/>
        <item h="1" m="1" x="864"/>
        <item h="1" m="1" x="505"/>
        <item h="1" m="1" x="2174"/>
        <item h="1" m="1" x="3818"/>
        <item h="1" m="1" x="700"/>
        <item h="1" m="1" x="2029"/>
        <item h="1" m="1" x="4753"/>
        <item h="1" m="1" x="1690"/>
        <item h="1" m="1" x="2937"/>
        <item h="1" m="1" x="4593"/>
        <item h="1" m="1" x="1505"/>
        <item h="1" m="1" x="3117"/>
        <item h="1" m="1" x="4243"/>
        <item h="1" m="1" x="1364"/>
        <item h="1" m="1" x="2463"/>
        <item h="1" m="1" x="4091"/>
        <item h="1" m="1" x="984"/>
        <item h="1" m="1" x="635"/>
        <item h="1" m="1" x="2306"/>
        <item h="1" m="1" x="3929"/>
        <item h="1" m="1" x="834"/>
        <item h="1" m="1" x="1970"/>
        <item h="1" m="1" x="2149"/>
        <item h="1" m="1" x="3223"/>
        <item h="1" m="1" x="129"/>
        <item h="1" m="1" x="1814"/>
        <item h="1" m="1" x="3419"/>
        <item h="1" m="1" x="4724"/>
        <item h="1" m="1" x="1653"/>
        <item h="1" m="1" x="2729"/>
        <item h="1" m="1" x="4390"/>
        <item h="1" m="1" x="923"/>
        <item h="1" m="1" x="2586"/>
        <item h="1" m="1" x="4228"/>
        <item h="1" m="1" x="1146"/>
        <item h="1" m="1" x="767"/>
        <item h="1" m="1" x="2437"/>
        <item h="1" m="1" x="3514"/>
        <item h="1" m="1" x="396"/>
        <item h="1" m="1" x="2914"/>
        <item h="1" m="1" x="3204"/>
        <item h="1" m="1" x="2236"/>
        <item h="1" m="1" x="2533"/>
        <item h="1" m="1" x="2276"/>
        <item h="1" m="1" x="2037"/>
        <item h="1" m="1" x="1573"/>
        <item h="1" m="1" x="1337"/>
        <item h="1" m="1" x="1064"/>
        <item h="1" m="1" x="1370"/>
        <item h="1" m="1" x="588"/>
        <item h="1" m="1" x="323"/>
        <item h="1" m="1" x="629"/>
        <item h="1" m="1" x="369"/>
        <item h="1" m="1" x="131"/>
        <item h="1" m="1" x="4182"/>
        <item h="1" x="1"/>
        <item t="sum"/>
      </items>
    </pivotField>
    <pivotField showAll="0" defaultSubtotal="0"/>
    <pivotField showAll="0" defaultSubtotal="0"/>
    <pivotField axis="axisPage" showAll="0" defaultSubtotal="0">
      <items count="5">
        <item x="0"/>
        <item x="1"/>
        <item m="1" x="4"/>
        <item x="2"/>
        <item x="3"/>
      </items>
    </pivotField>
  </pivotFields>
  <rowFields count="3">
    <field x="0"/>
    <field x="1"/>
    <field x="3"/>
  </rowFields>
  <rowItems count="730">
    <i>
      <x/>
    </i>
    <i r="1">
      <x v="65"/>
    </i>
    <i r="2">
      <x v="88"/>
    </i>
    <i>
      <x v="1"/>
    </i>
    <i r="1">
      <x v="25"/>
    </i>
    <i r="2">
      <x v="61"/>
    </i>
    <i>
      <x v="2"/>
    </i>
    <i r="1">
      <x v="30"/>
    </i>
    <i r="2">
      <x v="226"/>
    </i>
    <i>
      <x v="3"/>
    </i>
    <i r="1">
      <x v="63"/>
    </i>
    <i r="2">
      <x v="94"/>
    </i>
    <i>
      <x v="4"/>
    </i>
    <i r="1">
      <x v="199"/>
    </i>
    <i r="2">
      <x v="15"/>
    </i>
    <i>
      <x v="5"/>
    </i>
    <i r="1">
      <x v="62"/>
    </i>
    <i r="2">
      <x v="123"/>
    </i>
    <i>
      <x v="6"/>
    </i>
    <i r="1">
      <x v="45"/>
    </i>
    <i r="2">
      <x v="19"/>
    </i>
    <i>
      <x v="7"/>
    </i>
    <i r="1">
      <x v="3"/>
    </i>
    <i r="2">
      <x v="62"/>
    </i>
    <i>
      <x v="8"/>
    </i>
    <i r="1">
      <x v="109"/>
    </i>
    <i r="2">
      <x v="113"/>
    </i>
    <i>
      <x v="9"/>
    </i>
    <i r="1">
      <x v="56"/>
    </i>
    <i r="2">
      <x v="199"/>
    </i>
    <i>
      <x v="10"/>
    </i>
    <i r="1">
      <x v="129"/>
    </i>
    <i r="2">
      <x v="238"/>
    </i>
    <i>
      <x v="11"/>
    </i>
    <i r="1">
      <x v="125"/>
    </i>
    <i r="2">
      <x v="201"/>
    </i>
    <i>
      <x v="12"/>
    </i>
    <i r="1">
      <x v="79"/>
    </i>
    <i r="2">
      <x v="49"/>
    </i>
    <i>
      <x v="13"/>
    </i>
    <i r="1">
      <x v="89"/>
    </i>
    <i r="2">
      <x v="105"/>
    </i>
    <i>
      <x v="14"/>
    </i>
    <i r="1">
      <x v="127"/>
    </i>
    <i r="2">
      <x v="239"/>
    </i>
    <i>
      <x v="15"/>
    </i>
    <i r="1">
      <x v="163"/>
    </i>
    <i r="2">
      <x v="93"/>
    </i>
    <i>
      <x v="16"/>
    </i>
    <i r="1">
      <x v="32"/>
    </i>
    <i r="2">
      <x v="195"/>
    </i>
    <i>
      <x v="17"/>
    </i>
    <i r="1">
      <x v="57"/>
    </i>
    <i r="2">
      <x v="171"/>
    </i>
    <i>
      <x v="18"/>
    </i>
    <i r="1">
      <x v="131"/>
    </i>
    <i r="2">
      <x v="191"/>
    </i>
    <i>
      <x v="19"/>
    </i>
    <i r="1">
      <x v="84"/>
    </i>
    <i r="2">
      <x v="112"/>
    </i>
    <i>
      <x v="20"/>
    </i>
    <i r="1">
      <x v="171"/>
    </i>
    <i r="2">
      <x v="133"/>
    </i>
    <i>
      <x v="21"/>
    </i>
    <i r="1">
      <x v="6"/>
    </i>
    <i r="2">
      <x v="135"/>
    </i>
    <i>
      <x v="22"/>
    </i>
    <i r="1">
      <x v="16"/>
    </i>
    <i r="2">
      <x v="7"/>
    </i>
    <i>
      <x v="24"/>
    </i>
    <i r="1">
      <x v="96"/>
    </i>
    <i r="2">
      <x v="132"/>
    </i>
    <i>
      <x v="25"/>
    </i>
    <i r="1">
      <x v="100"/>
    </i>
    <i r="2">
      <x v="3"/>
    </i>
    <i>
      <x v="26"/>
    </i>
    <i r="1">
      <x v="92"/>
    </i>
    <i r="2">
      <x v="80"/>
    </i>
    <i>
      <x v="27"/>
    </i>
    <i r="1">
      <x v="20"/>
    </i>
    <i r="2">
      <x v="134"/>
    </i>
    <i>
      <x v="28"/>
    </i>
    <i r="1">
      <x v="44"/>
    </i>
    <i r="2">
      <x v="13"/>
    </i>
    <i>
      <x v="29"/>
    </i>
    <i r="1">
      <x v="39"/>
    </i>
    <i r="2">
      <x v="82"/>
    </i>
    <i>
      <x v="30"/>
    </i>
    <i r="1">
      <x v="23"/>
    </i>
    <i r="2">
      <x v="51"/>
    </i>
    <i>
      <x v="31"/>
    </i>
    <i r="1">
      <x v="132"/>
    </i>
    <i r="2">
      <x v="187"/>
    </i>
    <i>
      <x v="32"/>
    </i>
    <i r="1">
      <x v="147"/>
    </i>
    <i r="2">
      <x v="45"/>
    </i>
    <i>
      <x v="33"/>
    </i>
    <i r="1">
      <x v="18"/>
    </i>
    <i r="2">
      <x v="64"/>
    </i>
    <i>
      <x v="34"/>
    </i>
    <i r="1">
      <x v="144"/>
    </i>
    <i r="2">
      <x v="172"/>
    </i>
    <i>
      <x v="35"/>
    </i>
    <i r="1">
      <x v="137"/>
    </i>
    <i r="2">
      <x v="32"/>
    </i>
    <i>
      <x v="36"/>
    </i>
    <i r="1">
      <x v="88"/>
    </i>
    <i r="2">
      <x v="81"/>
    </i>
    <i>
      <x v="37"/>
    </i>
    <i r="1">
      <x v="40"/>
    </i>
    <i r="2">
      <x v="173"/>
    </i>
    <i>
      <x v="38"/>
    </i>
    <i r="1">
      <x v="34"/>
    </i>
    <i r="2">
      <x v="102"/>
    </i>
    <i>
      <x v="39"/>
    </i>
    <i r="1">
      <x v="140"/>
    </i>
    <i r="2">
      <x v="42"/>
    </i>
    <i>
      <x v="40"/>
    </i>
    <i r="1">
      <x v="124"/>
    </i>
    <i r="2">
      <x v="29"/>
    </i>
    <i>
      <x v="41"/>
    </i>
    <i r="1">
      <x v="59"/>
    </i>
    <i r="2">
      <x v="107"/>
    </i>
    <i>
      <x v="42"/>
    </i>
    <i r="1">
      <x v="150"/>
    </i>
    <i r="2">
      <x v="109"/>
    </i>
    <i>
      <x v="43"/>
    </i>
    <i r="1">
      <x v="126"/>
    </i>
    <i r="2">
      <x v="38"/>
    </i>
    <i>
      <x v="44"/>
    </i>
    <i r="1">
      <x v="101"/>
    </i>
    <i r="2">
      <x v="16"/>
    </i>
    <i>
      <x v="45"/>
    </i>
    <i r="1">
      <x v="123"/>
    </i>
    <i r="2">
      <x v="181"/>
    </i>
    <i>
      <x v="46"/>
    </i>
    <i r="1">
      <x v="161"/>
    </i>
    <i r="2">
      <x v="119"/>
    </i>
    <i>
      <x v="47"/>
    </i>
    <i r="1">
      <x v="117"/>
    </i>
    <i r="2">
      <x v="101"/>
    </i>
    <i>
      <x v="48"/>
    </i>
    <i r="1">
      <x v="151"/>
    </i>
    <i r="2">
      <x v="67"/>
    </i>
    <i>
      <x v="49"/>
    </i>
    <i r="1">
      <x v="162"/>
    </i>
    <i r="2">
      <x v="65"/>
    </i>
    <i>
      <x v="50"/>
    </i>
    <i r="1">
      <x v="22"/>
    </i>
    <i r="2">
      <x v="164"/>
    </i>
    <i>
      <x v="51"/>
    </i>
    <i r="1">
      <x v="52"/>
    </i>
    <i r="2">
      <x v="240"/>
    </i>
    <i>
      <x v="52"/>
    </i>
    <i r="1">
      <x v="168"/>
    </i>
    <i r="2">
      <x v="165"/>
    </i>
    <i>
      <x v="53"/>
    </i>
    <i r="1">
      <x v="83"/>
    </i>
    <i r="2">
      <x v="91"/>
    </i>
    <i>
      <x v="54"/>
    </i>
    <i r="1">
      <x v="73"/>
    </i>
    <i r="2">
      <x v="168"/>
    </i>
    <i>
      <x v="55"/>
    </i>
    <i r="1">
      <x v="69"/>
    </i>
    <i r="2">
      <x v="186"/>
    </i>
    <i>
      <x v="56"/>
    </i>
    <i r="1">
      <x v="27"/>
    </i>
    <i r="2">
      <x v="47"/>
    </i>
    <i>
      <x v="57"/>
    </i>
    <i r="1">
      <x v="107"/>
    </i>
    <i r="2">
      <x v="174"/>
    </i>
    <i>
      <x v="58"/>
    </i>
    <i r="1">
      <x v="74"/>
    </i>
    <i r="2">
      <x v="48"/>
    </i>
    <i>
      <x v="59"/>
    </i>
    <i r="1">
      <x v="42"/>
    </i>
    <i r="2">
      <x v="76"/>
    </i>
    <i>
      <x v="60"/>
    </i>
    <i r="1">
      <x v="36"/>
    </i>
    <i r="2">
      <x v="17"/>
    </i>
    <i>
      <x v="61"/>
    </i>
    <i r="1">
      <x v="165"/>
    </i>
    <i r="2">
      <x v="241"/>
    </i>
    <i>
      <x v="62"/>
    </i>
    <i r="1">
      <x v="14"/>
    </i>
    <i r="2">
      <x v="128"/>
    </i>
    <i>
      <x v="63"/>
    </i>
    <i r="1">
      <x v="71"/>
    </i>
    <i r="2">
      <x v="98"/>
    </i>
    <i>
      <x v="64"/>
    </i>
    <i r="1">
      <x v="110"/>
    </i>
    <i r="2">
      <x v="162"/>
    </i>
    <i>
      <x v="65"/>
    </i>
    <i r="1">
      <x v="5"/>
    </i>
    <i r="2">
      <x v="39"/>
    </i>
    <i>
      <x v="66"/>
    </i>
    <i r="1">
      <x v="41"/>
    </i>
    <i r="2">
      <x v="248"/>
    </i>
    <i>
      <x v="68"/>
    </i>
    <i r="1">
      <x v="11"/>
    </i>
    <i r="2">
      <x v="83"/>
    </i>
    <i>
      <x v="69"/>
    </i>
    <i r="1">
      <x v="142"/>
    </i>
    <i r="2">
      <x v="122"/>
    </i>
    <i>
      <x v="70"/>
    </i>
    <i r="1">
      <x v="146"/>
    </i>
    <i r="2">
      <x v="160"/>
    </i>
    <i>
      <x v="71"/>
    </i>
    <i r="1">
      <x v="49"/>
    </i>
    <i r="2">
      <x v="202"/>
    </i>
    <i>
      <x v="72"/>
    </i>
    <i r="1">
      <x v="122"/>
    </i>
    <i r="2">
      <x v="181"/>
    </i>
    <i>
      <x v="73"/>
    </i>
    <i r="1">
      <x v="13"/>
    </i>
    <i r="2">
      <x v="127"/>
    </i>
    <i>
      <x v="74"/>
    </i>
    <i r="1">
      <x v="83"/>
    </i>
    <i r="2">
      <x v="90"/>
    </i>
    <i>
      <x v="75"/>
    </i>
    <i r="1">
      <x v="76"/>
    </i>
    <i r="2">
      <x v="1"/>
    </i>
    <i>
      <x v="76"/>
    </i>
    <i r="1">
      <x v="46"/>
    </i>
    <i r="2">
      <x v="242"/>
    </i>
    <i>
      <x v="77"/>
    </i>
    <i r="1">
      <x v="67"/>
    </i>
    <i r="2">
      <x v="27"/>
    </i>
    <i>
      <x v="78"/>
    </i>
    <i r="1">
      <x v="37"/>
    </i>
    <i r="2">
      <x v="26"/>
    </i>
    <i>
      <x v="79"/>
    </i>
    <i r="1">
      <x v="25"/>
    </i>
    <i r="2">
      <x v="54"/>
    </i>
    <i>
      <x v="80"/>
    </i>
    <i r="1">
      <x v="118"/>
    </i>
    <i r="2">
      <x v="25"/>
    </i>
    <i>
      <x v="81"/>
    </i>
    <i r="1">
      <x v="7"/>
    </i>
    <i r="2">
      <x v="206"/>
    </i>
    <i>
      <x v="82"/>
    </i>
    <i r="1">
      <x v="154"/>
    </i>
    <i r="2">
      <x v="158"/>
    </i>
    <i>
      <x v="83"/>
    </i>
    <i r="1">
      <x v="108"/>
    </i>
    <i r="2">
      <x v="113"/>
    </i>
    <i>
      <x v="84"/>
    </i>
    <i r="1">
      <x v="21"/>
    </i>
    <i r="2">
      <x v="84"/>
    </i>
    <i>
      <x v="85"/>
    </i>
    <i r="1">
      <x v="79"/>
    </i>
    <i r="2">
      <x v="49"/>
    </i>
    <i>
      <x v="86"/>
    </i>
    <i r="1">
      <x v="51"/>
    </i>
    <i r="2">
      <x v="4"/>
    </i>
    <i>
      <x v="87"/>
    </i>
    <i r="1">
      <x v="55"/>
    </i>
    <i r="2">
      <x v="148"/>
    </i>
    <i>
      <x v="88"/>
    </i>
    <i r="1">
      <x v="136"/>
    </i>
    <i r="2">
      <x v="144"/>
    </i>
    <i>
      <x v="89"/>
    </i>
    <i r="1">
      <x v="62"/>
    </i>
    <i r="2">
      <x v="74"/>
    </i>
    <i>
      <x v="90"/>
    </i>
    <i r="1">
      <x v="147"/>
    </i>
    <i r="2">
      <x v="45"/>
    </i>
    <i>
      <x v="91"/>
    </i>
    <i r="1">
      <x v="121"/>
    </i>
    <i r="2">
      <x v="185"/>
    </i>
    <i>
      <x v="92"/>
    </i>
    <i r="1">
      <x v="139"/>
    </i>
    <i r="2">
      <x v="69"/>
    </i>
    <i>
      <x v="93"/>
    </i>
    <i r="1">
      <x v="113"/>
    </i>
    <i>
      <x v="94"/>
    </i>
    <i r="1">
      <x v="132"/>
    </i>
    <i r="2">
      <x v="189"/>
    </i>
    <i>
      <x v="95"/>
    </i>
    <i r="1">
      <x v="105"/>
    </i>
    <i r="2">
      <x v="148"/>
    </i>
    <i>
      <x v="96"/>
    </i>
    <i r="1">
      <x v="4"/>
    </i>
    <i r="2">
      <x v="77"/>
    </i>
    <i>
      <x v="97"/>
    </i>
    <i r="1">
      <x v="162"/>
    </i>
    <i r="2">
      <x v="65"/>
    </i>
    <i>
      <x v="98"/>
    </i>
    <i r="1">
      <x v="10"/>
    </i>
    <i r="2">
      <x v="71"/>
    </i>
    <i>
      <x v="99"/>
    </i>
    <i r="1">
      <x v="183"/>
    </i>
    <i r="2">
      <x v="63"/>
    </i>
    <i>
      <x v="100"/>
    </i>
    <i r="1">
      <x v="56"/>
    </i>
    <i r="2">
      <x v="199"/>
    </i>
    <i>
      <x v="101"/>
    </i>
    <i r="1">
      <x v="115"/>
    </i>
    <i r="2">
      <x v="177"/>
    </i>
    <i>
      <x v="102"/>
    </i>
    <i r="1">
      <x v="151"/>
    </i>
    <i r="2">
      <x v="67"/>
    </i>
    <i>
      <x v="103"/>
    </i>
    <i r="1">
      <x v="9"/>
    </i>
    <i r="2">
      <x v="143"/>
    </i>
    <i>
      <x v="104"/>
    </i>
    <i r="1">
      <x v="144"/>
    </i>
    <i r="2">
      <x v="163"/>
    </i>
    <i>
      <x v="105"/>
    </i>
    <i r="1">
      <x v="102"/>
    </i>
    <i r="2">
      <x v="154"/>
    </i>
    <i>
      <x v="106"/>
    </i>
    <i r="1">
      <x v="53"/>
    </i>
    <i r="2">
      <x v="85"/>
    </i>
    <i>
      <x v="107"/>
    </i>
    <i r="1">
      <x v="133"/>
    </i>
    <i r="2">
      <x v="24"/>
    </i>
    <i>
      <x v="108"/>
    </i>
    <i r="1">
      <x v="86"/>
    </i>
    <i r="2">
      <x v="40"/>
    </i>
    <i>
      <x v="109"/>
    </i>
    <i r="1">
      <x v="41"/>
    </i>
    <i r="2">
      <x v="249"/>
    </i>
    <i>
      <x v="110"/>
    </i>
    <i r="1">
      <x v="161"/>
    </i>
    <i r="2">
      <x v="118"/>
    </i>
    <i>
      <x v="111"/>
    </i>
    <i r="1">
      <x v="19"/>
    </i>
    <i r="2">
      <x v="169"/>
    </i>
    <i>
      <x v="112"/>
    </i>
    <i r="1">
      <x v="54"/>
    </i>
    <i r="2">
      <x v="131"/>
    </i>
    <i>
      <x v="113"/>
    </i>
    <i r="1">
      <x v="71"/>
    </i>
    <i r="2">
      <x v="98"/>
    </i>
    <i>
      <x v="114"/>
    </i>
    <i r="1">
      <x v="80"/>
    </i>
    <i r="2">
      <x v="55"/>
    </i>
    <i>
      <x v="115"/>
    </i>
    <i r="1">
      <x v="47"/>
    </i>
    <i r="2">
      <x v="170"/>
    </i>
    <i>
      <x v="116"/>
    </i>
    <i r="1">
      <x v="35"/>
    </i>
    <i r="2">
      <x v="243"/>
    </i>
    <i>
      <x v="117"/>
    </i>
    <i r="1">
      <x v="57"/>
    </i>
    <i r="2">
      <x v="196"/>
    </i>
    <i>
      <x v="118"/>
    </i>
    <i r="1">
      <x v="110"/>
    </i>
    <i r="2">
      <x v="162"/>
    </i>
    <i>
      <x v="119"/>
    </i>
    <i r="1">
      <x v="141"/>
    </i>
    <i r="2">
      <x v="58"/>
    </i>
    <i>
      <x v="120"/>
    </i>
    <i r="1">
      <x v="148"/>
    </i>
    <i r="2">
      <x v="108"/>
    </i>
    <i>
      <x v="121"/>
    </i>
    <i r="1">
      <x v="195"/>
    </i>
    <i r="2">
      <x v="130"/>
    </i>
    <i>
      <x v="122"/>
    </i>
    <i r="1">
      <x v="131"/>
    </i>
    <i r="2">
      <x v="190"/>
    </i>
    <i>
      <x v="123"/>
    </i>
    <i r="1">
      <x v="32"/>
    </i>
    <i r="2">
      <x v="194"/>
    </i>
    <i>
      <x v="124"/>
    </i>
    <i r="1">
      <x v="99"/>
    </i>
    <i r="2">
      <x v="73"/>
    </i>
    <i>
      <x v="125"/>
    </i>
    <i r="1">
      <x v="25"/>
    </i>
    <i r="2">
      <x v="59"/>
    </i>
    <i>
      <x v="126"/>
    </i>
    <i r="1">
      <x v="2"/>
    </i>
    <i r="2">
      <x v="46"/>
    </i>
    <i>
      <x v="127"/>
    </i>
    <i r="1">
      <x v="85"/>
    </i>
    <i r="2">
      <x v="124"/>
    </i>
    <i>
      <x v="128"/>
    </i>
    <i r="1">
      <x v="38"/>
    </i>
    <i r="2">
      <x v="75"/>
    </i>
    <i>
      <x v="129"/>
    </i>
    <i r="1">
      <x v="78"/>
    </i>
    <i r="2">
      <x v="125"/>
    </i>
    <i>
      <x v="130"/>
    </i>
    <i r="1">
      <x v="15"/>
    </i>
    <i r="2">
      <x v="43"/>
    </i>
    <i>
      <x v="131"/>
    </i>
    <i r="1">
      <x v="128"/>
    </i>
    <i r="2">
      <x v="161"/>
    </i>
    <i>
      <x v="132"/>
    </i>
    <i r="1">
      <x v="167"/>
    </i>
    <i r="2">
      <x v="79"/>
    </i>
    <i>
      <x v="133"/>
    </i>
    <i r="1">
      <x v="156"/>
    </i>
    <i r="2">
      <x v="12"/>
    </i>
    <i>
      <x v="134"/>
    </i>
    <i r="1">
      <x v="87"/>
    </i>
    <i r="2">
      <x v="57"/>
    </i>
    <i>
      <x v="135"/>
    </i>
    <i r="1">
      <x v="63"/>
    </i>
    <i r="2">
      <x v="116"/>
    </i>
    <i>
      <x v="136"/>
    </i>
    <i r="1">
      <x v="24"/>
    </i>
    <i r="2">
      <x v="52"/>
    </i>
    <i>
      <x v="137"/>
    </i>
    <i r="1">
      <x v="26"/>
    </i>
    <i r="2">
      <x v="6"/>
    </i>
    <i>
      <x v="138"/>
    </i>
    <i r="1">
      <x v="69"/>
    </i>
    <i r="2">
      <x v="198"/>
    </i>
    <i>
      <x v="139"/>
    </i>
    <i r="1">
      <x v="149"/>
    </i>
    <i r="2">
      <x v="11"/>
    </i>
    <i>
      <x v="140"/>
    </i>
    <i r="1">
      <x/>
    </i>
    <i r="2">
      <x v="244"/>
    </i>
    <i>
      <x v="141"/>
    </i>
    <i r="1">
      <x v="28"/>
    </i>
    <i r="2">
      <x v="35"/>
    </i>
    <i>
      <x v="142"/>
    </i>
    <i r="1">
      <x v="164"/>
    </i>
    <i r="2">
      <x v="126"/>
    </i>
    <i>
      <x v="143"/>
    </i>
    <i r="1">
      <x v="145"/>
    </i>
    <i r="2">
      <x v="183"/>
    </i>
    <i>
      <x v="144"/>
    </i>
    <i r="1">
      <x v="83"/>
    </i>
    <i r="2">
      <x v="255"/>
    </i>
    <i>
      <x v="145"/>
    </i>
    <i r="1">
      <x v="119"/>
    </i>
    <i r="2">
      <x v="22"/>
    </i>
    <i>
      <x v="146"/>
    </i>
    <i r="1">
      <x v="23"/>
    </i>
    <i r="2">
      <x v="50"/>
    </i>
    <i>
      <x v="147"/>
    </i>
    <i r="1">
      <x v="134"/>
    </i>
    <i r="2">
      <x v="178"/>
    </i>
    <i>
      <x v="148"/>
    </i>
    <i r="1">
      <x v="198"/>
    </i>
    <i r="2">
      <x v="245"/>
    </i>
    <i>
      <x v="149"/>
    </i>
    <i r="1">
      <x v="130"/>
    </i>
    <i r="2">
      <x v="214"/>
    </i>
    <i>
      <x v="150"/>
    </i>
    <i r="1">
      <x v="81"/>
    </i>
    <i r="2">
      <x v="182"/>
    </i>
    <i>
      <x v="151"/>
    </i>
    <i r="1">
      <x v="185"/>
    </i>
    <i r="2">
      <x v="2"/>
    </i>
    <i>
      <x v="152"/>
    </i>
    <i r="1">
      <x v="8"/>
    </i>
    <i r="2">
      <x v="142"/>
    </i>
    <i>
      <x v="153"/>
    </i>
    <i r="1">
      <x v="94"/>
    </i>
    <i r="2">
      <x v="142"/>
    </i>
    <i>
      <x v="154"/>
    </i>
    <i r="1">
      <x v="159"/>
    </i>
    <i r="2">
      <x v="157"/>
    </i>
    <i>
      <x v="155"/>
    </i>
    <i r="1">
      <x v="64"/>
    </i>
    <i r="2">
      <x v="142"/>
    </i>
    <i>
      <x v="156"/>
    </i>
    <i r="1">
      <x v="91"/>
    </i>
    <i>
      <x v="157"/>
    </i>
    <i r="1">
      <x v="119"/>
    </i>
    <i r="2">
      <x v="86"/>
    </i>
    <i>
      <x v="158"/>
    </i>
    <i r="1">
      <x v="166"/>
    </i>
    <i r="2">
      <x v="53"/>
    </i>
    <i>
      <x v="159"/>
    </i>
    <i r="1">
      <x v="169"/>
    </i>
    <i r="2">
      <x v="142"/>
    </i>
    <i>
      <x v="160"/>
    </i>
    <i r="1">
      <x v="25"/>
    </i>
    <i r="2">
      <x v="37"/>
    </i>
    <i>
      <x v="161"/>
    </i>
    <i r="1">
      <x v="48"/>
    </i>
    <i r="2">
      <x v="97"/>
    </i>
    <i>
      <x v="162"/>
    </i>
    <i r="1">
      <x v="78"/>
    </i>
    <i r="2">
      <x v="100"/>
    </i>
    <i>
      <x v="163"/>
    </i>
    <i r="1">
      <x v="31"/>
    </i>
    <i r="2">
      <x v="56"/>
    </i>
    <i>
      <x v="164"/>
    </i>
    <i r="1">
      <x v="78"/>
    </i>
    <i r="2">
      <x v="28"/>
    </i>
    <i>
      <x v="165"/>
    </i>
    <i r="1">
      <x v="120"/>
    </i>
    <i r="2">
      <x v="150"/>
    </i>
    <i>
      <x v="166"/>
    </i>
    <i r="1">
      <x v="37"/>
    </i>
    <i r="2">
      <x v="18"/>
    </i>
    <i>
      <x v="167"/>
    </i>
    <i r="1">
      <x v="132"/>
    </i>
    <i r="2">
      <x v="188"/>
    </i>
    <i>
      <x v="168"/>
    </i>
    <i r="1">
      <x v="102"/>
    </i>
    <i r="2">
      <x v="151"/>
    </i>
    <i>
      <x v="169"/>
    </i>
    <i r="1">
      <x v="21"/>
    </i>
    <i r="2">
      <x v="192"/>
    </i>
    <i>
      <x v="170"/>
    </i>
    <i r="1">
      <x v="51"/>
    </i>
    <i r="2">
      <x/>
    </i>
    <i>
      <x v="171"/>
    </i>
    <i r="1">
      <x v="136"/>
    </i>
    <i r="2">
      <x v="129"/>
    </i>
    <i>
      <x v="172"/>
    </i>
    <i r="1">
      <x v="195"/>
    </i>
    <i r="2">
      <x v="153"/>
    </i>
    <i>
      <x v="173"/>
    </i>
    <i r="1">
      <x v="54"/>
    </i>
    <i r="2">
      <x v="145"/>
    </i>
    <i>
      <x v="174"/>
    </i>
    <i r="1">
      <x v="64"/>
    </i>
    <i r="2">
      <x v="141"/>
    </i>
    <i>
      <x v="176"/>
    </i>
    <i r="1">
      <x v="196"/>
    </i>
    <i r="2">
      <x v="141"/>
    </i>
    <i>
      <x v="177"/>
    </i>
    <i r="1">
      <x v="120"/>
    </i>
    <i r="2">
      <x v="257"/>
    </i>
    <i>
      <x v="178"/>
    </i>
    <i r="1">
      <x v="8"/>
    </i>
    <i r="2">
      <x v="251"/>
    </i>
    <i>
      <x v="179"/>
    </i>
    <i r="1">
      <x v="94"/>
    </i>
    <i r="2">
      <x v="141"/>
    </i>
    <i>
      <x v="180"/>
    </i>
    <i r="1">
      <x v="111"/>
    </i>
    <i r="2">
      <x v="114"/>
    </i>
    <i>
      <x v="181"/>
    </i>
    <i r="1">
      <x v="53"/>
    </i>
    <i r="2">
      <x v="215"/>
    </i>
    <i>
      <x v="182"/>
    </i>
    <i r="1">
      <x v="55"/>
    </i>
    <i r="2">
      <x v="147"/>
    </i>
    <i>
      <x v="183"/>
    </i>
    <i r="1">
      <x v="93"/>
    </i>
    <i r="2">
      <x v="139"/>
    </i>
    <i>
      <x v="184"/>
    </i>
    <i r="1">
      <x v="194"/>
    </i>
    <i r="2">
      <x v="146"/>
    </i>
    <i>
      <x v="185"/>
    </i>
    <i r="1">
      <x v="78"/>
    </i>
    <i r="2">
      <x v="20"/>
    </i>
    <i>
      <x v="186"/>
    </i>
    <i r="1">
      <x v="152"/>
    </i>
    <i r="2">
      <x v="21"/>
    </i>
    <i>
      <x v="187"/>
    </i>
    <i r="1">
      <x v="98"/>
    </i>
    <i r="2">
      <x v="30"/>
    </i>
    <i>
      <x v="189"/>
    </i>
    <i r="1">
      <x v="4"/>
    </i>
    <i r="2">
      <x v="110"/>
    </i>
    <i>
      <x v="190"/>
    </i>
    <i r="1">
      <x v="49"/>
    </i>
    <i r="2">
      <x v="72"/>
    </i>
    <i>
      <x v="191"/>
    </i>
    <i r="1">
      <x v="154"/>
    </i>
    <i r="2">
      <x v="115"/>
    </i>
    <i>
      <x v="192"/>
    </i>
    <i r="1">
      <x v="112"/>
    </i>
    <i r="2">
      <x v="103"/>
    </i>
    <i>
      <x v="193"/>
    </i>
    <i r="1">
      <x v="148"/>
    </i>
    <i r="2">
      <x v="216"/>
    </i>
    <i>
      <x v="194"/>
    </i>
    <i r="1">
      <x v="138"/>
    </i>
    <i r="2">
      <x v="246"/>
    </i>
    <i>
      <x v="195"/>
    </i>
    <i r="1">
      <x v="71"/>
    </i>
    <i r="2">
      <x v="252"/>
    </i>
    <i>
      <x v="196"/>
    </i>
    <i r="1">
      <x v="67"/>
    </i>
    <i r="2">
      <x v="33"/>
    </i>
    <i>
      <x v="197"/>
    </i>
    <i r="1">
      <x v="103"/>
    </i>
    <i r="2">
      <x v="14"/>
    </i>
    <i>
      <x v="198"/>
    </i>
    <i r="1">
      <x v="68"/>
    </i>
    <i r="2">
      <x v="179"/>
    </i>
    <i>
      <x v="199"/>
    </i>
    <i r="1">
      <x v="1"/>
    </i>
    <i r="2">
      <x v="66"/>
    </i>
    <i>
      <x v="200"/>
    </i>
    <i r="1">
      <x v="166"/>
    </i>
    <i r="2">
      <x v="87"/>
    </i>
    <i>
      <x v="201"/>
    </i>
    <i r="1">
      <x v="197"/>
    </i>
    <i r="2">
      <x v="176"/>
    </i>
    <i>
      <x v="202"/>
    </i>
    <i r="1">
      <x v="70"/>
    </i>
    <i r="2">
      <x v="104"/>
    </i>
    <i>
      <x v="203"/>
    </i>
    <i r="1">
      <x v="156"/>
    </i>
    <i r="2">
      <x v="8"/>
    </i>
    <i>
      <x v="204"/>
    </i>
    <i r="1">
      <x v="161"/>
    </i>
    <i r="2">
      <x v="95"/>
    </i>
    <i>
      <x v="205"/>
    </i>
    <i r="1">
      <x v="158"/>
    </i>
    <i r="2">
      <x v="34"/>
    </i>
    <i>
      <x v="206"/>
    </i>
    <i r="1">
      <x v="106"/>
    </i>
    <i r="2">
      <x v="31"/>
    </i>
    <i>
      <x v="207"/>
    </i>
    <i r="1">
      <x v="121"/>
    </i>
    <i r="2">
      <x v="184"/>
    </i>
    <i>
      <x v="208"/>
    </i>
    <i r="1">
      <x v="95"/>
    </i>
    <i r="2">
      <x v="9"/>
    </i>
    <i>
      <x v="209"/>
    </i>
    <i r="1">
      <x v="155"/>
    </i>
    <i r="2">
      <x v="120"/>
    </i>
    <i>
      <x v="210"/>
    </i>
    <i r="1">
      <x v="61"/>
    </i>
    <i r="2">
      <x v="167"/>
    </i>
    <i>
      <x v="211"/>
    </i>
    <i r="1">
      <x v="10"/>
    </i>
    <i r="2">
      <x v="200"/>
    </i>
    <i>
      <x v="212"/>
    </i>
    <i r="1">
      <x v="50"/>
    </i>
    <i r="2">
      <x v="70"/>
    </i>
    <i>
      <x v="213"/>
    </i>
    <i r="1">
      <x v="29"/>
    </i>
    <i r="2">
      <x v="138"/>
    </i>
    <i>
      <x v="214"/>
    </i>
    <i r="1">
      <x v="40"/>
    </i>
    <i r="2">
      <x v="156"/>
    </i>
    <i>
      <x v="215"/>
    </i>
    <i r="1">
      <x v="75"/>
    </i>
    <i r="2">
      <x v="175"/>
    </i>
    <i>
      <x v="216"/>
    </i>
    <i r="1">
      <x v="86"/>
    </i>
    <i r="2">
      <x v="41"/>
    </i>
    <i>
      <x v="217"/>
    </i>
    <i r="1">
      <x v="72"/>
    </i>
    <i r="2">
      <x v="23"/>
    </i>
    <i>
      <x v="218"/>
    </i>
    <i r="1">
      <x v="32"/>
    </i>
    <i r="2">
      <x v="193"/>
    </i>
    <i>
      <x v="219"/>
    </i>
    <i r="1">
      <x v="57"/>
    </i>
    <i r="2">
      <x v="197"/>
    </i>
    <i>
      <x v="220"/>
    </i>
    <i r="1">
      <x v="153"/>
    </i>
    <i r="2">
      <x v="5"/>
    </i>
    <i>
      <x v="221"/>
    </i>
    <i r="1">
      <x v="173"/>
    </i>
    <i r="2">
      <x v="155"/>
    </i>
    <i>
      <x v="222"/>
    </i>
    <i r="1">
      <x v="97"/>
    </i>
    <i r="2">
      <x v="152"/>
    </i>
    <i>
      <x v="224"/>
    </i>
    <i r="1">
      <x v="174"/>
    </i>
    <i r="2">
      <x v="207"/>
    </i>
    <i>
      <x v="225"/>
    </i>
    <i r="1">
      <x v="175"/>
    </i>
    <i r="2">
      <x v="208"/>
    </i>
    <i>
      <x v="228"/>
    </i>
    <i r="1">
      <x v="79"/>
    </i>
    <i r="2">
      <x v="211"/>
    </i>
    <i>
      <x v="229"/>
    </i>
    <i r="1">
      <x v="190"/>
    </i>
    <i r="2">
      <x v="229"/>
    </i>
    <i>
      <x v="230"/>
    </i>
    <i r="1">
      <x v="180"/>
    </i>
    <i>
      <x v="231"/>
    </i>
    <i r="1">
      <x v="113"/>
    </i>
    <i>
      <x v="232"/>
    </i>
    <i r="1">
      <x v="91"/>
    </i>
    <i>
      <x v="233"/>
    </i>
    <i r="1">
      <x v="181"/>
    </i>
    <i r="2">
      <x v="217"/>
    </i>
    <i>
      <x v="234"/>
    </i>
    <i r="1">
      <x v="182"/>
    </i>
    <i r="2">
      <x v="254"/>
    </i>
    <i>
      <x v="235"/>
    </i>
    <i r="1">
      <x v="183"/>
    </i>
    <i r="2">
      <x v="219"/>
    </i>
    <i>
      <x v="236"/>
    </i>
    <i r="1">
      <x v="184"/>
    </i>
    <i r="2">
      <x v="220"/>
    </i>
    <i>
      <x v="238"/>
    </i>
    <i r="1">
      <x v="187"/>
    </i>
    <i r="2">
      <x v="256"/>
    </i>
    <i>
      <x v="239"/>
    </i>
    <i r="1">
      <x v="131"/>
    </i>
    <i r="2">
      <x v="222"/>
    </i>
    <i>
      <x v="240"/>
    </i>
    <i r="1">
      <x v="188"/>
    </i>
    <i r="2">
      <x v="253"/>
    </i>
    <i>
      <x v="241"/>
    </i>
    <i r="1">
      <x v="78"/>
    </i>
    <i r="2">
      <x v="227"/>
    </i>
    <i>
      <x v="242"/>
    </i>
    <i r="1">
      <x v="63"/>
    </i>
    <i r="2">
      <x v="225"/>
    </i>
    <i>
      <x v="243"/>
    </i>
    <i r="1">
      <x v="90"/>
    </i>
    <i r="2">
      <x v="89"/>
    </i>
    <i>
      <x v="244"/>
    </i>
    <i r="1">
      <x v="189"/>
    </i>
    <i r="2">
      <x v="228"/>
    </i>
    <i>
      <x v="245"/>
    </i>
    <i r="1">
      <x v="69"/>
    </i>
    <i r="2">
      <x v="230"/>
    </i>
    <i>
      <x v="246"/>
    </i>
    <i r="1">
      <x v="144"/>
    </i>
    <i r="2">
      <x v="231"/>
    </i>
    <i>
      <x v="247"/>
    </i>
    <i r="1">
      <x v="149"/>
    </i>
    <i r="2">
      <x v="232"/>
    </i>
    <i>
      <x v="248"/>
    </i>
    <i r="1">
      <x v="191"/>
    </i>
    <i r="2">
      <x v="233"/>
    </i>
    <i>
      <x v="249"/>
    </i>
    <i r="1">
      <x v="192"/>
    </i>
    <i r="2">
      <x v="234"/>
    </i>
    <i>
      <x v="250"/>
    </i>
    <i r="1">
      <x v="193"/>
    </i>
    <i r="2">
      <x v="250"/>
    </i>
    <i>
      <x v="251"/>
    </i>
    <i r="1">
      <x v="56"/>
    </i>
    <i r="2">
      <x v="236"/>
    </i>
    <i>
      <x v="252"/>
    </i>
    <i r="1">
      <x v="121"/>
    </i>
    <i r="2">
      <x v="185"/>
    </i>
  </rowItems>
  <colFields count="1">
    <field x="-2"/>
  </colFields>
  <colItems count="5">
    <i>
      <x/>
    </i>
    <i i="1">
      <x v="1"/>
    </i>
    <i i="2">
      <x v="2"/>
    </i>
    <i i="3">
      <x v="3"/>
    </i>
    <i i="4">
      <x v="4"/>
    </i>
  </colItems>
  <pageFields count="2">
    <pageField fld="21" hier="-1"/>
    <pageField fld="24" hier="-1"/>
  </pageFields>
  <dataFields count="5">
    <dataField name=" Fecha de inicio" fld="8" baseField="0" baseItem="0" numFmtId="169"/>
    <dataField name=" Fecha de terminación final" fld="15" baseField="3" baseItem="88"/>
    <dataField name=" Valor Total ($)" fld="16" baseField="0" baseItem="0" numFmtId="174"/>
    <dataField name=" Giros ($)" fld="17" baseField="0" baseItem="0" numFmtId="174"/>
    <dataField name=" Saldos ($)" fld="18" baseField="0" baseItem="0" numFmtId="174"/>
  </dataFields>
  <formats count="218">
    <format dxfId="1091">
      <pivotArea type="all" dataOnly="0" outline="0" collapsedLevelsAreSubtotals="1" fieldPosition="0"/>
    </format>
    <format dxfId="1090">
      <pivotArea outline="0" collapsedLevelsAreSubtotals="1" fieldPosition="0"/>
    </format>
    <format dxfId="1089">
      <pivotArea dataOnly="0" labelOnly="1" outline="0" axis="axisValues" fieldPosition="0"/>
    </format>
    <format dxfId="1088">
      <pivotArea outline="0" collapsedLevelsAreSubtotals="1" fieldPosition="0">
        <references count="1">
          <reference field="4294967294" count="1" selected="0">
            <x v="2"/>
          </reference>
        </references>
      </pivotArea>
    </format>
    <format dxfId="1087">
      <pivotArea dataOnly="0" labelOnly="1" outline="0" fieldPosition="0">
        <references count="1">
          <reference field="4294967294" count="1">
            <x v="2"/>
          </reference>
        </references>
      </pivotArea>
    </format>
    <format dxfId="1086">
      <pivotArea outline="0" collapsedLevelsAreSubtotals="1" fieldPosition="0">
        <references count="1">
          <reference field="4294967294" count="1">
            <x v="3"/>
          </reference>
        </references>
      </pivotArea>
    </format>
    <format dxfId="1085">
      <pivotArea outline="0" collapsedLevelsAreSubtotals="1" fieldPosition="0">
        <references count="1">
          <reference field="4294967294" count="2" selected="0">
            <x v="3"/>
            <x v="4"/>
          </reference>
        </references>
      </pivotArea>
    </format>
    <format dxfId="1084">
      <pivotArea dataOnly="0" labelOnly="1" outline="0" fieldPosition="0">
        <references count="1">
          <reference field="4294967294" count="2">
            <x v="3"/>
            <x v="4"/>
          </reference>
        </references>
      </pivotArea>
    </format>
    <format dxfId="1083">
      <pivotArea field="0" type="button" dataOnly="0" labelOnly="1" outline="0" axis="axisRow" fieldPosition="0"/>
    </format>
    <format dxfId="1082">
      <pivotArea dataOnly="0" labelOnly="1" outline="0" fieldPosition="0">
        <references count="1">
          <reference field="4294967294" count="5">
            <x v="0"/>
            <x v="1"/>
            <x v="2"/>
            <x v="3"/>
            <x v="4"/>
          </reference>
        </references>
      </pivotArea>
    </format>
    <format dxfId="1081">
      <pivotArea field="0" type="button" dataOnly="0" labelOnly="1" outline="0" axis="axisRow" fieldPosition="0"/>
    </format>
    <format dxfId="1080">
      <pivotArea dataOnly="0" labelOnly="1" outline="0" fieldPosition="0">
        <references count="1">
          <reference field="4294967294" count="5">
            <x v="0"/>
            <x v="1"/>
            <x v="2"/>
            <x v="3"/>
            <x v="4"/>
          </reference>
        </references>
      </pivotArea>
    </format>
    <format dxfId="1079">
      <pivotArea dataOnly="0" labelOnly="1" outline="0" fieldPosition="0">
        <references count="1">
          <reference field="21" count="0"/>
        </references>
      </pivotArea>
    </format>
    <format dxfId="1078">
      <pivotArea field="21" type="button" dataOnly="0" labelOnly="1" outline="0" axis="axisPage" fieldPosition="0"/>
    </format>
    <format dxfId="1077">
      <pivotArea collapsedLevelsAreSubtotals="1" fieldPosition="0">
        <references count="3">
          <reference field="0" count="1" selected="0">
            <x v="74"/>
          </reference>
          <reference field="1" count="1" selected="0">
            <x v="83"/>
          </reference>
          <reference field="3" count="1">
            <x v="90"/>
          </reference>
        </references>
      </pivotArea>
    </format>
    <format dxfId="1076">
      <pivotArea collapsedLevelsAreSubtotals="1" fieldPosition="0">
        <references count="1">
          <reference field="0" count="1">
            <x v="100"/>
          </reference>
        </references>
      </pivotArea>
    </format>
    <format dxfId="1075">
      <pivotArea collapsedLevelsAreSubtotals="1" fieldPosition="0">
        <references count="2">
          <reference field="0" count="1" selected="0">
            <x v="100"/>
          </reference>
          <reference field="1" count="1">
            <x v="56"/>
          </reference>
        </references>
      </pivotArea>
    </format>
    <format dxfId="1074">
      <pivotArea collapsedLevelsAreSubtotals="1" fieldPosition="0">
        <references count="3">
          <reference field="0" count="1" selected="0">
            <x v="100"/>
          </reference>
          <reference field="1" count="1" selected="0">
            <x v="56"/>
          </reference>
          <reference field="3" count="1">
            <x v="199"/>
          </reference>
        </references>
      </pivotArea>
    </format>
    <format dxfId="1073">
      <pivotArea collapsedLevelsAreSubtotals="1" fieldPosition="0">
        <references count="1">
          <reference field="0" count="1">
            <x v="119"/>
          </reference>
        </references>
      </pivotArea>
    </format>
    <format dxfId="1072">
      <pivotArea collapsedLevelsAreSubtotals="1" fieldPosition="0">
        <references count="2">
          <reference field="0" count="1" selected="0">
            <x v="119"/>
          </reference>
          <reference field="1" count="1">
            <x v="141"/>
          </reference>
        </references>
      </pivotArea>
    </format>
    <format dxfId="1071">
      <pivotArea collapsedLevelsAreSubtotals="1" fieldPosition="0">
        <references count="3">
          <reference field="0" count="1" selected="0">
            <x v="119"/>
          </reference>
          <reference field="1" count="1" selected="0">
            <x v="141"/>
          </reference>
          <reference field="3" count="1">
            <x v="58"/>
          </reference>
        </references>
      </pivotArea>
    </format>
    <format dxfId="1070">
      <pivotArea collapsedLevelsAreSubtotals="1" fieldPosition="0">
        <references count="1">
          <reference field="0" count="1">
            <x v="128"/>
          </reference>
        </references>
      </pivotArea>
    </format>
    <format dxfId="1069">
      <pivotArea collapsedLevelsAreSubtotals="1" fieldPosition="0">
        <references count="2">
          <reference field="0" count="1" selected="0">
            <x v="128"/>
          </reference>
          <reference field="1" count="1">
            <x v="38"/>
          </reference>
        </references>
      </pivotArea>
    </format>
    <format dxfId="1068">
      <pivotArea collapsedLevelsAreSubtotals="1" fieldPosition="0">
        <references count="3">
          <reference field="0" count="1" selected="0">
            <x v="128"/>
          </reference>
          <reference field="1" count="1" selected="0">
            <x v="38"/>
          </reference>
          <reference field="3" count="1">
            <x v="75"/>
          </reference>
        </references>
      </pivotArea>
    </format>
    <format dxfId="1067">
      <pivotArea collapsedLevelsAreSubtotals="1" fieldPosition="0">
        <references count="1">
          <reference field="0" count="1">
            <x v="134"/>
          </reference>
        </references>
      </pivotArea>
    </format>
    <format dxfId="1066">
      <pivotArea collapsedLevelsAreSubtotals="1" fieldPosition="0">
        <references count="2">
          <reference field="0" count="1" selected="0">
            <x v="134"/>
          </reference>
          <reference field="1" count="1">
            <x v="87"/>
          </reference>
        </references>
      </pivotArea>
    </format>
    <format dxfId="1065">
      <pivotArea collapsedLevelsAreSubtotals="1" fieldPosition="0">
        <references count="3">
          <reference field="0" count="1" selected="0">
            <x v="134"/>
          </reference>
          <reference field="1" count="1" selected="0">
            <x v="87"/>
          </reference>
          <reference field="3" count="1">
            <x v="57"/>
          </reference>
        </references>
      </pivotArea>
    </format>
    <format dxfId="1064">
      <pivotArea collapsedLevelsAreSubtotals="1" fieldPosition="0">
        <references count="1">
          <reference field="0" count="1">
            <x v="135"/>
          </reference>
        </references>
      </pivotArea>
    </format>
    <format dxfId="1063">
      <pivotArea collapsedLevelsAreSubtotals="1" fieldPosition="0">
        <references count="2">
          <reference field="0" count="1" selected="0">
            <x v="135"/>
          </reference>
          <reference field="1" count="1">
            <x v="63"/>
          </reference>
        </references>
      </pivotArea>
    </format>
    <format dxfId="1062">
      <pivotArea collapsedLevelsAreSubtotals="1" fieldPosition="0">
        <references count="3">
          <reference field="0" count="1" selected="0">
            <x v="135"/>
          </reference>
          <reference field="1" count="1" selected="0">
            <x v="63"/>
          </reference>
          <reference field="3" count="1">
            <x v="116"/>
          </reference>
        </references>
      </pivotArea>
    </format>
    <format dxfId="1061">
      <pivotArea collapsedLevelsAreSubtotals="1" fieldPosition="0">
        <references count="1">
          <reference field="0" count="1">
            <x v="138"/>
          </reference>
        </references>
      </pivotArea>
    </format>
    <format dxfId="1060">
      <pivotArea collapsedLevelsAreSubtotals="1" fieldPosition="0">
        <references count="2">
          <reference field="0" count="1" selected="0">
            <x v="138"/>
          </reference>
          <reference field="1" count="1">
            <x v="69"/>
          </reference>
        </references>
      </pivotArea>
    </format>
    <format dxfId="1059">
      <pivotArea collapsedLevelsAreSubtotals="1" fieldPosition="0">
        <references count="3">
          <reference field="0" count="1" selected="0">
            <x v="138"/>
          </reference>
          <reference field="1" count="1" selected="0">
            <x v="69"/>
          </reference>
          <reference field="3" count="1">
            <x v="198"/>
          </reference>
        </references>
      </pivotArea>
    </format>
    <format dxfId="1058">
      <pivotArea collapsedLevelsAreSubtotals="1" fieldPosition="0">
        <references count="1">
          <reference field="0" count="1">
            <x v="142"/>
          </reference>
        </references>
      </pivotArea>
    </format>
    <format dxfId="1057">
      <pivotArea collapsedLevelsAreSubtotals="1" fieldPosition="0">
        <references count="2">
          <reference field="0" count="1" selected="0">
            <x v="142"/>
          </reference>
          <reference field="1" count="1">
            <x v="164"/>
          </reference>
        </references>
      </pivotArea>
    </format>
    <format dxfId="1056">
      <pivotArea collapsedLevelsAreSubtotals="1" fieldPosition="0">
        <references count="3">
          <reference field="0" count="1" selected="0">
            <x v="142"/>
          </reference>
          <reference field="1" count="1" selected="0">
            <x v="164"/>
          </reference>
          <reference field="3" count="1">
            <x v="126"/>
          </reference>
        </references>
      </pivotArea>
    </format>
    <format dxfId="1055">
      <pivotArea collapsedLevelsAreSubtotals="1" fieldPosition="0">
        <references count="1">
          <reference field="0" count="1">
            <x v="143"/>
          </reference>
        </references>
      </pivotArea>
    </format>
    <format dxfId="1054">
      <pivotArea collapsedLevelsAreSubtotals="1" fieldPosition="0">
        <references count="2">
          <reference field="0" count="1" selected="0">
            <x v="143"/>
          </reference>
          <reference field="1" count="1">
            <x v="145"/>
          </reference>
        </references>
      </pivotArea>
    </format>
    <format dxfId="1053">
      <pivotArea collapsedLevelsAreSubtotals="1" fieldPosition="0">
        <references count="3">
          <reference field="0" count="1" selected="0">
            <x v="143"/>
          </reference>
          <reference field="1" count="1" selected="0">
            <x v="145"/>
          </reference>
          <reference field="3" count="1">
            <x v="183"/>
          </reference>
        </references>
      </pivotArea>
    </format>
    <format dxfId="1052">
      <pivotArea collapsedLevelsAreSubtotals="1" fieldPosition="0">
        <references count="1">
          <reference field="0" count="1">
            <x v="144"/>
          </reference>
        </references>
      </pivotArea>
    </format>
    <format dxfId="1051">
      <pivotArea collapsedLevelsAreSubtotals="1" fieldPosition="0">
        <references count="2">
          <reference field="0" count="1" selected="0">
            <x v="144"/>
          </reference>
          <reference field="1" count="1">
            <x v="82"/>
          </reference>
        </references>
      </pivotArea>
    </format>
    <format dxfId="1050">
      <pivotArea collapsedLevelsAreSubtotals="1" fieldPosition="0">
        <references count="3">
          <reference field="0" count="1" selected="0">
            <x v="144"/>
          </reference>
          <reference field="1" count="1" selected="0">
            <x v="82"/>
          </reference>
          <reference field="3" count="1">
            <x v="36"/>
          </reference>
        </references>
      </pivotArea>
    </format>
    <format dxfId="1049">
      <pivotArea collapsedLevelsAreSubtotals="1" fieldPosition="0">
        <references count="1">
          <reference field="0" count="1">
            <x v="147"/>
          </reference>
        </references>
      </pivotArea>
    </format>
    <format dxfId="1048">
      <pivotArea collapsedLevelsAreSubtotals="1" fieldPosition="0">
        <references count="2">
          <reference field="0" count="1" selected="0">
            <x v="147"/>
          </reference>
          <reference field="1" count="1">
            <x v="134"/>
          </reference>
        </references>
      </pivotArea>
    </format>
    <format dxfId="1047">
      <pivotArea collapsedLevelsAreSubtotals="1" fieldPosition="0">
        <references count="3">
          <reference field="0" count="1" selected="0">
            <x v="147"/>
          </reference>
          <reference field="1" count="1" selected="0">
            <x v="134"/>
          </reference>
          <reference field="3" count="1">
            <x v="178"/>
          </reference>
        </references>
      </pivotArea>
    </format>
    <format dxfId="1046">
      <pivotArea collapsedLevelsAreSubtotals="1" fieldPosition="0">
        <references count="1">
          <reference field="0" count="1">
            <x v="149"/>
          </reference>
        </references>
      </pivotArea>
    </format>
    <format dxfId="1045">
      <pivotArea collapsedLevelsAreSubtotals="1" fieldPosition="0">
        <references count="2">
          <reference field="0" count="1" selected="0">
            <x v="149"/>
          </reference>
          <reference field="1" count="1">
            <x v="130"/>
          </reference>
        </references>
      </pivotArea>
    </format>
    <format dxfId="1044">
      <pivotArea collapsedLevelsAreSubtotals="1" fieldPosition="0">
        <references count="3">
          <reference field="0" count="1" selected="0">
            <x v="149"/>
          </reference>
          <reference field="1" count="1" selected="0">
            <x v="130"/>
          </reference>
          <reference field="3" count="1">
            <x v="96"/>
          </reference>
        </references>
      </pivotArea>
    </format>
    <format dxfId="1043">
      <pivotArea collapsedLevelsAreSubtotals="1" fieldPosition="0">
        <references count="1">
          <reference field="0" count="1">
            <x v="158"/>
          </reference>
        </references>
      </pivotArea>
    </format>
    <format dxfId="1042">
      <pivotArea collapsedLevelsAreSubtotals="1" fieldPosition="0">
        <references count="2">
          <reference field="0" count="1" selected="0">
            <x v="158"/>
          </reference>
          <reference field="1" count="1">
            <x v="166"/>
          </reference>
        </references>
      </pivotArea>
    </format>
    <format dxfId="1041">
      <pivotArea collapsedLevelsAreSubtotals="1" fieldPosition="0">
        <references count="3">
          <reference field="0" count="1" selected="0">
            <x v="158"/>
          </reference>
          <reference field="1" count="1" selected="0">
            <x v="166"/>
          </reference>
          <reference field="3" count="1">
            <x v="53"/>
          </reference>
        </references>
      </pivotArea>
    </format>
    <format dxfId="1040">
      <pivotArea collapsedLevelsAreSubtotals="1" fieldPosition="0">
        <references count="1">
          <reference field="0" count="1">
            <x v="161"/>
          </reference>
        </references>
      </pivotArea>
    </format>
    <format dxfId="1039">
      <pivotArea collapsedLevelsAreSubtotals="1" fieldPosition="0">
        <references count="2">
          <reference field="0" count="1" selected="0">
            <x v="161"/>
          </reference>
          <reference field="1" count="1">
            <x v="48"/>
          </reference>
        </references>
      </pivotArea>
    </format>
    <format dxfId="1038">
      <pivotArea collapsedLevelsAreSubtotals="1" fieldPosition="0">
        <references count="3">
          <reference field="0" count="1" selected="0">
            <x v="161"/>
          </reference>
          <reference field="1" count="1" selected="0">
            <x v="48"/>
          </reference>
          <reference field="3" count="1">
            <x v="97"/>
          </reference>
        </references>
      </pivotArea>
    </format>
    <format dxfId="1037">
      <pivotArea collapsedLevelsAreSubtotals="1" fieldPosition="0">
        <references count="1">
          <reference field="0" count="1">
            <x v="167"/>
          </reference>
        </references>
      </pivotArea>
    </format>
    <format dxfId="1036">
      <pivotArea collapsedLevelsAreSubtotals="1" fieldPosition="0">
        <references count="2">
          <reference field="0" count="1" selected="0">
            <x v="167"/>
          </reference>
          <reference field="1" count="1">
            <x v="132"/>
          </reference>
        </references>
      </pivotArea>
    </format>
    <format dxfId="1035">
      <pivotArea collapsedLevelsAreSubtotals="1" fieldPosition="0">
        <references count="3">
          <reference field="0" count="1" selected="0">
            <x v="167"/>
          </reference>
          <reference field="1" count="1" selected="0">
            <x v="132"/>
          </reference>
          <reference field="3" count="1">
            <x v="188"/>
          </reference>
        </references>
      </pivotArea>
    </format>
    <format dxfId="1034">
      <pivotArea collapsedLevelsAreSubtotals="1" fieldPosition="0">
        <references count="1">
          <reference field="0" count="1">
            <x v="168"/>
          </reference>
        </references>
      </pivotArea>
    </format>
    <format dxfId="1033">
      <pivotArea collapsedLevelsAreSubtotals="1" fieldPosition="0">
        <references count="2">
          <reference field="0" count="1" selected="0">
            <x v="168"/>
          </reference>
          <reference field="1" count="1">
            <x v="102"/>
          </reference>
        </references>
      </pivotArea>
    </format>
    <format dxfId="1032">
      <pivotArea collapsedLevelsAreSubtotals="1" fieldPosition="0">
        <references count="3">
          <reference field="0" count="1" selected="0">
            <x v="168"/>
          </reference>
          <reference field="1" count="1" selected="0">
            <x v="102"/>
          </reference>
          <reference field="3" count="1">
            <x v="151"/>
          </reference>
        </references>
      </pivotArea>
    </format>
    <format dxfId="1031">
      <pivotArea collapsedLevelsAreSubtotals="1" fieldPosition="0">
        <references count="1">
          <reference field="0" count="1">
            <x v="169"/>
          </reference>
        </references>
      </pivotArea>
    </format>
    <format dxfId="1030">
      <pivotArea collapsedLevelsAreSubtotals="1" fieldPosition="0">
        <references count="2">
          <reference field="0" count="1" selected="0">
            <x v="169"/>
          </reference>
          <reference field="1" count="1">
            <x v="21"/>
          </reference>
        </references>
      </pivotArea>
    </format>
    <format dxfId="1029">
      <pivotArea collapsedLevelsAreSubtotals="1" fieldPosition="0">
        <references count="3">
          <reference field="0" count="1" selected="0">
            <x v="169"/>
          </reference>
          <reference field="1" count="1" selected="0">
            <x v="21"/>
          </reference>
          <reference field="3" count="1">
            <x v="192"/>
          </reference>
        </references>
      </pivotArea>
    </format>
    <format dxfId="1028">
      <pivotArea collapsedLevelsAreSubtotals="1" fieldPosition="0">
        <references count="1">
          <reference field="0" count="1">
            <x v="171"/>
          </reference>
        </references>
      </pivotArea>
    </format>
    <format dxfId="1027">
      <pivotArea collapsedLevelsAreSubtotals="1" fieldPosition="0">
        <references count="2">
          <reference field="0" count="1" selected="0">
            <x v="171"/>
          </reference>
          <reference field="1" count="1">
            <x v="136"/>
          </reference>
        </references>
      </pivotArea>
    </format>
    <format dxfId="1026">
      <pivotArea collapsedLevelsAreSubtotals="1" fieldPosition="0">
        <references count="3">
          <reference field="0" count="1" selected="0">
            <x v="171"/>
          </reference>
          <reference field="1" count="1" selected="0">
            <x v="136"/>
          </reference>
          <reference field="3" count="1">
            <x v="129"/>
          </reference>
        </references>
      </pivotArea>
    </format>
    <format dxfId="1025">
      <pivotArea collapsedLevelsAreSubtotals="1" fieldPosition="0">
        <references count="1">
          <reference field="0" count="1">
            <x v="172"/>
          </reference>
        </references>
      </pivotArea>
    </format>
    <format dxfId="1024">
      <pivotArea collapsedLevelsAreSubtotals="1" fieldPosition="0">
        <references count="2">
          <reference field="0" count="1" selected="0">
            <x v="172"/>
          </reference>
          <reference field="1" count="1">
            <x v="170"/>
          </reference>
        </references>
      </pivotArea>
    </format>
    <format dxfId="1023">
      <pivotArea collapsedLevelsAreSubtotals="1" fieldPosition="0">
        <references count="3">
          <reference field="0" count="1" selected="0">
            <x v="172"/>
          </reference>
          <reference field="1" count="1" selected="0">
            <x v="170"/>
          </reference>
          <reference field="3" count="1">
            <x v="153"/>
          </reference>
        </references>
      </pivotArea>
    </format>
    <format dxfId="1022">
      <pivotArea collapsedLevelsAreSubtotals="1" fieldPosition="0">
        <references count="1">
          <reference field="0" count="1">
            <x v="173"/>
          </reference>
        </references>
      </pivotArea>
    </format>
    <format dxfId="1021">
      <pivotArea collapsedLevelsAreSubtotals="1" fieldPosition="0">
        <references count="2">
          <reference field="0" count="1" selected="0">
            <x v="173"/>
          </reference>
          <reference field="1" count="1">
            <x v="54"/>
          </reference>
        </references>
      </pivotArea>
    </format>
    <format dxfId="1020">
      <pivotArea collapsedLevelsAreSubtotals="1" fieldPosition="0">
        <references count="3">
          <reference field="0" count="1" selected="0">
            <x v="173"/>
          </reference>
          <reference field="1" count="1" selected="0">
            <x v="54"/>
          </reference>
          <reference field="3" count="1">
            <x v="145"/>
          </reference>
        </references>
      </pivotArea>
    </format>
    <format dxfId="1019">
      <pivotArea collapsedLevelsAreSubtotals="1" fieldPosition="0">
        <references count="1">
          <reference field="0" count="1">
            <x v="174"/>
          </reference>
        </references>
      </pivotArea>
    </format>
    <format dxfId="1018">
      <pivotArea collapsedLevelsAreSubtotals="1" fieldPosition="0">
        <references count="2">
          <reference field="0" count="1" selected="0">
            <x v="174"/>
          </reference>
          <reference field="1" count="1">
            <x v="64"/>
          </reference>
        </references>
      </pivotArea>
    </format>
    <format dxfId="1017">
      <pivotArea collapsedLevelsAreSubtotals="1" fieldPosition="0">
        <references count="3">
          <reference field="0" count="1" selected="0">
            <x v="174"/>
          </reference>
          <reference field="1" count="1" selected="0">
            <x v="64"/>
          </reference>
          <reference field="3" count="1">
            <x v="141"/>
          </reference>
        </references>
      </pivotArea>
    </format>
    <format dxfId="1016">
      <pivotArea collapsedLevelsAreSubtotals="1" fieldPosition="0">
        <references count="1">
          <reference field="0" count="1">
            <x v="175"/>
          </reference>
        </references>
      </pivotArea>
    </format>
    <format dxfId="1015">
      <pivotArea collapsedLevelsAreSubtotals="1" fieldPosition="0">
        <references count="2">
          <reference field="0" count="1" selected="0">
            <x v="175"/>
          </reference>
          <reference field="1" count="1">
            <x v="91"/>
          </reference>
        </references>
      </pivotArea>
    </format>
    <format dxfId="1014">
      <pivotArea collapsedLevelsAreSubtotals="1" fieldPosition="0">
        <references count="3">
          <reference field="0" count="1" selected="0">
            <x v="175"/>
          </reference>
          <reference field="1" count="1" selected="0">
            <x v="91"/>
          </reference>
          <reference field="3" count="1">
            <x v="141"/>
          </reference>
        </references>
      </pivotArea>
    </format>
    <format dxfId="1013">
      <pivotArea collapsedLevelsAreSubtotals="1" fieldPosition="0">
        <references count="1">
          <reference field="0" count="1">
            <x v="176"/>
          </reference>
        </references>
      </pivotArea>
    </format>
    <format dxfId="1012">
      <pivotArea collapsedLevelsAreSubtotals="1" fieldPosition="0">
        <references count="2">
          <reference field="0" count="1" selected="0">
            <x v="176"/>
          </reference>
          <reference field="1" count="1">
            <x v="169"/>
          </reference>
        </references>
      </pivotArea>
    </format>
    <format dxfId="1011">
      <pivotArea collapsedLevelsAreSubtotals="1" fieldPosition="0">
        <references count="3">
          <reference field="0" count="1" selected="0">
            <x v="176"/>
          </reference>
          <reference field="1" count="1" selected="0">
            <x v="169"/>
          </reference>
          <reference field="3" count="1">
            <x v="141"/>
          </reference>
        </references>
      </pivotArea>
    </format>
    <format dxfId="1010">
      <pivotArea collapsedLevelsAreSubtotals="1" fieldPosition="0">
        <references count="1">
          <reference field="0" count="1">
            <x v="177"/>
          </reference>
        </references>
      </pivotArea>
    </format>
    <format dxfId="1009">
      <pivotArea collapsedLevelsAreSubtotals="1" fieldPosition="0">
        <references count="2">
          <reference field="0" count="1" selected="0">
            <x v="177"/>
          </reference>
          <reference field="1" count="1">
            <x v="120"/>
          </reference>
        </references>
      </pivotArea>
    </format>
    <format dxfId="1008">
      <pivotArea collapsedLevelsAreSubtotals="1" fieldPosition="0">
        <references count="3">
          <reference field="0" count="1" selected="0">
            <x v="177"/>
          </reference>
          <reference field="1" count="1" selected="0">
            <x v="120"/>
          </reference>
          <reference field="3" count="1">
            <x v="149"/>
          </reference>
        </references>
      </pivotArea>
    </format>
    <format dxfId="1007">
      <pivotArea collapsedLevelsAreSubtotals="1" fieldPosition="0">
        <references count="1">
          <reference field="0" count="1">
            <x v="178"/>
          </reference>
        </references>
      </pivotArea>
    </format>
    <format dxfId="1006">
      <pivotArea collapsedLevelsAreSubtotals="1" fieldPosition="0">
        <references count="2">
          <reference field="0" count="1" selected="0">
            <x v="178"/>
          </reference>
          <reference field="1" count="1">
            <x v="8"/>
          </reference>
        </references>
      </pivotArea>
    </format>
    <format dxfId="1005">
      <pivotArea collapsedLevelsAreSubtotals="1" fieldPosition="0">
        <references count="3">
          <reference field="0" count="1" selected="0">
            <x v="178"/>
          </reference>
          <reference field="1" count="1" selected="0">
            <x v="8"/>
          </reference>
          <reference field="3" count="1">
            <x v="141"/>
          </reference>
        </references>
      </pivotArea>
    </format>
    <format dxfId="1004">
      <pivotArea collapsedLevelsAreSubtotals="1" fieldPosition="0">
        <references count="1">
          <reference field="0" count="1">
            <x v="179"/>
          </reference>
        </references>
      </pivotArea>
    </format>
    <format dxfId="1003">
      <pivotArea collapsedLevelsAreSubtotals="1" fieldPosition="0">
        <references count="2">
          <reference field="0" count="1" selected="0">
            <x v="179"/>
          </reference>
          <reference field="1" count="1">
            <x v="94"/>
          </reference>
        </references>
      </pivotArea>
    </format>
    <format dxfId="1002">
      <pivotArea collapsedLevelsAreSubtotals="1" fieldPosition="0">
        <references count="3">
          <reference field="0" count="1" selected="0">
            <x v="179"/>
          </reference>
          <reference field="1" count="1" selected="0">
            <x v="94"/>
          </reference>
          <reference field="3" count="1">
            <x v="141"/>
          </reference>
        </references>
      </pivotArea>
    </format>
    <format dxfId="1001">
      <pivotArea collapsedLevelsAreSubtotals="1" fieldPosition="0">
        <references count="1">
          <reference field="0" count="1">
            <x v="180"/>
          </reference>
        </references>
      </pivotArea>
    </format>
    <format dxfId="1000">
      <pivotArea collapsedLevelsAreSubtotals="1" fieldPosition="0">
        <references count="2">
          <reference field="0" count="1" selected="0">
            <x v="180"/>
          </reference>
          <reference field="1" count="1">
            <x v="111"/>
          </reference>
        </references>
      </pivotArea>
    </format>
    <format dxfId="999">
      <pivotArea collapsedLevelsAreSubtotals="1" fieldPosition="0">
        <references count="3">
          <reference field="0" count="1" selected="0">
            <x v="180"/>
          </reference>
          <reference field="1" count="1" selected="0">
            <x v="111"/>
          </reference>
          <reference field="3" count="1">
            <x v="114"/>
          </reference>
        </references>
      </pivotArea>
    </format>
    <format dxfId="998">
      <pivotArea collapsedLevelsAreSubtotals="1" fieldPosition="0">
        <references count="1">
          <reference field="0" count="1">
            <x v="181"/>
          </reference>
        </references>
      </pivotArea>
    </format>
    <format dxfId="997">
      <pivotArea collapsedLevelsAreSubtotals="1" fieldPosition="0">
        <references count="2">
          <reference field="0" count="1" selected="0">
            <x v="181"/>
          </reference>
          <reference field="1" count="1">
            <x v="53"/>
          </reference>
        </references>
      </pivotArea>
    </format>
    <format dxfId="996">
      <pivotArea collapsedLevelsAreSubtotals="1" fieldPosition="0">
        <references count="3">
          <reference field="0" count="1" selected="0">
            <x v="181"/>
          </reference>
          <reference field="1" count="1" selected="0">
            <x v="53"/>
          </reference>
          <reference field="3" count="1">
            <x v="140"/>
          </reference>
        </references>
      </pivotArea>
    </format>
    <format dxfId="995">
      <pivotArea collapsedLevelsAreSubtotals="1" fieldPosition="0">
        <references count="1">
          <reference field="0" count="1">
            <x v="182"/>
          </reference>
        </references>
      </pivotArea>
    </format>
    <format dxfId="994">
      <pivotArea collapsedLevelsAreSubtotals="1" fieldPosition="0">
        <references count="2">
          <reference field="0" count="1" selected="0">
            <x v="182"/>
          </reference>
          <reference field="1" count="1">
            <x v="55"/>
          </reference>
        </references>
      </pivotArea>
    </format>
    <format dxfId="993">
      <pivotArea collapsedLevelsAreSubtotals="1" fieldPosition="0">
        <references count="3">
          <reference field="0" count="1" selected="0">
            <x v="182"/>
          </reference>
          <reference field="1" count="1" selected="0">
            <x v="55"/>
          </reference>
          <reference field="3" count="1">
            <x v="147"/>
          </reference>
        </references>
      </pivotArea>
    </format>
    <format dxfId="992">
      <pivotArea collapsedLevelsAreSubtotals="1" fieldPosition="0">
        <references count="1">
          <reference field="0" count="1">
            <x v="183"/>
          </reference>
        </references>
      </pivotArea>
    </format>
    <format dxfId="991">
      <pivotArea collapsedLevelsAreSubtotals="1" fieldPosition="0">
        <references count="2">
          <reference field="0" count="1" selected="0">
            <x v="183"/>
          </reference>
          <reference field="1" count="1">
            <x v="93"/>
          </reference>
        </references>
      </pivotArea>
    </format>
    <format dxfId="990">
      <pivotArea collapsedLevelsAreSubtotals="1" fieldPosition="0">
        <references count="3">
          <reference field="0" count="1" selected="0">
            <x v="183"/>
          </reference>
          <reference field="1" count="1" selected="0">
            <x v="93"/>
          </reference>
          <reference field="3" count="1">
            <x v="139"/>
          </reference>
        </references>
      </pivotArea>
    </format>
    <format dxfId="989">
      <pivotArea collapsedLevelsAreSubtotals="1" fieldPosition="0">
        <references count="1">
          <reference field="0" count="1">
            <x v="184"/>
          </reference>
        </references>
      </pivotArea>
    </format>
    <format dxfId="988">
      <pivotArea collapsedLevelsAreSubtotals="1" fieldPosition="0">
        <references count="2">
          <reference field="0" count="1" selected="0">
            <x v="184"/>
          </reference>
          <reference field="1" count="1">
            <x v="60"/>
          </reference>
        </references>
      </pivotArea>
    </format>
    <format dxfId="987">
      <pivotArea collapsedLevelsAreSubtotals="1" fieldPosition="0">
        <references count="3">
          <reference field="0" count="1" selected="0">
            <x v="184"/>
          </reference>
          <reference field="1" count="1" selected="0">
            <x v="60"/>
          </reference>
          <reference field="3" count="1">
            <x v="146"/>
          </reference>
        </references>
      </pivotArea>
    </format>
    <format dxfId="986">
      <pivotArea collapsedLevelsAreSubtotals="1" fieldPosition="0">
        <references count="1">
          <reference field="0" count="1">
            <x v="188"/>
          </reference>
        </references>
      </pivotArea>
    </format>
    <format dxfId="985">
      <pivotArea collapsedLevelsAreSubtotals="1" fieldPosition="0">
        <references count="2">
          <reference field="0" count="1" selected="0">
            <x v="188"/>
          </reference>
          <reference field="1" count="1">
            <x v="113"/>
          </reference>
        </references>
      </pivotArea>
    </format>
    <format dxfId="984">
      <pivotArea collapsedLevelsAreSubtotals="1" fieldPosition="0">
        <references count="3">
          <reference field="0" count="1" selected="0">
            <x v="188"/>
          </reference>
          <reference field="1" count="1" selected="0">
            <x v="113"/>
          </reference>
          <reference field="3" count="1">
            <x v="136"/>
          </reference>
        </references>
      </pivotArea>
    </format>
    <format dxfId="983">
      <pivotArea collapsedLevelsAreSubtotals="1" fieldPosition="0">
        <references count="1">
          <reference field="0" count="1">
            <x v="189"/>
          </reference>
        </references>
      </pivotArea>
    </format>
    <format dxfId="982">
      <pivotArea collapsedLevelsAreSubtotals="1" fieldPosition="0">
        <references count="2">
          <reference field="0" count="1" selected="0">
            <x v="189"/>
          </reference>
          <reference field="1" count="1">
            <x v="4"/>
          </reference>
        </references>
      </pivotArea>
    </format>
    <format dxfId="981">
      <pivotArea collapsedLevelsAreSubtotals="1" fieldPosition="0">
        <references count="3">
          <reference field="0" count="1" selected="0">
            <x v="189"/>
          </reference>
          <reference field="1" count="1" selected="0">
            <x v="4"/>
          </reference>
          <reference field="3" count="1">
            <x v="110"/>
          </reference>
        </references>
      </pivotArea>
    </format>
    <format dxfId="980">
      <pivotArea collapsedLevelsAreSubtotals="1" fieldPosition="0">
        <references count="1">
          <reference field="0" count="1">
            <x v="190"/>
          </reference>
        </references>
      </pivotArea>
    </format>
    <format dxfId="979">
      <pivotArea collapsedLevelsAreSubtotals="1" fieldPosition="0">
        <references count="2">
          <reference field="0" count="1" selected="0">
            <x v="190"/>
          </reference>
          <reference field="1" count="1">
            <x v="49"/>
          </reference>
        </references>
      </pivotArea>
    </format>
    <format dxfId="978">
      <pivotArea collapsedLevelsAreSubtotals="1" fieldPosition="0">
        <references count="3">
          <reference field="0" count="1" selected="0">
            <x v="190"/>
          </reference>
          <reference field="1" count="1" selected="0">
            <x v="49"/>
          </reference>
          <reference field="3" count="1">
            <x v="72"/>
          </reference>
        </references>
      </pivotArea>
    </format>
    <format dxfId="977">
      <pivotArea collapsedLevelsAreSubtotals="1" fieldPosition="0">
        <references count="1">
          <reference field="0" count="1">
            <x v="191"/>
          </reference>
        </references>
      </pivotArea>
    </format>
    <format dxfId="976">
      <pivotArea collapsedLevelsAreSubtotals="1" fieldPosition="0">
        <references count="2">
          <reference field="0" count="1" selected="0">
            <x v="191"/>
          </reference>
          <reference field="1" count="1">
            <x v="154"/>
          </reference>
        </references>
      </pivotArea>
    </format>
    <format dxfId="975">
      <pivotArea collapsedLevelsAreSubtotals="1" fieldPosition="0">
        <references count="3">
          <reference field="0" count="1" selected="0">
            <x v="191"/>
          </reference>
          <reference field="1" count="1" selected="0">
            <x v="154"/>
          </reference>
          <reference field="3" count="1">
            <x v="115"/>
          </reference>
        </references>
      </pivotArea>
    </format>
    <format dxfId="974">
      <pivotArea collapsedLevelsAreSubtotals="1" fieldPosition="0">
        <references count="1">
          <reference field="0" count="1">
            <x v="192"/>
          </reference>
        </references>
      </pivotArea>
    </format>
    <format dxfId="973">
      <pivotArea collapsedLevelsAreSubtotals="1" fieldPosition="0">
        <references count="2">
          <reference field="0" count="1" selected="0">
            <x v="192"/>
          </reference>
          <reference field="1" count="1">
            <x v="112"/>
          </reference>
        </references>
      </pivotArea>
    </format>
    <format dxfId="972">
      <pivotArea collapsedLevelsAreSubtotals="1" fieldPosition="0">
        <references count="3">
          <reference field="0" count="1" selected="0">
            <x v="192"/>
          </reference>
          <reference field="1" count="1" selected="0">
            <x v="112"/>
          </reference>
          <reference field="3" count="1">
            <x v="103"/>
          </reference>
        </references>
      </pivotArea>
    </format>
    <format dxfId="971">
      <pivotArea collapsedLevelsAreSubtotals="1" fieldPosition="0">
        <references count="1">
          <reference field="0" count="1">
            <x v="193"/>
          </reference>
        </references>
      </pivotArea>
    </format>
    <format dxfId="970">
      <pivotArea collapsedLevelsAreSubtotals="1" fieldPosition="0">
        <references count="2">
          <reference field="0" count="1" selected="0">
            <x v="193"/>
          </reference>
          <reference field="1" count="1">
            <x v="148"/>
          </reference>
        </references>
      </pivotArea>
    </format>
    <format dxfId="969">
      <pivotArea collapsedLevelsAreSubtotals="1" fieldPosition="0">
        <references count="3">
          <reference field="0" count="1" selected="0">
            <x v="193"/>
          </reference>
          <reference field="1" count="1" selected="0">
            <x v="148"/>
          </reference>
          <reference field="3" count="1">
            <x v="106"/>
          </reference>
        </references>
      </pivotArea>
    </format>
    <format dxfId="968">
      <pivotArea collapsedLevelsAreSubtotals="1" fieldPosition="0">
        <references count="1">
          <reference field="0" count="1">
            <x v="194"/>
          </reference>
        </references>
      </pivotArea>
    </format>
    <format dxfId="967">
      <pivotArea collapsedLevelsAreSubtotals="1" fieldPosition="0">
        <references count="2">
          <reference field="0" count="1" selected="0">
            <x v="194"/>
          </reference>
          <reference field="1" count="1">
            <x v="138"/>
          </reference>
        </references>
      </pivotArea>
    </format>
    <format dxfId="966">
      <pivotArea collapsedLevelsAreSubtotals="1" fieldPosition="0">
        <references count="3">
          <reference field="0" count="1" selected="0">
            <x v="194"/>
          </reference>
          <reference field="1" count="1" selected="0">
            <x v="138"/>
          </reference>
          <reference field="3" count="1">
            <x v="137"/>
          </reference>
        </references>
      </pivotArea>
    </format>
    <format dxfId="965">
      <pivotArea collapsedLevelsAreSubtotals="1" fieldPosition="0">
        <references count="1">
          <reference field="0" count="1">
            <x v="195"/>
          </reference>
        </references>
      </pivotArea>
    </format>
    <format dxfId="964">
      <pivotArea collapsedLevelsAreSubtotals="1" fieldPosition="0">
        <references count="2">
          <reference field="0" count="1" selected="0">
            <x v="195"/>
          </reference>
          <reference field="1" count="1">
            <x v="71"/>
          </reference>
        </references>
      </pivotArea>
    </format>
    <format dxfId="963">
      <pivotArea collapsedLevelsAreSubtotals="1" fieldPosition="0">
        <references count="3">
          <reference field="0" count="1" selected="0">
            <x v="195"/>
          </reference>
          <reference field="1" count="1" selected="0">
            <x v="71"/>
          </reference>
          <reference field="3" count="1">
            <x v="111"/>
          </reference>
        </references>
      </pivotArea>
    </format>
    <format dxfId="962">
      <pivotArea collapsedLevelsAreSubtotals="1" fieldPosition="0">
        <references count="1">
          <reference field="0" count="1">
            <x v="198"/>
          </reference>
        </references>
      </pivotArea>
    </format>
    <format dxfId="961">
      <pivotArea collapsedLevelsAreSubtotals="1" fieldPosition="0">
        <references count="2">
          <reference field="0" count="1" selected="0">
            <x v="198"/>
          </reference>
          <reference field="1" count="1">
            <x v="68"/>
          </reference>
        </references>
      </pivotArea>
    </format>
    <format dxfId="960">
      <pivotArea collapsedLevelsAreSubtotals="1" fieldPosition="0">
        <references count="3">
          <reference field="0" count="1" selected="0">
            <x v="198"/>
          </reference>
          <reference field="1" count="1" selected="0">
            <x v="68"/>
          </reference>
          <reference field="3" count="1">
            <x v="179"/>
          </reference>
        </references>
      </pivotArea>
    </format>
    <format dxfId="959">
      <pivotArea collapsedLevelsAreSubtotals="1" fieldPosition="0">
        <references count="1">
          <reference field="0" count="1">
            <x v="199"/>
          </reference>
        </references>
      </pivotArea>
    </format>
    <format dxfId="958">
      <pivotArea collapsedLevelsAreSubtotals="1" fieldPosition="0">
        <references count="2">
          <reference field="0" count="1" selected="0">
            <x v="199"/>
          </reference>
          <reference field="1" count="1">
            <x v="1"/>
          </reference>
        </references>
      </pivotArea>
    </format>
    <format dxfId="957">
      <pivotArea collapsedLevelsAreSubtotals="1" fieldPosition="0">
        <references count="3">
          <reference field="0" count="1" selected="0">
            <x v="199"/>
          </reference>
          <reference field="1" count="1" selected="0">
            <x v="1"/>
          </reference>
          <reference field="3" count="1">
            <x v="66"/>
          </reference>
        </references>
      </pivotArea>
    </format>
    <format dxfId="956">
      <pivotArea collapsedLevelsAreSubtotals="1" fieldPosition="0">
        <references count="1">
          <reference field="0" count="1">
            <x v="201"/>
          </reference>
        </references>
      </pivotArea>
    </format>
    <format dxfId="955">
      <pivotArea collapsedLevelsAreSubtotals="1" fieldPosition="0">
        <references count="2">
          <reference field="0" count="1" selected="0">
            <x v="201"/>
          </reference>
          <reference field="1" count="1">
            <x v="114"/>
          </reference>
        </references>
      </pivotArea>
    </format>
    <format dxfId="954">
      <pivotArea collapsedLevelsAreSubtotals="1" fieldPosition="0">
        <references count="3">
          <reference field="0" count="1" selected="0">
            <x v="201"/>
          </reference>
          <reference field="1" count="1" selected="0">
            <x v="114"/>
          </reference>
          <reference field="3" count="1">
            <x v="176"/>
          </reference>
        </references>
      </pivotArea>
    </format>
    <format dxfId="953">
      <pivotArea collapsedLevelsAreSubtotals="1" fieldPosition="0">
        <references count="1">
          <reference field="0" count="1">
            <x v="202"/>
          </reference>
        </references>
      </pivotArea>
    </format>
    <format dxfId="952">
      <pivotArea collapsedLevelsAreSubtotals="1" fieldPosition="0">
        <references count="2">
          <reference field="0" count="1" selected="0">
            <x v="202"/>
          </reference>
          <reference field="1" count="1">
            <x v="70"/>
          </reference>
        </references>
      </pivotArea>
    </format>
    <format dxfId="951">
      <pivotArea collapsedLevelsAreSubtotals="1" fieldPosition="0">
        <references count="3">
          <reference field="0" count="1" selected="0">
            <x v="202"/>
          </reference>
          <reference field="1" count="1" selected="0">
            <x v="70"/>
          </reference>
          <reference field="3" count="1">
            <x v="104"/>
          </reference>
        </references>
      </pivotArea>
    </format>
    <format dxfId="950">
      <pivotArea collapsedLevelsAreSubtotals="1" fieldPosition="0">
        <references count="1">
          <reference field="0" count="1">
            <x v="204"/>
          </reference>
        </references>
      </pivotArea>
    </format>
    <format dxfId="949">
      <pivotArea collapsedLevelsAreSubtotals="1" fieldPosition="0">
        <references count="2">
          <reference field="0" count="1" selected="0">
            <x v="204"/>
          </reference>
          <reference field="1" count="1">
            <x v="160"/>
          </reference>
        </references>
      </pivotArea>
    </format>
    <format dxfId="948">
      <pivotArea collapsedLevelsAreSubtotals="1" fieldPosition="0">
        <references count="3">
          <reference field="0" count="1" selected="0">
            <x v="204"/>
          </reference>
          <reference field="1" count="1" selected="0">
            <x v="160"/>
          </reference>
          <reference field="3" count="1">
            <x v="95"/>
          </reference>
        </references>
      </pivotArea>
    </format>
    <format dxfId="947">
      <pivotArea collapsedLevelsAreSubtotals="1" fieldPosition="0">
        <references count="1">
          <reference field="0" count="1">
            <x v="205"/>
          </reference>
        </references>
      </pivotArea>
    </format>
    <format dxfId="946">
      <pivotArea collapsedLevelsAreSubtotals="1" fieldPosition="0">
        <references count="2">
          <reference field="0" count="1" selected="0">
            <x v="205"/>
          </reference>
          <reference field="1" count="1">
            <x v="158"/>
          </reference>
        </references>
      </pivotArea>
    </format>
    <format dxfId="945">
      <pivotArea collapsedLevelsAreSubtotals="1" fieldPosition="0">
        <references count="3">
          <reference field="0" count="1" selected="0">
            <x v="205"/>
          </reference>
          <reference field="1" count="1" selected="0">
            <x v="158"/>
          </reference>
          <reference field="3" count="1">
            <x v="34"/>
          </reference>
        </references>
      </pivotArea>
    </format>
    <format dxfId="944">
      <pivotArea collapsedLevelsAreSubtotals="1" fieldPosition="0">
        <references count="1">
          <reference field="0" count="1">
            <x v="207"/>
          </reference>
        </references>
      </pivotArea>
    </format>
    <format dxfId="943">
      <pivotArea collapsedLevelsAreSubtotals="1" fieldPosition="0">
        <references count="2">
          <reference field="0" count="1" selected="0">
            <x v="207"/>
          </reference>
          <reference field="1" count="1">
            <x v="157"/>
          </reference>
        </references>
      </pivotArea>
    </format>
    <format dxfId="942">
      <pivotArea collapsedLevelsAreSubtotals="1" fieldPosition="0">
        <references count="3">
          <reference field="0" count="1" selected="0">
            <x v="207"/>
          </reference>
          <reference field="1" count="1" selected="0">
            <x v="157"/>
          </reference>
          <reference field="3" count="1">
            <x v="184"/>
          </reference>
        </references>
      </pivotArea>
    </format>
    <format dxfId="941">
      <pivotArea collapsedLevelsAreSubtotals="1" fieldPosition="0">
        <references count="1">
          <reference field="0" count="1">
            <x v="209"/>
          </reference>
        </references>
      </pivotArea>
    </format>
    <format dxfId="940">
      <pivotArea collapsedLevelsAreSubtotals="1" fieldPosition="0">
        <references count="2">
          <reference field="0" count="1" selected="0">
            <x v="209"/>
          </reference>
          <reference field="1" count="1">
            <x v="155"/>
          </reference>
        </references>
      </pivotArea>
    </format>
    <format dxfId="939">
      <pivotArea collapsedLevelsAreSubtotals="1" fieldPosition="0">
        <references count="3">
          <reference field="0" count="1" selected="0">
            <x v="209"/>
          </reference>
          <reference field="1" count="1" selected="0">
            <x v="155"/>
          </reference>
          <reference field="3" count="1">
            <x v="120"/>
          </reference>
        </references>
      </pivotArea>
    </format>
    <format dxfId="938">
      <pivotArea collapsedLevelsAreSubtotals="1" fieldPosition="0">
        <references count="1">
          <reference field="0" count="1">
            <x v="210"/>
          </reference>
        </references>
      </pivotArea>
    </format>
    <format dxfId="937">
      <pivotArea collapsedLevelsAreSubtotals="1" fieldPosition="0">
        <references count="2">
          <reference field="0" count="1" selected="0">
            <x v="210"/>
          </reference>
          <reference field="1" count="1">
            <x v="61"/>
          </reference>
        </references>
      </pivotArea>
    </format>
    <format dxfId="936">
      <pivotArea collapsedLevelsAreSubtotals="1" fieldPosition="0">
        <references count="3">
          <reference field="0" count="1" selected="0">
            <x v="210"/>
          </reference>
          <reference field="1" count="1" selected="0">
            <x v="61"/>
          </reference>
          <reference field="3" count="1">
            <x v="167"/>
          </reference>
        </references>
      </pivotArea>
    </format>
    <format dxfId="935">
      <pivotArea collapsedLevelsAreSubtotals="1" fieldPosition="0">
        <references count="1">
          <reference field="0" count="1">
            <x v="211"/>
          </reference>
        </references>
      </pivotArea>
    </format>
    <format dxfId="934">
      <pivotArea collapsedLevelsAreSubtotals="1" fieldPosition="0">
        <references count="2">
          <reference field="0" count="1" selected="0">
            <x v="211"/>
          </reference>
          <reference field="1" count="1">
            <x v="10"/>
          </reference>
        </references>
      </pivotArea>
    </format>
    <format dxfId="933">
      <pivotArea collapsedLevelsAreSubtotals="1" fieldPosition="0">
        <references count="3">
          <reference field="0" count="1" selected="0">
            <x v="211"/>
          </reference>
          <reference field="1" count="1" selected="0">
            <x v="10"/>
          </reference>
          <reference field="3" count="1">
            <x v="200"/>
          </reference>
        </references>
      </pivotArea>
    </format>
    <format dxfId="932">
      <pivotArea collapsedLevelsAreSubtotals="1" fieldPosition="0">
        <references count="1">
          <reference field="0" count="1">
            <x v="212"/>
          </reference>
        </references>
      </pivotArea>
    </format>
    <format dxfId="931">
      <pivotArea collapsedLevelsAreSubtotals="1" fieldPosition="0">
        <references count="2">
          <reference field="0" count="1" selected="0">
            <x v="212"/>
          </reference>
          <reference field="1" count="1">
            <x v="50"/>
          </reference>
        </references>
      </pivotArea>
    </format>
    <format dxfId="930">
      <pivotArea collapsedLevelsAreSubtotals="1" fieldPosition="0">
        <references count="3">
          <reference field="0" count="1" selected="0">
            <x v="212"/>
          </reference>
          <reference field="1" count="1" selected="0">
            <x v="50"/>
          </reference>
          <reference field="3" count="1">
            <x v="70"/>
          </reference>
        </references>
      </pivotArea>
    </format>
    <format dxfId="929">
      <pivotArea collapsedLevelsAreSubtotals="1" fieldPosition="0">
        <references count="1">
          <reference field="0" count="1">
            <x v="213"/>
          </reference>
        </references>
      </pivotArea>
    </format>
    <format dxfId="928">
      <pivotArea collapsedLevelsAreSubtotals="1" fieldPosition="0">
        <references count="2">
          <reference field="0" count="1" selected="0">
            <x v="213"/>
          </reference>
          <reference field="1" count="1">
            <x v="29"/>
          </reference>
        </references>
      </pivotArea>
    </format>
    <format dxfId="927">
      <pivotArea collapsedLevelsAreSubtotals="1" fieldPosition="0">
        <references count="3">
          <reference field="0" count="1" selected="0">
            <x v="213"/>
          </reference>
          <reference field="1" count="1" selected="0">
            <x v="29"/>
          </reference>
          <reference field="3" count="1">
            <x v="138"/>
          </reference>
        </references>
      </pivotArea>
    </format>
    <format dxfId="926">
      <pivotArea collapsedLevelsAreSubtotals="1" fieldPosition="0">
        <references count="1">
          <reference field="0" count="1">
            <x v="214"/>
          </reference>
        </references>
      </pivotArea>
    </format>
    <format dxfId="925">
      <pivotArea collapsedLevelsAreSubtotals="1" fieldPosition="0">
        <references count="2">
          <reference field="0" count="1" selected="0">
            <x v="214"/>
          </reference>
          <reference field="1" count="1">
            <x v="40"/>
          </reference>
        </references>
      </pivotArea>
    </format>
    <format dxfId="924">
      <pivotArea collapsedLevelsAreSubtotals="1" fieldPosition="0">
        <references count="3">
          <reference field="0" count="1" selected="0">
            <x v="214"/>
          </reference>
          <reference field="1" count="1" selected="0">
            <x v="40"/>
          </reference>
          <reference field="3" count="1">
            <x v="156"/>
          </reference>
        </references>
      </pivotArea>
    </format>
    <format dxfId="923">
      <pivotArea collapsedLevelsAreSubtotals="1" fieldPosition="0">
        <references count="1">
          <reference field="0" count="1">
            <x v="215"/>
          </reference>
        </references>
      </pivotArea>
    </format>
    <format dxfId="922">
      <pivotArea collapsedLevelsAreSubtotals="1" fieldPosition="0">
        <references count="2">
          <reference field="0" count="1" selected="0">
            <x v="215"/>
          </reference>
          <reference field="1" count="1">
            <x v="75"/>
          </reference>
        </references>
      </pivotArea>
    </format>
    <format dxfId="921">
      <pivotArea collapsedLevelsAreSubtotals="1" fieldPosition="0">
        <references count="3">
          <reference field="0" count="1" selected="0">
            <x v="215"/>
          </reference>
          <reference field="1" count="1" selected="0">
            <x v="75"/>
          </reference>
          <reference field="3" count="1">
            <x v="175"/>
          </reference>
        </references>
      </pivotArea>
    </format>
    <format dxfId="920">
      <pivotArea collapsedLevelsAreSubtotals="1" fieldPosition="0">
        <references count="1">
          <reference field="0" count="1">
            <x v="216"/>
          </reference>
        </references>
      </pivotArea>
    </format>
    <format dxfId="919">
      <pivotArea collapsedLevelsAreSubtotals="1" fieldPosition="0">
        <references count="2">
          <reference field="0" count="1" selected="0">
            <x v="216"/>
          </reference>
          <reference field="1" count="1">
            <x v="86"/>
          </reference>
        </references>
      </pivotArea>
    </format>
    <format dxfId="918">
      <pivotArea collapsedLevelsAreSubtotals="1" fieldPosition="0">
        <references count="3">
          <reference field="0" count="1" selected="0">
            <x v="216"/>
          </reference>
          <reference field="1" count="1" selected="0">
            <x v="86"/>
          </reference>
          <reference field="3" count="1">
            <x v="41"/>
          </reference>
        </references>
      </pivotArea>
    </format>
    <format dxfId="917">
      <pivotArea collapsedLevelsAreSubtotals="1" fieldPosition="0">
        <references count="1">
          <reference field="0" count="1">
            <x v="217"/>
          </reference>
        </references>
      </pivotArea>
    </format>
    <format dxfId="916">
      <pivotArea collapsedLevelsAreSubtotals="1" fieldPosition="0">
        <references count="2">
          <reference field="0" count="1" selected="0">
            <x v="217"/>
          </reference>
          <reference field="1" count="1">
            <x v="72"/>
          </reference>
        </references>
      </pivotArea>
    </format>
    <format dxfId="915">
      <pivotArea collapsedLevelsAreSubtotals="1" fieldPosition="0">
        <references count="3">
          <reference field="0" count="1" selected="0">
            <x v="217"/>
          </reference>
          <reference field="1" count="1" selected="0">
            <x v="72"/>
          </reference>
          <reference field="3" count="1">
            <x v="23"/>
          </reference>
        </references>
      </pivotArea>
    </format>
    <format dxfId="914">
      <pivotArea collapsedLevelsAreSubtotals="1" fieldPosition="0">
        <references count="1">
          <reference field="0" count="1">
            <x v="218"/>
          </reference>
        </references>
      </pivotArea>
    </format>
    <format dxfId="913">
      <pivotArea collapsedLevelsAreSubtotals="1" fieldPosition="0">
        <references count="2">
          <reference field="0" count="1" selected="0">
            <x v="218"/>
          </reference>
          <reference field="1" count="1">
            <x v="33"/>
          </reference>
        </references>
      </pivotArea>
    </format>
    <format dxfId="912">
      <pivotArea collapsedLevelsAreSubtotals="1" fieldPosition="0">
        <references count="3">
          <reference field="0" count="1" selected="0">
            <x v="218"/>
          </reference>
          <reference field="1" count="1" selected="0">
            <x v="33"/>
          </reference>
          <reference field="3" count="1">
            <x v="193"/>
          </reference>
        </references>
      </pivotArea>
    </format>
    <format dxfId="911">
      <pivotArea collapsedLevelsAreSubtotals="1" fieldPosition="0">
        <references count="1">
          <reference field="0" count="1">
            <x v="219"/>
          </reference>
        </references>
      </pivotArea>
    </format>
    <format dxfId="910">
      <pivotArea collapsedLevelsAreSubtotals="1" fieldPosition="0">
        <references count="2">
          <reference field="0" count="1" selected="0">
            <x v="219"/>
          </reference>
          <reference field="1" count="1">
            <x v="58"/>
          </reference>
        </references>
      </pivotArea>
    </format>
    <format dxfId="909">
      <pivotArea collapsedLevelsAreSubtotals="1" fieldPosition="0">
        <references count="3">
          <reference field="0" count="1" selected="0">
            <x v="219"/>
          </reference>
          <reference field="1" count="1" selected="0">
            <x v="58"/>
          </reference>
          <reference field="3" count="1">
            <x v="197"/>
          </reference>
        </references>
      </pivotArea>
    </format>
    <format dxfId="908">
      <pivotArea collapsedLevelsAreSubtotals="1" fieldPosition="0">
        <references count="1">
          <reference field="0" count="1">
            <x v="220"/>
          </reference>
        </references>
      </pivotArea>
    </format>
    <format dxfId="907">
      <pivotArea collapsedLevelsAreSubtotals="1" fieldPosition="0">
        <references count="2">
          <reference field="0" count="1" selected="0">
            <x v="220"/>
          </reference>
          <reference field="1" count="1">
            <x v="153"/>
          </reference>
        </references>
      </pivotArea>
    </format>
    <format dxfId="906">
      <pivotArea collapsedLevelsAreSubtotals="1" fieldPosition="0">
        <references count="3">
          <reference field="0" count="1" selected="0">
            <x v="220"/>
          </reference>
          <reference field="1" count="1" selected="0">
            <x v="153"/>
          </reference>
          <reference field="3" count="1">
            <x v="5"/>
          </reference>
        </references>
      </pivotArea>
    </format>
    <format dxfId="905">
      <pivotArea collapsedLevelsAreSubtotals="1" fieldPosition="0">
        <references count="1">
          <reference field="0" count="1">
            <x v="221"/>
          </reference>
        </references>
      </pivotArea>
    </format>
    <format dxfId="904">
      <pivotArea collapsedLevelsAreSubtotals="1" fieldPosition="0">
        <references count="2">
          <reference field="0" count="1" selected="0">
            <x v="221"/>
          </reference>
          <reference field="1" count="1">
            <x v="116"/>
          </reference>
        </references>
      </pivotArea>
    </format>
    <format dxfId="903">
      <pivotArea collapsedLevelsAreSubtotals="1" fieldPosition="0">
        <references count="3">
          <reference field="0" count="1" selected="0">
            <x v="221"/>
          </reference>
          <reference field="1" count="1" selected="0">
            <x v="116"/>
          </reference>
          <reference field="3" count="1">
            <x v="155"/>
          </reference>
        </references>
      </pivotArea>
    </format>
    <format dxfId="902">
      <pivotArea collapsedLevelsAreSubtotals="1" fieldPosition="0">
        <references count="1">
          <reference field="0" count="1">
            <x v="222"/>
          </reference>
        </references>
      </pivotArea>
    </format>
    <format dxfId="901">
      <pivotArea collapsedLevelsAreSubtotals="1" fieldPosition="0">
        <references count="2">
          <reference field="0" count="1" selected="0">
            <x v="222"/>
          </reference>
          <reference field="1" count="1">
            <x v="97"/>
          </reference>
        </references>
      </pivotArea>
    </format>
    <format dxfId="900">
      <pivotArea collapsedLevelsAreSubtotals="1" fieldPosition="0">
        <references count="3">
          <reference field="0" count="1" selected="0">
            <x v="222"/>
          </reference>
          <reference field="1" count="1" selected="0">
            <x v="97"/>
          </reference>
          <reference field="3" count="1">
            <x v="152"/>
          </reference>
        </references>
      </pivotArea>
    </format>
    <format dxfId="899">
      <pivotArea outline="0" collapsedLevelsAreSubtotals="1" fieldPosition="0"/>
    </format>
    <format dxfId="898">
      <pivotArea dataOnly="0" labelOnly="1" fieldPosition="0">
        <references count="1">
          <reference field="0" count="50">
            <x v="74"/>
            <x v="100"/>
            <x v="119"/>
            <x v="128"/>
            <x v="134"/>
            <x v="135"/>
            <x v="138"/>
            <x v="142"/>
            <x v="143"/>
            <x v="144"/>
            <x v="147"/>
            <x v="149"/>
            <x v="158"/>
            <x v="161"/>
            <x v="167"/>
            <x v="168"/>
            <x v="169"/>
            <x v="171"/>
            <x v="172"/>
            <x v="173"/>
            <x v="174"/>
            <x v="175"/>
            <x v="176"/>
            <x v="177"/>
            <x v="178"/>
            <x v="179"/>
            <x v="180"/>
            <x v="181"/>
            <x v="182"/>
            <x v="183"/>
            <x v="184"/>
            <x v="188"/>
            <x v="189"/>
            <x v="190"/>
            <x v="191"/>
            <x v="192"/>
            <x v="193"/>
            <x v="194"/>
            <x v="195"/>
            <x v="198"/>
            <x v="199"/>
            <x v="201"/>
            <x v="202"/>
            <x v="204"/>
            <x v="205"/>
            <x v="207"/>
            <x v="209"/>
            <x v="210"/>
            <x v="211"/>
            <x v="212"/>
          </reference>
        </references>
      </pivotArea>
    </format>
    <format dxfId="897">
      <pivotArea dataOnly="0" labelOnly="1" fieldPosition="0">
        <references count="1">
          <reference field="0" count="10">
            <x v="213"/>
            <x v="214"/>
            <x v="215"/>
            <x v="216"/>
            <x v="217"/>
            <x v="218"/>
            <x v="219"/>
            <x v="220"/>
            <x v="221"/>
            <x v="222"/>
          </reference>
        </references>
      </pivotArea>
    </format>
    <format dxfId="896">
      <pivotArea dataOnly="0" labelOnly="1" fieldPosition="0">
        <references count="2">
          <reference field="0" count="1" selected="0">
            <x v="74"/>
          </reference>
          <reference field="1" count="50">
            <x v="1"/>
            <x v="4"/>
            <x v="8"/>
            <x v="10"/>
            <x v="21"/>
            <x v="38"/>
            <x v="48"/>
            <x v="49"/>
            <x v="50"/>
            <x v="53"/>
            <x v="54"/>
            <x v="55"/>
            <x v="56"/>
            <x v="60"/>
            <x v="61"/>
            <x v="63"/>
            <x v="64"/>
            <x v="68"/>
            <x v="69"/>
            <x v="70"/>
            <x v="71"/>
            <x v="82"/>
            <x v="83"/>
            <x v="87"/>
            <x v="91"/>
            <x v="93"/>
            <x v="94"/>
            <x v="102"/>
            <x v="111"/>
            <x v="112"/>
            <x v="113"/>
            <x v="114"/>
            <x v="120"/>
            <x v="130"/>
            <x v="132"/>
            <x v="134"/>
            <x v="136"/>
            <x v="138"/>
            <x v="141"/>
            <x v="145"/>
            <x v="148"/>
            <x v="154"/>
            <x v="155"/>
            <x v="157"/>
            <x v="158"/>
            <x v="160"/>
            <x v="164"/>
            <x v="166"/>
            <x v="169"/>
            <x v="170"/>
          </reference>
        </references>
      </pivotArea>
    </format>
    <format dxfId="895">
      <pivotArea dataOnly="0" labelOnly="1" fieldPosition="0">
        <references count="2">
          <reference field="0" count="1" selected="0">
            <x v="213"/>
          </reference>
          <reference field="1" count="10">
            <x v="29"/>
            <x v="33"/>
            <x v="40"/>
            <x v="58"/>
            <x v="72"/>
            <x v="75"/>
            <x v="86"/>
            <x v="97"/>
            <x v="116"/>
            <x v="153"/>
          </reference>
        </references>
      </pivotArea>
    </format>
    <format dxfId="894">
      <pivotArea dataOnly="0" labelOnly="1" fieldPosition="0">
        <references count="3">
          <reference field="0" count="1" selected="0">
            <x v="74"/>
          </reference>
          <reference field="1" count="1" selected="0">
            <x v="83"/>
          </reference>
          <reference field="3" count="46">
            <x v="34"/>
            <x v="36"/>
            <x v="53"/>
            <x v="57"/>
            <x v="58"/>
            <x v="66"/>
            <x v="70"/>
            <x v="72"/>
            <x v="75"/>
            <x v="90"/>
            <x v="95"/>
            <x v="96"/>
            <x v="97"/>
            <x v="103"/>
            <x v="104"/>
            <x v="106"/>
            <x v="110"/>
            <x v="111"/>
            <x v="114"/>
            <x v="115"/>
            <x v="116"/>
            <x v="120"/>
            <x v="126"/>
            <x v="129"/>
            <x v="136"/>
            <x v="137"/>
            <x v="139"/>
            <x v="140"/>
            <x v="141"/>
            <x v="145"/>
            <x v="146"/>
            <x v="147"/>
            <x v="149"/>
            <x v="151"/>
            <x v="153"/>
            <x v="167"/>
            <x v="176"/>
            <x v="178"/>
            <x v="179"/>
            <x v="183"/>
            <x v="184"/>
            <x v="188"/>
            <x v="192"/>
            <x v="198"/>
            <x v="199"/>
            <x v="200"/>
          </reference>
        </references>
      </pivotArea>
    </format>
    <format dxfId="893">
      <pivotArea dataOnly="0" labelOnly="1" fieldPosition="0">
        <references count="3">
          <reference field="0" count="1" selected="0">
            <x v="213"/>
          </reference>
          <reference field="1" count="1" selected="0">
            <x v="29"/>
          </reference>
          <reference field="3" count="10">
            <x v="5"/>
            <x v="23"/>
            <x v="41"/>
            <x v="138"/>
            <x v="152"/>
            <x v="155"/>
            <x v="156"/>
            <x v="175"/>
            <x v="193"/>
            <x v="197"/>
          </reference>
        </references>
      </pivotArea>
    </format>
    <format dxfId="892">
      <pivotArea outline="0" collapsedLevelsAreSubtotals="1" fieldPosition="0"/>
    </format>
    <format dxfId="891">
      <pivotArea dataOnly="0" labelOnly="1" fieldPosition="0">
        <references count="1">
          <reference field="0" count="50">
            <x v="74"/>
            <x v="100"/>
            <x v="119"/>
            <x v="128"/>
            <x v="134"/>
            <x v="135"/>
            <x v="138"/>
            <x v="142"/>
            <x v="143"/>
            <x v="144"/>
            <x v="147"/>
            <x v="149"/>
            <x v="158"/>
            <x v="161"/>
            <x v="167"/>
            <x v="168"/>
            <x v="169"/>
            <x v="171"/>
            <x v="172"/>
            <x v="173"/>
            <x v="174"/>
            <x v="175"/>
            <x v="176"/>
            <x v="177"/>
            <x v="178"/>
            <x v="179"/>
            <x v="180"/>
            <x v="181"/>
            <x v="182"/>
            <x v="183"/>
            <x v="184"/>
            <x v="188"/>
            <x v="189"/>
            <x v="190"/>
            <x v="191"/>
            <x v="192"/>
            <x v="193"/>
            <x v="194"/>
            <x v="195"/>
            <x v="198"/>
            <x v="199"/>
            <x v="201"/>
            <x v="202"/>
            <x v="204"/>
            <x v="205"/>
            <x v="207"/>
            <x v="209"/>
            <x v="210"/>
            <x v="211"/>
            <x v="212"/>
          </reference>
        </references>
      </pivotArea>
    </format>
    <format dxfId="890">
      <pivotArea dataOnly="0" labelOnly="1" fieldPosition="0">
        <references count="1">
          <reference field="0" count="10">
            <x v="213"/>
            <x v="214"/>
            <x v="215"/>
            <x v="216"/>
            <x v="217"/>
            <x v="218"/>
            <x v="219"/>
            <x v="220"/>
            <x v="221"/>
            <x v="222"/>
          </reference>
        </references>
      </pivotArea>
    </format>
    <format dxfId="889">
      <pivotArea dataOnly="0" labelOnly="1" fieldPosition="0">
        <references count="2">
          <reference field="0" count="1" selected="0">
            <x v="74"/>
          </reference>
          <reference field="1" count="50">
            <x v="1"/>
            <x v="4"/>
            <x v="8"/>
            <x v="10"/>
            <x v="21"/>
            <x v="38"/>
            <x v="48"/>
            <x v="49"/>
            <x v="50"/>
            <x v="53"/>
            <x v="54"/>
            <x v="55"/>
            <x v="56"/>
            <x v="60"/>
            <x v="61"/>
            <x v="63"/>
            <x v="64"/>
            <x v="68"/>
            <x v="69"/>
            <x v="70"/>
            <x v="71"/>
            <x v="82"/>
            <x v="83"/>
            <x v="87"/>
            <x v="91"/>
            <x v="93"/>
            <x v="94"/>
            <x v="102"/>
            <x v="111"/>
            <x v="112"/>
            <x v="113"/>
            <x v="114"/>
            <x v="120"/>
            <x v="130"/>
            <x v="132"/>
            <x v="134"/>
            <x v="136"/>
            <x v="138"/>
            <x v="141"/>
            <x v="145"/>
            <x v="148"/>
            <x v="154"/>
            <x v="155"/>
            <x v="157"/>
            <x v="158"/>
            <x v="160"/>
            <x v="164"/>
            <x v="166"/>
            <x v="169"/>
            <x v="170"/>
          </reference>
        </references>
      </pivotArea>
    </format>
    <format dxfId="888">
      <pivotArea dataOnly="0" labelOnly="1" fieldPosition="0">
        <references count="2">
          <reference field="0" count="1" selected="0">
            <x v="213"/>
          </reference>
          <reference field="1" count="10">
            <x v="29"/>
            <x v="33"/>
            <x v="40"/>
            <x v="58"/>
            <x v="72"/>
            <x v="75"/>
            <x v="86"/>
            <x v="97"/>
            <x v="116"/>
            <x v="153"/>
          </reference>
        </references>
      </pivotArea>
    </format>
    <format dxfId="887">
      <pivotArea dataOnly="0" labelOnly="1" fieldPosition="0">
        <references count="3">
          <reference field="0" count="1" selected="0">
            <x v="74"/>
          </reference>
          <reference field="1" count="1" selected="0">
            <x v="83"/>
          </reference>
          <reference field="3" count="46">
            <x v="34"/>
            <x v="36"/>
            <x v="53"/>
            <x v="57"/>
            <x v="58"/>
            <x v="66"/>
            <x v="70"/>
            <x v="72"/>
            <x v="75"/>
            <x v="90"/>
            <x v="95"/>
            <x v="96"/>
            <x v="97"/>
            <x v="103"/>
            <x v="104"/>
            <x v="106"/>
            <x v="110"/>
            <x v="111"/>
            <x v="114"/>
            <x v="115"/>
            <x v="116"/>
            <x v="120"/>
            <x v="126"/>
            <x v="129"/>
            <x v="136"/>
            <x v="137"/>
            <x v="139"/>
            <x v="140"/>
            <x v="141"/>
            <x v="145"/>
            <x v="146"/>
            <x v="147"/>
            <x v="149"/>
            <x v="151"/>
            <x v="153"/>
            <x v="167"/>
            <x v="176"/>
            <x v="178"/>
            <x v="179"/>
            <x v="183"/>
            <x v="184"/>
            <x v="188"/>
            <x v="192"/>
            <x v="198"/>
            <x v="199"/>
            <x v="200"/>
          </reference>
        </references>
      </pivotArea>
    </format>
    <format dxfId="886">
      <pivotArea dataOnly="0" labelOnly="1" fieldPosition="0">
        <references count="3">
          <reference field="0" count="1" selected="0">
            <x v="213"/>
          </reference>
          <reference field="1" count="1" selected="0">
            <x v="29"/>
          </reference>
          <reference field="3" count="10">
            <x v="5"/>
            <x v="23"/>
            <x v="41"/>
            <x v="138"/>
            <x v="152"/>
            <x v="155"/>
            <x v="156"/>
            <x v="175"/>
            <x v="193"/>
            <x v="197"/>
          </reference>
        </references>
      </pivotArea>
    </format>
    <format dxfId="885">
      <pivotArea field="0" type="button" dataOnly="0" labelOnly="1" outline="0" axis="axisRow" fieldPosition="0"/>
    </format>
    <format dxfId="884">
      <pivotArea dataOnly="0" labelOnly="1" outline="0" fieldPosition="0">
        <references count="1">
          <reference field="4294967294" count="5">
            <x v="0"/>
            <x v="1"/>
            <x v="2"/>
            <x v="3"/>
            <x v="4"/>
          </reference>
        </references>
      </pivotArea>
    </format>
    <format dxfId="883">
      <pivotArea field="0" type="button" dataOnly="0" labelOnly="1" outline="0" axis="axisRow" fieldPosition="0"/>
    </format>
    <format dxfId="882">
      <pivotArea dataOnly="0" labelOnly="1" outline="0" fieldPosition="0">
        <references count="1">
          <reference field="4294967294" count="5">
            <x v="0"/>
            <x v="1"/>
            <x v="2"/>
            <x v="3"/>
            <x v="4"/>
          </reference>
        </references>
      </pivotArea>
    </format>
    <format dxfId="881">
      <pivotArea field="21" type="button" dataOnly="0" labelOnly="1" outline="0" axis="axisPage" fieldPosition="0"/>
    </format>
    <format dxfId="880">
      <pivotArea dataOnly="0" labelOnly="1" outline="0" fieldPosition="0">
        <references count="1">
          <reference field="21" count="0"/>
        </references>
      </pivotArea>
    </format>
    <format dxfId="879">
      <pivotArea field="24" type="button" dataOnly="0" labelOnly="1" outline="0" axis="axisPage" fieldPosition="1"/>
    </format>
    <format dxfId="878">
      <pivotArea dataOnly="0" labelOnly="1" outline="0" fieldPosition="0">
        <references count="1">
          <reference field="24" count="0"/>
        </references>
      </pivotArea>
    </format>
    <format dxfId="877">
      <pivotArea field="21" type="button" dataOnly="0" labelOnly="1" outline="0" axis="axisPage" fieldPosition="0"/>
    </format>
    <format dxfId="876">
      <pivotArea dataOnly="0" labelOnly="1" outline="0" fieldPosition="0">
        <references count="1">
          <reference field="21" count="0"/>
        </references>
      </pivotArea>
    </format>
    <format dxfId="875">
      <pivotArea field="24" type="button" dataOnly="0" labelOnly="1" outline="0" axis="axisPage" fieldPosition="1"/>
    </format>
    <format dxfId="874">
      <pivotArea dataOnly="0" labelOnly="1" outline="0" fieldPosition="0">
        <references count="1">
          <reference field="24" count="0"/>
        </references>
      </pivotArea>
    </format>
  </formats>
  <pivotTableStyleInfo name="PivotStyleLight16" showRowHeaders="1" showColHeaders="1" showRowStripes="0" showColStripes="1"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name="Tabla dinámica2" cacheId="1" applyNumberFormats="0" applyBorderFormats="0" applyFontFormats="0" applyPatternFormats="0" applyAlignmentFormats="0" applyWidthHeightFormats="1" dataCaption="Valores" updatedVersion="4" minRefreshableVersion="3" rowGrandTotals="0" colGrandTotals="0" itemPrintTitles="1" createdVersion="4" indent="0" outline="1" outlineData="1" multipleFieldFilters="0">
  <location ref="A14:F720" firstHeaderRow="0" firstDataRow="1" firstDataCol="1" rowPageCount="2" colPageCount="1"/>
  <pivotFields count="25">
    <pivotField axis="axisRow" showAll="0" defaultSubtotal="0">
      <items count="436">
        <item x="0"/>
        <item x="1"/>
        <item x="2"/>
        <item x="15"/>
        <item x="16"/>
        <item x="17"/>
        <item x="3"/>
        <item x="18"/>
        <item x="19"/>
        <item x="21"/>
        <item x="22"/>
        <item x="6"/>
        <item x="23"/>
        <item x="24"/>
        <item x="25"/>
        <item x="26"/>
        <item x="27"/>
        <item x="28"/>
        <item x="29"/>
        <item x="30"/>
        <item x="31"/>
        <item x="32"/>
        <item x="33"/>
        <item x="35"/>
        <item x="36"/>
        <item x="37"/>
        <item x="38"/>
        <item x="39"/>
        <item x="40"/>
        <item x="41"/>
        <item x="42"/>
        <item x="43"/>
        <item x="44"/>
        <item x="57"/>
        <item x="45"/>
        <item x="7"/>
        <item x="8"/>
        <item x="9"/>
        <item x="46"/>
        <item x="10"/>
        <item x="11"/>
        <item x="47"/>
        <item x="48"/>
        <item x="12"/>
        <item x="13"/>
        <item x="49"/>
        <item x="50"/>
        <item x="51"/>
        <item x="52"/>
        <item x="53"/>
        <item x="54"/>
        <item x="55"/>
        <item x="56"/>
        <item x="58"/>
        <item x="59"/>
        <item x="60"/>
        <item x="61"/>
        <item x="62"/>
        <item x="5"/>
        <item x="14"/>
        <item x="63"/>
        <item x="64"/>
        <item x="75"/>
        <item x="65"/>
        <item x="20"/>
        <item x="66"/>
        <item x="68"/>
        <item x="69"/>
        <item x="70"/>
        <item x="71"/>
        <item x="76"/>
        <item x="77"/>
        <item x="145"/>
        <item x="73"/>
        <item x="74"/>
        <item x="78"/>
        <item x="79"/>
        <item x="4"/>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4"/>
        <item x="72"/>
        <item x="146"/>
        <item x="147"/>
        <item x="148"/>
        <item x="149"/>
        <item x="150"/>
        <item x="151"/>
        <item x="152"/>
        <item x="153"/>
        <item x="154"/>
        <item x="155"/>
        <item x="156"/>
        <item x="157"/>
        <item x="158"/>
        <item x="159"/>
        <item x="160"/>
        <item x="161"/>
        <item x="162"/>
        <item x="163"/>
        <item x="164"/>
        <item x="165"/>
        <item x="166"/>
        <item x="167"/>
        <item x="169"/>
        <item x="170"/>
        <item x="171"/>
        <item x="172"/>
        <item x="173"/>
        <item x="174"/>
        <item x="175"/>
        <item x="176"/>
        <item x="178"/>
        <item x="179"/>
        <item x="180"/>
        <item x="181"/>
        <item x="182"/>
        <item x="183"/>
        <item x="184"/>
        <item x="185"/>
        <item x="186"/>
        <item x="187"/>
        <item x="188"/>
        <item x="189"/>
        <item x="190"/>
        <item x="191"/>
        <item x="192"/>
        <item x="193"/>
        <item x="216"/>
        <item x="194"/>
        <item x="195"/>
        <item x="196"/>
        <item x="197"/>
        <item x="198"/>
        <item x="199"/>
        <item x="201"/>
        <item x="203"/>
        <item x="217"/>
        <item x="204"/>
        <item x="205"/>
        <item x="206"/>
        <item x="207"/>
        <item x="208"/>
        <item x="210"/>
        <item x="211"/>
        <item x="212"/>
        <item x="213"/>
        <item x="214"/>
        <item x="219"/>
        <item x="220"/>
        <item x="221"/>
        <item x="222"/>
        <item x="202"/>
        <item x="225"/>
        <item x="226"/>
        <item x="227"/>
        <item x="231"/>
        <item x="232"/>
        <item x="434"/>
        <item x="234"/>
        <item x="236"/>
        <item x="200"/>
        <item x="209"/>
        <item x="218"/>
        <item x="215"/>
        <item x="168"/>
        <item x="177"/>
        <item x="235"/>
        <item x="237"/>
        <item x="239"/>
        <item x="240"/>
        <item x="223"/>
        <item x="224"/>
        <item x="230"/>
        <item x="233"/>
        <item x="238"/>
        <item x="67"/>
        <item x="143"/>
        <item x="228"/>
        <item x="229"/>
        <item x="241"/>
        <item x="242"/>
        <item x="243"/>
        <item x="34"/>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m="1" x="435"/>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41"/>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s>
    </pivotField>
    <pivotField axis="axisRow" showAll="0" defaultSubtotal="0">
      <items count="302">
        <item x="119"/>
        <item x="150"/>
        <item x="107"/>
        <item x="17"/>
        <item x="89"/>
        <item x="19"/>
        <item x="31"/>
        <item x="79"/>
        <item x="130"/>
        <item x="93"/>
        <item x="90"/>
        <item x="67"/>
        <item x="75"/>
        <item x="63"/>
        <item x="111"/>
        <item x="32"/>
        <item x="43"/>
        <item x="98"/>
        <item x="37"/>
        <item x="82"/>
        <item x="52"/>
        <item x="40"/>
        <item x="116"/>
        <item x="1"/>
        <item x="117"/>
        <item x="59"/>
        <item x="120"/>
        <item x="163"/>
        <item x="2"/>
        <item x="138"/>
        <item x="26"/>
        <item x="8"/>
        <item x="102"/>
        <item x="13"/>
        <item x="77"/>
        <item x="109"/>
        <item x="39"/>
        <item x="7"/>
        <item x="65"/>
        <item x="4"/>
        <item x="38"/>
        <item x="3"/>
        <item x="72"/>
        <item x="101"/>
        <item x="137"/>
        <item x="70"/>
        <item x="159"/>
        <item x="83"/>
        <item x="53"/>
        <item x="95"/>
        <item x="99"/>
        <item x="84"/>
        <item x="20"/>
        <item x="27"/>
        <item x="10"/>
        <item x="158"/>
        <item x="16"/>
        <item x="14"/>
        <item x="133"/>
        <item x="0"/>
        <item x="76"/>
        <item x="149"/>
        <item x="58"/>
        <item x="161"/>
        <item x="73"/>
        <item x="152"/>
        <item x="57"/>
        <item x="61"/>
        <item x="164"/>
        <item x="71"/>
        <item x="110"/>
        <item x="22"/>
        <item x="100"/>
        <item x="128"/>
        <item x="55"/>
        <item x="29"/>
        <item x="108"/>
        <item x="97"/>
        <item x="115"/>
        <item x="6"/>
        <item x="23"/>
        <item x="66"/>
        <item x="134"/>
        <item x="36"/>
        <item x="142"/>
        <item x="131"/>
        <item x="156"/>
        <item x="34"/>
        <item x="169"/>
        <item x="145"/>
        <item x="106"/>
        <item x="35"/>
        <item x="11"/>
        <item x="94"/>
        <item x="148"/>
        <item x="88"/>
        <item x="155"/>
        <item x="60"/>
        <item x="81"/>
        <item x="18"/>
        <item x="64"/>
        <item x="141"/>
        <item x="146"/>
        <item x="87"/>
        <item x="92"/>
        <item x="49"/>
        <item x="78"/>
        <item x="124"/>
        <item x="139"/>
        <item x="33"/>
        <item x="74"/>
        <item x="12"/>
        <item x="9"/>
        <item x="5"/>
        <item x="47"/>
        <item x="24"/>
        <item x="112"/>
        <item x="21"/>
        <item x="127"/>
        <item x="28"/>
        <item x="41"/>
        <item x="96"/>
        <item x="125"/>
        <item x="85"/>
        <item x="44"/>
        <item x="147"/>
        <item x="86"/>
        <item x="45"/>
        <item x="103"/>
        <item x="68"/>
        <item x="56"/>
        <item x="123"/>
        <item x="69"/>
        <item x="42"/>
        <item x="104"/>
        <item x="118"/>
        <item x="46"/>
        <item x="50"/>
        <item x="144"/>
        <item x="166"/>
        <item x="80"/>
        <item x="157"/>
        <item x="114"/>
        <item x="154"/>
        <item x="132"/>
        <item x="48"/>
        <item x="51"/>
        <item x="25"/>
        <item x="121"/>
        <item x="62"/>
        <item x="135"/>
        <item x="113"/>
        <item x="54"/>
        <item x="136"/>
        <item x="30"/>
        <item x="299"/>
        <item x="168"/>
        <item x="170"/>
        <item x="172"/>
        <item x="151"/>
        <item x="160"/>
        <item x="171"/>
        <item x="173"/>
        <item x="91"/>
        <item x="174"/>
        <item x="129"/>
        <item x="165"/>
        <item x="167"/>
        <item x="122"/>
        <item x="162"/>
        <item x="175"/>
        <item x="176"/>
        <item x="143"/>
        <item x="105"/>
        <item x="140"/>
        <item x="153"/>
        <item x="126"/>
        <item x="15"/>
        <item x="177"/>
        <item x="178"/>
        <item x="179"/>
        <item x="180"/>
        <item x="181"/>
        <item x="182"/>
        <item x="183"/>
        <item x="184"/>
        <item x="185"/>
        <item x="186"/>
        <item x="187"/>
        <item x="188"/>
        <item x="189"/>
        <item x="190"/>
        <item x="191"/>
        <item x="192"/>
        <item x="193"/>
        <item x="194"/>
        <item m="1" x="300"/>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m="1" x="301"/>
        <item x="245"/>
        <item x="246"/>
        <item x="247"/>
        <item x="248"/>
        <item x="249"/>
        <item x="250"/>
        <item x="251"/>
        <item x="252"/>
        <item x="253"/>
        <item x="254"/>
        <item x="255"/>
        <item x="256"/>
        <item x="257"/>
        <item x="258"/>
        <item x="259"/>
        <item x="260"/>
        <item x="261"/>
        <item x="262"/>
        <item x="263"/>
        <item x="264"/>
        <item x="265"/>
        <item x="266"/>
        <item x="267"/>
        <item x="268"/>
        <item x="269"/>
        <item x="195"/>
        <item x="244"/>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numFmtId="1" showAll="0" defaultSubtotal="0"/>
    <pivotField showAll="0" defaultSubtotal="0"/>
    <pivotField numFmtId="1" showAll="0" defaultSubtotal="0"/>
    <pivotField showAll="0" defaultSubtotal="0"/>
    <pivotField showAll="0" defaultSubtotal="0"/>
    <pivotField dataField="1" numFmtId="169" showAll="0" defaultSubtotal="0"/>
    <pivotField dataField="1" showAll="0" defaultSubtotal="0"/>
    <pivotField dataField="1" showAll="0" defaultSubtotal="0"/>
    <pivotField dataField="1" showAll="0" defaultSubtotal="0"/>
    <pivotField showAll="0" defaultSubtotal="0"/>
    <pivotField dataField="1" showAll="0" defaultSubtotal="0">
      <items count="232">
        <item x="6"/>
        <item x="2"/>
        <item x="190"/>
        <item x="186"/>
        <item x="188"/>
        <item m="1" x="211"/>
        <item x="185"/>
        <item x="184"/>
        <item x="5"/>
        <item x="182"/>
        <item m="1" x="214"/>
        <item x="112"/>
        <item m="1" x="222"/>
        <item x="175"/>
        <item x="189"/>
        <item m="1" x="213"/>
        <item x="187"/>
        <item x="179"/>
        <item m="1" x="228"/>
        <item m="1" x="195"/>
        <item m="1" x="226"/>
        <item x="74"/>
        <item x="160"/>
        <item x="180"/>
        <item x="157"/>
        <item x="84"/>
        <item x="181"/>
        <item m="1" x="196"/>
        <item x="151"/>
        <item m="1" x="203"/>
        <item m="1" x="201"/>
        <item x="171"/>
        <item x="107"/>
        <item m="1" x="207"/>
        <item m="1" x="193"/>
        <item x="177"/>
        <item x="48"/>
        <item x="176"/>
        <item x="178"/>
        <item m="1" x="220"/>
        <item x="125"/>
        <item x="131"/>
        <item x="99"/>
        <item x="86"/>
        <item x="135"/>
        <item m="1" x="194"/>
        <item x="50"/>
        <item m="1" x="217"/>
        <item x="152"/>
        <item m="1" x="212"/>
        <item x="111"/>
        <item x="73"/>
        <item x="121"/>
        <item m="1" x="230"/>
        <item m="1" x="209"/>
        <item x="163"/>
        <item x="154"/>
        <item x="22"/>
        <item m="1" x="202"/>
        <item x="174"/>
        <item x="27"/>
        <item x="102"/>
        <item x="44"/>
        <item x="167"/>
        <item x="61"/>
        <item x="85"/>
        <item x="145"/>
        <item x="58"/>
        <item x="165"/>
        <item x="156"/>
        <item x="80"/>
        <item x="106"/>
        <item x="81"/>
        <item m="1" x="221"/>
        <item x="113"/>
        <item m="1" x="231"/>
        <item x="155"/>
        <item m="1" x="210"/>
        <item x="126"/>
        <item m="1" x="200"/>
        <item x="159"/>
        <item x="147"/>
        <item x="139"/>
        <item x="164"/>
        <item m="1" x="224"/>
        <item x="104"/>
        <item x="67"/>
        <item x="95"/>
        <item x="117"/>
        <item x="24"/>
        <item x="60"/>
        <item m="1" x="218"/>
        <item x="69"/>
        <item x="136"/>
        <item m="1" x="208"/>
        <item x="70"/>
        <item x="166"/>
        <item m="1" x="198"/>
        <item x="119"/>
        <item x="11"/>
        <item x="173"/>
        <item x="8"/>
        <item x="10"/>
        <item x="124"/>
        <item x="34"/>
        <item m="1" x="227"/>
        <item x="20"/>
        <item m="1" x="204"/>
        <item x="29"/>
        <item m="1" x="216"/>
        <item x="45"/>
        <item x="140"/>
        <item x="149"/>
        <item m="1" x="229"/>
        <item m="1" x="206"/>
        <item x="115"/>
        <item x="38"/>
        <item x="132"/>
        <item x="134"/>
        <item x="129"/>
        <item x="0"/>
        <item x="51"/>
        <item m="1" x="205"/>
        <item x="130"/>
        <item x="19"/>
        <item x="82"/>
        <item x="148"/>
        <item x="12"/>
        <item m="1" x="223"/>
        <item x="36"/>
        <item x="23"/>
        <item x="92"/>
        <item x="128"/>
        <item x="105"/>
        <item x="33"/>
        <item x="153"/>
        <item x="96"/>
        <item x="93"/>
        <item x="63"/>
        <item m="1" x="225"/>
        <item x="98"/>
        <item x="141"/>
        <item x="142"/>
        <item x="31"/>
        <item x="75"/>
        <item m="1" x="197"/>
        <item x="4"/>
        <item x="30"/>
        <item m="1" x="215"/>
        <item x="71"/>
        <item x="150"/>
        <item x="97"/>
        <item x="168"/>
        <item x="76"/>
        <item x="14"/>
        <item x="87"/>
        <item x="137"/>
        <item m="1" x="199"/>
        <item x="17"/>
        <item x="26"/>
        <item x="100"/>
        <item x="79"/>
        <item x="94"/>
        <item x="133"/>
        <item x="37"/>
        <item x="43"/>
        <item x="108"/>
        <item x="57"/>
        <item x="65"/>
        <item x="118"/>
        <item x="55"/>
        <item x="122"/>
        <item x="52"/>
        <item x="143"/>
        <item x="77"/>
        <item x="1"/>
        <item x="15"/>
        <item x="162"/>
        <item x="46"/>
        <item x="101"/>
        <item x="78"/>
        <item x="116"/>
        <item x="72"/>
        <item x="42"/>
        <item x="21"/>
        <item m="1" x="219"/>
        <item x="123"/>
        <item x="7"/>
        <item x="16"/>
        <item x="28"/>
        <item x="56"/>
        <item x="90"/>
        <item x="89"/>
        <item x="40"/>
        <item x="110"/>
        <item x="144"/>
        <item x="83"/>
        <item x="54"/>
        <item x="35"/>
        <item x="59"/>
        <item x="62"/>
        <item x="64"/>
        <item x="103"/>
        <item x="191"/>
        <item x="127"/>
        <item x="9"/>
        <item x="161"/>
        <item x="32"/>
        <item x="88"/>
        <item x="91"/>
        <item x="25"/>
        <item x="41"/>
        <item x="138"/>
        <item x="68"/>
        <item x="18"/>
        <item x="39"/>
        <item x="49"/>
        <item x="114"/>
        <item x="146"/>
        <item x="109"/>
        <item x="120"/>
        <item x="47"/>
        <item x="169"/>
        <item x="3"/>
        <item x="172"/>
        <item x="53"/>
        <item x="170"/>
        <item x="13"/>
        <item x="158"/>
        <item x="183"/>
        <item x="66"/>
        <item x="192"/>
      </items>
    </pivotField>
    <pivotField axis="axisPage" multipleItemSelectionAllowed="1" showAll="0" defaultSubtotal="0">
      <items count="138">
        <item m="1" x="107"/>
        <item m="1" x="91"/>
        <item m="1" x="72"/>
        <item m="1" x="73"/>
        <item x="0"/>
        <item m="1" x="125"/>
        <item m="1" x="137"/>
        <item m="1" x="76"/>
        <item m="1" x="97"/>
        <item m="1" x="85"/>
        <item m="1" x="113"/>
        <item m="1" x="123"/>
        <item m="1" x="134"/>
        <item m="1" x="120"/>
        <item m="1" x="115"/>
        <item m="1" x="75"/>
        <item h="1" m="1" x="78"/>
        <item h="1" m="1" x="88"/>
        <item h="1" m="1" x="114"/>
        <item h="1" m="1" x="102"/>
        <item h="1" m="1" x="77"/>
        <item h="1" m="1" x="110"/>
        <item h="1" m="1" x="136"/>
        <item h="1" m="1" x="129"/>
        <item h="1" m="1" x="104"/>
        <item h="1" m="1" x="119"/>
        <item h="1" m="1" x="132"/>
        <item h="1" m="1" x="124"/>
        <item h="1" m="1" x="84"/>
        <item h="1" m="1" x="79"/>
        <item h="1" m="1" x="98"/>
        <item h="1" m="1" x="112"/>
        <item h="1" m="1" x="122"/>
        <item h="1" m="1" x="100"/>
        <item h="1" m="1" x="87"/>
        <item h="1" m="1" x="95"/>
        <item h="1" m="1" x="90"/>
        <item h="1" m="1" x="86"/>
        <item h="1" m="1" x="92"/>
        <item h="1" m="1" x="128"/>
        <item h="1" m="1" x="81"/>
        <item h="1" m="1" x="117"/>
        <item h="1" x="4"/>
        <item h="1" m="1" x="109"/>
        <item h="1" m="1" x="106"/>
        <item h="1" m="1" x="116"/>
        <item h="1" m="1" x="74"/>
        <item h="1" m="1" x="99"/>
        <item h="1" m="1" x="127"/>
        <item h="1" m="1" x="108"/>
        <item h="1" m="1" x="130"/>
        <item h="1" m="1" x="80"/>
        <item h="1" m="1" x="105"/>
        <item h="1" m="1" x="133"/>
        <item h="1" m="1" x="82"/>
        <item h="1" m="1" x="71"/>
        <item h="1" m="1" x="101"/>
        <item h="1" m="1" x="83"/>
        <item h="1" m="1" x="118"/>
        <item h="1" m="1" x="126"/>
        <item h="1" m="1" x="103"/>
        <item h="1" m="1" x="94"/>
        <item h="1" m="1" x="131"/>
        <item h="1" m="1" x="96"/>
        <item h="1" m="1" x="111"/>
        <item h="1" m="1" x="93"/>
        <item h="1" m="1" x="135"/>
        <item h="1" m="1" x="121"/>
        <item h="1" m="1" x="89"/>
        <item h="1" x="70"/>
        <item h="1" x="1"/>
        <item h="1" x="2"/>
        <item h="1" x="3"/>
        <item h="1" x="5"/>
        <item h="1" x="6"/>
        <item h="1" x="7"/>
        <item h="1" x="8"/>
        <item h="1" x="9"/>
        <item h="1" x="10"/>
        <item h="1" x="11"/>
        <item h="1" x="12"/>
        <item h="1" x="13"/>
        <item h="1" x="14"/>
        <item h="1" x="15"/>
        <item h="1" x="16"/>
        <item h="1" x="17"/>
        <item h="1" x="18"/>
        <item h="1" x="19"/>
        <item h="1" x="20"/>
        <item h="1" x="21"/>
        <item h="1" x="22"/>
        <item h="1" x="23"/>
        <item h="1" x="24"/>
        <item h="1" x="25"/>
        <item h="1" x="26"/>
        <item h="1" x="27"/>
        <item h="1" x="28"/>
        <item h="1" x="29"/>
        <item h="1" x="30"/>
        <item h="1" x="31"/>
        <item h="1" x="32"/>
        <item h="1" x="33"/>
        <item h="1" x="34"/>
        <item h="1" x="35"/>
        <item h="1" x="36"/>
        <item h="1" x="37"/>
        <item h="1" x="38"/>
        <item h="1" x="39"/>
        <item h="1" x="40"/>
        <item h="1" x="41"/>
        <item h="1" x="42"/>
        <item h="1" x="43"/>
        <item h="1" x="44"/>
        <item h="1" x="45"/>
        <item h="1" x="46"/>
        <item h="1" x="47"/>
        <item h="1" x="48"/>
        <item h="1" x="49"/>
        <item h="1" x="50"/>
        <item h="1" x="51"/>
        <item h="1" x="52"/>
        <item h="1" x="53"/>
        <item h="1" x="54"/>
        <item h="1" x="55"/>
        <item h="1" x="56"/>
        <item h="1" x="57"/>
        <item h="1" x="58"/>
        <item h="1" x="59"/>
        <item h="1" x="60"/>
        <item h="1" x="61"/>
        <item h="1" x="62"/>
        <item h="1" x="63"/>
        <item h="1" x="64"/>
        <item h="1" x="65"/>
        <item h="1" x="66"/>
        <item h="1" x="67"/>
        <item h="1" x="68"/>
        <item h="1" x="69"/>
      </items>
    </pivotField>
    <pivotField showAll="0" defaultSubtotal="0"/>
    <pivotField showAll="0" defaultSubtotal="0"/>
    <pivotField axis="axisPage" multipleItemSelectionAllowed="1" showAll="0" defaultSubtotal="0">
      <items count="4">
        <item x="0"/>
        <item x="1"/>
        <item x="2"/>
        <item x="3"/>
      </items>
    </pivotField>
  </pivotFields>
  <rowFields count="2">
    <field x="0"/>
    <field x="1"/>
  </rowFields>
  <rowItems count="706">
    <i>
      <x/>
    </i>
    <i r="1">
      <x v="59"/>
    </i>
    <i>
      <x v="1"/>
    </i>
    <i r="1">
      <x v="23"/>
    </i>
    <i>
      <x v="2"/>
    </i>
    <i r="1">
      <x v="28"/>
    </i>
    <i>
      <x v="3"/>
    </i>
    <i r="1">
      <x v="57"/>
    </i>
    <i>
      <x v="4"/>
    </i>
    <i r="1">
      <x v="177"/>
    </i>
    <i>
      <x v="5"/>
    </i>
    <i r="1">
      <x v="56"/>
    </i>
    <i>
      <x v="6"/>
    </i>
    <i r="1">
      <x v="41"/>
    </i>
    <i>
      <x v="7"/>
    </i>
    <i r="1">
      <x v="3"/>
    </i>
    <i>
      <x v="8"/>
    </i>
    <i r="1">
      <x v="99"/>
    </i>
    <i>
      <x v="9"/>
    </i>
    <i r="1">
      <x v="52"/>
    </i>
    <i>
      <x v="10"/>
    </i>
    <i r="1">
      <x v="117"/>
    </i>
    <i>
      <x v="11"/>
    </i>
    <i r="1">
      <x v="113"/>
    </i>
    <i>
      <x v="12"/>
    </i>
    <i r="1">
      <x v="71"/>
    </i>
    <i>
      <x v="13"/>
    </i>
    <i r="1">
      <x v="80"/>
    </i>
    <i>
      <x v="14"/>
    </i>
    <i r="1">
      <x v="115"/>
    </i>
    <i>
      <x v="15"/>
    </i>
    <i r="1">
      <x v="147"/>
    </i>
    <i>
      <x v="16"/>
    </i>
    <i r="1">
      <x v="30"/>
    </i>
    <i>
      <x v="17"/>
    </i>
    <i r="1">
      <x v="53"/>
    </i>
    <i>
      <x v="18"/>
    </i>
    <i r="1">
      <x v="119"/>
    </i>
    <i>
      <x v="19"/>
    </i>
    <i r="1">
      <x v="75"/>
    </i>
    <i>
      <x v="20"/>
    </i>
    <i r="1">
      <x v="154"/>
    </i>
    <i>
      <x v="21"/>
    </i>
    <i r="1">
      <x v="6"/>
    </i>
    <i>
      <x v="22"/>
    </i>
    <i r="1">
      <x v="15"/>
    </i>
    <i>
      <x v="23"/>
    </i>
    <i r="1">
      <x v="87"/>
    </i>
    <i>
      <x v="24"/>
    </i>
    <i r="1">
      <x v="91"/>
    </i>
    <i>
      <x v="25"/>
    </i>
    <i r="1">
      <x v="83"/>
    </i>
    <i>
      <x v="26"/>
    </i>
    <i r="1">
      <x v="18"/>
    </i>
    <i>
      <x v="27"/>
    </i>
    <i r="1">
      <x v="40"/>
    </i>
    <i>
      <x v="28"/>
    </i>
    <i r="1">
      <x v="36"/>
    </i>
    <i>
      <x v="29"/>
    </i>
    <i r="1">
      <x v="21"/>
    </i>
    <i>
      <x v="30"/>
    </i>
    <i r="1">
      <x v="120"/>
    </i>
    <i>
      <x v="31"/>
    </i>
    <i r="1">
      <x v="133"/>
    </i>
    <i>
      <x v="32"/>
    </i>
    <i r="1">
      <x v="16"/>
    </i>
    <i>
      <x v="33"/>
    </i>
    <i r="1">
      <x v="130"/>
    </i>
    <i>
      <x v="34"/>
    </i>
    <i r="1">
      <x v="124"/>
    </i>
    <i>
      <x v="35"/>
    </i>
    <i r="1">
      <x v="79"/>
    </i>
    <i>
      <x v="36"/>
    </i>
    <i r="1">
      <x v="37"/>
    </i>
    <i>
      <x v="37"/>
    </i>
    <i r="1">
      <x v="31"/>
    </i>
    <i>
      <x v="38"/>
    </i>
    <i r="1">
      <x v="127"/>
    </i>
    <i>
      <x v="39"/>
    </i>
    <i r="1">
      <x v="112"/>
    </i>
    <i>
      <x v="40"/>
    </i>
    <i r="1">
      <x v="54"/>
    </i>
    <i>
      <x v="41"/>
    </i>
    <i r="1">
      <x v="136"/>
    </i>
    <i>
      <x v="42"/>
    </i>
    <i r="1">
      <x v="114"/>
    </i>
    <i>
      <x v="43"/>
    </i>
    <i r="1">
      <x v="92"/>
    </i>
    <i>
      <x v="44"/>
    </i>
    <i r="1">
      <x v="111"/>
    </i>
    <i>
      <x v="45"/>
    </i>
    <i r="1">
      <x v="145"/>
    </i>
    <i>
      <x v="46"/>
    </i>
    <i r="1">
      <x v="105"/>
    </i>
    <i>
      <x v="47"/>
    </i>
    <i r="1">
      <x v="137"/>
    </i>
    <i>
      <x v="48"/>
    </i>
    <i r="1">
      <x v="146"/>
    </i>
    <i>
      <x v="49"/>
    </i>
    <i r="1">
      <x v="20"/>
    </i>
    <i>
      <x v="50"/>
    </i>
    <i r="1">
      <x v="48"/>
    </i>
    <i>
      <x v="51"/>
    </i>
    <i r="1">
      <x v="152"/>
    </i>
    <i>
      <x v="52"/>
    </i>
    <i r="1">
      <x v="74"/>
    </i>
    <i>
      <x v="53"/>
    </i>
    <i r="1">
      <x v="66"/>
    </i>
    <i>
      <x v="54"/>
    </i>
    <i r="1">
      <x v="62"/>
    </i>
    <i>
      <x v="55"/>
    </i>
    <i r="1">
      <x v="25"/>
    </i>
    <i>
      <x v="56"/>
    </i>
    <i r="1">
      <x v="97"/>
    </i>
    <i>
      <x v="57"/>
    </i>
    <i r="1">
      <x v="67"/>
    </i>
    <i>
      <x v="58"/>
    </i>
    <i r="1">
      <x v="39"/>
    </i>
    <i>
      <x v="59"/>
    </i>
    <i r="1">
      <x v="33"/>
    </i>
    <i>
      <x v="60"/>
    </i>
    <i r="1">
      <x v="149"/>
    </i>
    <i>
      <x v="61"/>
    </i>
    <i r="1">
      <x v="13"/>
    </i>
    <i>
      <x v="62"/>
    </i>
    <i r="1">
      <x v="64"/>
    </i>
    <i>
      <x v="63"/>
    </i>
    <i r="1">
      <x v="100"/>
    </i>
    <i>
      <x v="64"/>
    </i>
    <i r="1">
      <x v="5"/>
    </i>
    <i>
      <x v="65"/>
    </i>
    <i r="1">
      <x v="38"/>
    </i>
    <i>
      <x v="66"/>
    </i>
    <i r="1">
      <x v="11"/>
    </i>
    <i>
      <x v="67"/>
    </i>
    <i r="1">
      <x v="129"/>
    </i>
    <i>
      <x v="68"/>
    </i>
    <i r="1">
      <x v="132"/>
    </i>
    <i>
      <x v="69"/>
    </i>
    <i r="1">
      <x v="45"/>
    </i>
    <i>
      <x v="70"/>
    </i>
    <i r="1">
      <x v="110"/>
    </i>
    <i>
      <x v="71"/>
    </i>
    <i r="1">
      <x v="12"/>
    </i>
    <i>
      <x v="73"/>
    </i>
    <i r="1">
      <x v="69"/>
    </i>
    <i>
      <x v="74"/>
    </i>
    <i r="1">
      <x v="42"/>
    </i>
    <i>
      <x v="75"/>
    </i>
    <i r="1">
      <x v="60"/>
    </i>
    <i>
      <x v="76"/>
    </i>
    <i r="1">
      <x v="34"/>
    </i>
    <i>
      <x v="77"/>
    </i>
    <i r="1">
      <x v="23"/>
    </i>
    <i>
      <x v="78"/>
    </i>
    <i r="1">
      <x v="106"/>
    </i>
    <i>
      <x v="79"/>
    </i>
    <i r="1">
      <x v="7"/>
    </i>
    <i>
      <x v="80"/>
    </i>
    <i r="1">
      <x v="140"/>
    </i>
    <i>
      <x v="81"/>
    </i>
    <i r="1">
      <x v="98"/>
    </i>
    <i>
      <x v="82"/>
    </i>
    <i r="1">
      <x v="19"/>
    </i>
    <i>
      <x v="83"/>
    </i>
    <i r="1">
      <x v="71"/>
    </i>
    <i>
      <x v="84"/>
    </i>
    <i r="1">
      <x v="47"/>
    </i>
    <i>
      <x v="85"/>
    </i>
    <i r="1">
      <x v="51"/>
    </i>
    <i>
      <x v="86"/>
    </i>
    <i r="1">
      <x v="123"/>
    </i>
    <i>
      <x v="87"/>
    </i>
    <i r="1">
      <x v="56"/>
    </i>
    <i>
      <x v="88"/>
    </i>
    <i r="1">
      <x v="133"/>
    </i>
    <i>
      <x v="89"/>
    </i>
    <i r="1">
      <x v="109"/>
    </i>
    <i>
      <x v="90"/>
    </i>
    <i r="1">
      <x v="126"/>
    </i>
    <i>
      <x v="91"/>
    </i>
    <i r="1">
      <x v="103"/>
    </i>
    <i>
      <x v="92"/>
    </i>
    <i r="1">
      <x v="120"/>
    </i>
    <i>
      <x v="93"/>
    </i>
    <i r="1">
      <x v="95"/>
    </i>
    <i>
      <x v="94"/>
    </i>
    <i r="1">
      <x v="4"/>
    </i>
    <i>
      <x v="95"/>
    </i>
    <i r="1">
      <x v="146"/>
    </i>
    <i>
      <x v="96"/>
    </i>
    <i r="1">
      <x v="10"/>
    </i>
    <i>
      <x v="97"/>
    </i>
    <i r="1">
      <x v="163"/>
    </i>
    <i>
      <x v="98"/>
    </i>
    <i r="1">
      <x v="52"/>
    </i>
    <i>
      <x v="99"/>
    </i>
    <i r="1">
      <x v="104"/>
    </i>
    <i>
      <x v="100"/>
    </i>
    <i r="1">
      <x v="137"/>
    </i>
    <i>
      <x v="101"/>
    </i>
    <i r="1">
      <x v="9"/>
    </i>
    <i>
      <x v="102"/>
    </i>
    <i r="1">
      <x v="130"/>
    </i>
    <i>
      <x v="103"/>
    </i>
    <i r="1">
      <x v="93"/>
    </i>
    <i>
      <x v="104"/>
    </i>
    <i r="1">
      <x v="49"/>
    </i>
    <i>
      <x v="105"/>
    </i>
    <i r="1">
      <x v="121"/>
    </i>
    <i>
      <x v="106"/>
    </i>
    <i r="1">
      <x v="77"/>
    </i>
    <i>
      <x v="107"/>
    </i>
    <i r="1">
      <x v="38"/>
    </i>
    <i>
      <x v="108"/>
    </i>
    <i r="1">
      <x v="145"/>
    </i>
    <i>
      <x v="109"/>
    </i>
    <i r="1">
      <x v="17"/>
    </i>
    <i>
      <x v="110"/>
    </i>
    <i r="1">
      <x v="50"/>
    </i>
    <i>
      <x v="111"/>
    </i>
    <i r="1">
      <x v="64"/>
    </i>
    <i>
      <x v="112"/>
    </i>
    <i r="1">
      <x v="72"/>
    </i>
    <i>
      <x v="113"/>
    </i>
    <i r="1">
      <x v="43"/>
    </i>
    <i>
      <x v="114"/>
    </i>
    <i r="1">
      <x v="32"/>
    </i>
    <i>
      <x v="115"/>
    </i>
    <i r="1">
      <x v="53"/>
    </i>
    <i>
      <x v="116"/>
    </i>
    <i r="1">
      <x v="100"/>
    </i>
    <i>
      <x v="117"/>
    </i>
    <i r="1">
      <x v="128"/>
    </i>
    <i>
      <x v="118"/>
    </i>
    <i r="1">
      <x v="134"/>
    </i>
    <i>
      <x v="119"/>
    </i>
    <i r="1">
      <x v="173"/>
    </i>
    <i>
      <x v="120"/>
    </i>
    <i r="1">
      <x v="119"/>
    </i>
    <i>
      <x v="121"/>
    </i>
    <i r="1">
      <x v="30"/>
    </i>
    <i>
      <x v="122"/>
    </i>
    <i r="1">
      <x v="90"/>
    </i>
    <i>
      <x v="123"/>
    </i>
    <i r="1">
      <x v="23"/>
    </i>
    <i>
      <x v="124"/>
    </i>
    <i r="1">
      <x v="2"/>
    </i>
    <i>
      <x v="125"/>
    </i>
    <i r="1">
      <x v="76"/>
    </i>
    <i>
      <x v="126"/>
    </i>
    <i r="1">
      <x v="35"/>
    </i>
    <i>
      <x v="127"/>
    </i>
    <i r="1">
      <x v="70"/>
    </i>
    <i>
      <x v="128"/>
    </i>
    <i r="1">
      <x v="14"/>
    </i>
    <i>
      <x v="129"/>
    </i>
    <i r="1">
      <x v="116"/>
    </i>
    <i>
      <x v="130"/>
    </i>
    <i r="1">
      <x v="151"/>
    </i>
    <i>
      <x v="131"/>
    </i>
    <i r="1">
      <x v="142"/>
    </i>
    <i>
      <x v="132"/>
    </i>
    <i r="1">
      <x v="78"/>
    </i>
    <i>
      <x v="133"/>
    </i>
    <i r="1">
      <x v="57"/>
    </i>
    <i>
      <x v="134"/>
    </i>
    <i r="1">
      <x v="22"/>
    </i>
    <i>
      <x v="135"/>
    </i>
    <i r="1">
      <x v="24"/>
    </i>
    <i>
      <x v="136"/>
    </i>
    <i r="1">
      <x v="62"/>
    </i>
    <i>
      <x v="137"/>
    </i>
    <i r="1">
      <x v="135"/>
    </i>
    <i>
      <x v="138"/>
    </i>
    <i r="1">
      <x/>
    </i>
    <i>
      <x v="139"/>
    </i>
    <i r="1">
      <x v="26"/>
    </i>
    <i>
      <x v="140"/>
    </i>
    <i r="1">
      <x v="148"/>
    </i>
    <i>
      <x v="141"/>
    </i>
    <i r="1">
      <x v="131"/>
    </i>
    <i>
      <x v="142"/>
    </i>
    <i r="1">
      <x v="74"/>
    </i>
    <i>
      <x v="143"/>
    </i>
    <i r="1">
      <x v="107"/>
    </i>
    <i>
      <x v="144"/>
    </i>
    <i r="1">
      <x v="21"/>
    </i>
    <i>
      <x v="145"/>
    </i>
    <i r="1">
      <x v="122"/>
    </i>
    <i>
      <x v="146"/>
    </i>
    <i r="1">
      <x v="176"/>
    </i>
    <i>
      <x v="147"/>
    </i>
    <i r="1">
      <x v="118"/>
    </i>
    <i>
      <x v="148"/>
    </i>
    <i r="1">
      <x v="73"/>
    </i>
    <i>
      <x v="149"/>
    </i>
    <i r="1">
      <x v="165"/>
    </i>
    <i>
      <x v="150"/>
    </i>
    <i r="1">
      <x v="8"/>
    </i>
    <i>
      <x v="151"/>
    </i>
    <i r="1">
      <x v="85"/>
    </i>
    <i>
      <x v="152"/>
    </i>
    <i r="1">
      <x v="144"/>
    </i>
    <i>
      <x v="153"/>
    </i>
    <i r="1">
      <x v="58"/>
    </i>
    <i>
      <x v="154"/>
    </i>
    <i r="1">
      <x v="82"/>
    </i>
    <i>
      <x v="155"/>
    </i>
    <i r="1">
      <x v="107"/>
    </i>
    <i>
      <x v="156"/>
    </i>
    <i r="1">
      <x v="150"/>
    </i>
    <i>
      <x v="157"/>
    </i>
    <i r="1">
      <x v="153"/>
    </i>
    <i>
      <x v="158"/>
    </i>
    <i r="1">
      <x v="23"/>
    </i>
    <i>
      <x v="159"/>
    </i>
    <i r="1">
      <x v="44"/>
    </i>
    <i>
      <x v="160"/>
    </i>
    <i r="1">
      <x v="70"/>
    </i>
    <i>
      <x v="161"/>
    </i>
    <i r="1">
      <x v="29"/>
    </i>
    <i>
      <x v="162"/>
    </i>
    <i r="1">
      <x v="70"/>
    </i>
    <i>
      <x v="163"/>
    </i>
    <i r="1">
      <x v="108"/>
    </i>
    <i>
      <x v="164"/>
    </i>
    <i r="1">
      <x v="34"/>
    </i>
    <i>
      <x v="165"/>
    </i>
    <i r="1">
      <x v="120"/>
    </i>
    <i>
      <x v="166"/>
    </i>
    <i r="1">
      <x v="93"/>
    </i>
    <i>
      <x v="167"/>
    </i>
    <i r="1">
      <x v="19"/>
    </i>
    <i>
      <x v="168"/>
    </i>
    <i r="1">
      <x v="47"/>
    </i>
    <i>
      <x v="169"/>
    </i>
    <i r="1">
      <x v="123"/>
    </i>
    <i>
      <x v="170"/>
    </i>
    <i r="1">
      <x v="173"/>
    </i>
    <i>
      <x v="171"/>
    </i>
    <i r="1">
      <x v="50"/>
    </i>
    <i>
      <x v="172"/>
    </i>
    <i r="1">
      <x v="58"/>
    </i>
    <i>
      <x v="173"/>
    </i>
    <i r="1">
      <x v="174"/>
    </i>
    <i>
      <x v="174"/>
    </i>
    <i r="1">
      <x v="108"/>
    </i>
    <i>
      <x v="175"/>
    </i>
    <i r="1">
      <x v="8"/>
    </i>
    <i>
      <x v="176"/>
    </i>
    <i r="1">
      <x v="85"/>
    </i>
    <i>
      <x v="177"/>
    </i>
    <i r="1">
      <x v="101"/>
    </i>
    <i>
      <x v="178"/>
    </i>
    <i r="1">
      <x v="49"/>
    </i>
    <i>
      <x v="179"/>
    </i>
    <i r="1">
      <x v="51"/>
    </i>
    <i>
      <x v="180"/>
    </i>
    <i r="1">
      <x v="84"/>
    </i>
    <i>
      <x v="181"/>
    </i>
    <i r="1">
      <x v="172"/>
    </i>
    <i>
      <x v="182"/>
    </i>
    <i r="1">
      <x v="70"/>
    </i>
    <i>
      <x v="183"/>
    </i>
    <i r="1">
      <x v="138"/>
    </i>
    <i>
      <x v="184"/>
    </i>
    <i r="1">
      <x v="89"/>
    </i>
    <i>
      <x v="185"/>
    </i>
    <i r="1">
      <x v="4"/>
    </i>
    <i>
      <x v="186"/>
    </i>
    <i r="1">
      <x v="45"/>
    </i>
    <i>
      <x v="187"/>
    </i>
    <i r="1">
      <x v="140"/>
    </i>
    <i>
      <x v="188"/>
    </i>
    <i r="1">
      <x v="102"/>
    </i>
    <i>
      <x v="189"/>
    </i>
    <i r="1">
      <x v="134"/>
    </i>
    <i>
      <x v="190"/>
    </i>
    <i r="1">
      <x v="125"/>
    </i>
    <i>
      <x v="191"/>
    </i>
    <i r="1">
      <x v="64"/>
    </i>
    <i>
      <x v="192"/>
    </i>
    <i r="1">
      <x v="60"/>
    </i>
    <i>
      <x v="193"/>
    </i>
    <i r="1">
      <x v="94"/>
    </i>
    <i>
      <x v="194"/>
    </i>
    <i r="1">
      <x v="61"/>
    </i>
    <i>
      <x v="195"/>
    </i>
    <i r="1">
      <x v="1"/>
    </i>
    <i>
      <x v="196"/>
    </i>
    <i r="1">
      <x v="150"/>
    </i>
    <i>
      <x v="197"/>
    </i>
    <i r="1">
      <x v="175"/>
    </i>
    <i>
      <x v="198"/>
    </i>
    <i r="1">
      <x v="63"/>
    </i>
    <i>
      <x v="199"/>
    </i>
    <i r="1">
      <x v="142"/>
    </i>
    <i>
      <x v="200"/>
    </i>
    <i r="1">
      <x v="145"/>
    </i>
    <i>
      <x v="201"/>
    </i>
    <i r="1">
      <x v="143"/>
    </i>
    <i>
      <x v="202"/>
    </i>
    <i r="1">
      <x v="96"/>
    </i>
    <i>
      <x v="203"/>
    </i>
    <i r="1">
      <x v="109"/>
    </i>
    <i>
      <x v="204"/>
    </i>
    <i r="1">
      <x v="86"/>
    </i>
    <i>
      <x v="205"/>
    </i>
    <i r="1">
      <x v="141"/>
    </i>
    <i>
      <x v="206"/>
    </i>
    <i r="1">
      <x v="55"/>
    </i>
    <i>
      <x v="207"/>
    </i>
    <i r="1">
      <x v="10"/>
    </i>
    <i>
      <x v="208"/>
    </i>
    <i r="1">
      <x v="46"/>
    </i>
    <i>
      <x v="209"/>
    </i>
    <i r="1">
      <x v="27"/>
    </i>
    <i>
      <x v="210"/>
    </i>
    <i r="1">
      <x v="37"/>
    </i>
    <i>
      <x v="211"/>
    </i>
    <i r="1">
      <x v="68"/>
    </i>
    <i>
      <x v="212"/>
    </i>
    <i r="1">
      <x v="77"/>
    </i>
    <i>
      <x v="213"/>
    </i>
    <i r="1">
      <x v="65"/>
    </i>
    <i>
      <x v="214"/>
    </i>
    <i r="1">
      <x v="30"/>
    </i>
    <i>
      <x v="215"/>
    </i>
    <i r="1">
      <x v="53"/>
    </i>
    <i>
      <x v="216"/>
    </i>
    <i r="1">
      <x v="139"/>
    </i>
    <i>
      <x v="217"/>
    </i>
    <i r="1">
      <x v="156"/>
    </i>
    <i>
      <x v="218"/>
    </i>
    <i r="1">
      <x v="88"/>
    </i>
    <i>
      <x v="220"/>
    </i>
    <i r="1">
      <x v="157"/>
    </i>
    <i>
      <x v="221"/>
    </i>
    <i r="1">
      <x v="158"/>
    </i>
    <i>
      <x v="223"/>
    </i>
    <i r="1">
      <x v="71"/>
    </i>
    <i>
      <x v="224"/>
    </i>
    <i r="1">
      <x v="169"/>
    </i>
    <i>
      <x v="225"/>
    </i>
    <i r="1">
      <x v="160"/>
    </i>
    <i>
      <x v="226"/>
    </i>
    <i r="1">
      <x v="103"/>
    </i>
    <i>
      <x v="227"/>
    </i>
    <i r="1">
      <x v="82"/>
    </i>
    <i>
      <x v="228"/>
    </i>
    <i r="1">
      <x v="161"/>
    </i>
    <i>
      <x v="229"/>
    </i>
    <i r="1">
      <x v="162"/>
    </i>
    <i>
      <x v="230"/>
    </i>
    <i r="1">
      <x v="163"/>
    </i>
    <i>
      <x v="231"/>
    </i>
    <i r="1">
      <x v="164"/>
    </i>
    <i>
      <x v="232"/>
    </i>
    <i r="1">
      <x v="166"/>
    </i>
    <i>
      <x v="233"/>
    </i>
    <i r="1">
      <x v="119"/>
    </i>
    <i>
      <x v="234"/>
    </i>
    <i r="1">
      <x v="167"/>
    </i>
    <i>
      <x v="235"/>
    </i>
    <i r="1">
      <x v="70"/>
    </i>
    <i>
      <x v="236"/>
    </i>
    <i r="1">
      <x v="57"/>
    </i>
    <i>
      <x v="237"/>
    </i>
    <i r="1">
      <x v="81"/>
    </i>
    <i>
      <x v="238"/>
    </i>
    <i r="1">
      <x v="168"/>
    </i>
    <i>
      <x v="239"/>
    </i>
    <i r="1">
      <x v="62"/>
    </i>
    <i>
      <x v="240"/>
    </i>
    <i r="1">
      <x v="130"/>
    </i>
    <i>
      <x v="241"/>
    </i>
    <i r="1">
      <x v="135"/>
    </i>
    <i>
      <x v="242"/>
    </i>
    <i r="1">
      <x v="170"/>
    </i>
    <i>
      <x v="243"/>
    </i>
    <i r="1">
      <x v="171"/>
    </i>
    <i>
      <x v="244"/>
    </i>
    <i r="1">
      <x v="109"/>
    </i>
    <i>
      <x v="245"/>
    </i>
    <i r="1">
      <x v="178"/>
    </i>
    <i>
      <x v="246"/>
    </i>
    <i r="1">
      <x v="52"/>
    </i>
    <i>
      <x v="247"/>
    </i>
    <i r="1">
      <x v="179"/>
    </i>
    <i>
      <x v="248"/>
    </i>
    <i r="1">
      <x v="180"/>
    </i>
    <i>
      <x v="249"/>
    </i>
    <i r="1">
      <x v="181"/>
    </i>
    <i>
      <x v="250"/>
    </i>
    <i r="1">
      <x v="182"/>
    </i>
    <i>
      <x v="251"/>
    </i>
    <i r="1">
      <x v="183"/>
    </i>
    <i>
      <x v="252"/>
    </i>
    <i r="1">
      <x v="79"/>
    </i>
    <i>
      <x v="253"/>
    </i>
    <i r="1">
      <x v="20"/>
    </i>
    <i>
      <x v="254"/>
    </i>
    <i r="1">
      <x v="109"/>
    </i>
    <i>
      <x v="255"/>
    </i>
    <i r="1">
      <x v="176"/>
    </i>
    <i>
      <x v="256"/>
    </i>
    <i r="1">
      <x v="184"/>
    </i>
    <i>
      <x v="257"/>
    </i>
    <i r="1">
      <x v="60"/>
    </i>
    <i>
      <x v="258"/>
    </i>
    <i r="1">
      <x v="185"/>
    </i>
    <i>
      <x v="259"/>
    </i>
    <i r="1">
      <x v="183"/>
    </i>
    <i>
      <x v="260"/>
    </i>
    <i r="1">
      <x v="186"/>
    </i>
    <i>
      <x v="261"/>
    </i>
    <i r="1">
      <x v="187"/>
    </i>
    <i>
      <x v="263"/>
    </i>
    <i r="1">
      <x v="180"/>
    </i>
    <i>
      <x v="264"/>
    </i>
    <i r="1">
      <x v="189"/>
    </i>
    <i>
      <x v="265"/>
    </i>
    <i r="1">
      <x v="190"/>
    </i>
    <i>
      <x v="266"/>
    </i>
    <i r="1">
      <x v="191"/>
    </i>
    <i>
      <x v="267"/>
    </i>
    <i r="1">
      <x v="192"/>
    </i>
    <i>
      <x v="268"/>
    </i>
    <i r="1">
      <x v="50"/>
    </i>
    <i>
      <x v="269"/>
    </i>
    <i r="1">
      <x v="74"/>
    </i>
    <i>
      <x v="270"/>
    </i>
    <i r="1">
      <x v="123"/>
    </i>
    <i>
      <x v="271"/>
    </i>
    <i r="1">
      <x v="193"/>
    </i>
    <i>
      <x v="272"/>
    </i>
    <i r="1">
      <x v="173"/>
    </i>
    <i>
      <x v="273"/>
    </i>
    <i r="1">
      <x v="194"/>
    </i>
    <i>
      <x v="274"/>
    </i>
    <i r="1">
      <x v="195"/>
    </i>
    <i>
      <x v="275"/>
    </i>
    <i r="1">
      <x v="157"/>
    </i>
    <i>
      <x v="276"/>
    </i>
    <i r="1">
      <x v="271"/>
    </i>
    <i>
      <x v="277"/>
    </i>
    <i r="1">
      <x v="197"/>
    </i>
    <i>
      <x v="278"/>
    </i>
    <i r="1">
      <x v="109"/>
    </i>
    <i>
      <x v="279"/>
    </i>
    <i r="1">
      <x v="93"/>
    </i>
    <i>
      <x v="280"/>
    </i>
    <i r="1">
      <x v="198"/>
    </i>
    <i>
      <x v="281"/>
    </i>
    <i r="1">
      <x v="199"/>
    </i>
    <i>
      <x v="282"/>
    </i>
    <i r="1">
      <x v="168"/>
    </i>
    <i>
      <x v="284"/>
    </i>
    <i r="1">
      <x v="47"/>
    </i>
    <i>
      <x v="285"/>
    </i>
    <i r="1">
      <x v="19"/>
    </i>
    <i>
      <x v="286"/>
    </i>
    <i r="1">
      <x v="201"/>
    </i>
    <i>
      <x v="287"/>
    </i>
    <i r="1">
      <x v="202"/>
    </i>
    <i>
      <x v="288"/>
    </i>
    <i r="1">
      <x v="77"/>
    </i>
    <i>
      <x v="289"/>
    </i>
    <i r="1">
      <x v="203"/>
    </i>
    <i>
      <x v="290"/>
    </i>
    <i r="1">
      <x v="204"/>
    </i>
    <i>
      <x v="291"/>
    </i>
    <i r="1">
      <x v="100"/>
    </i>
    <i>
      <x v="292"/>
    </i>
    <i r="1">
      <x v="205"/>
    </i>
    <i>
      <x v="293"/>
    </i>
    <i r="1">
      <x v="64"/>
    </i>
    <i>
      <x v="294"/>
    </i>
    <i r="1">
      <x v="1"/>
    </i>
    <i>
      <x v="295"/>
    </i>
    <i r="1">
      <x v="206"/>
    </i>
    <i>
      <x v="296"/>
    </i>
    <i r="1">
      <x v="207"/>
    </i>
    <i>
      <x v="297"/>
    </i>
    <i r="1">
      <x v="150"/>
    </i>
    <i>
      <x v="298"/>
    </i>
    <i r="1">
      <x v="102"/>
    </i>
    <i>
      <x v="299"/>
    </i>
    <i r="1">
      <x v="208"/>
    </i>
    <i>
      <x v="300"/>
    </i>
    <i r="1">
      <x v="130"/>
    </i>
    <i>
      <x v="302"/>
    </i>
    <i r="1">
      <x v="210"/>
    </i>
    <i>
      <x v="303"/>
    </i>
    <i r="1">
      <x v="211"/>
    </i>
    <i>
      <x v="304"/>
    </i>
    <i r="1">
      <x v="212"/>
    </i>
    <i>
      <x v="305"/>
    </i>
    <i r="1">
      <x v="163"/>
    </i>
    <i>
      <x v="306"/>
    </i>
    <i r="1">
      <x v="213"/>
    </i>
    <i>
      <x v="307"/>
    </i>
    <i r="1">
      <x v="214"/>
    </i>
    <i>
      <x v="308"/>
    </i>
    <i r="1">
      <x v="215"/>
    </i>
    <i>
      <x v="309"/>
    </i>
    <i r="1">
      <x v="216"/>
    </i>
    <i>
      <x v="310"/>
    </i>
    <i r="1">
      <x v="137"/>
    </i>
    <i>
      <x v="311"/>
    </i>
    <i r="1">
      <x v="217"/>
    </i>
    <i>
      <x v="312"/>
    </i>
    <i r="1">
      <x v="218"/>
    </i>
    <i>
      <x v="313"/>
    </i>
    <i r="1">
      <x v="219"/>
    </i>
    <i>
      <x v="314"/>
    </i>
    <i r="1">
      <x v="220"/>
    </i>
    <i>
      <x v="315"/>
    </i>
    <i r="1">
      <x v="221"/>
    </i>
    <i>
      <x v="316"/>
    </i>
    <i r="1">
      <x v="222"/>
    </i>
    <i>
      <x v="318"/>
    </i>
    <i r="1">
      <x v="224"/>
    </i>
    <i>
      <x v="319"/>
    </i>
    <i r="1">
      <x v="225"/>
    </i>
    <i>
      <x v="322"/>
    </i>
    <i r="1">
      <x v="227"/>
    </i>
    <i>
      <x v="323"/>
    </i>
    <i r="1">
      <x v="228"/>
    </i>
    <i>
      <x v="324"/>
    </i>
    <i r="1">
      <x v="229"/>
    </i>
    <i>
      <x v="325"/>
    </i>
    <i r="1">
      <x v="230"/>
    </i>
    <i>
      <x v="326"/>
    </i>
    <i r="1">
      <x v="231"/>
    </i>
    <i>
      <x v="327"/>
    </i>
    <i r="1">
      <x v="232"/>
    </i>
    <i>
      <x v="328"/>
    </i>
    <i r="1">
      <x v="233"/>
    </i>
    <i>
      <x v="329"/>
    </i>
    <i r="1">
      <x v="234"/>
    </i>
    <i>
      <x v="330"/>
    </i>
    <i r="1">
      <x v="235"/>
    </i>
    <i>
      <x v="331"/>
    </i>
    <i r="1">
      <x v="236"/>
    </i>
    <i>
      <x v="332"/>
    </i>
    <i r="1">
      <x v="237"/>
    </i>
    <i>
      <x v="333"/>
    </i>
    <i r="1">
      <x v="238"/>
    </i>
    <i>
      <x v="334"/>
    </i>
    <i r="1">
      <x v="239"/>
    </i>
    <i>
      <x v="336"/>
    </i>
    <i r="1">
      <x v="70"/>
    </i>
    <i>
      <x v="337"/>
    </i>
    <i r="1">
      <x v="241"/>
    </i>
    <i>
      <x v="338"/>
    </i>
    <i r="1">
      <x v="242"/>
    </i>
    <i>
      <x v="339"/>
    </i>
    <i r="1">
      <x v="243"/>
    </i>
    <i>
      <x v="340"/>
    </i>
    <i r="1">
      <x v="244"/>
    </i>
    <i>
      <x v="341"/>
    </i>
    <i r="1">
      <x v="272"/>
    </i>
    <i>
      <x v="343"/>
    </i>
    <i r="1">
      <x v="247"/>
    </i>
    <i>
      <x v="345"/>
    </i>
    <i r="1">
      <x v="249"/>
    </i>
    <i>
      <x v="351"/>
    </i>
    <i r="1">
      <x v="182"/>
    </i>
    <i>
      <x v="352"/>
    </i>
    <i r="1">
      <x v="254"/>
    </i>
    <i>
      <x v="353"/>
    </i>
    <i r="1">
      <x v="121"/>
    </i>
    <i>
      <x v="356"/>
    </i>
    <i r="1">
      <x v="257"/>
    </i>
    <i>
      <x v="358"/>
    </i>
    <i r="1">
      <x v="259"/>
    </i>
    <i>
      <x v="361"/>
    </i>
    <i r="1">
      <x v="170"/>
    </i>
    <i>
      <x v="362"/>
    </i>
    <i r="1">
      <x v="261"/>
    </i>
    <i>
      <x v="363"/>
    </i>
    <i r="1">
      <x v="262"/>
    </i>
    <i>
      <x v="365"/>
    </i>
    <i r="1">
      <x v="264"/>
    </i>
    <i>
      <x v="366"/>
    </i>
    <i r="1">
      <x v="265"/>
    </i>
    <i>
      <x v="367"/>
    </i>
    <i r="1">
      <x v="266"/>
    </i>
    <i>
      <x v="368"/>
    </i>
    <i r="1">
      <x v="267"/>
    </i>
    <i>
      <x v="370"/>
    </i>
    <i r="1">
      <x v="266"/>
    </i>
    <i>
      <x v="371"/>
    </i>
    <i r="1">
      <x v="266"/>
    </i>
    <i>
      <x v="372"/>
    </i>
    <i r="1">
      <x v="269"/>
    </i>
    <i>
      <x v="374"/>
    </i>
    <i r="1">
      <x v="246"/>
    </i>
    <i>
      <x v="377"/>
    </i>
    <i r="1">
      <x v="274"/>
    </i>
    <i>
      <x v="396"/>
    </i>
    <i r="1">
      <x v="150"/>
    </i>
    <i>
      <x v="413"/>
    </i>
    <i r="1">
      <x v="289"/>
    </i>
  </rowItems>
  <colFields count="1">
    <field x="-2"/>
  </colFields>
  <colItems count="5">
    <i>
      <x/>
    </i>
    <i i="1">
      <x v="1"/>
    </i>
    <i i="2">
      <x v="2"/>
    </i>
    <i i="3">
      <x v="3"/>
    </i>
    <i i="4">
      <x v="4"/>
    </i>
  </colItems>
  <pageFields count="2">
    <pageField fld="24" hier="-1"/>
    <pageField fld="21" hier="-1"/>
  </pageFields>
  <dataFields count="5">
    <dataField name=" Fecha de terminación final" fld="15" baseField="0" baseItem="0" numFmtId="169"/>
    <dataField name=" Valor Total ($)" fld="16" baseField="0" baseItem="0" numFmtId="171"/>
    <dataField name=" Giros ($)" fld="17" baseField="0" baseItem="0" numFmtId="171"/>
    <dataField name=" Saldos ($)" fld="18" baseField="0" baseItem="0" numFmtId="171"/>
    <dataField name=" % Ejecución recursos" fld="20" baseField="0" baseItem="0" numFmtId="172"/>
  </dataFields>
  <formats count="19">
    <format dxfId="873">
      <pivotArea outline="0" collapsedLevelsAreSubtotals="1" fieldPosition="0">
        <references count="1">
          <reference field="4294967294" count="3" selected="0">
            <x v="1"/>
            <x v="2"/>
            <x v="3"/>
          </reference>
        </references>
      </pivotArea>
    </format>
    <format dxfId="872">
      <pivotArea dataOnly="0" labelOnly="1" outline="0" fieldPosition="0">
        <references count="1">
          <reference field="24" count="0"/>
        </references>
      </pivotArea>
    </format>
    <format dxfId="871">
      <pivotArea dataOnly="0" labelOnly="1" outline="0" fieldPosition="0">
        <references count="1">
          <reference field="4294967294" count="3">
            <x v="1"/>
            <x v="2"/>
            <x v="3"/>
          </reference>
        </references>
      </pivotArea>
    </format>
    <format dxfId="870">
      <pivotArea outline="0" collapsedLevelsAreSubtotals="1" fieldPosition="0">
        <references count="1">
          <reference field="4294967294" count="1" selected="0">
            <x v="4"/>
          </reference>
        </references>
      </pivotArea>
    </format>
    <format dxfId="869">
      <pivotArea dataOnly="0" labelOnly="1" outline="0" fieldPosition="0">
        <references count="1">
          <reference field="4294967294" count="1">
            <x v="4"/>
          </reference>
        </references>
      </pivotArea>
    </format>
    <format dxfId="868">
      <pivotArea dataOnly="0" labelOnly="1" outline="0" fieldPosition="0">
        <references count="1">
          <reference field="21" count="0"/>
        </references>
      </pivotArea>
    </format>
    <format dxfId="867">
      <pivotArea field="0" type="button" dataOnly="0" labelOnly="1" outline="0" axis="axisRow" fieldPosition="0"/>
    </format>
    <format dxfId="866">
      <pivotArea dataOnly="0" labelOnly="1" outline="0" fieldPosition="0">
        <references count="1">
          <reference field="4294967294" count="5">
            <x v="0"/>
            <x v="1"/>
            <x v="2"/>
            <x v="3"/>
            <x v="4"/>
          </reference>
        </references>
      </pivotArea>
    </format>
    <format dxfId="865">
      <pivotArea field="0" type="button" dataOnly="0" labelOnly="1" outline="0" axis="axisRow" fieldPosition="0"/>
    </format>
    <format dxfId="864">
      <pivotArea dataOnly="0" labelOnly="1" outline="0" fieldPosition="0">
        <references count="1">
          <reference field="4294967294" count="5">
            <x v="0"/>
            <x v="1"/>
            <x v="2"/>
            <x v="3"/>
            <x v="4"/>
          </reference>
        </references>
      </pivotArea>
    </format>
    <format dxfId="863">
      <pivotArea field="0" type="button" dataOnly="0" labelOnly="1" outline="0" axis="axisRow" fieldPosition="0"/>
    </format>
    <format dxfId="862">
      <pivotArea dataOnly="0" labelOnly="1" outline="0" fieldPosition="0">
        <references count="1">
          <reference field="4294967294" count="5">
            <x v="0"/>
            <x v="1"/>
            <x v="2"/>
            <x v="3"/>
            <x v="4"/>
          </reference>
        </references>
      </pivotArea>
    </format>
    <format dxfId="861">
      <pivotArea outline="0" collapsedLevelsAreSubtotals="1" fieldPosition="0">
        <references count="1">
          <reference field="4294967294" count="1">
            <x v="0"/>
          </reference>
        </references>
      </pivotArea>
    </format>
    <format dxfId="860">
      <pivotArea type="all" dataOnly="0" outline="0" collapsedLevelsAreSubtotals="1" fieldPosition="0"/>
    </format>
    <format dxfId="859">
      <pivotArea type="all" dataOnly="0" outline="0" collapsedLevelsAreSubtotals="1" fieldPosition="0"/>
    </format>
    <format dxfId="858">
      <pivotArea outline="0" collapsedLevelsAreSubtotals="1" fieldPosition="0">
        <references count="1">
          <reference field="4294967294" count="1" selected="0">
            <x v="0"/>
          </reference>
        </references>
      </pivotArea>
    </format>
    <format dxfId="857">
      <pivotArea dataOnly="0" labelOnly="1" outline="0" fieldPosition="0">
        <references count="1">
          <reference field="24" count="0"/>
        </references>
      </pivotArea>
    </format>
    <format dxfId="856">
      <pivotArea dataOnly="0" labelOnly="1" outline="0" fieldPosition="0">
        <references count="1">
          <reference field="21" count="0"/>
        </references>
      </pivotArea>
    </format>
    <format dxfId="855">
      <pivotArea dataOnly="0" labelOnly="1" outline="0" fieldPosition="0">
        <references count="1">
          <reference field="4294967294" count="1">
            <x v="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name="Tabla dinámica3" cacheId="14" applyNumberFormats="0" applyBorderFormats="0" applyFontFormats="0" applyPatternFormats="0" applyAlignmentFormats="0" applyWidthHeightFormats="1" dataCaption="Valores" updatedVersion="5" minRefreshableVersion="3" rowGrandTotals="0" colGrandTotals="0" itemPrintTitles="1" createdVersion="4" indent="0" outline="1" outlineData="1" multipleFieldFilters="0">
  <location ref="A11:D495" firstHeaderRow="0" firstDataRow="1" firstDataCol="1" rowPageCount="2" colPageCount="1"/>
  <pivotFields count="25">
    <pivotField axis="axisRow" showAll="0" defaultSubtotal="0">
      <items count="249">
        <item x="0"/>
        <item x="1"/>
        <item x="2"/>
        <item x="15"/>
        <item x="16"/>
        <item x="17"/>
        <item x="3"/>
        <item x="18"/>
        <item x="19"/>
        <item x="21"/>
        <item x="22"/>
        <item x="6"/>
        <item x="23"/>
        <item x="24"/>
        <item x="25"/>
        <item x="26"/>
        <item x="27"/>
        <item x="28"/>
        <item x="29"/>
        <item x="30"/>
        <item x="31"/>
        <item x="32"/>
        <item x="33"/>
        <item m="1" x="247"/>
        <item x="35"/>
        <item x="36"/>
        <item x="37"/>
        <item x="38"/>
        <item x="39"/>
        <item x="40"/>
        <item x="41"/>
        <item x="42"/>
        <item x="43"/>
        <item x="44"/>
        <item x="57"/>
        <item x="45"/>
        <item x="7"/>
        <item x="8"/>
        <item x="9"/>
        <item x="46"/>
        <item x="10"/>
        <item x="11"/>
        <item x="47"/>
        <item x="48"/>
        <item x="12"/>
        <item x="13"/>
        <item x="49"/>
        <item x="50"/>
        <item x="51"/>
        <item x="52"/>
        <item x="53"/>
        <item x="54"/>
        <item x="55"/>
        <item x="56"/>
        <item x="58"/>
        <item x="59"/>
        <item x="60"/>
        <item x="61"/>
        <item x="62"/>
        <item x="5"/>
        <item x="14"/>
        <item x="63"/>
        <item x="64"/>
        <item x="75"/>
        <item x="65"/>
        <item x="20"/>
        <item x="66"/>
        <item m="1" x="244"/>
        <item x="68"/>
        <item x="69"/>
        <item x="70"/>
        <item x="71"/>
        <item x="76"/>
        <item x="77"/>
        <item x="145"/>
        <item x="73"/>
        <item x="74"/>
        <item x="78"/>
        <item x="79"/>
        <item x="4"/>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4"/>
        <item x="72"/>
        <item x="146"/>
        <item x="147"/>
        <item x="148"/>
        <item x="149"/>
        <item x="150"/>
        <item x="151"/>
        <item x="152"/>
        <item x="153"/>
        <item x="154"/>
        <item x="155"/>
        <item x="156"/>
        <item x="157"/>
        <item x="158"/>
        <item x="159"/>
        <item x="160"/>
        <item x="161"/>
        <item x="162"/>
        <item x="163"/>
        <item x="164"/>
        <item x="165"/>
        <item x="166"/>
        <item x="167"/>
        <item x="169"/>
        <item x="170"/>
        <item x="171"/>
        <item x="172"/>
        <item x="173"/>
        <item x="174"/>
        <item x="175"/>
        <item x="176"/>
        <item m="1" x="245"/>
        <item x="178"/>
        <item x="179"/>
        <item x="180"/>
        <item x="181"/>
        <item x="182"/>
        <item x="183"/>
        <item x="184"/>
        <item x="185"/>
        <item x="186"/>
        <item x="187"/>
        <item x="188"/>
        <item x="189"/>
        <item m="1" x="248"/>
        <item x="190"/>
        <item x="191"/>
        <item x="192"/>
        <item x="193"/>
        <item x="216"/>
        <item x="194"/>
        <item x="195"/>
        <item x="196"/>
        <item x="197"/>
        <item x="198"/>
        <item x="199"/>
        <item x="201"/>
        <item x="203"/>
        <item x="217"/>
        <item x="204"/>
        <item x="205"/>
        <item x="206"/>
        <item x="207"/>
        <item x="208"/>
        <item x="210"/>
        <item x="211"/>
        <item x="212"/>
        <item x="213"/>
        <item x="214"/>
        <item x="219"/>
        <item x="220"/>
        <item x="221"/>
        <item x="222"/>
        <item x="202"/>
        <item x="225"/>
        <item x="226"/>
        <item x="227"/>
        <item x="231"/>
        <item x="232"/>
        <item m="1" x="242"/>
        <item x="234"/>
        <item x="236"/>
        <item m="1" x="243"/>
        <item x="200"/>
        <item x="209"/>
        <item x="218"/>
        <item x="215"/>
        <item x="168"/>
        <item x="177"/>
        <item x="235"/>
        <item x="237"/>
        <item x="239"/>
        <item x="240"/>
        <item m="1" x="246"/>
        <item x="223"/>
        <item x="224"/>
        <item x="230"/>
        <item x="233"/>
        <item x="238"/>
        <item x="67"/>
        <item x="143"/>
        <item x="228"/>
        <item x="229"/>
        <item x="241"/>
        <item x="34"/>
      </items>
    </pivotField>
    <pivotField axis="axisRow" showAll="0" defaultSubtotal="0">
      <items count="197">
        <item x="119"/>
        <item x="150"/>
        <item x="107"/>
        <item x="17"/>
        <item x="89"/>
        <item x="19"/>
        <item x="31"/>
        <item x="79"/>
        <item x="130"/>
        <item x="93"/>
        <item x="90"/>
        <item x="67"/>
        <item m="1" x="187"/>
        <item x="75"/>
        <item x="63"/>
        <item x="111"/>
        <item x="32"/>
        <item m="1" x="193"/>
        <item x="43"/>
        <item x="98"/>
        <item x="37"/>
        <item x="82"/>
        <item x="52"/>
        <item x="40"/>
        <item x="116"/>
        <item x="1"/>
        <item x="117"/>
        <item x="59"/>
        <item x="120"/>
        <item x="163"/>
        <item x="2"/>
        <item x="138"/>
        <item x="26"/>
        <item m="1" x="188"/>
        <item x="8"/>
        <item x="102"/>
        <item x="13"/>
        <item x="77"/>
        <item x="109"/>
        <item x="39"/>
        <item x="7"/>
        <item x="65"/>
        <item x="4"/>
        <item m="1" x="190"/>
        <item x="38"/>
        <item x="3"/>
        <item x="72"/>
        <item x="101"/>
        <item x="137"/>
        <item x="70"/>
        <item x="159"/>
        <item x="83"/>
        <item x="53"/>
        <item x="95"/>
        <item x="99"/>
        <item x="84"/>
        <item x="20"/>
        <item x="27"/>
        <item m="1" x="186"/>
        <item x="10"/>
        <item m="1" x="180"/>
        <item x="158"/>
        <item x="16"/>
        <item x="14"/>
        <item x="133"/>
        <item x="0"/>
        <item m="1" x="195"/>
        <item x="76"/>
        <item x="149"/>
        <item x="58"/>
        <item x="161"/>
        <item x="73"/>
        <item x="152"/>
        <item x="57"/>
        <item x="61"/>
        <item x="164"/>
        <item x="71"/>
        <item m="1" x="179"/>
        <item x="110"/>
        <item x="22"/>
        <item x="100"/>
        <item x="128"/>
        <item m="1" x="178"/>
        <item x="55"/>
        <item x="29"/>
        <item x="108"/>
        <item x="97"/>
        <item x="115"/>
        <item x="6"/>
        <item x="23"/>
        <item x="66"/>
        <item x="134"/>
        <item x="36"/>
        <item x="142"/>
        <item x="131"/>
        <item x="156"/>
        <item x="34"/>
        <item x="169"/>
        <item x="145"/>
        <item x="106"/>
        <item x="35"/>
        <item x="11"/>
        <item x="94"/>
        <item x="148"/>
        <item m="1" x="192"/>
        <item x="88"/>
        <item x="155"/>
        <item x="60"/>
        <item x="81"/>
        <item x="18"/>
        <item x="64"/>
        <item x="141"/>
        <item x="146"/>
        <item x="87"/>
        <item m="1" x="185"/>
        <item x="92"/>
        <item m="1" x="182"/>
        <item x="49"/>
        <item x="78"/>
        <item x="124"/>
        <item x="139"/>
        <item x="33"/>
        <item x="74"/>
        <item x="12"/>
        <item x="9"/>
        <item x="5"/>
        <item x="47"/>
        <item x="24"/>
        <item x="112"/>
        <item x="21"/>
        <item x="127"/>
        <item x="28"/>
        <item x="41"/>
        <item x="96"/>
        <item x="125"/>
        <item m="1" x="181"/>
        <item x="85"/>
        <item x="44"/>
        <item x="147"/>
        <item x="86"/>
        <item x="45"/>
        <item x="103"/>
        <item x="68"/>
        <item m="1" x="194"/>
        <item x="56"/>
        <item x="123"/>
        <item x="69"/>
        <item x="42"/>
        <item x="104"/>
        <item x="118"/>
        <item x="46"/>
        <item x="50"/>
        <item x="144"/>
        <item x="166"/>
        <item x="80"/>
        <item x="157"/>
        <item x="114"/>
        <item m="1" x="189"/>
        <item x="154"/>
        <item x="132"/>
        <item m="1" x="196"/>
        <item x="48"/>
        <item x="51"/>
        <item x="25"/>
        <item x="121"/>
        <item x="62"/>
        <item x="135"/>
        <item x="113"/>
        <item x="54"/>
        <item x="136"/>
        <item m="1" x="183"/>
        <item x="30"/>
        <item m="1" x="175"/>
        <item x="168"/>
        <item x="170"/>
        <item x="172"/>
        <item m="1" x="177"/>
        <item x="151"/>
        <item m="1" x="191"/>
        <item m="1" x="184"/>
        <item x="160"/>
        <item x="171"/>
        <item x="173"/>
        <item x="91"/>
        <item x="174"/>
        <item x="129"/>
        <item m="1" x="176"/>
        <item x="165"/>
        <item x="167"/>
        <item x="122"/>
        <item x="162"/>
        <item x="143"/>
        <item x="105"/>
        <item x="140"/>
        <item x="153"/>
        <item x="126"/>
        <item x="15"/>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numFmtId="1" showAll="0" defaultSubtotal="0"/>
    <pivotField showAll="0" defaultSubtotal="0"/>
    <pivotField numFmtId="1" showAll="0" defaultSubtotal="0"/>
    <pivotField showAll="0" defaultSubtotal="0"/>
    <pivotField showAll="0" defaultSubtotal="0"/>
    <pivotField dataField="1" numFmtId="169" showAll="0" defaultSubtotal="0"/>
    <pivotField showAll="0" defaultSubtotal="0"/>
    <pivotField showAll="0" defaultSubtotal="0"/>
    <pivotField showAll="0" defaultSubtotal="0"/>
    <pivotField showAll="0" defaultSubtotal="0"/>
    <pivotField dataField="1" showAll="0" defaultSubtotal="0">
      <items count="332">
        <item x="6"/>
        <item x="2"/>
        <item m="1" x="240"/>
        <item m="1" x="213"/>
        <item m="1" x="140"/>
        <item m="1" x="205"/>
        <item m="1" x="248"/>
        <item m="1" x="184"/>
        <item m="1" x="186"/>
        <item m="1" x="215"/>
        <item m="1" x="267"/>
        <item m="1" x="233"/>
        <item x="5"/>
        <item m="1" x="138"/>
        <item m="1" x="328"/>
        <item m="1" x="226"/>
        <item m="1" x="264"/>
        <item m="1" x="167"/>
        <item m="1" x="236"/>
        <item m="1" x="158"/>
        <item m="1" x="202"/>
        <item m="1" x="234"/>
        <item m="1" x="312"/>
        <item m="1" x="149"/>
        <item m="1" x="130"/>
        <item x="66"/>
        <item m="1" x="114"/>
        <item m="1" x="247"/>
        <item m="1" x="284"/>
        <item m="1" x="239"/>
        <item m="1" x="146"/>
        <item x="73"/>
        <item x="83"/>
        <item m="1" x="180"/>
        <item m="1" x="279"/>
        <item m="1" x="176"/>
        <item m="1" x="188"/>
        <item m="1" x="204"/>
        <item m="1" x="209"/>
        <item m="1" x="285"/>
        <item m="1" x="322"/>
        <item m="1" x="133"/>
        <item m="1" x="316"/>
        <item m="1" x="319"/>
        <item m="1" x="249"/>
        <item m="1" x="152"/>
        <item m="1" x="301"/>
        <item m="1" x="231"/>
        <item m="1" x="160"/>
        <item m="1" x="331"/>
        <item m="1" x="243"/>
        <item m="1" x="300"/>
        <item m="1" x="134"/>
        <item m="1" x="200"/>
        <item x="48"/>
        <item m="1" x="260"/>
        <item m="1" x="113"/>
        <item x="97"/>
        <item m="1" x="230"/>
        <item x="85"/>
        <item m="1" x="136"/>
        <item m="1" x="162"/>
        <item x="50"/>
        <item m="1" x="165"/>
        <item m="1" x="225"/>
        <item m="1" x="194"/>
        <item m="1" x="118"/>
        <item m="1" x="109"/>
        <item m="1" x="163"/>
        <item m="1" x="302"/>
        <item m="1" x="187"/>
        <item m="1" x="108"/>
        <item m="1" x="306"/>
        <item m="1" x="117"/>
        <item x="72"/>
        <item m="1" x="290"/>
        <item m="1" x="291"/>
        <item m="1" x="120"/>
        <item m="1" x="305"/>
        <item m="1" x="127"/>
        <item m="1" x="246"/>
        <item m="1" x="268"/>
        <item m="1" x="273"/>
        <item m="1" x="220"/>
        <item x="22"/>
        <item m="1" x="161"/>
        <item m="1" x="179"/>
        <item m="1" x="276"/>
        <item m="1" x="320"/>
        <item m="1" x="183"/>
        <item m="1" x="296"/>
        <item x="27"/>
        <item x="100"/>
        <item m="1" x="137"/>
        <item x="44"/>
        <item x="60"/>
        <item m="1" x="216"/>
        <item m="1" x="112"/>
        <item x="84"/>
        <item m="1" x="278"/>
        <item m="1" x="203"/>
        <item m="1" x="324"/>
        <item m="1" x="175"/>
        <item m="1" x="169"/>
        <item x="57"/>
        <item m="1" x="219"/>
        <item m="1" x="210"/>
        <item m="1" x="318"/>
        <item m="1" x="326"/>
        <item m="1" x="303"/>
        <item m="1" x="126"/>
        <item m="1" x="289"/>
        <item m="1" x="287"/>
        <item m="1" x="274"/>
        <item m="1" x="150"/>
        <item m="1" x="245"/>
        <item x="79"/>
        <item m="1" x="307"/>
        <item x="104"/>
        <item m="1" x="206"/>
        <item m="1" x="198"/>
        <item m="1" x="281"/>
        <item x="80"/>
        <item m="1" x="244"/>
        <item m="1" x="327"/>
        <item m="1" x="294"/>
        <item m="1" x="277"/>
        <item m="1" x="214"/>
        <item m="1" x="123"/>
        <item m="1" x="135"/>
        <item m="1" x="317"/>
        <item m="1" x="155"/>
        <item m="1" x="182"/>
        <item m="1" x="329"/>
        <item m="1" x="270"/>
        <item m="1" x="250"/>
        <item m="1" x="251"/>
        <item m="1" x="222"/>
        <item m="1" x="199"/>
        <item m="1" x="132"/>
        <item m="1" x="139"/>
        <item m="1" x="282"/>
        <item m="1" x="271"/>
        <item m="1" x="143"/>
        <item m="1" x="259"/>
        <item m="1" x="178"/>
        <item m="1" x="323"/>
        <item m="1" x="141"/>
        <item x="102"/>
        <item m="1" x="185"/>
        <item m="1" x="111"/>
        <item m="1" x="208"/>
        <item m="1" x="147"/>
        <item m="1" x="310"/>
        <item m="1" x="196"/>
        <item m="1" x="311"/>
        <item m="1" x="217"/>
        <item m="1" x="280"/>
        <item m="1" x="288"/>
        <item x="94"/>
        <item m="1" x="153"/>
        <item m="1" x="168"/>
        <item m="1" x="321"/>
        <item m="1" x="299"/>
        <item m="1" x="256"/>
        <item m="1" x="119"/>
        <item m="1" x="298"/>
        <item x="24"/>
        <item m="1" x="145"/>
        <item x="59"/>
        <item m="1" x="253"/>
        <item m="1" x="229"/>
        <item m="1" x="128"/>
        <item m="1" x="212"/>
        <item x="68"/>
        <item m="1" x="159"/>
        <item m="1" x="190"/>
        <item m="1" x="272"/>
        <item m="1" x="144"/>
        <item m="1" x="263"/>
        <item m="1" x="181"/>
        <item m="1" x="171"/>
        <item m="1" x="255"/>
        <item m="1" x="195"/>
        <item m="1" x="314"/>
        <item m="1" x="125"/>
        <item x="11"/>
        <item m="1" x="292"/>
        <item m="1" x="115"/>
        <item m="1" x="192"/>
        <item m="1" x="315"/>
        <item m="1" x="227"/>
        <item m="1" x="173"/>
        <item m="1" x="257"/>
        <item m="1" x="107"/>
        <item x="8"/>
        <item m="1" x="269"/>
        <item m="1" x="110"/>
        <item m="1" x="157"/>
        <item x="10"/>
        <item m="1" x="238"/>
        <item m="1" x="241"/>
        <item x="34"/>
        <item m="1" x="254"/>
        <item m="1" x="266"/>
        <item x="20"/>
        <item x="29"/>
        <item x="45"/>
        <item m="1" x="121"/>
        <item m="1" x="235"/>
        <item m="1" x="265"/>
        <item m="1" x="228"/>
        <item x="38"/>
        <item m="1" x="237"/>
        <item x="0"/>
        <item m="1" x="166"/>
        <item x="51"/>
        <item m="1" x="116"/>
        <item m="1" x="293"/>
        <item m="1" x="197"/>
        <item m="1" x="221"/>
        <item m="1" x="124"/>
        <item m="1" x="148"/>
        <item m="1" x="189"/>
        <item m="1" x="164"/>
        <item x="19"/>
        <item m="1" x="325"/>
        <item m="1" x="283"/>
        <item x="81"/>
        <item x="12"/>
        <item m="1" x="131"/>
        <item m="1" x="286"/>
        <item m="1" x="191"/>
        <item m="1" x="156"/>
        <item x="36"/>
        <item m="1" x="330"/>
        <item m="1" x="170"/>
        <item m="1" x="193"/>
        <item m="1" x="258"/>
        <item m="1" x="174"/>
        <item m="1" x="223"/>
        <item x="23"/>
        <item x="91"/>
        <item x="103"/>
        <item m="1" x="142"/>
        <item x="33"/>
        <item x="95"/>
        <item m="1" x="207"/>
        <item m="1" x="201"/>
        <item x="62"/>
        <item m="1" x="313"/>
        <item m="1" x="211"/>
        <item x="31"/>
        <item m="1" x="129"/>
        <item x="74"/>
        <item x="4"/>
        <item x="30"/>
        <item m="1" x="151"/>
        <item m="1" x="252"/>
        <item x="70"/>
        <item x="96"/>
        <item m="1" x="304"/>
        <item x="75"/>
        <item x="14"/>
        <item m="1" x="297"/>
        <item x="86"/>
        <item m="1" x="261"/>
        <item x="13"/>
        <item x="17"/>
        <item x="26"/>
        <item x="98"/>
        <item x="78"/>
        <item m="1" x="308"/>
        <item x="93"/>
        <item m="1" x="177"/>
        <item m="1" x="154"/>
        <item x="37"/>
        <item m="1" x="309"/>
        <item x="43"/>
        <item x="105"/>
        <item x="56"/>
        <item x="64"/>
        <item m="1" x="172"/>
        <item x="54"/>
        <item m="1" x="295"/>
        <item x="52"/>
        <item m="1" x="232"/>
        <item x="76"/>
        <item x="1"/>
        <item x="15"/>
        <item x="46"/>
        <item x="99"/>
        <item x="77"/>
        <item x="71"/>
        <item x="42"/>
        <item x="21"/>
        <item x="7"/>
        <item x="16"/>
        <item m="1" x="262"/>
        <item x="28"/>
        <item x="55"/>
        <item x="89"/>
        <item x="88"/>
        <item x="40"/>
        <item x="82"/>
        <item x="53"/>
        <item x="35"/>
        <item x="58"/>
        <item m="1" x="224"/>
        <item x="61"/>
        <item x="63"/>
        <item x="101"/>
        <item x="9"/>
        <item x="32"/>
        <item x="87"/>
        <item x="90"/>
        <item x="25"/>
        <item x="41"/>
        <item x="67"/>
        <item x="18"/>
        <item x="39"/>
        <item x="49"/>
        <item x="106"/>
        <item x="92"/>
        <item x="69"/>
        <item m="1" x="242"/>
        <item x="47"/>
        <item x="3"/>
        <item m="1" x="218"/>
        <item m="1" x="275"/>
        <item m="1" x="122"/>
        <item x="65"/>
      </items>
    </pivotField>
    <pivotField dataField="1" showAll="0" defaultSubtotal="0">
      <items count="4547">
        <item m="1" x="4003"/>
        <item m="1" x="834"/>
        <item m="1" x="3671"/>
        <item m="1" x="850"/>
        <item m="1" x="2905"/>
        <item m="1" x="464"/>
        <item m="1" x="2554"/>
        <item m="1" x="86"/>
        <item m="1" x="2192"/>
        <item m="1" x="4262"/>
        <item m="1" x="1839"/>
        <item m="1" x="3985"/>
        <item m="1" x="1743"/>
        <item m="1" x="485"/>
        <item m="1" x="1566"/>
        <item m="1" x="1802"/>
        <item m="1" x="2583"/>
        <item m="1" x="3981"/>
        <item m="1" x="3617"/>
        <item m="1" x="112"/>
        <item m="1" x="4248"/>
        <item m="1" x="1192"/>
        <item m="1" x="2886"/>
        <item m="1" x="2218"/>
        <item m="1" x="2958"/>
        <item m="1" x="808"/>
        <item m="1" x="3235"/>
        <item m="1" x="4286"/>
        <item m="1" x="793"/>
        <item m="1" x="1858"/>
        <item m="1" x="1000"/>
        <item m="1" x="1664"/>
        <item m="1" x="2860"/>
        <item m="1" x="3904"/>
        <item m="1" x="394"/>
        <item m="1" x="1470"/>
        <item m="1" x="2504"/>
        <item m="1" x="3543"/>
        <item m="1" x="1761"/>
        <item m="1" x="36"/>
        <item m="1" x="1247"/>
        <item m="1" x="1118"/>
        <item m="1" x="2142"/>
        <item m="1" x="3156"/>
        <item m="1" x="2282"/>
        <item m="1" x="4214"/>
        <item m="1" x="295"/>
        <item m="1" x="815"/>
        <item m="1" x="4242"/>
        <item m="1" x="1100"/>
        <item m="1" x="1786"/>
        <item m="1" x="896"/>
        <item m="1" x="3042"/>
        <item m="1" x="1875"/>
        <item m="1" x="2382"/>
        <item m="1" x="2125"/>
        <item m="1" x="471"/>
        <item m="1" x="2879"/>
        <item m="1" x="692"/>
        <item m="1" x="4115"/>
        <item m="1" x="1955"/>
        <item m="1" x="3144"/>
        <item m="1" x="3127"/>
        <item m="1" x="3925"/>
        <item m="1" x="4199"/>
        <item m="1" x="3978"/>
        <item m="1" x="424"/>
        <item m="1" x="695"/>
        <item m="1" x="141"/>
        <item m="1" x="3206"/>
        <item m="1" x="1772"/>
        <item m="1" x="249"/>
        <item m="1" x="3330"/>
        <item m="1" x="1494"/>
        <item m="1" x="374"/>
        <item m="1" x="3462"/>
        <item m="1" x="2005"/>
        <item m="1" x="522"/>
        <item m="1" x="1764"/>
        <item m="1" x="3067"/>
        <item m="1" x="2144"/>
        <item m="1" x="2268"/>
        <item m="1" x="2527"/>
        <item m="1" x="784"/>
        <item m="1" x="3836"/>
        <item m="1" x="139"/>
        <item m="1" x="2392"/>
        <item m="1" x="905"/>
        <item m="1" x="2762"/>
        <item m="1" x="1054"/>
        <item m="1" x="4087"/>
        <item m="1" x="3884"/>
        <item m="1" x="2625"/>
        <item m="1" x="3048"/>
        <item m="1" x="1190"/>
        <item m="1" x="3563"/>
        <item m="1" x="4232"/>
        <item m="1" x="3305"/>
        <item m="1" x="2868"/>
        <item m="1" x="4338"/>
        <item m="1" x="1423"/>
        <item m="1" x="4461"/>
        <item m="1" x="2977"/>
        <item m="1" x="1451"/>
        <item m="1" x="60"/>
        <item m="1" x="4183"/>
        <item m="1" x="3126"/>
        <item m="1" x="1694"/>
        <item m="1" x="2342"/>
        <item m="1" x="1456"/>
        <item m="1" x="3910"/>
        <item m="1" x="848"/>
        <item m="1" x="4082"/>
        <item m="1" x="968"/>
        <item m="1" x="4031"/>
        <item m="1" x="1139"/>
        <item m="1" x="1128"/>
        <item m="1" x="440"/>
        <item m="1" x="3064"/>
        <item m="1" x="1256"/>
        <item m="1" x="1906"/>
        <item m="1" x="4287"/>
        <item m="1" x="3752"/>
        <item m="1" x="2797"/>
        <item m="1" x="2237"/>
        <item m="1" x="1369"/>
        <item m="1" x="4397"/>
        <item m="1" x="2160"/>
        <item m="1" x="4530"/>
        <item m="1" x="704"/>
        <item m="1" x="3041"/>
        <item m="1" x="1626"/>
        <item m="1" x="736"/>
        <item m="1" x="123"/>
        <item m="1" x="2902"/>
        <item m="1" x="3186"/>
        <item m="1" x="354"/>
        <item m="1" x="4128"/>
        <item m="1" x="3303"/>
        <item m="1" x="1876"/>
        <item m="1" x="3177"/>
        <item m="1" x="360"/>
        <item m="1" x="3439"/>
        <item m="1" x="2360"/>
        <item m="1" x="496"/>
        <item m="1" x="3689"/>
        <item m="1" x="2962"/>
        <item m="1" x="3579"/>
        <item m="1" x="3960"/>
        <item m="1" x="2114"/>
        <item m="1" x="633"/>
        <item m="1" x="3696"/>
        <item m="1" x="2244"/>
        <item m="1" x="759"/>
        <item m="1" x="4233"/>
        <item m="1" x="3991"/>
        <item m="1" x="884"/>
        <item m="1" x="3975"/>
        <item m="1" x="1144"/>
        <item m="1" x="3945"/>
        <item m="1" x="2492"/>
        <item m="1" x="461"/>
        <item m="1" x="1027"/>
        <item m="1" x="4067"/>
        <item m="1" x="2565"/>
        <item m="1" x="733"/>
        <item m="1" x="2721"/>
        <item m="1" x="1301"/>
        <item m="1" x="3834"/>
        <item m="1" x="4325"/>
        <item m="1" x="2851"/>
        <item m="1" x="1398"/>
        <item m="1" x="1543"/>
        <item m="1" x="2956"/>
        <item m="1" x="2048"/>
        <item m="1" x="559"/>
        <item m="1" x="2632"/>
        <item m="1" x="3636"/>
        <item m="1" x="1796"/>
        <item m="1" x="1909"/>
        <item m="1" x="2172"/>
        <item m="1" x="2300"/>
        <item m="1" x="1433"/>
        <item m="1" x="827"/>
        <item m="1" x="2552"/>
        <item m="1" x="3878"/>
        <item m="1" x="2426"/>
        <item m="1" x="938"/>
        <item m="1" x="2794"/>
        <item m="1" x="2903"/>
        <item m="1" x="4124"/>
        <item m="1" x="2656"/>
        <item m="1" x="1234"/>
        <item m="1" x="3600"/>
        <item m="1" x="4064"/>
        <item m="1" x="269"/>
        <item m="1" x="1460"/>
        <item m="1" x="3845"/>
        <item m="1" x="4504"/>
        <item m="1" x="3016"/>
        <item m="1" x="1466"/>
        <item m="1" x="3164"/>
        <item m="1" x="84"/>
        <item m="1" x="3593"/>
        <item m="1" x="214"/>
        <item m="1" x="3283"/>
        <item m="1" x="4332"/>
        <item m="1" x="1856"/>
        <item m="1" x="3921"/>
        <item m="1" x="336"/>
        <item m="1" x="475"/>
        <item m="1" x="3077"/>
        <item m="1" x="3694"/>
        <item m="1" x="3948"/>
        <item m="1" x="2092"/>
        <item m="1" x="1165"/>
        <item m="1" x="4016"/>
        <item m="1" x="735"/>
        <item m="1" x="3794"/>
        <item m="1" x="1411"/>
        <item m="1" x="2349"/>
        <item m="1" x="866"/>
        <item m="1" x="3923"/>
        <item m="1" x="3697"/>
        <item m="1" x="2084"/>
        <item m="1" x="180"/>
        <item m="1" x="2191"/>
        <item m="1" x="4044"/>
        <item m="1" x="1313"/>
        <item m="1" x="2591"/>
        <item m="1" x="262"/>
        <item m="1" x="1149"/>
        <item m="1" x="157"/>
        <item m="1" x="2577"/>
        <item m="1" x="3224"/>
        <item m="1" x="2450"/>
        <item m="1" x="3377"/>
        <item m="1" x="179"/>
        <item m="1" x="4147"/>
        <item m="1" x="1859"/>
        <item m="1" x="1912"/>
        <item m="1" x="398"/>
        <item m="1" x="3213"/>
        <item m="1" x="3486"/>
        <item m="1" x="2018"/>
        <item m="1" x="570"/>
        <item m="1" x="2155"/>
        <item m="1" x="3482"/>
        <item m="1" x="2838"/>
        <item m="1" x="2850"/>
        <item m="1" x="3988"/>
        <item m="1" x="1440"/>
        <item m="1" x="4261"/>
        <item m="1" x="918"/>
        <item m="1" x="2294"/>
        <item m="1" x="3986"/>
        <item m="1" x="972"/>
        <item m="1" x="4513"/>
        <item m="1" x="3918"/>
        <item m="1" x="4241"/>
        <item m="1" x="2756"/>
        <item m="1" x="768"/>
        <item m="1" x="1328"/>
        <item m="1" x="4366"/>
        <item m="1" x="3625"/>
        <item m="1" x="2883"/>
        <item m="1" x="1577"/>
        <item m="1" x="273"/>
        <item m="1" x="1045"/>
        <item m="1" x="1581"/>
        <item m="1" x="1699"/>
        <item m="1" x="3181"/>
        <item m="1" x="2712"/>
        <item m="1" x="3141"/>
        <item m="1" x="1706"/>
        <item m="1" x="1836"/>
        <item m="1" x="1768"/>
        <item m="1" x="2046"/>
        <item m="1" x="4037"/>
        <item m="1" x="3570"/>
        <item m="1" x="557"/>
        <item m="1" x="2180"/>
        <item m="1" x="2110"/>
        <item m="1" x="3635"/>
        <item m="1" x="2471"/>
        <item m="1" x="3298"/>
        <item m="1" x="3691"/>
        <item m="1" x="1089"/>
        <item m="1" x="2557"/>
        <item m="1" x="688"/>
        <item m="1" x="2242"/>
        <item m="1" x="752"/>
        <item m="1" x="2433"/>
        <item m="1" x="645"/>
        <item m="1" x="822"/>
        <item m="1" x="2372"/>
        <item m="1" x="3708"/>
        <item m="1" x="4387"/>
        <item m="1" x="879"/>
        <item m="1" x="2799"/>
        <item m="1" x="3115"/>
        <item m="1" x="4410"/>
        <item m="1" x="2486"/>
        <item m="1" x="4007"/>
        <item m="1" x="3201"/>
        <item m="1" x="3814"/>
        <item m="1" x="1022"/>
        <item m="1" x="255"/>
        <item m="1" x="2540"/>
        <item m="1" x="3707"/>
        <item m="1" x="4062"/>
        <item m="1" x="567"/>
        <item m="1" x="392"/>
        <item m="1" x="3602"/>
        <item m="1" x="4122"/>
        <item m="1" x="1160"/>
        <item m="1" x="2655"/>
        <item m="1" x="4206"/>
        <item m="1" x="2413"/>
        <item m="1" x="1233"/>
        <item m="1" x="3458"/>
        <item m="1" x="2525"/>
        <item m="1" x="2454"/>
        <item m="1" x="1293"/>
        <item m="1" x="1355"/>
        <item m="1" x="4318"/>
        <item m="1" x="3850"/>
        <item m="1" x="491"/>
        <item m="1" x="1345"/>
        <item m="1" x="4480"/>
        <item m="1" x="2849"/>
        <item m="1" x="1011"/>
        <item m="1" x="1862"/>
        <item m="1" x="2900"/>
        <item m="1" x="4247"/>
        <item m="1" x="4434"/>
        <item m="1" x="3035"/>
        <item m="1" x="1459"/>
        <item m="1" x="2951"/>
        <item m="1" x="3062"/>
        <item m="1" x="88"/>
        <item m="1" x="944"/>
        <item m="1" x="1602"/>
        <item m="1" x="1183"/>
        <item m="1" x="3277"/>
        <item m="1" x="3095"/>
        <item m="1" x="91"/>
        <item m="1" x="4492"/>
        <item m="1" x="1665"/>
        <item m="1" x="3200"/>
        <item m="1" x="1226"/>
        <item m="1" x="1728"/>
        <item m="1" x="3225"/>
        <item m="1" x="338"/>
        <item m="1" x="213"/>
        <item m="1" x="829"/>
        <item m="1" x="1785"/>
        <item m="1" x="3282"/>
        <item m="1" x="874"/>
        <item m="1" x="751"/>
        <item m="1" x="3345"/>
        <item m="1" x="334"/>
        <item m="1" x="1915"/>
        <item m="1" x="182"/>
        <item m="1" x="3413"/>
        <item m="1" x="3687"/>
        <item m="1" x="402"/>
        <item m="1" x="1167"/>
        <item m="1" x="2855"/>
        <item m="1" x="2021"/>
        <item m="1" x="3553"/>
        <item m="1" x="1029"/>
        <item m="1" x="1926"/>
        <item m="1" x="539"/>
        <item m="1" x="806"/>
        <item m="1" x="2456"/>
        <item m="1" x="2610"/>
        <item m="1" x="2256"/>
        <item m="1" x="2652"/>
        <item m="1" x="1413"/>
        <item m="1" x="448"/>
        <item m="1" x="2213"/>
        <item m="1" x="4202"/>
        <item m="1" x="1228"/>
        <item m="1" x="3496"/>
        <item m="1" x="2710"/>
        <item m="1" x="2170"/>
        <item m="1" x="4257"/>
        <item m="1" x="1820"/>
        <item m="1" x="2548"/>
        <item m="1" x="3548"/>
        <item m="1" x="1950"/>
        <item m="1" x="1341"/>
        <item m="1" x="2843"/>
        <item m="1" x="796"/>
        <item m="1" x="4379"/>
        <item m="1" x="2194"/>
        <item m="1" x="1388"/>
        <item m="1" x="388"/>
        <item m="1" x="4149"/>
        <item m="1" x="1453"/>
        <item m="1" x="2948"/>
        <item m="1" x="2063"/>
        <item m="1" x="4497"/>
        <item m="1" x="4395"/>
        <item m="1" x="1532"/>
        <item m="1" x="1198"/>
        <item m="1" x="3010"/>
        <item m="1" x="3532"/>
        <item m="1" x="3607"/>
        <item m="1" x="3868"/>
        <item m="1" x="2453"/>
        <item m="1" x="3582"/>
        <item m="1" x="3090"/>
        <item m="1" x="1737"/>
        <item m="1" x="3338"/>
        <item m="1" x="651"/>
        <item m="1" x="87"/>
        <item m="1" x="1662"/>
        <item m="1" x="378"/>
        <item m="1" x="3158"/>
        <item m="1" x="43"/>
        <item m="1" x="153"/>
        <item m="1" x="2817"/>
        <item m="1" x="2787"/>
        <item m="1" x="3105"/>
        <item m="1" x="208"/>
        <item m="1" x="2434"/>
        <item m="1" x="3278"/>
        <item m="1" x="3217"/>
        <item m="1" x="263"/>
        <item m="1" x="1850"/>
        <item m="1" x="575"/>
        <item m="1" x="1375"/>
        <item m="1" x="1047"/>
        <item m="1" x="1908"/>
        <item m="1" x="3078"/>
        <item m="1" x="3408"/>
        <item m="1" x="395"/>
        <item m="1" x="4427"/>
        <item m="1" x="74"/>
        <item m="1" x="3484"/>
        <item m="1" x="989"/>
        <item m="1" x="3487"/>
        <item m="1" x="400"/>
        <item m="1" x="4277"/>
        <item m="1" x="3551"/>
        <item m="1" x="536"/>
        <item m="1" x="4448"/>
        <item m="1" x="1511"/>
        <item m="1" x="2085"/>
        <item m="1" x="3864"/>
        <item m="1" x="1046"/>
        <item m="1" x="4207"/>
        <item m="1" x="3611"/>
        <item m="1" x="3538"/>
        <item m="1" x="2217"/>
        <item m="1" x="4264"/>
        <item m="1" x="4306"/>
        <item m="1" x="4121"/>
        <item m="1" x="3120"/>
        <item m="1" x="3851"/>
        <item m="1" x="954"/>
        <item m="1" x="2011"/>
        <item m="1" x="2405"/>
        <item m="1" x="835"/>
        <item m="1" x="2617"/>
        <item m="1" x="4519"/>
        <item m="1" x="3706"/>
        <item m="1" x="3879"/>
        <item m="1" x="2212"/>
        <item m="1" x="947"/>
        <item m="1" x="2587"/>
        <item m="1" x="4412"/>
        <item m="1" x="359"/>
        <item m="1" x="3976"/>
        <item m="1" x="755"/>
        <item m="1" x="135"/>
        <item m="1" x="880"/>
        <item m="1" x="1143"/>
        <item m="1" x="1197"/>
        <item m="1" x="772"/>
        <item m="1" x="2171"/>
        <item m="1" x="4177"/>
        <item m="1" x="2685"/>
        <item m="1" x="1189"/>
        <item m="1" x="3479"/>
        <item m="1" x="3337"/>
        <item m="1" x="2754"/>
        <item m="1" x="4304"/>
        <item m="1" x="1363"/>
        <item m="1" x="2276"/>
        <item m="1" x="2643"/>
        <item m="1" x="1050"/>
        <item m="1" x="4250"/>
        <item m="1" x="427"/>
        <item m="1" x="813"/>
        <item m="1" x="1432"/>
        <item m="1" x="1429"/>
        <item m="1" x="1018"/>
        <item m="1" x="4473"/>
        <item m="1" x="532"/>
        <item m="1" x="3681"/>
        <item m="1" x="5"/>
        <item m="1" x="1840"/>
        <item m="1" x="2784"/>
        <item m="1" x="1244"/>
        <item m="1" x="1580"/>
        <item m="1" x="3243"/>
        <item m="1" x="3117"/>
        <item m="1" x="3284"/>
        <item m="1" x="597"/>
        <item m="1" x="1645"/>
        <item m="1" x="140"/>
        <item m="1" x="2215"/>
        <item m="1" x="106"/>
        <item m="1" x="1169"/>
        <item m="1" x="3203"/>
        <item m="1" x="3690"/>
        <item m="1" x="4136"/>
        <item m="1" x="4030"/>
        <item m="1" x="2082"/>
        <item m="1" x="1374"/>
        <item m="1" x="203"/>
        <item m="1" x="1806"/>
        <item m="1" x="2261"/>
        <item m="1" x="2469"/>
        <item m="1" x="2910"/>
        <item m="1" x="912"/>
        <item m="1" x="191"/>
        <item m="1" x="1653"/>
        <item m="1" x="2549"/>
        <item m="1" x="1835"/>
        <item m="1" x="857"/>
        <item m="1" x="802"/>
        <item m="1" x="2844"/>
        <item m="1" x="4424"/>
        <item m="1" x="4333"/>
        <item m="1" x="3382"/>
        <item m="1" x="3001"/>
        <item m="1" x="3232"/>
        <item m="1" x="3880"/>
        <item m="1" x="4099"/>
        <item m="1" x="1242"/>
        <item m="1" x="579"/>
        <item m="1" x="3581"/>
        <item m="1" x="875"/>
        <item m="1" x="1202"/>
        <item m="1" x="3101"/>
        <item m="1" x="1966"/>
        <item m="1" x="385"/>
        <item m="1" x="1674"/>
        <item m="1" x="3503"/>
        <item m="1" x="1325"/>
        <item m="1" x="4017"/>
        <item m="1" x="3639"/>
        <item m="1" x="4359"/>
        <item m="1" x="2696"/>
        <item m="1" x="3824"/>
        <item m="1" x="1055"/>
        <item m="1" x="3885"/>
        <item m="1" x="890"/>
        <item m="1" x="2106"/>
        <item m="1" x="4107"/>
        <item m="1" x="2220"/>
        <item m="1" x="4283"/>
        <item m="1" x="2305"/>
        <item m="1" x="1722"/>
        <item m="1" x="3142"/>
        <item m="1" x="2579"/>
        <item m="1" x="3612"/>
        <item m="1" x="1756"/>
        <item m="1" x="70"/>
        <item m="1" x="4143"/>
        <item m="1" x="604"/>
        <item m="1" x="1642"/>
        <item m="1" x="2442"/>
        <item m="1" x="3698"/>
        <item m="1" x="1731"/>
        <item m="1" x="2411"/>
        <item m="1" x="4539"/>
        <item m="1" x="1378"/>
        <item m="1" x="686"/>
        <item m="1" x="1765"/>
        <item m="1" x="2650"/>
        <item m="1" x="3259"/>
        <item m="1" x="777"/>
        <item m="1" x="3795"/>
        <item m="1" x="143"/>
        <item m="1" x="1827"/>
        <item m="1" x="371"/>
        <item m="1" x="3695"/>
        <item m="1" x="425"/>
        <item m="1" x="2878"/>
        <item m="1" x="3853"/>
        <item m="1" x="3392"/>
        <item m="1" x="889"/>
        <item m="1" x="789"/>
        <item m="1" x="3378"/>
        <item m="1" x="450"/>
        <item m="1" x="14"/>
        <item m="1" x="2088"/>
        <item m="1" x="2427"/>
        <item m="1" x="3098"/>
        <item m="1" x="655"/>
        <item m="1" x="231"/>
        <item m="1" x="4267"/>
        <item m="1" x="2064"/>
        <item m="1" x="1441"/>
        <item m="1" x="3591"/>
        <item m="1" x="3488"/>
        <item m="1" x="1073"/>
        <item m="1" x="1688"/>
        <item m="1" x="85"/>
        <item m="1" x="2485"/>
        <item m="1" x="330"/>
        <item m="1" x="3014"/>
        <item m="1" x="2899"/>
        <item m="1" x="3215"/>
        <item m="1" x="31"/>
        <item m="1" x="1447"/>
        <item m="1" x="804"/>
        <item m="1" x="3037"/>
        <item m="1" x="945"/>
        <item m="1" x="3362"/>
        <item m="1" x="3830"/>
        <item m="1" x="1854"/>
        <item m="1" x="3121"/>
        <item m="1" x="841"/>
        <item m="1" x="4453"/>
        <item m="1" x="2386"/>
        <item m="1" x="2639"/>
        <item m="1" x="3895"/>
        <item m="1" x="1063"/>
        <item m="1" x="4409"/>
        <item m="1" x="3159"/>
        <item m="1" x="897"/>
        <item m="1" x="1812"/>
        <item m="1" x="2440"/>
        <item m="1" x="1725"/>
        <item m="1" x="3179"/>
        <item m="1" x="1365"/>
        <item m="1" x="2124"/>
        <item m="1" x="69"/>
        <item m="1" x="2498"/>
        <item m="1" x="3876"/>
        <item m="1" x="3912"/>
        <item m="1" x="25"/>
        <item m="1" x="4026"/>
        <item m="1" x="1040"/>
        <item m="1" x="3514"/>
        <item m="1" x="2101"/>
        <item m="1" x="2561"/>
        <item m="1" x="2734"/>
        <item m="1" x="217"/>
        <item m="1" x="4230"/>
        <item m="1" x="2049"/>
        <item m="1" x="2808"/>
        <item m="1" x="950"/>
        <item m="1" x="581"/>
        <item m="1" x="1450"/>
        <item m="1" x="851"/>
        <item m="1" x="4145"/>
        <item m="1" x="2489"/>
        <item m="1" x="1177"/>
        <item m="1" x="2668"/>
        <item m="1" x="3996"/>
        <item m="1" x="2295"/>
        <item m="1" x="4227"/>
        <item m="1" x="3314"/>
        <item m="1" x="2836"/>
        <item m="1" x="2858"/>
        <item m="1" x="1037"/>
        <item m="1" x="1308"/>
        <item m="1" x="4429"/>
        <item m="1" x="3445"/>
        <item m="1" x="2791"/>
        <item m="1" x="1366"/>
        <item m="1" x="4252"/>
        <item m="1" x="4342"/>
        <item m="1" x="1353"/>
        <item m="1" x="1364"/>
        <item m="1" x="2727"/>
        <item m="1" x="2438"/>
        <item m="1" x="1148"/>
        <item m="1" x="1153"/>
        <item m="1" x="3449"/>
        <item m="1" x="3677"/>
        <item m="1" x="3993"/>
        <item m="1" x="3123"/>
        <item m="1" x="3236"/>
        <item m="1" x="3521"/>
        <item m="1" x="4033"/>
        <item m="1" x="2532"/>
        <item m="1" x="3753"/>
        <item m="1" x="3523"/>
        <item m="1" x="574"/>
        <item m="1" x="3626"/>
        <item m="1" x="4065"/>
        <item m="1" x="2130"/>
        <item m="1" x="2297"/>
        <item m="1" x="3651"/>
        <item m="1" x="2767"/>
        <item m="1" x="3931"/>
        <item m="1" x="2594"/>
        <item m="1" x="642"/>
        <item m="1" x="2570"/>
        <item m="1" x="1065"/>
        <item m="1" x="3900"/>
        <item m="1" x="3065"/>
        <item m="1" x="2128"/>
        <item m="1" x="4125"/>
        <item m="1" x="706"/>
        <item m="1" x="720"/>
        <item m="1" x="2255"/>
        <item m="1" x="1897"/>
        <item m="1" x="812"/>
        <item m="1" x="3759"/>
        <item m="1" x="2202"/>
        <item m="1" x="1164"/>
        <item m="1" x="771"/>
        <item m="1" x="3768"/>
        <item m="1" x="2032"/>
        <item m="1" x="2313"/>
        <item m="1" x="2623"/>
        <item m="1" x="4364"/>
        <item m="1" x="2232"/>
        <item m="1" x="2384"/>
        <item m="1" x="942"/>
        <item m="1" x="197"/>
        <item m="1" x="3891"/>
        <item m="1" x="1504"/>
        <item m="1" x="4170"/>
        <item m="1" x="894"/>
        <item m="1" x="970"/>
        <item m="1" x="2435"/>
        <item m="1" x="4111"/>
        <item m="1" x="623"/>
        <item m="1" x="3955"/>
        <item m="1" x="196"/>
        <item m="1" x="4284"/>
        <item m="1" x="602"/>
        <item m="1" x="948"/>
        <item m="1" x="408"/>
        <item m="1" x="529"/>
        <item m="1" x="3285"/>
        <item m="1" x="12"/>
        <item m="1" x="4024"/>
        <item m="1" x="1822"/>
        <item m="1" x="1213"/>
        <item m="1" x="1035"/>
        <item m="1" x="2592"/>
        <item m="1" x="2553"/>
        <item m="1" x="1394"/>
        <item m="1" x="4075"/>
        <item m="1" x="1119"/>
        <item m="1" x="391"/>
        <item m="1" x="1878"/>
        <item m="1" x="3192"/>
        <item m="1" x="3349"/>
        <item m="1" x="1921"/>
        <item m="1" x="2666"/>
        <item m="1" x="3568"/>
        <item m="1" x="4225"/>
        <item m="1" x="4013"/>
        <item m="1" x="256"/>
        <item m="1" x="1251"/>
        <item m="1" x="2732"/>
        <item m="1" x="4525"/>
        <item m="1" x="1625"/>
        <item m="1" x="1680"/>
        <item m="1" x="2805"/>
        <item m="1" x="2786"/>
        <item m="1" x="671"/>
        <item m="1" x="4339"/>
        <item m="1" x="2273"/>
        <item m="1" x="3497"/>
        <item m="1" x="3928"/>
        <item m="1" x="2859"/>
        <item m="1" x="209"/>
        <item m="1" x="3320"/>
        <item m="1" x="4391"/>
        <item m="1" x="162"/>
        <item m="1" x="309"/>
        <item m="1" x="1093"/>
        <item m="1" x="2869"/>
        <item m="1" x="4446"/>
        <item m="1" x="2573"/>
        <item m="1" x="545"/>
        <item m="1" x="1261"/>
        <item m="1" x="1478"/>
        <item m="1" x="1609"/>
        <item m="1" x="1893"/>
        <item m="1" x="449"/>
        <item m="1" x="898"/>
        <item m="1" x="4520"/>
        <item m="1" x="1463"/>
        <item m="1" x="1560"/>
        <item m="1" x="4290"/>
        <item m="1" x="2645"/>
        <item m="1" x="1150"/>
        <item m="1" x="560"/>
        <item m="1" x="3615"/>
        <item m="1" x="383"/>
        <item m="1" x="1620"/>
        <item m="1" x="2953"/>
        <item m="1" x="3118"/>
        <item m="1" x="1347"/>
        <item m="1" x="1477"/>
        <item m="1" x="107"/>
        <item m="1" x="1185"/>
        <item m="1" x="1681"/>
        <item m="1" x="1303"/>
        <item m="1" x="3175"/>
        <item m="1" x="4210"/>
        <item m="1" x="696"/>
        <item m="1" x="1081"/>
        <item m="1" x="1745"/>
        <item m="1" x="3241"/>
        <item m="1" x="1467"/>
        <item m="1" x="524"/>
        <item m="1" x="2572"/>
        <item m="1" x="222"/>
        <item m="1" x="909"/>
        <item m="1" x="3220"/>
        <item m="1" x="1801"/>
        <item m="1" x="2744"/>
        <item m="1" x="3350"/>
        <item m="1" x="3296"/>
        <item m="1" x="1294"/>
        <item m="1" x="291"/>
        <item m="1" x="2121"/>
        <item m="1" x="2571"/>
        <item m="1" x="3964"/>
        <item m="1" x="1627"/>
        <item m="1" x="114"/>
        <item m="1" x="650"/>
        <item m="1" x="348"/>
        <item m="1" x="509"/>
        <item m="1" x="1927"/>
        <item m="1" x="2654"/>
        <item m="1" x="1334"/>
        <item m="1" x="778"/>
        <item m="1" x="3430"/>
        <item m="1" x="2503"/>
        <item m="1" x="423"/>
        <item m="1" x="2029"/>
        <item m="1" x="844"/>
        <item m="1" x="1980"/>
        <item m="1" x="3714"/>
        <item m="1" x="1810"/>
        <item m="1" x="863"/>
        <item m="1" x="2875"/>
        <item m="1" x="1502"/>
        <item m="1" x="3566"/>
        <item m="1" x="243"/>
        <item m="1" x="554"/>
        <item m="1" x="2967"/>
        <item m="1" x="553"/>
        <item m="1" x="2105"/>
        <item m="1" x="3628"/>
        <item m="1" x="933"/>
        <item m="1" x="406"/>
        <item m="1" x="2742"/>
        <item m="1" x="1114"/>
        <item m="1" x="3659"/>
        <item m="1" x="3688"/>
        <item m="1" x="1152"/>
        <item m="1" x="2529"/>
        <item m="1" x="684"/>
        <item m="1" x="1973"/>
        <item m="1" x="995"/>
        <item m="1" x="2238"/>
        <item m="1" x="2368"/>
        <item m="1" x="4405"/>
        <item m="1" x="3741"/>
        <item m="1" x="3136"/>
        <item m="1" x="2028"/>
        <item m="1" x="748"/>
        <item m="1" x="512"/>
        <item m="1" x="4464"/>
        <item m="1" x="818"/>
        <item m="1" x="3347"/>
        <item m="1" x="2366"/>
        <item m="1" x="3540"/>
        <item m="1" x="3197"/>
        <item m="1" x="568"/>
        <item m="1" x="3871"/>
        <item m="1" x="1471"/>
        <item m="1" x="1930"/>
        <item m="1" x="2637"/>
        <item m="1" x="619"/>
        <item m="1" x="1675"/>
        <item m="1" x="3922"/>
        <item m="1" x="2245"/>
        <item m="1" x="3317"/>
        <item m="1" x="90"/>
        <item m="1" x="1631"/>
        <item m="1" x="1072"/>
        <item m="1" x="3857"/>
        <item m="1" x="1554"/>
        <item m="1" x="3915"/>
        <item m="1" x="1784"/>
        <item m="1" x="3028"/>
        <item m="1" x="45"/>
        <item m="1" x="3787"/>
        <item m="1" x="816"/>
        <item m="1" x="4496"/>
        <item m="1" x="189"/>
        <item m="1" x="2723"/>
        <item m="1" x="1844"/>
        <item m="1" x="102"/>
        <item m="1" x="1259"/>
        <item m="1" x="1092"/>
        <item m="1" x="104"/>
        <item m="1" x="1677"/>
        <item m="1" x="1579"/>
        <item m="1" x="3428"/>
        <item m="1" x="3170"/>
        <item m="1" x="318"/>
        <item m="1" x="4192"/>
        <item m="1" x="95"/>
        <item m="1" x="166"/>
        <item m="1" x="983"/>
        <item m="1" x="1641"/>
        <item m="1" x="1742"/>
        <item m="1" x="1816"/>
        <item m="1" x="155"/>
        <item m="1" x="283"/>
        <item m="1" x="3471"/>
        <item m="1" x="3712"/>
        <item m="1" x="1798"/>
        <item m="1" x="34"/>
        <item m="1" x="3295"/>
        <item m="1" x="284"/>
        <item m="1" x="327"/>
        <item m="1" x="4154"/>
        <item m="1" x="1732"/>
        <item m="1" x="1863"/>
        <item m="1" x="4021"/>
        <item m="1" x="3360"/>
        <item m="1" x="1740"/>
        <item m="1" x="342"/>
        <item m="1" x="417"/>
        <item m="1" x="3297"/>
        <item m="1" x="4407"/>
        <item m="1" x="3425"/>
        <item m="1" x="3621"/>
        <item m="1" x="2135"/>
        <item m="1" x="3153"/>
        <item m="1" x="416"/>
        <item m="1" x="1975"/>
        <item m="1" x="3107"/>
        <item m="1" x="3500"/>
        <item m="1" x="2371"/>
        <item m="1" x="274"/>
        <item m="1" x="486"/>
        <item m="1" x="4212"/>
        <item m="1" x="1319"/>
        <item m="1" x="2395"/>
        <item m="1" x="2569"/>
        <item m="1" x="582"/>
        <item m="1" x="1499"/>
        <item m="1" x="550"/>
        <item m="1" x="4514"/>
        <item m="1" x="4223"/>
        <item m="1" x="2102"/>
        <item m="1" x="689"/>
        <item m="1" x="3623"/>
        <item m="1" x="613"/>
        <item m="1" x="3044"/>
        <item m="1" x="2164"/>
        <item m="1" x="2772"/>
        <item m="1" x="1401"/>
        <item m="1" x="546"/>
        <item m="1" x="1116"/>
        <item m="1" x="2236"/>
        <item m="1" x="2086"/>
        <item m="1" x="4092"/>
        <item m="1" x="3738"/>
        <item m="1" x="487"/>
        <item m="1" x="744"/>
        <item m="1" x="867"/>
        <item m="1" x="1068"/>
        <item m="1" x="2287"/>
        <item m="1" x="3648"/>
        <item m="1" x="3420"/>
        <item m="1" x="3806"/>
        <item m="1" x="1486"/>
        <item m="1" x="404"/>
        <item m="1" x="982"/>
        <item m="1" x="2465"/>
        <item m="1" x="871"/>
        <item m="1" x="4208"/>
        <item m="1" x="98"/>
        <item m="1" x="2421"/>
        <item m="1" x="1367"/>
        <item m="1" x="3893"/>
        <item m="1" x="3935"/>
        <item m="1" x="2394"/>
        <item m="1" x="926"/>
        <item m="1" x="3618"/>
        <item m="1" x="4404"/>
        <item m="1" x="2478"/>
        <item m="1" x="4236"/>
        <item m="1" x="2729"/>
        <item m="1" x="1017"/>
        <item m="1" x="1757"/>
        <item m="1" x="2533"/>
        <item m="1" x="3775"/>
        <item m="1" x="4054"/>
        <item m="1" x="2459"/>
        <item m="1" x="1871"/>
        <item m="1" x="1088"/>
        <item m="1" x="2599"/>
        <item m="1" x="2491"/>
        <item m="1" x="2312"/>
        <item m="1" x="2141"/>
        <item m="1" x="2562"/>
        <item m="1" x="653"/>
        <item m="1" x="3293"/>
        <item m="1" x="2648"/>
        <item m="1" x="4320"/>
        <item m="1" x="4198"/>
        <item m="1" x="2257"/>
        <item m="1" x="728"/>
        <item m="1" x="1225"/>
        <item m="1" x="3881"/>
        <item m="1" x="2705"/>
        <item m="1" x="2872"/>
        <item m="1" x="2519"/>
        <item m="1" x="434"/>
        <item m="1" x="4251"/>
        <item m="1" x="2072"/>
        <item m="1" x="2769"/>
        <item m="1" x="1013"/>
        <item m="1" x="1777"/>
        <item m="1" x="1686"/>
        <item m="1" x="758"/>
        <item m="1" x="1338"/>
        <item m="1" x="3375"/>
        <item m="1" x="2397"/>
        <item m="1" x="2835"/>
        <item m="1" x="3460"/>
        <item m="1" x="4374"/>
        <item m="1" x="1474"/>
        <item m="1" x="3705"/>
        <item m="1" x="1387"/>
        <item m="1" x="134"/>
        <item m="1" x="2989"/>
        <item m="1" x="2174"/>
        <item m="1" x="2759"/>
        <item m="1" x="2393"/>
        <item m="1" x="313"/>
        <item m="1" x="1156"/>
        <item m="1" x="2944"/>
        <item m="1" x="2995"/>
        <item m="1" x="4073"/>
        <item m="1" x="1163"/>
        <item m="1" x="4490"/>
        <item m="1" x="4153"/>
        <item m="1" x="1530"/>
        <item m="1" x="3573"/>
        <item m="1" x="3238"/>
        <item m="1" x="3005"/>
        <item m="1" x="3155"/>
        <item m="1" x="1769"/>
        <item m="1" x="3085"/>
        <item m="1" x="1885"/>
        <item m="1" x="4038"/>
        <item m="1" x="79"/>
        <item m="1" x="3040"/>
        <item m="1" x="3388"/>
        <item m="1" x="2139"/>
        <item m="1" x="3271"/>
        <item m="1" x="862"/>
        <item m="1" x="1659"/>
        <item m="1" x="3070"/>
        <item m="1" x="4340"/>
        <item m="1" x="592"/>
        <item m="1" x="3391"/>
        <item m="1" x="2087"/>
        <item m="1" x="1941"/>
        <item m="1" x="3526"/>
        <item m="1" x="2476"/>
        <item m="1" x="2746"/>
        <item m="1" x="4076"/>
        <item m="1" x="3448"/>
        <item m="1" x="3667"/>
        <item m="1" x="1720"/>
        <item m="1" x="519"/>
        <item m="1" x="4311"/>
        <item m="1" x="443"/>
        <item m="1" x="904"/>
        <item m="1" x="3452"/>
        <item m="1" x="2277"/>
        <item m="1" x="204"/>
        <item m="1" x="3815"/>
        <item m="1" x="1788"/>
        <item m="1" x="1230"/>
        <item m="1" x="129"/>
        <item m="1" x="1779"/>
        <item m="1" x="3619"/>
        <item m="1" x="2428"/>
        <item m="1" x="3908"/>
        <item m="1" x="3459"/>
        <item m="1" x="3274"/>
        <item m="1" x="20"/>
        <item m="1" x="957"/>
        <item m="1" x="1553"/>
        <item m="1" x="2974"/>
        <item m="1" x="3585"/>
        <item m="1" x="3252"/>
        <item m="1" x="2331"/>
        <item m="1" x="1490"/>
        <item m="1" x="1848"/>
        <item m="1" x="3837"/>
        <item m="1" x="571"/>
        <item m="1" x="680"/>
        <item m="1" x="2126"/>
        <item m="1" x="3715"/>
        <item m="1" x="480"/>
        <item m="1" x="240"/>
        <item m="1" x="4528"/>
        <item m="1" x="3770"/>
        <item m="1" x="960"/>
        <item m="1" x="1904"/>
        <item m="1" x="3732"/>
        <item m="1" x="2383"/>
        <item m="1" x="639"/>
        <item m="1" x="2437"/>
        <item m="1" x="4118"/>
        <item m="1" x="520"/>
        <item m="1" x="3404"/>
        <item m="1" x="1557"/>
        <item m="1" x="418"/>
        <item m="1" x="2007"/>
        <item m="1" x="2703"/>
        <item m="1" x="2185"/>
        <item m="1" x="3710"/>
        <item m="1" x="389"/>
        <item m="1" x="4237"/>
        <item m="1" x="3807"/>
        <item m="1" x="2343"/>
        <item m="1" x="533"/>
        <item m="1" x="3604"/>
        <item m="1" x="703"/>
        <item m="1" x="1180"/>
        <item m="1" x="3477"/>
        <item m="1" x="1919"/>
        <item m="1" x="2251"/>
        <item m="1" x="4419"/>
        <item m="1" x="885"/>
        <item m="1" x="4173"/>
        <item m="1" x="467"/>
        <item m="1" x="3068"/>
        <item m="1" x="1605"/>
        <item m="1" x="3756"/>
        <item m="1" x="1468"/>
        <item m="1" x="4459"/>
        <item m="1" x="2409"/>
        <item m="1" x="3447"/>
        <item m="1" x="584"/>
        <item m="1" x="3613"/>
        <item m="1" x="4475"/>
        <item m="1" x="4098"/>
        <item m="1" x="878"/>
        <item m="1" x="2385"/>
        <item m="1" x="1283"/>
        <item m="1" x="3637"/>
        <item m="1" x="1938"/>
        <item m="1" x="2252"/>
        <item m="1" x="3289"/>
        <item m="1" x="1650"/>
        <item m="1" x="3822"/>
        <item m="1" x="16"/>
        <item m="1" x="637"/>
        <item m="1" x="1670"/>
        <item m="1" x="594"/>
        <item m="1" x="4352"/>
        <item m="1" x="4254"/>
        <item m="1" x="3888"/>
        <item m="1" x="3453"/>
        <item m="1" x="599"/>
        <item m="1" x="2001"/>
        <item m="1" x="2641"/>
        <item m="1" x="1636"/>
        <item m="1" x="4481"/>
        <item m="1" x="3721"/>
        <item m="1" x="893"/>
        <item m="1" x="3680"/>
        <item m="1" x="3340"/>
        <item m="1" x="1086"/>
        <item m="1" x="1794"/>
        <item m="1" x="1222"/>
        <item m="1" x="161"/>
        <item m="1" x="2714"/>
        <item m="1" x="3954"/>
        <item m="1" x="1001"/>
        <item m="1" x="396"/>
        <item m="1" x="2698"/>
        <item m="1" x="2891"/>
        <item m="1" x="956"/>
        <item m="1" x="2884"/>
        <item m="1" x="1981"/>
        <item m="1" x="4249"/>
        <item m="1" x="1804"/>
        <item m="1" x="2812"/>
        <item m="1" x="183"/>
        <item m="1" x="3089"/>
        <item m="1" x="328"/>
        <item m="1" x="1237"/>
        <item m="1" x="4022"/>
        <item m="1" x="3018"/>
        <item m="1" x="2764"/>
        <item m="1" x="2310"/>
        <item m="1" x="1034"/>
        <item m="1" x="2990"/>
        <item m="1" x="790"/>
        <item m="1" x="4005"/>
        <item m="1" x="3744"/>
        <item m="1" x="4313"/>
        <item m="1" x="3906"/>
        <item m="1" x="1608"/>
        <item m="1" x="2551"/>
        <item m="1" x="2344"/>
        <item m="1" x="257"/>
        <item m="1" x="2482"/>
        <item m="1" x="3446"/>
        <item m="1" x="3861"/>
        <item m="1" x="48"/>
        <item m="1" x="1791"/>
        <item m="1" x="2831"/>
        <item m="1" x="4260"/>
        <item m="1" x="1115"/>
        <item m="1" x="3792"/>
        <item m="1" x="244"/>
        <item m="1" x="3554"/>
        <item m="1" x="4373"/>
        <item m="1" x="364"/>
        <item m="1" x="740"/>
        <item m="1" x="4289"/>
        <item m="1" x="2615"/>
        <item m="1" x="1655"/>
        <item m="1" x="1385"/>
        <item m="1" x="1781"/>
        <item m="1" x="2674"/>
        <item m="1" x="437"/>
        <item m="1" x="2134"/>
        <item m="1" x="1866"/>
        <item m="1" x="299"/>
        <item m="1" x="3054"/>
        <item m="1" x="1171"/>
        <item m="1" x="2957"/>
        <item m="1" x="3533"/>
        <item m="1" x="675"/>
        <item m="1" x="4344"/>
        <item m="1" x="4346"/>
        <item m="1" x="4423"/>
        <item m="1" x="1884"/>
        <item m="1" x="1270"/>
        <item m="1" x="298"/>
        <item m="1" x="2665"/>
        <item m="1" x="1344"/>
        <item m="1" x="1446"/>
        <item m="1" x="1713"/>
        <item m="1" x="3569"/>
        <item m="1" x="4220"/>
        <item m="1" x="1704"/>
        <item m="1" x="2376"/>
        <item m="1" x="606"/>
        <item m="1" x="1243"/>
        <item m="1" x="3002"/>
        <item m="1" x="4486"/>
        <item m="1" x="2730"/>
        <item m="1" x="2423"/>
        <item m="1" x="3994"/>
        <item m="1" x="3862"/>
        <item m="1" x="65"/>
        <item m="1" x="1526"/>
        <item m="1" x="4383"/>
        <item m="1" x="4274"/>
        <item m="1" x="1660"/>
        <item m="1" x="1097"/>
        <item m="1" x="3003"/>
        <item m="1" x="1121"/>
        <item m="1" x="617"/>
        <item m="1" x="4401"/>
        <item m="1" x="3924"/>
        <item m="1" x="1614"/>
        <item m="1" x="2896"/>
        <item m="1" x="3655"/>
        <item m="1" x="4347"/>
        <item m="1" x="2785"/>
        <item m="1" x="1592"/>
        <item m="1" x="1448"/>
        <item m="1" x="1021"/>
        <item m="1" x="151"/>
        <item m="1" x="3157"/>
        <item m="1" x="4335"/>
        <item m="1" x="3247"/>
        <item m="1" x="3071"/>
        <item m="1" x="4421"/>
        <item m="1" x="3079"/>
        <item m="1" x="2848"/>
        <item m="1" x="329"/>
        <item m="1" x="4165"/>
        <item m="1" x="1472"/>
        <item m="1" x="2233"/>
        <item m="1" x="62"/>
        <item m="1" x="1652"/>
        <item m="1" x="4389"/>
        <item m="1" x="4279"/>
        <item m="1" x="780"/>
        <item m="1" x="3151"/>
        <item m="1" x="382"/>
        <item m="1" x="1105"/>
        <item m="1" x="1409"/>
        <item m="1" x="4471"/>
        <item m="1" x="1607"/>
        <item m="1" x="3640"/>
        <item m="1" x="148"/>
        <item m="1" x="1404"/>
        <item m="1" x="2316"/>
        <item m="1" x="2518"/>
        <item m="1" x="3992"/>
        <item m="1" x="1332"/>
        <item m="1" x="101"/>
        <item m="1" x="4444"/>
        <item m="1" x="2334"/>
        <item m="1" x="2827"/>
        <item m="1" x="3152"/>
        <item m="1" x="3216"/>
        <item m="1" x="3797"/>
        <item m="1" x="3629"/>
        <item m="1" x="1475"/>
        <item m="1" x="2982"/>
        <item m="1" x="1351"/>
        <item m="1" x="202"/>
        <item m="1" x="4533"/>
        <item m="1" x="2963"/>
        <item m="1" x="3219"/>
        <item m="1" x="3260"/>
        <item m="1" x="3004"/>
        <item m="1" x="4437"/>
        <item m="1" x="3119"/>
        <item m="1" x="3082"/>
        <item m="1" x="4377"/>
        <item m="1" x="3270"/>
        <item m="1" x="1809"/>
        <item m="1" x="1555"/>
        <item m="1" x="3210"/>
        <item m="1" x="1600"/>
        <item m="1" x="253"/>
        <item m="1" x="865"/>
        <item m="1" x="2547"/>
        <item m="1" x="4275"/>
        <item m="1" x="3029"/>
        <item m="1" x="4280"/>
        <item m="1" x="3032"/>
        <item m="1" x="1845"/>
        <item m="1" x="1969"/>
        <item m="1" x="4057"/>
        <item m="1" x="2199"/>
        <item m="1" x="4308"/>
        <item m="1" x="3620"/>
        <item m="1" x="1933"/>
        <item m="1" x="1750"/>
        <item m="1" x="3061"/>
        <item m="1" x="1419"/>
        <item m="1" x="2189"/>
        <item m="1" x="840"/>
        <item m="1" x="324"/>
        <item m="1" x="1851"/>
        <item m="1" x="455"/>
        <item m="1" x="1337"/>
        <item m="1" x="3093"/>
        <item m="1" x="3113"/>
        <item m="1" x="2752"/>
        <item m="1" x="50"/>
        <item m="1" x="1899"/>
        <item m="1" x="2186"/>
        <item m="1" x="105"/>
        <item m="1" x="136"/>
        <item m="1" x="4108"/>
        <item m="1" x="2038"/>
        <item m="1" x="80"/>
        <item m="1" x="1730"/>
        <item m="1" x="1593"/>
        <item m="1" x="384"/>
        <item m="1" x="984"/>
        <item m="1" x="932"/>
        <item m="1" x="2246"/>
        <item m="1" x="3173"/>
        <item m="1" x="1231"/>
        <item m="1" x="2123"/>
        <item m="1" x="1957"/>
        <item m="1" x="2484"/>
        <item m="1" x="3059"/>
        <item m="1" x="169"/>
        <item m="1" x="1676"/>
        <item m="1" x="980"/>
        <item m="1" x="4527"/>
        <item m="1" x="992"/>
        <item m="1" x="1525"/>
        <item m="1" x="3472"/>
        <item m="1" x="2921"/>
        <item m="1" x="4171"/>
        <item m="1" x="2054"/>
        <item m="1" x="3239"/>
        <item m="1" x="46"/>
        <item m="1" x="2008"/>
        <item m="1" x="1002"/>
        <item m="1" x="974"/>
        <item m="1" x="1582"/>
        <item m="1" x="221"/>
        <item m="1" x="3664"/>
        <item m="1" x="3012"/>
        <item m="1" x="1870"/>
        <item m="1" x="353"/>
        <item m="1" x="3541"/>
        <item m="1" x="500"/>
        <item m="1" x="2367"/>
        <item m="1" x="159"/>
        <item m="1" x="2507"/>
        <item m="1" x="631"/>
        <item m="1" x="1591"/>
        <item m="1" x="590"/>
        <item m="1" x="4229"/>
        <item m="1" x="959"/>
        <item m="1" x="1061"/>
        <item m="1" x="343"/>
        <item m="1" x="3716"/>
        <item m="1" x="1067"/>
        <item m="1" x="563"/>
        <item m="1" x="3047"/>
        <item m="1" x="3982"/>
        <item m="1" x="211"/>
        <item m="1" x="2445"/>
        <item m="1" x="1252"/>
        <item m="1" x="2412"/>
        <item m="1" x="1125"/>
        <item m="1" x="41"/>
        <item m="1" x="3786"/>
        <item m="1" x="4047"/>
        <item m="1" x="3739"/>
        <item m="1" x="3009"/>
        <item m="1" x="345"/>
        <item m="1" x="2387"/>
        <item m="1" x="2626"/>
        <item m="1" x="3666"/>
        <item m="1" x="2182"/>
        <item m="1" x="1925"/>
        <item m="1" x="220"/>
        <item m="1" x="2777"/>
        <item m="1" x="1585"/>
        <item m="1" x="659"/>
        <item m="1" x="2346"/>
        <item m="1" x="2461"/>
        <item m="1" x="1521"/>
        <item m="1" x="2807"/>
        <item m="1" x="2045"/>
        <item m="1" x="2537"/>
        <item m="1" x="3597"/>
        <item m="1" x="3796"/>
        <item m="1" x="451"/>
        <item m="1" x="3575"/>
        <item m="1" x="618"/>
        <item m="1" x="4014"/>
        <item m="1" x="3746"/>
        <item m="1" x="3889"/>
        <item m="1" x="2747"/>
        <item m="1" x="556"/>
        <item m="1" x="2274"/>
        <item m="1" x="4467"/>
        <item m="1" x="1843"/>
        <item m="1" x="497"/>
        <item m="1" x="3561"/>
        <item m="1" x="2505"/>
        <item m="1" x="4296"/>
        <item m="1" x="292"/>
        <item m="1" x="3843"/>
        <item m="1" x="791"/>
        <item m="1" x="3204"/>
        <item m="1" x="4070"/>
        <item m="1" x="100"/>
        <item m="1" x="3631"/>
        <item m="1" x="2338"/>
        <item m="1" x="1123"/>
        <item m="1" x="668"/>
        <item m="1" x="3516"/>
        <item m="1" x="1111"/>
        <item m="1" x="1009"/>
        <item m="1" x="265"/>
        <item m="1" x="3844"/>
        <item m="1" x="2037"/>
        <item m="1" x="2823"/>
        <item m="1" x="3866"/>
        <item m="1" x="685"/>
        <item m="1" x="3139"/>
        <item m="1" x="854"/>
        <item m="1" x="4323"/>
        <item m="1" x="4133"/>
        <item m="1" x="3898"/>
        <item m="1" x="552"/>
        <item m="1" x="2396"/>
        <item m="1" x="1747"/>
        <item m="1" x="2000"/>
        <item m="1" x="1166"/>
        <item m="1" x="2810"/>
        <item m="1" x="724"/>
        <item m="1" x="774"/>
        <item m="1" x="3911"/>
        <item m="1" x="3869"/>
        <item m="1" x="3272"/>
        <item m="1" x="3066"/>
        <item m="1" x="2661"/>
        <item m="1" x="899"/>
        <item m="1" x="535"/>
        <item m="1" x="2081"/>
        <item m="1" x="2089"/>
        <item m="1" x="1905"/>
        <item m="1" x="3087"/>
        <item m="1" x="1999"/>
        <item m="1" x="4216"/>
        <item m="1" x="2095"/>
        <item m="1" x="2928"/>
        <item m="1" x="4431"/>
        <item m="1" x="2457"/>
        <item m="1" x="2309"/>
        <item m="1" x="3426"/>
        <item m="1" x="1238"/>
        <item m="1" x="3544"/>
        <item m="1" x="2820"/>
        <item m="1" x="3586"/>
        <item m="1" x="3977"/>
        <item m="1" x="1987"/>
        <item m="1" x="2725"/>
        <item m="1" x="775"/>
        <item m="1" x="4238"/>
        <item m="1" x="1701"/>
        <item m="1" x="3970"/>
        <item m="1" x="4204"/>
        <item m="1" x="2436"/>
        <item m="1" x="2597"/>
        <item m="1" x="548"/>
        <item m="1" x="2516"/>
        <item m="1" x="3473"/>
        <item m="1" x="1304"/>
        <item m="1" x="340"/>
        <item m="1" x="4040"/>
        <item m="1" x="3489"/>
        <item m="1" x="4477"/>
        <item m="1" x="986"/>
        <item m="1" x="2783"/>
        <item m="1" x="362"/>
        <item m="1" x="2079"/>
        <item m="1" x="1062"/>
        <item m="1" x="285"/>
        <item m="1" x="1193"/>
        <item m="1" x="58"/>
        <item m="1" x="30"/>
        <item m="1" x="3400"/>
        <item m="1" x="1457"/>
        <item m="1" x="1963"/>
        <item m="1" x="1689"/>
        <item m="1" x="2097"/>
        <item m="1" x="1929"/>
        <item m="1" x="4096"/>
        <item m="1" x="1266"/>
        <item m="1" x="1649"/>
        <item m="1" x="2854"/>
        <item m="1" x="2531"/>
        <item m="1" x="3536"/>
        <item m="1" x="2149"/>
        <item m="1" x="1135"/>
        <item m="1" x="1403"/>
        <item m="1" x="3855"/>
        <item m="1" x="4386"/>
        <item m="1" x="331"/>
        <item m="1" x="405"/>
        <item m="1" x="1535"/>
        <item m="1" x="2363"/>
        <item m="1" x="3962"/>
        <item m="1" x="4168"/>
        <item m="1" x="1741"/>
        <item m="1" x="1828"/>
        <item m="1" x="2906"/>
        <item m="1" x="3791"/>
        <item m="1" x="1196"/>
        <item m="1" x="1775"/>
        <item m="1" x="372"/>
        <item m="1" x="4440"/>
        <item m="1" x="3039"/>
        <item m="1" x="160"/>
        <item m="1" x="2014"/>
        <item m="1" x="2136"/>
        <item m="1" x="2679"/>
        <item m="1" x="516"/>
        <item m="1" x="3589"/>
        <item m="1" x="53"/>
        <item m="1" x="3577"/>
        <item m="1" x="1516"/>
        <item m="1" x="785"/>
        <item m="1" x="1110"/>
        <item m="1" x="4253"/>
        <item m="1" x="2960"/>
        <item m="1" x="150"/>
        <item m="1" x="1265"/>
        <item m="1" x="4517"/>
        <item m="1" x="261"/>
        <item m="1" x="541"/>
        <item m="1" x="2749"/>
        <item m="1" x="3108"/>
        <item m="1" x="1417"/>
        <item m="1" x="216"/>
        <item m="1" x="1551"/>
        <item m="1" x="4197"/>
        <item m="1" x="3184"/>
        <item m="1" x="3874"/>
        <item m="1" x="4163"/>
        <item m="1" x="4454"/>
        <item m="1" x="1170"/>
        <item m="1" x="2068"/>
        <item m="1" x="1026"/>
        <item m="1" x="44"/>
        <item m="1" x="576"/>
        <item m="1" x="1841"/>
        <item m="1" x="4114"/>
        <item m="1" x="1618"/>
        <item m="1" x="4161"/>
        <item m="1" x="3571"/>
        <item m="1" x="558"/>
        <item m="1" x="4354"/>
        <item m="1" x="3160"/>
        <item m="1" x="3344"/>
        <item m="1" x="1096"/>
        <item m="1" x="3926"/>
        <item m="1" x="2266"/>
        <item m="1" x="3511"/>
        <item m="1" x="4515"/>
        <item m="1" x="3773"/>
        <item m="1" x="38"/>
        <item m="1" x="537"/>
        <item m="1" x="3094"/>
        <item m="1" x="3342"/>
        <item m="1" x="3901"/>
        <item m="1" x="3432"/>
        <item m="1" x="4469"/>
        <item m="1" x="2624"/>
        <item m="1" x="2320"/>
        <item m="1" x="2940"/>
        <item m="1" x="1227"/>
        <item m="1" x="3209"/>
        <item m="1" x="3081"/>
        <item m="1" x="4505"/>
        <item m="1" x="193"/>
        <item m="1" x="26"/>
        <item m="1" x="2400"/>
        <item m="1" x="1738"/>
        <item m="1" x="1865"/>
        <item m="1" x="4224"/>
        <item m="1" x="3567"/>
        <item m="1" x="145"/>
        <item m="1" x="4466"/>
        <item m="1" x="521"/>
        <item m="1" x="3849"/>
        <item m="1" x="1402"/>
        <item m="1" x="3301"/>
        <item m="1" x="3234"/>
        <item m="1" x="729"/>
        <item m="1" x="4435"/>
        <item m="1" x="2737"/>
        <item m="1" x="2520"/>
        <item m="1" x="531"/>
        <item m="1" x="1685"/>
        <item m="1" x="913"/>
        <item m="1" x="76"/>
        <item m="1" x="2050"/>
        <item m="1" x="2750"/>
        <item m="1" x="2733"/>
        <item m="1" x="4544"/>
        <item m="1" x="1726"/>
        <item m="1" x="4392"/>
        <item m="1" x="346"/>
        <item m="1" x="1300"/>
        <item m="1" x="2059"/>
        <item m="1" x="3218"/>
        <item m="1" x="1571"/>
        <item m="1" x="276"/>
        <item m="1" x="1815"/>
        <item m="1" x="1668"/>
        <item m="1" x="2358"/>
        <item m="1" x="1534"/>
        <item m="1" x="2780"/>
        <item m="1" x="996"/>
        <item m="1" x="286"/>
        <item m="1" x="3564"/>
        <item m="1" x="68"/>
        <item m="1" x="3748"/>
        <item m="1" x="1799"/>
        <item m="1" x="3357"/>
        <item m="1" x="4148"/>
        <item m="1" x="3091"/>
        <item m="1" x="1637"/>
        <item m="1" x="1131"/>
        <item m="1" x="1094"/>
        <item m="1" x="2865"/>
        <item m="1" x="1522"/>
        <item m="1" x="341"/>
        <item m="1" x="4048"/>
        <item m="1" x="2598"/>
        <item m="1" x="1514"/>
        <item m="1" x="1078"/>
        <item m="1" x="3133"/>
        <item m="1" x="760"/>
        <item m="1" x="3729"/>
        <item m="1" x="1315"/>
        <item m="1" x="2839"/>
        <item m="1" x="1359"/>
        <item m="1" x="4470"/>
        <item m="1" x="3424"/>
        <item m="1" x="3605"/>
        <item m="1" x="1697"/>
        <item m="1" x="4209"/>
        <item m="1" x="3457"/>
        <item m="1" x="413"/>
        <item m="1" x="693"/>
        <item m="1" x="2398"/>
        <item m="1" x="3199"/>
        <item m="1" x="727"/>
        <item m="1" x="1974"/>
        <item m="1" x="1038"/>
        <item m="1" x="3713"/>
        <item m="1" x="281"/>
        <item m="1" x="2885"/>
        <item m="1" x="1758"/>
        <item m="1" x="628"/>
        <item m="1" x="483"/>
        <item m="1" x="1075"/>
        <item m="1" x="3776"/>
        <item m="1" x="3820"/>
        <item m="1" x="414"/>
        <item m="1" x="2033"/>
        <item m="1" x="1572"/>
        <item m="1" x="786"/>
        <item m="1" x="210"/>
        <item m="1" x="1414"/>
        <item m="1" x="3421"/>
        <item m="1" x="886"/>
        <item m="1" x="1120"/>
        <item m="1" x="2566"/>
        <item m="1" x="181"/>
        <item m="1" x="2852"/>
        <item m="1" x="3135"/>
        <item m="1" x="2439"/>
        <item m="1" x="4416"/>
        <item m="1" x="3838"/>
        <item m="1" x="2311"/>
        <item m="1" x="2919"/>
        <item m="1" x="2281"/>
        <item m="1" x="2099"/>
        <item m="1" x="4058"/>
        <item m="1" x="4307"/>
        <item m="1" x="4191"/>
        <item m="1" x="852"/>
        <item m="1" x="2429"/>
        <item m="1" x="2686"/>
        <item m="1" x="1036"/>
        <item m="1" x="3622"/>
        <item m="1" x="699"/>
        <item m="1" x="3899"/>
        <item m="1" x="1154"/>
        <item m="1" x="3207"/>
        <item m="1" x="77"/>
        <item m="1" x="1071"/>
        <item m="1" x="3504"/>
        <item m="1" x="3909"/>
        <item m="1" x="1191"/>
        <item m="1" x="776"/>
        <item m="1" x="2163"/>
        <item m="1" x="187"/>
        <item m="1" x="955"/>
        <item m="1" x="1996"/>
        <item m="1" x="3682"/>
        <item m="1" x="906"/>
        <item m="1" x="4465"/>
        <item m="1" x="3366"/>
        <item m="1" x="3684"/>
        <item m="1" x="4545"/>
        <item m="1" x="2558"/>
        <item m="1" x="2451"/>
        <item m="1" x="1517"/>
        <item m="1" x="4234"/>
        <item m="1" x="64"/>
        <item m="1" x="3393"/>
        <item m="1" x="4159"/>
        <item m="1" x="2324"/>
        <item m="1" x="3772"/>
        <item m="1" x="1420"/>
        <item m="1" x="1295"/>
        <item m="1" x="3354"/>
        <item m="1" x="977"/>
        <item m="1" x="1508"/>
        <item m="1" x="3735"/>
        <item m="1" x="2193"/>
        <item m="1" x="923"/>
        <item m="1" x="1819"/>
        <item m="1" x="349"/>
        <item m="1" x="3971"/>
        <item m="1" x="1647"/>
        <item m="1" x="1370"/>
        <item m="1" x="2627"/>
        <item m="1" x="2822"/>
        <item m="1" x="2761"/>
        <item m="1" x="528"/>
        <item m="1" x="3969"/>
        <item m="1" x="707"/>
        <item m="1" x="460"/>
        <item m="1" x="3559"/>
        <item m="1" x="817"/>
        <item m="1" x="1682"/>
        <item m="1" x="2588"/>
        <item m="1" x="1829"/>
        <item m="1" x="2321"/>
        <item m="1" x="4371"/>
        <item m="1" x="4285"/>
        <item m="1" x="1868"/>
        <item m="1" x="306"/>
        <item m="1" x="3932"/>
        <item m="1" x="1289"/>
        <item m="1" x="3379"/>
        <item m="1" x="4049"/>
        <item m="1" x="2880"/>
        <item m="1" x="1113"/>
        <item m="1" x="2897"/>
        <item m="1" x="3325"/>
        <item m="1" x="2307"/>
        <item m="1" x="3508"/>
        <item m="1" x="1760"/>
        <item m="1" x="1209"/>
        <item m="1" x="805"/>
        <item m="1" x="2129"/>
        <item m="1" x="1059"/>
        <item m="1" x="4131"/>
        <item m="1" x="4119"/>
        <item m="1" x="3984"/>
        <item m="1" x="1644"/>
        <item m="1" x="1790"/>
        <item m="1" x="1698"/>
        <item m="1" x="1527"/>
        <item m="1" x="429"/>
        <item m="1" x="828"/>
        <item m="1" x="2550"/>
        <item m="1" x="2688"/>
        <item m="1" x="3409"/>
        <item m="1" x="1564"/>
        <item m="1" x="297"/>
        <item m="1" x="2254"/>
        <item m="1" x="1275"/>
        <item m="1" x="2175"/>
        <item m="1" x="1085"/>
        <item m="1" x="2530"/>
        <item m="1" x="2145"/>
        <item m="1" x="1079"/>
        <item m="1" x="3520"/>
        <item m="1" x="1985"/>
        <item m="1" x="3256"/>
        <item m="1" x="3578"/>
        <item m="1" x="2677"/>
        <item m="1" x="1587"/>
        <item m="1" x="710"/>
        <item m="1" x="640"/>
        <item m="1" x="1536"/>
        <item m="1" x="2600"/>
        <item m="1" x="864"/>
        <item m="1" x="1249"/>
        <item m="1" x="2071"/>
        <item m="1" x="1917"/>
        <item m="1" x="2234"/>
        <item m="1" x="697"/>
        <item m="1" x="2288"/>
        <item m="1" x="1984"/>
        <item m="1" x="1821"/>
        <item m="1" x="2350"/>
        <item m="1" x="517"/>
        <item m="1" x="2524"/>
        <item m="1" x="4228"/>
        <item m="1" x="4278"/>
        <item m="1" x="2758"/>
        <item m="1" x="3524"/>
        <item m="1" x="1286"/>
        <item m="1" x="2278"/>
        <item m="1" x="4027"/>
        <item m="1" x="2462"/>
        <item m="1" x="2675"/>
        <item m="1" x="4175"/>
        <item m="1" x="206"/>
        <item m="1" x="2296"/>
        <item m="1" x="1311"/>
        <item m="1" x="430"/>
        <item m="1" x="518"/>
        <item m="1" x="4008"/>
        <item m="1" x="2541"/>
        <item m="1" x="2402"/>
        <item m="1" x="2267"/>
        <item m="1" x="1104"/>
        <item m="1" x="4001"/>
        <item m="1" x="3125"/>
        <item m="1" x="147"/>
        <item m="1" x="4479"/>
        <item m="1" x="501"/>
        <item m="1" x="4158"/>
        <item m="1" x="1199"/>
        <item m="1" x="943"/>
        <item m="1" x="2328"/>
        <item m="1" x="4042"/>
        <item m="1" x="3333"/>
        <item m="1" x="2829"/>
        <item m="1" x="232"/>
        <item m="1" x="3638"/>
        <item m="1" x="702"/>
        <item m="1" x="186"/>
        <item m="1" x="1039"/>
        <item m="1" x="2201"/>
        <item m="1" x="4105"/>
        <item m="1" x="4180"/>
        <item m="1" x="1872"/>
        <item m="1" x="1771"/>
        <item m="1" x="2947"/>
        <item m="1" x="3483"/>
        <item m="1" x="2760"/>
        <item m="1" x="601"/>
        <item m="1" x="3614"/>
        <item m="1" x="2378"/>
        <item m="1" x="3092"/>
        <item m="1" x="3403"/>
        <item m="1" x="3193"/>
        <item m="1" x="2866"/>
        <item m="1" x="2895"/>
        <item m="1" x="4501"/>
        <item m="1" x="534"/>
        <item m="1" x="66"/>
        <item m="1" x="3886"/>
        <item m="1" x="110"/>
        <item m="1" x="2693"/>
        <item m="1" x="3846"/>
        <item m="1" x="3261"/>
        <item m="1" x="2403"/>
        <item m="1" x="2877"/>
        <item m="1" x="2640"/>
        <item m="1" x="1922"/>
        <item m="1" x="3321"/>
        <item m="1" x="4140"/>
        <item m="1" x="494"/>
        <item m="1" x="3764"/>
        <item m="1" x="3245"/>
        <item m="1" x="2444"/>
        <item m="1" x="1569"/>
        <item m="1" x="3161"/>
        <item m="1" x="4194"/>
        <item m="1" x="1155"/>
        <item m="1" x="2576"/>
        <item m="1" x="2911"/>
        <item m="1" x="2669"/>
        <item m="1" x="4226"/>
        <item m="1" x="4213"/>
        <item m="1" x="859"/>
        <item m="1" x="1837"/>
        <item m="1" x="1961"/>
        <item m="1" x="3088"/>
        <item m="1" x="4396"/>
        <item m="1" x="108"/>
        <item m="1" x="3290"/>
        <item m="1" x="1972"/>
        <item m="1" x="2927"/>
        <item m="1" x="3332"/>
        <item m="1" x="13"/>
        <item m="1" x="2709"/>
        <item m="1" x="1603"/>
        <item m="1" x="2010"/>
        <item m="1" x="3253"/>
        <item m="1" x="113"/>
        <item m="1" x="3331"/>
        <item m="1" x="2115"/>
        <item m="1" x="2950"/>
        <item m="1" x="1391"/>
        <item m="1" x="3562"/>
        <item m="1" x="3692"/>
        <item m="1" x="964"/>
        <item m="1" x="1669"/>
        <item m="1" x="1493"/>
        <item m="1" x="1567"/>
        <item m="1" x="3122"/>
        <item m="1" x="3645"/>
        <item m="1" x="2796"/>
        <item m="1" x="469"/>
        <item m="1" x="3341"/>
        <item m="1" x="120"/>
        <item m="1" x="2509"/>
        <item m="1" x="987"/>
        <item m="1" x="1479"/>
        <item m="1" x="3498"/>
        <item m="1" x="1902"/>
        <item m="1" x="2618"/>
        <item m="1" x="1195"/>
        <item m="1" x="3017"/>
        <item m="1" x="1297"/>
        <item m="1" x="163"/>
        <item m="1" x="638"/>
        <item m="1" x="502"/>
        <item m="1" x="2998"/>
        <item m="1" x="3535"/>
        <item m="1" x="1633"/>
        <item m="1" x="40"/>
        <item m="1" x="967"/>
        <item m="1" x="1562"/>
        <item m="1" x="860"/>
        <item m="1" x="3419"/>
        <item m="1" x="2873"/>
        <item m="1" x="2778"/>
        <item m="1" x="2691"/>
        <item m="1" x="1106"/>
        <item m="1" x="2187"/>
        <item m="1" x="271"/>
        <item m="1" x="845"/>
        <item m="1" x="1057"/>
        <item m="1" x="2621"/>
        <item m="1" x="3025"/>
        <item m="1" x="393"/>
        <item m="1" x="428"/>
        <item m="1" x="2285"/>
        <item m="1" x="4328"/>
        <item m="1" x="3872"/>
        <item m="1" x="761"/>
        <item m="1" x="1140"/>
        <item m="1" x="4456"/>
        <item m="1" x="1610"/>
        <item m="1" x="3132"/>
        <item m="1" x="1967"/>
        <item m="1" x="1356"/>
        <item m="1" x="4430"/>
        <item m="1" x="1498"/>
        <item m="1" x="1236"/>
        <item m="1" x="2914"/>
        <item m="1" x="713"/>
        <item m="1" x="3812"/>
        <item m="1" x="78"/>
        <item m="1" x="2263"/>
        <item m="1" x="2023"/>
        <item m="1" x="3492"/>
        <item m="1" x="4291"/>
        <item m="1" x="3"/>
        <item m="1" x="1954"/>
        <item m="1" x="663"/>
        <item m="1" x="4415"/>
        <item m="1" x="2219"/>
        <item m="1" x="2864"/>
        <item m="1" x="1658"/>
        <item m="1" x="3742"/>
        <item m="1" x="479"/>
        <item m="1" x="3949"/>
        <item m="1" x="4393"/>
        <item m="1" x="1590"/>
        <item m="1" x="3771"/>
        <item m="1" x="3154"/>
        <item m="1" x="3434"/>
        <item m="1" x="3804"/>
        <item m="1" x="2165"/>
        <item m="1" x="823"/>
        <item m="1" x="3007"/>
        <item m="1" x="4217"/>
        <item m="1" x="787"/>
        <item m="1" x="1107"/>
        <item m="1" x="1186"/>
        <item m="1" x="154"/>
        <item m="1" x="23"/>
        <item m="1" x="277"/>
        <item m="1" x="4495"/>
        <item m="1" x="4156"/>
        <item m="1" x="1942"/>
        <item m="1" x="2920"/>
        <item m="1" x="1435"/>
        <item m="1" x="4132"/>
        <item m="1" x="3440"/>
        <item m="1" x="2337"/>
        <item m="1" x="194"/>
        <item m="1" x="2834"/>
        <item m="1" x="173"/>
        <item m="1" x="4458"/>
        <item m="1" x="3015"/>
        <item m="1" x="869"/>
        <item m="1" x="2757"/>
        <item m="1" x="3848"/>
        <item m="1" x="1245"/>
        <item m="1" x="2748"/>
        <item m="1" x="56"/>
        <item m="1" x="3227"/>
        <item m="1" x="708"/>
        <item m="1" x="3760"/>
        <item m="1" x="1826"/>
        <item m="1" x="2612"/>
        <item m="1" x="2289"/>
        <item m="1" x="2818"/>
        <item m="1" x="1491"/>
        <item m="1" x="3737"/>
        <item m="1" x="2122"/>
        <item m="1" x="762"/>
        <item m="1" x="1549"/>
        <item m="1" x="67"/>
        <item m="1" x="4524"/>
        <item m="1" x="4142"/>
        <item m="1" x="2706"/>
        <item m="1" x="311"/>
        <item m="1" x="2717"/>
        <item m="1" x="4540"/>
        <item m="1" x="492"/>
        <item m="1" x="2984"/>
        <item m="1" x="2318"/>
        <item m="1" x="1296"/>
        <item m="1" x="3852"/>
        <item m="1" x="2407"/>
        <item m="1" x="4360"/>
        <item m="1" x="1792"/>
        <item m="1" x="3275"/>
        <item m="1" x="2813"/>
        <item m="1" x="2636"/>
        <item m="1" x="1179"/>
        <item m="1" x="2247"/>
        <item m="1" x="2613"/>
        <item m="1" x="1550"/>
        <item m="1" x="4451"/>
        <item m="1" x="3518"/>
        <item m="1" x="4521"/>
        <item m="1" x="4345"/>
        <item m="1" x="1800"/>
        <item m="1" x="3788"/>
        <item m="1" x="3965"/>
        <item m="1" x="3294"/>
        <item m="1" x="636"/>
        <item m="1" x="870"/>
        <item m="1" x="2673"/>
        <item m="1" x="4056"/>
        <item m="1" x="2996"/>
        <item m="1" x="1574"/>
        <item m="1" x="1335"/>
        <item m="1" x="121"/>
        <item m="1" x="367"/>
        <item m="1" x="921"/>
        <item m="1" x="1789"/>
        <item m="1" x="1766"/>
        <item m="1" x="288"/>
        <item m="1" x="2970"/>
        <item m="1" x="49"/>
        <item m="1" x="4417"/>
        <item m="1" x="4534"/>
        <item m="1" x="233"/>
        <item m="1" x="3060"/>
        <item m="1" x="2470"/>
        <item m="1" x="2908"/>
        <item m="1" x="1217"/>
        <item m="1" x="4365"/>
        <item m="1" x="300"/>
        <item m="1" x="1869"/>
        <item m="1" x="3435"/>
        <item m="1" x="678"/>
        <item m="1" x="3896"/>
        <item m="1" x="1834"/>
        <item m="1" x="3875"/>
        <item m="1" x="1258"/>
        <item m="1" x="846"/>
        <item m="1" x="1546"/>
        <item m="1" x="595"/>
        <item m="1" x="2857"/>
        <item m="1" x="2003"/>
        <item m="1" x="3999"/>
        <item m="1" x="1518"/>
        <item m="1" x="3873"/>
        <item m="1" x="3371"/>
        <item m="1" x="2980"/>
        <item m="1" x="432"/>
        <item m="1" x="236"/>
        <item m="1" x="452"/>
        <item m="1" x="3719"/>
        <item m="1" x="555"/>
        <item m="1" x="4060"/>
        <item m="1" x="1015"/>
        <item m="1" x="2697"/>
        <item m="1" x="3798"/>
        <item m="1" x="2158"/>
        <item m="1" x="358"/>
        <item m="1" x="4399"/>
        <item m="1" x="2724"/>
        <item m="1" x="4299"/>
        <item m="1" x="649"/>
        <item m="1" x="892"/>
        <item m="1" x="2406"/>
        <item m="1" x="3674"/>
        <item m="1" x="716"/>
        <item m="1" x="3407"/>
        <item m="1" x="4245"/>
        <item m="1" x="3045"/>
        <item m="1" x="2264"/>
        <item m="1" x="3422"/>
        <item m="1" x="1323"/>
        <item m="1" x="928"/>
        <item m="1" x="1428"/>
        <item m="1" x="3450"/>
        <item m="1" x="2039"/>
        <item m="1" x="670"/>
        <item m="1" x="158"/>
        <item m="1" x="3387"/>
        <item m="1" x="4110"/>
        <item m="1" x="3481"/>
        <item m="1" x="4059"/>
        <item m="1" x="646"/>
        <item m="1" x="4157"/>
        <item m="1" x="3444"/>
        <item m="1" x="4447"/>
        <item m="1" x="934"/>
        <item m="1" x="2815"/>
        <item m="1" x="4053"/>
        <item m="1" x="1070"/>
        <item m="1" x="2699"/>
        <item m="1" x="3547"/>
        <item m="1" x="4174"/>
        <item m="1" x="152"/>
        <item m="1" x="691"/>
        <item m="1" x="4126"/>
        <item m="1" x="1638"/>
        <item m="1" x="442"/>
        <item m="1" x="1136"/>
        <item m="1" x="1640"/>
        <item m="1" x="1968"/>
        <item m="1" x="4363"/>
        <item m="1" x="2446"/>
        <item m="1" x="505"/>
        <item m="1" x="3733"/>
        <item m="1" x="1462"/>
        <item m="1" x="4063"/>
        <item m="1" x="3020"/>
        <item m="1" x="1622"/>
        <item m="1" x="3649"/>
        <item m="1" x="882"/>
        <item m="1" x="4491"/>
        <item m="1" x="1005"/>
        <item m="1" x="1405"/>
        <item m="1" x="3919"/>
        <item m="1" x="1060"/>
        <item m="1" x="4303"/>
        <item m="1" x="2035"/>
        <item m="1" x="415"/>
        <item m="1" x="2369"/>
        <item m="1" x="3326"/>
        <item m="1" x="3527"/>
        <item m="1" x="3104"/>
        <item m="1" x="2140"/>
        <item m="1" x="3250"/>
        <item m="1" x="2890"/>
        <item m="1" x="3069"/>
        <item m="1" x="3124"/>
        <item m="1" x="3539"/>
        <item m="1" x="2290"/>
        <item m="1" x="981"/>
        <item m="1" x="326"/>
        <item m="1" x="4141"/>
        <item m="1" x="1692"/>
        <item m="1" x="1982"/>
        <item m="1" x="2689"/>
        <item m="1" x="513"/>
        <item m="1" x="2225"/>
        <item m="1" x="3431"/>
        <item m="1" x="1971"/>
        <item m="1" x="2336"/>
        <item m="1" x="2832"/>
        <item m="1" x="17"/>
        <item m="1" x="794"/>
        <item m="1" x="3813"/>
        <item m="1" x="2120"/>
        <item m="1" x="2414"/>
        <item m="1" x="3189"/>
        <item m="1" x="1434"/>
        <item m="1" x="658"/>
        <item m="1" x="2662"/>
        <item m="1" x="2069"/>
        <item m="1" x="2389"/>
        <item m="1" x="1449"/>
        <item m="1" x="176"/>
        <item m="1" x="1267"/>
        <item m="1" x="825"/>
        <item m="1" x="4314"/>
        <item m="1" x="1935"/>
        <item m="1" x="4074"/>
        <item m="1" x="3023"/>
        <item m="1" x="1748"/>
        <item m="1" x="566"/>
        <item m="1" x="1324"/>
        <item m="1" x="3601"/>
        <item m="1" x="1377"/>
        <item m="1" x="2945"/>
        <item m="1" x="997"/>
        <item m="1" x="2708"/>
        <item m="1" x="1176"/>
        <item m="1" x="252"/>
        <item m="1" x="2377"/>
        <item m="1" x="2056"/>
        <item m="1" x="1947"/>
        <item m="1" x="3609"/>
        <item m="1" x="591"/>
        <item m="1" x="130"/>
        <item m="1" x="1759"/>
        <item m="1" x="990"/>
        <item m="1" x="795"/>
        <item m="1" x="587"/>
        <item m="1" x="365"/>
        <item m="1" x="3799"/>
        <item m="1" x="4498"/>
        <item m="1" x="1327"/>
        <item m="1" x="3311"/>
        <item m="1" x="2560"/>
        <item m="1" x="3073"/>
        <item m="1" x="4292"/>
        <item m="1" x="498"/>
        <item m="1" x="3883"/>
        <item m="1" x="2150"/>
        <item m="1" x="1399"/>
        <item m="1" x="2047"/>
        <item m="1" x="1381"/>
        <item m="1" x="620"/>
        <item m="1" x="227"/>
        <item m="1" x="2148"/>
        <item m="1" x="1537"/>
        <item m="1" x="1992"/>
        <item m="1" x="1578"/>
        <item m="1" x="891"/>
        <item m="1" x="2024"/>
        <item m="1" x="1778"/>
        <item m="1" x="3530"/>
        <item m="1" x="1714"/>
        <item m="1" x="242"/>
        <item m="1" x="510"/>
        <item m="1" x="1418"/>
        <item m="1" x="4190"/>
        <item m="1" x="3318"/>
        <item m="1" x="4445"/>
        <item m="1" x="457"/>
        <item m="1" x="2399"/>
        <item m="1" x="1965"/>
        <item m="1" x="1739"/>
        <item m="1" x="1596"/>
        <item m="1" x="2628"/>
        <item m="1" x="3529"/>
        <item m="1" x="2740"/>
        <item m="1" x="4378"/>
        <item m="1" x="2567"/>
        <item m="1" x="669"/>
        <item m="1" x="1833"/>
        <item m="1" x="1716"/>
        <item m="1" x="2933"/>
        <item m="1" x="3946"/>
        <item m="1" x="1223"/>
        <item m="1" x="2726"/>
        <item m="1" x="1892"/>
        <item m="1" x="39"/>
        <item m="1" x="682"/>
        <item m="1" x="3956"/>
        <item m="1" x="493"/>
        <item m="1" x="2260"/>
        <item m="1" x="4483"/>
        <item m="1" x="993"/>
        <item m="1" x="3328"/>
        <item m="1" x="3802"/>
        <item m="1" x="3467"/>
        <item m="1" x="3381"/>
        <item m="1" x="698"/>
        <item m="1" x="1656"/>
        <item m="1" x="2325"/>
        <item m="1" x="2159"/>
        <item m="1" x="4009"/>
        <item m="1" x="4061"/>
        <item m="1" x="3781"/>
        <item m="1" x="962"/>
        <item m="1" x="190"/>
        <item m="1" x="323"/>
        <item m="1" x="4478"/>
        <item m="1" x="321"/>
        <item m="1" x="3961"/>
        <item m="1" x="4255"/>
        <item m="1" x="2248"/>
        <item m="1" x="165"/>
        <item m="1" x="2091"/>
        <item m="1" x="2036"/>
        <item m="1" x="3190"/>
        <item m="1" x="3111"/>
        <item m="1" x="2090"/>
        <item m="1" x="4134"/>
        <item m="1" x="89"/>
        <item m="1" x="1395"/>
        <item m="1" x="1358"/>
        <item m="1" x="2506"/>
        <item m="1" x="837"/>
        <item m="1" x="2514"/>
        <item m="1" x="4317"/>
        <item m="1" x="2658"/>
        <item m="1" x="1646"/>
        <item m="1" x="3863"/>
        <item m="1" x="1426"/>
        <item m="1" x="234"/>
        <item m="1" x="4032"/>
        <item m="1" x="490"/>
        <item m="1" x="2019"/>
        <item m="1" x="225"/>
        <item m="1" x="3401"/>
        <item m="1" x="24"/>
        <item m="1" x="3099"/>
        <item m="1" x="2904"/>
        <item m="1" x="3610"/>
        <item m="1" x="2775"/>
        <item m="1" x="3765"/>
        <item m="1" x="1683"/>
        <item m="1" x="3182"/>
        <item m="1" x="1052"/>
        <item m="1" x="2154"/>
        <item m="1" x="2961"/>
        <item m="1" x="2370"/>
        <item m="1" x="1030"/>
        <item m="1" x="2773"/>
        <item m="1" x="481"/>
        <item m="1" x="4441"/>
        <item m="1" x="2479"/>
        <item m="1" x="2098"/>
        <item m="1" x="2713"/>
        <item m="1" x="4324"/>
        <item m="1" x="2972"/>
        <item m="1" x="3185"/>
        <item m="1" x="3702"/>
        <item m="1" x="287"/>
        <item m="1" x="1421"/>
        <item m="1" x="446"/>
        <item m="1" x="2580"/>
        <item m="1" x="1913"/>
        <item m="1" x="3933"/>
        <item m="1" x="1964"/>
        <item m="1" x="3469"/>
        <item m="1" x="1709"/>
        <item m="1" x="2339"/>
        <item m="1" x="3368"/>
        <item m="1" x="3897"/>
        <item m="1" x="1690"/>
        <item m="1" x="3510"/>
        <item m="1" x="1352"/>
        <item m="1" x="2078"/>
        <item m="1" x="2419"/>
        <item m="1" x="830"/>
        <item m="1" x="2259"/>
        <item m="1" x="2620"/>
        <item m="1" x="1263"/>
        <item m="1" x="3389"/>
        <item m="1" x="3490"/>
        <item m="1" x="1464"/>
        <item m="1" x="3672"/>
        <item m="1" x="961"/>
        <item m="1" x="54"/>
        <item m="1" x="4160"/>
        <item m="1" x="2522"/>
        <item m="1" x="3364"/>
        <item m="1" x="2856"/>
        <item m="1" x="2768"/>
        <item m="1" x="4085"/>
        <item m="1" x="1629"/>
        <item m="1" x="333"/>
        <item m="1" x="2262"/>
        <item m="1" x="2356"/>
        <item m="1" x="1141"/>
        <item m="1" x="3825"/>
        <item m="1" x="478"/>
        <item m="1" x="1753"/>
        <item m="1" x="3280"/>
        <item m="1" x="3980"/>
        <item m="1" x="4390"/>
        <item m="1" x="1175"/>
        <item m="1" x="3056"/>
        <item m="1" x="809"/>
        <item m="1" x="35"/>
        <item m="1" x="3740"/>
        <item m="1" x="2776"/>
        <item m="1" x="832"/>
        <item m="1" x="2027"/>
        <item m="1" x="3653"/>
        <item m="1" x="1412"/>
        <item m="1" x="2167"/>
        <item m="1" x="3818"/>
        <item m="1" x="4408"/>
        <item m="1" x="2042"/>
        <item m="1" x="3819"/>
        <item m="1" x="783"/>
        <item m="1" x="2332"/>
        <item m="1" x="4144"/>
        <item m="1" x="766"/>
        <item m="1" x="2221"/>
        <item m="1" x="3083"/>
        <item m="1" x="4179"/>
        <item m="1" x="4200"/>
        <item m="1" x="1425"/>
        <item m="1" x="2057"/>
        <item m="1" x="117"/>
        <item m="1" x="4002"/>
        <item m="1" x="1783"/>
        <item m="1" x="677"/>
        <item m="1" x="2715"/>
        <item m="1" x="999"/>
        <item m="1" x="1619"/>
        <item m="1" x="3110"/>
        <item m="1" x="1724"/>
        <item m="1" x="1348"/>
        <item m="1" x="2528"/>
        <item m="1" x="178"/>
        <item m="1" x="320"/>
        <item m="1" x="781"/>
        <item m="1" x="549"/>
        <item m="1" x="4422"/>
        <item m="1" x="2753"/>
        <item m="1" x="4455"/>
        <item m="1" x="507"/>
        <item m="1" x="3174"/>
        <item m="1" x="3841"/>
        <item m="1" x="4"/>
        <item m="1" x="3654"/>
        <item m="1" x="4028"/>
        <item m="1" x="1208"/>
        <item m="1" x="1320"/>
        <item m="1" x="3943"/>
        <item m="1" x="1483"/>
        <item m="1" x="81"/>
        <item m="1" x="872"/>
        <item m="1" x="1487"/>
        <item m="1" x="4006"/>
        <item m="1" x="3782"/>
        <item m="1" x="1080"/>
        <item m="1" x="858"/>
        <item m="1" x="3162"/>
        <item m="1" x="2649"/>
        <item m="1" x="2455"/>
        <item m="1" x="3114"/>
        <item m="1" x="1597"/>
        <item m="1" x="4080"/>
        <item m="1" x="2887"/>
        <item m="1" x="215"/>
        <item m="1" x="1336"/>
        <item m="1" x="235"/>
        <item m="1" x="2111"/>
        <item m="1" x="3633"/>
        <item m="1" x="1281"/>
        <item m="1" x="1773"/>
        <item m="1" x="4518"/>
        <item m="1" x="2978"/>
        <item m="1" x="1212"/>
        <item m="1" x="356"/>
        <item m="1" x="177"/>
        <item m="1" x="4266"/>
        <item m="1" x="399"/>
        <item m="1" x="3026"/>
        <item m="1" x="2279"/>
        <item m="1" x="881"/>
        <item m="1" x="625"/>
        <item m="1" x="930"/>
        <item m="1" x="1547"/>
        <item m="1" x="1272"/>
        <item m="1" x="4541"/>
        <item m="1" x="2678"/>
        <item m="1" x="814"/>
        <item m="1" x="2670"/>
        <item m="1" x="1109"/>
        <item m="1" x="824"/>
        <item m="1" x="3916"/>
        <item m="1" x="2286"/>
        <item m="1" x="3291"/>
        <item m="1" x="2700"/>
        <item m="1" x="1437"/>
        <item m="1" x="2946"/>
        <item m="1" x="2179"/>
        <item m="1" x="27"/>
        <item m="1" x="3987"/>
        <item m="1" x="3509"/>
        <item m="1" x="1651"/>
        <item m="1" x="4302"/>
        <item m="1" x="3624"/>
        <item m="1" x="705"/>
        <item m="1" x="3642"/>
        <item m="1" x="3146"/>
        <item m="1" x="737"/>
        <item m="1" x="1406"/>
        <item m="1" x="282"/>
        <item m="1" x="2293"/>
        <item m="1" x="3313"/>
        <item m="1" x="237"/>
        <item m="1" x="47"/>
        <item m="1" x="37"/>
        <item m="1" x="3246"/>
        <item m="1" x="2659"/>
        <item m="1" x="4499"/>
        <item m="1" x="3058"/>
        <item m="1" x="2094"/>
        <item m="1" x="2738"/>
        <item m="1" x="223"/>
        <item m="1" x="3506"/>
        <item m="1" x="1214"/>
        <item m="1" x="3438"/>
        <item m="1" x="164"/>
        <item m="1" x="3315"/>
        <item m="1" x="1867"/>
        <item m="1" x="1430"/>
        <item m="1" x="3683"/>
        <item m="1" x="2965"/>
        <item m="1" x="4258"/>
        <item m="1" x="4093"/>
        <item m="1" x="3736"/>
        <item m="1" x="1621"/>
        <item m="1" x="4375"/>
        <item m="1" x="72"/>
        <item m="1" x="1132"/>
        <item m="1" x="3390"/>
        <item m="1" x="3995"/>
        <item m="1" x="3894"/>
        <item m="1" x="2954"/>
        <item m="1" x="9"/>
        <item m="1" x="4185"/>
        <item m="1" x="1703"/>
        <item m="1" x="3367"/>
        <item m="1" x="1184"/>
        <item m="1" x="2323"/>
        <item m="1" x="4023"/>
        <item m="1" x="1255"/>
        <item m="1" x="1958"/>
        <item m="1" x="2741"/>
        <item m="1" x="2939"/>
        <item m="1" x="184"/>
        <item m="1" x="71"/>
        <item m="1" x="2222"/>
        <item m="1" x="4370"/>
        <item m="1" x="868"/>
        <item m="1" x="2153"/>
        <item m="1" x="2241"/>
        <item m="1" x="4265"/>
        <item m="1" x="1010"/>
        <item m="1" x="355"/>
        <item m="1" x="82"/>
        <item m="1" x="4150"/>
        <item m="1" x="1012"/>
        <item m="1" x="3826"/>
        <item m="1" x="2031"/>
        <item m="1" x="547"/>
        <item m="1" x="1990"/>
        <item m="1" x="2774"/>
        <item m="1" x="3145"/>
        <item m="1" x="3839"/>
        <item m="1" x="3784"/>
        <item m="1" x="3606"/>
        <item m="1" x="2534"/>
        <item m="1" x="1288"/>
        <item m="1" x="2821"/>
        <item m="1" x="1934"/>
        <item m="1" x="2515"/>
        <item m="1" x="826"/>
        <item m="1" x="1321"/>
        <item m="1" x="1253"/>
        <item m="1" x="2841"/>
        <item m="1" x="3758"/>
        <item m="1" x="1174"/>
        <item m="1" x="142"/>
        <item m="1" x="1601"/>
        <item m="1" x="1538"/>
        <item m="1" x="1635"/>
        <item m="1" x="1254"/>
        <item m="1" x="1020"/>
        <item m="1" x="2195"/>
        <item m="1" x="1943"/>
        <item m="1" x="4211"/>
        <item m="1" x="3525"/>
        <item m="1" x="4164"/>
        <item m="1" x="4015"/>
        <item m="1" x="370"/>
        <item m="1" x="1808"/>
        <item m="1" x="3208"/>
        <item m="1" x="2811"/>
        <item m="1" x="2357"/>
        <item m="1" x="1531"/>
        <item m="1" x="530"/>
        <item m="1" x="3947"/>
        <item m="1" x="2070"/>
        <item m="1" x="3102"/>
        <item m="1" x="1715"/>
        <item m="1" x="4500"/>
        <item m="1" x="1041"/>
        <item m="1" x="1970"/>
        <item m="1" x="4231"/>
        <item m="1" x="1098"/>
        <item m="1" x="2593"/>
        <item m="1" x="438"/>
        <item m="1" x="2646"/>
        <item m="1" x="1006"/>
        <item m="1" x="2788"/>
        <item m="1" x="4506"/>
        <item m="1" x="2542"/>
        <item m="1" x="3455"/>
        <item m="1" x="931"/>
        <item m="1" x="3433"/>
        <item m="1" x="3322"/>
        <item m="1" x="2590"/>
        <item m="1" x="1559"/>
        <item m="1" x="3286"/>
        <item m="1" x="476"/>
        <item m="1" x="3724"/>
        <item m="1" x="3279"/>
        <item m="1" x="914"/>
        <item m="1" x="4155"/>
        <item m="1" x="2985"/>
        <item m="1" x="83"/>
        <item m="1" x="2681"/>
        <item m="1" x="1400"/>
        <item m="1" x="1108"/>
        <item m="1" x="741"/>
        <item m="1" x="2671"/>
        <item m="1" x="2581"/>
        <item m="1" x="3499"/>
        <item m="1" x="472"/>
        <item m="1" x="1956"/>
        <item m="1" x="4018"/>
        <item m="1" x="3454"/>
        <item m="1" x="2441"/>
        <item m="1" x="969"/>
        <item m="1" x="4079"/>
        <item m="1" x="4050"/>
        <item m="1" x="289"/>
        <item m="1" x="1481"/>
        <item m="1" x="3952"/>
        <item m="1" x="1210"/>
        <item m="1" x="3777"/>
        <item m="1" x="2364"/>
        <item m="1" x="4239"/>
        <item m="1" x="2053"/>
        <item m="1" x="511"/>
        <item m="1" x="1343"/>
        <item m="1" x="3031"/>
        <item m="1" x="2789"/>
        <item m="1" x="2291"/>
        <item m="1" x="725"/>
        <item m="1" x="4418"/>
        <item m="1" x="4400"/>
        <item m="1" x="2481"/>
        <item m="1" x="598"/>
        <item m="1" x="2"/>
        <item m="1" x="3588"/>
        <item m="1" x="3810"/>
        <item m="1" x="2314"/>
        <item m="1" x="2651"/>
        <item m="1" x="2517"/>
        <item m="1" x="51"/>
        <item m="1" x="4270"/>
        <item m="1" x="2663"/>
        <item m="1" x="322"/>
        <item m="1" x="4272"/>
        <item m="1" x="2373"/>
        <item m="1" x="2949"/>
        <item m="1" x="2508"/>
        <item m="1" x="1544"/>
        <item m="1" x="218"/>
        <item m="1" x="1667"/>
        <item m="1" x="4188"/>
        <item m="1" x="4222"/>
        <item m="1" x="2934"/>
        <item m="1" x="254"/>
        <item m="1" x="1454"/>
        <item m="1" x="820"/>
        <item m="1" x="2913"/>
        <item m="1" x="3828"/>
        <item m="1" x="4468"/>
        <item m="1" x="4221"/>
        <item m="1" x="1612"/>
        <item m="1" x="3411"/>
        <item m="1" x="3599"/>
        <item m="1" x="28"/>
        <item m="1" x="3762"/>
        <item m="1" x="2941"/>
        <item m="1" x="2846"/>
        <item m="1" x="3502"/>
        <item m="1" x="1145"/>
        <item m="1" x="2374"/>
        <item m="1" x="1314"/>
        <item m="1" x="2647"/>
        <item m="1" x="2672"/>
        <item m="1" x="3024"/>
        <item m="1" x="379"/>
        <item m="1" x="1480"/>
        <item m="1" x="4384"/>
        <item m="1" x="2711"/>
        <item m="1" x="3939"/>
        <item m="1" x="998"/>
        <item m="1" x="3662"/>
        <item m="1" x="4493"/>
        <item m="1" x="861"/>
        <item m="1" x="4348"/>
        <item m="1" x="4428"/>
        <item m="1" x="1671"/>
        <item m="1" x="1920"/>
        <item m="1" x="3882"/>
        <item m="1" x="2113"/>
        <item m="1" x="580"/>
        <item m="1" x="2735"/>
        <item m="1" x="1705"/>
        <item m="1" x="2355"/>
        <item m="1" x="2146"/>
        <item m="1" x="3398"/>
        <item m="1" x="3816"/>
        <item m="1" x="709"/>
        <item m="1" x="2499"/>
        <item m="1" x="319"/>
        <item m="1" x="1533"/>
        <item m="1" x="2523"/>
        <item m="1" x="2889"/>
        <item m="1" x="888"/>
        <item m="1" x="435"/>
        <item m="1" x="126"/>
        <item m="1" x="632"/>
        <item m="1" x="2073"/>
        <item m="1" x="895"/>
        <item m="1" x="902"/>
        <item m="1" x="3979"/>
        <item m="1" x="3410"/>
        <item m="1" x="3665"/>
        <item m="1" x="3463"/>
        <item m="1" x="1271"/>
        <item m="1" x="3650"/>
        <item m="1" x="1014"/>
        <item m="1" x="3013"/>
        <item m="1" x="99"/>
        <item m="1" x="3406"/>
        <item m="1" x="2009"/>
        <item m="1" x="3594"/>
        <item m="1" x="2432"/>
        <item m="1" x="247"/>
        <item m="1" x="4376"/>
        <item m="1" x="4130"/>
        <item m="1" x="1831"/>
        <item m="1" x="4433"/>
        <item m="1" x="3287"/>
        <item m="1" x="2359"/>
        <item m="1" x="662"/>
        <item m="1" x="3940"/>
        <item m="1" x="52"/>
        <item m="1" x="3731"/>
        <item m="1" x="3052"/>
        <item m="1" x="2782"/>
        <item m="1" x="2415"/>
        <item m="1" x="3369"/>
        <item m="1" x="1203"/>
        <item m="1" x="1373"/>
        <item m="1" x="2925"/>
        <item m="1" x="1907"/>
        <item m="1" x="3914"/>
        <item m="1" x="1204"/>
        <item m="1" x="3323"/>
        <item m="1" x="731"/>
        <item m="1" x="2824"/>
        <item m="1" x="4425"/>
        <item m="1" x="2214"/>
        <item m="1" x="4084"/>
        <item m="1" x="2983"/>
        <item m="1" x="1257"/>
        <item m="1" x="2614"/>
        <item m="1" x="1613"/>
        <item m="1" x="3461"/>
        <item m="1" x="2596"/>
        <item m="1" x="958"/>
        <item m="1" x="4276"/>
        <item m="1" x="4484"/>
        <item m="1" x="316"/>
        <item m="1" x="2083"/>
        <item m="1" x="258"/>
        <item m="1" x="3920"/>
        <item m="1" x="1492"/>
        <item m="1" x="1879"/>
        <item m="1" x="664"/>
        <item m="1" x="1528"/>
        <item m="1" x="3905"/>
        <item m="1" x="4511"/>
        <item m="1" x="3226"/>
        <item m="1" x="2755"/>
        <item m="1" x="3583"/>
        <item m="1" x="2500"/>
        <item m="1" x="2177"/>
        <item m="1" x="380"/>
        <item m="1" x="3549"/>
        <item m="1" x="1126"/>
        <item m="1" x="1894"/>
        <item m="1" x="2966"/>
        <item m="1" x="2224"/>
        <item m="1" x="798"/>
        <item m="1" x="734"/>
        <item m="1" x="278"/>
        <item m="1" x="3299"/>
        <item m="1" x="224"/>
        <item m="1" x="1520"/>
        <item m="1" x="3522"/>
        <item m="1" x="103"/>
        <item m="1" x="593"/>
        <item m="1" x="2162"/>
        <item m="1" x="973"/>
        <item m="1" x="4367"/>
        <item m="1" x="303"/>
        <item m="1" x="4029"/>
        <item m="1" x="3661"/>
        <item m="1" x="763"/>
        <item m="1" x="314"/>
        <item m="1" x="381"/>
        <item m="1" x="614"/>
        <item m="1" x="3669"/>
        <item m="1" x="2976"/>
        <item m="1" x="1795"/>
        <item m="1" x="4361"/>
        <item m="1" x="4086"/>
        <item m="1" x="1679"/>
        <item m="1" x="4035"/>
        <item m="1" x="488"/>
        <item m="1" x="767"/>
        <item m="1" x="3361"/>
        <item m="1" x="409"/>
        <item m="1" x="1051"/>
        <item m="1" x="1082"/>
        <item m="1" x="2701"/>
        <item m="1" x="1606"/>
        <item m="1" x="1122"/>
        <item m="1" x="386"/>
        <item m="1" x="344"/>
        <item m="1" x="1752"/>
        <item m="1" x="3019"/>
        <item m="1" x="3336"/>
        <item m="1" x="4321"/>
        <item m="1" x="3574"/>
        <item m="1" x="749"/>
        <item m="1" x="4508"/>
        <item m="1" x="2988"/>
        <item m="1" x="2404"/>
        <item m="1" x="2315"/>
        <item m="1" x="1849"/>
        <item m="1" x="1240"/>
        <item m="1" x="1877"/>
        <item m="1" x="4310"/>
        <item m="1" x="1595"/>
        <item m="1" x="739"/>
        <item m="1" x="1284"/>
        <item m="1" x="2830"/>
        <item m="1" x="368"/>
        <item m="1" x="3075"/>
        <item m="1" x="1003"/>
        <item m="1" x="1350"/>
        <item m="1" x="175"/>
        <item m="1" x="1770"/>
        <item m="1" x="1416"/>
        <item m="1" x="3517"/>
        <item m="1" x="4090"/>
        <item m="1" x="2347"/>
        <item m="1" x="2340"/>
        <item m="1" x="3130"/>
        <item m="1" x="3242"/>
        <item m="1" x="936"/>
        <item m="1" x="293"/>
        <item m="1" x="3485"/>
        <item m="1" x="4362"/>
        <item m="1" x="2330"/>
        <item m="1" x="4282"/>
        <item m="1" x="1994"/>
        <item m="1" x="849"/>
        <item m="1" x="3086"/>
        <item m="1" x="4413"/>
        <item m="1" x="2853"/>
        <item m="1" x="1455"/>
        <item m="1" x="3416"/>
        <item m="1" x="4297"/>
        <item m="1" x="1594"/>
        <item m="1" x="667"/>
        <item m="1" x="1137"/>
        <item m="1" x="431"/>
        <item m="1" x="1979"/>
        <item m="1" x="473"/>
        <item m="1" x="2322"/>
        <item m="1" x="1807"/>
        <item m="1" x="3769"/>
        <item m="1" x="4388"/>
        <item m="1" x="810"/>
        <item m="1" x="3255"/>
        <item m="1" x="2804"/>
        <item m="1" x="1755"/>
        <item m="1" x="2683"/>
        <item m="1" x="4503"/>
        <item m="1" x="1824"/>
        <item m="1" x="3254"/>
        <item m="1" x="1918"/>
        <item m="1" x="111"/>
        <item m="1" x="1389"/>
        <item m="1" x="2633"/>
        <item m="1" x="821"/>
        <item m="1" x="2025"/>
        <item m="1" x="33"/>
        <item m="1" x="2216"/>
        <item m="1" x="3143"/>
        <item m="1" x="2051"/>
        <item m="1" x="1910"/>
        <item m="1" x="2535"/>
        <item m="1" x="2100"/>
        <item m="1" x="1797"/>
        <item m="1" x="4089"/>
        <item m="1" x="1946"/>
        <item m="1" x="1506"/>
        <item m="1" x="3670"/>
        <item m="1" x="1959"/>
        <item m="1" x="270"/>
        <item m="1" x="3937"/>
        <item m="1" x="801"/>
        <item m="1" x="4176"/>
        <item m="1" x="3808"/>
        <item m="1" x="4300"/>
        <item m="1" x="3800"/>
        <item m="1" x="1340"/>
        <item m="1" x="3927"/>
        <item m="1" x="3560"/>
        <item m="1" x="3429"/>
        <item m="1" x="133"/>
        <item m="1" x="463"/>
        <item m="1" x="3890"/>
        <item m="1" x="2916"/>
        <item m="1" x="1443"/>
        <item m="1" x="2964"/>
        <item m="1" x="2333"/>
        <item m="1" x="647"/>
        <item m="1" x="1280"/>
        <item m="1" x="3166"/>
        <item m="1" x="93"/>
        <item m="1" x="1211"/>
        <item m="1" x="2230"/>
        <item m="1" x="1830"/>
        <item m="1" x="2226"/>
        <item m="1" x="119"/>
        <item m="1" x="3196"/>
        <item m="1" x="836"/>
        <item m="1" x="910"/>
        <item m="1" x="1793"/>
        <item m="1" x="3292"/>
        <item m="1" x="2298"/>
        <item m="1" x="1556"/>
        <item m="1" x="963"/>
        <item m="1" x="7"/>
        <item m="1" x="3709"/>
        <item m="1" x="717"/>
        <item m="1" x="2080"/>
        <item m="1" x="2690"/>
        <item m="1" x="3856"/>
        <item m="1" x="1586"/>
        <item m="1" x="1064"/>
        <item m="1" x="2103"/>
        <item m="1" x="1558"/>
        <item m="1" x="1379"/>
        <item m="1" x="2847"/>
        <item m="1" x="2227"/>
        <item m="1" x="1386"/>
        <item m="1" x="11"/>
        <item m="1" x="1485"/>
        <item m="1" x="951"/>
        <item m="1" x="1735"/>
        <item m="1" x="1501"/>
        <item m="1" x="855"/>
        <item m="1" x="3630"/>
        <item m="1" x="2299"/>
        <item m="1" x="764"/>
        <item m="1" x="2067"/>
        <item m="1" x="2269"/>
        <item m="1" x="3248"/>
        <item m="1" x="366"/>
        <item m="1" x="2994"/>
        <item m="1" x="2030"/>
        <item m="1" x="2975"/>
        <item m="1" x="1708"/>
        <item m="1" x="2250"/>
        <item m="1" x="1028"/>
        <item m="1" x="1774"/>
        <item m="1" x="2605"/>
        <item m="1" x="1264"/>
        <item m="1" x="2401"/>
        <item m="1" x="4526"/>
        <item m="1" x="1672"/>
        <item m="1" x="2765"/>
        <item m="1" x="2907"/>
        <item m="1" x="1282"/>
        <item m="1" x="3754"/>
        <item m="1" x="624"/>
        <item m="1" x="1782"/>
        <item m="1" x="988"/>
        <item m="1" x="3096"/>
        <item m="1" x="2837"/>
        <item m="1" x="4186"/>
        <item m="1" x="4537"/>
        <item m="1" x="3761"/>
        <item m="1" x="1117"/>
        <item m="1" x="499"/>
        <item m="1" x="1268"/>
        <item m="1" x="2543"/>
        <item m="1" x="2926"/>
        <item m="1" x="21"/>
        <item m="1" x="3268"/>
        <item m="1" x="3310"/>
        <item m="1" x="1832"/>
        <item m="1" x="2766"/>
        <item m="1" x="2918"/>
        <item m="1" x="2108"/>
        <item m="1" x="2173"/>
        <item m="1" x="2979"/>
        <item m="1" x="3084"/>
        <item m="1" x="1019"/>
        <item m="1" x="4184"/>
        <item m="1" x="1570"/>
        <item m="1" x="115"/>
        <item m="1" x="1058"/>
        <item m="1" x="1497"/>
        <item m="1" x="916"/>
        <item m="1" x="489"/>
        <item m="1" x="1616"/>
        <item m="1" x="4315"/>
        <item m="1" x="3163"/>
        <item m="1" x="195"/>
        <item m="1" x="22"/>
        <item m="1" x="4334"/>
        <item m="1" x="3442"/>
        <item m="1" x="4330"/>
        <item m="1" x="1495"/>
        <item m="1" x="2107"/>
        <item m="1" x="2043"/>
        <item m="1" x="2196"/>
        <item m="1" x="3658"/>
        <item m="1" x="4502"/>
        <item m="1" x="2959"/>
        <item m="1" x="1500"/>
        <item m="1" x="3616"/>
        <item m="1" x="230"/>
        <item m="1" x="3973"/>
        <item m="1" x="2816"/>
        <item m="1" x="3312"/>
        <item m="1" x="1864"/>
        <item m="1" x="294"/>
        <item m="1" x="611"/>
        <item m="1" x="3358"/>
        <item m="1" x="144"/>
        <item m="1" x="753"/>
        <item m="1" x="4193"/>
        <item m="1" x="722"/>
        <item m="1" x="2495"/>
        <item m="1" x="307"/>
        <item m="1" x="3194"/>
        <item m="1" x="2410"/>
        <item m="1" x="1349"/>
        <item m="1" x="3647"/>
        <item m="1" x="3495"/>
        <item m="1" x="4152"/>
        <item m="1" x="149"/>
        <item m="1" x="3803"/>
        <item m="1" x="3267"/>
        <item m="1" x="4474"/>
        <item m="1" x="4381"/>
        <item m="1" x="4113"/>
        <item m="1" x="819"/>
        <item m="1" x="1717"/>
        <item m="1" x="1239"/>
        <item m="1" x="3656"/>
        <item m="1" x="2002"/>
        <item m="1" x="1489"/>
        <item m="1" x="1007"/>
        <item m="1" x="2870"/>
        <item m="1" x="2431"/>
        <item m="1" x="3100"/>
        <item m="1" x="666"/>
        <item m="1" x="1392"/>
        <item m="1" x="351"/>
        <item m="1" x="3717"/>
        <item m="1" x="2190"/>
        <item m="1" x="3757"/>
        <item m="1" x="3755"/>
        <item m="1" x="1711"/>
        <item m="1" x="1588"/>
        <item m="1" x="3140"/>
        <item m="1" x="1291"/>
        <item m="1" x="2935"/>
        <item m="1" x="1762"/>
        <item m="1" x="205"/>
        <item m="1" x="3228"/>
        <item m="1" x="1931"/>
        <item m="1" x="1083"/>
        <item m="1" x="2204"/>
        <item m="1" x="2589"/>
        <item m="1" x="2379"/>
        <item m="1" x="2707"/>
        <item m="1" x="4351"/>
        <item m="1" x="3963"/>
        <item m="1" x="634"/>
        <item m="1" x="1936"/>
        <item m="1" x="1611"/>
        <item m="1" x="2304"/>
        <item m="1" x="2915"/>
        <item m="1" x="1182"/>
        <item m="1" x="2183"/>
        <item m="1" x="2608"/>
        <item m="1" x="3222"/>
        <item m="1" x="4077"/>
        <item m="1" x="3750"/>
        <item m="1" x="1702"/>
        <item m="1" x="4004"/>
        <item m="1" x="2447"/>
        <item m="1" x="4116"/>
        <item m="1" x="3188"/>
        <item m="1" x="3953"/>
        <item m="1" x="2319"/>
        <item m="1" x="2770"/>
        <item m="1" x="4293"/>
        <item m="1" x="2793"/>
        <item m="1" x="1712"/>
        <item m="1" x="627"/>
        <item m="1" x="4523"/>
        <item m="1" x="1142"/>
        <item m="1" x="246"/>
        <item m="1" x="128"/>
        <item m="1" x="941"/>
        <item m="1" x="1763"/>
        <item m="1" x="4010"/>
        <item m="1" x="756"/>
        <item m="1" x="2511"/>
        <item m="1" x="661"/>
        <item m="1" x="3214"/>
        <item m="1" x="3137"/>
        <item m="1" x="2483"/>
        <item m="1" x="2473"/>
        <item m="1" x="654"/>
        <item m="1" x="2736"/>
        <item m="1" x="3302"/>
        <item m="1" x="4106"/>
        <item m="1" x="2952"/>
        <item m="1" x="2603"/>
        <item m="1" x="422"/>
        <item m="1" x="1995"/>
        <item m="1" x="4011"/>
        <item m="1" x="1787"/>
        <item m="1" x="915"/>
        <item m="1" x="1376"/>
        <item m="1" x="4201"/>
        <item m="1" x="588"/>
        <item m="1" x="1390"/>
        <item m="1" x="468"/>
        <item m="1" x="332"/>
        <item m="1" x="1307"/>
        <item m="1" x="1187"/>
        <item m="1" x="2667"/>
        <item m="1" x="1776"/>
        <item m="1" x="2801"/>
        <item m="1" x="3519"/>
        <item m="1" x="3402"/>
        <item m="1" x="4368"/>
        <item m="1" x="3867"/>
        <item m="1" x="3835"/>
        <item m="1" x="3632"/>
        <item m="1" x="2882"/>
        <item m="1" x="97"/>
        <item m="1" x="3437"/>
        <item m="1" x="2546"/>
        <item m="1" x="2521"/>
        <item m="1" x="754"/>
        <item m="1" x="4546"/>
        <item m="1" x="1780"/>
        <item m="1" x="3147"/>
        <item m="1" x="1911"/>
        <item m="1" x="2704"/>
        <item m="1" x="800"/>
        <item m="1" x="1998"/>
        <item m="1" x="1162"/>
        <item m="1" x="994"/>
        <item m="1" x="2306"/>
        <item m="1" x="2622"/>
        <item m="1" x="506"/>
        <item m="1" x="3858"/>
        <item m="1" x="2728"/>
        <item m="1" x="3129"/>
        <item m="1" x="1523"/>
        <item m="1" x="2117"/>
        <item m="1" x="4414"/>
        <item m="1" x="3950"/>
        <item m="1" x="1043"/>
        <item m="1" x="903"/>
        <item m="1" x="4357"/>
        <item m="1" x="1663"/>
        <item m="1" x="4436"/>
        <item m="1" x="718"/>
        <item m="1" x="1248"/>
        <item m="1" x="2660"/>
        <item m="1" x="3501"/>
        <item m="1" x="1940"/>
        <item m="1" x="978"/>
        <item m="1" x="2013"/>
        <item m="1" x="2065"/>
        <item m="1" x="445"/>
        <item m="1" x="1127"/>
        <item m="1" x="1439"/>
        <item m="1" x="3854"/>
        <item m="1" x="2425"/>
        <item m="1" x="1277"/>
        <item m="1" x="2575"/>
        <item m="1" x="3046"/>
        <item m="1" x="715"/>
        <item m="1" x="266"/>
        <item m="1" x="1181"/>
        <item m="1" x="275"/>
        <item m="1" x="1292"/>
        <item m="1" x="4219"/>
        <item m="1" x="462"/>
        <item m="1" x="1427"/>
        <item m="1" x="1914"/>
        <item m="1" x="562"/>
        <item m="1" x="1273"/>
        <item m="1" x="842"/>
        <item m="1" x="433"/>
        <item m="1" x="2634"/>
        <item m="1" x="2272"/>
        <item m="1" x="1624"/>
        <item m="1" x="369"/>
        <item m="1" x="2151"/>
        <item m="1" x="1988"/>
        <item m="1" x="1857"/>
        <item m="1" x="42"/>
        <item m="1" x="3528"/>
        <item m="1" x="2301"/>
        <item m="1" x="2881"/>
        <item m="1" x="1246"/>
        <item m="1" x="1407"/>
        <item m="1" x="3595"/>
        <item m="1" x="583"/>
        <item m="1" x="1049"/>
        <item m="1" x="4103"/>
        <item m="1" x="4162"/>
        <item m="1" x="174"/>
        <item m="1" x="2480"/>
        <item m="1" x="2616"/>
        <item m="1" x="4432"/>
        <item m="1" x="4488"/>
        <item m="1" x="55"/>
        <item m="1" x="1548"/>
        <item m="1" x="3944"/>
        <item m="1" x="3351"/>
        <item m="1" x="4041"/>
        <item m="1" x="1317"/>
        <item m="1" x="3397"/>
        <item m="1" x="3968"/>
        <item m="1" x="3456"/>
        <item m="1" x="2143"/>
        <item m="1" x="2806"/>
        <item m="1" x="612"/>
        <item m="1" x="1744"/>
        <item m="1" x="3415"/>
        <item m="1" x="1444"/>
        <item m="1" x="807"/>
        <item m="1" x="3386"/>
        <item m="1" x="3913"/>
        <item m="1" x="797"/>
        <item m="1" x="1746"/>
        <item m="1" x="883"/>
        <item m="1" x="2968"/>
        <item m="1" x="2635"/>
        <item m="1" x="2418"/>
        <item m="1" x="3572"/>
        <item m="1" x="1305"/>
        <item m="1" x="4281"/>
        <item m="1" x="839"/>
        <item m="1" x="459"/>
        <item m="1" x="3580"/>
        <item m="1" x="1630"/>
        <item m="1" x="3693"/>
        <item m="1" x="1496"/>
        <item m="1" x="3663"/>
        <item m="1" x="2012"/>
        <item m="1" x="2161"/>
        <item m="1" x="1436"/>
        <item m="1" x="3394"/>
        <item m="1" x="3011"/>
        <item m="1" x="1896"/>
        <item m="1" x="831"/>
        <item m="1" x="3865"/>
        <item m="1" x="3673"/>
        <item m="1" x="4019"/>
        <item m="1" x="1989"/>
        <item m="1" x="4043"/>
        <item m="1" x="660"/>
        <item m="1" x="2152"/>
        <item m="1" x="3237"/>
        <item m="1" x="1146"/>
        <item m="1" x="3043"/>
        <item m="1" x="3766"/>
        <item m="1" x="32"/>
        <item m="1" x="2335"/>
        <item m="1" x="665"/>
        <item m="1" x="3244"/>
        <item m="1" x="2041"/>
        <item m="1" x="525"/>
        <item m="1" x="3842"/>
        <item m="1" x="2991"/>
        <item m="1" x="3951"/>
        <item m="1" x="2819"/>
        <item m="1" x="2510"/>
        <item m="1" x="3374"/>
        <item m="1" x="2800"/>
        <item m="1" x="621"/>
        <item m="1" x="3494"/>
        <item m="1" x="2341"/>
        <item m="1" x="2211"/>
        <item m="1" x="3785"/>
        <item m="1" x="2253"/>
        <item m="1" x="561"/>
        <item m="1" x="811"/>
        <item m="1" x="4472"/>
        <item m="1" x="3558"/>
        <item m="1" x="3780"/>
        <item m="1" x="743"/>
        <item m="1" x="1178"/>
        <item m="1" x="4350"/>
        <item m="1" x="458"/>
        <item m="1" x="2380"/>
        <item m="1" x="1025"/>
        <item m="1" x="2842"/>
        <item m="1" x="3720"/>
        <item m="1" x="3134"/>
        <item m="1" x="1900"/>
        <item m="1" x="917"/>
        <item m="1" x="1541"/>
        <item m="1" x="1306"/>
        <item m="1" x="3103"/>
        <item m="1" x="3346"/>
        <item m="1" x="721"/>
        <item m="1" x="2497"/>
        <item m="1" x="1767"/>
        <item m="1" x="3576"/>
        <item m="1" x="1133"/>
        <item m="1" x="2526"/>
        <item m="1" x="1721"/>
        <item m="1" x="1372"/>
        <item m="1" x="1986"/>
        <item m="1" x="673"/>
        <item m="1" x="2265"/>
        <item m="1" x="4243"/>
        <item m="1" x="2828"/>
        <item m="1" x="1825"/>
        <item m="1" x="2601"/>
        <item m="1" x="4516"/>
        <item m="1" x="4101"/>
        <item m="1" x="3907"/>
        <item m="1" x="2664"/>
        <item m="1" x="3608"/>
        <item m="1" x="2609"/>
        <item m="1" x="3258"/>
        <item m="1" x="1657"/>
        <item m="1" x="3399"/>
        <item m="1" x="3191"/>
        <item m="1" x="4355"/>
        <item m="1" x="1861"/>
        <item m="1" x="1031"/>
        <item m="1" x="2981"/>
        <item m="1" x="2283"/>
        <item m="1" x="3006"/>
        <item m="1" x="1939"/>
        <item m="1" x="403"/>
        <item m="1" x="922"/>
        <item m="1" x="4181"/>
        <item m="1" x="2326"/>
        <item m="1" x="1678"/>
        <item m="1" x="924"/>
        <item m="1" x="1048"/>
        <item m="1" x="1087"/>
        <item m="1" x="1101"/>
        <item m="1" x="907"/>
        <item m="1" x="2308"/>
        <item m="1" x="4137"/>
        <item m="1" x="2512"/>
        <item m="1" x="1977"/>
        <item m="1" x="2929"/>
        <item m="1" x="3877"/>
        <item m="1" x="4146"/>
        <item m="1" x="2026"/>
        <item m="1" x="1206"/>
        <item m="1" x="3542"/>
        <item m="1" x="3555"/>
        <item m="1" x="264"/>
        <item m="1" x="2631"/>
        <item m="1" x="290"/>
        <item m="1" x="3198"/>
        <item m="1" x="569"/>
        <item m="1" x="1805"/>
        <item m="1" x="4102"/>
        <item m="1" x="3465"/>
        <item m="1" x="3989"/>
        <item m="1" x="2317"/>
        <item m="1" x="1983"/>
        <item m="1" x="3372"/>
        <item m="1" x="3395"/>
        <item m="1" x="465"/>
        <item m="1" x="4069"/>
        <item m="1" x="1846"/>
        <item m="1" x="2488"/>
        <item m="1" x="3384"/>
        <item m="1" x="3678"/>
        <item m="1" x="585"/>
        <item m="1" x="1707"/>
        <item m="1" x="3870"/>
        <item m="1" x="4091"/>
        <item m="1" x="1855"/>
        <item m="1" x="674"/>
        <item m="1" x="401"/>
        <item m="1" x="19"/>
        <item m="1" x="411"/>
        <item m="1" x="1362"/>
        <item m="1" x="4443"/>
        <item m="1" x="3300"/>
        <item m="1" x="1069"/>
        <item m="1" x="1158"/>
        <item m="1" x="3027"/>
        <item m="1" x="2228"/>
        <item m="1" x="1751"/>
        <item m="1" x="3700"/>
        <item m="1" x="3675"/>
        <item m="1" x="1134"/>
        <item m="1" x="952"/>
        <item m="1" x="3942"/>
        <item m="1" x="3050"/>
        <item m="1" x="3997"/>
        <item m="1" x="470"/>
        <item m="1" x="3747"/>
        <item m="1" x="447"/>
        <item m="1" x="3634"/>
        <item m="1" x="59"/>
        <item m="1" x="3230"/>
        <item m="1" x="1684"/>
        <item m="1" x="927"/>
        <item m="1" x="4487"/>
        <item m="1" x="3373"/>
        <item m="1" x="3730"/>
        <item m="1" x="4298"/>
        <item m="1" x="2109"/>
        <item m="1" x="2361"/>
        <item m="1" x="1357"/>
        <item m="1" x="2327"/>
        <item m="1" x="4329"/>
        <item m="1" x="1074"/>
        <item m="1" x="2388"/>
        <item m="1" x="1991"/>
        <item m="1" x="1901"/>
        <item m="1" x="2892"/>
        <item m="1" x="410"/>
        <item m="1" x="228"/>
        <item m="1" x="4205"/>
        <item m="1" x="4463"/>
        <item m="1" x="1978"/>
        <item m="1" x="714"/>
        <item m="1" x="1396"/>
        <item m="1" x="877"/>
        <item m="1" x="3646"/>
        <item m="1" x="596"/>
        <item m="1" x="1575"/>
        <item m="1" x="1330"/>
        <item m="1" x="4420"/>
        <item m="1" x="137"/>
        <item m="1" x="1346"/>
        <item m="1" x="1953"/>
        <item m="1" x="4316"/>
        <item m="1" x="782"/>
        <item m="1" x="4172"/>
        <item m="1" x="750"/>
        <item m="1" x="503"/>
        <item m="1" x="971"/>
        <item m="1" x="1219"/>
        <item m="1" x="3734"/>
        <item m="1" x="3557"/>
        <item m="1" x="3470"/>
        <item m="1" x="3304"/>
        <item m="1" x="3474"/>
        <item m="1" x="788"/>
        <item m="1" x="2743"/>
        <item m="1" x="1838"/>
        <item m="1" x="3676"/>
        <item m="1" x="2912"/>
        <item m="1" x="172"/>
        <item m="1" x="248"/>
        <item m="1" x="3805"/>
        <item m="1" x="3699"/>
        <item m="1" x="853"/>
        <item m="1" x="2545"/>
        <item m="1" x="1948"/>
        <item m="1" x="1207"/>
        <item m="1" x="335"/>
        <item m="1" x="1916"/>
        <item m="1" x="10"/>
        <item m="1" x="2644"/>
        <item m="1" x="1159"/>
        <item m="1" x="543"/>
        <item m="1" x="1860"/>
        <item m="1" x="495"/>
        <item m="1" x="3751"/>
        <item m="1" x="3418"/>
        <item m="1" x="4449"/>
        <item m="1" x="1445"/>
        <item m="1" x="3269"/>
        <item m="1" x="4135"/>
        <item m="1" x="2795"/>
        <item m="1" x="301"/>
        <item m="1" x="4195"/>
        <item m="1" x="607"/>
        <item m="1" x="3308"/>
        <item m="1" x="838"/>
        <item m="1" x="1951"/>
        <item m="1" x="2687"/>
        <item m="1" x="4462"/>
        <item m="1" x="3257"/>
        <item m="1" x="92"/>
        <item m="1" x="1944"/>
        <item m="1" x="267"/>
        <item m="1" x="2200"/>
        <item m="1" x="2702"/>
        <item m="1" x="4000"/>
        <item m="1" x="2871"/>
        <item m="1" x="304"/>
        <item m="1" x="1993"/>
        <item m="1" x="419"/>
        <item m="1" x="4182"/>
        <item m="1" x="2420"/>
        <item m="1" x="4326"/>
        <item m="1" x="363"/>
        <item m="1" x="4246"/>
        <item m="1" x="3034"/>
        <item m="1" x="2538"/>
        <item m="1" x="3627"/>
        <item m="1" x="3468"/>
        <item m="1" x="2284"/>
        <item m="1" x="3512"/>
        <item m="1" x="4489"/>
        <item m="1" x="2971"/>
        <item m="1" x="747"/>
        <item m="1" x="757"/>
        <item m="1" x="18"/>
        <item m="1" x="1503"/>
        <item m="1" x="1888"/>
        <item m="1" x="1634"/>
        <item m="1" x="3131"/>
        <item m="1" x="279"/>
        <item m="1" x="1172"/>
        <item m="1" x="4112"/>
        <item m="1" x="474"/>
        <item m="1" x="577"/>
        <item m="1" x="3657"/>
        <item m="1" x="3169"/>
        <item m="1" x="572"/>
        <item m="1" x="622"/>
        <item m="1" x="966"/>
        <item m="1" x="1473"/>
        <item m="1" x="4531"/>
        <item m="1" x="1393"/>
        <item m="1" x="2932"/>
        <item m="1" x="687"/>
        <item m="1" x="1539"/>
        <item m="1" x="2188"/>
        <item m="1" x="2833"/>
        <item m="1" x="3396"/>
        <item m="1" x="3938"/>
        <item m="1" x="679"/>
        <item m="1" x="3767"/>
        <item m="1" x="742"/>
        <item m="1" x="4127"/>
        <item m="1" x="4402"/>
        <item m="1" x="2763"/>
        <item m="1" x="4294"/>
        <item m="1" x="3584"/>
        <item m="1" x="3466"/>
        <item m="1" x="2888"/>
        <item m="1" x="1383"/>
        <item m="1" x="3324"/>
        <item m="1" x="1465"/>
        <item m="1" x="2169"/>
        <item m="1" x="1661"/>
        <item m="1" x="2487"/>
        <item m="1" x="251"/>
        <item m="1" x="648"/>
        <item m="1" x="2997"/>
        <item m="1" x="1568"/>
        <item m="1" x="4507"/>
        <item m="1" x="3596"/>
        <item m="1" x="4071"/>
        <item m="1" x="3240"/>
        <item m="1" x="900"/>
        <item m="1" x="2004"/>
        <item m="1" x="2066"/>
        <item m="1" x="94"/>
        <item m="1" x="1952"/>
        <item m="1" x="192"/>
        <item m="1" x="4372"/>
        <item m="1" x="610"/>
        <item m="1" x="3941"/>
        <item m="1" x="2184"/>
        <item m="1" x="1354"/>
        <item m="1" x="4268"/>
        <item m="1" x="3983"/>
        <item m="1" x="3743"/>
        <item m="1" x="4066"/>
        <item m="1" x="2345"/>
        <item m="1" x="3053"/>
        <item m="1" x="1091"/>
        <item m="1" x="792"/>
        <item m="1" x="1589"/>
        <item m="1" x="397"/>
        <item m="1" x="578"/>
        <item m="1" x="4129"/>
        <item m="1" x="3412"/>
        <item m="1" x="2463"/>
        <item m="1" x="1138"/>
        <item m="1" x="4078"/>
        <item m="1" x="2381"/>
        <item m="1" x="2375"/>
        <item m="1" x="1008"/>
        <item m="1" x="1339"/>
        <item m="1" x="3930"/>
        <item m="1" x="2555"/>
        <item m="1" x="3165"/>
        <item m="1" x="979"/>
        <item m="1" x="694"/>
        <item m="1" x="1103"/>
        <item m="1" x="1519"/>
        <item m="1" x="3451"/>
        <item m="1" x="1260"/>
        <item m="1" x="3363"/>
        <item m="1" x="3343"/>
        <item m="1" x="2430"/>
        <item m="1" x="1488"/>
        <item m="1" x="1573"/>
        <item m="1" x="1361"/>
        <item m="1" x="2722"/>
        <item m="1" x="2894"/>
        <item m="1" x="2243"/>
        <item m="1" x="1066"/>
        <item m="1" x="635"/>
        <item m="1" x="212"/>
        <item m="1" x="2845"/>
        <item m="1" x="2116"/>
        <item m="1" x="2131"/>
        <item m="1" x="3356"/>
        <item m="1" x="2231"/>
        <item m="1" x="439"/>
        <item m="1" x="1545"/>
        <item m="1" x="1817"/>
        <item m="1" x="2249"/>
        <item m="1" x="3229"/>
        <item m="1" x="1723"/>
        <item m="1" x="3774"/>
        <item m="1" x="3887"/>
        <item m="1" x="1643"/>
        <item m="1" x="1024"/>
        <item m="1" x="280"/>
        <item m="1" x="1482"/>
        <item m="1" x="1718"/>
        <item m="1" x="3840"/>
        <item m="1" x="2061"/>
        <item m="1" x="1004"/>
        <item m="1" x="2909"/>
        <item m="1" x="1898"/>
        <item m="1" x="1666"/>
        <item m="1" x="3934"/>
        <item m="1" x="4382"/>
        <item m="1" x="2544"/>
        <item m="1" x="732"/>
        <item m="1" x="2348"/>
        <item m="1" x="1891"/>
        <item m="1" x="3537"/>
        <item m="1" x="1076"/>
        <item m="1" x="116"/>
        <item m="1" x="3831"/>
        <item m="1" x="701"/>
        <item m="1" x="2112"/>
        <item m="1" x="75"/>
        <item m="1" x="2638"/>
        <item m="1" x="2074"/>
        <item m="1" x="4542"/>
        <item m="1" x="1928"/>
        <item m="1" x="2574"/>
        <item m="1" x="589"/>
        <item m="1" x="3109"/>
        <item m="1" x="937"/>
        <item m="1" x="3685"/>
        <item m="1" x="1552"/>
        <item m="1" x="1733"/>
        <item m="1" x="146"/>
        <item m="1" x="1397"/>
        <item m="1" x="2578"/>
        <item m="1" x="4457"/>
        <item m="1" x="2166"/>
        <item m="1" x="769"/>
        <item m="1" x="1691"/>
        <item m="1" x="3436"/>
        <item m="1" x="268"/>
        <item m="1" x="138"/>
        <item m="1" x="1852"/>
        <item m="1" x="1895"/>
        <item m="1" x="1333"/>
        <item m="1" x="2118"/>
        <item m="1" x="1873"/>
        <item m="1" x="538"/>
        <item m="1" x="1889"/>
        <item m="1" x="4051"/>
        <item m="1" x="1561"/>
        <item m="1" x="3106"/>
        <item m="1" x="4331"/>
        <item m="1" x="3704"/>
        <item m="1" x="3080"/>
        <item m="1" x="1342"/>
        <item m="1" x="1540"/>
        <item m="1" x="1410"/>
        <item m="1" x="2937"/>
        <item m="1" x="4536"/>
        <item m="1" x="2477"/>
        <item m="1" x="3263"/>
        <item m="1" x="515"/>
        <item m="1" x="2280"/>
        <item m="1" x="2020"/>
        <item m="1" x="1710"/>
        <item m="1" x="2034"/>
        <item m="1" x="1615"/>
        <item m="1" x="4369"/>
        <item m="1" x="2923"/>
        <item m="1" x="1090"/>
        <item m="1" x="2630"/>
        <item m="1" x="3211"/>
        <item m="1" x="2771"/>
        <item m="1" x="3966"/>
        <item m="1" x="4439"/>
        <item m="1" x="4218"/>
        <item m="1" x="4068"/>
        <item m="1" x="4305"/>
        <item m="1" x="1903"/>
        <item m="1" x="1736"/>
        <item m="1" x="2604"/>
        <item m="1" x="3478"/>
        <item m="1" x="2611"/>
        <item m="1" x="2564"/>
        <item m="1" x="3832"/>
        <item m="1" x="1235"/>
        <item m="1" x="1229"/>
        <item m="1" x="2559"/>
        <item m="1" x="3443"/>
        <item m="1" x="1360"/>
        <item m="1" x="4139"/>
        <item m="1" x="2223"/>
        <item m="1" x="3974"/>
        <item m="1" x="2198"/>
        <item m="1" x="3212"/>
        <item m="1" x="847"/>
        <item m="1" x="3860"/>
        <item m="1" x="4319"/>
        <item m="1" x="908"/>
        <item m="1" x="1329"/>
        <item m="1" x="1924"/>
        <item m="1" x="4039"/>
        <item m="1" x="1431"/>
        <item m="1" x="2494"/>
        <item m="1" x="3231"/>
        <item m="1" x="2365"/>
        <item m="1" x="843"/>
        <item m="1" x="953"/>
        <item m="1" x="4045"/>
        <item m="1" x="4476"/>
        <item m="1" x="2015"/>
        <item m="1" x="3789"/>
        <item m="1" x="201"/>
        <item m="1" x="1813"/>
        <item m="1" x="1130"/>
        <item m="1" x="3265"/>
        <item m="1" x="466"/>
        <item m="1" x="779"/>
        <item m="1" x="4120"/>
        <item m="1" x="296"/>
        <item m="1" x="1215"/>
        <item m="1" x="965"/>
        <item m="1" x="2694"/>
        <item m="1" x="4336"/>
        <item m="1" x="2390"/>
        <item m="1" x="3038"/>
        <item m="1" x="765"/>
        <item m="1" x="2474"/>
        <item m="1" x="2271"/>
        <item m="1" x="2351"/>
        <item m="1" x="3262"/>
        <item m="1" x="1033"/>
        <item m="1" x="1949"/>
        <item m="1" x="3475"/>
        <item m="1" x="3385"/>
        <item m="1" x="4510"/>
        <item m="1" x="1754"/>
        <item m="1" x="357"/>
        <item m="1" x="1696"/>
        <item m="1" x="1599"/>
        <item m="1" x="412"/>
        <item m="1" x="504"/>
        <item m="1" x="4288"/>
        <item m="1" x="4322"/>
        <item m="1" x="1232"/>
        <item m="1" x="2275"/>
        <item m="1" x="3534"/>
        <item m="1" x="2006"/>
        <item m="1" x="2955"/>
        <item m="1" x="2209"/>
        <item m="1" x="3902"/>
        <item m="1" x="2258"/>
        <item m="1" x="1719"/>
        <item m="1" x="4196"/>
        <item m="1" x="1124"/>
        <item m="1" x="3276"/>
        <item m="1" x="1382"/>
        <item m="1" x="523"/>
        <item m="1" x="1700"/>
        <item m="1" x="615"/>
        <item m="1" x="3334"/>
        <item m="1" x="2657"/>
        <item m="1" x="3783"/>
        <item m="1" x="4271"/>
        <item m="1" x="1874"/>
        <item m="1" x="1695"/>
        <item m="1" x="3701"/>
        <item m="1" x="1576"/>
        <item m="1" x="2062"/>
        <item m="1" x="1262"/>
        <item m="1" x="1322"/>
        <item m="1" x="1687"/>
        <item m="1" x="3233"/>
        <item m="1" x="3417"/>
        <item m="1" x="630"/>
        <item m="1" x="61"/>
        <item m="1" x="3565"/>
        <item m="1" x="1044"/>
        <item m="1" x="4100"/>
        <item m="1" x="1880"/>
        <item m="1" x="3505"/>
        <item m="1" x="2803"/>
        <item m="1" x="1274"/>
        <item m="1" x="347"/>
        <item m="1" x="1654"/>
        <item m="1" x="3727"/>
        <item m="1" x="4215"/>
        <item m="1" x="2893"/>
        <item m="1" x="3652"/>
        <item m="1" x="1250"/>
        <item m="1" x="2653"/>
        <item m="1" x="2502"/>
        <item m="1" x="1016"/>
        <item m="1" x="3592"/>
        <item m="1" x="1287"/>
        <item m="1" x="3335"/>
        <item m="1" x="2513"/>
        <item m="1" x="2458"/>
        <item m="1" x="1962"/>
        <item m="1" x="2132"/>
        <item m="1" x="2602"/>
        <item m="1" x="3036"/>
        <item m="1" x="2467"/>
        <item m="1" x="3668"/>
        <item m="1" x="3074"/>
        <item m="1" x="1853"/>
        <item m="1" x="3790"/>
        <item m="1" x="719"/>
        <item m="1" x="124"/>
        <item m="1" x="1241"/>
        <item m="1" x="2825"/>
        <item m="1" x="3051"/>
        <item m="1" x="1220"/>
        <item m="1" x="1368"/>
        <item m="1" x="2093"/>
        <item m="1" x="3383"/>
        <item m="1" x="3778"/>
        <item m="1" x="2240"/>
        <item m="1" x="2745"/>
        <item m="1" x="198"/>
        <item m="1" x="3833"/>
        <item m="1" x="3821"/>
        <item m="1" x="1302"/>
        <item m="1" x="1053"/>
        <item m="1" x="4327"/>
        <item m="1" x="3967"/>
        <item m="1" x="1161"/>
        <item m="1" x="3348"/>
        <item m="1" x="3178"/>
        <item m="1" x="2680"/>
        <item m="1" x="407"/>
        <item m="1" x="2060"/>
        <item m="1" x="683"/>
        <item m="1" x="2731"/>
        <item m="1" x="2861"/>
        <item m="1" x="156"/>
        <item m="1" x="2138"/>
        <item m="1" x="1632"/>
        <item m="1" x="976"/>
        <item m="1" x="540"/>
        <item m="1" x="352"/>
        <item m="1" x="3370"/>
        <item m="1" x="2022"/>
        <item m="1" x="1529"/>
        <item m="1" x="3958"/>
        <item m="1" x="1056"/>
        <item m="1" x="939"/>
        <item m="1" x="2718"/>
        <item m="1" x="118"/>
        <item m="1" x="339"/>
        <item m="1" x="2606"/>
        <item m="1" x="2181"/>
        <item m="1" x="3202"/>
        <item m="1" x="2452"/>
        <item m="1" x="4187"/>
        <item m="1" x="3309"/>
        <item m="1" x="4411"/>
        <item m="1" x="876"/>
        <item m="1" x="2448"/>
        <item m="1" x="1997"/>
        <item m="1" x="626"/>
        <item m="1" x="4138"/>
        <item m="1" x="700"/>
        <item m="1" x="2739"/>
        <item m="1" x="3008"/>
        <item m="1" x="2840"/>
        <item m="1" x="2464"/>
        <item m="1" x="1200"/>
        <item m="1" x="1923"/>
        <item m="1" x="4356"/>
        <item m="1" x="3128"/>
        <item m="1" x="3380"/>
        <item m="1" x="477"/>
        <item m="1" x="1309"/>
        <item m="1" x="3493"/>
        <item m="1" x="949"/>
        <item m="1" x="325"/>
        <item m="1" x="420"/>
        <item m="1" x="2901"/>
        <item m="1" x="200"/>
        <item m="1" x="657"/>
        <item m="1" x="514"/>
        <item m="1" x="605"/>
        <item m="1" x="4094"/>
        <item m="1" x="2449"/>
        <item m="1" x="3187"/>
        <item m="1" x="2197"/>
        <item m="1" x="29"/>
        <item m="1" x="312"/>
        <item m="1" x="4358"/>
        <item m="1" x="3959"/>
        <item m="1" x="2619"/>
        <item m="1" x="2862"/>
        <item m="1" x="3427"/>
        <item m="1" x="4450"/>
        <item m="1" x="1842"/>
        <item m="1" x="919"/>
        <item m="1" x="2422"/>
        <item m="1" x="3167"/>
        <item m="1" x="4494"/>
        <item m="1" x="4166"/>
        <item m="1" x="1224"/>
        <item m="1" x="377"/>
        <item m="1" x="167"/>
        <item m="1" x="2208"/>
        <item m="1" x="250"/>
        <item m="1" x="676"/>
        <item m="1" x="2302"/>
        <item m="1" x="1886"/>
        <item m="1" x="920"/>
        <item m="1" x="1218"/>
        <item m="1" x="1604"/>
        <item m="1" x="1818"/>
        <item m="1" x="1881"/>
        <item m="1" x="3180"/>
        <item m="1" x="2391"/>
        <item m="1" x="3352"/>
        <item m="1" x="421"/>
        <item m="1" x="2239"/>
        <item m="1" x="1623"/>
        <item m="1" x="375"/>
        <item m="1" x="1194"/>
        <item m="1" x="387"/>
        <item m="1" x="4349"/>
        <item m="1" x="2416"/>
        <item m="1" x="1269"/>
        <item m="1" x="3515"/>
        <item m="1" x="1129"/>
        <item m="1" x="1469"/>
        <item m="1" x="4151"/>
        <item m="1" x="3718"/>
        <item m="1" x="2362"/>
        <item m="1" x="4020"/>
        <item m="1" x="315"/>
        <item m="1" x="2938"/>
        <item m="1" x="4337"/>
        <item m="1" x="2999"/>
        <item m="1" x="1415"/>
        <item m="1" x="245"/>
        <item m="1" x="4295"/>
        <item m="1" x="456"/>
        <item m="1" x="229"/>
        <item m="1" x="226"/>
        <item m="1" x="526"/>
        <item m="1" x="1216"/>
        <item m="1" x="2582"/>
        <item m="1" x="985"/>
        <item m="1" x="2814"/>
        <item m="1" x="308"/>
        <item m="1" x="2119"/>
        <item m="1" x="1422"/>
        <item m="1" x="3892"/>
        <item m="1" x="3205"/>
        <item m="1" x="1803"/>
        <item m="1" x="4543"/>
        <item m="1" x="730"/>
        <item m="1" x="373"/>
        <item m="1" x="4269"/>
        <item m="1" x="390"/>
        <item m="1" x="3491"/>
        <item m="1" x="2292"/>
        <item m="1" x="96"/>
        <item m="1" x="132"/>
        <item m="1" x="2779"/>
        <item m="1" x="1331"/>
        <item m="1" x="3641"/>
        <item m="1" x="4256"/>
        <item m="1" x="3148"/>
        <item m="1" x="3957"/>
        <item m="1" x="4095"/>
        <item m="1" x="4025"/>
        <item m="1" x="2867"/>
        <item m="1" x="2040"/>
        <item m="1" x="3936"/>
        <item m="1" x="773"/>
        <item m="1" x="4273"/>
        <item m="1" x="2466"/>
        <item m="1" x="4398"/>
        <item m="1" x="2874"/>
        <item m="1" x="4438"/>
        <item m="1" x="3809"/>
        <item m="1" x="2751"/>
        <item m="1" x="565"/>
        <item m="1" x="1205"/>
        <item m="1" x="3063"/>
        <item m="1" x="453"/>
        <item m="1" x="3150"/>
        <item m="1" x="3679"/>
        <item m="1" x="3329"/>
        <item m="1" x="4167"/>
        <item m="1" x="3546"/>
        <item m="1" x="2475"/>
        <item m="1" x="929"/>
        <item m="1" x="1099"/>
        <item m="1" x="4109"/>
        <item m="1" x="1042"/>
        <item m="1" x="2719"/>
        <item m="1" x="4178"/>
        <item m="1" x="690"/>
        <item m="1" x="3316"/>
        <item m="1" x="2472"/>
        <item m="1" x="1188"/>
        <item m="1" x="2205"/>
        <item m="1" x="4406"/>
        <item m="1" x="3660"/>
        <item m="1" x="745"/>
        <item m="1" x="8"/>
        <item m="1" x="2720"/>
        <item m="1" x="2586"/>
        <item m="1" x="4532"/>
        <item m="1" x="3793"/>
        <item m="1" x="3556"/>
        <item m="1" x="508"/>
        <item m="1" x="3779"/>
        <item m="1" x="2682"/>
        <item m="1" x="723"/>
        <item m="1" x="259"/>
        <item m="1" x="3172"/>
        <item m="1" x="1326"/>
        <item m="1" x="833"/>
        <item m="1" x="2936"/>
        <item m="1" x="2568"/>
        <item m="1" x="3266"/>
        <item m="1" x="1168"/>
        <item m="1" x="1847"/>
        <item m="1" x="2595"/>
        <item m="1" x="482"/>
        <item m="1" x="1598"/>
        <item m="1" x="171"/>
        <item m="1" x="2076"/>
        <item m="1" x="2127"/>
        <item m="1" x="426"/>
        <item m="1" x="3000"/>
        <item m="1" x="3327"/>
        <item m="1" x="3531"/>
        <item m="1" x="712"/>
        <item m="1" x="1729"/>
        <item m="1" x="1276"/>
        <item m="1" x="2809"/>
        <item m="1" x="1542"/>
        <item m="1" x="1960"/>
        <item m="1" x="3149"/>
        <item m="1" x="15"/>
        <item m="1" x="3598"/>
        <item m="1" x="4460"/>
        <item m="1" x="1077"/>
        <item m="1" x="3643"/>
        <item m="1" x="4081"/>
        <item m="1" x="641"/>
        <item m="1" x="3423"/>
        <item m="1" x="2210"/>
        <item m="1" x="1299"/>
        <item m="1" x="672"/>
        <item m="1" x="2930"/>
        <item m="1" x="2354"/>
        <item m="1" x="2443"/>
        <item m="1" x="109"/>
        <item m="1" x="1749"/>
        <item m="1" x="3590"/>
        <item m="1" x="361"/>
        <item m="1" x="1512"/>
        <item m="1" x="2408"/>
        <item m="1" x="1461"/>
        <item m="1" x="1371"/>
        <item m="1" x="170"/>
        <item m="1" x="3249"/>
        <item m="1" x="1937"/>
        <item m="1" x="2490"/>
        <item m="1" x="3072"/>
        <item m="1" x="551"/>
        <item m="1" x="1084"/>
        <item m="1" x="3339"/>
        <item m="1" x="3049"/>
        <item m="1" x="4052"/>
        <item m="1" x="4538"/>
        <item m="1" x="2539"/>
        <item m="1" x="1384"/>
        <item m="1" x="168"/>
        <item m="1" x="4341"/>
        <item m="1" x="3251"/>
        <item m="1" x="600"/>
        <item m="1" x="1617"/>
        <item m="1" x="1424"/>
        <item m="1" x="2629"/>
        <item m="1" x="2969"/>
        <item m="1" x="3353"/>
        <item m="1" x="3644"/>
        <item m="1" x="4485"/>
        <item m="1" x="3288"/>
        <item m="1" x="3725"/>
        <item m="1" x="454"/>
        <item m="1" x="1513"/>
        <item m="1" x="3195"/>
        <item m="1" x="2993"/>
        <item m="1" x="1510"/>
        <item m="1" x="1565"/>
        <item m="1" x="873"/>
        <item m="1" x="573"/>
        <item m="1" x="1639"/>
        <item m="1" x="2802"/>
        <item m="1" x="1883"/>
        <item m="1" x="63"/>
        <item m="1" x="3116"/>
        <item m="1" x="2792"/>
        <item m="1" x="199"/>
        <item m="1" x="4385"/>
        <item m="1" x="3030"/>
        <item m="1" x="4169"/>
        <item m="1" x="3513"/>
        <item m="1" x="1811"/>
        <item m="1" x="1408"/>
        <item m="1" x="1438"/>
        <item m="1" x="3847"/>
        <item m="1" x="436"/>
        <item m="1" x="2235"/>
        <item m="1" x="2973"/>
        <item m="1" x="1095"/>
        <item m="1" x="2424"/>
        <item m="1" x="1976"/>
        <item m="1" x="3703"/>
        <item m="1" x="4046"/>
        <item m="1" x="4426"/>
        <item m="1" x="656"/>
        <item m="1" x="3480"/>
        <item m="1" x="2303"/>
        <item m="1" x="272"/>
        <item m="1" x="1814"/>
        <item m="1" x="484"/>
        <item m="1" x="1201"/>
        <item m="1" x="652"/>
        <item m="1" x="2156"/>
        <item m="1" x="2716"/>
        <item m="1" x="3929"/>
        <item m="1" x="3686"/>
        <item m="1" x="542"/>
        <item m="1" x="2016"/>
        <item m="1" x="3441"/>
        <item m="1" x="1584"/>
        <item m="1" x="3587"/>
        <item m="1" x="122"/>
        <item m="1" x="2157"/>
        <item m="1" x="1563"/>
        <item m="1" x="2826"/>
        <item m="1" x="1310"/>
        <item m="1" x="3414"/>
        <item m="1" x="337"/>
        <item m="1" x="2353"/>
        <item m="1" x="746"/>
        <item m="1" x="1173"/>
        <item m="1" x="3817"/>
        <item m="1" x="3405"/>
        <item m="1" x="2876"/>
        <item m="1" x="2931"/>
        <item m="1" x="2536"/>
        <item m="1" x="3903"/>
        <item m="1" x="2684"/>
        <item m="1" x="3603"/>
        <item m="1" x="770"/>
        <item m="1" x="946"/>
        <item m="1" x="2096"/>
        <item m="1" x="2147"/>
        <item m="1" x="3183"/>
        <item m="1" x="444"/>
        <item m="1" x="207"/>
        <item m="1" x="940"/>
        <item m="1" x="3055"/>
        <item m="1" x="711"/>
        <item m="1" x="3376"/>
        <item m="1" x="2642"/>
        <item m="1" x="3112"/>
        <item m="1" x="629"/>
        <item m="1" x="302"/>
        <item m="1" x="2676"/>
        <item m="1" x="3359"/>
        <item m="1" x="2563"/>
        <item m="1" x="608"/>
        <item m="1" x="2207"/>
        <item m="1" x="3550"/>
        <item m="1" x="4452"/>
        <item m="1" x="4535"/>
        <item m="1" x="4240"/>
        <item m="1" x="2206"/>
        <item m="1" x="2203"/>
        <item m="1" x="1890"/>
        <item m="1" x="2075"/>
        <item m="1" x="3859"/>
        <item m="1" x="3171"/>
        <item m="1" x="3552"/>
        <item m="1" x="3749"/>
        <item m="1" x="2055"/>
        <item m="1" x="3726"/>
        <item m="1" x="2556"/>
        <item m="1" x="3138"/>
        <item m="1" x="2058"/>
        <item m="1" x="2584"/>
        <item m="1" x="4403"/>
        <item m="1" x="3711"/>
        <item m="1" x="803"/>
        <item m="1" x="799"/>
        <item m="1" x="2496"/>
        <item m="1" x="1887"/>
        <item m="1" x="4263"/>
        <item m="1" x="4244"/>
        <item m="1" x="1882"/>
        <item m="1" x="3829"/>
        <item m="1" x="1452"/>
        <item m="1" x="1278"/>
        <item m="1" x="1628"/>
        <item m="1" x="616"/>
        <item m="1" x="2986"/>
        <item m="1" x="1032"/>
        <item m="1" x="2460"/>
        <item m="1" x="3097"/>
        <item m="1" x="219"/>
        <item m="1" x="925"/>
        <item m="1" x="3801"/>
        <item m="1" x="1515"/>
        <item m="1" x="241"/>
        <item m="1" x="2987"/>
        <item m="1" x="2052"/>
        <item m="1" x="4012"/>
        <item m="1" x="3307"/>
        <item m="1" x="4343"/>
        <item m="1" x="57"/>
        <item m="1" x="3076"/>
        <item m="1" x="6"/>
        <item m="1" x="4036"/>
        <item m="1" x="125"/>
        <item m="1" x="2585"/>
        <item m="1" x="4104"/>
        <item m="1" x="3763"/>
        <item m="1" x="3545"/>
        <item m="1" x="1734"/>
        <item m="1" x="2270"/>
        <item m="1" x="2168"/>
        <item m="1" x="3745"/>
        <item m="1" x="3168"/>
        <item m="1" x="3264"/>
        <item m="1" x="2917"/>
        <item m="1" x="1476"/>
        <item m="1" x="4309"/>
        <item m="1" x="188"/>
        <item m="1" x="3827"/>
        <item m="1" x="3823"/>
        <item m="1" x="3464"/>
        <item m="1" x="3728"/>
        <item m="1" x="73"/>
        <item m="1" x="1112"/>
        <item m="1" x="4522"/>
        <item m="1" x="1298"/>
        <item m="1" x="2352"/>
        <item m="1" x="1507"/>
        <item m="1" x="4312"/>
        <item m="1" x="1147"/>
        <item m="1" x="2692"/>
        <item m="1" x="3319"/>
        <item m="1" x="2992"/>
        <item m="1" x="4509"/>
        <item m="1" x="260"/>
        <item m="1" x="4235"/>
        <item m="1" x="3365"/>
        <item m="1" x="2942"/>
        <item m="1" x="2798"/>
        <item m="1" x="1318"/>
        <item m="1" x="1583"/>
        <item m="1" x="2077"/>
        <item m="1" x="726"/>
        <item m="1" x="2607"/>
        <item m="1" x="2044"/>
        <item m="1" x="131"/>
        <item m="1" x="643"/>
        <item m="1" x="586"/>
        <item m="1" x="527"/>
        <item m="1" x="4203"/>
        <item m="1" x="1693"/>
        <item m="1" x="4189"/>
        <item m="1" x="1524"/>
        <item m="1" x="1312"/>
        <item m="1" x="4072"/>
        <item m="1" x="310"/>
        <item m="1" x="1932"/>
        <item m="1" x="3281"/>
        <item m="1" x="1673"/>
        <item m="1" x="3507"/>
        <item m="1" x="3306"/>
        <item m="1" x="4259"/>
        <item m="1" x="4482"/>
        <item m="1" x="1151"/>
        <item m="1" x="1279"/>
        <item m="1" x="4353"/>
        <item m="1" x="1823"/>
        <item m="1" x="609"/>
        <item m="1" x="2104"/>
        <item m="1" x="185"/>
        <item m="1" x="887"/>
        <item m="1" x="2924"/>
        <item m="1" x="3273"/>
        <item m="1" x="2468"/>
        <item m="1" x="1484"/>
        <item m="1" x="1221"/>
        <item m="1" x="1290"/>
        <item m="1" x="317"/>
        <item m="1" x="4117"/>
        <item m="1" x="3722"/>
        <item m="1" x="1648"/>
        <item m="1" x="4034"/>
        <item m="1" x="1102"/>
        <item m="1" x="4097"/>
        <item m="1" x="3811"/>
        <item m="1" x="2133"/>
        <item m="1" x="4083"/>
        <item m="1" x="238"/>
        <item m="1" x="2493"/>
        <item m="1" x="856"/>
        <item m="1" x="1157"/>
        <item m="1" x="4442"/>
        <item m="1" x="2943"/>
        <item m="1" x="4380"/>
        <item m="1" x="3998"/>
        <item m="1" x="2781"/>
        <item m="1" x="3057"/>
        <item m="1" x="2137"/>
        <item m="1" x="2417"/>
        <item m="1" x="2176"/>
        <item m="1" x="1945"/>
        <item m="1" x="1505"/>
        <item m="1" x="1380"/>
        <item m="1" x="2863"/>
        <item m="1" x="1285"/>
        <item m="1" x="1023"/>
        <item m="1" x="738"/>
        <item m="1" x="1316"/>
        <item m="1" x="564"/>
        <item m="1" x="305"/>
        <item m="1" x="603"/>
        <item m="1" x="350"/>
        <item m="1" x="127"/>
        <item m="1" x="3990"/>
        <item x="1"/>
        <item m="1" x="2790"/>
        <item m="1" x="901"/>
        <item m="1" x="2501"/>
        <item m="1" x="4055"/>
        <item m="1" x="3033"/>
        <item m="1" x="3972"/>
        <item m="1" x="2329"/>
        <item m="1" x="975"/>
        <item m="1" x="911"/>
        <item m="1" x="991"/>
        <item m="1" x="1509"/>
        <item m="1" x="3021"/>
        <item m="1" x="3355"/>
        <item m="1" x="2229"/>
        <item m="1" x="239"/>
        <item m="1" x="4394"/>
        <item m="1" x="376"/>
        <item m="1" x="1442"/>
        <item m="1" x="544"/>
        <item m="1" x="3221"/>
        <item m="1" x="3476"/>
        <item m="1" x="2017"/>
        <item m="1" x="4123"/>
        <item m="1" x="935"/>
        <item m="1" x="2898"/>
        <item m="1" x="3022"/>
        <item m="1" x="1458"/>
        <item m="1" x="1727"/>
        <item m="1" x="644"/>
        <item m="1" x="3917"/>
        <item m="1" x="3723"/>
        <item m="1" x="4512"/>
        <item m="1" x="3176"/>
        <item m="1" x="3223"/>
        <item m="1" x="441"/>
        <item m="1" x="2695"/>
        <item m="1" x="2178"/>
        <item m="1" x="2922"/>
        <item m="1" x="4529"/>
        <item m="1" x="4088"/>
        <item m="1" x="4301"/>
        <item m="1" x="681"/>
        <item x="0"/>
      </items>
    </pivotField>
    <pivotField axis="axisPage" showAll="0" defaultSubtotal="0">
      <items count="6258">
        <item m="1" x="5755"/>
        <item m="1" x="5317"/>
        <item m="1" x="1487"/>
        <item m="1" x="1501"/>
        <item m="1" x="5465"/>
        <item m="1" x="6238"/>
        <item m="1" x="5310"/>
        <item m="1" x="5487"/>
        <item m="1" x="5235"/>
        <item m="1" x="3981"/>
        <item m="1" x="6009"/>
        <item x="3"/>
        <item x="47"/>
        <item m="1" x="1306"/>
        <item x="49"/>
        <item x="39"/>
        <item x="18"/>
        <item x="67"/>
        <item x="41"/>
        <item x="25"/>
        <item x="90"/>
        <item x="87"/>
        <item x="32"/>
        <item x="9"/>
        <item x="63"/>
        <item m="1" x="343"/>
        <item x="35"/>
        <item x="53"/>
        <item x="82"/>
        <item x="55"/>
        <item x="28"/>
        <item x="16"/>
        <item x="7"/>
        <item x="21"/>
        <item m="1" x="3595"/>
        <item x="42"/>
        <item x="71"/>
        <item x="46"/>
        <item x="15"/>
        <item m="1" x="2387"/>
        <item x="52"/>
        <item m="1" x="5047"/>
        <item m="1" x="3414"/>
        <item x="43"/>
        <item m="1" x="143"/>
        <item x="37"/>
        <item m="1" x="5962"/>
        <item x="17"/>
        <item x="13"/>
        <item m="1" x="5357"/>
        <item x="14"/>
        <item m="1" x="2324"/>
        <item m="1" x="4118"/>
        <item m="1" x="6137"/>
        <item m="1" x="1229"/>
        <item x="4"/>
        <item m="1" x="2409"/>
        <item m="1" x="1496"/>
        <item x="31"/>
        <item x="33"/>
        <item x="23"/>
        <item m="1" x="1291"/>
        <item m="1" x="5417"/>
        <item m="1" x="179"/>
        <item m="1" x="2866"/>
        <item m="1" x="4543"/>
        <item x="36"/>
        <item x="12"/>
        <item m="1" x="1872"/>
        <item m="1" x="1820"/>
        <item m="1" x="625"/>
        <item x="19"/>
        <item m="1" x="4495"/>
        <item m="1" x="2099"/>
        <item x="51"/>
        <item x="0"/>
        <item m="1" x="4273"/>
        <item x="38"/>
        <item x="45"/>
        <item x="20"/>
        <item x="34"/>
        <item x="10"/>
        <item m="1" x="3479"/>
        <item m="1" x="6185"/>
        <item m="1" x="1038"/>
        <item m="1" x="1676"/>
        <item x="8"/>
        <item m="1" x="1901"/>
        <item m="1" x="1682"/>
        <item m="1" x="479"/>
        <item m="1" x="3816"/>
        <item m="1" x="6000"/>
        <item m="1" x="3235"/>
        <item m="1" x="489"/>
        <item m="1" x="5677"/>
        <item x="24"/>
        <item m="1" x="221"/>
        <item m="1" x="2616"/>
        <item m="1" x="4568"/>
        <item m="1" x="698"/>
        <item m="1" x="3472"/>
        <item m="1" x="334"/>
        <item m="1" x="6257"/>
        <item m="1" x="2429"/>
        <item m="1" x="237"/>
        <item m="1" x="732"/>
        <item m="1" x="2821"/>
        <item m="1" x="4558"/>
        <item x="44"/>
        <item m="1" x="3509"/>
        <item x="27"/>
        <item m="1" x="4796"/>
        <item m="1" x="2493"/>
        <item x="22"/>
        <item m="1" x="4994"/>
        <item m="1" x="2088"/>
        <item m="1" x="4615"/>
        <item m="1" x="3611"/>
        <item m="1" x="2763"/>
        <item x="50"/>
        <item m="1" x="813"/>
        <item x="48"/>
        <item m="1" x="6028"/>
        <item m="1" x="5618"/>
        <item m="1" x="2655"/>
        <item m="1" x="4581"/>
        <item x="5"/>
        <item m="1" x="1922"/>
        <item x="2"/>
        <item x="6"/>
        <item x="65"/>
        <item m="1" x="5533"/>
        <item m="1" x="4316"/>
        <item m="1" x="1230"/>
        <item m="1" x="5605"/>
        <item m="1" x="335"/>
        <item m="1" x="2201"/>
        <item m="1" x="5923"/>
        <item m="1" x="1946"/>
        <item m="1" x="4448"/>
        <item m="1" x="897"/>
        <item m="1" x="5157"/>
        <item m="1" x="5600"/>
        <item m="1" x="1311"/>
        <item m="1" x="1434"/>
        <item m="1" x="538"/>
        <item m="1" x="744"/>
        <item m="1" x="3568"/>
        <item m="1" x="1706"/>
        <item m="1" x="3209"/>
        <item m="1" x="2428"/>
        <item m="1" x="1544"/>
        <item m="1" x="3046"/>
        <item m="1" x="4158"/>
        <item m="1" x="870"/>
        <item m="1" x="3051"/>
        <item m="1" x="558"/>
        <item m="1" x="2032"/>
        <item m="1" x="1662"/>
        <item m="1" x="4194"/>
        <item m="1" x="4389"/>
        <item m="1" x="634"/>
        <item m="1" x="5102"/>
        <item m="1" x="5481"/>
        <item m="1" x="5687"/>
        <item m="1" x="2811"/>
        <item m="1" x="1842"/>
        <item m="1" x="6168"/>
        <item m="1" x="3625"/>
        <item m="1" x="5275"/>
        <item m="1" x="4647"/>
        <item m="1" x="2598"/>
        <item m="1" x="2150"/>
        <item m="1" x="1618"/>
        <item m="1" x="4435"/>
        <item m="1" x="1072"/>
        <item m="1" x="1590"/>
        <item m="1" x="3460"/>
        <item m="1" x="826"/>
        <item m="1" x="4628"/>
        <item m="1" x="1094"/>
        <item m="1" x="1353"/>
        <item m="1" x="5946"/>
        <item m="1" x="274"/>
        <item m="1" x="4688"/>
        <item m="1" x="5131"/>
        <item m="1" x="3426"/>
        <item m="1" x="5082"/>
        <item m="1" x="5362"/>
        <item m="1" x="5084"/>
        <item m="1" x="2677"/>
        <item m="1" x="3301"/>
        <item m="1" x="975"/>
        <item m="1" x="2477"/>
        <item m="1" x="5671"/>
        <item m="1" x="2377"/>
        <item m="1" x="1137"/>
        <item m="1" x="4068"/>
        <item m="1" x="307"/>
        <item m="1" x="4198"/>
        <item m="1" x="1615"/>
        <item m="1" x="3974"/>
        <item m="1" x="1017"/>
        <item m="1" x="5008"/>
        <item m="1" x="4738"/>
        <item m="1" x="917"/>
        <item m="1" x="2024"/>
        <item m="1" x="5097"/>
        <item m="1" x="299"/>
        <item m="1" x="2205"/>
        <item m="1" x="5059"/>
        <item m="1" x="2046"/>
        <item m="1" x="4971"/>
        <item m="1" x="4439"/>
        <item m="1" x="5039"/>
        <item m="1" x="6184"/>
        <item m="1" x="2160"/>
        <item m="1" x="2801"/>
        <item m="1" x="4286"/>
        <item m="1" x="3933"/>
        <item m="1" x="1626"/>
        <item m="1" x="6011"/>
        <item m="1" x="328"/>
        <item m="1" x="170"/>
        <item m="1" x="3754"/>
        <item m="1" x="2700"/>
        <item m="1" x="160"/>
        <item m="1" x="1086"/>
        <item m="1" x="2942"/>
        <item m="1" x="2500"/>
        <item m="1" x="2221"/>
        <item m="1" x="1785"/>
        <item m="1" x="796"/>
        <item m="1" x="5053"/>
        <item m="1" x="977"/>
        <item m="1" x="5214"/>
        <item m="1" x="5834"/>
        <item m="1" x="2329"/>
        <item m="1" x="3044"/>
        <item m="1" x="2631"/>
        <item m="1" x="4642"/>
        <item m="1" x="2504"/>
        <item m="1" x="4781"/>
        <item m="1" x="5218"/>
        <item m="1" x="6093"/>
        <item m="1" x="3564"/>
        <item m="1" x="5747"/>
        <item m="1" x="501"/>
        <item m="1" x="2431"/>
        <item m="1" x="4663"/>
        <item m="1" x="989"/>
        <item m="1" x="5370"/>
        <item m="1" x="3163"/>
        <item m="1" x="4567"/>
        <item m="1" x="4013"/>
        <item m="1" x="4300"/>
        <item m="1" x="320"/>
        <item m="1" x="3011"/>
        <item m="1" x="3561"/>
        <item m="1" x="2600"/>
        <item m="1" x="3216"/>
        <item m="1" x="1188"/>
        <item m="1" x="5520"/>
        <item m="1" x="4026"/>
        <item m="1" x="2657"/>
        <item m="1" x="4411"/>
        <item m="1" x="4626"/>
        <item m="1" x="4531"/>
        <item m="1" x="4318"/>
        <item m="1" x="3569"/>
        <item m="1" x="930"/>
        <item m="1" x="6083"/>
        <item m="1" x="2217"/>
        <item m="1" x="5062"/>
        <item m="1" x="4085"/>
        <item m="1" x="4039"/>
        <item m="1" x="1645"/>
        <item m="1" x="677"/>
        <item m="1" x="4889"/>
        <item m="1" x="1096"/>
        <item m="1" x="4301"/>
        <item m="1" x="326"/>
        <item m="1" x="390"/>
        <item m="1" x="2928"/>
        <item m="1" x="244"/>
        <item m="1" x="5327"/>
        <item m="1" x="2097"/>
        <item m="1" x="3725"/>
        <item m="1" x="1227"/>
        <item m="1" x="3087"/>
        <item m="1" x="2288"/>
        <item m="1" x="1991"/>
        <item m="1" x="2636"/>
        <item m="1" x="2888"/>
        <item m="1" x="1059"/>
        <item m="1" x="861"/>
        <item m="1" x="5389"/>
        <item m="1" x="6177"/>
        <item m="1" x="5704"/>
        <item m="1" x="1416"/>
        <item m="1" x="3392"/>
        <item m="1" x="4684"/>
        <item m="1" x="4883"/>
        <item m="1" x="1859"/>
        <item m="1" x="2016"/>
        <item m="1" x="711"/>
        <item m="1" x="1302"/>
        <item m="1" x="5484"/>
        <item m="1" x="5558"/>
        <item m="1" x="305"/>
        <item m="1" x="2733"/>
        <item m="1" x="4878"/>
        <item m="1" x="2272"/>
        <item m="1" x="4667"/>
        <item m="1" x="3659"/>
        <item m="1" x="3690"/>
        <item m="1" x="6026"/>
        <item m="1" x="1593"/>
        <item m="1" x="3207"/>
        <item m="1" x="1390"/>
        <item m="1" x="3591"/>
        <item m="1" x="3198"/>
        <item m="1" x="3177"/>
        <item m="1" x="2101"/>
        <item m="1" x="2715"/>
        <item m="1" x="5347"/>
        <item m="1" x="754"/>
        <item m="1" x="6047"/>
        <item m="1" x="2098"/>
        <item m="1" x="4831"/>
        <item m="1" x="762"/>
        <item m="1" x="1469"/>
        <item m="1" x="4320"/>
        <item m="1" x="4729"/>
        <item m="1" x="5909"/>
        <item m="1" x="1142"/>
        <item m="1" x="1642"/>
        <item m="1" x="4399"/>
        <item m="1" x="6077"/>
        <item m="1" x="5125"/>
        <item m="1" x="2760"/>
        <item m="1" x="1415"/>
        <item m="1" x="1902"/>
        <item m="1" x="789"/>
        <item m="1" x="899"/>
        <item m="1" x="976"/>
        <item m="1" x="2659"/>
        <item m="1" x="5666"/>
        <item m="1" x="4772"/>
        <item m="1" x="4027"/>
        <item m="1" x="3666"/>
        <item m="1" x="1383"/>
        <item m="1" x="696"/>
        <item m="1" x="6251"/>
        <item m="1" x="4275"/>
        <item m="1" x="3185"/>
        <item m="1" x="793"/>
        <item m="1" x="6139"/>
        <item m="1" x="5352"/>
        <item m="1" x="5621"/>
        <item m="1" x="3904"/>
        <item m="1" x="4358"/>
        <item m="1" x="1463"/>
        <item m="1" x="4555"/>
        <item m="1" x="4041"/>
        <item m="1" x="1729"/>
        <item m="1" x="5112"/>
        <item m="1" x="3833"/>
        <item m="1" x="719"/>
        <item m="1" x="941"/>
        <item m="1" x="4412"/>
        <item m="1" x="3698"/>
        <item m="1" x="2054"/>
        <item m="1" x="2759"/>
        <item m="1" x="4579"/>
        <item m="1" x="4811"/>
        <item m="1" x="1295"/>
        <item m="1" x="3005"/>
        <item m="1" x="6254"/>
        <item m="1" x="2905"/>
        <item m="1" x="511"/>
        <item m="1" x="6132"/>
        <item m="1" x="3529"/>
        <item m="1" x="1773"/>
        <item m="1" x="3343"/>
        <item m="1" x="3881"/>
        <item m="1" x="4109"/>
        <item m="1" x="2732"/>
        <item m="1" x="4766"/>
        <item m="1" x="2852"/>
        <item m="1" x="196"/>
        <item m="1" x="2124"/>
        <item m="1" x="3744"/>
        <item m="1" x="1652"/>
        <item m="1" x="3544"/>
        <item m="1" x="4895"/>
        <item m="1" x="395"/>
        <item m="1" x="1651"/>
        <item m="1" x="4460"/>
        <item m="1" x="1548"/>
        <item m="1" x="2056"/>
        <item m="1" x="2698"/>
        <item m="1" x="772"/>
        <item m="1" x="5590"/>
        <item m="1" x="2250"/>
        <item m="1" x="6056"/>
        <item m="1" x="4152"/>
        <item m="1" x="4764"/>
        <item m="1" x="3897"/>
        <item m="1" x="4651"/>
        <item m="1" x="5709"/>
        <item m="1" x="2436"/>
        <item m="1" x="2771"/>
        <item m="1" x="2313"/>
        <item m="1" x="5517"/>
        <item m="1" x="2839"/>
        <item m="1" x="3930"/>
        <item m="1" x="3382"/>
        <item m="1" x="3811"/>
        <item m="1" x="6097"/>
        <item m="1" x="3007"/>
        <item m="1" x="4233"/>
        <item m="1" x="5253"/>
        <item m="1" x="2178"/>
        <item m="1" x="2779"/>
        <item m="1" x="758"/>
        <item m="1" x="5100"/>
        <item m="1" x="2395"/>
        <item m="1" x="2141"/>
        <item m="1" x="1891"/>
        <item m="1" x="3525"/>
        <item m="1" x="1331"/>
        <item m="1" x="5786"/>
        <item m="1" x="1266"/>
        <item m="1" x="400"/>
        <item m="1" x="1758"/>
        <item m="1" x="3384"/>
        <item m="1" x="4986"/>
        <item m="1" x="1977"/>
        <item m="1" x="191"/>
        <item m="1" x="5833"/>
        <item m="1" x="1888"/>
        <item m="1" x="5926"/>
        <item m="1" x="5466"/>
        <item m="1" x="4706"/>
        <item m="1" x="647"/>
        <item m="1" x="6250"/>
        <item m="1" x="830"/>
        <item m="1" x="1165"/>
        <item m="1" x="5774"/>
        <item m="1" x="1538"/>
        <item m="1" x="1404"/>
        <item m="1" x="4785"/>
        <item m="1" x="3680"/>
        <item m="1" x="3333"/>
        <item m="1" x="4924"/>
        <item m="1" x="1624"/>
        <item m="1" x="5547"/>
        <item m="1" x="1241"/>
        <item m="1" x="3418"/>
        <item m="1" x="2100"/>
        <item m="1" x="535"/>
        <item m="1" x="5969"/>
        <item m="1" x="4219"/>
        <item m="1" x="4973"/>
        <item m="1" x="1376"/>
        <item m="1" x="3925"/>
        <item m="1" x="5810"/>
        <item m="1" x="579"/>
        <item m="1" x="2185"/>
        <item m="1" x="6159"/>
        <item m="1" x="2519"/>
        <item m="1" x="2270"/>
        <item m="1" x="734"/>
        <item m="1" x="3476"/>
        <item m="1" x="1870"/>
        <item m="1" x="4974"/>
        <item m="1" x="472"/>
        <item m="1" x="1084"/>
        <item m="1" x="2729"/>
        <item m="1" x="4264"/>
        <item m="1" x="4073"/>
        <item m="1" x="5217"/>
        <item m="1" x="4643"/>
        <item m="1" x="2510"/>
        <item m="1" x="3466"/>
        <item m="1" x="155"/>
        <item m="1" x="1750"/>
        <item m="1" x="1023"/>
        <item m="1" x="2911"/>
        <item m="1" x="5168"/>
        <item m="1" x="6246"/>
        <item m="1" x="5412"/>
        <item m="1" x="553"/>
        <item m="1" x="655"/>
        <item m="1" x="1843"/>
        <item m="1" x="4507"/>
        <item m="1" x="868"/>
        <item m="1" x="2419"/>
        <item m="1" x="5796"/>
        <item m="1" x="1966"/>
        <item m="1" x="4606"/>
        <item m="1" x="521"/>
        <item m="1" x="4846"/>
        <item m="1" x="4170"/>
        <item m="1" x="3721"/>
        <item m="1" x="5656"/>
        <item m="1" x="1243"/>
        <item m="1" x="1183"/>
        <item m="1" x="4517"/>
        <item m="1" x="1066"/>
        <item m="1" x="2031"/>
        <item m="1" x="1506"/>
        <item m="1" x="264"/>
        <item m="1" x="2574"/>
        <item m="1" x="3013"/>
        <item m="1" x="1731"/>
        <item m="1" x="5980"/>
        <item m="1" x="5940"/>
        <item m="1" x="4156"/>
        <item m="1" x="2258"/>
        <item m="1" x="953"/>
        <item m="1" x="5127"/>
        <item m="1" x="114"/>
        <item m="1" x="1121"/>
        <item m="1" x="2082"/>
        <item m="1" x="339"/>
        <item m="1" x="5361"/>
        <item m="1" x="5995"/>
        <item m="1" x="1875"/>
        <item m="1" x="5371"/>
        <item m="1" x="4296"/>
        <item m="1" x="5345"/>
        <item m="1" x="1910"/>
        <item m="1" x="2325"/>
        <item m="1" x="2320"/>
        <item m="1" x="2357"/>
        <item m="1" x="3651"/>
        <item m="1" x="4244"/>
        <item m="1" x="3970"/>
        <item m="1" x="6017"/>
        <item m="1" x="3043"/>
        <item m="1" x="3694"/>
        <item m="1" x="5339"/>
        <item m="1" x="4169"/>
        <item x="61"/>
        <item m="1" x="1856"/>
        <item m="1" x="4816"/>
        <item m="1" x="4293"/>
        <item m="1" x="5430"/>
        <item m="1" x="6187"/>
        <item m="1" x="5488"/>
        <item m="1" x="1562"/>
        <item m="1" x="5227"/>
        <item m="1" x="3612"/>
        <item m="1" x="3890"/>
        <item m="1" x="2490"/>
        <item m="1" x="2310"/>
        <item m="1" x="1923"/>
        <item m="1" x="1333"/>
        <item m="1" x="1756"/>
        <item m="1" x="3978"/>
        <item m="1" x="5516"/>
        <item m="1" x="423"/>
        <item m="1" x="2766"/>
        <item m="1" x="4521"/>
        <item m="1" x="397"/>
        <item m="1" x="5549"/>
        <item m="1" x="1660"/>
        <item m="1" x="967"/>
        <item m="1" x="3475"/>
        <item m="1" x="2060"/>
        <item m="1" x="1713"/>
        <item m="1" x="5260"/>
        <item m="1" x="1712"/>
        <item m="1" x="3445"/>
        <item m="1" x="1186"/>
        <item m="1" x="2196"/>
        <item m="1" x="2711"/>
        <item m="1" x="3258"/>
        <item m="1" x="3943"/>
        <item m="1" x="5340"/>
        <item m="1" x="2336"/>
        <item m="1" x="3018"/>
        <item m="1" x="4636"/>
        <item m="1" x="3580"/>
        <item m="1" x="4193"/>
        <item m="1" x="5918"/>
        <item m="1" x="3443"/>
        <item m="1" x="4593"/>
        <item m="1" x="5215"/>
        <item m="1" x="2266"/>
        <item m="1" x="3164"/>
        <item m="1" x="1849"/>
        <item m="1" x="3451"/>
        <item m="1" x="379"/>
        <item m="1" x="3337"/>
        <item m="1" x="5074"/>
        <item m="1" x="3406"/>
        <item m="1" x="1012"/>
        <item m="1" x="3332"/>
        <item m="1" x="4896"/>
        <item m="1" x="2211"/>
        <item m="1" x="2415"/>
        <item m="1" x="1598"/>
        <item m="1" x="4508"/>
        <item m="1" x="4397"/>
        <item m="1" x="4263"/>
        <item m="1" x="4542"/>
        <item m="1" x="324"/>
        <item m="1" x="3323"/>
        <item m="1" x="5283"/>
        <item m="1" x="682"/>
        <item m="1" x="1461"/>
        <item m="1" x="209"/>
        <item m="1" x="5438"/>
        <item m="1" x="5358"/>
        <item m="1" x="4378"/>
        <item m="1" x="1818"/>
        <item m="1" x="6178"/>
        <item m="1" x="2451"/>
        <item m="1" x="736"/>
        <item m="1" x="375"/>
        <item m="1" x="287"/>
        <item m="1" x="1403"/>
        <item m="1" x="1550"/>
        <item m="1" x="4983"/>
        <item m="1" x="3367"/>
        <item m="1" x="4016"/>
        <item m="1" x="5722"/>
        <item m="1" x="2646"/>
        <item m="1" x="2902"/>
        <item m="1" x="3510"/>
        <item m="1" x="4669"/>
        <item m="1" x="6239"/>
        <item m="1" x="4385"/>
        <item m="1" x="2260"/>
        <item m="1" x="3858"/>
        <item m="1" x="6119"/>
        <item m="1" x="3227"/>
        <item m="1" x="3553"/>
        <item m="1" x="1010"/>
        <item m="1" x="2135"/>
        <item m="1" x="4321"/>
        <item m="1" x="4051"/>
        <item m="1" x="1714"/>
        <item m="1" x="6100"/>
        <item m="1" x="3003"/>
        <item m="1" x="4775"/>
        <item m="1" x="2291"/>
        <item m="1" x="4599"/>
        <item m="1" x="2434"/>
        <item m="1" x="5391"/>
        <item m="1" x="4220"/>
        <item m="1" x="3559"/>
        <item m="1" x="5861"/>
        <item m="1" x="3540"/>
        <item m="1" x="4569"/>
        <item m="1" x="1316"/>
        <item m="1" x="761"/>
        <item m="1" x="267"/>
        <item m="1" x="4532"/>
        <item m="1" x="5444"/>
        <item m="1" x="4021"/>
        <item m="1" x="1647"/>
        <item m="1" x="2878"/>
        <item m="1" x="5187"/>
        <item m="1" x="722"/>
        <item m="1" x="128"/>
        <item m="1" x="4370"/>
        <item m="1" x="5974"/>
        <item m="1" x="4184"/>
        <item m="1" x="2788"/>
        <item m="1" x="3223"/>
        <item m="1" x="130"/>
        <item m="1" x="5903"/>
        <item m="1" x="1377"/>
        <item m="1" x="4461"/>
        <item m="1" x="4115"/>
        <item m="1" x="5486"/>
        <item m="1" x="5578"/>
        <item m="1" x="3425"/>
        <item m="1" x="1448"/>
        <item m="1" x="2871"/>
        <item m="1" x="3264"/>
        <item m="1" x="6019"/>
        <item m="1" x="2889"/>
        <item m="1" x="6102"/>
        <item m="1" x="3389"/>
        <item m="1" x="3576"/>
        <item m="1" x="1310"/>
        <item m="1" x="4797"/>
        <item m="1" x="6007"/>
        <item m="1" x="5353"/>
        <item m="1" x="547"/>
        <item m="1" x="4504"/>
        <item m="1" x="6189"/>
        <item m="1" x="3434"/>
        <item m="1" x="3371"/>
        <item m="1" x="2829"/>
        <item m="1" x="1398"/>
        <item m="1" x="4409"/>
        <item m="1" x="2229"/>
        <item m="1" x="448"/>
        <item m="1" x="2171"/>
        <item m="1" x="1833"/>
        <item m="1" x="5307"/>
        <item m="1" x="6136"/>
        <item m="1" x="3982"/>
        <item m="1" x="1349"/>
        <item m="1" x="2537"/>
        <item m="1" x="1877"/>
        <item m="1" x="4977"/>
        <item m="1" x="4449"/>
        <item m="1" x="881"/>
        <item m="1" x="2009"/>
        <item m="1" x="4127"/>
        <item m="1" x="2426"/>
        <item m="1" x="5511"/>
        <item m="1" x="2746"/>
        <item m="1" x="4762"/>
        <item m="1" x="2488"/>
        <item m="1" x="4062"/>
        <item m="1" x="1220"/>
        <item m="1" x="2650"/>
        <item m="1" x="3251"/>
        <item m="1" x="957"/>
        <item m="1" x="2712"/>
        <item m="1" x="543"/>
        <item m="1" x="3494"/>
        <item m="1" x="1978"/>
        <item m="1" x="3281"/>
        <item m="1" x="6111"/>
        <item m="1" x="2908"/>
        <item m="1" x="5848"/>
        <item m="1" x="5318"/>
        <item m="1" x="1629"/>
        <item m="1" x="3390"/>
        <item m="1" x="2317"/>
        <item m="1" x="4756"/>
        <item m="1" x="1343"/>
        <item m="1" x="4614"/>
        <item m="1" x="1297"/>
        <item m="1" x="1256"/>
        <item m="1" x="4744"/>
        <item m="1" x="3062"/>
        <item m="1" x="3045"/>
        <item m="1" x="3359"/>
        <item m="1" x="4375"/>
        <item m="1" x="4432"/>
        <item m="1" x="2143"/>
        <item m="1" x="555"/>
        <item m="1" x="2509"/>
        <item m="1" x="1156"/>
        <item m="1" x="3265"/>
        <item m="1" x="5019"/>
        <item m="1" x="194"/>
        <item m="1" x="3810"/>
        <item m="1" x="4454"/>
        <item m="1" x="1710"/>
        <item m="1" x="5383"/>
        <item m="1" x="3859"/>
        <item m="1" x="3993"/>
        <item m="1" x="4771"/>
        <item m="1" x="2161"/>
        <item m="1" x="1003"/>
        <item m="1" x="239"/>
        <item m="1" x="1495"/>
        <item m="1" x="5865"/>
        <item m="1" x="1510"/>
        <item m="1" x="1944"/>
        <item m="1" x="384"/>
        <item m="1" x="4809"/>
        <item m="1" x="1411"/>
        <item m="1" x="2103"/>
        <item m="1" x="3158"/>
        <item m="1" x="3921"/>
        <item m="1" x="3328"/>
        <item m="1" x="2863"/>
        <item m="1" x="2502"/>
        <item m="1" x="5697"/>
        <item m="1" x="1976"/>
        <item m="1" x="5315"/>
        <item m="1" x="173"/>
        <item m="1" x="3936"/>
        <item m="1" x="2071"/>
        <item m="1" x="5953"/>
        <item m="1" x="3110"/>
        <item m="1" x="971"/>
        <item m="1" x="4425"/>
        <item m="1" x="5077"/>
        <item m="1" x="5158"/>
        <item m="1" x="1078"/>
        <item m="1" x="186"/>
        <item m="1" x="148"/>
        <item m="1" x="716"/>
        <item m="1" x="6074"/>
        <item m="1" x="2191"/>
        <item m="1" x="3383"/>
        <item m="1" x="4010"/>
        <item m="1" x="2845"/>
        <item m="1" x="1184"/>
        <item m="1" x="1670"/>
        <item m="1" x="6032"/>
        <item m="1" x="3488"/>
        <item m="1" x="2787"/>
        <item m="1" x="1707"/>
        <item m="1" x="5849"/>
        <item m="1" x="4604"/>
        <item m="1" x="330"/>
        <item m="1" x="1029"/>
        <item m="1" x="684"/>
        <item m="1" x="4789"/>
        <item m="1" x="4985"/>
        <item m="1" x="6181"/>
        <item m="1" x="1068"/>
        <item m="1" x="5092"/>
        <item m="1" x="2418"/>
        <item m="1" x="2517"/>
        <item m="1" x="3421"/>
        <item m="1" x="3935"/>
        <item m="1" x="1709"/>
        <item m="1" x="2454"/>
        <item m="1" x="5884"/>
        <item m="1" x="753"/>
        <item m="1" x="5781"/>
        <item m="1" x="5512"/>
        <item m="1" x="1663"/>
        <item m="1" x="1088"/>
        <item m="1" x="806"/>
        <item m="1" x="2534"/>
        <item m="1" x="3857"/>
        <item m="1" x="6114"/>
        <item m="1" x="2020"/>
        <item m="1" x="2505"/>
        <item m="1" x="3231"/>
        <item m="1" x="5058"/>
        <item m="1" x="2471"/>
        <item m="1" x="1047"/>
        <item m="1" x="4406"/>
        <item m="1" x="1146"/>
        <item m="1" x="1606"/>
        <item m="1" x="2668"/>
        <item m="1" x="3116"/>
        <item m="1" x="4591"/>
        <item m="1" x="5474"/>
        <item m="1" x="2450"/>
        <item m="1" x="3762"/>
        <item m="1" x="1793"/>
        <item m="1" x="5027"/>
        <item m="1" x="4232"/>
        <item m="1" x="717"/>
        <item m="1" x="5526"/>
        <item m="1" x="3232"/>
        <item m="1" x="153"/>
        <item m="1" x="2381"/>
        <item m="1" x="4582"/>
        <item m="1" x="6118"/>
        <item m="1" x="2676"/>
        <item m="1" x="3241"/>
        <item m="1" x="6247"/>
        <item m="1" x="5081"/>
        <item m="1" x="1840"/>
        <item m="1" x="3739"/>
        <item m="1" x="3673"/>
        <item m="1" x="5729"/>
        <item m="1" x="5997"/>
        <item m="1" x="2844"/>
        <item m="1" x="5645"/>
        <item m="1" x="4750"/>
        <item m="1" x="4107"/>
        <item m="1" x="4223"/>
        <item m="1" x="3435"/>
        <item m="1" x="2448"/>
        <item m="1" x="2110"/>
        <item m="1" x="644"/>
        <item m="1" x="1104"/>
        <item m="1" x="1260"/>
        <item m="1" x="3578"/>
        <item m="1" x="2485"/>
        <item m="1" x="5638"/>
        <item m="1" x="2963"/>
        <item m="1" x="5609"/>
        <item m="1" x="3683"/>
        <item m="1" x="1479"/>
        <item m="1" x="119"/>
        <item m="1" x="1203"/>
        <item m="1" x="2608"/>
        <item m="1" x="126"/>
        <item m="1" x="557"/>
        <item m="1" x="5832"/>
        <item m="1" x="2300"/>
        <item m="1" x="2750"/>
        <item m="1" x="1637"/>
        <item m="1" x="1497"/>
        <item m="1" x="3627"/>
        <item m="1" x="597"/>
        <item m="1" x="369"/>
        <item m="1" x="3958"/>
        <item m="1" x="743"/>
        <item m="1" x="1024"/>
        <item m="1" x="5535"/>
        <item m="1" x="5333"/>
        <item m="1" x="3910"/>
        <item m="1" x="1015"/>
        <item m="1" x="1139"/>
        <item m="1" x="1863"/>
        <item m="1" x="1737"/>
        <item m="1" x="3592"/>
        <item m="1" x="1865"/>
        <item m="1" x="4103"/>
        <item m="1" x="3481"/>
        <item m="1" x="4364"/>
        <item m="1" x="5840"/>
        <item m="1" x="2445"/>
        <item m="1" x="278"/>
        <item m="1" x="1162"/>
        <item m="1" x="4171"/>
        <item m="1" x="4413"/>
        <item m="1" x="1894"/>
        <item m="1" x="4494"/>
        <item m="1" x="5911"/>
        <item m="1" x="6048"/>
        <item m="1" x="3133"/>
        <item m="1" x="2691"/>
        <item m="1" x="4871"/>
        <item m="1" x="1274"/>
        <item m="1" x="2843"/>
        <item m="1" x="3085"/>
        <item m="1" x="5185"/>
        <item m="1" x="1906"/>
        <item m="1" x="332"/>
        <item m="1" x="542"/>
        <item m="1" x="5863"/>
        <item m="1" x="3520"/>
        <item m="1" x="3352"/>
        <item m="1" x="4645"/>
        <item m="1" x="5133"/>
        <item m="1" x="4720"/>
        <item m="1" x="3211"/>
        <item m="1" x="3205"/>
        <item m="1" x="2880"/>
        <item m="1" x="1957"/>
        <item m="1" x="4473"/>
        <item m="1" x="1561"/>
        <item m="1" x="4810"/>
        <item m="1" x="1246"/>
        <item m="1" x="859"/>
        <item m="1" x="1762"/>
        <item m="1" x="5384"/>
        <item m="1" x="4951"/>
        <item m="1" x="4045"/>
        <item m="1" x="4888"/>
        <item m="1" x="4668"/>
        <item m="1" x="5838"/>
        <item m="1" x="2758"/>
        <item m="1" x="3149"/>
        <item m="1" x="3206"/>
        <item m="1" x="2938"/>
        <item m="1" x="5964"/>
        <item m="1" x="2591"/>
        <item m="1" x="2480"/>
        <item m="1" x="5905"/>
        <item m="1" x="5492"/>
        <item m="1" x="2041"/>
        <item m="1" x="5664"/>
        <item m="1" x="134"/>
        <item m="1" x="1194"/>
        <item m="1" x="4731"/>
        <item m="1" x="3588"/>
        <item m="1" x="431"/>
        <item m="1" x="333"/>
        <item m="1" x="2663"/>
        <item m="1" x="1753"/>
        <item m="1" x="3823"/>
        <item m="1" x="1787"/>
        <item m="1" x="5324"/>
        <item m="1" x="3909"/>
        <item m="1" x="747"/>
        <item m="1" x="4277"/>
        <item m="1" x="4649"/>
        <item m="1" x="2778"/>
        <item m="1" x="2978"/>
        <item m="1" x="5976"/>
        <item m="1" x="5847"/>
        <item m="1" x="1747"/>
        <item m="1" x="3262"/>
        <item m="1" x="3778"/>
        <item m="1" x="1799"/>
        <item m="1" x="750"/>
        <item m="1" x="1852"/>
        <item m="1" x="4835"/>
        <item m="1" x="3679"/>
        <item m="1" x="1005"/>
        <item m="1" x="5992"/>
        <item m="1" x="1797"/>
        <item m="1" x="820"/>
        <item m="1" x="3180"/>
        <item m="1" x="1386"/>
        <item m="1" x="5031"/>
        <item m="1" x="216"/>
        <item m="1" x="4308"/>
        <item m="1" x="5359"/>
        <item m="1" x="3986"/>
        <item m="1" x="3412"/>
        <item m="1" x="3403"/>
        <item m="1" x="5601"/>
        <item m="1" x="3697"/>
        <item m="1" x="956"/>
        <item m="1" x="2984"/>
        <item m="1" x="6142"/>
        <item m="1" x="5033"/>
        <item m="1" x="1889"/>
        <item m="1" x="3074"/>
        <item m="1" x="5571"/>
        <item m="1" x="166"/>
        <item m="1" x="4755"/>
        <item m="1" x="5191"/>
        <item m="1" x="3705"/>
        <item m="1" x="5850"/>
        <item m="1" x="5152"/>
        <item m="1" x="3839"/>
        <item m="1" x="3753"/>
        <item m="1" x="2745"/>
        <item m="1" x="4336"/>
        <item m="1" x="4560"/>
        <item m="1" x="5477"/>
        <item m="1" x="764"/>
        <item m="1" x="4267"/>
        <item m="1" x="5086"/>
        <item m="1" x="386"/>
        <item m="1" x="5330"/>
        <item m="1" x="3023"/>
        <item m="1" x="5319"/>
        <item m="1" x="4269"/>
        <item m="1" x="5049"/>
        <item m="1" x="1683"/>
        <item m="1" x="942"/>
        <item m="1" x="2859"/>
        <item m="1" x="866"/>
        <item m="1" x="878"/>
        <item m="1" x="1284"/>
        <item m="1" x="5933"/>
        <item m="1" x="2147"/>
        <item m="1" x="1286"/>
        <item m="1" x="653"/>
        <item m="1" x="865"/>
        <item m="1" x="3814"/>
        <item m="1" x="348"/>
        <item m="1" x="3743"/>
        <item m="1" x="512"/>
        <item m="1" x="5132"/>
        <item m="1" x="1708"/>
        <item m="1" x="2754"/>
        <item m="1" x="1761"/>
        <item m="1" x="725"/>
        <item m="1" x="3597"/>
        <item m="1" x="2265"/>
        <item m="1" x="3113"/>
        <item m="1" x="4602"/>
        <item m="1" x="1289"/>
        <item m="1" x="524"/>
        <item m="1" x="6122"/>
        <item m="1" x="565"/>
        <item m="1" x="1161"/>
        <item m="1" x="3444"/>
        <item m="1" x="5270"/>
        <item m="1" x="4049"/>
        <item m="1" x="3605"/>
        <item m="1" x="3926"/>
        <item m="1" x="3780"/>
        <item m="1" x="2283"/>
        <item m="1" x="1037"/>
        <item m="1" x="1147"/>
        <item m="1" x="5585"/>
        <item m="1" x="3066"/>
        <item m="1" x="1350"/>
        <item m="1" x="785"/>
        <item m="1" x="6193"/>
        <item m="1" x="3552"/>
        <item m="1" x="1543"/>
        <item m="1" x="4849"/>
        <item m="1" x="5288"/>
        <item m="1" x="5405"/>
        <item m="1" x="3280"/>
        <item m="1" x="1684"/>
        <item m="1" x="4031"/>
        <item m="1" x="919"/>
        <item m="1" x="2931"/>
        <item m="1" x="6194"/>
        <item m="1" x="5065"/>
        <item m="1" x="2158"/>
        <item m="1" x="1039"/>
        <item m="1" x="4721"/>
        <item m="1" x="5230"/>
        <item m="1" x="1323"/>
        <item m="1" x="3319"/>
        <item m="1" x="614"/>
        <item m="1" x="4689"/>
        <item m="1" x="1963"/>
        <item m="1" x="2951"/>
        <item m="1" x="3643"/>
        <item m="1" x="739"/>
        <item m="1" x="107"/>
        <item m="1" x="1831"/>
        <item m="1" x="6063"/>
        <item m="1" x="2592"/>
        <item m="1" x="5524"/>
        <item m="1" x="4207"/>
        <item m="1" x="5497"/>
        <item m="1" x="4774"/>
        <item m="1" x="3336"/>
        <item m="1" x="4875"/>
        <item m="1" x="1857"/>
        <item m="1" x="1702"/>
        <item m="1" x="2413"/>
        <item m="1" x="5777"/>
        <item m="1" x="4620"/>
        <item m="1" x="884"/>
        <item m="1" x="4746"/>
        <item m="1" x="1693"/>
        <item m="1" x="2737"/>
        <item m="1" x="3503"/>
        <item m="1" x="4210"/>
        <item m="1" x="3676"/>
        <item m="1" x="4093"/>
        <item m="1" x="1766"/>
        <item m="1" x="4017"/>
        <item m="1" x="3989"/>
        <item m="1" x="1528"/>
        <item m="1" x="3752"/>
        <item m="1" x="2623"/>
        <item m="1" x="4155"/>
        <item m="1" x="3423"/>
        <item m="1" x="5056"/>
        <item m="1" x="4479"/>
        <item m="1" x="1949"/>
        <item m="1" x="1540"/>
        <item m="1" x="1124"/>
        <item m="1" x="4742"/>
        <item m="1" x="4340"/>
        <item m="1" x="1109"/>
        <item m="1" x="4946"/>
        <item m="1" x="1474"/>
        <item m="1" x="4607"/>
        <item m="1" x="4312"/>
        <item m="1" x="238"/>
        <item m="1" x="2969"/>
        <item m="1" x="4225"/>
        <item m="1" x="259"/>
        <item m="1" x="1224"/>
        <item m="1" x="5672"/>
        <item m="1" x="749"/>
        <item m="1" x="3628"/>
        <item m="1" x="4218"/>
        <item m="1" x="4900"/>
        <item m="1" x="1687"/>
        <item m="1" x="1195"/>
        <item m="1" x="4666"/>
        <item m="1" x="3582"/>
        <item m="1" x="3255"/>
        <item m="1" x="3376"/>
        <item m="1" x="4664"/>
        <item m="1" x="1572"/>
        <item m="1" x="1305"/>
        <item m="1" x="4346"/>
        <item m="1" x="308"/>
        <item m="1" x="5842"/>
        <item m="1" x="2873"/>
        <item m="1" x="2237"/>
        <item m="1" x="5190"/>
        <item m="1" x="6130"/>
        <item m="1" x="1589"/>
        <item m="1" x="5069"/>
        <item m="1" x="3523"/>
        <item m="1" x="2906"/>
        <item m="1" x="2588"/>
        <item m="1" x="1237"/>
        <item m="1" x="2120"/>
        <item m="1" x="1884"/>
        <item m="1" x="3464"/>
        <item m="1" x="3768"/>
        <item m="1" x="2351"/>
        <item m="1" x="4418"/>
        <item m="1" x="1643"/>
        <item m="1" x="1846"/>
        <item m="1" x="756"/>
        <item m="1" x="633"/>
        <item m="1" x="1583"/>
        <item m="1" x="4710"/>
        <item m="1" x="3401"/>
        <item m="1" x="6199"/>
        <item m="1" x="1546"/>
        <item m="1" x="5778"/>
        <item m="1" x="2273"/>
        <item m="1" x="1360"/>
        <item m="1" x="1828"/>
        <item m="1" x="3219"/>
        <item m="1" x="298"/>
        <item m="1" x="1727"/>
        <item m="1" x="4505"/>
        <item m="1" x="2484"/>
        <item m="1" x="5244"/>
        <item m="1" x="4290"/>
        <item m="1" x="183"/>
        <item m="1" x="124"/>
        <item m="1" x="500"/>
        <item m="1" x="3139"/>
        <item m="1" x="3057"/>
        <item m="1" x="5287"/>
        <item m="1" x="1803"/>
        <item m="1" x="928"/>
        <item m="1" x="2304"/>
        <item m="1" x="1257"/>
        <item m="1" x="3036"/>
        <item m="1" x="4391"/>
        <item m="1" x="4341"/>
        <item m="1" x="1215"/>
        <item m="1" x="5479"/>
        <item m="1" x="4347"/>
        <item m="1" x="168"/>
        <item m="1" x="745"/>
        <item m="1" x="2026"/>
        <item m="1" x="3157"/>
        <item m="1" x="3058"/>
        <item m="1" x="3573"/>
        <item m="1" x="4984"/>
        <item m="1" x="5476"/>
        <item m="1" x="1551"/>
        <item m="1" x="3796"/>
        <item m="1" x="3946"/>
        <item m="1" x="4852"/>
        <item m="1" x="2193"/>
        <item m="1" x="2539"/>
        <item m="1" x="3729"/>
        <item m="1" x="3919"/>
        <item m="1" x="2747"/>
        <item m="1" x="686"/>
        <item m="1" x="3515"/>
        <item m="1" x="4536"/>
        <item m="1" x="3297"/>
        <item m="1" x="3397"/>
        <item m="1" x="6141"/>
        <item m="1" x="5166"/>
        <item m="1" x="1979"/>
        <item m="1" x="3077"/>
        <item m="1" x="290"/>
        <item m="1" x="1784"/>
        <item m="1" x="5222"/>
        <item m="1" x="241"/>
        <item m="1" x="181"/>
        <item m="1" x="3539"/>
        <item m="1" x="3883"/>
        <item m="1" x="4281"/>
        <item m="1" x="2566"/>
        <item m="1" x="2166"/>
        <item m="1" x="475"/>
        <item m="1" x="6158"/>
        <item m="1" x="1734"/>
        <item m="1" x="2545"/>
        <item m="1" x="4944"/>
        <item m="1" x="4212"/>
        <item m="1" x="2322"/>
        <item m="1" x="927"/>
        <item m="1" x="2411"/>
        <item m="1" x="5617"/>
        <item m="1" x="4471"/>
        <item m="1" x="5021"/>
        <item m="1" x="4691"/>
        <item m="1" x="404"/>
        <item m="1" x="5684"/>
        <item m="1" x="4506"/>
        <item m="1" x="1897"/>
        <item m="1" x="185"/>
        <item m="1" x="540"/>
        <item m="1" x="5580"/>
        <item m="1" x="4317"/>
        <item m="1" x="6220"/>
        <item m="1" x="5368"/>
        <item m="1" x="6183"/>
        <item m="1" x="2638"/>
        <item m="1" x="3261"/>
        <item m="1" x="4437"/>
        <item m="1" x="5844"/>
        <item m="1" x="5388"/>
        <item m="1" x="302"/>
        <item m="1" x="3214"/>
        <item m="1" x="504"/>
        <item m="1" x="4304"/>
        <item m="1" x="2946"/>
        <item m="1" x="3672"/>
        <item m="1" x="1937"/>
        <item m="1" x="4502"/>
        <item m="1" x="2058"/>
        <item m="1" x="436"/>
        <item m="1" x="136"/>
        <item m="1" x="485"/>
        <item m="1" x="4978"/>
        <item m="1" x="3944"/>
        <item m="1" x="4455"/>
        <item m="1" x="2857"/>
        <item m="1" x="476"/>
        <item m="1" x="4227"/>
        <item m="1" x="219"/>
        <item m="1" x="3828"/>
        <item m="1" x="1334"/>
        <item m="1" x="5885"/>
        <item m="1" x="3385"/>
        <item m="1" x="4239"/>
        <item m="1" x="3171"/>
        <item m="1" x="4382"/>
        <item m="1" x="4209"/>
        <item m="1" x="2564"/>
        <item m="1" x="3878"/>
        <item m="1" x="433"/>
        <item m="1" x="5682"/>
        <item m="1" x="392"/>
        <item m="1" x="985"/>
        <item m="1" x="1582"/>
        <item m="1" x="2164"/>
        <item m="1" x="5546"/>
        <item m="1" x="1143"/>
        <item m="1" x="3454"/>
        <item m="1" x="4548"/>
        <item m="1" x="5544"/>
        <item m="1" x="2527"/>
        <item m="1" x="3379"/>
        <item m="1" x="3678"/>
        <item m="1" x="5823"/>
        <item m="1" x="471"/>
        <item m="1" x="5415"/>
        <item m="1" x="5819"/>
        <item m="1" x="4943"/>
        <item m="1" x="4064"/>
        <item m="1" x="1158"/>
        <item m="1" x="4315"/>
        <item m="1" x="5323"/>
        <item m="1" x="3708"/>
        <item m="1" x="6230"/>
        <item m="1" x="2694"/>
        <item m="1" x="1197"/>
        <item m="1" x="5680"/>
        <item m="1" x="4847"/>
        <item m="1" x="5025"/>
        <item m="1" x="2338"/>
        <item m="1" x="222"/>
        <item m="1" x="3055"/>
        <item m="1" x="2467"/>
        <item m="1" x="2944"/>
        <item m="1" x="3356"/>
        <item m="1" x="3788"/>
        <item m="1" x="671"/>
        <item m="1" x="5886"/>
        <item m="1" x="5179"/>
        <item m="1" x="4584"/>
        <item m="1" x="5159"/>
        <item m="1" x="1984"/>
        <item m="1" x="2126"/>
        <item m="1" x="4452"/>
        <item m="1" x="5552"/>
        <item m="1" x="867"/>
        <item m="1" x="5916"/>
        <item m="1" x="4289"/>
        <item m="1" x="4743"/>
        <item m="1" x="3380"/>
        <item m="1" x="5622"/>
        <item m="1" x="845"/>
        <item m="1" x="4188"/>
        <item m="1" x="531"/>
        <item m="1" x="2790"/>
        <item m="1" x="3727"/>
        <item m="1" x="6082"/>
        <item m="1" x="5846"/>
        <item m="1" x="2597"/>
        <item m="1" x="3263"/>
        <item m="1" x="2349"/>
        <item m="1" x="6073"/>
        <item m="1" x="3256"/>
        <item m="1" x="6045"/>
        <item m="1" x="5795"/>
        <item m="1" x="3908"/>
        <item m="1" x="4037"/>
        <item m="1" x="4426"/>
        <item m="1" x="2885"/>
        <item m="1" x="2243"/>
        <item m="1" x="4160"/>
        <item m="1" x="1406"/>
        <item m="1" x="4554"/>
        <item m="1" x="3315"/>
        <item m="1" x="410"/>
        <item m="1" x="2075"/>
        <item m="1" x="4525"/>
        <item m="1" x="6071"/>
        <item m="1" x="4947"/>
        <item m="1" x="3671"/>
        <item m="1" x="1445"/>
        <item m="1" x="5942"/>
        <item m="1" x="3146"/>
        <item m="1" x="3524"/>
        <item m="1" x="5043"/>
        <item m="1" x="2134"/>
        <item m="1" x="3449"/>
        <item m="1" x="5626"/>
        <item m="1" x="3471"/>
        <item m="1" x="606"/>
        <item m="1" x="860"/>
        <item m="1" x="461"/>
        <item m="1" x="5779"/>
        <item m="1" x="3015"/>
        <item m="1" x="3741"/>
        <item m="1" x="1077"/>
        <item m="1" x="5780"/>
        <item m="1" x="763"/>
        <item m="1" x="5556"/>
        <item m="1" x="4002"/>
        <item m="1" x="3455"/>
        <item m="1" x="3874"/>
        <item m="1" x="1639"/>
        <item m="1" x="2580"/>
        <item m="1" x="5692"/>
        <item m="1" x="2033"/>
        <item m="1" x="1695"/>
        <item m="1" x="3492"/>
        <item m="1" x="5409"/>
        <item m="1" x="5945"/>
        <item m="1" x="1265"/>
        <item m="1" x="449"/>
        <item m="1" x="1151"/>
        <item m="1" x="365"/>
        <item m="1" x="2934"/>
        <item m="1" x="3517"/>
        <item m="1" x="705"/>
        <item m="1" x="4976"/>
        <item m="1" x="2522"/>
        <item m="1" x="2268"/>
        <item m="1" x="5373"/>
        <item m="1" x="4373"/>
        <item m="1" x="3961"/>
        <item m="1" x="5000"/>
        <item m="1" x="1724"/>
        <item m="1" x="2997"/>
        <item m="1" x="2220"/>
        <item m="1" x="896"/>
        <item m="1" x="2303"/>
        <item m="1" x="3354"/>
        <item m="1" x="1532"/>
        <item m="1" x="1245"/>
        <item m="1" x="3647"/>
        <item m="1" x="2282"/>
        <item m="1" x="4776"/>
        <item m="1" x="3598"/>
        <item m="1" x="6206"/>
        <item m="1" x="3429"/>
        <item m="1" x="1770"/>
        <item m="1" x="2511"/>
        <item m="1" x="2441"/>
        <item m="1" x="5451"/>
        <item m="1" x="383"/>
        <item m="1" x="3274"/>
        <item m="1" x="776"/>
        <item m="1" x="855"/>
        <item m="1" x="3135"/>
        <item m="1" x="273"/>
        <item m="1" x="5968"/>
        <item m="1" x="1393"/>
        <item m="1" x="590"/>
        <item m="1" x="3108"/>
        <item m="1" x="2628"/>
        <item m="1" x="5978"/>
        <item m="1" x="2524"/>
        <item m="1" x="1126"/>
        <item m="1" x="5165"/>
        <item m="1" x="5163"/>
        <item m="1" x="5146"/>
        <item m="1" x="473"/>
        <item m="1" x="2540"/>
        <item m="1" x="5258"/>
        <item m="1" x="4932"/>
        <item m="1" x="5951"/>
        <item m="1" x="4588"/>
        <item m="1" x="2151"/>
        <item m="1" x="4369"/>
        <item m="1" x="2836"/>
        <item m="1" x="3317"/>
        <item m="1" x="5498"/>
        <item m="1" x="5629"/>
        <item m="1" x="3639"/>
        <item m="1" x="4966"/>
        <item m="1" x="3252"/>
        <item m="1" x="935"/>
        <item m="1" x="2459"/>
        <item m="1" x="2327"/>
        <item m="1" x="6211"/>
        <item m="1" x="2611"/>
        <item m="1" x="1117"/>
        <item m="1" x="2949"/>
        <item m="1" x="1150"/>
        <item m="1" x="2259"/>
        <item m="1" x="6229"/>
        <item m="1" x="4006"/>
        <item m="1" x="1795"/>
        <item m="1" x="4280"/>
        <item m="1" x="2589"/>
        <item m="1" x="4870"/>
        <item m="1" x="1592"/>
        <item m="1" x="2003"/>
        <item m="1" x="1385"/>
        <item m="1" x="2607"/>
        <item m="1" x="1342"/>
        <item m="1" x="6138"/>
        <item m="1" x="3448"/>
        <item m="1" x="4726"/>
        <item m="1" x="122"/>
        <item m="1" x="872"/>
        <item m="1" x="525"/>
        <item m="1" x="4238"/>
        <item m="1" x="2047"/>
        <item m="1" x="5429"/>
        <item m="1" x="5930"/>
        <item m="1" x="2362"/>
        <item m="1" x="4443"/>
        <item m="1" x="1947"/>
        <item m="1" x="2390"/>
        <item m="1" x="5982"/>
        <item m="1" x="2738"/>
        <item m="1" x="4139"/>
        <item m="1" x="4113"/>
        <item m="1" x="752"/>
        <item m="1" x="3273"/>
        <item m="1" x="5414"/>
        <item m="1" x="1556"/>
        <item m="1" x="4083"/>
        <item m="1" x="1732"/>
        <item m="1" x="118"/>
        <item m="1" x="1498"/>
        <item m="1" x="1661"/>
        <item m="1" x="2689"/>
        <item m="1" x="4470"/>
        <item m="1" x="5240"/>
        <item m="1" x="4783"/>
        <item m="1" x="1914"/>
        <item m="1" x="3298"/>
        <item m="1" x="668"/>
        <item m="1" x="5349"/>
        <item m="1" x="2285"/>
        <item m="1" x="1519"/>
        <item m="1" x="270"/>
        <item m="1" x="5408"/>
        <item m="1" x="2916"/>
        <item m="1" x="4313"/>
        <item m="1" x="5290"/>
        <item m="1" x="3089"/>
        <item m="1" x="5596"/>
        <item m="1" x="3530"/>
        <item m="1" x="405"/>
        <item m="1" x="1314"/>
        <item m="1" x="4319"/>
        <item m="1" x="4982"/>
        <item m="1" x="5805"/>
        <item m="1" x="3975"/>
        <item m="1" x="5493"/>
        <item m="1" x="5454"/>
        <item x="60"/>
        <item m="1" x="3887"/>
        <item m="1" x="5536"/>
        <item m="1" x="5769"/>
        <item m="1" x="1000"/>
        <item m="1" x="2360"/>
        <item m="1" x="2561"/>
        <item m="1" x="5001"/>
        <item m="1" x="4396"/>
        <item m="1" x="2081"/>
        <item m="1" x="2030"/>
        <item m="1" x="873"/>
        <item m="1" x="4794"/>
        <item m="1" x="5893"/>
        <item m="1" x="3204"/>
        <item m="1" x="642"/>
        <item m="1" x="774"/>
        <item m="1" x="438"/>
        <item m="1" x="5211"/>
        <item m="1" x="4874"/>
        <item m="1" x="832"/>
        <item m="1" x="6085"/>
        <item m="1" x="4866"/>
        <item m="1" x="5305"/>
        <item m="1" x="2249"/>
        <item m="1" x="1539"/>
        <item m="1" x="121"/>
        <item m="1" x="6087"/>
        <item m="1" x="3309"/>
        <item m="1" x="420"/>
        <item m="1" x="713"/>
        <item m="1" x="2296"/>
        <item m="1" x="1836"/>
        <item m="1" x="281"/>
        <item m="1" x="5860"/>
        <item m="1" x="4622"/>
        <item m="1" x="1327"/>
        <item m="1" x="1720"/>
        <item m="1" x="4106"/>
        <item m="1" x="1839"/>
        <item m="1" x="4923"/>
        <item m="1" x="607"/>
        <item m="1" x="6173"/>
        <item m="1" x="6182"/>
        <item m="1" x="5715"/>
        <item m="1" x="2001"/>
        <item m="1" x="5155"/>
        <item m="1" x="2281"/>
        <item m="1" x="4700"/>
        <item m="1" x="426"/>
        <item m="1" x="146"/>
        <item m="1" x="6241"/>
        <item m="1" x="4912"/>
        <item m="1" x="310"/>
        <item m="1" x="3063"/>
        <item m="1" x="694"/>
        <item m="1" x="2400"/>
        <item m="1" x="6256"/>
        <item m="1" x="5603"/>
        <item m="1" x="4129"/>
        <item m="1" x="1981"/>
        <item m="1" x="5015"/>
        <item m="1" x="3254"/>
        <item m="1" x="2807"/>
        <item m="1" x="1858"/>
        <item m="1" x="5427"/>
        <item m="1" x="659"/>
        <item m="1" x="3770"/>
        <item m="1" x="1788"/>
        <item m="1" x="2685"/>
        <item m="1" x="835"/>
        <item m="1" x="2371"/>
        <item m="1" x="5811"/>
        <item m="1" x="4501"/>
        <item m="1" x="3465"/>
        <item m="1" x="4699"/>
        <item m="1" x="4478"/>
        <item m="1" x="3084"/>
        <item m="1" x="5986"/>
        <item m="1" x="5961"/>
        <item m="1" x="5743"/>
        <item m="1" x="771"/>
        <item m="1" x="3917"/>
        <item m="1" x="4329"/>
        <item m="1" x="3955"/>
        <item m="1" x="2208"/>
        <item m="1" x="1060"/>
        <item m="1" x="4838"/>
        <item m="1" x="5574"/>
        <item m="1" x="1458"/>
        <item m="1" x="1909"/>
        <item m="1" x="4224"/>
        <item m="1" x="3797"/>
        <item m="1" x="574"/>
        <item m="1" x="670"/>
        <item m="1" x="5242"/>
        <item m="1" x="2267"/>
        <item m="1" x="5636"/>
        <item m="1" x="1768"/>
        <item m="1" x="2305"/>
        <item m="1" x="2202"/>
        <item m="1" x="1440"/>
        <item m="1" x="5919"/>
        <item m="1" x="5929"/>
        <item m="1" x="1573"/>
        <item m="1" x="5300"/>
        <item m="1" x="347"/>
        <item m="1" x="4727"/>
        <item m="1" x="2584"/>
        <item m="1" x="3357"/>
        <item m="1" x="852"/>
        <item m="1" x="4798"/>
        <item m="1" x="4711"/>
        <item m="1" x="5018"/>
        <item m="1" x="4274"/>
        <item m="1" x="5044"/>
        <item m="1" x="5836"/>
        <item m="1" x="1026"/>
        <item m="1" x="2503"/>
        <item m="1" x="1759"/>
        <item m="1" x="5402"/>
        <item m="1" x="1591"/>
        <item m="1" x="454"/>
        <item m="1" x="6110"/>
        <item m="1" x="4404"/>
        <item m="1" x="3884"/>
        <item m="1" x="3049"/>
        <item m="1" x="3895"/>
        <item m="1" x="1008"/>
        <item m="1" x="2061"/>
        <item m="1" x="4577"/>
        <item m="1" x="5426"/>
        <item m="1" x="2226"/>
        <item m="1" x="3781"/>
        <item m="1" x="5061"/>
        <item m="1" x="1782"/>
        <item m="1" x="2526"/>
        <item m="1" x="5234"/>
        <item m="1" x="1636"/>
        <item m="1" x="2125"/>
        <item m="1" x="4997"/>
        <item m="1" x="4662"/>
        <item m="1" x="4784"/>
        <item m="1" x="3417"/>
        <item m="1" x="1290"/>
        <item m="1" x="5130"/>
        <item m="1" x="5869"/>
        <item m="1" x="3035"/>
        <item m="1" x="125"/>
        <item m="1" x="3190"/>
        <item m="1" x="1322"/>
        <item m="1" x="3493"/>
        <item m="1" x="6001"/>
        <item m="1" x="5149"/>
        <item m="1" x="5055"/>
        <item m="1" x="2696"/>
        <item m="1" x="5137"/>
        <item m="1" x="167"/>
        <item m="1" x="5990"/>
        <item m="1" x="2973"/>
        <item m="1" x="4968"/>
        <item m="1" x="3879"/>
        <item m="1" x="1571"/>
        <item m="1" x="2356"/>
        <item m="1" x="2438"/>
        <item m="1" x="4222"/>
        <item m="1" x="3599"/>
        <item m="1" x="961"/>
        <item m="1" x="2803"/>
        <item m="1" x="691"/>
        <item m="1" x="2893"/>
        <item m="1" x="5895"/>
        <item m="1" x="5530"/>
        <item m="1" x="4288"/>
        <item m="1" x="371"/>
        <item m="1" x="3192"/>
        <item m="1" x="359"/>
        <item m="1" x="4617"/>
        <item m="1" x="3388"/>
        <item m="1" x="2472"/>
        <item m="1" x="1915"/>
        <item m="1" x="3714"/>
        <item m="1" x="5713"/>
        <item m="1" x="2672"/>
        <item m="1" x="3543"/>
        <item m="1" x="1437"/>
        <item m="1" x="488"/>
        <item m="1" x="5372"/>
        <item m="1" x="646"/>
        <item m="1" x="841"/>
        <item m="1" x="615"/>
        <item m="1" x="657"/>
        <item m="1" x="1769"/>
        <item m="1" x="2999"/>
        <item m="1" x="1841"/>
        <item x="102"/>
        <item m="1" x="5396"/>
        <item m="1" x="1357"/>
        <item m="1" x="1864"/>
        <item m="1" x="816"/>
        <item m="1" x="4015"/>
        <item m="1" x="567"/>
        <item m="1" x="5597"/>
        <item m="1" x="4623"/>
        <item m="1" x="5651"/>
        <item m="1" x="1080"/>
        <item m="1" x="2154"/>
        <item m="1" x="2169"/>
        <item m="1" x="2629"/>
        <item m="1" x="2917"/>
        <item m="1" x="3511"/>
        <item m="1" x="3994"/>
        <item m="1" x="3661"/>
        <item m="1" x="613"/>
        <item m="1" x="5111"/>
        <item m="1" x="1354"/>
        <item m="1" x="1009"/>
        <item m="1" x="1030"/>
        <item m="1" x="3140"/>
        <item m="1" x="544"/>
        <item m="1" x="4952"/>
        <item m="1" x="2036"/>
        <item m="1" x="5883"/>
        <item m="1" x="3918"/>
        <item m="1" x="4833"/>
        <item m="1" x="3230"/>
        <item m="1" x="1397"/>
        <item m="1" x="2286"/>
        <item m="1" x="1983"/>
        <item m="1" x="889"/>
        <item m="1" x="1477"/>
        <item m="1" x="5754"/>
        <item m="1" x="4323"/>
        <item m="1" x="4038"/>
        <item m="1" x="1193"/>
        <item m="1" x="3924"/>
        <item m="1" x="3896"/>
        <item m="1" x="5013"/>
        <item m="1" x="5496"/>
        <item m="1" x="174"/>
        <item m="1" x="6038"/>
        <item m="1" x="6005"/>
        <item m="1" x="2023"/>
        <item m="1" x="2194"/>
        <item m="1" x="3286"/>
        <item m="1" x="966"/>
        <item m="1" x="5446"/>
        <item m="1" x="3548"/>
        <item m="1" x="4423"/>
        <item m="1" x="4999"/>
        <item m="1" x="2183"/>
        <item m="1" x="1252"/>
        <item m="1" x="848"/>
        <item m="1" x="5987"/>
        <item m="1" x="1968"/>
        <item m="1" x="809"/>
        <item m="1" x="6058"/>
        <item m="1" x="2819"/>
        <item m="1" x="5746"/>
        <item m="1" x="3152"/>
        <item m="1" x="6223"/>
        <item m="1" x="1772"/>
        <item m="1" x="4820"/>
        <item m="1" x="277"/>
        <item m="1" x="1175"/>
        <item m="1" x="2040"/>
        <item m="1" x="4270"/>
        <item m="1" x="1934"/>
        <item m="1" x="3450"/>
        <item m="1" x="1374"/>
        <item m="1" x="1340"/>
        <item m="1" x="139"/>
        <item m="1" x="3196"/>
        <item m="1" x="2998"/>
        <item m="1" x="2002"/>
        <item m="1" x="3019"/>
        <item m="1" x="4457"/>
        <item m="1" x="2316"/>
        <item m="1" x="1196"/>
        <item m="1" x="2174"/>
        <item m="1" x="4048"/>
        <item m="1" x="5657"/>
        <item m="1" x="1763"/>
        <item m="1" x="5824"/>
        <item m="1" x="6055"/>
        <item m="1" x="5421"/>
        <item m="1" x="3257"/>
        <item m="1" x="3667"/>
        <item m="1" x="6176"/>
        <item m="1" x="1777"/>
        <item m="1" x="6249"/>
        <item m="1" x="4828"/>
        <item m="1" x="2236"/>
        <item m="1" x="5937"/>
        <item m="1" x="3304"/>
        <item m="1" x="2070"/>
        <item m="1" x="4475"/>
        <item m="1" x="3537"/>
        <item m="1" x="4916"/>
        <item m="1" x="5890"/>
        <item m="1" x="6089"/>
        <item m="1" x="203"/>
        <item m="1" x="1410"/>
        <item m="1" x="3175"/>
        <item m="1" x="877"/>
        <item m="1" x="2900"/>
        <item m="1" x="2000"/>
        <item m="1" x="4787"/>
        <item m="1" x="6129"/>
        <item m="1" x="2626"/>
        <item m="1" x="3117"/>
        <item m="1" x="4728"/>
        <item m="1" x="1948"/>
        <item m="1" x="5791"/>
        <item m="1" x="4181"/>
        <item m="1" x="938"/>
        <item m="1" x="3313"/>
        <item m="1" x="4807"/>
        <item m="1" x="2039"/>
        <item m="1" x="5749"/>
        <item m="1" x="5123"/>
        <item m="1" x="4686"/>
        <item m="1" x="5569"/>
        <item m="1" x="225"/>
        <item m="1" x="1214"/>
        <item m="1" x="5979"/>
        <item m="1" x="995"/>
        <item m="1" x="5395"/>
        <item m="1" x="4824"/>
        <item m="1" x="2012"/>
        <item m="1" x="5815"/>
        <item m="1" x="887"/>
        <item m="1" x="3369"/>
        <item m="1" x="5034"/>
        <item m="1" x="1691"/>
        <item m="1" x="2176"/>
        <item m="1" x="1817"/>
        <item m="1" x="5559"/>
        <item m="1" x="6081"/>
        <item m="1" x="3032"/>
        <item m="1" x="5078"/>
        <item m="1" x="1344"/>
        <item m="1" x="3360"/>
        <item m="1" x="3295"/>
        <item m="1" x="4646"/>
        <item m="1" x="5306"/>
        <item m="1" x="2113"/>
        <item m="1" x="4314"/>
        <item m="1" x="5363"/>
        <item m="1" x="5875"/>
        <item m="1" x="5161"/>
        <item m="1" x="3398"/>
        <item m="1" x="249"/>
        <item m="1" x="3184"/>
        <item m="1" x="1567"/>
        <item m="1" x="5433"/>
        <item m="1" x="4009"/>
        <item m="1" x="3480"/>
        <item m="1" x="1222"/>
        <item m="1" x="4138"/>
        <item m="1" x="780"/>
        <item m="1" x="362"/>
        <item m="1" x="4164"/>
        <item m="1" x="5910"/>
        <item m="1" x="1101"/>
        <item m="1" x="3663"/>
        <item m="1" x="115"/>
        <item m="1" x="4837"/>
        <item m="1" x="1179"/>
        <item m="1" x="295"/>
        <item m="1" x="376"/>
        <item m="1" x="1300"/>
        <item x="57"/>
        <item m="1" x="699"/>
        <item m="1" x="3771"/>
        <item m="1" x="2307"/>
        <item m="1" x="3866"/>
        <item m="1" x="5442"/>
        <item m="1" x="2669"/>
        <item m="1" x="393"/>
        <item m="1" x="791"/>
        <item m="1" x="6205"/>
        <item m="1" x="3270"/>
        <item m="1" x="1452"/>
        <item m="1" x="4619"/>
        <item m="1" x="1545"/>
        <item m="1" x="4898"/>
        <item m="1" x="4019"/>
        <item m="1" x="908"/>
        <item m="1" x="5800"/>
        <item m="1" x="1351"/>
        <item m="1" x="3200"/>
        <item m="1" x="2083"/>
        <item m="1" x="1898"/>
        <item m="1" x="3638"/>
        <item m="1" x="2261"/>
        <item m="1" x="2328"/>
        <item m="1" x="5122"/>
        <item m="1" x="723"/>
        <item m="1" x="1848"/>
        <item m="1" x="1767"/>
        <item m="1" x="4482"/>
        <item m="1" x="2449"/>
        <item m="1" x="2355"/>
        <item m="1" x="5912"/>
        <item m="1" x="4034"/>
        <item m="1" x="3722"/>
        <item m="1" x="3495"/>
        <item m="1" x="3836"/>
        <item m="1" x="2666"/>
        <item m="1" x="327"/>
        <item m="1" x="2546"/>
        <item m="1" x="5007"/>
        <item m="1" x="775"/>
        <item m="1" x="444"/>
        <item m="1" x="5856"/>
        <item m="1" x="2862"/>
        <item m="1" x="1371"/>
        <item m="1" x="3947"/>
        <item m="1" x="710"/>
        <item m="1" x="144"/>
        <item m="1" x="2235"/>
        <item m="1" x="4059"/>
        <item m="1" x="2144"/>
        <item m="1" x="2064"/>
        <item m="1" x="1566"/>
        <item m="1" x="1518"/>
        <item m="1" x="2528"/>
        <item m="1" x="492"/>
        <item m="1" x="5434"/>
        <item m="1" x="1956"/>
        <item m="1" x="6237"/>
        <item m="1" x="5632"/>
        <item m="1" x="3726"/>
        <item m="1" x="4605"/>
        <item m="1" x="2366"/>
        <item m="1" x="284"/>
        <item m="1" x="2492"/>
        <item m="1" x="4540"/>
        <item m="1" x="1148"/>
        <item m="1" x="4954"/>
        <item m="1" x="1076"/>
        <item m="1" x="4144"/>
        <item m="1" x="2782"/>
        <item m="1" x="5376"/>
        <item m="1" x="2909"/>
        <item m="1" x="3038"/>
        <item m="1" x="519"/>
        <item m="1" x="3862"/>
        <item m="1" x="5459"/>
        <item m="1" x="3942"/>
        <item m="1" x="3546"/>
        <item m="1" x="5570"/>
        <item m="1" x="4005"/>
        <item m="1" x="4172"/>
        <item m="1" x="5934"/>
        <item m="1" x="4467"/>
        <item m="1" x="3604"/>
        <item m="1" x="2019"/>
        <item m="1" x="413"/>
        <item m="1" x="5712"/>
        <item m="1" x="2231"/>
        <item m="1" x="3006"/>
        <item m="1" x="2877"/>
        <item m="1" x="1995"/>
        <item m="1" x="1373"/>
        <item m="1" x="4522"/>
        <item m="1" x="3657"/>
        <item m="1" x="4574"/>
        <item m="1" x="2614"/>
        <item m="1" x="530"/>
        <item m="1" x="676"/>
        <item m="1" x="2933"/>
        <item m="1" x="1264"/>
        <item m="1" x="1392"/>
        <item m="1" x="2678"/>
        <item m="1" x="1217"/>
        <item m="1" x="3358"/>
        <item m="1" x="5144"/>
        <item m="1" x="6163"/>
        <item m="1" x="4703"/>
        <item m="1" x="4466"/>
        <item m="1" x="4698"/>
        <item m="1" x="6091"/>
        <item m="1" x="3432"/>
        <item m="1" x="3985"/>
        <item m="1" x="1790"/>
        <item m="1" x="2105"/>
        <item m="1" x="2912"/>
        <item m="1" x="3767"/>
        <item m="1" x="1381"/>
        <item m="1" x="5575"/>
        <item m="1" x="3441"/>
        <item m="1" x="3577"/>
        <item m="1" x="5162"/>
        <item m="1" x="2295"/>
        <item m="1" x="3669"/>
        <item m="1" x="620"/>
        <item m="1" x="661"/>
        <item m="1" x="6060"/>
        <item m="1" x="4921"/>
        <item m="1" x="311"/>
        <item m="1" x="1417"/>
        <item m="1" x="5209"/>
        <item m="1" x="1960"/>
        <item m="1" x="5993"/>
        <item m="1" x="3453"/>
        <item m="1" x="2742"/>
        <item m="1" x="5679"/>
        <item m="1" x="1520"/>
        <item m="1" x="3765"/>
        <item m="1" x="275"/>
        <item m="1" x="2751"/>
        <item m="1" x="2343"/>
        <item m="1" x="5301"/>
        <item m="1" x="6253"/>
        <item m="1" x="421"/>
        <item m="1" x="2279"/>
        <item m="1" x="2958"/>
        <item m="1" x="5606"/>
        <item m="1" x="831"/>
        <item m="1" x="2585"/>
        <item m="1" x="5539"/>
        <item m="1" x="576"/>
        <item m="1" x="3804"/>
        <item m="1" x="630"/>
        <item m="1" x="1648"/>
        <item m="1" x="1168"/>
        <item m="1" x="4998"/>
        <item m="1" x="5297"/>
        <item m="1" x="1619"/>
        <item m="1" x="4509"/>
        <item m="1" x="5545"/>
        <item m="1" x="4011"/>
        <item m="1" x="522"/>
        <item m="1" x="1167"/>
        <item m="1" x="1943"/>
        <item m="1" x="5639"/>
        <item m="1" x="4840"/>
        <item m="1" x="1821"/>
        <item m="1" x="6027"/>
        <item m="1" x="2651"/>
        <item m="1" x="1930"/>
        <item m="1" x="2833"/>
        <item m="1" x="145"/>
        <item m="1" x="4612"/>
        <item m="1" x="660"/>
        <item m="1" x="1659"/>
        <item m="1" x="4535"/>
        <item m="1" x="3976"/>
        <item m="1" x="3124"/>
        <item m="1" x="2017"/>
        <item m="1" x="3614"/>
        <item m="1" x="1873"/>
        <item m="1" x="4384"/>
        <item m="1" x="2802"/>
        <item m="1" x="1656"/>
        <item m="1" x="596"/>
        <item m="1" x="1087"/>
        <item m="1" x="1850"/>
        <item m="1" x="3824"/>
        <item m="1" x="3345"/>
        <item m="1" x="3195"/>
        <item m="1" x="2187"/>
        <item m="1" x="1667"/>
        <item m="1" x="251"/>
        <item m="1" x="5806"/>
        <item m="1" x="4862"/>
        <item m="1" x="1032"/>
        <item m="1" x="2964"/>
        <item m="1" x="1408"/>
        <item m="1" x="1149"/>
        <item m="1" x="2923"/>
        <item m="1" x="120"/>
        <item m="1" x="2453"/>
        <item m="1" x="1908"/>
        <item m="1" x="4468"/>
        <item m="1" x="4748"/>
        <item m="1" x="165"/>
        <item m="1" x="1254"/>
        <item m="1" x="4322"/>
        <item m="1" x="974"/>
        <item m="1" x="1509"/>
        <item m="1" x="3755"/>
        <item m="1" x="344"/>
        <item m="1" x="2466"/>
        <item m="1" x="4519"/>
        <item m="1" x="5907"/>
        <item m="1" x="5128"/>
        <item m="1" x="782"/>
        <item m="1" x="4168"/>
        <item m="1" x="5785"/>
        <item m="1" x="2850"/>
        <item m="1" x="3861"/>
        <item m="1" x="4153"/>
        <item m="1" x="5985"/>
        <item m="1" x="1122"/>
        <item m="1" x="2720"/>
        <item m="1" x="3777"/>
        <item m="1" x="1625"/>
        <item m="1" x="6143"/>
        <item m="1" x="1826"/>
        <item m="1" x="1640"/>
        <item m="1" x="5947"/>
        <item m="1" x="4529"/>
        <item m="1" x="1263"/>
        <item m="1" x="3253"/>
        <item m="1" x="2253"/>
        <item m="1" x="4804"/>
        <item m="1" x="5051"/>
        <item m="1" x="3957"/>
        <item m="1" x="1740"/>
        <item m="1" x="5249"/>
        <item m="1" x="5859"/>
        <item m="1" x="1070"/>
        <item m="1" x="3168"/>
        <item m="1" x="5139"/>
        <item m="1" x="4958"/>
        <item m="1" x="1372"/>
        <item m="1" x="207"/>
        <item m="1" x="3266"/>
        <item m="1" x="5612"/>
        <item m="1" x="979"/>
        <item m="1" x="412"/>
        <item m="1" x="4815"/>
        <item m="1" x="2557"/>
        <item m="1" x="5548"/>
        <item m="1" x="3880"/>
        <item m="1" x="3512"/>
        <item m="1" x="5721"/>
        <item m="1" x="1844"/>
        <item m="1" x="5619"/>
        <item m="1" x="883"/>
        <item m="1" x="6065"/>
        <item m="1" x="5724"/>
        <item m="1" x="3289"/>
        <item m="1" x="5718"/>
        <item m="1" x="1307"/>
        <item m="1" x="3030"/>
        <item m="1" x="1653"/>
        <item m="1" x="3636"/>
        <item m="1" x="2225"/>
        <item m="1" x="5204"/>
        <item m="1" x="834"/>
        <item m="1" x="5897"/>
        <item m="1" x="5036"/>
        <item m="1" x="2284"/>
        <item m="1" x="306"/>
        <item m="1" x="1829"/>
        <item m="1" x="3652"/>
        <item m="1" x="3306"/>
        <item m="1" x="5178"/>
        <item m="1" x="5355"/>
        <item m="1" x="5416"/>
        <item m="1" x="3249"/>
        <item m="1" x="858"/>
        <item m="1" x="2406"/>
        <item m="1" x="5052"/>
        <item m="1" x="3905"/>
        <item m="1" x="137"/>
        <item m="1" x="687"/>
        <item m="1" x="2309"/>
        <item m="1" x="460"/>
        <item m="1" x="3095"/>
        <item m="1" x="2515"/>
        <item m="1" x="2080"/>
        <item m="1" x="4400"/>
        <item m="1" x="4854"/>
        <item m="1" x="2529"/>
        <item m="1" x="2848"/>
        <item m="1" x="3331"/>
        <item m="1" x="5470"/>
        <item m="1" x="3586"/>
        <item m="1" x="4387"/>
        <item m="1" x="1489"/>
        <item m="1" x="4713"/>
        <item m="1" x="4088"/>
        <item m="1" x="1871"/>
        <item m="1" x="3695"/>
        <item m="1" x="2662"/>
        <item m="1" x="1529"/>
        <item m="1" x="5876"/>
        <item m="1" x="2520"/>
        <item m="1" x="6162"/>
        <item m="1" x="116"/>
        <item m="1" x="1462"/>
        <item m="1" x="5110"/>
        <item m="1" x="2244"/>
        <item m="1" x="131"/>
        <item m="1" x="3567"/>
        <item m="1" x="4283"/>
        <item m="1" x="906"/>
        <item m="1" x="3607"/>
        <item m="1" x="382"/>
        <item m="1" x="5766"/>
        <item m="1" x="285"/>
        <item x="29"/>
        <item m="1" x="5354"/>
        <item m="1" x="4963"/>
        <item m="1" x="1736"/>
        <item m="1" x="456"/>
        <item m="1" x="2814"/>
        <item m="1" x="199"/>
        <item m="1" x="1034"/>
        <item m="1" x="2841"/>
        <item m="1" x="4298"/>
        <item m="1" x="4216"/>
        <item m="1" x="3076"/>
        <item m="1" x="602"/>
        <item m="1" x="4867"/>
        <item m="1" x="1862"/>
        <item m="1" x="2731"/>
        <item m="1" x="5264"/>
        <item m="1" x="4132"/>
        <item m="1" x="2707"/>
        <item m="1" x="5708"/>
        <item m="1" x="3119"/>
        <item m="1" x="3734"/>
        <item m="1" x="5145"/>
        <item m="1" x="3440"/>
        <item m="1" x="1535"/>
        <item m="1" x="402"/>
        <item m="1" x="6022"/>
        <item m="1" x="729"/>
        <item m="1" x="3984"/>
        <item m="1" x="1144"/>
        <item m="1" x="4608"/>
        <item m="1" x="3882"/>
        <item m="1" x="2455"/>
        <item m="1" x="2025"/>
        <item m="1" x="4145"/>
        <item m="1" x="2688"/>
        <item m="1" x="1970"/>
        <item m="1" x="1171"/>
        <item m="1" x="2079"/>
        <item m="1" x="5728"/>
        <item m="1" x="5285"/>
        <item m="1" x="3102"/>
        <item m="1" x="1375"/>
        <item m="1" x="3506"/>
        <item m="1" x="3899"/>
        <item m="1" x="3082"/>
        <item m="1" x="718"/>
        <item m="1" x="1092"/>
        <item m="1" x="4903"/>
        <item m="1" x="3927"/>
        <item m="1" x="2576"/>
        <item m="1" x="4464"/>
        <item m="1" x="4777"/>
        <item m="1" x="2953"/>
        <item m="1" x="3720"/>
        <item m="1" x="1332"/>
        <item x="91"/>
        <item m="1" x="3290"/>
        <item m="1" x="5485"/>
        <item m="1" x="920"/>
        <item x="70"/>
        <item m="1" x="1988"/>
        <item m="1" x="6006"/>
        <item m="1" x="3268"/>
        <item m="1" x="6197"/>
        <item m="1" x="6171"/>
        <item m="1" x="4076"/>
        <item m="1" x="3458"/>
        <item m="1" x="255"/>
        <item m="1" x="368"/>
        <item m="1" x="5957"/>
        <item m="1" x="2011"/>
        <item m="1" x="4683"/>
        <item m="1" x="5117"/>
        <item m="1" x="5784"/>
        <item m="1" x="5093"/>
        <item m="1" x="2404"/>
        <item m="1" x="4080"/>
        <item m="1" x="4856"/>
        <item m="1" x="1370"/>
        <item x="84"/>
        <item m="1" x="3324"/>
        <item m="1" x="5428"/>
        <item m="1" x="2118"/>
        <item m="1" x="3736"/>
        <item m="1" x="4388"/>
        <item m="1" x="474"/>
        <item m="1" x="2605"/>
        <item m="1" x="2344"/>
        <item m="1" x="1895"/>
        <item m="1" x="2076"/>
        <item m="1" x="5489"/>
        <item m="1" x="824"/>
        <item m="1" x="3749"/>
        <item m="1" x="5422"/>
        <item m="1" x="6192"/>
        <item m="1" x="3001"/>
        <item m="1" x="5169"/>
        <item m="1" x="2774"/>
        <item m="1" x="1438"/>
        <item m="1" x="1275"/>
        <item m="1" x="2620"/>
        <item m="1" x="844"/>
        <item m="1" x="6069"/>
        <item m="1" x="4679"/>
        <item m="1" x="4053"/>
        <item m="1" x="2772"/>
        <item m="1" x="871"/>
        <item m="1" x="5398"/>
        <item m="1" x="2507"/>
        <item m="1" x="4920"/>
        <item m="1" x="945"/>
        <item m="1" x="5745"/>
        <item m="1" x="2190"/>
        <item m="1" x="3774"/>
        <item m="1" x="5360"/>
        <item m="1" x="6240"/>
        <item m="1" x="1835"/>
        <item m="1" x="812"/>
        <item m="1" x="1110"/>
        <item m="1" x="3793"/>
        <item m="1" x="1419"/>
        <item m="1" x="1319"/>
        <item m="1" x="5450"/>
        <item m="1" x="218"/>
        <item m="1" x="1129"/>
        <item m="1" x="6066"/>
        <item m="1" x="561"/>
        <item m="1" x="992"/>
        <item m="1" x="3186"/>
        <item m="1" x="2293"/>
        <item m="1" x="5759"/>
        <item m="1" x="5057"/>
        <item m="1" x="5447"/>
        <item m="1" x="502"/>
        <item m="1" x="2008"/>
        <item m="1" x="3047"/>
        <item m="1" x="6117"/>
        <item m="1" x="3311"/>
        <item m="1" x="491"/>
        <item m="1" x="3096"/>
        <item m="1" x="3609"/>
        <item m="1" x="4993"/>
        <item m="1" x="5387"/>
        <item m="1" x="2402"/>
        <item m="1" x="518"/>
        <item m="1" x="486"/>
        <item m="1" x="1446"/>
        <item m="1" x="3644"/>
        <item m="1" x="5699"/>
        <item m="1" x="1781"/>
        <item m="1" x="1837"/>
        <item m="1" x="4860"/>
        <item m="1" x="2478"/>
        <item m="1" x="5266"/>
        <item m="1" x="1174"/>
        <item m="1" x="1655"/>
        <item m="1" x="3906"/>
        <item m="1" x="827"/>
        <item m="1" x="1801"/>
        <item m="1" x="3243"/>
        <item m="1" x="635"/>
        <item m="1" x="3940"/>
        <item m="1" x="2128"/>
        <item m="1" x="2092"/>
        <item m="1" x="503"/>
        <item m="1" x="1382"/>
        <item m="1" x="364"/>
        <item m="1" x="4915"/>
        <item m="1" x="5510"/>
        <item m="1" x="972"/>
        <item m="1" x="3579"/>
        <item m="1" x="3766"/>
        <item m="1" x="5124"/>
        <item m="1" x="5471"/>
        <item m="1" x="990"/>
        <item m="1" x="3355"/>
        <item m="1" x="5038"/>
        <item m="1" x="1771"/>
        <item m="1" x="1201"/>
        <item m="1" x="5914"/>
        <item m="1" x="3791"/>
        <item m="1" x="3208"/>
        <item m="1" x="447"/>
        <item m="1" x="898"/>
        <item m="1" x="429"/>
        <item m="1" x="4821"/>
        <item m="1" x="2986"/>
        <item m="1" x="2180"/>
        <item m="1" x="1941"/>
        <item m="1" x="378"/>
        <item m="1" x="1236"/>
        <item m="1" x="4292"/>
        <item m="1" x="3775"/>
        <item m="1" x="593"/>
        <item m="1" x="1035"/>
        <item m="1" x="2114"/>
        <item m="1" x="3737"/>
        <item m="1" x="3973"/>
        <item m="1" x="507"/>
        <item m="1" x="3718"/>
        <item m="1" x="1011"/>
        <item m="1" x="3593"/>
        <item m="1" x="3329"/>
        <item m="1" x="2780"/>
        <item m="1" x="4570"/>
        <item m="1" x="4945"/>
        <item m="1" x="4827"/>
        <item m="1" x="523"/>
        <item m="1" x="891"/>
        <item m="1" x="3623"/>
        <item m="1" x="169"/>
        <item m="1" x="5261"/>
        <item m="1" x="814"/>
        <item m="1" x="1537"/>
        <item m="1" x="366"/>
        <item m="1" x="204"/>
        <item m="1" x="4596"/>
        <item m="1" x="3848"/>
        <item m="1" x="781"/>
        <item m="1" x="1181"/>
        <item m="1" x="3070"/>
        <item m="1" x="759"/>
        <item m="1" x="4512"/>
        <item m="1" x="797"/>
        <item m="1" x="247"/>
        <item m="1" x="1919"/>
        <item m="1" x="2748"/>
        <item m="1" x="303"/>
        <item m="1" x="681"/>
        <item m="1" x="5343"/>
        <item m="1" x="5238"/>
        <item m="1" x="2396"/>
        <item m="1" x="5683"/>
        <item m="1" x="280"/>
        <item m="1" x="1641"/>
        <item m="1" x="4377"/>
        <item m="1" x="5216"/>
        <item m="1" x="2495"/>
        <item m="1" x="2896"/>
        <item m="1" x="1065"/>
        <item m="1" x="1336"/>
        <item m="1" x="3631"/>
        <item m="1" x="5568"/>
        <item m="1" x="3321"/>
        <item m="1" x="3662"/>
        <item m="1" x="2219"/>
        <item m="1" x="1622"/>
        <item m="1" x="1665"/>
        <item m="1" x="1558"/>
        <item m="1" x="210"/>
        <item m="1" x="3452"/>
        <item m="1" x="564"/>
        <item m="1" x="3790"/>
        <item m="1" x="4845"/>
        <item m="1" x="3004"/>
        <item m="1" x="1102"/>
        <item m="1" x="1048"/>
        <item m="1" x="2073"/>
        <item m="1" x="818"/>
        <item m="1" x="3997"/>
        <item m="1" x="1207"/>
        <item m="1" x="2207"/>
        <item m="1" x="463"/>
        <item m="1" x="1472"/>
        <item m="1" x="2723"/>
        <item m="1" x="3220"/>
        <item m="1" x="609"/>
        <item m="1" x="4072"/>
        <item m="1" x="3027"/>
        <item m="1" x="3646"/>
        <item m="1" x="3242"/>
        <item m="1" x="1328"/>
        <item m="1" x="4907"/>
        <item m="1" x="4950"/>
        <item m="1" x="900"/>
        <item x="40"/>
        <item m="1" x="5938"/>
        <item m="1" x="4790"/>
        <item m="1" x="1942"/>
        <item m="1" x="532"/>
        <item m="1" x="117"/>
        <item m="1" x="1760"/>
        <item m="1" x="5604"/>
        <item m="1" x="3330"/>
        <item m="1" x="4403"/>
        <item m="1" x="2188"/>
        <item m="1" x="6036"/>
        <item m="1" x="3086"/>
        <item m="1" x="3801"/>
        <item m="1" x="5441"/>
        <item m="1" x="5725"/>
        <item m="1" x="3098"/>
        <item m="1" x="346"/>
        <item m="1" x="783"/>
        <item m="1" x="3079"/>
        <item m="1" x="1715"/>
        <item m="1" x="5644"/>
        <item m="1" x="5469"/>
        <item m="1" x="5332"/>
        <item m="1" x="4130"/>
        <item m="1" x="4879"/>
        <item m="1" x="1746"/>
        <item m="1" x="640"/>
        <item m="1" x="4205"/>
        <item m="1" x="4611"/>
        <item m="1" x="4817"/>
        <item m="1" x="5790"/>
        <item m="1" x="4853"/>
        <item m="1" x="1216"/>
        <item m="1" x="851"/>
        <item m="1" x="577"/>
        <item m="1" x="2832"/>
        <item m="1" x="276"/>
        <item m="1" x="3717"/>
        <item m="1" x="3574"/>
        <item m="1" x="601"/>
        <item m="1" x="4149"/>
        <item m="1" x="6096"/>
        <item m="1" x="1282"/>
        <item m="1" x="178"/>
        <item m="1" x="1560"/>
        <item m="1" x="3566"/>
        <item m="1" x="5194"/>
        <item m="1" x="6031"/>
        <item m="1" x="5523"/>
        <item m="1" x="5006"/>
        <item m="1" x="932"/>
        <item m="1" x="1730"/>
        <item m="1" x="451"/>
        <item m="1" x="4007"/>
        <item m="1" x="6013"/>
        <item m="1" x="6150"/>
        <item m="1" x="5303"/>
        <item m="1" x="4638"/>
        <item m="1" x="2536"/>
        <item m="1" x="1754"/>
        <item m="1" x="138"/>
        <item m="1" x="4625"/>
        <item m="1" x="2501"/>
        <item m="1" x="4834"/>
        <item m="1" x="113"/>
        <item m="1" x="1588"/>
        <item m="1" x="5002"/>
        <item m="1" x="2239"/>
        <item m="1" x="2697"/>
        <item m="1" x="962"/>
        <item m="1" x="5228"/>
        <item m="1" x="3527"/>
        <item m="1" x="5262"/>
        <item m="1" x="3199"/>
        <item m="1" x="5809"/>
        <item m="1" x="4736"/>
        <item m="1" x="265"/>
        <item m="1" x="2573"/>
        <item m="1" x="2708"/>
        <item m="1" x="1190"/>
        <item m="1" x="1722"/>
        <item m="1" x="1326"/>
        <item m="1" x="127"/>
        <item m="1" x="5542"/>
        <item m="1" x="2686"/>
        <item m="1" x="5658"/>
        <item m="1" x="934"/>
        <item m="1" x="2773"/>
        <item m="1" x="2029"/>
        <item m="1" x="2726"/>
        <item m="1" x="3377"/>
        <item m="1" x="3335"/>
        <item m="1" x="3759"/>
        <item m="1" x="5733"/>
        <item m="1" x="1597"/>
        <item m="1" x="1204"/>
        <item m="1" x="1570"/>
        <item m="1" x="5045"/>
        <item m="1" x="1309"/>
        <item m="1" x="2855"/>
        <item m="1" x="3106"/>
        <item m="1" x="5016"/>
        <item m="1" x="5567"/>
        <item m="1" x="2994"/>
        <item m="1" x="6172"/>
        <item m="1" x="513"/>
        <item m="1" x="6112"/>
        <item m="1" x="1338"/>
        <item m="1" x="1989"/>
        <item m="1" x="1808"/>
        <item m="1" x="880"/>
        <item m="1" x="5172"/>
        <item m="1" x="1159"/>
        <item m="1" x="4161"/>
        <item m="1" x="943"/>
        <item m="1" x="2552"/>
        <item m="1" x="3294"/>
        <item m="1" x="591"/>
        <item m="1" x="4383"/>
        <item m="1" x="4124"/>
        <item m="1" x="4991"/>
        <item m="1" x="879"/>
        <item m="1" x="4237"/>
        <item m="1" x="4671"/>
        <item m="1" x="2319"/>
        <item m="1" x="5098"/>
        <item m="1" x="4892"/>
        <item m="1" x="2535"/>
        <item m="1" x="3863"/>
        <item m="1" x="2966"/>
        <item m="1" x="5726"/>
        <item m="1" x="1071"/>
        <item m="1" x="5239"/>
        <item m="1" x="3655"/>
        <item m="1" x="349"/>
        <item m="1" x="3654"/>
        <item m="1" x="414"/>
        <item m="1" x="656"/>
        <item m="1" x="3701"/>
        <item m="1" x="1893"/>
        <item m="1" x="5748"/>
        <item m="1" x="4545"/>
        <item m="1" x="1488"/>
        <item m="1" x="794"/>
        <item m="1" x="1493"/>
        <item m="1" x="2138"/>
        <item m="1" x="2764"/>
        <item m="1" x="3610"/>
        <item m="1" x="1480"/>
        <item m="1" x="300"/>
        <item m="1" x="6201"/>
        <item m="1" x="6155"/>
        <item m="1" x="5295"/>
        <item m="1" x="3937"/>
        <item m="1" x="970"/>
        <item m="1" x="3490"/>
        <item m="1" x="2292"/>
        <item m="1" x="4040"/>
        <item m="1" x="4178"/>
        <item m="1" x="6059"/>
        <item m="1" x="5424"/>
        <item m="1" x="3837"/>
        <item m="1" x="2469"/>
        <item m="1" x="4365"/>
        <item m="1" x="3809"/>
        <item m="1" x="5877"/>
        <item m="1" x="821"/>
        <item m="1" x="271"/>
        <item m="1" x="391"/>
        <item m="1" x="3431"/>
        <item m="1" x="3181"/>
        <item m="1" x="1296"/>
        <item m="1" x="2247"/>
        <item m="1" x="2882"/>
        <item m="1" x="1631"/>
        <item m="1" x="4919"/>
        <item m="1" x="2971"/>
        <item m="1" x="4295"/>
        <item m="1" x="5538"/>
        <item m="1" x="5207"/>
        <item m="1" x="140"/>
        <item m="1" x="1258"/>
        <item m="1" x="1198"/>
        <item m="1" x="1111"/>
        <item m="1" x="4632"/>
        <item m="1" x="213"/>
        <item m="1" x="195"/>
        <item m="1" x="408"/>
        <item m="1" x="464"/>
        <item m="1" x="1880"/>
        <item m="1" x="483"/>
        <item m="1" x="5858"/>
        <item m="1" x="2721"/>
        <item m="1" x="266"/>
        <item m="1" x="4970"/>
        <item m="1" x="2277"/>
        <item m="1" x="2137"/>
        <item m="1" x="2810"/>
        <item m="1" x="3950"/>
        <item m="1" x="1391"/>
        <item m="1" x="4793"/>
        <item m="1" x="4644"/>
        <item m="1" x="399"/>
        <item m="1" x="4339"/>
        <item m="1" x="4276"/>
        <item m="1" x="1913"/>
        <item m="1" x="5148"/>
        <item m="1" x="4419"/>
        <item m="1" x="2240"/>
        <item m="1" x="5665"/>
        <item m="1" x="829"/>
        <item m="1" x="3808"/>
        <item m="1" x="1339"/>
        <item m="1" x="1617"/>
        <item m="1" x="5519"/>
        <item m="1" x="563"/>
        <item m="1" x="4191"/>
        <item m="1" x="4682"/>
        <item m="1" x="2052"/>
        <item m="1" x="6180"/>
        <item m="1" x="3191"/>
        <item m="1" x="2976"/>
        <item m="1" x="2212"/>
        <item m="1" x="648"/>
        <item m="1" x="188"/>
        <item m="1" x="3461"/>
        <item m="1" x="2197"/>
        <item m="1" x="1522"/>
        <item m="1" x="4759"/>
        <item m="1" x="3733"/>
        <item m="1" x="5071"/>
        <item m="1" x="2111"/>
        <item m="1" x="4639"/>
        <item m="1" x="5717"/>
        <item m="1" x="5707"/>
        <item m="1" x="4074"/>
        <item m="1" x="2048"/>
        <item m="1" x="387"/>
        <item m="1" x="639"/>
        <item m="1" x="2437"/>
        <item m="1" x="4440"/>
        <item m="1" x="1563"/>
        <item m="1" x="4868"/>
        <item m="1" x="4433"/>
        <item m="1" x="2894"/>
        <item m="1" x="1998"/>
        <item m="1" x="856"/>
        <item m="1" x="4533"/>
        <item m="1" x="2582"/>
        <item m="1" x="2979"/>
        <item m="1" x="4709"/>
        <item m="1" x="1609"/>
        <item m="1" x="4929"/>
        <item m="1" x="3121"/>
        <item m="1" x="4472"/>
        <item m="1" x="2242"/>
        <item m="1" x="5891"/>
        <item m="1" x="5880"/>
        <item m="1" x="389"/>
        <item m="1" x="2132"/>
        <item m="1" x="4696"/>
        <item m="1" x="5816"/>
        <item m="1" x="2937"/>
        <item m="1" x="5839"/>
        <item m="1" x="3071"/>
        <item x="62"/>
        <item m="1" x="666"/>
        <item m="1" x="5667"/>
        <item m="1" x="5390"/>
        <item m="1" x="3215"/>
        <item m="1" x="2596"/>
        <item m="1" x="3248"/>
        <item m="1" x="1696"/>
        <item m="1" x="1534"/>
        <item m="1" x="5331"/>
        <item m="1" x="4876"/>
        <item m="1" x="2879"/>
        <item m="1" x="4656"/>
        <item m="1" x="2170"/>
        <item m="1" x="2117"/>
        <item m="1" x="1244"/>
        <item m="1" x="4197"/>
        <item m="1" x="584"/>
        <item m="1" x="643"/>
        <item m="1" x="5760"/>
        <item m="1" x="5561"/>
        <item m="1" x="4760"/>
        <item m="1" x="5602"/>
        <item m="1" x="3601"/>
        <item m="1" x="5348"/>
        <item m="1" x="353"/>
        <item m="1" x="3020"/>
        <item m="1" x="2460"/>
        <item m="1" x="3477"/>
        <item m="1" x="800"/>
        <item m="1" x="5553"/>
        <item m="1" x="4351"/>
        <item m="1" x="5221"/>
        <item m="1" x="2337"/>
        <item m="1" x="4215"/>
        <item m="1" x="425"/>
        <item m="1" x="3914"/>
        <item m="1" x="1999"/>
        <item m="1" x="534"/>
        <item m="1" x="1399"/>
        <item m="1" x="2393"/>
        <item m="1" x="5499"/>
        <item m="1" x="5965"/>
        <item m="1" x="3699"/>
        <item m="1" x="892"/>
        <item m="1" x="2793"/>
        <item m="1" x="3549"/>
        <item m="1" x="798"/>
        <item m="1" x="4724"/>
        <item m="1" x="5620"/>
        <item m="1" x="1955"/>
        <item m="1" x="1952"/>
        <item x="68"/>
        <item m="1" x="263"/>
        <item m="1" x="4063"/>
        <item m="1" x="5988"/>
        <item m="1" x="3815"/>
        <item m="1" x="914"/>
        <item m="1" x="4456"/>
        <item m="1" x="610"/>
        <item m="1" x="4630"/>
        <item m="1" x="2565"/>
        <item m="1" x="4885"/>
        <item m="1" x="424"/>
        <item m="1" x="6209"/>
        <item m="1" x="5201"/>
        <item m="1" x="5041"/>
        <item m="1" x="2096"/>
        <item m="1" x="162"/>
        <item x="79"/>
        <item m="1" x="3632"/>
        <item m="1" x="4390"/>
        <item m="1" x="5615"/>
        <item m="1" x="2195"/>
        <item m="1" x="2068"/>
        <item m="1" x="3064"/>
        <item m="1" x="4934"/>
        <item m="1" x="2915"/>
        <item m="1" x="2095"/>
        <item m="1" x="2369"/>
        <item m="1" x="5403"/>
        <item m="1" x="3284"/>
        <item m="1" x="480"/>
        <item m="1" x="3370"/>
        <item m="1" x="3010"/>
        <item m="1" x="2647"/>
        <item m="1" x="1267"/>
        <item m="1" x="3702"/>
        <item m="1" x="5855"/>
        <item m="1" x="1466"/>
        <item m="1" x="1620"/>
        <item m="1" x="2548"/>
        <item m="1" x="157"/>
        <item m="1" x="3134"/>
        <item m="1" x="933"/>
        <item m="1" x="2508"/>
        <item m="1" x="1484"/>
        <item m="1" x="572"/>
        <item m="1" x="3247"/>
        <item m="1" x="4802"/>
        <item m="1" x="911"/>
        <item m="1" x="5702"/>
        <item m="1" x="2858"/>
        <item m="1" x="3594"/>
        <item m="1" x="5042"/>
        <item m="1" x="5841"/>
        <item m="1" x="4562"/>
        <item m="1" x="1090"/>
        <item m="1" x="2805"/>
        <item m="1" x="1524"/>
        <item m="1" x="1152"/>
        <item m="1" x="3026"/>
        <item m="1" x="4067"/>
        <item m="1" x="5024"/>
        <item m="1" x="2055"/>
        <item m="1" x="3416"/>
        <item m="1" x="5562"/>
        <item m="1" x="5219"/>
        <item m="1" x="1459"/>
        <item m="1" x="5186"/>
        <item m="1" x="3470"/>
        <item m="1" x="5156"/>
        <item m="1" x="5400"/>
        <item m="1" x="5461"/>
        <item m="1" x="5265"/>
        <item m="1" x="1367"/>
        <item m="1" x="2516"/>
        <item m="1" x="2901"/>
        <item m="1" x="894"/>
        <item m="1" x="2800"/>
        <item m="1" x="4214"/>
        <item m="1" x="2007"/>
        <item m="1" x="350"/>
        <item m="1" x="4148"/>
        <item m="1" x="1630"/>
        <item m="1" x="1283"/>
        <item m="1" x="3031"/>
        <item m="1" x="2078"/>
        <item m="1" x="4881"/>
        <item m="1" x="3021"/>
        <item m="1" x="3275"/>
        <item m="1" x="3692"/>
        <item m="1" x="5273"/>
        <item m="1" x="589"/>
        <item m="1" x="4996"/>
        <item m="1" x="5386"/>
        <item m="1" x="3677"/>
        <item m="1" x="5462"/>
        <item m="1" x="1164"/>
        <item m="1" x="4839"/>
        <item m="1" x="3153"/>
        <item m="1" x="6094"/>
        <item m="1" x="6035"/>
        <item m="1" x="1200"/>
        <item m="1" x="4723"/>
        <item m="1" x="2204"/>
        <item m="1" x="5758"/>
        <item m="1" x="5085"/>
        <item m="1" x="4488"/>
        <item m="1" x="2856"/>
        <item m="1" x="1178"/>
        <item m="1" x="2049"/>
        <item m="1" x="4179"/>
        <item m="1" x="4894"/>
        <item m="1" x="5399"/>
        <item m="1" x="5565"/>
        <item m="1" x="149"/>
        <item m="1" x="6116"/>
        <item m="1" x="4732"/>
        <item m="1" x="4613"/>
        <item m="1" x="2433"/>
        <item m="1" x="4355"/>
        <item m="1" x="6123"/>
        <item m="1" x="1965"/>
        <item m="1" x="6186"/>
        <item m="1" x="4023"/>
        <item m="1" x="2795"/>
        <item m="1" x="4754"/>
        <item x="80"/>
        <item m="1" x="2384"/>
        <item x="94"/>
        <item m="1" x="3689"/>
        <item m="1" x="418"/>
        <item m="1" x="4229"/>
        <item m="1" x="4469"/>
        <item m="1" x="5334"/>
        <item m="1" x="5280"/>
        <item m="1" x="819"/>
        <item m="1" x="1554"/>
        <item m="1" x="4150"/>
        <item m="1" x="6233"/>
        <item m="1" x="388"/>
        <item m="1" x="4631"/>
        <item m="1" x="5649"/>
        <item m="1" x="2735"/>
        <item m="1" x="3807"/>
        <item m="1" x="3987"/>
        <item m="1" x="2683"/>
        <item m="1" x="839"/>
        <item m="1" x="360"/>
        <item m="1" x="4338"/>
        <item m="1" x="3041"/>
        <item m="1" x="164"/>
        <item m="1" x="5971"/>
        <item m="1" x="3713"/>
        <item m="1" x="2929"/>
        <item m="1" x="3341"/>
        <item m="1" x="2481"/>
        <item m="1" x="2245"/>
        <item m="1" x="2756"/>
        <item m="1" x="6025"/>
        <item m="1" x="6196"/>
        <item m="1" x="3894"/>
        <item m="1" x="604"/>
        <item m="1" x="2809"/>
        <item m="1" x="4503"/>
        <item m="1" x="556"/>
        <item m="1" x="5711"/>
        <item m="1" x="3508"/>
        <item m="1" x="1481"/>
        <item m="1" x="2656"/>
        <item m="1" x="3034"/>
        <item m="1" x="4192"/>
        <item m="1" x="5931"/>
        <item m="1" x="769"/>
        <item m="1" x="4330"/>
        <item m="1" x="435"/>
        <item m="1" x="1189"/>
        <item m="1" x="6164"/>
        <item m="1" x="2613"/>
        <item m="1" x="1765"/>
        <item m="1" x="3238"/>
        <item m="1" x="4033"/>
        <item m="1" x="224"/>
        <item m="1" x="3795"/>
        <item m="1" x="5983"/>
        <item m="1" x="4782"/>
        <item m="1" x="4116"/>
        <item m="1" x="4655"/>
        <item m="1" x="2939"/>
        <item m="1" x="1783"/>
        <item m="1" x="5628"/>
        <item m="1" x="833"/>
        <item m="1" x="3178"/>
        <item m="1" x="683"/>
        <item m="1" x="5379"/>
        <item m="1" x="2298"/>
        <item m="1" x="3016"/>
        <item m="1" x="5495"/>
        <item m="1" x="1866"/>
        <item m="1" x="296"/>
        <item m="1" x="616"/>
        <item m="1" x="6127"/>
        <item m="1" x="669"/>
        <item m="1" x="4956"/>
        <item m="1" x="6135"/>
        <item m="1" x="6188"/>
        <item m="1" x="3562"/>
        <item m="1" x="4284"/>
        <item m="1" x="3165"/>
        <item m="1" x="5505"/>
        <item m="1" x="4580"/>
        <item m="1" x="3396"/>
        <item m="1" x="2251"/>
        <item m="1" x="3799"/>
        <item m="1" x="6098"/>
        <item m="1" x="1064"/>
        <item m="1" x="2648"/>
        <item m="1" x="5582"/>
        <item m="1" x="6131"/>
        <item m="1" x="1432"/>
        <item m="1" x="2255"/>
        <item m="1" x="2961"/>
        <item m="1" x="1974"/>
        <item m="1" x="2006"/>
        <item m="1" x="1475"/>
        <item m="1" x="2983"/>
        <item m="1" x="5935"/>
        <item m="1" x="4557"/>
        <item m="1" x="437"/>
        <item m="1" x="5440"/>
        <item m="1" x="3065"/>
        <item m="1" x="1212"/>
        <item m="1" x="4303"/>
        <item m="1" x="1541"/>
        <item m="1" x="2308"/>
        <item m="1" x="5550"/>
        <item m="1" x="1838"/>
        <item m="1" x="5096"/>
        <item m="1" x="4967"/>
        <item m="1" x="1235"/>
        <item m="1" x="5113"/>
        <item m="1" x="988"/>
        <item m="1" x="2644"/>
        <item m="1" x="5531"/>
        <item m="1" x="5564"/>
        <item m="1" x="4484"/>
        <item m="1" x="5224"/>
        <item m="1" x="5703"/>
        <item m="1" x="5881"/>
        <item m="1" x="2542"/>
        <item m="1" x="3872"/>
        <item m="1" x="2077"/>
        <item m="1" x="3068"/>
        <item m="1" x="4165"/>
        <item m="1" x="2962"/>
        <item m="1" x="1664"/>
        <item m="1" x="2435"/>
        <item m="1" x="1412"/>
        <item m="1" x="312"/>
        <item m="1" x="2825"/>
        <item m="1" x="1867"/>
        <item m="1" x="1364"/>
        <item m="1" x="4657"/>
        <item m="1" x="595"/>
        <item m="1" x="1115"/>
        <item m="1" x="292"/>
        <item m="1" x="2215"/>
        <item m="1" x="3150"/>
        <item m="1" x="5114"/>
        <item m="1" x="2084"/>
        <item m="1" x="1044"/>
        <item m="1" x="4112"/>
        <item m="1" x="1939"/>
        <item m="1" x="1116"/>
        <item m="1" x="3681"/>
        <item m="1" x="5419"/>
        <item m="1" x="5254"/>
        <item m="1" x="4018"/>
        <item m="1" x="2890"/>
        <item m="1" x="6228"/>
        <item m="1" x="6020"/>
        <item m="1" x="4601"/>
        <item m="1" x="5752"/>
        <item m="1" x="4641"/>
        <item m="1" x="3094"/>
        <item m="1" x="1492"/>
        <item m="1" x="6225"/>
        <item m="1" x="537"/>
        <item m="1" x="3949"/>
        <item m="1" x="3501"/>
        <item m="1" x="5068"/>
        <item m="1" x="5048"/>
        <item m="1" x="5776"/>
        <item m="1" x="2667"/>
        <item m="1" x="4090"/>
        <item m="1" x="1287"/>
        <item m="1" x="2943"/>
        <item m="1" x="1058"/>
        <item m="1" x="529"/>
        <item m="1" x="5630"/>
        <item m="1" x="1413"/>
        <item m="1" x="3125"/>
        <item m="1" x="3785"/>
        <item m="1" x="1924"/>
        <item m="1" x="1356"/>
        <item m="1" x="5818"/>
        <item m="1" x="5252"/>
        <item m="1" x="1878"/>
        <item m="1" x="487"/>
        <item m="1" x="3386"/>
        <item m="1" x="2043"/>
        <item m="1" x="3272"/>
        <item m="1" x="3143"/>
        <item m="1" x="3473"/>
        <item m="1" x="4680"/>
        <item m="1" x="1608"/>
        <item m="1" x="3197"/>
        <item m="1" x="3675"/>
        <item m="1" x="5984"/>
        <item m="1" x="5555"/>
        <item m="1" x="960"/>
        <item m="1" x="4154"/>
        <item m="1" x="4704"/>
        <item m="1" x="4014"/>
        <item m="1" x="5614"/>
        <item m="1" x="949"/>
        <item m="1" x="5958"/>
        <item m="1" x="2476"/>
        <item x="72"/>
        <item m="1" x="5773"/>
        <item m="1" x="457"/>
        <item m="1" x="3761"/>
        <item m="1" x="250"/>
        <item m="1" x="5867"/>
        <item m="1" x="1172"/>
        <item m="1" x="1536"/>
        <item m="1" x="5129"/>
        <item m="1" x="2925"/>
        <item m="1" x="496"/>
        <item m="1" x="1605"/>
        <item m="1" x="6106"/>
        <item m="1" x="2462"/>
        <item m="1" x="5374"/>
        <item m="1" x="1918"/>
        <item m="1" x="1428"/>
        <item m="1" x="4708"/>
        <item m="1" x="1855"/>
        <item m="1" x="1485"/>
        <item m="1" x="4826"/>
        <item m="1" x="4629"/>
        <item m="1" x="2364"/>
        <item m="1" x="5904"/>
        <item m="1" x="2059"/>
        <item m="1" x="721"/>
        <item m="1" x="5742"/>
        <item m="1" x="4965"/>
        <item m="1" x="6128"/>
        <item m="1" x="1460"/>
        <item m="1" x="2762"/>
        <item m="1" x="3381"/>
        <item m="1" x="1596"/>
        <item m="1" x="2954"/>
        <item m="1" x="652"/>
        <item m="1" x="6004"/>
        <item m="1" x="612"/>
        <item m="1" x="5783"/>
        <item m="1" x="4598"/>
        <item m="1" x="109"/>
        <item m="1" x="5720"/>
        <item m="1" x="2865"/>
        <item m="1" x="2386"/>
        <item m="1" x="997"/>
        <item m="1" x="317"/>
        <item m="1" x="3903"/>
        <item m="1" x="5804"/>
        <item m="1" x="4248"/>
        <item m="1" x="6245"/>
        <item m="1" x="2968"/>
        <item m="1" x="4812"/>
        <item m="1" x="1213"/>
        <item m="1" x="1505"/>
        <item m="1" x="748"/>
        <item m="1" x="637"/>
        <item m="1" x="5341"/>
        <item m="1" x="3365"/>
        <item m="1" x="4261"/>
        <item m="1" x="2230"/>
        <item m="1" x="5336"/>
        <item m="1" x="3105"/>
        <item m="1" x="1135"/>
        <item m="1" x="909"/>
        <item m="1" x="5973"/>
        <item m="1" x="2115"/>
        <item m="1" x="1899"/>
        <item m="1" x="2578"/>
        <item m="1" x="811"/>
        <item m="1" x="3589"/>
        <item m="1" x="427"/>
        <item m="1" x="2123"/>
        <item m="1" x="3953"/>
        <item m="1" x="2838"/>
        <item m="1" x="4940"/>
        <item m="1" x="3988"/>
        <item m="1" x="1378"/>
        <item m="1" x="5681"/>
        <item m="1" x="4489"/>
        <item m="1" x="3932"/>
        <item m="1" x="358"/>
        <item m="1" x="4151"/>
        <item m="1" x="1594"/>
        <item m="1" x="3941"/>
        <item m="1" x="1388"/>
        <item m="1" x="3929"/>
        <item m="1" x="4635"/>
        <item m="1" x="931"/>
        <item m="1" x="3844"/>
        <item m="1" x="1741"/>
        <item m="1" x="4487"/>
        <item m="1" x="599"/>
        <item m="1" x="1053"/>
        <item m="1" x="4414"/>
        <item m="1" x="2421"/>
        <item m="1" x="3971"/>
        <item m="1" x="5896"/>
        <item m="1" x="4897"/>
        <item m="1" x="256"/>
        <item m="1" x="3104"/>
        <item m="1" x="2177"/>
        <item m="1" x="1079"/>
        <item m="1" x="3050"/>
        <item m="1" x="1046"/>
        <item m="1" x="2950"/>
        <item m="1" x="2590"/>
        <item m="1" x="4123"/>
        <item m="1" x="4813"/>
        <item m="1" x="5635"/>
        <item m="1" x="469"/>
        <item m="1" x="3864"/>
        <item m="1" x="385"/>
        <item m="1" x="3630"/>
        <item m="1" x="3101"/>
        <item m="1" x="2015"/>
        <item m="1" x="4309"/>
        <item m="1" x="3608"/>
        <item m="1" x="2376"/>
        <item m="1" x="3069"/>
        <item m="1" x="4869"/>
        <item m="1" x="4386"/>
        <item m="1" x="478"/>
        <item m="1" x="3024"/>
        <item m="1" x="6224"/>
        <item m="1" x="2549"/>
        <item m="1" x="3136"/>
        <item m="1" x="1409"/>
        <item m="1" x="3407"/>
        <item m="1" x="3469"/>
        <item m="1" x="1387"/>
        <item m="1" x="2910"/>
        <item m="1" x="2179"/>
        <item m="1" x="2391"/>
        <item m="1" x="1271"/>
        <item m="1" x="5011"/>
        <item m="1" x="3900"/>
        <item m="1" x="5095"/>
        <item m="1" x="3012"/>
        <item m="1" x="4658"/>
        <item m="1" x="6140"/>
        <item m="1" x="5685"/>
        <item m="1" x="3017"/>
        <item m="1" x="1444"/>
        <item m="1" x="3028"/>
        <item m="1" x="1202"/>
        <item m="1" x="3516"/>
        <item m="1" x="2980"/>
        <item m="1" x="3684"/>
        <item m="1" x="5108"/>
        <item m="1" x="5608"/>
        <item m="1" x="3351"/>
        <item m="1" x="2222"/>
        <item m="1" x="6208"/>
        <item m="1" x="4231"/>
        <item m="1" x="6086"/>
        <item m="1" x="2297"/>
        <item m="1" x="5676"/>
        <item m="1" x="4659"/>
        <item m="1" x="1847"/>
        <item m="1" x="439"/>
        <item m="1" x="3541"/>
        <item m="1" x="356"/>
        <item m="1" x="4374"/>
        <item m="1" x="161"/>
        <item m="1" x="559"/>
        <item m="1" x="2621"/>
        <item m="1" x="1457"/>
        <item m="1" x="1503"/>
        <item m="1" x="3763"/>
        <item m="1" x="3081"/>
        <item m="1" x="6095"/>
        <item m="1" x="1985"/>
        <item m="1" x="422"/>
        <item m="1" x="5854"/>
        <item x="73"/>
        <item m="1" x="2907"/>
        <item m="1" x="5696"/>
        <item m="1" x="1329"/>
        <item m="1" x="2704"/>
        <item m="1" x="2146"/>
        <item m="1" x="4673"/>
        <item m="1" x="5989"/>
        <item m="1" x="1465"/>
        <item m="1" x="4342"/>
        <item m="1" x="1362"/>
        <item m="1" x="678"/>
        <item m="1" x="4858"/>
        <item m="1" x="4805"/>
        <item m="1" x="874"/>
        <item m="1" x="5878"/>
        <item m="1" x="690"/>
        <item m="1" x="1320"/>
        <item m="1" x="5599"/>
        <item m="1" x="2972"/>
        <item m="1" x="3372"/>
        <item m="1" x="3732"/>
        <item m="1" x="2817"/>
        <item m="1" x="5789"/>
        <item m="1" x="2776"/>
        <item m="1" x="2372"/>
        <item m="1" x="3486"/>
        <item m="1" x="4959"/>
        <item m="1" x="3144"/>
        <item m="1" x="2687"/>
        <item m="1" x="1587"/>
        <item m="1" x="2248"/>
        <item m="1" x="4583"/>
        <item m="1" x="6234"/>
        <item m="1" x="4791"/>
        <item m="1" x="498"/>
        <item m="1" x="3945"/>
        <item m="1" x="779"/>
        <item m="1" x="5669"/>
        <item m="1" x="4561"/>
        <item m="1" x="1725"/>
        <item m="1" x="4071"/>
        <item m="1" x="1997"/>
        <item m="1" x="2792"/>
        <item m="1" x="4078"/>
        <item m="1" x="5256"/>
        <item m="1" x="5199"/>
        <item m="1" x="1180"/>
        <item m="1" x="3829"/>
        <item m="1" x="4474"/>
        <item m="1" x="2479"/>
        <item m="1" x="3834"/>
        <item m="1" x="2394"/>
        <item m="1" x="2104"/>
        <item m="1" x="5673"/>
        <item m="1" x="3832"/>
        <item m="1" x="3316"/>
        <item m="1" x="703"/>
        <item m="1" x="4246"/>
        <item m="1" x="1182"/>
        <item m="1" x="838"/>
        <item m="1" x="5367"/>
        <item m="1" x="3433"/>
        <item m="1" x="924"/>
        <item m="1" x="2090"/>
        <item m="1" x="5120"/>
        <item m="1" x="4250"/>
        <item m="1" x="893"/>
        <item m="1" x="5706"/>
        <item m="1" x="3966"/>
        <item m="1" x="4902"/>
        <item m="1" x="5241"/>
        <item m="1" x="4702"/>
        <item m="1" x="1063"/>
        <item m="1" x="2703"/>
        <item m="1" x="1929"/>
        <item m="1" x="5453"/>
        <item m="1" x="2385"/>
        <item m="1" x="1751"/>
        <item m="1" x="5737"/>
        <item m="1" x="4800"/>
        <item m="1" x="2422"/>
        <item m="1" x="3394"/>
        <item m="1" x="621"/>
        <item m="1" x="1313"/>
        <item m="1" x="432"/>
        <item m="1" x="1678"/>
        <item m="1" x="5233"/>
        <item m="1" x="3210"/>
        <item m="1" x="5346"/>
        <item m="1" x="2699"/>
        <item m="1" x="3902"/>
        <item m="1" x="580"/>
        <item m="1" x="3408"/>
        <item m="1" x="2152"/>
        <item m="1" x="1112"/>
        <item m="1" x="1804"/>
        <item m="1" x="1748"/>
        <item m="1" x="3078"/>
        <item m="1" x="467"/>
        <item m="1" x="5732"/>
        <item m="1" x="3438"/>
        <item m="1" x="4587"/>
        <item m="1" x="2037"/>
        <item m="1" x="3514"/>
        <item m="1" x="3968"/>
        <item m="1" x="297"/>
        <item m="1" x="2228"/>
        <item m="1" x="2398"/>
        <item m="1" x="5646"/>
        <item m="1" x="4245"/>
        <item m="1" x="2397"/>
        <item m="1" x="2874"/>
        <item m="1" x="2775"/>
        <item m="1" x="778"/>
        <item m="1" x="5587"/>
        <item m="1" x="1789"/>
        <item m="1" x="3410"/>
        <item m="1" x="5913"/>
        <item m="1" x="3818"/>
        <item m="1" x="5541"/>
        <item m="1" x="3745"/>
        <item m="1" x="2375"/>
        <item m="1" x="2072"/>
        <item m="1" x="2227"/>
        <item m="1" x="2577"/>
        <item m="1" x="123"/>
        <item m="1" x="2653"/>
        <item m="1" x="5922"/>
        <item m="1" x="3130"/>
        <item m="1" x="5882"/>
        <item m="1" x="658"/>
        <item m="1" x="3742"/>
        <item m="1" x="3703"/>
        <item m="1" x="4349"/>
        <item m="1" x="533"/>
        <item m="1" x="1248"/>
        <item m="1" x="1368"/>
        <item m="1" x="3688"/>
        <item m="1" x="132"/>
        <item m="1" x="2990"/>
        <item m="1" x="1671"/>
        <item m="1" x="3033"/>
        <item m="1" x="4202"/>
        <item m="1" x="5640"/>
        <item m="1" x="4600"/>
        <item m="1" x="1238"/>
        <item m="1" x="2342"/>
        <item m="1" x="4725"/>
        <item m="1" x="3115"/>
        <item m="1" x="3361"/>
        <item m="1" x="5731"/>
        <item m="1" x="4136"/>
        <item m="1" x="1632"/>
        <item m="1" x="1436"/>
        <item m="1" x="1728"/>
        <item m="1" x="2051"/>
        <item m="1" x="5864"/>
        <item m="1" x="5963"/>
        <item m="1" x="2768"/>
        <item m="1" x="5659"/>
        <item m="1" x="5792"/>
        <item m="1" x="5835"/>
        <item m="1" x="2506"/>
        <item m="1" x="1954"/>
        <item m="1" x="1886"/>
        <item m="1" x="1366"/>
        <item m="1" x="3267"/>
        <item m="1" x="5515"/>
        <item m="1" x="4722"/>
        <item m="1" x="4948"/>
        <item m="1" x="842"/>
        <item m="1" x="562"/>
        <item m="1" x="5589"/>
        <item m="1" x="232"/>
        <item m="1" x="1443"/>
        <item m="1" x="4551"/>
        <item m="1" x="2612"/>
        <item m="1" x="2368"/>
        <item m="1" x="955"/>
        <item m="1" x="269"/>
        <item m="1" x="1272"/>
        <item m="1" x="888"/>
        <item m="1" x="588"/>
        <item m="1" x="2559"/>
        <item m="1" x="4989"/>
        <item m="1" x="1823"/>
        <item m="1" x="189"/>
        <item m="1" x="1711"/>
        <item m="1" x="1504"/>
        <item m="1" x="2956"/>
        <item m="1" x="4830"/>
        <item m="1" x="1586"/>
        <item m="1" x="2353"/>
        <item m="1" x="1013"/>
        <item m="1" x="4578"/>
        <item m="1" x="3983"/>
        <item m="1" x="2331"/>
        <item m="1" x="1239"/>
        <item m="1" x="3229"/>
        <item m="1" x="2785"/>
        <item m="1" x="2719"/>
        <item m="1" x="1093"/>
        <item m="1" x="1931"/>
        <item m="1" x="4928"/>
        <item m="1" x="1099"/>
        <item m="1" x="1992"/>
        <item m="1" x="5977"/>
        <item m="1" x="416"/>
        <item m="1" x="510"/>
        <item m="1" x="172"/>
        <item m="1" x="370"/>
        <item m="1" x="1945"/>
        <item m="1" x="2069"/>
        <item m="1" x="3022"/>
        <item m="1" x="1219"/>
        <item m="1" x="1580"/>
        <item m="1" x="5425"/>
        <item m="1" x="2401"/>
        <item m="1" x="5770"/>
        <item m="1" x="2044"/>
        <item m="1" x="2594"/>
        <item m="1" x="5010"/>
        <item m="1" x="215"/>
        <item m="1" x="5557"/>
        <item m="1" x="4941"/>
        <item m="1" x="4927"/>
        <item m="1" x="2233"/>
        <item m="1" x="2392"/>
        <item m="1" x="4102"/>
        <item m="1" x="890"/>
        <item m="1" x="998"/>
        <item m="1" x="5581"/>
        <item m="1" x="4913"/>
        <item m="1" x="571"/>
        <item m="1" x="4143"/>
        <item m="1" x="1861"/>
        <item m="1" x="5572"/>
        <item m="1" x="6107"/>
        <item m="1" x="2827"/>
        <item m="1" x="5337"/>
        <item m="1" x="2159"/>
        <item m="1" x="2487"/>
        <item m="1" x="1700"/>
        <item m="1" x="1285"/>
        <item m="1" x="3685"/>
        <item m="1" x="3696"/>
        <item m="1" x="3963"/>
        <item m="1" x="3142"/>
        <item m="1" x="4694"/>
        <item m="1" x="4189"/>
        <item m="1" x="1502"/>
        <item m="1" x="6218"/>
        <item m="1" x="1089"/>
        <item m="1" x="5927"/>
        <item m="1" x="693"/>
        <item m="1" x="3194"/>
        <item m="1" x="1508"/>
        <item m="1" x="5418"/>
        <item m="1" x="5198"/>
        <item m="1" x="925"/>
        <item m="1" x="3747"/>
        <item m="1" x="4177"/>
        <item m="1" x="6204"/>
        <item m="1" x="197"/>
        <item m="1" x="4675"/>
        <item m="1" x="4585"/>
        <item m="1" x="6248"/>
        <item m="1" x="1533"/>
        <item m="1" x="6210"/>
        <item m="1" x="4877"/>
        <item m="1" x="2361"/>
        <item m="1" x="3551"/>
        <item m="1" x="1056"/>
        <item m="1" x="1422"/>
        <item m="1" x="1103"/>
        <item m="1" x="5719"/>
        <item m="1" x="5693"/>
        <item m="1" x="3756"/>
        <item m="1" x="3871"/>
        <item m="1" x="6125"/>
        <item m="1" x="702"/>
        <item m="1" x="3728"/>
        <item m="1" x="2373"/>
        <item m="1" x="5906"/>
        <item m="1" x="1191"/>
        <item m="1" x="5879"/>
        <item m="1" x="5996"/>
        <item m="1" x="1218"/>
        <item m="1" x="1574"/>
        <item m="1" x="1439"/>
        <item m="1" x="151"/>
        <item m="1" x="3474"/>
        <item m="1" x="5853"/>
        <item m="1" x="4499"/>
        <item m="1" x="4122"/>
        <item m="1" x="2661"/>
        <item m="1" x="5087"/>
        <item m="1" x="1973"/>
        <item m="1" x="6101"/>
        <item m="1" x="3956"/>
        <item m="1" x="3462"/>
        <item m="1" x="5029"/>
        <item m="1" x="5236"/>
        <item m="1" x="810"/>
        <item m="1" x="4266"/>
        <item m="1" x="3293"/>
        <item m="1" x="430"/>
        <item m="1" x="3965"/>
        <item m="1" x="398"/>
        <item m="1" x="4190"/>
        <item m="1" x="940"/>
        <item m="1" x="4042"/>
        <item m="1" x="5420"/>
        <item m="1" x="3327"/>
        <item m="1" x="2333"/>
        <item m="1" x="2883"/>
        <item m="1" x="706"/>
        <item m="1" x="5090"/>
        <item m="1" x="2595"/>
        <item m="1" x="5941"/>
        <item m="1" x="2062"/>
        <item m="1" x="4486"/>
        <item m="1" x="2755"/>
        <item m="1" x="5299"/>
        <item m="1" x="5966"/>
        <item m="1" x="6236"/>
        <item m="1" x="1650"/>
        <item m="1" x="5229"/>
        <item m="1" x="3326"/>
        <item m="1" x="3497"/>
        <item m="1" x="3642"/>
        <item m="1" x="1208"/>
        <item m="1" x="4799"/>
        <item m="1" x="3907"/>
        <item m="1" x="939"/>
        <item m="1" x="5200"/>
        <item m="1" x="5302"/>
        <item m="1" x="2868"/>
        <item m="1" x="3640"/>
        <item m="1" x="288"/>
        <item m="1" x="3554"/>
        <item m="1" x="3213"/>
        <item m="1" x="1907"/>
        <item m="1" x="5975"/>
        <item m="1" x="701"/>
        <item m="1" x="5537"/>
        <item m="1" x="2675"/>
        <item m="1" x="4100"/>
        <item m="1" x="4516"/>
        <item m="1" x="1565"/>
        <item m="1" x="1853"/>
        <item m="1" x="141"/>
        <item m="1" x="1308"/>
        <item m="1" x="4242"/>
        <item m="1" x="4099"/>
        <item m="1" x="5660"/>
        <item m="1" x="401"/>
        <item m="1" x="4801"/>
        <item m="1" x="3222"/>
        <item m="1" x="1827"/>
        <item m="1" x="4029"/>
        <item m="1" x="1601"/>
        <item m="1" x="5888"/>
        <item m="1" x="1916"/>
        <item m="1" x="994"/>
        <item m="1" x="2645"/>
        <item m="1" x="2887"/>
        <item m="1" x="3704"/>
        <item m="1" x="3830"/>
        <item m="1" x="2919"/>
        <item m="1" x="4528"/>
        <item m="1" x="5902"/>
        <item m="1" x="3622"/>
        <item m="1" x="768"/>
        <item m="1" x="3279"/>
        <item m="1" x="4344"/>
        <item m="1" x="3234"/>
        <item m="1" x="5829"/>
        <item m="1" x="5932"/>
        <item m="1" x="2543"/>
        <item m="1" x="4485"/>
        <item m="1" x="1298"/>
        <item m="1" x="4447"/>
        <item m="1" x="111"/>
        <item m="1" x="1614"/>
        <item m="1" x="5560"/>
        <item m="1" x="4228"/>
        <item m="1" x="674"/>
        <item m="1" x="5921"/>
        <item m="1" x="1395"/>
        <item m="1" x="2538"/>
        <item m="1" x="1312"/>
        <item m="1" x="377"/>
        <item m="1" x="728"/>
        <item m="1" x="1166"/>
        <item m="1" x="4590"/>
        <item m="1" x="4022"/>
        <item m="1" x="5579"/>
        <item m="1" x="5899"/>
        <item m="1" x="5467"/>
        <item m="1" x="2407"/>
        <item m="1" x="4592"/>
        <item m="1" x="1717"/>
        <item m="1" x="5173"/>
        <item m="1" x="907"/>
        <item m="1" x="2399"/>
        <item m="1" x="991"/>
        <item m="1" x="4079"/>
        <item m="1" x="2444"/>
        <item m="1" x="2671"/>
        <item m="1" x="587"/>
        <item m="1" x="3891"/>
        <item m="1" x="2262"/>
        <item m="1" x="4424"/>
        <item m="1" x="4575"/>
        <item m="1" x="4392"/>
        <item m="1" x="6207"/>
        <item m="1" x="481"/>
        <item m="1" x="3123"/>
        <item m="1" x="946"/>
        <item m="1" x="2714"/>
        <item m="1" x="6134"/>
        <item m="1" x="569"/>
        <item m="1" x="5939"/>
        <item m="1" x="766"/>
        <item m="1" x="4818"/>
        <item m="1" x="3892"/>
        <item m="1" x="1940"/>
        <item m="1" x="1494"/>
        <item m="1" x="2897"/>
        <item m="1" x="4918"/>
        <item m="1" x="2794"/>
        <item m="1" x="5284"/>
        <item m="1" x="709"/>
        <item m="1" x="254"/>
        <item m="1" x="1595"/>
        <item m="1" x="6002"/>
        <item m="1" x="4268"/>
        <item m="1" x="4070"/>
        <item m="1" x="2864"/>
        <item m="1" x="2664"/>
        <item m="1" x="5276"/>
        <item m="1" x="3009"/>
        <item m="1" x="5892"/>
        <item m="1" x="5972"/>
        <item m="1" x="1633"/>
        <item m="1" x="3378"/>
        <item m="1" x="282"/>
        <item m="1" x="5005"/>
        <item m="1" x="3979"/>
        <item m="1" x="3538"/>
        <item m="1" x="6092"/>
        <item m="1" x="3305"/>
        <item m="1" x="5171"/>
        <item m="1" x="5999"/>
        <item m="1" x="4082"/>
        <item m="1" x="4616"/>
        <item m="1" x="1646"/>
        <item m="1" x="3850"/>
        <item m="1" x="1427"/>
        <item x="81"/>
        <item m="1" x="4493"/>
        <item m="1" x="6255"/>
        <item m="1" x="2635"/>
        <item m="1" x="5208"/>
        <item m="1" x="5094"/>
        <item m="1" x="5592"/>
        <item m="1" x="2263"/>
        <item m="1" x="3482"/>
        <item m="1" x="828"/>
        <item m="1" x="4566"/>
        <item m="1" x="2513"/>
        <item m="1" x="2634"/>
        <item m="1" x="667"/>
        <item m="1" x="3518"/>
        <item m="1" x="5338"/>
        <item m="1" x="152"/>
        <item m="1" x="2926"/>
        <item m="1" x="4550"/>
        <item m="1" x="4159"/>
        <item m="1" x="1467"/>
        <item m="1" x="2189"/>
        <item m="1" x="6156"/>
        <item m="1" x="715"/>
        <item m="1" x="2769"/>
        <item m="1" x="272"/>
        <item m="1" x="4294"/>
        <item m="1" x="1131"/>
        <item m="1" x="5509"/>
        <item m="1" x="4084"/>
        <item m="1" x="5455"/>
        <item m="1" x="1054"/>
        <item m="1" x="2903"/>
        <item m="1" x="2898"/>
        <item m="1" x="3411"/>
        <item m="1" x="4247"/>
        <item m="1" x="6221"/>
        <item m="1" x="446"/>
        <item m="1" x="3387"/>
        <item m="1" x="5136"/>
        <item m="1" x="3843"/>
        <item m="1" x="1933"/>
        <item m="1" x="5377"/>
        <item m="1" x="5830"/>
        <item m="1" x="2948"/>
        <item m="1" x="5212"/>
        <item m="1" x="184"/>
        <item m="1" x="3373"/>
        <item m="1" x="4380"/>
        <item m="1" x="1564"/>
        <item m="1" x="6227"/>
        <item m="1" x="4236"/>
        <item m="1" x="1041"/>
        <item m="1" x="700"/>
        <item m="1" x="3751"/>
        <item m="1" x="3784"/>
        <item m="1" x="331"/>
        <item m="1" x="608"/>
        <item m="1" x="986"/>
        <item m="1" x="2734"/>
        <item m="1" x="1464"/>
        <item m="1" x="1585"/>
        <item m="1" x="3399"/>
        <item m="1" x="1384"/>
        <item m="1" x="4770"/>
        <item m="1" x="3288"/>
        <item m="1" x="3237"/>
        <item m="1" x="3826"/>
        <item m="1" x="1421"/>
        <item m="1" x="1325"/>
        <item m="1" x="4832"/>
        <item m="1" x="3080"/>
        <item m="1" x="5304"/>
        <item m="1" x="2840"/>
        <item m="1" x="2914"/>
        <item m="1" x="252"/>
        <item m="1" x="158"/>
        <item m="1" x="2358"/>
        <item m="1" x="4763"/>
        <item x="59"/>
        <item m="1" x="3962"/>
        <item m="1" x="315"/>
        <item m="1" x="1273"/>
        <item m="1" x="3964"/>
        <item m="1" x="1935"/>
        <item m="1" x="3660"/>
        <item m="1" x="5501"/>
        <item m="1" x="5955"/>
        <item m="1" x="2587"/>
        <item m="1" x="2730"/>
        <item m="1" x="2965"/>
        <item m="1" x="3911"/>
        <item m="1" x="1964"/>
        <item m="1" x="3109"/>
        <item m="1" x="1607"/>
        <item m="1" x="4121"/>
        <item m="1" x="3855"/>
        <item m="1" x="2560"/>
        <item m="1" x="5394"/>
        <item m="1" x="6217"/>
        <item m="1" x="2489"/>
        <item m="1" x="3060"/>
        <item m="1" x="5750"/>
        <item m="1" x="5641"/>
        <item m="1" x="5924"/>
        <item m="1" x="2350"/>
        <item m="1" x="4135"/>
        <item m="1" x="3656"/>
        <item m="1" x="4256"/>
        <item m="1" x="2238"/>
        <item m="1" x="466"/>
        <item m="1" x="3637"/>
        <item m="1" x="4624"/>
        <item m="1" x="3375"/>
        <item m="1" x="4105"/>
        <item m="1" x="1692"/>
        <item m="1" x="4030"/>
        <item m="1" x="1145"/>
        <item m="1" x="3819"/>
        <item m="1" x="737"/>
        <item m="1" x="2416"/>
        <item m="1" x="1075"/>
        <item m="1" x="784"/>
        <item m="1" x="3587"/>
        <item m="1" x="2684"/>
        <item m="1" x="1792"/>
        <item m="1" x="4773"/>
        <item m="1" x="3442"/>
        <item m="1" x="1980"/>
        <item m="1" x="5109"/>
        <item m="1" x="5714"/>
        <item m="1" x="3292"/>
        <item m="1" x="638"/>
        <item m="1" x="4353"/>
        <item m="1" x="206"/>
        <item m="1" x="4402"/>
        <item m="1" x="3889"/>
        <item m="1" x="3131"/>
        <item m="1" x="5320"/>
        <item m="1" x="5588"/>
        <item m="1" x="1928"/>
        <item m="1" x="2777"/>
        <item m="1" x="2287"/>
        <item m="1" x="1516"/>
        <item m="1" x="4648"/>
        <item m="1" x="4758"/>
        <item m="1" x="4465"/>
        <item m="1" x="192"/>
        <item m="1" x="1680"/>
        <item m="1" x="550"/>
        <item m="1" x="2872"/>
        <item m="1" x="2643"/>
        <item m="1" x="2087"/>
        <item m="1" x="1240"/>
        <item m="1" x="6115"/>
        <item m="1" x="1513"/>
        <item m="1" x="3422"/>
        <item m="1" x="3779"/>
        <item m="1" x="5788"/>
        <item m="1" x="704"/>
        <item m="1" x="4367"/>
        <item m="1" x="3825"/>
        <item m="1" x="2847"/>
        <item m="1" x="5202"/>
        <item m="1" x="4848"/>
        <item m="1" x="5802"/>
        <item m="1" x="177"/>
        <item m="1" x="1100"/>
        <item m="1" x="6018"/>
        <item m="1" x="5948"/>
        <item m="1" x="697"/>
        <item m="1" x="6021"/>
        <item m="1" x="2959"/>
        <item m="1" x="4366"/>
        <item m="1" x="5046"/>
        <item m="1" x="1669"/>
        <item m="1" x="6175"/>
        <item m="1" x="5652"/>
        <item m="1" x="1621"/>
        <item m="1" x="526"/>
        <item m="1" x="3716"/>
        <item m="1" x="4249"/>
        <item m="1" x="3340"/>
        <item m="1" x="381"/>
        <item m="1" x="3952"/>
        <item m="1" x="3151"/>
        <item m="1" x="5135"/>
        <item m="1" x="4942"/>
        <item m="1" x="2670"/>
        <item m="1" x="4020"/>
        <item m="1" x="5494"/>
        <item m="1" x="6067"/>
        <item m="1" x="2301"/>
        <item m="1" x="1806"/>
        <item m="1" x="2057"/>
        <item m="1" x="3852"/>
        <item m="1" x="4097"/>
        <item m="1" x="6008"/>
        <item m="1" x="1157"/>
        <item m="1" x="1138"/>
        <item m="1" x="4272"/>
        <item m="1" x="4520"/>
        <item m="1" x="950"/>
        <item m="1" x="220"/>
        <item m="1" x="2306"/>
        <item m="1" x="645"/>
        <item m="1" x="6064"/>
        <item m="1" x="4882"/>
        <item m="1" x="6039"/>
        <item m="1" x="6072"/>
        <item m="1" x="4498"/>
        <item m="1" x="1798"/>
        <item m="1" x="5205"/>
        <item m="1" x="2346"/>
        <item m="1" x="3934"/>
        <item m="1" x="5826"/>
        <item m="1" x="4195"/>
        <item m="1" x="1251"/>
        <item m="1" x="3805"/>
        <item m="1" x="2816"/>
        <item x="85"/>
        <item m="1" x="3835"/>
        <item m="1" x="2456"/>
        <item m="1" x="283"/>
        <item m="1" x="2280"/>
        <item m="1" x="5099"/>
        <item m="1" x="3217"/>
        <item m="1" x="5472"/>
        <item m="1" x="4890"/>
        <item m="1" x="3228"/>
        <item m="1" x="245"/>
        <item m="1" x="5821"/>
        <item m="1" x="5088"/>
        <item m="1" x="5812"/>
        <item m="1" x="6121"/>
        <item m="1" x="6053"/>
        <item m="1" x="4451"/>
        <item m="1" x="2156"/>
        <item m="1" x="5593"/>
        <item m="1" x="5991"/>
        <item m="1" x="1192"/>
        <item m="1" x="5281"/>
        <item m="1" x="5915"/>
        <item m="1" x="5231"/>
        <item m="1" x="4429"/>
        <item m="1" x="3913"/>
        <item m="1" x="869"/>
        <item m="1" x="338"/>
        <item m="1" x="4515"/>
        <item m="1" x="322"/>
        <item m="1" x="321"/>
        <item m="1" x="458"/>
        <item m="1" x="4255"/>
        <item m="1" x="3841"/>
        <item m="1" x="3645"/>
        <item m="1" x="4792"/>
        <item m="1" x="1953"/>
        <item m="1" x="230"/>
        <item m="1" x="5278"/>
        <item m="1" x="1045"/>
        <item m="1" x="4814"/>
        <item m="1" x="6191"/>
        <item m="1" x="1007"/>
        <item m="1" x="937"/>
        <item m="1" x="3806"/>
        <item m="1" x="2363"/>
        <item m="1" x="5118"/>
        <item m="1" x="6041"/>
        <item m="1" x="5356"/>
        <item m="1" x="3285"/>
        <item m="1" x="1097"/>
        <item x="64"/>
        <item m="1" x="3885"/>
        <item m="1" x="2681"/>
        <item m="1" x="2982"/>
        <item m="1" x="6179"/>
        <item m="1" x="2232"/>
        <item m="1" x="5032"/>
        <item m="1" x="1649"/>
        <item m="1" x="4311"/>
        <item m="1" x="3409"/>
        <item m="1" x="5151"/>
        <item m="1" x="1130"/>
        <item m="1" x="4692"/>
        <item m="1" x="2474"/>
        <item m="1" x="5634"/>
        <item m="1" x="4740"/>
        <item m="1" x="4163"/>
        <item m="1" x="3840"/>
        <item m="1" x="2323"/>
        <item m="1" x="5294"/>
        <item m="1" x="3898"/>
        <item m="1" x="2603"/>
        <item m="1" x="3967"/>
        <item m="1" x="2131"/>
        <item m="1" x="1552"/>
        <item m="1" x="4779"/>
        <item m="1" x="3362"/>
        <item m="1" x="5103"/>
        <item m="1" x="4287"/>
        <item m="1" x="2567"/>
        <item m="1" x="2674"/>
        <item m="1" x="2693"/>
        <item m="1" x="2148"/>
        <item m="1" x="2706"/>
        <item m="1" x="622"/>
        <item m="1" x="4324"/>
        <item m="1" x="672"/>
        <item m="1" x="1698"/>
        <item m="1" x="969"/>
        <item m="1" x="3641"/>
        <item m="1" x="5225"/>
        <item m="1" x="4251"/>
        <item m="1" x="4187"/>
        <item m="1" x="4416"/>
        <item m="1" x="2367"/>
        <item m="1" x="1845"/>
        <item m="1" x="1860"/>
        <item m="1" x="5710"/>
        <item m="1" x="2256"/>
        <item m="1" x="3037"/>
        <item m="1" x="6030"/>
        <item m="1" x="4851"/>
        <item m="1" x="5020"/>
        <item m="1" x="978"/>
        <item m="1" x="4491"/>
        <item m="1" x="5167"/>
        <item m="1" x="2781"/>
        <item m="1" x="5279"/>
        <item m="1" x="5514"/>
        <item m="1" x="3650"/>
        <item m="1" x="3218"/>
        <item m="1" x="6024"/>
        <item m="1" x="4988"/>
        <item m="1" x="846"/>
        <item m="1" x="2290"/>
        <item m="1" x="1805"/>
        <item m="1" x="5871"/>
        <item m="1" x="2464"/>
        <item m="1" x="4175"/>
        <item m="1" x="3870"/>
        <item m="1" x="1105"/>
        <item m="1" x="910"/>
        <item m="1" x="1317"/>
        <item m="1" x="6252"/>
        <item m="1" x="2486"/>
        <item m="1" x="2625"/>
        <item m="1" x="2074"/>
        <item m="1" x="4922"/>
        <item m="1" x="6003"/>
        <item m="1" x="2987"/>
        <item m="1" x="3959"/>
        <item m="1" x="1701"/>
        <item m="1" x="3603"/>
        <item m="1" x="1049"/>
        <item m="1" x="2957"/>
        <item m="1" x="2013"/>
        <item m="1" x="5342"/>
        <item m="1" x="5126"/>
        <item m="1" x="825"/>
        <item m="1" x="3167"/>
        <item m="1" x="3615"/>
        <item m="1" x="6167"/>
        <item m="1" x="5764"/>
        <item m="1" x="628"/>
        <item m="1" x="3489"/>
        <item m="1" x="3347"/>
        <item m="1" x="551"/>
        <item m="1" x="629"/>
        <item m="1" x="1447"/>
        <item m="1" x="3067"/>
        <item m="1" x="3278"/>
        <item m="1" x="2679"/>
        <item m="1" x="2116"/>
        <item m="1" x="632"/>
        <item m="1" x="4299"/>
        <item m="1" x="4302"/>
        <item m="1" x="1456"/>
        <item m="1" x="4990"/>
        <item m="1" x="4131"/>
        <item m="1" x="4363"/>
        <item m="1" x="4672"/>
        <item m="1" x="202"/>
        <item m="1" x="1616"/>
        <item m="1" x="2531"/>
        <item m="1" x="664"/>
        <item m="1" x="4221"/>
        <item m="1" x="4356"/>
        <item m="1" x="5670"/>
        <item m="1" x="4953"/>
        <item m="1" x="2767"/>
        <item m="1" x="3522"/>
        <item m="1" x="5431"/>
        <item m="1" x="5797"/>
        <item m="1" x="904"/>
        <item m="1" x="573"/>
        <item m="1" x="964"/>
        <item m="1" x="959"/>
        <item m="1" x="373"/>
        <item m="1" x="4446"/>
        <item m="1" x="4043"/>
        <item m="1" x="1380"/>
        <item m="1" x="4544"/>
        <item m="1" x="3851"/>
        <item m="1" x="3534"/>
        <item m="1" x="6146"/>
        <item m="1" x="5140"/>
        <item m="1" x="3160"/>
        <item m="1" x="751"/>
        <item m="1" x="6165"/>
        <item m="1" x="6216"/>
        <item m="1" x="4597"/>
        <item m="1" x="2018"/>
        <item m="1" x="2498"/>
        <item m="1" x="3621"/>
        <item m="1" x="3822"/>
        <item m="1" x="453"/>
        <item m="1" x="3535"/>
        <item m="1" x="2427"/>
        <item m="1" x="352"/>
        <item m="1" x="6190"/>
        <item m="1" x="5500"/>
        <item m="1" x="3922"/>
        <item m="1" x="1442"/>
        <item m="1" x="1675"/>
        <item m="1" x="4417"/>
        <item m="1" x="1027"/>
        <item m="1" x="5063"/>
        <item m="1" x="253"/>
        <item m="1" x="1014"/>
        <item m="1" x="947"/>
        <item m="1" x="3348"/>
        <item m="1" x="3156"/>
        <item m="1" x="4004"/>
        <item m="1" x="724"/>
        <item m="1" x="493"/>
        <item m="1" x="954"/>
        <item m="1" x="585"/>
        <item m="1" x="1577"/>
        <item m="1" x="541"/>
        <item m="1" x="901"/>
        <item m="1" x="193"/>
        <item m="1" x="1278"/>
        <item m="1" x="840"/>
        <item m="1" x="4089"/>
        <item m="1" x="4213"/>
        <item m="1" x="3990"/>
        <item m="1" x="1531"/>
        <item m="1" x="5393"/>
        <item m="1" x="4589"/>
        <item m="1" x="1154"/>
        <item m="1" x="5794"/>
        <item m="1" x="2724"/>
        <item m="1" x="5478"/>
        <item m="1" x="5028"/>
        <item m="1" x="1341"/>
        <item m="1" x="1206"/>
        <item m="1" x="5035"/>
        <item m="1" x="1114"/>
        <item m="1" x="2867"/>
        <item m="1" x="6044"/>
        <item m="1" x="1051"/>
        <item m="1" x="5423"/>
        <item m="1" x="6070"/>
        <item m="1" x="5741"/>
        <item m="1" x="3565"/>
        <item m="1" x="2521"/>
        <item m="1" x="509"/>
        <item m="1" x="3626"/>
        <item m="1" x="2918"/>
        <item m="1" x="2264"/>
        <item m="1" x="4052"/>
        <item m="1" x="4110"/>
        <item m="1" x="3668"/>
        <item m="1" x="2365"/>
        <item m="1" x="1814"/>
        <item m="1" x="4957"/>
        <item m="1" x="4401"/>
        <item m="1" x="3865"/>
        <item m="1" x="6037"/>
        <item m="1" x="5668"/>
        <item m="1" x="3147"/>
        <item m="1" x="2555"/>
        <item m="1" x="1025"/>
        <item m="1" x="4055"/>
        <item m="1" x="5286"/>
        <item m="1" x="515"/>
        <item m="1" x="4872"/>
        <item m="1" x="5064"/>
        <item m="1" x="5908"/>
        <item m="1" x="5862"/>
        <item m="1" x="231"/>
        <item m="1" x="3166"/>
        <item m="1" x="3456"/>
        <item m="1" x="314"/>
        <item m="1" x="3430"/>
        <item m="1" x="560"/>
        <item m="1" x="1255"/>
        <item m="1" x="2034"/>
        <item m="1" x="243"/>
        <item m="1" x="4825"/>
        <item m="1" x="5364"/>
        <item m="1" x="2257"/>
        <item m="1" x="1523"/>
        <item m="1" x="3856"/>
        <item m="1" x="5813"/>
        <item m="1" x="712"/>
        <item m="1" x="944"/>
        <item m="1" x="6014"/>
        <item m="1" x="4573"/>
        <item m="1" x="714"/>
        <item m="1" x="3616"/>
        <item m="1" x="4081"/>
        <item m="1" x="5309"/>
        <item m="1" x="1958"/>
        <item m="1" x="619"/>
        <item m="1" x="2727"/>
        <item m="1" x="4510"/>
        <item m="1" x="3500"/>
        <item m="1" x="3155"/>
        <item m="1" x="5678"/>
        <item m="1" x="2452"/>
        <item m="1" x="3996"/>
        <item m="1" x="905"/>
        <item m="1" x="649"/>
        <item m="1" x="2558"/>
        <item m="1" x="2035"/>
        <item m="1" x="1604"/>
        <item m="1" x="5030"/>
        <item m="1" x="1547"/>
        <item m="1" x="1739"/>
        <item m="1" x="4564"/>
        <item m="1" x="201"/>
        <item m="1" x="3052"/>
        <item m="1" x="3802"/>
        <item m="1" x="5457"/>
        <item m="1" x="4260"/>
        <item m="1" x="952"/>
        <item m="1" x="5255"/>
        <item m="1" x="1530"/>
        <item m="1" x="2562"/>
        <item m="1" x="2996"/>
        <item m="1" x="1355"/>
        <item m="1" x="5272"/>
        <item m="1" x="2145"/>
        <item m="1" x="4712"/>
        <item m="1" x="5936"/>
        <item m="1" x="2210"/>
        <item m="1" x="5223"/>
        <item m="1" x="5344"/>
        <item m="1" x="727"/>
        <item m="1" x="2028"/>
        <item m="1" x="1982"/>
        <item m="1" x="673"/>
        <item m="1" x="1986"/>
        <item m="1" x="624"/>
        <item m="1" x="3107"/>
        <item m="1" x="5432"/>
        <item m="1" x="6133"/>
        <item m="1" x="882"/>
        <item m="1" x="5023"/>
        <item m="1" x="4938"/>
        <item m="1" x="4823"/>
        <item m="1" x="187"/>
        <item m="1" x="5380"/>
        <item m="1" x="2783"/>
        <item m="1" x="3056"/>
        <item m="1" x="407"/>
        <item m="1" x="2861"/>
        <item m="1" x="2575"/>
        <item m="1" x="5563"/>
        <item m="1" x="2089"/>
        <item m="1" x="6222"/>
        <item m="1" x="2109"/>
        <item m="1" x="2408"/>
        <item m="1" x="236"/>
        <item m="1" x="4633"/>
        <item m="1" x="110"/>
        <item m="1" x="1881"/>
        <item m="1" x="2570"/>
        <item m="1" x="2414"/>
        <item m="1" x="4905"/>
        <item m="1" x="4865"/>
        <item m="1" x="6061"/>
        <item m="1" x="1057"/>
        <item m="1" x="1119"/>
        <item m="1" x="4914"/>
        <item m="1" x="3648"/>
        <item m="1" x="5193"/>
        <item m="1" x="817"/>
        <item m="1" x="3128"/>
        <item m="1" x="4690"/>
        <item m="1" x="1132"/>
        <item m="1" x="2209"/>
        <item m="1" x="1247"/>
        <item m="1" x="1742"/>
        <item m="1" x="3334"/>
        <item m="1" x="3364"/>
        <item m="1" x="4556"/>
        <item m="1" x="442"/>
        <item m="1" x="4992"/>
        <item m="1" x="2569"/>
        <item m="1" x="4462"/>
        <item m="1" x="1677"/>
        <item m="1" x="4394"/>
        <item m="1" x="4333"/>
        <item m="1" x="5050"/>
        <item m="1" x="4208"/>
        <item m="1" x="2823"/>
        <item m="1" x="3189"/>
        <item m="1" x="5735"/>
        <item m="1" x="5691"/>
        <item m="1" x="3193"/>
        <item m="1" x="4859"/>
        <item m="1" x="2640"/>
        <item m="1" x="434"/>
        <item m="1" x="2739"/>
        <item m="1" x="2981"/>
        <item m="1" x="5040"/>
        <item m="1" x="2743"/>
        <item m="1" x="3088"/>
        <item m="1" x="4459"/>
        <item m="1" x="2468"/>
        <item m="1" x="4060"/>
        <item m="1" x="963"/>
        <item m="1" x="3847"/>
        <item m="1" x="3048"/>
        <item m="1" x="4065"/>
        <item m="1" x="1911"/>
        <item m="1" x="5329"/>
        <item m="1" x="2989"/>
        <item m="1" x="2744"/>
        <item m="1" x="3709"/>
        <item m="1" x="2606"/>
        <item m="1" x="3138"/>
        <item m="1" x="2271"/>
        <item m="1" x="313"/>
        <item m="1" x="4420"/>
        <item m="1" x="902"/>
        <item m="1" x="586"/>
        <item m="1" x="926"/>
        <item m="1" x="4095"/>
        <item m="1" x="3169"/>
        <item m="1" x="2354"/>
        <item m="1" x="6016"/>
        <item m="1" x="948"/>
        <item m="1" x="3320"/>
        <item m="1" x="2530"/>
        <item m="1" x="3090"/>
        <item m="1" x="5817"/>
        <item m="1" x="4795"/>
        <item m="1" x="1668"/>
        <item m="1" x="2276"/>
        <item m="1" x="1755"/>
        <item m="1" x="4453"/>
        <item m="1" x="3827"/>
        <item m="1" x="2129"/>
        <item m="1" x="316"/>
        <item m="1" x="2424"/>
        <item m="1" x="246"/>
        <item m="1" x="3114"/>
        <item m="1" x="3817"/>
        <item m="1" x="3581"/>
        <item m="1" x="6050"/>
        <item m="1" x="2849"/>
        <item m="1" x="5920"/>
        <item m="1" x="5232"/>
        <item m="1" x="1809"/>
        <item m="1" x="5686"/>
        <item m="1" x="3413"/>
        <item m="1" x="626"/>
        <item m="1" x="4925"/>
        <item m="1" x="1882"/>
        <item m="1" x="4326"/>
        <item m="1" x="6054"/>
        <item m="1" x="5314"/>
        <item m="1" x="4282"/>
        <item m="1" x="5898"/>
        <item m="1" x="2053"/>
        <item m="1" x="6215"/>
        <item m="1" x="2192"/>
        <item m="1" x="4719"/>
        <item m="1" x="2789"/>
        <item m="1" x="380"/>
        <item m="1" x="6153"/>
        <item m="1" x="5246"/>
        <item m="1" x="3126"/>
        <item m="1" x="885"/>
        <item m="1" x="1425"/>
        <item m="1" x="3428"/>
        <item m="1" x="3154"/>
        <item m="1" x="4450"/>
        <item m="1" x="3318"/>
        <item m="1" x="2572"/>
        <item m="1" x="4186"/>
        <item m="1" x="2091"/>
        <item m="1" x="3731"/>
        <item m="1" x="5037"/>
        <item m="1" x="765"/>
        <item m="1" x="4693"/>
        <item m="1" x="1851"/>
        <item m="1" x="4230"/>
        <item m="1" x="3182"/>
        <item m="1" x="2269"/>
        <item m="1" x="2315"/>
        <item m="1" x="2496"/>
        <item m="1" x="1199"/>
        <item m="1" x="4066"/>
        <item m="1" x="2690"/>
        <item m="1" x="805"/>
        <item m="1" x="4134"/>
        <item m="1" x="5763"/>
        <item m="1" x="4873"/>
        <item m="1" x="916"/>
        <item m="1" x="5291"/>
        <item m="1" x="4511"/>
        <item m="1" x="3162"/>
        <item m="1" x="3939"/>
        <item m="1" x="3712"/>
        <item m="1" x="3496"/>
        <item m="1" x="1549"/>
        <item m="1" x="2518"/>
        <item m="1" x="4050"/>
        <item m="1" x="2341"/>
        <item m="1" x="3920"/>
        <item m="1" x="4235"/>
        <item m="1" x="2278"/>
        <item m="1" x="2340"/>
        <item m="1" x="600"/>
        <item m="1" x="1020"/>
        <item m="1" x="1335"/>
        <item m="1" x="5311"/>
        <item m="1" x="1752"/>
        <item m="1" x="5762"/>
        <item m="1" x="3794"/>
        <item m="1" x="5870"/>
        <item m="1" x="5220"/>
        <item m="1" x="1052"/>
        <item m="1" x="5820"/>
        <item m="1" x="2649"/>
        <item m="1" x="3846"/>
        <item m="1" x="5637"/>
        <item m="1" x="3487"/>
        <item m="1" x="1022"/>
        <item x="97"/>
        <item m="1" x="1221"/>
        <item m="1" x="3073"/>
        <item m="1" x="5944"/>
        <item m="1" x="3173"/>
        <item m="1" x="2551"/>
        <item m="1" x="3773"/>
        <item m="1" x="2935"/>
        <item m="1" x="325"/>
        <item m="1" x="1811"/>
        <item m="1" x="211"/>
        <item m="1" x="1211"/>
        <item m="1" x="3145"/>
        <item m="1" x="545"/>
        <item m="1" x="1705"/>
        <item m="1" x="6113"/>
        <item m="1" x="4480"/>
        <item m="1" x="1813"/>
        <item m="1" x="4035"/>
        <item m="1" x="5967"/>
        <item m="1" x="2014"/>
        <item m="1" x="2930"/>
        <item m="1" x="5674"/>
        <item m="1" x="4306"/>
        <item m="1" x="4538"/>
        <item m="1" x="1318"/>
        <item m="1" x="171"/>
        <item m="1" x="5004"/>
        <item m="1" x="154"/>
        <item m="1" x="993"/>
        <item m="1" x="1527"/>
        <item m="1" x="1511"/>
        <item m="1" x="1627"/>
        <item m="1" x="1704"/>
        <item m="1" x="3813"/>
        <item m="1" x="568"/>
        <item m="1" x="1879"/>
        <item m="1" x="4603"/>
        <item m="1" x="1270"/>
        <item m="1" x="3277"/>
        <item m="1" x="4146"/>
        <item m="1" x="4372"/>
        <item m="1" x="1644"/>
        <item m="1" x="4204"/>
        <item m="1" x="5022"/>
        <item m="1" x="1776"/>
        <item m="1" x="4964"/>
        <item m="1" x="3556"/>
        <item m="1" x="5115"/>
        <item m="1" x="4906"/>
        <item m="1" x="1304"/>
        <item m="1" x="5765"/>
        <item m="1" x="3723"/>
        <item m="1" x="5293"/>
        <item m="1" x="5506"/>
        <item m="1" x="3485"/>
        <item m="1" x="1962"/>
        <item m="1" x="1232"/>
        <item m="1" x="4361"/>
        <item m="1" x="4735"/>
        <item m="1" x="980"/>
        <item m="1" x="6214"/>
        <item m="1" x="605"/>
        <item m="1" x="217"/>
        <item m="1" x="3531"/>
        <item m="1" x="5134"/>
        <item m="1" x="1001"/>
        <item m="1" x="3083"/>
        <item m="1" x="695"/>
        <item m="1" x="5807"/>
        <item m="1" x="5263"/>
        <item m="1" x="3860"/>
        <item m="1" x="5701"/>
        <item m="1" x="3838"/>
        <item m="1" x="3483"/>
        <item m="1" x="1896"/>
        <item m="1" x="5282"/>
        <item m="1" x="5625"/>
        <item m="1" x="6166"/>
        <item m="1" x="3463"/>
        <item m="1" x="490"/>
        <item m="1" x="4000"/>
        <item m="1" x="1042"/>
        <item m="1" x="5928"/>
        <item m="1" x="336"/>
        <item x="83"/>
        <item m="1" x="4547"/>
        <item m="1" x="4054"/>
        <item m="1" x="5012"/>
        <item m="1" x="4142"/>
        <item m="1" x="3259"/>
        <item m="1" x="3300"/>
        <item m="1" x="200"/>
        <item m="1" x="3118"/>
        <item m="1" x="2941"/>
        <item m="1" x="4328"/>
        <item m="1" x="3998"/>
        <item m="1" x="1106"/>
        <item m="1" x="4886"/>
        <item m="1" x="4125"/>
        <item m="1" x="1019"/>
        <item m="1" x="5577"/>
        <item m="1" x="470"/>
        <item m="1" x="2067"/>
        <item m="1" x="1288"/>
        <item m="1" x="6154"/>
        <item m="1" x="575"/>
        <item m="1" x="679"/>
        <item m="1" x="895"/>
        <item m="1" x="1718"/>
        <item m="1" x="1473"/>
        <item m="1" x="6145"/>
        <item m="1" x="2412"/>
        <item m="1" x="2637"/>
        <item m="1" x="2345"/>
        <item m="1" x="740"/>
        <item m="1" x="5663"/>
        <item m="1" x="3368"/>
        <item m="1" x="3202"/>
        <item m="1" x="2417"/>
        <item m="1" x="3103"/>
        <item m="1" x="984"/>
        <item m="1" x="2311"/>
        <item m="1" x="4910"/>
        <item m="1" x="1369"/>
        <item m="1" x="1407"/>
        <item m="1" x="2102"/>
        <item m="1" x="4563"/>
        <item m="1" x="440"/>
        <item m="1" x="257"/>
        <item m="1" x="999"/>
        <item m="1" x="108"/>
        <item m="1" x="1938"/>
        <item m="1" x="235"/>
        <item m="1" x="1120"/>
        <item m="1" x="2241"/>
        <item m="1" x="3236"/>
        <item m="1" x="1905"/>
        <item m="1" x="1347"/>
        <item m="1" x="445"/>
        <item m="1" x="5698"/>
        <item m="1" x="5959"/>
        <item m="1" x="4737"/>
        <item m="1" x="3291"/>
        <item m="1" x="1050"/>
        <item m="1" x="242"/>
        <item m="1" x="1176"/>
        <item m="1" x="5267"/>
        <item m="1" x="337"/>
        <item m="1" x="2541"/>
        <item m="1" x="2853"/>
        <item m="1" x="675"/>
        <item m="1" x="3498"/>
        <item m="1" x="1971"/>
        <item m="1" x="3374"/>
        <item m="1" x="403"/>
        <item m="1" x="1418"/>
        <item m="1" x="3174"/>
        <item m="1" x="552"/>
        <item m="1" x="2749"/>
        <item m="1" x="968"/>
        <item m="1" x="5650"/>
        <item m="1" x="665"/>
        <item m="1" x="4307"/>
        <item m="1" x="4829"/>
        <item m="1" x="5633"/>
        <item m="1" x="3314"/>
        <item m="1" x="6157"/>
        <item m="1" x="4199"/>
        <item m="1" x="4884"/>
        <item m="1" x="3100"/>
        <item m="1" x="1361"/>
        <item m="1" x="757"/>
        <item m="1" x="2533"/>
        <item m="1" x="1468"/>
        <item m="1" x="1576"/>
        <item m="1" x="4933"/>
        <item m="1" x="133"/>
        <item m="1" x="3307"/>
        <item m="1" x="3187"/>
        <item m="1" x="5170"/>
        <item m="1" x="6057"/>
        <item m="1" x="340"/>
        <item m="1" x="4778"/>
        <item m="1" x="2680"/>
        <item m="1" x="1073"/>
        <item m="1" x="1476"/>
        <item m="1" x="1819"/>
        <item m="1" x="5738"/>
        <item m="1" x="2330"/>
        <item m="1" x="1553"/>
        <item m="1" x="4705"/>
        <item m="1" x="3948"/>
        <item m="1" x="208"/>
        <item m="1" x="2168"/>
        <item m="1" x="1226"/>
        <item m="1" x="2275"/>
        <item m="1" x="3620"/>
        <item m="1" x="4354"/>
        <item m="1" x="1904"/>
        <item m="1" x="417"/>
        <item m="1" x="3845"/>
        <item m="1" x="5534"/>
        <item m="1" x="2799"/>
        <item m="1" x="2665"/>
        <item m="1" x="4765"/>
        <item m="1" x="4117"/>
        <item m="1" x="2234"/>
        <item m="1" x="2108"/>
        <item m="1" x="1293"/>
        <item m="1" x="3960"/>
        <item m="1" x="5522"/>
        <item m="1" x="4969"/>
        <item m="1" x="1816"/>
        <item m="1" x="5851"/>
        <item m="1" x="3499"/>
        <item m="1" x="5248"/>
        <item m="1" x="1153"/>
        <item m="1" x="2172"/>
        <item m="1" x="5385"/>
        <item m="1" x="1414"/>
        <item m="1" x="4279"/>
        <item m="1" x="2042"/>
        <item m="1" x="1365"/>
        <item m="1" x="5627"/>
        <item m="1" x="1961"/>
        <item m="1" x="163"/>
        <item m="1" x="2497"/>
        <item m="1" x="5104"/>
        <item m="1" x="2463"/>
        <item m="1" x="4285"/>
        <item m="1" x="5661"/>
        <item m="1" x="5654"/>
        <item m="1" x="1716"/>
        <item m="1" x="5292"/>
        <item m="1" x="205"/>
        <item m="1" x="1969"/>
        <item m="1" x="2136"/>
        <item m="1" x="462"/>
        <item m="1" x="3876"/>
        <item m="1" x="1454"/>
        <item m="1" x="2383"/>
        <item m="1" x="5091"/>
        <item m="1" x="2085"/>
        <item m="1" x="3287"/>
        <item m="1" x="4024"/>
        <item m="1" x="1242"/>
        <item m="1" x="2224"/>
        <item m="1" x="1890"/>
        <item m="1" x="2199"/>
        <item m="1" x="357"/>
        <item m="1" x="2796"/>
        <item m="1" x="2991"/>
        <item m="1" x="4405"/>
        <item m="1" x="1021"/>
        <item m="1" x="2318"/>
        <item m="1" x="2410"/>
        <item m="1" x="4931"/>
        <item m="1" x="6243"/>
        <item m="1" x="5843"/>
        <item m="1" x="2214"/>
        <item m="1" x="4909"/>
        <item m="1" x="2430"/>
        <item m="1" x="773"/>
        <item m="1" x="6076"/>
        <item m="1" x="3437"/>
        <item m="1" x="2932"/>
        <item m="1" x="5401"/>
        <item m="1" x="5518"/>
        <item m="1" x="2922"/>
        <item m="1" x="4842"/>
        <item m="1" x="4262"/>
        <item m="1" x="4541"/>
        <item m="1" x="3172"/>
        <item m="1" x="2554"/>
        <item m="1" x="528"/>
        <item m="1" x="3346"/>
        <item m="1" x="2223"/>
        <item m="1" x="4362"/>
        <item m="1" x="4549"/>
        <item m="1" x="1279"/>
        <item m="1" x="3674"/>
        <item m="1" x="6195"/>
        <item m="1" x="190"/>
        <item m="1" x="4843"/>
        <item m="1" x="3240"/>
        <item m="1" x="5105"/>
        <item m="1" x="1822"/>
        <item m="1" x="3250"/>
        <item m="1" x="1483"/>
        <item m="1" x="3995"/>
        <item m="1" x="3560"/>
        <item m="1" x="2321"/>
        <item m="1" x="2993"/>
        <item m="1" x="3221"/>
        <item m="1" x="663"/>
        <item m="1" x="2206"/>
        <item m="1" x="4490"/>
        <item m="1" x="3312"/>
        <item m="1" x="886"/>
        <item m="1" x="3179"/>
        <item m="1" x="3869"/>
        <item m="1" x="802"/>
        <item m="1" x="2936"/>
        <item m="1" x="2619"/>
        <item m="1" x="4206"/>
        <item m="1" x="2770"/>
        <item m="1" x="182"/>
        <item m="1" x="4422"/>
        <item m="1" x="4133"/>
        <item m="1" x="5586"/>
        <item m="1" x="5381"/>
        <item m="1" x="5116"/>
        <item m="1" x="4415"/>
        <item m="1" x="6213"/>
        <item m="1" x="1512"/>
        <item m="1" x="1315"/>
        <item m="1" x="2630"/>
        <item m="1" x="2106"/>
        <item m="1" x="1812"/>
        <item m="1" x="2198"/>
        <item m="1" x="4707"/>
        <item m="1" x="4201"/>
        <item m="1" x="1815"/>
        <item m="1" x="318"/>
        <item m="1" x="4335"/>
        <item m="1" x="5482"/>
        <item m="1" x="1173"/>
        <item m="1" x="345"/>
        <item m="1" x="5181"/>
        <item m="1" x="689"/>
        <item m="1" x="4243"/>
        <item m="1" x="4352"/>
        <item m="1" x="4297"/>
        <item m="1" x="3730"/>
        <item m="1" x="1628"/>
        <item m="1" x="4211"/>
        <item m="1" x="5473"/>
        <item m="1" x="129"/>
        <item m="1" x="5503"/>
        <item m="1" x="951"/>
        <item m="1" x="1903"/>
        <item m="1" x="229"/>
        <item m="1" x="175"/>
        <item m="1" x="4654"/>
        <item m="1" x="527"/>
        <item m="1" x="2252"/>
        <item m="1" x="4836"/>
        <item m="1" x="3303"/>
        <item m="1" x="5952"/>
        <item m="1" x="4534"/>
        <item m="1" x="3558"/>
        <item m="1" x="5925"/>
        <item m="1" x="1515"/>
        <item m="1" x="2186"/>
        <item m="1" x="4291"/>
        <item m="1" x="3583"/>
        <item m="1" x="4739"/>
        <item m="1" x="1140"/>
        <item m="1" x="3545"/>
        <item m="1" x="5463"/>
        <item m="1" x="5437"/>
        <item m="1" x="4949"/>
        <item m="1" x="4594"/>
        <item m="1" x="1912"/>
        <item m="1" x="5369"/>
        <item m="1" x="5107"/>
        <item m="1" x="4523"/>
        <item m="1" x="2604"/>
        <item m="1" x="1885"/>
        <item m="1" x="4278"/>
        <item m="1" x="6219"/>
        <item m="1" x="862"/>
        <item m="1" x="5648"/>
        <item m="1" x="4200"/>
        <item m="1" x="2403"/>
        <item m="1" x="4741"/>
        <item m="1" x="5277"/>
        <item m="1" x="982"/>
        <item m="1" x="2960"/>
        <item m="1" x="3457"/>
        <item m="1" x="1575"/>
        <item m="1" x="3812"/>
        <item m="1" x="468"/>
        <item m="1" x="5799"/>
        <item m="1" x="497"/>
        <item m="1" x="1950"/>
        <item m="1" x="853"/>
        <item m="1" x="4496"/>
        <item m="1" x="5723"/>
        <item m="1" x="3302"/>
        <item m="1" x="1688"/>
        <item m="1" x="5490"/>
        <item m="1" x="4075"/>
        <item m="1" x="5259"/>
        <item m="1" x="2891"/>
        <item m="1" x="4086"/>
        <item m="1" x="5960"/>
        <item m="1" x="5624"/>
        <item m="1" x="1123"/>
        <item m="1" x="1136"/>
        <item m="1" x="636"/>
        <item m="1" x="4526"/>
        <item m="1" x="546"/>
        <item m="1" x="5251"/>
        <item m="1" x="4101"/>
        <item m="1" x="3025"/>
        <item m="1" x="4937"/>
        <item m="1" x="1018"/>
        <item m="1" x="5643"/>
        <item m="1" x="112"/>
        <item m="1" x="2175"/>
        <item m="1" x="5106"/>
        <item m="1" x="293"/>
        <item m="1" x="3528"/>
        <item m="1" x="2482"/>
        <item m="1" x="3635"/>
        <item m="1" x="2940"/>
        <item m="1" x="849"/>
        <item m="1" x="843"/>
        <item x="76"/>
        <item m="1" x="1358"/>
        <item m="1" x="4665"/>
        <item m="1" x="6174"/>
        <item m="1" x="2581"/>
        <item m="1" x="2955"/>
        <item m="1" x="5365"/>
        <item m="1" x="2593"/>
        <item m="1" x="5054"/>
        <item m="1" x="3176"/>
        <item m="1" x="2886"/>
        <item m="1" x="650"/>
        <item m="1" x="6012"/>
        <item m="1" x="4410"/>
        <item m="1" x="641"/>
        <item m="1" x="3596"/>
        <item m="1" x="803"/>
        <item m="1" x="5009"/>
        <item m="1" x="1559"/>
        <item m="1" x="822"/>
        <item m="1" x="3505"/>
        <item m="1" x="4926"/>
        <item m="1" x="583"/>
        <item m="1" x="5456"/>
        <item m="1" x="1177"/>
        <item m="1" x="987"/>
        <item m="1" x="291"/>
        <item m="1" x="5101"/>
        <item m="1" x="1470"/>
        <item m="1" x="3776"/>
        <item m="1" x="2970"/>
        <item m="1" x="2339"/>
        <item m="1" x="394"/>
        <item m="1" x="1936"/>
        <item m="1" x="915"/>
        <item m="1" x="913"/>
        <item m="1" x="631"/>
        <item m="1" x="2952"/>
        <item m="1" x="1127"/>
        <item m="1" x="2813"/>
        <item m="1" x="2470"/>
        <item m="1" x="4408"/>
        <item m="1" x="912"/>
        <item m="1" x="2153"/>
        <item m="1" x="1613"/>
        <item x="86"/>
        <item m="1" x="2826"/>
        <item m="1" x="3916"/>
        <item m="1" x="6084"/>
        <item m="1" x="1499"/>
        <item m="1" x="1205"/>
        <item m="1" x="801"/>
        <item m="1" x="6232"/>
        <item m="1" x="3536"/>
        <item x="11"/>
        <item x="30"/>
        <item m="1" x="309"/>
        <item x="56"/>
        <item m="1" x="726"/>
        <item x="74"/>
        <item m="1" x="5894"/>
        <item m="1" x="5076"/>
        <item m="1" x="1420"/>
        <item m="1" x="2654"/>
        <item m="1" x="4753"/>
        <item m="1" x="5889"/>
        <item m="1" x="2599"/>
        <item m="1" x="494"/>
        <item m="1" x="2352"/>
        <item m="1" x="505"/>
        <item m="1" x="2389"/>
        <item m="1" x="4808"/>
        <item m="1" x="2038"/>
        <item m="1" x="4025"/>
        <item m="1" x="2642"/>
        <item m="1" x="4803"/>
        <item m="1" x="1568"/>
        <item m="1" x="692"/>
        <item m="1" x="4769"/>
        <item m="1" x="319"/>
        <item m="1" x="847"/>
        <item m="1" x="857"/>
        <item m="1" x="3563"/>
        <item m="1" x="1834"/>
        <item m="1" x="720"/>
        <item m="1" x="4434"/>
        <item m="1" x="3400"/>
        <item m="1" x="5753"/>
        <item x="1"/>
        <item m="1" x="1658"/>
        <item m="1" x="654"/>
        <item m="1" x="2806"/>
        <item m="1" x="2624"/>
        <item m="1" x="2512"/>
        <item m="1" x="2112"/>
        <item m="1" x="2246"/>
        <item m="1" x="3039"/>
        <item m="1" x="4767"/>
        <item m="1" x="4036"/>
        <item m="1" x="5226"/>
        <item m="1" x="5321"/>
        <item x="105"/>
        <item m="1" x="3686"/>
        <item m="1" x="450"/>
        <item m="1" x="5460"/>
        <item m="1" x="1603"/>
        <item m="1" x="2423"/>
        <item m="1" x="3526"/>
        <item m="1" x="799"/>
        <item m="1" x="1972"/>
        <item m="1" x="3786"/>
        <item m="1" x="5407"/>
        <item m="1" x="5756"/>
        <item m="1" x="286"/>
        <item m="1" x="1259"/>
        <item m="1" x="1324"/>
        <item m="1" x="2314"/>
        <item m="1" x="4936"/>
        <item m="1" x="4747"/>
        <item m="1" x="1634"/>
        <item m="1" x="3521"/>
        <item m="1" x="4891"/>
        <item m="1" x="1672"/>
        <item m="1" x="787"/>
        <item m="1" x="3923"/>
        <item m="1" x="361"/>
        <item m="1" x="2924"/>
        <item m="1" x="226"/>
        <item m="1" x="2641"/>
        <item m="1" x="582"/>
        <item m="1" x="3888"/>
        <item m="1" x="2583"/>
        <item m="1" x="4368"/>
        <item m="1" x="1681"/>
        <item m="1" x="223"/>
        <item m="1" x="4350"/>
        <item m="1" x="4258"/>
        <item m="1" x="3366"/>
        <item m="1" x="5121"/>
        <item m="1" x="5413"/>
        <item m="1" x="4962"/>
        <item m="1" x="4348"/>
        <item m="1" x="5739"/>
        <item m="1" x="3707"/>
        <item x="58"/>
        <item m="1" x="730"/>
        <item m="1" x="2992"/>
        <item m="1" x="864"/>
        <item m="1" x="3980"/>
        <item m="1" x="3276"/>
        <item m="1" x="409"/>
        <item m="1" x="4676"/>
        <item m="1" x="3901"/>
        <item m="1" x="4241"/>
        <item m="1" x="4749"/>
        <item m="1" x="3820"/>
        <item m="1" x="6124"/>
        <item m="1" x="5787"/>
        <item m="1" x="508"/>
        <item m="1" x="2815"/>
        <item m="1" x="3002"/>
        <item m="1" x="1786"/>
        <item m="1" x="3245"/>
        <item m="1" x="3059"/>
        <item m="1" x="4864"/>
        <item m="1" x="3769"/>
        <item m="1" x="2446"/>
        <item m="1" x="4001"/>
        <item m="1" x="594"/>
        <item m="1" x="680"/>
        <item m="1" x="1697"/>
        <item m="1" x="342"/>
        <item m="1" x="4745"/>
        <item m="1" x="2741"/>
        <item m="1" x="3798"/>
        <item m="1" x="4627"/>
        <item m="1" x="2563"/>
        <item m="1" x="1654"/>
        <item m="1" x="4768"/>
        <item m="1" x="2808"/>
        <item m="1" x="3724"/>
        <item m="1" x="156"/>
        <item m="1" x="1268"/>
        <item m="1" x="1745"/>
        <item m="1" x="3700"/>
        <item m="1" x="5688"/>
        <item m="1" x="1085"/>
        <item m="1" x="262"/>
        <item m="1" x="4677"/>
        <item m="1" x="1791"/>
        <item m="1" x="2065"/>
        <item m="1" x="5089"/>
        <item m="1" x="6235"/>
        <item m="1" x="4360"/>
        <item m="1" x="5382"/>
        <item m="1" x="2370"/>
        <item m="1" x="3606"/>
        <item m="1" x="760"/>
        <item m="1" x="5744"/>
        <item m="1" x="4730"/>
        <item m="1" x="1517"/>
        <item m="1" x="1455"/>
        <item m="1" x="1002"/>
        <item m="1" x="592"/>
        <item m="1" x="180"/>
        <item m="1" x="4427"/>
        <item m="1" x="3427"/>
        <item m="1" x="2165"/>
        <item m="1" x="5653"/>
        <item m="1" x="3746"/>
        <item m="1" x="1379"/>
        <item m="1" x="3053"/>
        <item m="1" x="406"/>
        <item m="1" x="2820"/>
        <item m="1" x="6043"/>
        <item m="1" x="5298"/>
        <item m="1" x="3764"/>
        <item m="1" x="1435"/>
        <item m="1" x="147"/>
        <item x="98"/>
        <item m="1" x="1600"/>
        <item m="1" x="2388"/>
        <item m="1" x="2458"/>
        <item m="1" x="2127"/>
        <item m="1" x="6203"/>
        <item m="1" x="1825"/>
        <item m="1" x="1082"/>
        <item m="1" x="1006"/>
        <item m="1" x="2854"/>
        <item x="101"/>
        <item m="1" x="2884"/>
        <item m="1" x="4458"/>
        <item m="1" x="5761"/>
        <item m="1" x="3803"/>
        <item m="1" x="6108"/>
        <item m="1" x="2921"/>
        <item m="1" x="367"/>
        <item m="1" x="5801"/>
        <item m="1" x="929"/>
        <item m="1" x="3504"/>
        <item m="1" x="351"/>
        <item m="1" x="2945"/>
        <item m="1" x="4780"/>
        <item m="1" x="570"/>
        <item m="1" x="3269"/>
        <item m="1" x="5060"/>
        <item m="1" x="1526"/>
        <item m="1" x="685"/>
        <item m="1" x="1796"/>
        <item m="1" x="363"/>
        <item m="1" x="5375"/>
        <item m="1" x="1569"/>
        <item m="1" x="5736"/>
        <item m="1" x="2163"/>
        <item m="1" x="1959"/>
        <item m="1" x="5502"/>
        <item m="1" x="4477"/>
        <item m="1" x="5917"/>
        <item m="1" x="4217"/>
        <item m="1" x="996"/>
        <item m="1" x="6152"/>
        <item m="1" x="3484"/>
        <item m="1" x="2550"/>
        <item m="1" x="4393"/>
        <item m="1" x="4091"/>
        <item m="1" x="3693"/>
        <item m="1" x="5175"/>
        <item m="1" x="374"/>
        <item m="1" x="2374"/>
        <item m="1" x="5196"/>
        <item m="1" x="1231"/>
        <item m="1" x="1441"/>
        <item m="1" x="1352"/>
        <item m="1" x="5411"/>
        <item m="1" x="2066"/>
        <item m="1" x="2447"/>
        <item m="1" x="4381"/>
        <item m="1" x="2633"/>
        <item m="1" x="3719"/>
        <item m="1" x="2443"/>
        <item m="1" x="5700"/>
        <item m="1" x="6198"/>
        <item m="1" x="4087"/>
        <item m="1" x="1363"/>
        <item m="1" x="2442"/>
        <item m="1" x="3977"/>
        <item m="1" x="5998"/>
        <item m="1" x="2334"/>
        <item m="1" x="4259"/>
        <item m="1" x="2705"/>
        <item m="1" x="3760"/>
        <item m="1" x="5313"/>
        <item m="1" x="4640"/>
        <item m="1" x="1095"/>
        <item m="1" x="3853"/>
        <item m="1" x="1486"/>
        <item m="1" x="5803"/>
        <item m="1" x="836"/>
        <item m="1" x="3393"/>
        <item m="1" x="2439"/>
        <item m="1" x="3740"/>
        <item m="1" x="5250"/>
        <item m="1" x="2579"/>
        <item m="1" x="1735"/>
        <item m="1" x="5845"/>
        <item m="1" x="1160"/>
        <item m="1" x="3954"/>
        <item m="1" x="3664"/>
        <item m="1" x="5176"/>
        <item m="1" x="4345"/>
        <item m="1" x="2182"/>
        <item m="1" x="4901"/>
        <item m="1" x="5798"/>
        <item m="1" x="5887"/>
        <item m="1" x="3789"/>
        <item m="1" x="5448"/>
        <item m="1" x="5775"/>
        <item m="1" x="4717"/>
        <item m="1" x="6147"/>
        <item m="1" x="354"/>
        <item m="1" x="5350"/>
        <item m="1" x="3091"/>
        <item m="1" x="233"/>
        <item m="1" x="4008"/>
        <item m="1" x="3350"/>
        <item m="1" x="5464"/>
        <item m="1" x="5866"/>
        <item m="1" x="2660"/>
        <item x="89"/>
        <item m="1" x="611"/>
        <item m="1" x="4637"/>
        <item m="1" x="4695"/>
        <item m="1" x="4119"/>
        <item m="1" x="4166"/>
        <item m="1" x="5351"/>
        <item m="1" x="2027"/>
        <item m="1" x="617"/>
        <item m="1" x="4955"/>
        <item m="1" x="1749"/>
        <item m="1" x="5245"/>
        <item m="1" x="1578"/>
        <item m="1" x="5257"/>
        <item m="1" x="922"/>
        <item m="1" x="4546"/>
        <item m="1" x="5154"/>
        <item m="1" x="514"/>
        <item m="1" x="3550"/>
        <item m="1" x="3099"/>
        <item m="1" x="2465"/>
        <item m="1" x="2602"/>
        <item m="1" x="5160"/>
        <item m="1" x="4445"/>
        <item m="1" x="5757"/>
        <item m="1" x="2133"/>
        <item m="1" x="5142"/>
        <item m="1" x="5767"/>
        <item m="1" x="4226"/>
        <item m="1" x="5073"/>
        <item m="1" x="5328"/>
        <item m="1" x="4334"/>
        <item m="1" x="3951"/>
        <item m="1" x="741"/>
        <item m="1" x="5153"/>
        <item m="1" x="2765"/>
        <item m="1" x="1016"/>
        <item m="1" x="5529"/>
        <item m="1" x="5771"/>
        <item m="1" x="2617"/>
        <item m="1" x="2673"/>
        <item m="1" x="1069"/>
        <item m="1" x="5378"/>
        <item m="1" x="2725"/>
        <item m="1" x="6149"/>
        <item m="1" x="5675"/>
        <item m="1" x="2499"/>
        <item m="1" x="3600"/>
        <item m="1" x="1396"/>
        <item m="1" x="1228"/>
        <item m="1" x="3120"/>
        <item m="1" x="2609"/>
        <item m="1" x="3670"/>
        <item m="1" x="6075"/>
        <item m="1" x="4096"/>
        <item m="1" x="2359"/>
        <item m="1" x="2586"/>
        <item m="1" x="2010"/>
        <item m="1" x="6010"/>
        <item m="1" x="5164"/>
        <item m="1" x="5180"/>
        <item m="1" x="4653"/>
        <item m="1" x="520"/>
        <item m="1" x="1525"/>
        <item m="1" x="4559"/>
        <item m="1" x="1083"/>
        <item m="1" x="2382"/>
        <item m="1" x="5623"/>
        <item m="1" x="441"/>
        <item m="1" x="1423"/>
        <item m="1" x="3141"/>
        <item m="1" x="2475"/>
        <item m="1" x="2722"/>
        <item m="1" x="4104"/>
        <item m="1" x="807"/>
        <item m="1" x="5727"/>
        <item m="1" x="4481"/>
        <item m="1" x="2904"/>
        <item m="1" x="2947"/>
        <item m="1" x="5874"/>
        <item x="96"/>
        <item m="1" x="6244"/>
        <item m="1" x="3821"/>
        <item m="1" x="5322"/>
        <item m="1" x="5067"/>
        <item m="1" x="1401"/>
        <item m="1" x="5611"/>
        <item m="1" x="2822"/>
        <item m="1" x="1521"/>
        <item m="1" x="1764"/>
        <item m="1" x="2547"/>
        <item m="1" x="618"/>
        <item x="93"/>
        <item m="1" x="5507"/>
        <item m="1" x="4908"/>
        <item m="1" x="5174"/>
        <item m="1" x="5119"/>
        <item m="1" x="1584"/>
        <item m="1" x="4844"/>
        <item m="1" x="4681"/>
        <item m="1" x="240"/>
        <item m="1" x="2094"/>
        <item m="1" x="5192"/>
        <item m="1" x="2122"/>
        <item m="1" x="4441"/>
        <item m="1" x="3649"/>
        <item m="1" x="3772"/>
        <item m="1" x="5950"/>
        <item m="1" x="1778"/>
        <item m="1" x="5584"/>
        <item m="1" x="3873"/>
        <item m="1" x="2556"/>
        <item m="1" x="4980"/>
        <item m="1" x="2005"/>
        <item m="1" x="5943"/>
        <item m="1" x="2063"/>
        <item x="88"/>
        <item m="1" x="4185"/>
        <item m="1" x="3575"/>
        <item m="1" x="5184"/>
        <item m="1" x="2568"/>
        <item m="1" x="5243"/>
        <item m="1" x="2181"/>
        <item m="1" x="3344"/>
        <item m="1" x="3161"/>
        <item m="1" x="1250"/>
        <item m="1" x="301"/>
        <item m="1" x="3201"/>
        <item m="1" x="5521"/>
        <item m="1" x="3658"/>
        <item m="1" x="548"/>
        <item m="1" x="1292"/>
        <item m="1" x="1163"/>
        <item m="1" x="1987"/>
        <item m="1" x="4757"/>
        <item m="1" x="3282"/>
        <item m="1" x="5822"/>
        <item m="1" x="452"/>
        <item m="1" x="1091"/>
        <item m="1" x="5271"/>
        <item m="1" x="5326"/>
        <item m="1" x="1276"/>
        <item m="1" x="3619"/>
        <item m="1" x="5308"/>
        <item m="1" x="1074"/>
        <item m="1" x="4553"/>
        <item m="1" x="2571"/>
        <item m="1" x="2553"/>
        <item m="1" x="3225"/>
        <item m="1" x="3226"/>
        <item m="1" x="2974"/>
        <item m="1" x="2335"/>
        <item m="1" x="499"/>
        <item m="1" x="1726"/>
        <item m="1" x="6226"/>
        <item m="1" x="1555"/>
        <item m="1" x="3893"/>
        <item m="1" x="1832"/>
        <item m="1" x="4357"/>
        <item x="77"/>
        <item m="1" x="1345"/>
        <item m="1" x="5768"/>
        <item m="1" x="2157"/>
        <item m="1" x="2988"/>
        <item m="1" x="4893"/>
        <item m="1" x="4621"/>
        <item m="1" x="6015"/>
        <item m="1" x="6046"/>
        <item m="1" x="603"/>
        <item m="1" x="2514"/>
        <item m="1" x="2155"/>
        <item m="1" x="3137"/>
        <item m="1" x="4120"/>
        <item m="1" x="6034"/>
        <item m="1" x="4857"/>
        <item m="1" x="2050"/>
        <item m="1" x="3325"/>
        <item m="1" x="3246"/>
        <item m="1" x="5831"/>
        <item m="1" x="1679"/>
        <item m="1" x="2695"/>
        <item m="1" x="4137"/>
        <item m="1" x="2851"/>
        <item m="1" x="2824"/>
        <item m="1" x="1209"/>
        <item m="1" x="1337"/>
        <item m="1" x="1994"/>
        <item m="1" x="1932"/>
        <item m="1" x="3467"/>
        <item m="1" x="6126"/>
        <item m="1" x="5312"/>
        <item m="1" x="3000"/>
        <item m="1" x="1723"/>
        <item m="1" x="1623"/>
        <item m="1" x="2798"/>
        <item m="1" x="3271"/>
        <item m="1" x="4661"/>
        <item m="1" x="2716"/>
        <item m="1" x="1921"/>
        <item m="1" x="1125"/>
        <item m="1" x="5607"/>
        <item m="1" x="2639"/>
        <item x="54"/>
        <item m="1" x="2818"/>
        <item m="1" x="212"/>
        <item m="1" x="1500"/>
        <item m="1" x="1757"/>
        <item m="1" x="554"/>
        <item m="1" x="4497"/>
        <item m="1" x="4595"/>
        <item m="1" x="4650"/>
        <item m="1" x="6144"/>
        <item m="1" x="2139"/>
        <item m="1" x="1269"/>
        <item m="1" x="578"/>
        <item m="1" x="2652"/>
        <item m="1" x="4092"/>
        <item m="1" x="5445"/>
        <item m="1" x="790"/>
        <item m="1" x="6062"/>
        <item m="1" x="1453"/>
        <item m="1" x="5206"/>
        <item m="1" x="1277"/>
        <item m="1" x="3999"/>
        <item m="1" x="3129"/>
        <item m="1" x="5852"/>
        <item m="1" x="2710"/>
        <item m="1" x="6080"/>
        <item m="1" x="5751"/>
        <item m="1" x="5203"/>
        <item m="1" x="5513"/>
        <item m="1" x="3342"/>
        <item m="1" x="135"/>
        <item x="75"/>
        <item x="95"/>
        <item m="1" x="5014"/>
        <item m="1" x="1299"/>
        <item m="1" x="1081"/>
        <item m="1" x="477"/>
        <item m="1" x="294"/>
        <item m="1" x="4685"/>
        <item m="1" x="2753"/>
        <item m="1" x="1098"/>
        <item m="1" x="1690"/>
        <item m="1" x="1975"/>
        <item m="1" x="4436"/>
        <item m="1" x="459"/>
        <item m="1" x="3093"/>
        <item m="1" x="3353"/>
        <item m="1" x="6090"/>
        <item m="1" x="2142"/>
        <item m="1" x="4524"/>
        <item m="1" x="2709"/>
        <item m="1" x="2601"/>
        <item m="1" x="2632"/>
        <item m="1" x="4734"/>
        <item m="1" x="3992"/>
        <item m="1" x="6120"/>
        <item m="1" x="1868"/>
        <item m="1" x="5406"/>
        <item m="1" x="2021"/>
        <item m="1" x="2610"/>
        <item m="1" x="688"/>
        <item m="1" x="4098"/>
        <item m="1" x="3547"/>
        <item m="1" x="2086"/>
        <item m="1" x="3446"/>
        <item m="1" x="1031"/>
        <item m="1" x="198"/>
        <item m="1" x="731"/>
        <item m="1" x="2985"/>
        <item m="1" x="5213"/>
        <item m="1" x="2786"/>
        <item m="1" x="4660"/>
        <item m="1" x="3299"/>
        <item m="1" x="5576"/>
        <item m="1" x="4126"/>
        <item m="1" x="5631"/>
        <item m="1" x="482"/>
        <item m="1" x="3491"/>
        <item m="1" x="3127"/>
        <item m="1" x="2254"/>
        <item m="1" x="5543"/>
        <item m="1" x="627"/>
        <item x="78"/>
        <item m="1" x="4108"/>
        <item m="1" x="2784"/>
        <item m="1" x="3308"/>
        <item m="1" x="767"/>
        <item m="1" x="6109"/>
        <item m="1" x="5070"/>
        <item m="1" x="5080"/>
        <item x="104"/>
        <item m="1" x="3653"/>
        <item m="1" x="2828"/>
        <item m="1" x="4716"/>
        <item m="1" x="6078"/>
        <item m="1" x="4701"/>
        <item m="1" x="5583"/>
        <item m="1" x="6151"/>
        <item m="1" x="5504"/>
        <item m="1" x="1744"/>
        <item m="1" x="1482"/>
        <item m="1" x="5483"/>
        <item m="1" x="1036"/>
        <item m="1" x="2812"/>
        <item m="1" x="2875"/>
        <item m="1" x="4114"/>
        <item m="1" x="2004"/>
        <item m="1" x="3148"/>
        <item m="1" x="1490"/>
        <item m="1" x="3459"/>
        <item m="1" x="2995"/>
        <item m="1" x="4196"/>
        <item m="1" x="214"/>
        <item m="1" x="770"/>
        <item m="1" x="1450"/>
        <item m="1" x="5141"/>
        <item m="1" x="4571"/>
        <item m="1" x="3617"/>
        <item m="1" x="5527"/>
        <item m="1" x="1926"/>
        <item m="1" x="1303"/>
        <item m="1" x="3439"/>
        <item m="1" x="1599"/>
        <item m="1" x="4861"/>
        <item m="1" x="2473"/>
        <item m="1" x="5026"/>
        <item m="1" x="3502"/>
        <item m="1" x="2927"/>
        <item m="1" x="2294"/>
        <item m="1" x="2842"/>
        <item m="1" x="3419"/>
        <item m="1" x="981"/>
        <item m="1" x="159"/>
        <item m="1" x="5591"/>
        <item m="1" x="4421"/>
        <item m="1" x="4028"/>
        <item m="1" x="6088"/>
        <item m="1" x="2405"/>
        <item m="1" x="1990"/>
        <item m="1" x="428"/>
        <item m="1" x="5814"/>
        <item m="1" x="6103"/>
        <item m="1" x="918"/>
        <item m="1" x="5825"/>
        <item m="1" x="4061"/>
        <item m="1" x="1389"/>
        <item m="1" x="3875"/>
        <item m="1" x="2797"/>
        <item m="1" x="4046"/>
        <item m="1" x="5289"/>
        <item m="1" x="777"/>
        <item m="1" x="4552"/>
        <item m="1" x="539"/>
        <item m="1" x="4880"/>
        <item m="1" x="4841"/>
        <item m="1" x="3590"/>
        <item m="1" x="4253"/>
        <item m="1" x="1542"/>
        <item m="1" x="3042"/>
        <item m="1" x="5662"/>
        <item m="1" x="1134"/>
        <item m="1" x="3633"/>
        <item m="1" x="1610"/>
        <item m="1" x="2107"/>
        <item m="1" x="4174"/>
        <item m="1" x="150"/>
        <item m="1" x="2920"/>
        <item m="1" x="3706"/>
        <item m="1" x="5782"/>
        <item m="1" x="1719"/>
        <item m="1" x="5949"/>
        <item m="1" x="5475"/>
        <item m="1" x="4518"/>
        <item m="1" x="4182"/>
        <item m="1" x="3072"/>
        <item m="1" x="5837"/>
        <item m="1" x="4975"/>
        <item m="1" x="1253"/>
        <item m="1" x="3555"/>
        <item m="1" x="4855"/>
        <item m="1" x="3757"/>
        <item m="1" x="733"/>
        <item m="1" x="3415"/>
        <item m="1" x="5443"/>
        <item m="1" x="2213"/>
        <item x="103"/>
        <item m="1" x="1892"/>
        <item m="1" x="5694"/>
        <item m="1" x="2425"/>
        <item m="1" x="2420"/>
        <item x="26"/>
        <item m="1" x="5647"/>
        <item m="1" x="5705"/>
        <item m="1" x="5994"/>
        <item m="1" x="3584"/>
        <item m="1" x="4431"/>
        <item m="1" x="1210"/>
        <item m="1" x="258"/>
        <item m="1" x="4537"/>
        <item m="1" x="3532"/>
        <item m="1" x="1694"/>
        <item m="1" x="5508"/>
        <item m="1" x="2876"/>
        <item m="1" x="4718"/>
        <item m="1" x="495"/>
        <item m="1" x="1917"/>
        <item m="1" x="3800"/>
        <item m="1" x="6042"/>
        <item m="1" x="1685"/>
        <item m="1" x="3159"/>
        <item m="1" x="3097"/>
        <item m="1" x="4428"/>
        <item m="1" x="3092"/>
        <item m="1" x="4265"/>
        <item x="99"/>
        <item m="1" x="3572"/>
        <item m="1" x="2216"/>
        <item m="1" x="4527"/>
        <item m="1" x="4234"/>
        <item m="1" x="4981"/>
        <item m="1" x="5573"/>
        <item m="1" x="5458"/>
        <item m="1" x="2834"/>
        <item m="1" x="3787"/>
        <item m="1" x="3507"/>
        <item m="1" x="965"/>
        <item m="1" x="4111"/>
        <item m="1" x="268"/>
        <item m="1" x="6160"/>
        <item m="1" x="1113"/>
        <item m="1" x="738"/>
        <item m="1" x="2717"/>
        <item m="1" x="5197"/>
        <item m="1" x="4058"/>
        <item m="1" x="2379"/>
        <item m="1" x="623"/>
        <item m="1" x="735"/>
        <item m="1" x="4674"/>
        <item m="1" x="1666"/>
        <item m="1" x="323"/>
        <item m="1" x="5436"/>
        <item m="1" x="4395"/>
        <item m="1" x="6170"/>
        <item m="1" x="289"/>
        <item m="1" x="484"/>
        <item m="1" x="2967"/>
        <item m="1" x="4979"/>
        <item m="1" x="3624"/>
        <item m="1" x="2140"/>
        <item m="1" x="3585"/>
        <item m="1" x="4271"/>
        <item m="1" x="3912"/>
        <item m="1" x="2860"/>
        <item m="1" x="455"/>
        <item m="1" x="1185"/>
        <item m="1" x="808"/>
        <item m="1" x="5954"/>
        <item m="1" x="2162"/>
        <item m="1" x="3075"/>
        <item m="1" x="4176"/>
        <item m="1" x="3557"/>
        <item m="1" x="6242"/>
        <item m="1" x="4714"/>
        <item m="1" x="1405"/>
        <item m="1" x="1869"/>
        <item m="1" x="2483"/>
        <item m="1" x="1703"/>
        <item m="1" x="2022"/>
        <item m="1" x="3061"/>
        <item m="1" x="3405"/>
        <item m="1" x="3710"/>
        <item m="1" x="4056"/>
        <item m="1" x="3542"/>
        <item m="1" x="3682"/>
        <item m="1" x="3868"/>
        <item m="1" x="4032"/>
        <item m="1" x="4687"/>
        <item m="1" x="788"/>
        <item m="1" x="4733"/>
        <item m="1" x="1824"/>
        <item m="1" x="5439"/>
        <item m="1" x="4332"/>
        <item m="1" x="3260"/>
        <item m="1" x="1108"/>
        <item m="1" x="2895"/>
        <item m="1" x="2525"/>
        <item m="1" x="1004"/>
        <item m="1" x="1330"/>
        <item m="1" x="3111"/>
        <item m="1" x="4173"/>
        <item m="1" x="6029"/>
        <item m="1" x="4530"/>
        <item m="1" x="176"/>
        <item m="1" x="1223"/>
        <item m="1" x="3008"/>
        <item m="1" x="4806"/>
        <item m="1" x="3338"/>
        <item m="1" x="4438"/>
        <item x="106"/>
        <item m="1" x="6212"/>
        <item m="1" x="5177"/>
        <item m="1" x="1876"/>
        <item x="100"/>
        <item m="1" x="5072"/>
        <item m="1" x="1780"/>
        <item m="1" x="5404"/>
        <item m="1" x="2121"/>
        <item m="1" x="4987"/>
        <item m="1" x="5595"/>
        <item m="1" x="2348"/>
        <item m="1" x="5195"/>
        <item m="1" x="2457"/>
        <item m="1" x="2682"/>
        <item m="1" x="2302"/>
        <item m="1" x="2881"/>
        <item m="1" x="4751"/>
        <item m="1" x="5189"/>
        <item m="1" x="5551"/>
        <item m="1" x="4572"/>
        <item m="1" x="1920"/>
        <item m="1" x="4788"/>
        <item m="1" x="3112"/>
        <item m="1" x="3244"/>
        <item m="1" x="3239"/>
        <item m="1" x="3183"/>
        <item m="1" x="2975"/>
        <item m="1" x="3391"/>
        <item m="1" x="3029"/>
        <item m="1" x="2757"/>
        <item m="1" x="1280"/>
        <item m="1" x="4240"/>
        <item m="1" x="1346"/>
        <item m="1" x="3928"/>
        <item m="1" x="1062"/>
        <item m="1" x="4359"/>
        <item m="1" x="3687"/>
        <item m="1" x="854"/>
        <item m="1" x="3424"/>
        <item m="1" x="6161"/>
        <item m="1" x="516"/>
        <item m="1" x="5435"/>
        <item m="1" x="4371"/>
        <item m="1" x="2615"/>
        <item m="1" x="786"/>
        <item m="1" x="5857"/>
        <item m="1" x="1169"/>
        <item m="1" x="5540"/>
        <item m="1" x="3735"/>
        <item m="1" x="4911"/>
        <item m="1" x="3831"/>
        <item m="1" x="2045"/>
        <item m="1" x="3533"/>
        <item m="1" x="1733"/>
        <item m="1" x="662"/>
        <item m="1" x="5017"/>
        <item m="1" x="3203"/>
        <item m="1" x="1170"/>
        <item m="1" x="3349"/>
        <item m="1" x="5528"/>
        <item m="1" x="1557"/>
        <item m="1" x="4463"/>
        <item m="1" x="465"/>
        <item m="1" x="4822"/>
        <item m="1" x="876"/>
        <item m="1" x="3040"/>
        <item m="1" x="5956"/>
        <item m="1" x="1927"/>
        <item m="1" x="2347"/>
        <item m="1" x="4539"/>
        <item m="1" x="1249"/>
        <item m="1" x="3447"/>
        <item m="1" x="5613"/>
        <item m="1" x="6040"/>
        <item m="1" x="2752"/>
        <item m="1" x="4917"/>
        <item m="1" x="958"/>
        <item m="1" x="3132"/>
        <item m="1" x="279"/>
        <item m="1" x="2461"/>
        <item m="1" x="4610"/>
        <item m="1" x="651"/>
        <item m="1" x="2831"/>
        <item m="1" x="1738"/>
        <item m="1" x="3915"/>
        <item m="1" x="6105"/>
        <item m="1" x="2130"/>
        <item m="1" x="4327"/>
        <item m="1" x="5392"/>
        <item m="1" x="1430"/>
        <item m="1" x="3618"/>
        <item m="1" x="5793"/>
        <item m="1" x="1794"/>
        <item m="1" x="5079"/>
        <item m="1" x="1118"/>
        <item m="1" x="3296"/>
        <item m="1" x="6202"/>
        <item m="1" x="1040"/>
        <item m="1" x="5188"/>
        <item m="1" x="3212"/>
        <item m="1" x="1233"/>
        <item m="1" x="1424"/>
        <item m="1" x="5594"/>
        <item m="1" x="3613"/>
        <item m="1" x="2332"/>
        <item m="1" x="355"/>
        <item m="1" x="536"/>
        <item m="1" x="2736"/>
        <item m="1" x="746"/>
        <item m="1" x="4899"/>
        <item m="1" x="5075"/>
        <item m="1" x="1802"/>
        <item m="1" x="4003"/>
        <item m="1" x="4180"/>
        <item m="1" x="2218"/>
        <item m="1" x="248"/>
        <item m="1" x="2440"/>
        <item m="1" x="3310"/>
        <item m="1" x="1321"/>
        <item m="1" x="5491"/>
        <item m="1" x="3513"/>
        <item m="1" x="1507"/>
        <item m="1" x="1721"/>
        <item m="1" x="5900"/>
        <item m="1" x="3886"/>
        <item m="1" x="1883"/>
        <item m="1" x="3395"/>
        <item m="1" x="1402"/>
        <item m="1" x="142"/>
        <item m="1" x="4310"/>
        <item m="1" x="4513"/>
        <item m="1" x="2544"/>
        <item m="1" x="506"/>
        <item m="1" x="4670"/>
        <item m="1" x="2718"/>
        <item m="1" x="2892"/>
        <item m="1" x="1612"/>
        <item m="1" x="5772"/>
        <item m="1" x="3782"/>
        <item m="1" x="1775"/>
        <item m="1" x="1993"/>
        <item m="1" x="6169"/>
        <item m="1" x="4162"/>
        <item m="1" x="2184"/>
        <item m="1" x="228"/>
        <item m="1" x="1107"/>
        <item m="1" x="5268"/>
        <item m="1" x="3283"/>
        <item m="1" x="1301"/>
        <item m="1" x="5468"/>
        <item m="1" x="5655"/>
        <item m="1" x="3665"/>
        <item m="1" x="1699"/>
        <item m="1" x="5873"/>
        <item m="1" x="4576"/>
        <item m="1" x="4761"/>
        <item m="1" x="2791"/>
        <item m="1" x="815"/>
        <item m="1" x="4972"/>
        <item m="1" x="3170"/>
        <item m="1" x="1187"/>
        <item m="1" x="1067"/>
        <item m="1" x="2149"/>
        <item m="1" x="3931"/>
        <item m="1" x="5734"/>
        <item m="1" x="4254"/>
        <item m="1" x="5335"/>
        <item m="1" x="973"/>
        <item m="1" x="2761"/>
        <item m="1" x="3854"/>
        <item m="1" x="2378"/>
        <item m="1" x="4140"/>
        <item m="1" x="5970"/>
        <item m="1" x="903"/>
        <item m="1" x="2701"/>
        <item m="1" x="1281"/>
        <item m="1" x="4167"/>
        <item m="1" x="1611"/>
        <item m="1" x="4492"/>
        <item m="1" x="1491"/>
        <item m="1" x="4379"/>
        <item m="1" x="1800"/>
        <item m="1" x="4678"/>
        <item m="1" x="1400"/>
        <item m="1" x="923"/>
        <item m="1" x="566"/>
        <item m="1" x="863"/>
        <item m="1" x="1133"/>
        <item m="1" x="4337"/>
        <item m="1" x="5150"/>
        <item m="1" x="4715"/>
        <item m="1" x="6049"/>
        <item m="1" x="4514"/>
        <item m="1" x="4183"/>
        <item m="1" x="1830"/>
        <item m="1" x="5138"/>
        <item m="1" x="1581"/>
        <item m="1" x="4863"/>
        <item m="1" x="1689"/>
        <item m="1" x="4930"/>
        <item m="1" x="1359"/>
        <item m="1" x="4634"/>
        <item m="1" x="1743"/>
        <item m="1" x="4343"/>
        <item m="1" x="5690"/>
        <item m="1" x="4609"/>
        <item m="1" x="2846"/>
        <item m="1" x="1028"/>
        <item m="1" x="6104"/>
        <item m="1" x="1429"/>
        <item m="1" x="5808"/>
        <item m="1" x="3991"/>
        <item m="1" x="2913"/>
        <item m="1" x="1128"/>
        <item m="1" x="837"/>
        <item m="1" x="5901"/>
        <item m="1" x="4094"/>
        <item m="1" x="2312"/>
        <item m="1" x="3783"/>
        <item m="1" x="2713"/>
        <item m="1" x="921"/>
        <item m="1" x="5269"/>
        <item m="1" x="4157"/>
        <item m="1" x="4376"/>
        <item x="92"/>
        <item m="1" x="415"/>
        <item m="1" x="2627"/>
        <item m="1" x="4752"/>
        <item m="1" x="1478"/>
        <item m="1" x="4057"/>
        <item m="1" x="2977"/>
        <item m="1" x="5143"/>
        <item m="1" x="5981"/>
        <item m="1" x="1951"/>
        <item m="1" x="4141"/>
        <item m="1" x="3468"/>
        <item m="1" x="1674"/>
        <item m="1" x="3842"/>
        <item m="1" x="4935"/>
        <item m="1" x="1874"/>
        <item m="1" x="1055"/>
        <item m="1" x="234"/>
        <item m="1" x="5525"/>
        <item m="1" x="2299"/>
        <item m="1" x="1449"/>
        <item m="1" x="6079"/>
        <item m="1" x="5210"/>
        <item m="1" x="4398"/>
        <item m="1" x="1155"/>
        <item m="1" x="329"/>
        <item m="1" x="5616"/>
        <item m="1" x="4069"/>
        <item m="1" x="3233"/>
        <item m="1" x="5316"/>
        <item m="1" x="4500"/>
        <item m="1" x="3634"/>
        <item m="1" x="2804"/>
        <item m="1" x="5716"/>
        <item m="1" x="4887"/>
        <item m="1" x="3339"/>
        <item m="1" x="2532"/>
        <item m="1" x="1657"/>
        <item m="1" x="3715"/>
        <item m="1" x="2899"/>
        <item m="1" x="1348"/>
        <item m="1" x="3758"/>
        <item m="1" x="549"/>
        <item m="1" x="5872"/>
        <item m="1" x="4331"/>
        <item m="1" x="3478"/>
        <item m="1" x="2658"/>
        <item m="1" x="5554"/>
        <item m="1" x="4697"/>
        <item m="1" x="3867"/>
        <item m="1" x="1471"/>
        <item m="1" x="4430"/>
        <item m="1" x="3571"/>
        <item m="1" x="2740"/>
        <item m="1" x="1854"/>
        <item m="1" x="1043"/>
        <item m="1" x="3969"/>
        <item m="1" x="3122"/>
        <item m="1" x="1579"/>
        <item m="1" x="755"/>
        <item m="1" x="6068"/>
        <item m="1" x="2830"/>
        <item m="1" x="1967"/>
        <item m="1" x="1141"/>
        <item m="1" x="5740"/>
        <item m="1" x="4904"/>
        <item m="1" x="1686"/>
        <item m="1" x="850"/>
        <item m="1" x="6148"/>
        <item m="1" x="5296"/>
        <item m="1" x="3738"/>
        <item m="1" x="1234"/>
        <item m="1" x="411"/>
        <item m="1" x="5003"/>
        <item m="1" x="4147"/>
        <item m="1" x="3322"/>
        <item m="1" x="5397"/>
        <item m="1" x="4565"/>
        <item m="1" x="3014"/>
        <item m="1" x="2173"/>
        <item m="1" x="5083"/>
        <item m="1" x="4257"/>
        <item m="1" x="3420"/>
        <item m="1" x="2622"/>
        <item m="1" x="1033"/>
        <item m="1" x="4652"/>
        <item m="1" x="2274"/>
        <item m="1" x="1433"/>
        <item m="1" x="598"/>
        <item m="1" x="2702"/>
        <item m="1" x="1807"/>
        <item m="1" x="304"/>
        <item m="1" x="5598"/>
        <item m="1" x="1514"/>
        <item m="1" x="707"/>
        <item m="1" x="6033"/>
        <item m="1" x="4476"/>
        <item m="1" x="1900"/>
        <item m="1" x="396"/>
        <item m="1" x="5689"/>
        <item m="1" x="4850"/>
        <item m="1" x="4012"/>
        <item m="1" x="804"/>
        <item m="1" x="6099"/>
        <item m="1" x="5247"/>
        <item m="1" x="3691"/>
        <item m="1" x="4939"/>
        <item m="1" x="936"/>
        <item m="1" x="3054"/>
        <item m="1" x="5182"/>
        <item m="1" x="742"/>
        <item m="1" x="2869"/>
        <item m="1" x="4305"/>
        <item m="1" x="2432"/>
        <item m="1" x="1925"/>
        <item m="1" x="4077"/>
        <item m="1" x="6231"/>
        <item m="1" x="2200"/>
        <item m="1" x="3629"/>
        <item m="1" x="6051"/>
        <item m="1" x="1294"/>
        <item m="1" x="3436"/>
        <item m="1" x="5566"/>
        <item m="1" x="2326"/>
        <item m="1" x="4483"/>
        <item m="1" x="443"/>
        <item m="1" x="2618"/>
        <item m="1" x="2119"/>
        <item m="1" x="4252"/>
        <item m="1" x="260"/>
        <item m="1" x="1673"/>
        <item m="1" x="3792"/>
        <item m="1" x="4044"/>
        <item m="1" x="5480"/>
        <item m="1" x="1451"/>
        <item m="1" x="3602"/>
        <item m="1" x="5730"/>
        <item m="1" x="5274"/>
        <item m="1" x="1261"/>
        <item m="1" x="3402"/>
        <item m="1" x="4819"/>
        <item m="1" x="823"/>
        <item m="1" x="372"/>
        <item m="1" x="2523"/>
        <item m="1" x="4618"/>
        <item m="1" x="2289"/>
        <item m="1" x="4442"/>
        <item m="1" x="5868"/>
        <item m="1" x="1810"/>
        <item m="1" x="3972"/>
        <item m="1" x="3519"/>
        <item m="1" x="5642"/>
        <item m="1" x="1635"/>
        <item m="1" x="3748"/>
        <item m="1" x="5183"/>
        <item m="1" x="5449"/>
        <item m="1" x="1426"/>
        <item m="1" x="2870"/>
        <item m="1" x="4995"/>
        <item m="1" x="983"/>
        <item m="1" x="517"/>
        <item m="1" x="2692"/>
        <item m="1" x="792"/>
        <item m="1" x="2203"/>
        <item m="1" x="2491"/>
        <item m="1" x="3877"/>
        <item m="1" x="6052"/>
        <item m="1" x="1996"/>
        <item m="1" x="4128"/>
        <item m="1" x="5827"/>
        <item m="1" x="1774"/>
        <item m="1" x="3224"/>
        <item m="1" x="5366"/>
        <item m="1" x="708"/>
        <item m="1" x="2835"/>
        <item m="1" x="4960"/>
        <item m="1" x="261"/>
        <item m="1" x="2380"/>
        <item m="1" x="1887"/>
        <item m="1" x="4047"/>
        <item m="1" x="6200"/>
        <item m="1" x="2167"/>
        <item m="1" x="4325"/>
        <item m="1" x="3849"/>
        <item m="1" x="6023"/>
        <item m="1" x="1262"/>
        <item m="1" x="3404"/>
        <item m="1" x="5532"/>
        <item m="1" x="5066"/>
        <item m="1" x="1061"/>
        <item m="1" x="3188"/>
        <item m="1" x="5325"/>
        <item m="1" x="875"/>
        <item m="1" x="4444"/>
        <item m="1" x="419"/>
        <item m="1" x="2093"/>
        <item m="1" x="4203"/>
        <item m="1" x="227"/>
        <item m="1" x="1638"/>
        <item m="1" x="3750"/>
        <item m="1" x="5452"/>
        <item m="1" x="1431"/>
        <item m="1" x="3570"/>
        <item m="1" x="5695"/>
        <item m="1" x="5237"/>
        <item m="1" x="1225"/>
        <item m="1" x="3363"/>
        <item m="1" x="4786"/>
        <item m="1" x="795"/>
        <item m="1" x="341"/>
        <item m="1" x="2494"/>
        <item m="1" x="4586"/>
        <item m="1" x="581"/>
        <item m="1" x="2728"/>
        <item m="1" x="4407"/>
        <item m="1" x="5828"/>
        <item m="1" x="1779"/>
        <item m="1" x="3938"/>
        <item m="1" x="5610"/>
        <item m="1" x="1602"/>
        <item m="1" x="3711"/>
        <item m="1" x="5147"/>
        <item m="1" x="5410"/>
        <item m="1" x="1394"/>
        <item m="1" x="2837"/>
        <item m="1" x="4961"/>
        <item x="66"/>
        <item x="69"/>
      </items>
    </pivotField>
    <pivotField showAll="0" defaultSubtotal="0"/>
    <pivotField axis="axisPage" showAll="0" defaultSubtotal="0">
      <items count="5">
        <item x="0"/>
        <item x="1"/>
        <item m="1" x="4"/>
        <item x="2"/>
        <item x="3"/>
      </items>
    </pivotField>
  </pivotFields>
  <rowFields count="2">
    <field x="0"/>
    <field x="1"/>
  </rowFields>
  <rowItems count="484">
    <i>
      <x/>
    </i>
    <i r="1">
      <x v="65"/>
    </i>
    <i>
      <x v="1"/>
    </i>
    <i r="1">
      <x v="25"/>
    </i>
    <i>
      <x v="2"/>
    </i>
    <i r="1">
      <x v="30"/>
    </i>
    <i>
      <x v="3"/>
    </i>
    <i r="1">
      <x v="63"/>
    </i>
    <i>
      <x v="4"/>
    </i>
    <i r="1">
      <x v="196"/>
    </i>
    <i>
      <x v="5"/>
    </i>
    <i r="1">
      <x v="62"/>
    </i>
    <i>
      <x v="6"/>
    </i>
    <i r="1">
      <x v="45"/>
    </i>
    <i>
      <x v="7"/>
    </i>
    <i r="1">
      <x v="3"/>
    </i>
    <i>
      <x v="8"/>
    </i>
    <i r="1">
      <x v="109"/>
    </i>
    <i>
      <x v="9"/>
    </i>
    <i r="1">
      <x v="56"/>
    </i>
    <i>
      <x v="10"/>
    </i>
    <i r="1">
      <x v="129"/>
    </i>
    <i>
      <x v="11"/>
    </i>
    <i r="1">
      <x v="125"/>
    </i>
    <i>
      <x v="12"/>
    </i>
    <i r="1">
      <x v="79"/>
    </i>
    <i>
      <x v="13"/>
    </i>
    <i r="1">
      <x v="89"/>
    </i>
    <i>
      <x v="14"/>
    </i>
    <i r="1">
      <x v="127"/>
    </i>
    <i>
      <x v="15"/>
    </i>
    <i r="1">
      <x v="163"/>
    </i>
    <i>
      <x v="16"/>
    </i>
    <i r="1">
      <x v="32"/>
    </i>
    <i>
      <x v="17"/>
    </i>
    <i r="1">
      <x v="57"/>
    </i>
    <i>
      <x v="18"/>
    </i>
    <i r="1">
      <x v="131"/>
    </i>
    <i>
      <x v="19"/>
    </i>
    <i r="1">
      <x v="84"/>
    </i>
    <i>
      <x v="20"/>
    </i>
    <i r="1">
      <x v="171"/>
    </i>
    <i>
      <x v="21"/>
    </i>
    <i r="1">
      <x v="6"/>
    </i>
    <i>
      <x v="22"/>
    </i>
    <i r="1">
      <x v="16"/>
    </i>
    <i>
      <x v="24"/>
    </i>
    <i r="1">
      <x v="96"/>
    </i>
    <i>
      <x v="25"/>
    </i>
    <i r="1">
      <x v="100"/>
    </i>
    <i>
      <x v="26"/>
    </i>
    <i r="1">
      <x v="92"/>
    </i>
    <i>
      <x v="27"/>
    </i>
    <i r="1">
      <x v="20"/>
    </i>
    <i>
      <x v="28"/>
    </i>
    <i r="1">
      <x v="44"/>
    </i>
    <i>
      <x v="29"/>
    </i>
    <i r="1">
      <x v="39"/>
    </i>
    <i>
      <x v="30"/>
    </i>
    <i r="1">
      <x v="23"/>
    </i>
    <i>
      <x v="31"/>
    </i>
    <i r="1">
      <x v="132"/>
    </i>
    <i>
      <x v="32"/>
    </i>
    <i r="1">
      <x v="147"/>
    </i>
    <i>
      <x v="33"/>
    </i>
    <i r="1">
      <x v="18"/>
    </i>
    <i>
      <x v="34"/>
    </i>
    <i r="1">
      <x v="144"/>
    </i>
    <i>
      <x v="35"/>
    </i>
    <i r="1">
      <x v="137"/>
    </i>
    <i>
      <x v="36"/>
    </i>
    <i r="1">
      <x v="88"/>
    </i>
    <i>
      <x v="37"/>
    </i>
    <i r="1">
      <x v="40"/>
    </i>
    <i>
      <x v="38"/>
    </i>
    <i r="1">
      <x v="34"/>
    </i>
    <i>
      <x v="39"/>
    </i>
    <i r="1">
      <x v="140"/>
    </i>
    <i>
      <x v="40"/>
    </i>
    <i r="1">
      <x v="124"/>
    </i>
    <i>
      <x v="41"/>
    </i>
    <i r="1">
      <x v="59"/>
    </i>
    <i>
      <x v="42"/>
    </i>
    <i r="1">
      <x v="150"/>
    </i>
    <i>
      <x v="43"/>
    </i>
    <i r="1">
      <x v="126"/>
    </i>
    <i>
      <x v="44"/>
    </i>
    <i r="1">
      <x v="101"/>
    </i>
    <i>
      <x v="45"/>
    </i>
    <i r="1">
      <x v="123"/>
    </i>
    <i>
      <x v="46"/>
    </i>
    <i r="1">
      <x v="161"/>
    </i>
    <i>
      <x v="47"/>
    </i>
    <i r="1">
      <x v="117"/>
    </i>
    <i>
      <x v="48"/>
    </i>
    <i r="1">
      <x v="151"/>
    </i>
    <i>
      <x v="49"/>
    </i>
    <i r="1">
      <x v="162"/>
    </i>
    <i>
      <x v="50"/>
    </i>
    <i r="1">
      <x v="22"/>
    </i>
    <i>
      <x v="51"/>
    </i>
    <i r="1">
      <x v="52"/>
    </i>
    <i>
      <x v="52"/>
    </i>
    <i r="1">
      <x v="168"/>
    </i>
    <i>
      <x v="53"/>
    </i>
    <i r="1">
      <x v="83"/>
    </i>
    <i>
      <x v="54"/>
    </i>
    <i r="1">
      <x v="73"/>
    </i>
    <i>
      <x v="55"/>
    </i>
    <i r="1">
      <x v="69"/>
    </i>
    <i>
      <x v="56"/>
    </i>
    <i r="1">
      <x v="27"/>
    </i>
    <i>
      <x v="57"/>
    </i>
    <i r="1">
      <x v="107"/>
    </i>
    <i>
      <x v="58"/>
    </i>
    <i r="1">
      <x v="74"/>
    </i>
    <i>
      <x v="59"/>
    </i>
    <i r="1">
      <x v="42"/>
    </i>
    <i>
      <x v="60"/>
    </i>
    <i r="1">
      <x v="36"/>
    </i>
    <i>
      <x v="61"/>
    </i>
    <i r="1">
      <x v="165"/>
    </i>
    <i>
      <x v="62"/>
    </i>
    <i r="1">
      <x v="14"/>
    </i>
    <i>
      <x v="63"/>
    </i>
    <i r="1">
      <x v="71"/>
    </i>
    <i>
      <x v="64"/>
    </i>
    <i r="1">
      <x v="110"/>
    </i>
    <i>
      <x v="65"/>
    </i>
    <i r="1">
      <x v="5"/>
    </i>
    <i>
      <x v="66"/>
    </i>
    <i r="1">
      <x v="41"/>
    </i>
    <i>
      <x v="68"/>
    </i>
    <i r="1">
      <x v="11"/>
    </i>
    <i>
      <x v="69"/>
    </i>
    <i r="1">
      <x v="142"/>
    </i>
    <i>
      <x v="70"/>
    </i>
    <i r="1">
      <x v="146"/>
    </i>
    <i>
      <x v="71"/>
    </i>
    <i r="1">
      <x v="49"/>
    </i>
    <i>
      <x v="72"/>
    </i>
    <i r="1">
      <x v="122"/>
    </i>
    <i>
      <x v="73"/>
    </i>
    <i r="1">
      <x v="13"/>
    </i>
    <i>
      <x v="74"/>
    </i>
    <i r="1">
      <x v="83"/>
    </i>
    <i>
      <x v="75"/>
    </i>
    <i r="1">
      <x v="76"/>
    </i>
    <i>
      <x v="76"/>
    </i>
    <i r="1">
      <x v="46"/>
    </i>
    <i>
      <x v="77"/>
    </i>
    <i r="1">
      <x v="67"/>
    </i>
    <i>
      <x v="78"/>
    </i>
    <i r="1">
      <x v="37"/>
    </i>
    <i>
      <x v="79"/>
    </i>
    <i r="1">
      <x v="25"/>
    </i>
    <i>
      <x v="80"/>
    </i>
    <i r="1">
      <x v="118"/>
    </i>
    <i>
      <x v="81"/>
    </i>
    <i r="1">
      <x v="7"/>
    </i>
    <i>
      <x v="82"/>
    </i>
    <i r="1">
      <x v="154"/>
    </i>
    <i>
      <x v="83"/>
    </i>
    <i r="1">
      <x v="108"/>
    </i>
    <i>
      <x v="84"/>
    </i>
    <i r="1">
      <x v="21"/>
    </i>
    <i>
      <x v="85"/>
    </i>
    <i r="1">
      <x v="79"/>
    </i>
    <i>
      <x v="86"/>
    </i>
    <i r="1">
      <x v="51"/>
    </i>
    <i>
      <x v="87"/>
    </i>
    <i r="1">
      <x v="55"/>
    </i>
    <i>
      <x v="88"/>
    </i>
    <i r="1">
      <x v="136"/>
    </i>
    <i>
      <x v="89"/>
    </i>
    <i r="1">
      <x v="62"/>
    </i>
    <i>
      <x v="90"/>
    </i>
    <i r="1">
      <x v="147"/>
    </i>
    <i>
      <x v="91"/>
    </i>
    <i r="1">
      <x v="121"/>
    </i>
    <i>
      <x v="92"/>
    </i>
    <i r="1">
      <x v="139"/>
    </i>
    <i>
      <x v="93"/>
    </i>
    <i r="1">
      <x v="113"/>
    </i>
    <i>
      <x v="94"/>
    </i>
    <i r="1">
      <x v="132"/>
    </i>
    <i>
      <x v="95"/>
    </i>
    <i r="1">
      <x v="105"/>
    </i>
    <i>
      <x v="96"/>
    </i>
    <i r="1">
      <x v="4"/>
    </i>
    <i>
      <x v="97"/>
    </i>
    <i r="1">
      <x v="162"/>
    </i>
    <i>
      <x v="98"/>
    </i>
    <i r="1">
      <x v="10"/>
    </i>
    <i>
      <x v="99"/>
    </i>
    <i r="1">
      <x v="183"/>
    </i>
    <i>
      <x v="100"/>
    </i>
    <i r="1">
      <x v="56"/>
    </i>
    <i>
      <x v="101"/>
    </i>
    <i r="1">
      <x v="115"/>
    </i>
    <i>
      <x v="102"/>
    </i>
    <i r="1">
      <x v="151"/>
    </i>
    <i>
      <x v="103"/>
    </i>
    <i r="1">
      <x v="9"/>
    </i>
    <i>
      <x v="104"/>
    </i>
    <i r="1">
      <x v="144"/>
    </i>
    <i>
      <x v="105"/>
    </i>
    <i r="1">
      <x v="102"/>
    </i>
    <i>
      <x v="106"/>
    </i>
    <i r="1">
      <x v="53"/>
    </i>
    <i>
      <x v="107"/>
    </i>
    <i r="1">
      <x v="133"/>
    </i>
    <i>
      <x v="108"/>
    </i>
    <i r="1">
      <x v="86"/>
    </i>
    <i>
      <x v="109"/>
    </i>
    <i r="1">
      <x v="41"/>
    </i>
    <i>
      <x v="110"/>
    </i>
    <i r="1">
      <x v="161"/>
    </i>
    <i>
      <x v="111"/>
    </i>
    <i r="1">
      <x v="19"/>
    </i>
    <i>
      <x v="112"/>
    </i>
    <i r="1">
      <x v="54"/>
    </i>
    <i>
      <x v="113"/>
    </i>
    <i r="1">
      <x v="71"/>
    </i>
    <i>
      <x v="114"/>
    </i>
    <i r="1">
      <x v="80"/>
    </i>
    <i>
      <x v="115"/>
    </i>
    <i r="1">
      <x v="47"/>
    </i>
    <i>
      <x v="116"/>
    </i>
    <i r="1">
      <x v="35"/>
    </i>
    <i>
      <x v="117"/>
    </i>
    <i r="1">
      <x v="57"/>
    </i>
    <i>
      <x v="118"/>
    </i>
    <i r="1">
      <x v="110"/>
    </i>
    <i>
      <x v="119"/>
    </i>
    <i r="1">
      <x v="141"/>
    </i>
    <i>
      <x v="120"/>
    </i>
    <i r="1">
      <x v="148"/>
    </i>
    <i>
      <x v="121"/>
    </i>
    <i r="1">
      <x v="192"/>
    </i>
    <i>
      <x v="122"/>
    </i>
    <i r="1">
      <x v="131"/>
    </i>
    <i>
      <x v="123"/>
    </i>
    <i r="1">
      <x v="32"/>
    </i>
    <i>
      <x v="124"/>
    </i>
    <i r="1">
      <x v="99"/>
    </i>
    <i>
      <x v="125"/>
    </i>
    <i r="1">
      <x v="25"/>
    </i>
    <i>
      <x v="126"/>
    </i>
    <i r="1">
      <x v="2"/>
    </i>
    <i>
      <x v="127"/>
    </i>
    <i r="1">
      <x v="85"/>
    </i>
    <i>
      <x v="128"/>
    </i>
    <i r="1">
      <x v="38"/>
    </i>
    <i>
      <x v="129"/>
    </i>
    <i r="1">
      <x v="78"/>
    </i>
    <i>
      <x v="130"/>
    </i>
    <i r="1">
      <x v="15"/>
    </i>
    <i>
      <x v="131"/>
    </i>
    <i r="1">
      <x v="128"/>
    </i>
    <i>
      <x v="132"/>
    </i>
    <i r="1">
      <x v="167"/>
    </i>
    <i>
      <x v="133"/>
    </i>
    <i r="1">
      <x v="156"/>
    </i>
    <i>
      <x v="134"/>
    </i>
    <i r="1">
      <x v="87"/>
    </i>
    <i>
      <x v="135"/>
    </i>
    <i r="1">
      <x v="63"/>
    </i>
    <i>
      <x v="136"/>
    </i>
    <i r="1">
      <x v="24"/>
    </i>
    <i>
      <x v="137"/>
    </i>
    <i r="1">
      <x v="26"/>
    </i>
    <i>
      <x v="138"/>
    </i>
    <i r="1">
      <x v="69"/>
    </i>
    <i>
      <x v="139"/>
    </i>
    <i r="1">
      <x v="149"/>
    </i>
    <i>
      <x v="140"/>
    </i>
    <i r="1">
      <x/>
    </i>
    <i>
      <x v="141"/>
    </i>
    <i r="1">
      <x v="28"/>
    </i>
    <i>
      <x v="142"/>
    </i>
    <i r="1">
      <x v="164"/>
    </i>
    <i>
      <x v="143"/>
    </i>
    <i r="1">
      <x v="145"/>
    </i>
    <i>
      <x v="144"/>
    </i>
    <i r="1">
      <x v="83"/>
    </i>
    <i>
      <x v="145"/>
    </i>
    <i r="1">
      <x v="119"/>
    </i>
    <i>
      <x v="146"/>
    </i>
    <i r="1">
      <x v="23"/>
    </i>
    <i>
      <x v="147"/>
    </i>
    <i r="1">
      <x v="134"/>
    </i>
    <i>
      <x v="148"/>
    </i>
    <i r="1">
      <x v="195"/>
    </i>
    <i>
      <x v="149"/>
    </i>
    <i r="1">
      <x v="130"/>
    </i>
    <i>
      <x v="150"/>
    </i>
    <i r="1">
      <x v="81"/>
    </i>
    <i>
      <x v="151"/>
    </i>
    <i r="1">
      <x v="185"/>
    </i>
    <i>
      <x v="152"/>
    </i>
    <i r="1">
      <x v="8"/>
    </i>
    <i>
      <x v="153"/>
    </i>
    <i r="1">
      <x v="94"/>
    </i>
    <i>
      <x v="154"/>
    </i>
    <i r="1">
      <x v="159"/>
    </i>
    <i>
      <x v="155"/>
    </i>
    <i r="1">
      <x v="64"/>
    </i>
    <i>
      <x v="156"/>
    </i>
    <i r="1">
      <x v="91"/>
    </i>
    <i>
      <x v="157"/>
    </i>
    <i r="1">
      <x v="119"/>
    </i>
    <i>
      <x v="158"/>
    </i>
    <i r="1">
      <x v="166"/>
    </i>
    <i>
      <x v="159"/>
    </i>
    <i r="1">
      <x v="169"/>
    </i>
    <i>
      <x v="160"/>
    </i>
    <i r="1">
      <x v="25"/>
    </i>
    <i>
      <x v="161"/>
    </i>
    <i r="1">
      <x v="48"/>
    </i>
    <i>
      <x v="162"/>
    </i>
    <i r="1">
      <x v="78"/>
    </i>
    <i>
      <x v="163"/>
    </i>
    <i r="1">
      <x v="31"/>
    </i>
    <i>
      <x v="164"/>
    </i>
    <i r="1">
      <x v="78"/>
    </i>
    <i>
      <x v="165"/>
    </i>
    <i r="1">
      <x v="120"/>
    </i>
    <i>
      <x v="166"/>
    </i>
    <i r="1">
      <x v="37"/>
    </i>
    <i>
      <x v="167"/>
    </i>
    <i r="1">
      <x v="132"/>
    </i>
    <i>
      <x v="168"/>
    </i>
    <i r="1">
      <x v="102"/>
    </i>
    <i>
      <x v="169"/>
    </i>
    <i r="1">
      <x v="21"/>
    </i>
    <i>
      <x v="170"/>
    </i>
    <i r="1">
      <x v="51"/>
    </i>
    <i>
      <x v="171"/>
    </i>
    <i r="1">
      <x v="136"/>
    </i>
    <i>
      <x v="172"/>
    </i>
    <i r="1">
      <x v="192"/>
    </i>
    <i>
      <x v="173"/>
    </i>
    <i r="1">
      <x v="54"/>
    </i>
    <i>
      <x v="174"/>
    </i>
    <i r="1">
      <x v="64"/>
    </i>
    <i>
      <x v="176"/>
    </i>
    <i r="1">
      <x v="193"/>
    </i>
    <i>
      <x v="177"/>
    </i>
    <i r="1">
      <x v="120"/>
    </i>
    <i>
      <x v="178"/>
    </i>
    <i r="1">
      <x v="8"/>
    </i>
    <i>
      <x v="179"/>
    </i>
    <i r="1">
      <x v="94"/>
    </i>
    <i>
      <x v="180"/>
    </i>
    <i r="1">
      <x v="111"/>
    </i>
    <i>
      <x v="181"/>
    </i>
    <i r="1">
      <x v="53"/>
    </i>
    <i>
      <x v="182"/>
    </i>
    <i r="1">
      <x v="55"/>
    </i>
    <i>
      <x v="183"/>
    </i>
    <i r="1">
      <x v="93"/>
    </i>
    <i>
      <x v="184"/>
    </i>
    <i r="1">
      <x v="191"/>
    </i>
    <i>
      <x v="185"/>
    </i>
    <i r="1">
      <x v="78"/>
    </i>
    <i>
      <x v="186"/>
    </i>
    <i r="1">
      <x v="152"/>
    </i>
    <i>
      <x v="187"/>
    </i>
    <i r="1">
      <x v="98"/>
    </i>
    <i>
      <x v="189"/>
    </i>
    <i r="1">
      <x v="4"/>
    </i>
    <i>
      <x v="190"/>
    </i>
    <i r="1">
      <x v="49"/>
    </i>
    <i>
      <x v="191"/>
    </i>
    <i r="1">
      <x v="154"/>
    </i>
    <i>
      <x v="192"/>
    </i>
    <i r="1">
      <x v="112"/>
    </i>
    <i>
      <x v="193"/>
    </i>
    <i r="1">
      <x v="148"/>
    </i>
    <i>
      <x v="194"/>
    </i>
    <i r="1">
      <x v="138"/>
    </i>
    <i>
      <x v="195"/>
    </i>
    <i r="1">
      <x v="71"/>
    </i>
    <i>
      <x v="196"/>
    </i>
    <i r="1">
      <x v="67"/>
    </i>
    <i>
      <x v="197"/>
    </i>
    <i r="1">
      <x v="103"/>
    </i>
    <i>
      <x v="198"/>
    </i>
    <i r="1">
      <x v="68"/>
    </i>
    <i>
      <x v="199"/>
    </i>
    <i r="1">
      <x v="1"/>
    </i>
    <i>
      <x v="200"/>
    </i>
    <i r="1">
      <x v="166"/>
    </i>
    <i>
      <x v="201"/>
    </i>
    <i r="1">
      <x v="194"/>
    </i>
    <i>
      <x v="202"/>
    </i>
    <i r="1">
      <x v="70"/>
    </i>
    <i>
      <x v="203"/>
    </i>
    <i r="1">
      <x v="156"/>
    </i>
    <i>
      <x v="204"/>
    </i>
    <i r="1">
      <x v="161"/>
    </i>
    <i>
      <x v="205"/>
    </i>
    <i r="1">
      <x v="158"/>
    </i>
    <i>
      <x v="206"/>
    </i>
    <i r="1">
      <x v="106"/>
    </i>
    <i>
      <x v="207"/>
    </i>
    <i r="1">
      <x v="121"/>
    </i>
    <i>
      <x v="208"/>
    </i>
    <i r="1">
      <x v="95"/>
    </i>
    <i>
      <x v="209"/>
    </i>
    <i r="1">
      <x v="155"/>
    </i>
    <i>
      <x v="210"/>
    </i>
    <i r="1">
      <x v="61"/>
    </i>
    <i>
      <x v="211"/>
    </i>
    <i r="1">
      <x v="10"/>
    </i>
    <i>
      <x v="212"/>
    </i>
    <i r="1">
      <x v="50"/>
    </i>
    <i>
      <x v="213"/>
    </i>
    <i r="1">
      <x v="29"/>
    </i>
    <i>
      <x v="214"/>
    </i>
    <i r="1">
      <x v="40"/>
    </i>
    <i>
      <x v="215"/>
    </i>
    <i r="1">
      <x v="75"/>
    </i>
    <i>
      <x v="216"/>
    </i>
    <i r="1">
      <x v="86"/>
    </i>
    <i>
      <x v="217"/>
    </i>
    <i r="1">
      <x v="72"/>
    </i>
    <i>
      <x v="218"/>
    </i>
    <i r="1">
      <x v="32"/>
    </i>
    <i>
      <x v="219"/>
    </i>
    <i r="1">
      <x v="57"/>
    </i>
    <i>
      <x v="220"/>
    </i>
    <i r="1">
      <x v="153"/>
    </i>
    <i>
      <x v="221"/>
    </i>
    <i r="1">
      <x v="173"/>
    </i>
    <i>
      <x v="222"/>
    </i>
    <i r="1">
      <x v="97"/>
    </i>
    <i>
      <x v="224"/>
    </i>
    <i r="1">
      <x v="174"/>
    </i>
    <i>
      <x v="225"/>
    </i>
    <i r="1">
      <x v="175"/>
    </i>
    <i>
      <x v="227"/>
    </i>
    <i r="1">
      <x v="177"/>
    </i>
    <i>
      <x v="228"/>
    </i>
    <i r="1">
      <x v="79"/>
    </i>
    <i>
      <x v="229"/>
    </i>
    <i r="1">
      <x v="190"/>
    </i>
    <i>
      <x v="230"/>
    </i>
    <i r="1">
      <x v="180"/>
    </i>
    <i>
      <x v="231"/>
    </i>
    <i r="1">
      <x v="113"/>
    </i>
    <i>
      <x v="232"/>
    </i>
    <i r="1">
      <x v="91"/>
    </i>
    <i>
      <x v="233"/>
    </i>
    <i r="1">
      <x v="181"/>
    </i>
    <i>
      <x v="234"/>
    </i>
    <i r="1">
      <x v="182"/>
    </i>
    <i>
      <x v="235"/>
    </i>
    <i r="1">
      <x v="183"/>
    </i>
    <i>
      <x v="236"/>
    </i>
    <i r="1">
      <x v="184"/>
    </i>
    <i>
      <x v="238"/>
    </i>
    <i r="1">
      <x v="187"/>
    </i>
    <i>
      <x v="239"/>
    </i>
    <i r="1">
      <x v="131"/>
    </i>
    <i>
      <x v="240"/>
    </i>
    <i r="1">
      <x v="188"/>
    </i>
    <i>
      <x v="241"/>
    </i>
    <i r="1">
      <x v="78"/>
    </i>
    <i>
      <x v="242"/>
    </i>
    <i r="1">
      <x v="63"/>
    </i>
    <i>
      <x v="243"/>
    </i>
    <i r="1">
      <x v="90"/>
    </i>
    <i>
      <x v="244"/>
    </i>
    <i r="1">
      <x v="189"/>
    </i>
    <i>
      <x v="245"/>
    </i>
    <i r="1">
      <x v="69"/>
    </i>
    <i>
      <x v="246"/>
    </i>
    <i r="1">
      <x v="144"/>
    </i>
    <i>
      <x v="247"/>
    </i>
    <i r="1">
      <x v="149"/>
    </i>
    <i>
      <x v="248"/>
    </i>
    <i r="1">
      <x v="121"/>
    </i>
  </rowItems>
  <colFields count="1">
    <field x="-2"/>
  </colFields>
  <colItems count="3">
    <i>
      <x/>
    </i>
    <i i="1">
      <x v="1"/>
    </i>
    <i i="2">
      <x v="2"/>
    </i>
  </colItems>
  <pageFields count="2">
    <pageField fld="24" hier="-1"/>
    <pageField fld="22" hier="-1"/>
  </pageFields>
  <dataFields count="3">
    <dataField name=" Fecha de terminación final" fld="15" baseField="0" baseItem="0" numFmtId="169"/>
    <dataField name=" % Ejecución recursos" fld="20" baseField="0" baseItem="0" numFmtId="10"/>
    <dataField name=" % Ejecución física" fld="21" baseField="0" baseItem="0" numFmtId="10"/>
  </dataFields>
  <formats count="6">
    <format dxfId="854">
      <pivotArea field="0" type="button" dataOnly="0" labelOnly="1" outline="0" axis="axisRow" fieldPosition="0"/>
    </format>
    <format dxfId="853">
      <pivotArea dataOnly="0" labelOnly="1" outline="0" fieldPosition="0">
        <references count="1">
          <reference field="4294967294" count="3">
            <x v="0"/>
            <x v="1"/>
            <x v="2"/>
          </reference>
        </references>
      </pivotArea>
    </format>
    <format dxfId="852">
      <pivotArea field="0" type="button" dataOnly="0" labelOnly="1" outline="0" axis="axisRow" fieldPosition="0"/>
    </format>
    <format dxfId="851">
      <pivotArea dataOnly="0" labelOnly="1" outline="0" fieldPosition="0">
        <references count="1">
          <reference field="4294967294" count="3">
            <x v="0"/>
            <x v="1"/>
            <x v="2"/>
          </reference>
        </references>
      </pivotArea>
    </format>
    <format dxfId="850">
      <pivotArea field="0" type="button" dataOnly="0" labelOnly="1" outline="0" axis="axisRow" fieldPosition="0"/>
    </format>
    <format dxfId="849">
      <pivotArea dataOnly="0" labelOnly="1" outline="0" fieldPosition="0">
        <references count="1">
          <reference field="4294967294" count="3">
            <x v="0"/>
            <x v="1"/>
            <x v="2"/>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name="Tabla dinámica1" cacheId="17" applyNumberFormats="0" applyBorderFormats="0" applyFontFormats="0" applyPatternFormats="0" applyAlignmentFormats="0" applyWidthHeightFormats="1" dataCaption="Valores" updatedVersion="5" minRefreshableVersion="3" useAutoFormatting="1" itemPrintTitles="1" createdVersion="4" indent="0" outline="1" outlineData="1" multipleFieldFilters="0" chartFormat="7">
  <location ref="A47:B60" firstHeaderRow="1" firstDataRow="1" firstDataCol="1"/>
  <pivotFields count="2">
    <pivotField axis="axisRow" showAll="0" defaultSubtotal="0">
      <items count="12">
        <item x="0"/>
        <item x="1"/>
        <item x="2"/>
        <item x="3"/>
        <item x="4"/>
        <item x="5"/>
        <item x="6"/>
        <item x="7"/>
        <item x="8"/>
        <item x="9"/>
        <item x="10"/>
        <item x="11"/>
      </items>
    </pivotField>
    <pivotField dataField="1" showAll="0" defaultSubtotal="0"/>
  </pivotFields>
  <rowFields count="1">
    <field x="0"/>
  </rowFields>
  <rowItems count="13">
    <i>
      <x/>
    </i>
    <i>
      <x v="1"/>
    </i>
    <i>
      <x v="2"/>
    </i>
    <i>
      <x v="3"/>
    </i>
    <i>
      <x v="4"/>
    </i>
    <i>
      <x v="5"/>
    </i>
    <i>
      <x v="6"/>
    </i>
    <i>
      <x v="7"/>
    </i>
    <i>
      <x v="8"/>
    </i>
    <i>
      <x v="9"/>
    </i>
    <i>
      <x v="10"/>
    </i>
    <i>
      <x v="11"/>
    </i>
    <i t="grand">
      <x/>
    </i>
  </rowItems>
  <colItems count="1">
    <i/>
  </colItems>
  <dataFields count="1">
    <dataField name="Suma de # Contratos" fld="1" baseField="0" baseItem="0"/>
  </dataFields>
  <chartFormats count="1">
    <chartFormat chart="1"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name="Tabla dinámica2" cacheId="0" applyNumberFormats="0" applyBorderFormats="0" applyFontFormats="0" applyPatternFormats="0" applyAlignmentFormats="0" applyWidthHeightFormats="1" dataCaption="Valores" updatedVersion="4" minRefreshableVersion="3" useAutoFormatting="1" itemPrintTitles="1" createdVersion="4" indent="0" outline="1" outlineData="1" multipleFieldFilters="0" chartFormat="1">
  <location ref="A6:O14" firstHeaderRow="1" firstDataRow="2" firstDataCol="1" rowPageCount="1" colPageCount="1"/>
  <pivotFields count="14">
    <pivotField dataField="1" showAll="0"/>
    <pivotField showAll="0"/>
    <pivotField numFmtId="168" showAll="0"/>
    <pivotField showAll="0"/>
    <pivotField showAll="0"/>
    <pivotField showAll="0"/>
    <pivotField showAll="0"/>
    <pivotField numFmtId="169" showAll="0"/>
    <pivotField axis="axisRow" showAll="0">
      <items count="7">
        <item x="2"/>
        <item x="1"/>
        <item x="0"/>
        <item x="4"/>
        <item x="5"/>
        <item x="3"/>
        <item t="default"/>
      </items>
    </pivotField>
    <pivotField showAll="0"/>
    <pivotField showAll="0"/>
    <pivotField axis="axisCol" showAll="0">
      <items count="15">
        <item x="5"/>
        <item x="0"/>
        <item x="3"/>
        <item x="4"/>
        <item x="1"/>
        <item x="9"/>
        <item x="2"/>
        <item x="6"/>
        <item x="8"/>
        <item x="10"/>
        <item x="11"/>
        <item x="7"/>
        <item m="1" x="13"/>
        <item x="12"/>
        <item t="default"/>
      </items>
    </pivotField>
    <pivotField showAll="0"/>
    <pivotField axis="axisPage" multipleItemSelectionAllowed="1" showAll="0">
      <items count="4">
        <item x="2"/>
        <item x="0"/>
        <item x="1"/>
        <item t="default"/>
      </items>
    </pivotField>
  </pivotFields>
  <rowFields count="1">
    <field x="8"/>
  </rowFields>
  <rowItems count="7">
    <i>
      <x/>
    </i>
    <i>
      <x v="1"/>
    </i>
    <i>
      <x v="2"/>
    </i>
    <i>
      <x v="3"/>
    </i>
    <i>
      <x v="4"/>
    </i>
    <i>
      <x v="5"/>
    </i>
    <i t="grand">
      <x/>
    </i>
  </rowItems>
  <colFields count="1">
    <field x="11"/>
  </colFields>
  <colItems count="14">
    <i>
      <x/>
    </i>
    <i>
      <x v="1"/>
    </i>
    <i>
      <x v="2"/>
    </i>
    <i>
      <x v="3"/>
    </i>
    <i>
      <x v="4"/>
    </i>
    <i>
      <x v="5"/>
    </i>
    <i>
      <x v="6"/>
    </i>
    <i>
      <x v="7"/>
    </i>
    <i>
      <x v="8"/>
    </i>
    <i>
      <x v="9"/>
    </i>
    <i>
      <x v="10"/>
    </i>
    <i>
      <x v="11"/>
    </i>
    <i>
      <x v="13"/>
    </i>
    <i t="grand">
      <x/>
    </i>
  </colItems>
  <pageFields count="1">
    <pageField fld="13" hier="-1"/>
  </pageFields>
  <dataFields count="1">
    <dataField name="Cuenta de Número de contrato" fld="0" subtotal="count" baseField="0" baseItem="0"/>
  </dataFields>
  <chartFormats count="1">
    <chartFormat chart="0"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name="Tabla dinámica6" cacheId="23" applyNumberFormats="0" applyBorderFormats="0" applyFontFormats="0" applyPatternFormats="0" applyAlignmentFormats="0" applyWidthHeightFormats="1" dataCaption="Valores" updatedVersion="5" minRefreshableVersion="3" useAutoFormatting="1" itemPrintTitles="1" createdVersion="4" indent="0" outline="1" outlineData="1" multipleFieldFilters="0" chartFormat="5">
  <location ref="A114:B127" firstHeaderRow="1" firstDataRow="1" firstDataCol="1"/>
  <pivotFields count="2">
    <pivotField axis="axisRow" showAll="0">
      <items count="13">
        <item x="0"/>
        <item x="1"/>
        <item x="2"/>
        <item x="3"/>
        <item x="4"/>
        <item x="5"/>
        <item x="6"/>
        <item x="7"/>
        <item x="8"/>
        <item x="9"/>
        <item x="10"/>
        <item x="11"/>
        <item t="default"/>
      </items>
    </pivotField>
    <pivotField dataField="1" showAll="0"/>
  </pivotFields>
  <rowFields count="1">
    <field x="0"/>
  </rowFields>
  <rowItems count="13">
    <i>
      <x/>
    </i>
    <i>
      <x v="1"/>
    </i>
    <i>
      <x v="2"/>
    </i>
    <i>
      <x v="3"/>
    </i>
    <i>
      <x v="4"/>
    </i>
    <i>
      <x v="5"/>
    </i>
    <i>
      <x v="6"/>
    </i>
    <i>
      <x v="7"/>
    </i>
    <i>
      <x v="8"/>
    </i>
    <i>
      <x v="9"/>
    </i>
    <i>
      <x v="10"/>
    </i>
    <i>
      <x v="11"/>
    </i>
    <i t="grand">
      <x/>
    </i>
  </rowItems>
  <colItems count="1">
    <i/>
  </colItems>
  <dataFields count="1">
    <dataField name="Suma de # Contratos" fld="1" baseField="0" baseItem="0"/>
  </dataFields>
  <chartFormats count="1">
    <chartFormat chart="0"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name="Tabla dinámica5" cacheId="20" applyNumberFormats="0" applyBorderFormats="0" applyFontFormats="0" applyPatternFormats="0" applyAlignmentFormats="0" applyWidthHeightFormats="1" dataCaption="Valores" updatedVersion="5" minRefreshableVersion="3" useAutoFormatting="1" itemPrintTitles="1" createdVersion="4" indent="0" outline="1" outlineData="1" multipleFieldFilters="0" chartFormat="6">
  <location ref="A90:B103" firstHeaderRow="1" firstDataRow="1" firstDataCol="1"/>
  <pivotFields count="2">
    <pivotField axis="axisRow" showAll="0">
      <items count="13">
        <item x="0"/>
        <item x="1"/>
        <item x="2"/>
        <item x="3"/>
        <item x="4"/>
        <item x="5"/>
        <item x="6"/>
        <item x="7"/>
        <item x="8"/>
        <item x="9"/>
        <item x="10"/>
        <item x="11"/>
        <item t="default"/>
      </items>
    </pivotField>
    <pivotField dataField="1" showAll="0"/>
  </pivotFields>
  <rowFields count="1">
    <field x="0"/>
  </rowFields>
  <rowItems count="13">
    <i>
      <x/>
    </i>
    <i>
      <x v="1"/>
    </i>
    <i>
      <x v="2"/>
    </i>
    <i>
      <x v="3"/>
    </i>
    <i>
      <x v="4"/>
    </i>
    <i>
      <x v="5"/>
    </i>
    <i>
      <x v="6"/>
    </i>
    <i>
      <x v="7"/>
    </i>
    <i>
      <x v="8"/>
    </i>
    <i>
      <x v="9"/>
    </i>
    <i>
      <x v="10"/>
    </i>
    <i>
      <x v="11"/>
    </i>
    <i t="grand">
      <x/>
    </i>
  </rowItems>
  <colItems count="1">
    <i/>
  </colItems>
  <dataFields count="1">
    <dataField name="Suma de # Contratos" fld="1" baseField="0" baseItem="0"/>
  </dataFields>
  <chartFormats count="1">
    <chartFormat chart="0" format="12"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mc:Ignorable="x" name="SegmentaciónDeDatos___Ejecución_recursos" sourceName="% Ejecución recursos">
  <pivotTables>
    <pivotTable tabId="19" name="Tabla dinámica2"/>
  </pivotTables>
  <data>
    <tabular pivotCacheId="3">
      <items count="232">
        <i x="6" s="1"/>
        <i x="2" s="1"/>
        <i x="5" s="1"/>
        <i x="112" s="1"/>
        <i x="74" s="1"/>
        <i x="84" s="1"/>
        <i x="151" s="1"/>
        <i x="107" s="1"/>
        <i x="48" s="1"/>
        <i x="125" s="1"/>
        <i x="131" s="1"/>
        <i x="99" s="1"/>
        <i x="86" s="1"/>
        <i x="135" s="1"/>
        <i x="50" s="1"/>
        <i x="152" s="1"/>
        <i x="111" s="1"/>
        <i x="73" s="1"/>
        <i x="121" s="1"/>
        <i x="154" s="1"/>
        <i x="22" s="1"/>
        <i x="27" s="1"/>
        <i x="102" s="1"/>
        <i x="44" s="1"/>
        <i x="61" s="1"/>
        <i x="85" s="1"/>
        <i x="58" s="1"/>
        <i x="165" s="1"/>
        <i x="80" s="1"/>
        <i x="106" s="1"/>
        <i x="81" s="1"/>
        <i x="113" s="1"/>
        <i x="155" s="1"/>
        <i x="126" s="1"/>
        <i x="147" s="1"/>
        <i x="139" s="1"/>
        <i x="104" s="1"/>
        <i x="95" s="1"/>
        <i x="117" s="1"/>
        <i x="24" s="1"/>
        <i x="60" s="1"/>
        <i x="69" s="1"/>
        <i x="136" s="1"/>
        <i x="70" s="1"/>
        <i x="166" s="1"/>
        <i x="119" s="1"/>
        <i x="11" s="1"/>
        <i x="8" s="1"/>
        <i x="10" s="1"/>
        <i x="124" s="1"/>
        <i x="34" s="1"/>
        <i x="20" s="1"/>
        <i x="29" s="1"/>
        <i x="45" s="1"/>
        <i x="140" s="1"/>
        <i x="149" s="1"/>
        <i x="115" s="1"/>
        <i x="38" s="1"/>
        <i x="132" s="1"/>
        <i x="129" s="1"/>
        <i x="0" s="1"/>
        <i x="51" s="1"/>
        <i x="130" s="1"/>
        <i x="19" s="1"/>
        <i x="82" s="1"/>
        <i x="148" s="1"/>
        <i x="12" s="1"/>
        <i x="36" s="1"/>
        <i x="23" s="1"/>
        <i x="92" s="1"/>
        <i x="128" s="1"/>
        <i x="105" s="1"/>
        <i x="33" s="1"/>
        <i x="153" s="1"/>
        <i x="96" s="1"/>
        <i x="93" s="1"/>
        <i x="63" s="1"/>
        <i x="98" s="1"/>
        <i x="141" s="1"/>
        <i x="31" s="1"/>
        <i x="75" s="1"/>
        <i x="4" s="1"/>
        <i x="30" s="1"/>
        <i x="71" s="1"/>
        <i x="150" s="1"/>
        <i x="97" s="1"/>
        <i x="168" s="1"/>
        <i x="76" s="1"/>
        <i x="14" s="1"/>
        <i x="87" s="1"/>
        <i x="137" s="1"/>
        <i x="17" s="1"/>
        <i x="26" s="1"/>
        <i x="100" s="1"/>
        <i x="79" s="1"/>
        <i x="94" s="1"/>
        <i x="133" s="1"/>
        <i x="37" s="1"/>
        <i x="43" s="1"/>
        <i x="108" s="1"/>
        <i x="57" s="1"/>
        <i x="65" s="1"/>
        <i x="118" s="1"/>
        <i x="55" s="1"/>
        <i x="122" s="1"/>
        <i x="52" s="1"/>
        <i x="143" s="1"/>
        <i x="77" s="1"/>
        <i x="1" s="1"/>
        <i x="15" s="1"/>
        <i x="162" s="1"/>
        <i x="46" s="1"/>
        <i x="101" s="1"/>
        <i x="78" s="1"/>
        <i x="116" s="1"/>
        <i x="72" s="1"/>
        <i x="42" s="1"/>
        <i x="21" s="1"/>
        <i x="123" s="1"/>
        <i x="7" s="1"/>
        <i x="16" s="1"/>
        <i x="28" s="1"/>
        <i x="56" s="1"/>
        <i x="90" s="1"/>
        <i x="89" s="1"/>
        <i x="40" s="1"/>
        <i x="110" s="1"/>
        <i x="144" s="1"/>
        <i x="83" s="1"/>
        <i x="54" s="1"/>
        <i x="35" s="1"/>
        <i x="59" s="1"/>
        <i x="62" s="1"/>
        <i x="64" s="1"/>
        <i x="103" s="1"/>
        <i x="127" s="1"/>
        <i x="9" s="1"/>
        <i x="161" s="1"/>
        <i x="32" s="1"/>
        <i x="88" s="1"/>
        <i x="91" s="1"/>
        <i x="25" s="1"/>
        <i x="41" s="1"/>
        <i x="138" s="1"/>
        <i x="68" s="1"/>
        <i x="18" s="1"/>
        <i x="39" s="1"/>
        <i x="49" s="1"/>
        <i x="114" s="1"/>
        <i x="146" s="1"/>
        <i x="109" s="1"/>
        <i x="120" s="1"/>
        <i x="47" s="1"/>
        <i x="169" s="1"/>
        <i x="3" s="1"/>
        <i x="172" s="1"/>
        <i x="53" s="1"/>
        <i x="170" s="1"/>
        <i x="13" s="1"/>
        <i x="158" s="1"/>
        <i x="66" s="1"/>
        <i x="190" s="1" nd="1"/>
        <i x="186" s="1" nd="1"/>
        <i x="188" s="1" nd="1"/>
        <i x="211" s="1" nd="1"/>
        <i x="185" s="1" nd="1"/>
        <i x="184" s="1" nd="1"/>
        <i x="182" s="1" nd="1"/>
        <i x="214" s="1" nd="1"/>
        <i x="222" s="1" nd="1"/>
        <i x="175" s="1" nd="1"/>
        <i x="189" s="1" nd="1"/>
        <i x="213" s="1" nd="1"/>
        <i x="187" s="1" nd="1"/>
        <i x="179" s="1" nd="1"/>
        <i x="228" s="1" nd="1"/>
        <i x="195" s="1" nd="1"/>
        <i x="226" s="1" nd="1"/>
        <i x="160" s="1" nd="1"/>
        <i x="180" s="1" nd="1"/>
        <i x="157" s="1" nd="1"/>
        <i x="181" s="1" nd="1"/>
        <i x="196" s="1" nd="1"/>
        <i x="203" s="1" nd="1"/>
        <i x="201" s="1" nd="1"/>
        <i x="171" s="1" nd="1"/>
        <i x="207" s="1" nd="1"/>
        <i x="193" s="1" nd="1"/>
        <i x="177" s="1" nd="1"/>
        <i x="176" s="1" nd="1"/>
        <i x="178" s="1" nd="1"/>
        <i x="220" s="1" nd="1"/>
        <i x="194" s="1" nd="1"/>
        <i x="217" s="1" nd="1"/>
        <i x="212" s="1" nd="1"/>
        <i x="230" s="1" nd="1"/>
        <i x="209" s="1" nd="1"/>
        <i x="163" s="1" nd="1"/>
        <i x="202" s="1" nd="1"/>
        <i x="174" s="1" nd="1"/>
        <i x="167" s="1" nd="1"/>
        <i x="145" s="1" nd="1"/>
        <i x="156" s="1" nd="1"/>
        <i x="221" s="1" nd="1"/>
        <i x="231" s="1" nd="1"/>
        <i x="210" s="1" nd="1"/>
        <i x="200" s="1" nd="1"/>
        <i x="159" s="1" nd="1"/>
        <i x="164" s="1" nd="1"/>
        <i x="224" s="1" nd="1"/>
        <i x="67" s="1" nd="1"/>
        <i x="218" s="1" nd="1"/>
        <i x="208" s="1" nd="1"/>
        <i x="198" s="1" nd="1"/>
        <i x="173" s="1" nd="1"/>
        <i x="227" s="1" nd="1"/>
        <i x="204" s="1" nd="1"/>
        <i x="216" s="1" nd="1"/>
        <i x="229" s="1" nd="1"/>
        <i x="206" s="1" nd="1"/>
        <i x="134" s="1" nd="1"/>
        <i x="205" s="1" nd="1"/>
        <i x="223" s="1" nd="1"/>
        <i x="225" s="1" nd="1"/>
        <i x="142" s="1" nd="1"/>
        <i x="197" s="1" nd="1"/>
        <i x="215" s="1" nd="1"/>
        <i x="199" s="1" nd="1"/>
        <i x="219" s="1" nd="1"/>
        <i x="191" s="1" nd="1"/>
        <i x="183" s="1" nd="1"/>
        <i x="192" s="1" nd="1"/>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mc:Ignorable="x" name="SegmentaciónDeDatos___Ejecución_recursos1" sourceName="% Ejecución recursos">
  <pivotTables>
    <pivotTable tabId="20" name="Tabla dinámica3"/>
  </pivotTables>
  <data>
    <tabular pivotCacheId="2">
      <items count="332">
        <i x="6" s="1"/>
        <i x="2" s="1"/>
        <i x="5" s="1"/>
        <i x="66" s="1"/>
        <i x="73" s="1"/>
        <i x="83" s="1"/>
        <i x="48" s="1"/>
        <i x="97" s="1"/>
        <i x="85" s="1"/>
        <i x="50" s="1"/>
        <i x="72" s="1"/>
        <i x="22" s="1"/>
        <i x="27" s="1"/>
        <i x="100" s="1"/>
        <i x="44" s="1"/>
        <i x="60" s="1"/>
        <i x="84" s="1"/>
        <i x="57" s="1"/>
        <i x="79" s="1"/>
        <i x="104" s="1"/>
        <i x="80" s="1"/>
        <i x="102" s="1"/>
        <i x="94" s="1"/>
        <i x="24" s="1"/>
        <i x="59" s="1"/>
        <i x="68" s="1"/>
        <i x="11" s="1"/>
        <i x="8" s="1"/>
        <i x="10" s="1"/>
        <i x="34" s="1"/>
        <i x="20" s="1"/>
        <i x="29" s="1"/>
        <i x="45" s="1"/>
        <i x="38" s="1"/>
        <i x="0" s="1"/>
        <i x="51" s="1"/>
        <i x="19" s="1"/>
        <i x="81" s="1"/>
        <i x="12" s="1"/>
        <i x="36" s="1"/>
        <i x="23" s="1"/>
        <i x="91" s="1"/>
        <i x="103" s="1"/>
        <i x="33" s="1"/>
        <i x="95" s="1"/>
        <i x="62" s="1"/>
        <i x="31" s="1"/>
        <i x="74" s="1"/>
        <i x="4" s="1"/>
        <i x="30" s="1"/>
        <i x="70" s="1"/>
        <i x="96" s="1"/>
        <i x="75" s="1"/>
        <i x="14" s="1"/>
        <i x="86" s="1"/>
        <i x="13" s="1"/>
        <i x="17" s="1"/>
        <i x="26" s="1"/>
        <i x="98" s="1"/>
        <i x="78" s="1"/>
        <i x="93" s="1"/>
        <i x="37" s="1"/>
        <i x="43" s="1"/>
        <i x="105" s="1"/>
        <i x="56" s="1"/>
        <i x="64" s="1"/>
        <i x="54" s="1"/>
        <i x="52" s="1"/>
        <i x="76" s="1"/>
        <i x="1" s="1"/>
        <i x="15" s="1"/>
        <i x="46" s="1"/>
        <i x="99" s="1"/>
        <i x="77" s="1"/>
        <i x="71" s="1"/>
        <i x="42" s="1"/>
        <i x="21" s="1"/>
        <i x="7" s="1"/>
        <i x="16" s="1"/>
        <i x="28" s="1"/>
        <i x="55" s="1"/>
        <i x="89" s="1"/>
        <i x="88" s="1"/>
        <i x="40" s="1"/>
        <i x="82" s="1"/>
        <i x="53" s="1"/>
        <i x="35" s="1"/>
        <i x="58" s="1"/>
        <i x="61" s="1"/>
        <i x="63" s="1"/>
        <i x="101" s="1"/>
        <i x="9" s="1"/>
        <i x="32" s="1"/>
        <i x="87" s="1"/>
        <i x="90" s="1"/>
        <i x="25" s="1"/>
        <i x="41" s="1"/>
        <i x="67" s="1"/>
        <i x="18" s="1"/>
        <i x="39" s="1"/>
        <i x="49" s="1"/>
        <i x="106" s="1"/>
        <i x="92" s="1"/>
        <i x="69" s="1"/>
        <i x="47" s="1"/>
        <i x="3" s="1"/>
        <i x="65" s="1"/>
        <i x="240" s="1" nd="1"/>
        <i x="213" s="1" nd="1"/>
        <i x="140" s="1" nd="1"/>
        <i x="205" s="1" nd="1"/>
        <i x="248" s="1" nd="1"/>
        <i x="184" s="1" nd="1"/>
        <i x="186" s="1" nd="1"/>
        <i x="215" s="1" nd="1"/>
        <i x="267" s="1" nd="1"/>
        <i x="233" s="1" nd="1"/>
        <i x="138" s="1" nd="1"/>
        <i x="328" s="1" nd="1"/>
        <i x="226" s="1" nd="1"/>
        <i x="264" s="1" nd="1"/>
        <i x="167" s="1" nd="1"/>
        <i x="236" s="1" nd="1"/>
        <i x="158" s="1" nd="1"/>
        <i x="202" s="1" nd="1"/>
        <i x="234" s="1" nd="1"/>
        <i x="312" s="1" nd="1"/>
        <i x="149" s="1" nd="1"/>
        <i x="130" s="1" nd="1"/>
        <i x="114" s="1" nd="1"/>
        <i x="247" s="1" nd="1"/>
        <i x="284" s="1" nd="1"/>
        <i x="239" s="1" nd="1"/>
        <i x="146" s="1" nd="1"/>
        <i x="180" s="1" nd="1"/>
        <i x="279" s="1" nd="1"/>
        <i x="176" s="1" nd="1"/>
        <i x="188" s="1" nd="1"/>
        <i x="204" s="1" nd="1"/>
        <i x="209" s="1" nd="1"/>
        <i x="285" s="1" nd="1"/>
        <i x="322" s="1" nd="1"/>
        <i x="133" s="1" nd="1"/>
        <i x="316" s="1" nd="1"/>
        <i x="319" s="1" nd="1"/>
        <i x="249" s="1" nd="1"/>
        <i x="152" s="1" nd="1"/>
        <i x="301" s="1" nd="1"/>
        <i x="231" s="1" nd="1"/>
        <i x="160" s="1" nd="1"/>
        <i x="331" s="1" nd="1"/>
        <i x="243" s="1" nd="1"/>
        <i x="300" s="1" nd="1"/>
        <i x="134" s="1" nd="1"/>
        <i x="200" s="1" nd="1"/>
        <i x="260" s="1" nd="1"/>
        <i x="113" s="1" nd="1"/>
        <i x="230" s="1" nd="1"/>
        <i x="136" s="1" nd="1"/>
        <i x="162" s="1" nd="1"/>
        <i x="165" s="1" nd="1"/>
        <i x="225" s="1" nd="1"/>
        <i x="194" s="1" nd="1"/>
        <i x="118" s="1" nd="1"/>
        <i x="109" s="1" nd="1"/>
        <i x="163" s="1" nd="1"/>
        <i x="302" s="1" nd="1"/>
        <i x="187" s="1" nd="1"/>
        <i x="108" s="1" nd="1"/>
        <i x="306" s="1" nd="1"/>
        <i x="117" s="1" nd="1"/>
        <i x="290" s="1" nd="1"/>
        <i x="291" s="1" nd="1"/>
        <i x="120" s="1" nd="1"/>
        <i x="305" s="1" nd="1"/>
        <i x="127" s="1" nd="1"/>
        <i x="246" s="1" nd="1"/>
        <i x="268" s="1" nd="1"/>
        <i x="273" s="1" nd="1"/>
        <i x="220" s="1" nd="1"/>
        <i x="161" s="1" nd="1"/>
        <i x="179" s="1" nd="1"/>
        <i x="276" s="1" nd="1"/>
        <i x="320" s="1" nd="1"/>
        <i x="183" s="1" nd="1"/>
        <i x="296" s="1" nd="1"/>
        <i x="137" s="1" nd="1"/>
        <i x="216" s="1" nd="1"/>
        <i x="112" s="1" nd="1"/>
        <i x="278" s="1" nd="1"/>
        <i x="203" s="1" nd="1"/>
        <i x="324" s="1" nd="1"/>
        <i x="175" s="1" nd="1"/>
        <i x="169" s="1" nd="1"/>
        <i x="219" s="1" nd="1"/>
        <i x="210" s="1" nd="1"/>
        <i x="318" s="1" nd="1"/>
        <i x="326" s="1" nd="1"/>
        <i x="303" s="1" nd="1"/>
        <i x="126" s="1" nd="1"/>
        <i x="289" s="1" nd="1"/>
        <i x="287" s="1" nd="1"/>
        <i x="274" s="1" nd="1"/>
        <i x="150" s="1" nd="1"/>
        <i x="245" s="1" nd="1"/>
        <i x="307" s="1" nd="1"/>
        <i x="206" s="1" nd="1"/>
        <i x="198" s="1" nd="1"/>
        <i x="281" s="1" nd="1"/>
        <i x="244" s="1" nd="1"/>
        <i x="327" s="1" nd="1"/>
        <i x="294" s="1" nd="1"/>
        <i x="277" s="1" nd="1"/>
        <i x="214" s="1" nd="1"/>
        <i x="123" s="1" nd="1"/>
        <i x="135" s="1" nd="1"/>
        <i x="317" s="1" nd="1"/>
        <i x="155" s="1" nd="1"/>
        <i x="182" s="1" nd="1"/>
        <i x="329" s="1" nd="1"/>
        <i x="270" s="1" nd="1"/>
        <i x="250" s="1" nd="1"/>
        <i x="251" s="1" nd="1"/>
        <i x="222" s="1" nd="1"/>
        <i x="199" s="1" nd="1"/>
        <i x="132" s="1" nd="1"/>
        <i x="139" s="1" nd="1"/>
        <i x="282" s="1" nd="1"/>
        <i x="271" s="1" nd="1"/>
        <i x="143" s="1" nd="1"/>
        <i x="259" s="1" nd="1"/>
        <i x="178" s="1" nd="1"/>
        <i x="323" s="1" nd="1"/>
        <i x="141" s="1" nd="1"/>
        <i x="185" s="1" nd="1"/>
        <i x="111" s="1" nd="1"/>
        <i x="208" s="1" nd="1"/>
        <i x="147" s="1" nd="1"/>
        <i x="310" s="1" nd="1"/>
        <i x="196" s="1" nd="1"/>
        <i x="311" s="1" nd="1"/>
        <i x="217" s="1" nd="1"/>
        <i x="280" s="1" nd="1"/>
        <i x="288" s="1" nd="1"/>
        <i x="153" s="1" nd="1"/>
        <i x="168" s="1" nd="1"/>
        <i x="321" s="1" nd="1"/>
        <i x="299" s="1" nd="1"/>
        <i x="256" s="1" nd="1"/>
        <i x="119" s="1" nd="1"/>
        <i x="298" s="1" nd="1"/>
        <i x="145" s="1" nd="1"/>
        <i x="253" s="1" nd="1"/>
        <i x="229" s="1" nd="1"/>
        <i x="128" s="1" nd="1"/>
        <i x="212" s="1" nd="1"/>
        <i x="159" s="1" nd="1"/>
        <i x="190" s="1" nd="1"/>
        <i x="272" s="1" nd="1"/>
        <i x="144" s="1" nd="1"/>
        <i x="263" s="1" nd="1"/>
        <i x="181" s="1" nd="1"/>
        <i x="171" s="1" nd="1"/>
        <i x="255" s="1" nd="1"/>
        <i x="195" s="1" nd="1"/>
        <i x="314" s="1" nd="1"/>
        <i x="125" s="1" nd="1"/>
        <i x="292" s="1" nd="1"/>
        <i x="115" s="1" nd="1"/>
        <i x="192" s="1" nd="1"/>
        <i x="315" s="1" nd="1"/>
        <i x="227" s="1" nd="1"/>
        <i x="173" s="1" nd="1"/>
        <i x="257" s="1" nd="1"/>
        <i x="107" s="1" nd="1"/>
        <i x="269" s="1" nd="1"/>
        <i x="110" s="1" nd="1"/>
        <i x="157" s="1" nd="1"/>
        <i x="238" s="1" nd="1"/>
        <i x="241" s="1" nd="1"/>
        <i x="254" s="1" nd="1"/>
        <i x="266" s="1" nd="1"/>
        <i x="121" s="1" nd="1"/>
        <i x="235" s="1" nd="1"/>
        <i x="265" s="1" nd="1"/>
        <i x="228" s="1" nd="1"/>
        <i x="237" s="1" nd="1"/>
        <i x="166" s="1" nd="1"/>
        <i x="116" s="1" nd="1"/>
        <i x="293" s="1" nd="1"/>
        <i x="197" s="1" nd="1"/>
        <i x="221" s="1" nd="1"/>
        <i x="124" s="1" nd="1"/>
        <i x="148" s="1" nd="1"/>
        <i x="189" s="1" nd="1"/>
        <i x="164" s="1" nd="1"/>
        <i x="325" s="1" nd="1"/>
        <i x="283" s="1" nd="1"/>
        <i x="131" s="1" nd="1"/>
        <i x="286" s="1" nd="1"/>
        <i x="191" s="1" nd="1"/>
        <i x="156" s="1" nd="1"/>
        <i x="330" s="1" nd="1"/>
        <i x="170" s="1" nd="1"/>
        <i x="193" s="1" nd="1"/>
        <i x="258" s="1" nd="1"/>
        <i x="174" s="1" nd="1"/>
        <i x="223" s="1" nd="1"/>
        <i x="142" s="1" nd="1"/>
        <i x="207" s="1" nd="1"/>
        <i x="201" s="1" nd="1"/>
        <i x="313" s="1" nd="1"/>
        <i x="211" s="1" nd="1"/>
        <i x="129" s="1" nd="1"/>
        <i x="151" s="1" nd="1"/>
        <i x="252" s="1" nd="1"/>
        <i x="304" s="1" nd="1"/>
        <i x="297" s="1" nd="1"/>
        <i x="261" s="1" nd="1"/>
        <i x="308" s="1" nd="1"/>
        <i x="177" s="1" nd="1"/>
        <i x="154" s="1" nd="1"/>
        <i x="309" s="1" nd="1"/>
        <i x="172" s="1" nd="1"/>
        <i x="295" s="1" nd="1"/>
        <i x="232" s="1" nd="1"/>
        <i x="262" s="1" nd="1"/>
        <i x="224" s="1" nd="1"/>
        <i x="242" s="1" nd="1"/>
        <i x="218" s="1" nd="1"/>
        <i x="275" s="1" nd="1"/>
        <i x="122" s="1" nd="1"/>
      </items>
    </tabular>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mc:Ignorable="x" name="SegmentaciónDeDatos___Ejecución_física" sourceName="% Ejecución física">
  <pivotTables>
    <pivotTable tabId="20" name="Tabla dinámica3"/>
  </pivotTables>
  <data>
    <tabular pivotCacheId="2">
      <items count="4547">
        <i x="1" s="1"/>
        <i x="0" s="1"/>
        <i x="4003" s="1" nd="1"/>
        <i x="834" s="1" nd="1"/>
        <i x="3671" s="1" nd="1"/>
        <i x="850" s="1" nd="1"/>
        <i x="2905" s="1" nd="1"/>
        <i x="464" s="1" nd="1"/>
        <i x="2554" s="1" nd="1"/>
        <i x="86" s="1" nd="1"/>
        <i x="2192" s="1" nd="1"/>
        <i x="4262" s="1" nd="1"/>
        <i x="1839" s="1" nd="1"/>
        <i x="3985" s="1" nd="1"/>
        <i x="1743" s="1" nd="1"/>
        <i x="485" s="1" nd="1"/>
        <i x="1566" s="1" nd="1"/>
        <i x="1802" s="1" nd="1"/>
        <i x="2583" s="1" nd="1"/>
        <i x="3981" s="1" nd="1"/>
        <i x="3617" s="1" nd="1"/>
        <i x="112" s="1" nd="1"/>
        <i x="4248" s="1" nd="1"/>
        <i x="1192" s="1" nd="1"/>
        <i x="2886" s="1" nd="1"/>
        <i x="2218" s="1" nd="1"/>
        <i x="2958" s="1" nd="1"/>
        <i x="808" s="1" nd="1"/>
        <i x="3235" s="1" nd="1"/>
        <i x="4286" s="1" nd="1"/>
        <i x="793" s="1" nd="1"/>
        <i x="1858" s="1" nd="1"/>
        <i x="1000" s="1" nd="1"/>
        <i x="1664" s="1" nd="1"/>
        <i x="2860" s="1" nd="1"/>
        <i x="3904" s="1" nd="1"/>
        <i x="394" s="1" nd="1"/>
        <i x="1470" s="1" nd="1"/>
        <i x="2504" s="1" nd="1"/>
        <i x="3543" s="1" nd="1"/>
        <i x="1761" s="1" nd="1"/>
        <i x="36" s="1" nd="1"/>
        <i x="1247" s="1" nd="1"/>
        <i x="1118" s="1" nd="1"/>
        <i x="2142" s="1" nd="1"/>
        <i x="3156" s="1" nd="1"/>
        <i x="2282" s="1" nd="1"/>
        <i x="4214" s="1" nd="1"/>
        <i x="295" s="1" nd="1"/>
        <i x="815" s="1" nd="1"/>
        <i x="4242" s="1" nd="1"/>
        <i x="1100" s="1" nd="1"/>
        <i x="1786" s="1" nd="1"/>
        <i x="896" s="1" nd="1"/>
        <i x="3042" s="1" nd="1"/>
        <i x="1875" s="1" nd="1"/>
        <i x="2382" s="1" nd="1"/>
        <i x="2125" s="1" nd="1"/>
        <i x="471" s="1" nd="1"/>
        <i x="2879" s="1" nd="1"/>
        <i x="692" s="1" nd="1"/>
        <i x="4115" s="1" nd="1"/>
        <i x="1955" s="1" nd="1"/>
        <i x="3144" s="1" nd="1"/>
        <i x="3127" s="1" nd="1"/>
        <i x="3925" s="1" nd="1"/>
        <i x="4199" s="1" nd="1"/>
        <i x="3978" s="1" nd="1"/>
        <i x="424" s="1" nd="1"/>
        <i x="695" s="1" nd="1"/>
        <i x="141" s="1" nd="1"/>
        <i x="3206" s="1" nd="1"/>
        <i x="1772" s="1" nd="1"/>
        <i x="249" s="1" nd="1"/>
        <i x="3330" s="1" nd="1"/>
        <i x="1494" s="1" nd="1"/>
        <i x="374" s="1" nd="1"/>
        <i x="3462" s="1" nd="1"/>
        <i x="2005" s="1" nd="1"/>
        <i x="522" s="1" nd="1"/>
        <i x="1764" s="1" nd="1"/>
        <i x="3067" s="1" nd="1"/>
        <i x="2144" s="1" nd="1"/>
        <i x="2268" s="1" nd="1"/>
        <i x="2527" s="1" nd="1"/>
        <i x="784" s="1" nd="1"/>
        <i x="3836" s="1" nd="1"/>
        <i x="139" s="1" nd="1"/>
        <i x="2392" s="1" nd="1"/>
        <i x="905" s="1" nd="1"/>
        <i x="2762" s="1" nd="1"/>
        <i x="1054" s="1" nd="1"/>
        <i x="4087" s="1" nd="1"/>
        <i x="3884" s="1" nd="1"/>
        <i x="2625" s="1" nd="1"/>
        <i x="3048" s="1" nd="1"/>
        <i x="1190" s="1" nd="1"/>
        <i x="3563" s="1" nd="1"/>
        <i x="4232" s="1" nd="1"/>
        <i x="3305" s="1" nd="1"/>
        <i x="2868" s="1" nd="1"/>
        <i x="4338" s="1" nd="1"/>
        <i x="1423" s="1" nd="1"/>
        <i x="4461" s="1" nd="1"/>
        <i x="2977" s="1" nd="1"/>
        <i x="1451" s="1" nd="1"/>
        <i x="60" s="1" nd="1"/>
        <i x="4183" s="1" nd="1"/>
        <i x="3126" s="1" nd="1"/>
        <i x="1694" s="1" nd="1"/>
        <i x="2342" s="1" nd="1"/>
        <i x="1456" s="1" nd="1"/>
        <i x="3910" s="1" nd="1"/>
        <i x="848" s="1" nd="1"/>
        <i x="4082" s="1" nd="1"/>
        <i x="968" s="1" nd="1"/>
        <i x="4031" s="1" nd="1"/>
        <i x="1139" s="1" nd="1"/>
        <i x="1128" s="1" nd="1"/>
        <i x="440" s="1" nd="1"/>
        <i x="3064" s="1" nd="1"/>
        <i x="1256" s="1" nd="1"/>
        <i x="1906" s="1" nd="1"/>
        <i x="4287" s="1" nd="1"/>
        <i x="3752" s="1" nd="1"/>
        <i x="2797" s="1" nd="1"/>
        <i x="2237" s="1" nd="1"/>
        <i x="1369" s="1" nd="1"/>
        <i x="4397" s="1" nd="1"/>
        <i x="2160" s="1" nd="1"/>
        <i x="4530" s="1" nd="1"/>
        <i x="704" s="1" nd="1"/>
        <i x="3041" s="1" nd="1"/>
        <i x="1626" s="1" nd="1"/>
        <i x="736" s="1" nd="1"/>
        <i x="123" s="1" nd="1"/>
        <i x="2902" s="1" nd="1"/>
        <i x="3186" s="1" nd="1"/>
        <i x="354" s="1" nd="1"/>
        <i x="4128" s="1" nd="1"/>
        <i x="3303" s="1" nd="1"/>
        <i x="1876" s="1" nd="1"/>
        <i x="3177" s="1" nd="1"/>
        <i x="360" s="1" nd="1"/>
        <i x="3439" s="1" nd="1"/>
        <i x="2360" s="1" nd="1"/>
        <i x="496" s="1" nd="1"/>
        <i x="3689" s="1" nd="1"/>
        <i x="2962" s="1" nd="1"/>
        <i x="3579" s="1" nd="1"/>
        <i x="3960" s="1" nd="1"/>
        <i x="2114" s="1" nd="1"/>
        <i x="633" s="1" nd="1"/>
        <i x="3696" s="1" nd="1"/>
        <i x="2244" s="1" nd="1"/>
        <i x="759" s="1" nd="1"/>
        <i x="4233" s="1" nd="1"/>
        <i x="3991" s="1" nd="1"/>
        <i x="884" s="1" nd="1"/>
        <i x="3975" s="1" nd="1"/>
        <i x="1144" s="1" nd="1"/>
        <i x="3945" s="1" nd="1"/>
        <i x="2492" s="1" nd="1"/>
        <i x="461" s="1" nd="1"/>
        <i x="1027" s="1" nd="1"/>
        <i x="4067" s="1" nd="1"/>
        <i x="2565" s="1" nd="1"/>
        <i x="733" s="1" nd="1"/>
        <i x="2721" s="1" nd="1"/>
        <i x="1301" s="1" nd="1"/>
        <i x="3834" s="1" nd="1"/>
        <i x="4325" s="1" nd="1"/>
        <i x="2851" s="1" nd="1"/>
        <i x="1398" s="1" nd="1"/>
        <i x="1543" s="1" nd="1"/>
        <i x="2956" s="1" nd="1"/>
        <i x="2048" s="1" nd="1"/>
        <i x="559" s="1" nd="1"/>
        <i x="2632" s="1" nd="1"/>
        <i x="3636" s="1" nd="1"/>
        <i x="1796" s="1" nd="1"/>
        <i x="1909" s="1" nd="1"/>
        <i x="2172" s="1" nd="1"/>
        <i x="2300" s="1" nd="1"/>
        <i x="1433" s="1" nd="1"/>
        <i x="827" s="1" nd="1"/>
        <i x="2552" s="1" nd="1"/>
        <i x="3878" s="1" nd="1"/>
        <i x="2426" s="1" nd="1"/>
        <i x="938" s="1" nd="1"/>
        <i x="2794" s="1" nd="1"/>
        <i x="2903" s="1" nd="1"/>
        <i x="4124" s="1" nd="1"/>
        <i x="2656" s="1" nd="1"/>
        <i x="1234" s="1" nd="1"/>
        <i x="3600" s="1" nd="1"/>
        <i x="4064" s="1" nd="1"/>
        <i x="269" s="1" nd="1"/>
        <i x="1460" s="1" nd="1"/>
        <i x="3845" s="1" nd="1"/>
        <i x="4504" s="1" nd="1"/>
        <i x="3016" s="1" nd="1"/>
        <i x="1466" s="1" nd="1"/>
        <i x="3164" s="1" nd="1"/>
        <i x="84" s="1" nd="1"/>
        <i x="3593" s="1" nd="1"/>
        <i x="214" s="1" nd="1"/>
        <i x="3283" s="1" nd="1"/>
        <i x="4332" s="1" nd="1"/>
        <i x="1856" s="1" nd="1"/>
        <i x="3921" s="1" nd="1"/>
        <i x="336" s="1" nd="1"/>
        <i x="475" s="1" nd="1"/>
        <i x="3077" s="1" nd="1"/>
        <i x="3694" s="1" nd="1"/>
        <i x="3948" s="1" nd="1"/>
        <i x="2092" s="1" nd="1"/>
        <i x="1165" s="1" nd="1"/>
        <i x="4016" s="1" nd="1"/>
        <i x="735" s="1" nd="1"/>
        <i x="3794" s="1" nd="1"/>
        <i x="1411" s="1" nd="1"/>
        <i x="2349" s="1" nd="1"/>
        <i x="866" s="1" nd="1"/>
        <i x="3923" s="1" nd="1"/>
        <i x="3697" s="1" nd="1"/>
        <i x="2084" s="1" nd="1"/>
        <i x="180" s="1" nd="1"/>
        <i x="2191" s="1" nd="1"/>
        <i x="4044" s="1" nd="1"/>
        <i x="1313" s="1" nd="1"/>
        <i x="2591" s="1" nd="1"/>
        <i x="262" s="1" nd="1"/>
        <i x="1149" s="1" nd="1"/>
        <i x="157" s="1" nd="1"/>
        <i x="2577" s="1" nd="1"/>
        <i x="3224" s="1" nd="1"/>
        <i x="2450" s="1" nd="1"/>
        <i x="3377" s="1" nd="1"/>
        <i x="179" s="1" nd="1"/>
        <i x="4147" s="1" nd="1"/>
        <i x="1859" s="1" nd="1"/>
        <i x="1912" s="1" nd="1"/>
        <i x="398" s="1" nd="1"/>
        <i x="3213" s="1" nd="1"/>
        <i x="3486" s="1" nd="1"/>
        <i x="2018" s="1" nd="1"/>
        <i x="570" s="1" nd="1"/>
        <i x="2155" s="1" nd="1"/>
        <i x="3482" s="1" nd="1"/>
        <i x="2838" s="1" nd="1"/>
        <i x="2850" s="1" nd="1"/>
        <i x="3988" s="1" nd="1"/>
        <i x="1440" s="1" nd="1"/>
        <i x="4261" s="1" nd="1"/>
        <i x="918" s="1" nd="1"/>
        <i x="2294" s="1" nd="1"/>
        <i x="3986" s="1" nd="1"/>
        <i x="972" s="1" nd="1"/>
        <i x="4513" s="1" nd="1"/>
        <i x="3918" s="1" nd="1"/>
        <i x="4241" s="1" nd="1"/>
        <i x="2756" s="1" nd="1"/>
        <i x="768" s="1" nd="1"/>
        <i x="1328" s="1" nd="1"/>
        <i x="4366" s="1" nd="1"/>
        <i x="3625" s="1" nd="1"/>
        <i x="2883" s="1" nd="1"/>
        <i x="1577" s="1" nd="1"/>
        <i x="273" s="1" nd="1"/>
        <i x="1045" s="1" nd="1"/>
        <i x="1581" s="1" nd="1"/>
        <i x="1699" s="1" nd="1"/>
        <i x="3181" s="1" nd="1"/>
        <i x="2712" s="1" nd="1"/>
        <i x="3141" s="1" nd="1"/>
        <i x="1706" s="1" nd="1"/>
        <i x="1836" s="1" nd="1"/>
        <i x="1768" s="1" nd="1"/>
        <i x="2046" s="1" nd="1"/>
        <i x="4037" s="1" nd="1"/>
        <i x="3570" s="1" nd="1"/>
        <i x="557" s="1" nd="1"/>
        <i x="2180" s="1" nd="1"/>
        <i x="2110" s="1" nd="1"/>
        <i x="3635" s="1" nd="1"/>
        <i x="2471" s="1" nd="1"/>
        <i x="3298" s="1" nd="1"/>
        <i x="3691" s="1" nd="1"/>
        <i x="1089" s="1" nd="1"/>
        <i x="2557" s="1" nd="1"/>
        <i x="688" s="1" nd="1"/>
        <i x="2242" s="1" nd="1"/>
        <i x="752" s="1" nd="1"/>
        <i x="2433" s="1" nd="1"/>
        <i x="645" s="1" nd="1"/>
        <i x="822" s="1" nd="1"/>
        <i x="2372" s="1" nd="1"/>
        <i x="3708" s="1" nd="1"/>
        <i x="4387" s="1" nd="1"/>
        <i x="879" s="1" nd="1"/>
        <i x="2799" s="1" nd="1"/>
        <i x="3115" s="1" nd="1"/>
        <i x="4410" s="1" nd="1"/>
        <i x="2486" s="1" nd="1"/>
        <i x="4007" s="1" nd="1"/>
        <i x="3201" s="1" nd="1"/>
        <i x="3814" s="1" nd="1"/>
        <i x="1022" s="1" nd="1"/>
        <i x="255" s="1" nd="1"/>
        <i x="2540" s="1" nd="1"/>
        <i x="3707" s="1" nd="1"/>
        <i x="4062" s="1" nd="1"/>
        <i x="567" s="1" nd="1"/>
        <i x="392" s="1" nd="1"/>
        <i x="3602" s="1" nd="1"/>
        <i x="4122" s="1" nd="1"/>
        <i x="1160" s="1" nd="1"/>
        <i x="2655" s="1" nd="1"/>
        <i x="4206" s="1" nd="1"/>
        <i x="2413" s="1" nd="1"/>
        <i x="1233" s="1" nd="1"/>
        <i x="3458" s="1" nd="1"/>
        <i x="2525" s="1" nd="1"/>
        <i x="2454" s="1" nd="1"/>
        <i x="1293" s="1" nd="1"/>
        <i x="1355" s="1" nd="1"/>
        <i x="4318" s="1" nd="1"/>
        <i x="3850" s="1" nd="1"/>
        <i x="491" s="1" nd="1"/>
        <i x="1345" s="1" nd="1"/>
        <i x="4480" s="1" nd="1"/>
        <i x="2849" s="1" nd="1"/>
        <i x="1011" s="1" nd="1"/>
        <i x="1862" s="1" nd="1"/>
        <i x="2900" s="1" nd="1"/>
        <i x="4247" s="1" nd="1"/>
        <i x="4434" s="1" nd="1"/>
        <i x="3035" s="1" nd="1"/>
        <i x="1459" s="1" nd="1"/>
        <i x="2951" s="1" nd="1"/>
        <i x="3062" s="1" nd="1"/>
        <i x="88" s="1" nd="1"/>
        <i x="944" s="1" nd="1"/>
        <i x="1602" s="1" nd="1"/>
        <i x="1183" s="1" nd="1"/>
        <i x="3277" s="1" nd="1"/>
        <i x="3095" s="1" nd="1"/>
        <i x="91" s="1" nd="1"/>
        <i x="4492" s="1" nd="1"/>
        <i x="1665" s="1" nd="1"/>
        <i x="3200" s="1" nd="1"/>
        <i x="1226" s="1" nd="1"/>
        <i x="1728" s="1" nd="1"/>
        <i x="3225" s="1" nd="1"/>
        <i x="338" s="1" nd="1"/>
        <i x="213" s="1" nd="1"/>
        <i x="829" s="1" nd="1"/>
        <i x="1785" s="1" nd="1"/>
        <i x="3282" s="1" nd="1"/>
        <i x="874" s="1" nd="1"/>
        <i x="751" s="1" nd="1"/>
        <i x="3345" s="1" nd="1"/>
        <i x="334" s="1" nd="1"/>
        <i x="1915" s="1" nd="1"/>
        <i x="182" s="1" nd="1"/>
        <i x="3413" s="1" nd="1"/>
        <i x="3687" s="1" nd="1"/>
        <i x="402" s="1" nd="1"/>
        <i x="1167" s="1" nd="1"/>
        <i x="2855" s="1" nd="1"/>
        <i x="2021" s="1" nd="1"/>
        <i x="3553" s="1" nd="1"/>
        <i x="1029" s="1" nd="1"/>
        <i x="1926" s="1" nd="1"/>
        <i x="539" s="1" nd="1"/>
        <i x="806" s="1" nd="1"/>
        <i x="2456" s="1" nd="1"/>
        <i x="2610" s="1" nd="1"/>
        <i x="2256" s="1" nd="1"/>
        <i x="2652" s="1" nd="1"/>
        <i x="1413" s="1" nd="1"/>
        <i x="448" s="1" nd="1"/>
        <i x="2213" s="1" nd="1"/>
        <i x="4202" s="1" nd="1"/>
        <i x="1228" s="1" nd="1"/>
        <i x="3496" s="1" nd="1"/>
        <i x="2710" s="1" nd="1"/>
        <i x="2170" s="1" nd="1"/>
        <i x="4257" s="1" nd="1"/>
        <i x="1820" s="1" nd="1"/>
        <i x="2548" s="1" nd="1"/>
        <i x="3548" s="1" nd="1"/>
        <i x="1950" s="1" nd="1"/>
        <i x="1341" s="1" nd="1"/>
        <i x="2843" s="1" nd="1"/>
        <i x="796" s="1" nd="1"/>
        <i x="4379" s="1" nd="1"/>
        <i x="2194" s="1" nd="1"/>
        <i x="1388" s="1" nd="1"/>
        <i x="388" s="1" nd="1"/>
        <i x="4149" s="1" nd="1"/>
        <i x="1453" s="1" nd="1"/>
        <i x="2948" s="1" nd="1"/>
        <i x="2063" s="1" nd="1"/>
        <i x="4497" s="1" nd="1"/>
        <i x="4395" s="1" nd="1"/>
        <i x="1532" s="1" nd="1"/>
        <i x="1198" s="1" nd="1"/>
        <i x="3010" s="1" nd="1"/>
        <i x="3532" s="1" nd="1"/>
        <i x="3607" s="1" nd="1"/>
        <i x="3868" s="1" nd="1"/>
        <i x="2453" s="1" nd="1"/>
        <i x="3582" s="1" nd="1"/>
        <i x="3090" s="1" nd="1"/>
        <i x="1737" s="1" nd="1"/>
        <i x="3338" s="1" nd="1"/>
        <i x="651" s="1" nd="1"/>
        <i x="87" s="1" nd="1"/>
        <i x="1662" s="1" nd="1"/>
        <i x="378" s="1" nd="1"/>
        <i x="3158" s="1" nd="1"/>
        <i x="43" s="1" nd="1"/>
        <i x="153" s="1" nd="1"/>
        <i x="2817" s="1" nd="1"/>
        <i x="2787" s="1" nd="1"/>
        <i x="3105" s="1" nd="1"/>
        <i x="208" s="1" nd="1"/>
        <i x="2434" s="1" nd="1"/>
        <i x="3278" s="1" nd="1"/>
        <i x="3217" s="1" nd="1"/>
        <i x="263" s="1" nd="1"/>
        <i x="1850" s="1" nd="1"/>
        <i x="575" s="1" nd="1"/>
        <i x="1375" s="1" nd="1"/>
        <i x="1047" s="1" nd="1"/>
        <i x="1908" s="1" nd="1"/>
        <i x="3078" s="1" nd="1"/>
        <i x="3408" s="1" nd="1"/>
        <i x="395" s="1" nd="1"/>
        <i x="4427" s="1" nd="1"/>
        <i x="74" s="1" nd="1"/>
        <i x="3484" s="1" nd="1"/>
        <i x="989" s="1" nd="1"/>
        <i x="3487" s="1" nd="1"/>
        <i x="400" s="1" nd="1"/>
        <i x="4277" s="1" nd="1"/>
        <i x="3551" s="1" nd="1"/>
        <i x="536" s="1" nd="1"/>
        <i x="4448" s="1" nd="1"/>
        <i x="1511" s="1" nd="1"/>
        <i x="2085" s="1" nd="1"/>
        <i x="3864" s="1" nd="1"/>
        <i x="1046" s="1" nd="1"/>
        <i x="4207" s="1" nd="1"/>
        <i x="3611" s="1" nd="1"/>
        <i x="3538" s="1" nd="1"/>
        <i x="2217" s="1" nd="1"/>
        <i x="4264" s="1" nd="1"/>
        <i x="4306" s="1" nd="1"/>
        <i x="4121" s="1" nd="1"/>
        <i x="3120" s="1" nd="1"/>
        <i x="3851" s="1" nd="1"/>
        <i x="954" s="1" nd="1"/>
        <i x="2011" s="1" nd="1"/>
        <i x="2405" s="1" nd="1"/>
        <i x="835" s="1" nd="1"/>
        <i x="2617" s="1" nd="1"/>
        <i x="4519" s="1" nd="1"/>
        <i x="3706" s="1" nd="1"/>
        <i x="3879" s="1" nd="1"/>
        <i x="2212" s="1" nd="1"/>
        <i x="947" s="1" nd="1"/>
        <i x="2587" s="1" nd="1"/>
        <i x="4412" s="1" nd="1"/>
        <i x="359" s="1" nd="1"/>
        <i x="3976" s="1" nd="1"/>
        <i x="755" s="1" nd="1"/>
        <i x="135" s="1" nd="1"/>
        <i x="880" s="1" nd="1"/>
        <i x="1143" s="1" nd="1"/>
        <i x="1197" s="1" nd="1"/>
        <i x="772" s="1" nd="1"/>
        <i x="2171" s="1" nd="1"/>
        <i x="4177" s="1" nd="1"/>
        <i x="2685" s="1" nd="1"/>
        <i x="1189" s="1" nd="1"/>
        <i x="3479" s="1" nd="1"/>
        <i x="3337" s="1" nd="1"/>
        <i x="2754" s="1" nd="1"/>
        <i x="4304" s="1" nd="1"/>
        <i x="1363" s="1" nd="1"/>
        <i x="2276" s="1" nd="1"/>
        <i x="2643" s="1" nd="1"/>
        <i x="1050" s="1" nd="1"/>
        <i x="4250" s="1" nd="1"/>
        <i x="427" s="1" nd="1"/>
        <i x="813" s="1" nd="1"/>
        <i x="1432" s="1" nd="1"/>
        <i x="1429" s="1" nd="1"/>
        <i x="1018" s="1" nd="1"/>
        <i x="4473" s="1" nd="1"/>
        <i x="532" s="1" nd="1"/>
        <i x="3681" s="1" nd="1"/>
        <i x="5" s="1" nd="1"/>
        <i x="1840" s="1" nd="1"/>
        <i x="2784" s="1" nd="1"/>
        <i x="1244" s="1" nd="1"/>
        <i x="1580" s="1" nd="1"/>
        <i x="3243" s="1" nd="1"/>
        <i x="3117" s="1" nd="1"/>
        <i x="3284" s="1" nd="1"/>
        <i x="597" s="1" nd="1"/>
        <i x="1645" s="1" nd="1"/>
        <i x="140" s="1" nd="1"/>
        <i x="2215" s="1" nd="1"/>
        <i x="106" s="1" nd="1"/>
        <i x="1169" s="1" nd="1"/>
        <i x="3203" s="1" nd="1"/>
        <i x="3690" s="1" nd="1"/>
        <i x="4136" s="1" nd="1"/>
        <i x="4030" s="1" nd="1"/>
        <i x="2082" s="1" nd="1"/>
        <i x="1374" s="1" nd="1"/>
        <i x="203" s="1" nd="1"/>
        <i x="1806" s="1" nd="1"/>
        <i x="2261" s="1" nd="1"/>
        <i x="2469" s="1" nd="1"/>
        <i x="2910" s="1" nd="1"/>
        <i x="912" s="1" nd="1"/>
        <i x="191" s="1" nd="1"/>
        <i x="1653" s="1" nd="1"/>
        <i x="2549" s="1" nd="1"/>
        <i x="1835" s="1" nd="1"/>
        <i x="857" s="1" nd="1"/>
        <i x="802" s="1" nd="1"/>
        <i x="2844" s="1" nd="1"/>
        <i x="4424" s="1" nd="1"/>
        <i x="4333" s="1" nd="1"/>
        <i x="3382" s="1" nd="1"/>
        <i x="3001" s="1" nd="1"/>
        <i x="3232" s="1" nd="1"/>
        <i x="3880" s="1" nd="1"/>
        <i x="4099" s="1" nd="1"/>
        <i x="1242" s="1" nd="1"/>
        <i x="579" s="1" nd="1"/>
        <i x="3581" s="1" nd="1"/>
        <i x="875" s="1" nd="1"/>
        <i x="1202" s="1" nd="1"/>
        <i x="3101" s="1" nd="1"/>
        <i x="1966" s="1" nd="1"/>
        <i x="385" s="1" nd="1"/>
        <i x="1674" s="1" nd="1"/>
        <i x="3503" s="1" nd="1"/>
        <i x="1325" s="1" nd="1"/>
        <i x="4017" s="1" nd="1"/>
        <i x="3639" s="1" nd="1"/>
        <i x="4359" s="1" nd="1"/>
        <i x="2696" s="1" nd="1"/>
        <i x="3824" s="1" nd="1"/>
        <i x="1055" s="1" nd="1"/>
        <i x="3885" s="1" nd="1"/>
        <i x="890" s="1" nd="1"/>
        <i x="2106" s="1" nd="1"/>
        <i x="4107" s="1" nd="1"/>
        <i x="2220" s="1" nd="1"/>
        <i x="4283" s="1" nd="1"/>
        <i x="2305" s="1" nd="1"/>
        <i x="1722" s="1" nd="1"/>
        <i x="3142" s="1" nd="1"/>
        <i x="2579" s="1" nd="1"/>
        <i x="3612" s="1" nd="1"/>
        <i x="1756" s="1" nd="1"/>
        <i x="70" s="1" nd="1"/>
        <i x="4143" s="1" nd="1"/>
        <i x="604" s="1" nd="1"/>
        <i x="1642" s="1" nd="1"/>
        <i x="2442" s="1" nd="1"/>
        <i x="3698" s="1" nd="1"/>
        <i x="1731" s="1" nd="1"/>
        <i x="2411" s="1" nd="1"/>
        <i x="4539" s="1" nd="1"/>
        <i x="1378" s="1" nd="1"/>
        <i x="686" s="1" nd="1"/>
        <i x="1765" s="1" nd="1"/>
        <i x="2650" s="1" nd="1"/>
        <i x="3259" s="1" nd="1"/>
        <i x="777" s="1" nd="1"/>
        <i x="3795" s="1" nd="1"/>
        <i x="143" s="1" nd="1"/>
        <i x="1827" s="1" nd="1"/>
        <i x="371" s="1" nd="1"/>
        <i x="3695" s="1" nd="1"/>
        <i x="425" s="1" nd="1"/>
        <i x="2878" s="1" nd="1"/>
        <i x="3853" s="1" nd="1"/>
        <i x="3392" s="1" nd="1"/>
        <i x="889" s="1" nd="1"/>
        <i x="789" s="1" nd="1"/>
        <i x="3378" s="1" nd="1"/>
        <i x="450" s="1" nd="1"/>
        <i x="14" s="1" nd="1"/>
        <i x="2088" s="1" nd="1"/>
        <i x="2427" s="1" nd="1"/>
        <i x="3098" s="1" nd="1"/>
        <i x="655" s="1" nd="1"/>
        <i x="231" s="1" nd="1"/>
        <i x="4267" s="1" nd="1"/>
        <i x="2064" s="1" nd="1"/>
        <i x="1441" s="1" nd="1"/>
        <i x="3591" s="1" nd="1"/>
        <i x="3488" s="1" nd="1"/>
        <i x="1073" s="1" nd="1"/>
        <i x="1688" s="1" nd="1"/>
        <i x="85" s="1" nd="1"/>
        <i x="2485" s="1" nd="1"/>
        <i x="330" s="1" nd="1"/>
        <i x="3014" s="1" nd="1"/>
        <i x="2899" s="1" nd="1"/>
        <i x="3215" s="1" nd="1"/>
        <i x="31" s="1" nd="1"/>
        <i x="1447" s="1" nd="1"/>
        <i x="804" s="1" nd="1"/>
        <i x="3037" s="1" nd="1"/>
        <i x="945" s="1" nd="1"/>
        <i x="3362" s="1" nd="1"/>
        <i x="3830" s="1" nd="1"/>
        <i x="1854" s="1" nd="1"/>
        <i x="3121" s="1" nd="1"/>
        <i x="841" s="1" nd="1"/>
        <i x="4453" s="1" nd="1"/>
        <i x="2386" s="1" nd="1"/>
        <i x="2639" s="1" nd="1"/>
        <i x="3895" s="1" nd="1"/>
        <i x="1063" s="1" nd="1"/>
        <i x="4409" s="1" nd="1"/>
        <i x="3159" s="1" nd="1"/>
        <i x="897" s="1" nd="1"/>
        <i x="1812" s="1" nd="1"/>
        <i x="2440" s="1" nd="1"/>
        <i x="1725" s="1" nd="1"/>
        <i x="3179" s="1" nd="1"/>
        <i x="1365" s="1" nd="1"/>
        <i x="2124" s="1" nd="1"/>
        <i x="69" s="1" nd="1"/>
        <i x="2498" s="1" nd="1"/>
        <i x="3876" s="1" nd="1"/>
        <i x="3912" s="1" nd="1"/>
        <i x="25" s="1" nd="1"/>
        <i x="4026" s="1" nd="1"/>
        <i x="1040" s="1" nd="1"/>
        <i x="3514" s="1" nd="1"/>
        <i x="2101" s="1" nd="1"/>
        <i x="2561" s="1" nd="1"/>
        <i x="2734" s="1" nd="1"/>
        <i x="217" s="1" nd="1"/>
        <i x="4230" s="1" nd="1"/>
        <i x="2049" s="1" nd="1"/>
        <i x="2808" s="1" nd="1"/>
        <i x="950" s="1" nd="1"/>
        <i x="581" s="1" nd="1"/>
        <i x="1450" s="1" nd="1"/>
        <i x="851" s="1" nd="1"/>
        <i x="4145" s="1" nd="1"/>
        <i x="2489" s="1" nd="1"/>
        <i x="1177" s="1" nd="1"/>
        <i x="2668" s="1" nd="1"/>
        <i x="3996" s="1" nd="1"/>
        <i x="2295" s="1" nd="1"/>
        <i x="4227" s="1" nd="1"/>
        <i x="3314" s="1" nd="1"/>
        <i x="2836" s="1" nd="1"/>
        <i x="2858" s="1" nd="1"/>
        <i x="1037" s="1" nd="1"/>
        <i x="1308" s="1" nd="1"/>
        <i x="4429" s="1" nd="1"/>
        <i x="3445" s="1" nd="1"/>
        <i x="2791" s="1" nd="1"/>
        <i x="1366" s="1" nd="1"/>
        <i x="4252" s="1" nd="1"/>
        <i x="4342" s="1" nd="1"/>
        <i x="1353" s="1" nd="1"/>
        <i x="1364" s="1" nd="1"/>
        <i x="2727" s="1" nd="1"/>
        <i x="2438" s="1" nd="1"/>
        <i x="1148" s="1" nd="1"/>
        <i x="1153" s="1" nd="1"/>
        <i x="3449" s="1" nd="1"/>
        <i x="3677" s="1" nd="1"/>
        <i x="3993" s="1" nd="1"/>
        <i x="3123" s="1" nd="1"/>
        <i x="3236" s="1" nd="1"/>
        <i x="3521" s="1" nd="1"/>
        <i x="4033" s="1" nd="1"/>
        <i x="2532" s="1" nd="1"/>
        <i x="3753" s="1" nd="1"/>
        <i x="3523" s="1" nd="1"/>
        <i x="574" s="1" nd="1"/>
        <i x="3626" s="1" nd="1"/>
        <i x="4065" s="1" nd="1"/>
        <i x="2130" s="1" nd="1"/>
        <i x="2297" s="1" nd="1"/>
        <i x="3651" s="1" nd="1"/>
        <i x="2767" s="1" nd="1"/>
        <i x="3931" s="1" nd="1"/>
        <i x="2594" s="1" nd="1"/>
        <i x="642" s="1" nd="1"/>
        <i x="2570" s="1" nd="1"/>
        <i x="1065" s="1" nd="1"/>
        <i x="3900" s="1" nd="1"/>
        <i x="3065" s="1" nd="1"/>
        <i x="2128" s="1" nd="1"/>
        <i x="4125" s="1" nd="1"/>
        <i x="706" s="1" nd="1"/>
        <i x="720" s="1" nd="1"/>
        <i x="2255" s="1" nd="1"/>
        <i x="1897" s="1" nd="1"/>
        <i x="812" s="1" nd="1"/>
        <i x="3759" s="1" nd="1"/>
        <i x="2202" s="1" nd="1"/>
        <i x="1164" s="1" nd="1"/>
        <i x="771" s="1" nd="1"/>
        <i x="3768" s="1" nd="1"/>
        <i x="2032" s="1" nd="1"/>
        <i x="2313" s="1" nd="1"/>
        <i x="2623" s="1" nd="1"/>
        <i x="4364" s="1" nd="1"/>
        <i x="2232" s="1" nd="1"/>
        <i x="2384" s="1" nd="1"/>
        <i x="942" s="1" nd="1"/>
        <i x="197" s="1" nd="1"/>
        <i x="3891" s="1" nd="1"/>
        <i x="1504" s="1" nd="1"/>
        <i x="4170" s="1" nd="1"/>
        <i x="894" s="1" nd="1"/>
        <i x="970" s="1" nd="1"/>
        <i x="2435" s="1" nd="1"/>
        <i x="4111" s="1" nd="1"/>
        <i x="623" s="1" nd="1"/>
        <i x="3955" s="1" nd="1"/>
        <i x="196" s="1" nd="1"/>
        <i x="4284" s="1" nd="1"/>
        <i x="602" s="1" nd="1"/>
        <i x="948" s="1" nd="1"/>
        <i x="408" s="1" nd="1"/>
        <i x="529" s="1" nd="1"/>
        <i x="3285" s="1" nd="1"/>
        <i x="12" s="1" nd="1"/>
        <i x="4024" s="1" nd="1"/>
        <i x="1822" s="1" nd="1"/>
        <i x="1213" s="1" nd="1"/>
        <i x="1035" s="1" nd="1"/>
        <i x="2592" s="1" nd="1"/>
        <i x="2553" s="1" nd="1"/>
        <i x="1394" s="1" nd="1"/>
        <i x="4075" s="1" nd="1"/>
        <i x="1119" s="1" nd="1"/>
        <i x="391" s="1" nd="1"/>
        <i x="1878" s="1" nd="1"/>
        <i x="3192" s="1" nd="1"/>
        <i x="3349" s="1" nd="1"/>
        <i x="1921" s="1" nd="1"/>
        <i x="2666" s="1" nd="1"/>
        <i x="3568" s="1" nd="1"/>
        <i x="4225" s="1" nd="1"/>
        <i x="4013" s="1" nd="1"/>
        <i x="256" s="1" nd="1"/>
        <i x="1251" s="1" nd="1"/>
        <i x="2732" s="1" nd="1"/>
        <i x="4525" s="1" nd="1"/>
        <i x="1625" s="1" nd="1"/>
        <i x="1680" s="1" nd="1"/>
        <i x="2805" s="1" nd="1"/>
        <i x="2786" s="1" nd="1"/>
        <i x="671" s="1" nd="1"/>
        <i x="4339" s="1" nd="1"/>
        <i x="2273" s="1" nd="1"/>
        <i x="3497" s="1" nd="1"/>
        <i x="3928" s="1" nd="1"/>
        <i x="2859" s="1" nd="1"/>
        <i x="209" s="1" nd="1"/>
        <i x="3320" s="1" nd="1"/>
        <i x="4391" s="1" nd="1"/>
        <i x="162" s="1" nd="1"/>
        <i x="309" s="1" nd="1"/>
        <i x="1093" s="1" nd="1"/>
        <i x="2869" s="1" nd="1"/>
        <i x="4446" s="1" nd="1"/>
        <i x="2573" s="1" nd="1"/>
        <i x="545" s="1" nd="1"/>
        <i x="1261" s="1" nd="1"/>
        <i x="1478" s="1" nd="1"/>
        <i x="1609" s="1" nd="1"/>
        <i x="1893" s="1" nd="1"/>
        <i x="449" s="1" nd="1"/>
        <i x="898" s="1" nd="1"/>
        <i x="4520" s="1" nd="1"/>
        <i x="1463" s="1" nd="1"/>
        <i x="1560" s="1" nd="1"/>
        <i x="4290" s="1" nd="1"/>
        <i x="2645" s="1" nd="1"/>
        <i x="1150" s="1" nd="1"/>
        <i x="560" s="1" nd="1"/>
        <i x="3615" s="1" nd="1"/>
        <i x="383" s="1" nd="1"/>
        <i x="1620" s="1" nd="1"/>
        <i x="2953" s="1" nd="1"/>
        <i x="3118" s="1" nd="1"/>
        <i x="1347" s="1" nd="1"/>
        <i x="1477" s="1" nd="1"/>
        <i x="107" s="1" nd="1"/>
        <i x="1185" s="1" nd="1"/>
        <i x="1681" s="1" nd="1"/>
        <i x="1303" s="1" nd="1"/>
        <i x="3175" s="1" nd="1"/>
        <i x="4210" s="1" nd="1"/>
        <i x="696" s="1" nd="1"/>
        <i x="1081" s="1" nd="1"/>
        <i x="1745" s="1" nd="1"/>
        <i x="3241" s="1" nd="1"/>
        <i x="1467" s="1" nd="1"/>
        <i x="524" s="1" nd="1"/>
        <i x="2572" s="1" nd="1"/>
        <i x="222" s="1" nd="1"/>
        <i x="909" s="1" nd="1"/>
        <i x="3220" s="1" nd="1"/>
        <i x="1801" s="1" nd="1"/>
        <i x="2744" s="1" nd="1"/>
        <i x="3350" s="1" nd="1"/>
        <i x="3296" s="1" nd="1"/>
        <i x="1294" s="1" nd="1"/>
        <i x="291" s="1" nd="1"/>
        <i x="2121" s="1" nd="1"/>
        <i x="2571" s="1" nd="1"/>
        <i x="3964" s="1" nd="1"/>
        <i x="1627" s="1" nd="1"/>
        <i x="114" s="1" nd="1"/>
        <i x="650" s="1" nd="1"/>
        <i x="348" s="1" nd="1"/>
        <i x="509" s="1" nd="1"/>
        <i x="1927" s="1" nd="1"/>
        <i x="2654" s="1" nd="1"/>
        <i x="1334" s="1" nd="1"/>
        <i x="778" s="1" nd="1"/>
        <i x="3430" s="1" nd="1"/>
        <i x="2503" s="1" nd="1"/>
        <i x="423" s="1" nd="1"/>
        <i x="2029" s="1" nd="1"/>
        <i x="844" s="1" nd="1"/>
        <i x="1980" s="1" nd="1"/>
        <i x="3714" s="1" nd="1"/>
        <i x="1810" s="1" nd="1"/>
        <i x="863" s="1" nd="1"/>
        <i x="2875" s="1" nd="1"/>
        <i x="1502" s="1" nd="1"/>
        <i x="3566" s="1" nd="1"/>
        <i x="243" s="1" nd="1"/>
        <i x="554" s="1" nd="1"/>
        <i x="2967" s="1" nd="1"/>
        <i x="553" s="1" nd="1"/>
        <i x="2105" s="1" nd="1"/>
        <i x="3628" s="1" nd="1"/>
        <i x="933" s="1" nd="1"/>
        <i x="406" s="1" nd="1"/>
        <i x="2742" s="1" nd="1"/>
        <i x="1114" s="1" nd="1"/>
        <i x="3659" s="1" nd="1"/>
        <i x="3688" s="1" nd="1"/>
        <i x="1152" s="1" nd="1"/>
        <i x="2529" s="1" nd="1"/>
        <i x="684" s="1" nd="1"/>
        <i x="1973" s="1" nd="1"/>
        <i x="995" s="1" nd="1"/>
        <i x="2238" s="1" nd="1"/>
        <i x="2368" s="1" nd="1"/>
        <i x="4405" s="1" nd="1"/>
        <i x="3741" s="1" nd="1"/>
        <i x="3136" s="1" nd="1"/>
        <i x="2028" s="1" nd="1"/>
        <i x="748" s="1" nd="1"/>
        <i x="512" s="1" nd="1"/>
        <i x="4464" s="1" nd="1"/>
        <i x="818" s="1" nd="1"/>
        <i x="3347" s="1" nd="1"/>
        <i x="2366" s="1" nd="1"/>
        <i x="3540" s="1" nd="1"/>
        <i x="3197" s="1" nd="1"/>
        <i x="568" s="1" nd="1"/>
        <i x="3871" s="1" nd="1"/>
        <i x="1471" s="1" nd="1"/>
        <i x="1930" s="1" nd="1"/>
        <i x="2637" s="1" nd="1"/>
        <i x="619" s="1" nd="1"/>
        <i x="1675" s="1" nd="1"/>
        <i x="3922" s="1" nd="1"/>
        <i x="2245" s="1" nd="1"/>
        <i x="3317" s="1" nd="1"/>
        <i x="90" s="1" nd="1"/>
        <i x="1631" s="1" nd="1"/>
        <i x="1072" s="1" nd="1"/>
        <i x="3857" s="1" nd="1"/>
        <i x="1554" s="1" nd="1"/>
        <i x="3915" s="1" nd="1"/>
        <i x="1784" s="1" nd="1"/>
        <i x="3028" s="1" nd="1"/>
        <i x="45" s="1" nd="1"/>
        <i x="3787" s="1" nd="1"/>
        <i x="816" s="1" nd="1"/>
        <i x="4496" s="1" nd="1"/>
        <i x="189" s="1" nd="1"/>
        <i x="2723" s="1" nd="1"/>
        <i x="1844" s="1" nd="1"/>
        <i x="102" s="1" nd="1"/>
        <i x="1259" s="1" nd="1"/>
        <i x="1092" s="1" nd="1"/>
        <i x="104" s="1" nd="1"/>
        <i x="1677" s="1" nd="1"/>
        <i x="1579" s="1" nd="1"/>
        <i x="3428" s="1" nd="1"/>
        <i x="3170" s="1" nd="1"/>
        <i x="318" s="1" nd="1"/>
        <i x="4192" s="1" nd="1"/>
        <i x="95" s="1" nd="1"/>
        <i x="166" s="1" nd="1"/>
        <i x="983" s="1" nd="1"/>
        <i x="1641" s="1" nd="1"/>
        <i x="1742" s="1" nd="1"/>
        <i x="1816" s="1" nd="1"/>
        <i x="155" s="1" nd="1"/>
        <i x="283" s="1" nd="1"/>
        <i x="3471" s="1" nd="1"/>
        <i x="3712" s="1" nd="1"/>
        <i x="1798" s="1" nd="1"/>
        <i x="34" s="1" nd="1"/>
        <i x="3295" s="1" nd="1"/>
        <i x="284" s="1" nd="1"/>
        <i x="327" s="1" nd="1"/>
        <i x="4154" s="1" nd="1"/>
        <i x="1732" s="1" nd="1"/>
        <i x="1863" s="1" nd="1"/>
        <i x="4021" s="1" nd="1"/>
        <i x="3360" s="1" nd="1"/>
        <i x="1740" s="1" nd="1"/>
        <i x="342" s="1" nd="1"/>
        <i x="417" s="1" nd="1"/>
        <i x="3297" s="1" nd="1"/>
        <i x="4407" s="1" nd="1"/>
        <i x="3425" s="1" nd="1"/>
        <i x="3621" s="1" nd="1"/>
        <i x="2135" s="1" nd="1"/>
        <i x="3153" s="1" nd="1"/>
        <i x="416" s="1" nd="1"/>
        <i x="1975" s="1" nd="1"/>
        <i x="3107" s="1" nd="1"/>
        <i x="3500" s="1" nd="1"/>
        <i x="2371" s="1" nd="1"/>
        <i x="274" s="1" nd="1"/>
        <i x="486" s="1" nd="1"/>
        <i x="4212" s="1" nd="1"/>
        <i x="1319" s="1" nd="1"/>
        <i x="2395" s="1" nd="1"/>
        <i x="2569" s="1" nd="1"/>
        <i x="582" s="1" nd="1"/>
        <i x="1499" s="1" nd="1"/>
        <i x="550" s="1" nd="1"/>
        <i x="4514" s="1" nd="1"/>
        <i x="4223" s="1" nd="1"/>
        <i x="2102" s="1" nd="1"/>
        <i x="689" s="1" nd="1"/>
        <i x="3623" s="1" nd="1"/>
        <i x="613" s="1" nd="1"/>
        <i x="3044" s="1" nd="1"/>
        <i x="2164" s="1" nd="1"/>
        <i x="2772" s="1" nd="1"/>
        <i x="1401" s="1" nd="1"/>
        <i x="546" s="1" nd="1"/>
        <i x="1116" s="1" nd="1"/>
        <i x="2236" s="1" nd="1"/>
        <i x="2086" s="1" nd="1"/>
        <i x="4092" s="1" nd="1"/>
        <i x="3738" s="1" nd="1"/>
        <i x="487" s="1" nd="1"/>
        <i x="744" s="1" nd="1"/>
        <i x="867" s="1" nd="1"/>
        <i x="1068" s="1" nd="1"/>
        <i x="2287" s="1" nd="1"/>
        <i x="3648" s="1" nd="1"/>
        <i x="3420" s="1" nd="1"/>
        <i x="3806" s="1" nd="1"/>
        <i x="1486" s="1" nd="1"/>
        <i x="404" s="1" nd="1"/>
        <i x="982" s="1" nd="1"/>
        <i x="2465" s="1" nd="1"/>
        <i x="871" s="1" nd="1"/>
        <i x="4208" s="1" nd="1"/>
        <i x="98" s="1" nd="1"/>
        <i x="2421" s="1" nd="1"/>
        <i x="1367" s="1" nd="1"/>
        <i x="3893" s="1" nd="1"/>
        <i x="3935" s="1" nd="1"/>
        <i x="2394" s="1" nd="1"/>
        <i x="926" s="1" nd="1"/>
        <i x="3618" s="1" nd="1"/>
        <i x="4404" s="1" nd="1"/>
        <i x="2478" s="1" nd="1"/>
        <i x="4236" s="1" nd="1"/>
        <i x="2729" s="1" nd="1"/>
        <i x="1017" s="1" nd="1"/>
        <i x="1757" s="1" nd="1"/>
        <i x="2533" s="1" nd="1"/>
        <i x="3775" s="1" nd="1"/>
        <i x="4054" s="1" nd="1"/>
        <i x="2459" s="1" nd="1"/>
        <i x="1871" s="1" nd="1"/>
        <i x="1088" s="1" nd="1"/>
        <i x="2599" s="1" nd="1"/>
        <i x="2491" s="1" nd="1"/>
        <i x="2312" s="1" nd="1"/>
        <i x="2141" s="1" nd="1"/>
        <i x="2562" s="1" nd="1"/>
        <i x="653" s="1" nd="1"/>
        <i x="3293" s="1" nd="1"/>
        <i x="2648" s="1" nd="1"/>
        <i x="4320" s="1" nd="1"/>
        <i x="4198" s="1" nd="1"/>
        <i x="2257" s="1" nd="1"/>
        <i x="728" s="1" nd="1"/>
        <i x="1225" s="1" nd="1"/>
        <i x="3881" s="1" nd="1"/>
        <i x="2705" s="1" nd="1"/>
        <i x="2872" s="1" nd="1"/>
        <i x="2519" s="1" nd="1"/>
        <i x="434" s="1" nd="1"/>
        <i x="4251" s="1" nd="1"/>
        <i x="2072" s="1" nd="1"/>
        <i x="2769" s="1" nd="1"/>
        <i x="1013" s="1" nd="1"/>
        <i x="1777" s="1" nd="1"/>
        <i x="1686" s="1" nd="1"/>
        <i x="758" s="1" nd="1"/>
        <i x="1338" s="1" nd="1"/>
        <i x="3375" s="1" nd="1"/>
        <i x="2397" s="1" nd="1"/>
        <i x="2835" s="1" nd="1"/>
        <i x="3460" s="1" nd="1"/>
        <i x="4374" s="1" nd="1"/>
        <i x="1474" s="1" nd="1"/>
        <i x="3705" s="1" nd="1"/>
        <i x="1387" s="1" nd="1"/>
        <i x="134" s="1" nd="1"/>
        <i x="2989" s="1" nd="1"/>
        <i x="2174" s="1" nd="1"/>
        <i x="2759" s="1" nd="1"/>
        <i x="2393" s="1" nd="1"/>
        <i x="313" s="1" nd="1"/>
        <i x="1156" s="1" nd="1"/>
        <i x="2944" s="1" nd="1"/>
        <i x="2995" s="1" nd="1"/>
        <i x="4073" s="1" nd="1"/>
        <i x="1163" s="1" nd="1"/>
        <i x="4490" s="1" nd="1"/>
        <i x="4153" s="1" nd="1"/>
        <i x="1530" s="1" nd="1"/>
        <i x="3573" s="1" nd="1"/>
        <i x="3238" s="1" nd="1"/>
        <i x="3005" s="1" nd="1"/>
        <i x="3155" s="1" nd="1"/>
        <i x="1769" s="1" nd="1"/>
        <i x="3085" s="1" nd="1"/>
        <i x="1885" s="1" nd="1"/>
        <i x="4038" s="1" nd="1"/>
        <i x="79" s="1" nd="1"/>
        <i x="3040" s="1" nd="1"/>
        <i x="3388" s="1" nd="1"/>
        <i x="2139" s="1" nd="1"/>
        <i x="3271" s="1" nd="1"/>
        <i x="862" s="1" nd="1"/>
        <i x="1659" s="1" nd="1"/>
        <i x="3070" s="1" nd="1"/>
        <i x="4340" s="1" nd="1"/>
        <i x="592" s="1" nd="1"/>
        <i x="3391" s="1" nd="1"/>
        <i x="2087" s="1" nd="1"/>
        <i x="1941" s="1" nd="1"/>
        <i x="3526" s="1" nd="1"/>
        <i x="2476" s="1" nd="1"/>
        <i x="2746" s="1" nd="1"/>
        <i x="4076" s="1" nd="1"/>
        <i x="3448" s="1" nd="1"/>
        <i x="3667" s="1" nd="1"/>
        <i x="1720" s="1" nd="1"/>
        <i x="519" s="1" nd="1"/>
        <i x="4311" s="1" nd="1"/>
        <i x="443" s="1" nd="1"/>
        <i x="904" s="1" nd="1"/>
        <i x="3452" s="1" nd="1"/>
        <i x="2277" s="1" nd="1"/>
        <i x="204" s="1" nd="1"/>
        <i x="3815" s="1" nd="1"/>
        <i x="1788" s="1" nd="1"/>
        <i x="1230" s="1" nd="1"/>
        <i x="129" s="1" nd="1"/>
        <i x="1779" s="1" nd="1"/>
        <i x="3619" s="1" nd="1"/>
        <i x="2428" s="1" nd="1"/>
        <i x="3908" s="1" nd="1"/>
        <i x="3459" s="1" nd="1"/>
        <i x="3274" s="1" nd="1"/>
        <i x="20" s="1" nd="1"/>
        <i x="957" s="1" nd="1"/>
        <i x="1553" s="1" nd="1"/>
        <i x="2974" s="1" nd="1"/>
        <i x="3585" s="1" nd="1"/>
        <i x="3252" s="1" nd="1"/>
        <i x="2331" s="1" nd="1"/>
        <i x="1490" s="1" nd="1"/>
        <i x="1848" s="1" nd="1"/>
        <i x="3837" s="1" nd="1"/>
        <i x="571" s="1" nd="1"/>
        <i x="680" s="1" nd="1"/>
        <i x="2126" s="1" nd="1"/>
        <i x="3715" s="1" nd="1"/>
        <i x="480" s="1" nd="1"/>
        <i x="240" s="1" nd="1"/>
        <i x="4528" s="1" nd="1"/>
        <i x="3770" s="1" nd="1"/>
        <i x="960" s="1" nd="1"/>
        <i x="1904" s="1" nd="1"/>
        <i x="3732" s="1" nd="1"/>
        <i x="2383" s="1" nd="1"/>
        <i x="639" s="1" nd="1"/>
        <i x="2437" s="1" nd="1"/>
        <i x="4118" s="1" nd="1"/>
        <i x="520" s="1" nd="1"/>
        <i x="3404" s="1" nd="1"/>
        <i x="1557" s="1" nd="1"/>
        <i x="418" s="1" nd="1"/>
        <i x="2007" s="1" nd="1"/>
        <i x="2703" s="1" nd="1"/>
        <i x="2185" s="1" nd="1"/>
        <i x="3710" s="1" nd="1"/>
        <i x="389" s="1" nd="1"/>
        <i x="4237" s="1" nd="1"/>
        <i x="3807" s="1" nd="1"/>
        <i x="2343" s="1" nd="1"/>
        <i x="533" s="1" nd="1"/>
        <i x="3604" s="1" nd="1"/>
        <i x="703" s="1" nd="1"/>
        <i x="1180" s="1" nd="1"/>
        <i x="3477" s="1" nd="1"/>
        <i x="1919" s="1" nd="1"/>
        <i x="2251" s="1" nd="1"/>
        <i x="4419" s="1" nd="1"/>
        <i x="885" s="1" nd="1"/>
        <i x="4173" s="1" nd="1"/>
        <i x="467" s="1" nd="1"/>
        <i x="3068" s="1" nd="1"/>
        <i x="1605" s="1" nd="1"/>
        <i x="3756" s="1" nd="1"/>
        <i x="1468" s="1" nd="1"/>
        <i x="4459" s="1" nd="1"/>
        <i x="2409" s="1" nd="1"/>
        <i x="3447" s="1" nd="1"/>
        <i x="584" s="1" nd="1"/>
        <i x="3613" s="1" nd="1"/>
        <i x="4475" s="1" nd="1"/>
        <i x="4098" s="1" nd="1"/>
        <i x="878" s="1" nd="1"/>
        <i x="2385" s="1" nd="1"/>
        <i x="1283" s="1" nd="1"/>
        <i x="3637" s="1" nd="1"/>
        <i x="1938" s="1" nd="1"/>
        <i x="2252" s="1" nd="1"/>
        <i x="3289" s="1" nd="1"/>
        <i x="1650" s="1" nd="1"/>
        <i x="3822" s="1" nd="1"/>
        <i x="16" s="1" nd="1"/>
        <i x="637" s="1" nd="1"/>
        <i x="1670" s="1" nd="1"/>
        <i x="594" s="1" nd="1"/>
        <i x="4352" s="1" nd="1"/>
        <i x="4254" s="1" nd="1"/>
        <i x="3888" s="1" nd="1"/>
        <i x="3453" s="1" nd="1"/>
        <i x="599" s="1" nd="1"/>
        <i x="2001" s="1" nd="1"/>
        <i x="2641" s="1" nd="1"/>
        <i x="1636" s="1" nd="1"/>
        <i x="4481" s="1" nd="1"/>
        <i x="3721" s="1" nd="1"/>
        <i x="893" s="1" nd="1"/>
        <i x="3680" s="1" nd="1"/>
        <i x="3340" s="1" nd="1"/>
        <i x="1086" s="1" nd="1"/>
        <i x="1794" s="1" nd="1"/>
        <i x="1222" s="1" nd="1"/>
        <i x="161" s="1" nd="1"/>
        <i x="2714" s="1" nd="1"/>
        <i x="3954" s="1" nd="1"/>
        <i x="1001" s="1" nd="1"/>
        <i x="396" s="1" nd="1"/>
        <i x="2698" s="1" nd="1"/>
        <i x="2891" s="1" nd="1"/>
        <i x="956" s="1" nd="1"/>
        <i x="2884" s="1" nd="1"/>
        <i x="1981" s="1" nd="1"/>
        <i x="4249" s="1" nd="1"/>
        <i x="1804" s="1" nd="1"/>
        <i x="2812" s="1" nd="1"/>
        <i x="183" s="1" nd="1"/>
        <i x="3089" s="1" nd="1"/>
        <i x="328" s="1" nd="1"/>
        <i x="1237" s="1" nd="1"/>
        <i x="4022" s="1" nd="1"/>
        <i x="3018" s="1" nd="1"/>
        <i x="2764" s="1" nd="1"/>
        <i x="2310" s="1" nd="1"/>
        <i x="1034" s="1" nd="1"/>
        <i x="2990" s="1" nd="1"/>
        <i x="790" s="1" nd="1"/>
        <i x="4005" s="1" nd="1"/>
        <i x="3744" s="1" nd="1"/>
        <i x="4313" s="1" nd="1"/>
        <i x="3906" s="1" nd="1"/>
        <i x="1608" s="1" nd="1"/>
        <i x="2551" s="1" nd="1"/>
        <i x="2344" s="1" nd="1"/>
        <i x="257" s="1" nd="1"/>
        <i x="2482" s="1" nd="1"/>
        <i x="3446" s="1" nd="1"/>
        <i x="3861" s="1" nd="1"/>
        <i x="48" s="1" nd="1"/>
        <i x="1791" s="1" nd="1"/>
        <i x="2831" s="1" nd="1"/>
        <i x="4260" s="1" nd="1"/>
        <i x="1115" s="1" nd="1"/>
        <i x="3792" s="1" nd="1"/>
        <i x="244" s="1" nd="1"/>
        <i x="3554" s="1" nd="1"/>
        <i x="4373" s="1" nd="1"/>
        <i x="364" s="1" nd="1"/>
        <i x="740" s="1" nd="1"/>
        <i x="4289" s="1" nd="1"/>
        <i x="2615" s="1" nd="1"/>
        <i x="1655" s="1" nd="1"/>
        <i x="1385" s="1" nd="1"/>
        <i x="1781" s="1" nd="1"/>
        <i x="2674" s="1" nd="1"/>
        <i x="437" s="1" nd="1"/>
        <i x="2134" s="1" nd="1"/>
        <i x="1866" s="1" nd="1"/>
        <i x="299" s="1" nd="1"/>
        <i x="3054" s="1" nd="1"/>
        <i x="1171" s="1" nd="1"/>
        <i x="2957" s="1" nd="1"/>
        <i x="3533" s="1" nd="1"/>
        <i x="675" s="1" nd="1"/>
        <i x="4344" s="1" nd="1"/>
        <i x="4346" s="1" nd="1"/>
        <i x="4423" s="1" nd="1"/>
        <i x="1884" s="1" nd="1"/>
        <i x="1270" s="1" nd="1"/>
        <i x="298" s="1" nd="1"/>
        <i x="2665" s="1" nd="1"/>
        <i x="1344" s="1" nd="1"/>
        <i x="1446" s="1" nd="1"/>
        <i x="1713" s="1" nd="1"/>
        <i x="3569" s="1" nd="1"/>
        <i x="4220" s="1" nd="1"/>
        <i x="1704" s="1" nd="1"/>
        <i x="2376" s="1" nd="1"/>
        <i x="606" s="1" nd="1"/>
        <i x="1243" s="1" nd="1"/>
        <i x="3002" s="1" nd="1"/>
        <i x="4486" s="1" nd="1"/>
        <i x="2730" s="1" nd="1"/>
        <i x="2423" s="1" nd="1"/>
        <i x="3994" s="1" nd="1"/>
        <i x="3862" s="1" nd="1"/>
        <i x="65" s="1" nd="1"/>
        <i x="1526" s="1" nd="1"/>
        <i x="4383" s="1" nd="1"/>
        <i x="4274" s="1" nd="1"/>
        <i x="1660" s="1" nd="1"/>
        <i x="1097" s="1" nd="1"/>
        <i x="3003" s="1" nd="1"/>
        <i x="1121" s="1" nd="1"/>
        <i x="617" s="1" nd="1"/>
        <i x="4401" s="1" nd="1"/>
        <i x="3924" s="1" nd="1"/>
        <i x="1614" s="1" nd="1"/>
        <i x="2896" s="1" nd="1"/>
        <i x="3655" s="1" nd="1"/>
        <i x="4347" s="1" nd="1"/>
        <i x="2785" s="1" nd="1"/>
        <i x="1592" s="1" nd="1"/>
        <i x="1448" s="1" nd="1"/>
        <i x="1021" s="1" nd="1"/>
        <i x="151" s="1" nd="1"/>
        <i x="3157" s="1" nd="1"/>
        <i x="4335" s="1" nd="1"/>
        <i x="3247" s="1" nd="1"/>
        <i x="3071" s="1" nd="1"/>
        <i x="4421" s="1" nd="1"/>
        <i x="3079" s="1" nd="1"/>
        <i x="2848" s="1" nd="1"/>
        <i x="329" s="1" nd="1"/>
        <i x="4165" s="1" nd="1"/>
        <i x="1472" s="1" nd="1"/>
        <i x="2233" s="1" nd="1"/>
        <i x="62" s="1" nd="1"/>
        <i x="1652" s="1" nd="1"/>
        <i x="4389" s="1" nd="1"/>
        <i x="4279" s="1" nd="1"/>
        <i x="780" s="1" nd="1"/>
        <i x="3151" s="1" nd="1"/>
        <i x="382" s="1" nd="1"/>
        <i x="1105" s="1" nd="1"/>
        <i x="1409" s="1" nd="1"/>
        <i x="4471" s="1" nd="1"/>
        <i x="1607" s="1" nd="1"/>
        <i x="3640" s="1" nd="1"/>
        <i x="148" s="1" nd="1"/>
        <i x="1404" s="1" nd="1"/>
        <i x="2316" s="1" nd="1"/>
        <i x="2518" s="1" nd="1"/>
        <i x="3992" s="1" nd="1"/>
        <i x="1332" s="1" nd="1"/>
        <i x="101" s="1" nd="1"/>
        <i x="4444" s="1" nd="1"/>
        <i x="2334" s="1" nd="1"/>
        <i x="2827" s="1" nd="1"/>
        <i x="3152" s="1" nd="1"/>
        <i x="3216" s="1" nd="1"/>
        <i x="3797" s="1" nd="1"/>
        <i x="3629" s="1" nd="1"/>
        <i x="1475" s="1" nd="1"/>
        <i x="2982" s="1" nd="1"/>
        <i x="1351" s="1" nd="1"/>
        <i x="202" s="1" nd="1"/>
        <i x="4533" s="1" nd="1"/>
        <i x="2963" s="1" nd="1"/>
        <i x="3219" s="1" nd="1"/>
        <i x="3260" s="1" nd="1"/>
        <i x="3004" s="1" nd="1"/>
        <i x="4437" s="1" nd="1"/>
        <i x="3119" s="1" nd="1"/>
        <i x="3082" s="1" nd="1"/>
        <i x="4377" s="1" nd="1"/>
        <i x="3270" s="1" nd="1"/>
        <i x="1809" s="1" nd="1"/>
        <i x="1555" s="1" nd="1"/>
        <i x="3210" s="1" nd="1"/>
        <i x="1600" s="1" nd="1"/>
        <i x="253" s="1" nd="1"/>
        <i x="865" s="1" nd="1"/>
        <i x="2547" s="1" nd="1"/>
        <i x="4275" s="1" nd="1"/>
        <i x="3029" s="1" nd="1"/>
        <i x="4280" s="1" nd="1"/>
        <i x="3032" s="1" nd="1"/>
        <i x="1845" s="1" nd="1"/>
        <i x="1969" s="1" nd="1"/>
        <i x="4057" s="1" nd="1"/>
        <i x="2199" s="1" nd="1"/>
        <i x="4308" s="1" nd="1"/>
        <i x="3620" s="1" nd="1"/>
        <i x="1933" s="1" nd="1"/>
        <i x="1750" s="1" nd="1"/>
        <i x="3061" s="1" nd="1"/>
        <i x="1419" s="1" nd="1"/>
        <i x="2189" s="1" nd="1"/>
        <i x="840" s="1" nd="1"/>
        <i x="324" s="1" nd="1"/>
        <i x="1851" s="1" nd="1"/>
        <i x="455" s="1" nd="1"/>
        <i x="1337" s="1" nd="1"/>
        <i x="3093" s="1" nd="1"/>
        <i x="3113" s="1" nd="1"/>
        <i x="2752" s="1" nd="1"/>
        <i x="50" s="1" nd="1"/>
        <i x="1899" s="1" nd="1"/>
        <i x="2186" s="1" nd="1"/>
        <i x="105" s="1" nd="1"/>
        <i x="136" s="1" nd="1"/>
        <i x="4108" s="1" nd="1"/>
        <i x="2038" s="1" nd="1"/>
        <i x="80" s="1" nd="1"/>
        <i x="1730" s="1" nd="1"/>
        <i x="1593" s="1" nd="1"/>
        <i x="384" s="1" nd="1"/>
        <i x="984" s="1" nd="1"/>
        <i x="932" s="1" nd="1"/>
        <i x="2246" s="1" nd="1"/>
        <i x="3173" s="1" nd="1"/>
        <i x="1231" s="1" nd="1"/>
        <i x="2123" s="1" nd="1"/>
        <i x="1957" s="1" nd="1"/>
        <i x="2484" s="1" nd="1"/>
        <i x="3059" s="1" nd="1"/>
        <i x="169" s="1" nd="1"/>
        <i x="1676" s="1" nd="1"/>
        <i x="980" s="1" nd="1"/>
        <i x="4527" s="1" nd="1"/>
        <i x="992" s="1" nd="1"/>
        <i x="1525" s="1" nd="1"/>
        <i x="3472" s="1" nd="1"/>
        <i x="2921" s="1" nd="1"/>
        <i x="4171" s="1" nd="1"/>
        <i x="2054" s="1" nd="1"/>
        <i x="3239" s="1" nd="1"/>
        <i x="46" s="1" nd="1"/>
        <i x="2008" s="1" nd="1"/>
        <i x="1002" s="1" nd="1"/>
        <i x="974" s="1" nd="1"/>
        <i x="1582" s="1" nd="1"/>
        <i x="221" s="1" nd="1"/>
        <i x="3664" s="1" nd="1"/>
        <i x="3012" s="1" nd="1"/>
        <i x="1870" s="1" nd="1"/>
        <i x="353" s="1" nd="1"/>
        <i x="3541" s="1" nd="1"/>
        <i x="500" s="1" nd="1"/>
        <i x="2367" s="1" nd="1"/>
        <i x="159" s="1" nd="1"/>
        <i x="2507" s="1" nd="1"/>
        <i x="631" s="1" nd="1"/>
        <i x="1591" s="1" nd="1"/>
        <i x="590" s="1" nd="1"/>
        <i x="4229" s="1" nd="1"/>
        <i x="959" s="1" nd="1"/>
        <i x="1061" s="1" nd="1"/>
        <i x="343" s="1" nd="1"/>
        <i x="3716" s="1" nd="1"/>
        <i x="1067" s="1" nd="1"/>
        <i x="563" s="1" nd="1"/>
        <i x="3047" s="1" nd="1"/>
        <i x="3982" s="1" nd="1"/>
        <i x="211" s="1" nd="1"/>
        <i x="2445" s="1" nd="1"/>
        <i x="1252" s="1" nd="1"/>
        <i x="2412" s="1" nd="1"/>
        <i x="1125" s="1" nd="1"/>
        <i x="41" s="1" nd="1"/>
        <i x="3786" s="1" nd="1"/>
        <i x="4047" s="1" nd="1"/>
        <i x="3739" s="1" nd="1"/>
        <i x="3009" s="1" nd="1"/>
        <i x="345" s="1" nd="1"/>
        <i x="2387" s="1" nd="1"/>
        <i x="2626" s="1" nd="1"/>
        <i x="3666" s="1" nd="1"/>
        <i x="2182" s="1" nd="1"/>
        <i x="1925" s="1" nd="1"/>
        <i x="220" s="1" nd="1"/>
        <i x="2777" s="1" nd="1"/>
        <i x="1585" s="1" nd="1"/>
        <i x="659" s="1" nd="1"/>
        <i x="2346" s="1" nd="1"/>
        <i x="2461" s="1" nd="1"/>
        <i x="1521" s="1" nd="1"/>
        <i x="2807" s="1" nd="1"/>
        <i x="2045" s="1" nd="1"/>
        <i x="2537" s="1" nd="1"/>
        <i x="3597" s="1" nd="1"/>
        <i x="3796" s="1" nd="1"/>
        <i x="451" s="1" nd="1"/>
        <i x="3575" s="1" nd="1"/>
        <i x="618" s="1" nd="1"/>
        <i x="4014" s="1" nd="1"/>
        <i x="3746" s="1" nd="1"/>
        <i x="3889" s="1" nd="1"/>
        <i x="2747" s="1" nd="1"/>
        <i x="556" s="1" nd="1"/>
        <i x="2274" s="1" nd="1"/>
        <i x="4467" s="1" nd="1"/>
        <i x="1843" s="1" nd="1"/>
        <i x="497" s="1" nd="1"/>
        <i x="3561" s="1" nd="1"/>
        <i x="2505" s="1" nd="1"/>
        <i x="4296" s="1" nd="1"/>
        <i x="292" s="1" nd="1"/>
        <i x="3843" s="1" nd="1"/>
        <i x="791" s="1" nd="1"/>
        <i x="3204" s="1" nd="1"/>
        <i x="4070" s="1" nd="1"/>
        <i x="100" s="1" nd="1"/>
        <i x="3631" s="1" nd="1"/>
        <i x="2338" s="1" nd="1"/>
        <i x="1123" s="1" nd="1"/>
        <i x="668" s="1" nd="1"/>
        <i x="3516" s="1" nd="1"/>
        <i x="1111" s="1" nd="1"/>
        <i x="1009" s="1" nd="1"/>
        <i x="265" s="1" nd="1"/>
        <i x="3844" s="1" nd="1"/>
        <i x="2037" s="1" nd="1"/>
        <i x="2823" s="1" nd="1"/>
        <i x="3866" s="1" nd="1"/>
        <i x="685" s="1" nd="1"/>
        <i x="3139" s="1" nd="1"/>
        <i x="854" s="1" nd="1"/>
        <i x="4323" s="1" nd="1"/>
        <i x="4133" s="1" nd="1"/>
        <i x="3898" s="1" nd="1"/>
        <i x="552" s="1" nd="1"/>
        <i x="2396" s="1" nd="1"/>
        <i x="1747" s="1" nd="1"/>
        <i x="2000" s="1" nd="1"/>
        <i x="1166" s="1" nd="1"/>
        <i x="2810" s="1" nd="1"/>
        <i x="724" s="1" nd="1"/>
        <i x="774" s="1" nd="1"/>
        <i x="3911" s="1" nd="1"/>
        <i x="3869" s="1" nd="1"/>
        <i x="3272" s="1" nd="1"/>
        <i x="3066" s="1" nd="1"/>
        <i x="2661" s="1" nd="1"/>
        <i x="899" s="1" nd="1"/>
        <i x="535" s="1" nd="1"/>
        <i x="2081" s="1" nd="1"/>
        <i x="2089" s="1" nd="1"/>
        <i x="1905" s="1" nd="1"/>
        <i x="3087" s="1" nd="1"/>
        <i x="1999" s="1" nd="1"/>
        <i x="4216" s="1" nd="1"/>
        <i x="2095" s="1" nd="1"/>
        <i x="2928" s="1" nd="1"/>
        <i x="4431" s="1" nd="1"/>
        <i x="2457" s="1" nd="1"/>
        <i x="2309" s="1" nd="1"/>
        <i x="3426" s="1" nd="1"/>
        <i x="1238" s="1" nd="1"/>
        <i x="3544" s="1" nd="1"/>
        <i x="2820" s="1" nd="1"/>
        <i x="3586" s="1" nd="1"/>
        <i x="3977" s="1" nd="1"/>
        <i x="1987" s="1" nd="1"/>
        <i x="2725" s="1" nd="1"/>
        <i x="775" s="1" nd="1"/>
        <i x="4238" s="1" nd="1"/>
        <i x="1701" s="1" nd="1"/>
        <i x="3970" s="1" nd="1"/>
        <i x="4204" s="1" nd="1"/>
        <i x="2436" s="1" nd="1"/>
        <i x="2597" s="1" nd="1"/>
        <i x="548" s="1" nd="1"/>
        <i x="2516" s="1" nd="1"/>
        <i x="3473" s="1" nd="1"/>
        <i x="1304" s="1" nd="1"/>
        <i x="340" s="1" nd="1"/>
        <i x="4040" s="1" nd="1"/>
        <i x="3489" s="1" nd="1"/>
        <i x="4477" s="1" nd="1"/>
        <i x="986" s="1" nd="1"/>
        <i x="2783" s="1" nd="1"/>
        <i x="362" s="1" nd="1"/>
        <i x="2079" s="1" nd="1"/>
        <i x="1062" s="1" nd="1"/>
        <i x="285" s="1" nd="1"/>
        <i x="1193" s="1" nd="1"/>
        <i x="58" s="1" nd="1"/>
        <i x="30" s="1" nd="1"/>
        <i x="3400" s="1" nd="1"/>
        <i x="1457" s="1" nd="1"/>
        <i x="1963" s="1" nd="1"/>
        <i x="1689" s="1" nd="1"/>
        <i x="2097" s="1" nd="1"/>
        <i x="1929" s="1" nd="1"/>
        <i x="4096" s="1" nd="1"/>
        <i x="1266" s="1" nd="1"/>
        <i x="1649" s="1" nd="1"/>
        <i x="2854" s="1" nd="1"/>
        <i x="2531" s="1" nd="1"/>
        <i x="3536" s="1" nd="1"/>
        <i x="2149" s="1" nd="1"/>
        <i x="1135" s="1" nd="1"/>
        <i x="1403" s="1" nd="1"/>
        <i x="3855" s="1" nd="1"/>
        <i x="4386" s="1" nd="1"/>
        <i x="331" s="1" nd="1"/>
        <i x="405" s="1" nd="1"/>
        <i x="1535" s="1" nd="1"/>
        <i x="2363" s="1" nd="1"/>
        <i x="3962" s="1" nd="1"/>
        <i x="4168" s="1" nd="1"/>
        <i x="1741" s="1" nd="1"/>
        <i x="1828" s="1" nd="1"/>
        <i x="2906" s="1" nd="1"/>
        <i x="3791" s="1" nd="1"/>
        <i x="1196" s="1" nd="1"/>
        <i x="1775" s="1" nd="1"/>
        <i x="372" s="1" nd="1"/>
        <i x="4440" s="1" nd="1"/>
        <i x="3039" s="1" nd="1"/>
        <i x="160" s="1" nd="1"/>
        <i x="2014" s="1" nd="1"/>
        <i x="2136" s="1" nd="1"/>
        <i x="2679" s="1" nd="1"/>
        <i x="516" s="1" nd="1"/>
        <i x="3589" s="1" nd="1"/>
        <i x="53" s="1" nd="1"/>
        <i x="3577" s="1" nd="1"/>
        <i x="1516" s="1" nd="1"/>
        <i x="785" s="1" nd="1"/>
        <i x="1110" s="1" nd="1"/>
        <i x="4253" s="1" nd="1"/>
        <i x="2960" s="1" nd="1"/>
        <i x="150" s="1" nd="1"/>
        <i x="1265" s="1" nd="1"/>
        <i x="4517" s="1" nd="1"/>
        <i x="261" s="1" nd="1"/>
        <i x="541" s="1" nd="1"/>
        <i x="2749" s="1" nd="1"/>
        <i x="3108" s="1" nd="1"/>
        <i x="1417" s="1" nd="1"/>
        <i x="216" s="1" nd="1"/>
        <i x="1551" s="1" nd="1"/>
        <i x="4197" s="1" nd="1"/>
        <i x="3184" s="1" nd="1"/>
        <i x="3874" s="1" nd="1"/>
        <i x="4163" s="1" nd="1"/>
        <i x="4454" s="1" nd="1"/>
        <i x="1170" s="1" nd="1"/>
        <i x="2068" s="1" nd="1"/>
        <i x="1026" s="1" nd="1"/>
        <i x="44" s="1" nd="1"/>
        <i x="576" s="1" nd="1"/>
        <i x="1841" s="1" nd="1"/>
        <i x="4114" s="1" nd="1"/>
        <i x="1618" s="1" nd="1"/>
        <i x="4161" s="1" nd="1"/>
        <i x="3571" s="1" nd="1"/>
        <i x="558" s="1" nd="1"/>
        <i x="4354" s="1" nd="1"/>
        <i x="3160" s="1" nd="1"/>
        <i x="3344" s="1" nd="1"/>
        <i x="1096" s="1" nd="1"/>
        <i x="3926" s="1" nd="1"/>
        <i x="2266" s="1" nd="1"/>
        <i x="3511" s="1" nd="1"/>
        <i x="4515" s="1" nd="1"/>
        <i x="3773" s="1" nd="1"/>
        <i x="38" s="1" nd="1"/>
        <i x="537" s="1" nd="1"/>
        <i x="3094" s="1" nd="1"/>
        <i x="3342" s="1" nd="1"/>
        <i x="3901" s="1" nd="1"/>
        <i x="3432" s="1" nd="1"/>
        <i x="4469" s="1" nd="1"/>
        <i x="2624" s="1" nd="1"/>
        <i x="2320" s="1" nd="1"/>
        <i x="2940" s="1" nd="1"/>
        <i x="1227" s="1" nd="1"/>
        <i x="3209" s="1" nd="1"/>
        <i x="3081" s="1" nd="1"/>
        <i x="4505" s="1" nd="1"/>
        <i x="193" s="1" nd="1"/>
        <i x="26" s="1" nd="1"/>
        <i x="2400" s="1" nd="1"/>
        <i x="1738" s="1" nd="1"/>
        <i x="1865" s="1" nd="1"/>
        <i x="4224" s="1" nd="1"/>
        <i x="3567" s="1" nd="1"/>
        <i x="145" s="1" nd="1"/>
        <i x="4466" s="1" nd="1"/>
        <i x="521" s="1" nd="1"/>
        <i x="3849" s="1" nd="1"/>
        <i x="1402" s="1" nd="1"/>
        <i x="3301" s="1" nd="1"/>
        <i x="3234" s="1" nd="1"/>
        <i x="729" s="1" nd="1"/>
        <i x="4435" s="1" nd="1"/>
        <i x="2737" s="1" nd="1"/>
        <i x="2520" s="1" nd="1"/>
        <i x="531" s="1" nd="1"/>
        <i x="1685" s="1" nd="1"/>
        <i x="913" s="1" nd="1"/>
        <i x="76" s="1" nd="1"/>
        <i x="2050" s="1" nd="1"/>
        <i x="2750" s="1" nd="1"/>
        <i x="2733" s="1" nd="1"/>
        <i x="4544" s="1" nd="1"/>
        <i x="1726" s="1" nd="1"/>
        <i x="4392" s="1" nd="1"/>
        <i x="346" s="1" nd="1"/>
        <i x="1300" s="1" nd="1"/>
        <i x="2059" s="1" nd="1"/>
        <i x="3218" s="1" nd="1"/>
        <i x="1571" s="1" nd="1"/>
        <i x="276" s="1" nd="1"/>
        <i x="1815" s="1" nd="1"/>
        <i x="1668" s="1" nd="1"/>
        <i x="2358" s="1" nd="1"/>
        <i x="1534" s="1" nd="1"/>
        <i x="2780" s="1" nd="1"/>
        <i x="996" s="1" nd="1"/>
        <i x="286" s="1" nd="1"/>
        <i x="3564" s="1" nd="1"/>
        <i x="68" s="1" nd="1"/>
        <i x="3748" s="1" nd="1"/>
        <i x="1799" s="1" nd="1"/>
        <i x="3357" s="1" nd="1"/>
        <i x="4148" s="1" nd="1"/>
        <i x="3091" s="1" nd="1"/>
        <i x="1637" s="1" nd="1"/>
        <i x="1131" s="1" nd="1"/>
        <i x="1094" s="1" nd="1"/>
        <i x="2865" s="1" nd="1"/>
        <i x="1522" s="1" nd="1"/>
        <i x="341" s="1" nd="1"/>
        <i x="4048" s="1" nd="1"/>
        <i x="2598" s="1" nd="1"/>
        <i x="1514" s="1" nd="1"/>
        <i x="1078" s="1" nd="1"/>
        <i x="3133" s="1" nd="1"/>
        <i x="760" s="1" nd="1"/>
        <i x="3729" s="1" nd="1"/>
        <i x="1315" s="1" nd="1"/>
        <i x="2839" s="1" nd="1"/>
        <i x="1359" s="1" nd="1"/>
        <i x="4470" s="1" nd="1"/>
        <i x="3424" s="1" nd="1"/>
        <i x="3605" s="1" nd="1"/>
        <i x="1697" s="1" nd="1"/>
        <i x="4209" s="1" nd="1"/>
        <i x="3457" s="1" nd="1"/>
        <i x="413" s="1" nd="1"/>
        <i x="693" s="1" nd="1"/>
        <i x="2398" s="1" nd="1"/>
        <i x="3199" s="1" nd="1"/>
        <i x="727" s="1" nd="1"/>
        <i x="1974" s="1" nd="1"/>
        <i x="1038" s="1" nd="1"/>
        <i x="3713" s="1" nd="1"/>
        <i x="281" s="1" nd="1"/>
        <i x="2885" s="1" nd="1"/>
        <i x="1758" s="1" nd="1"/>
        <i x="628" s="1" nd="1"/>
        <i x="483" s="1" nd="1"/>
        <i x="1075" s="1" nd="1"/>
        <i x="3776" s="1" nd="1"/>
        <i x="3820" s="1" nd="1"/>
        <i x="414" s="1" nd="1"/>
        <i x="2033" s="1" nd="1"/>
        <i x="1572" s="1" nd="1"/>
        <i x="786" s="1" nd="1"/>
        <i x="210" s="1" nd="1"/>
        <i x="1414" s="1" nd="1"/>
        <i x="3421" s="1" nd="1"/>
        <i x="886" s="1" nd="1"/>
        <i x="1120" s="1" nd="1"/>
        <i x="2566" s="1" nd="1"/>
        <i x="181" s="1" nd="1"/>
        <i x="2852" s="1" nd="1"/>
        <i x="3135" s="1" nd="1"/>
        <i x="2439" s="1" nd="1"/>
        <i x="4416" s="1" nd="1"/>
        <i x="3838" s="1" nd="1"/>
        <i x="2311" s="1" nd="1"/>
        <i x="2919" s="1" nd="1"/>
        <i x="2281" s="1" nd="1"/>
        <i x="2099" s="1" nd="1"/>
        <i x="4058" s="1" nd="1"/>
        <i x="4307" s="1" nd="1"/>
        <i x="4191" s="1" nd="1"/>
        <i x="852" s="1" nd="1"/>
        <i x="2429" s="1" nd="1"/>
        <i x="2686" s="1" nd="1"/>
        <i x="1036" s="1" nd="1"/>
        <i x="3622" s="1" nd="1"/>
        <i x="699" s="1" nd="1"/>
        <i x="3899" s="1" nd="1"/>
        <i x="1154" s="1" nd="1"/>
        <i x="3207" s="1" nd="1"/>
        <i x="77" s="1" nd="1"/>
        <i x="1071" s="1" nd="1"/>
        <i x="3504" s="1" nd="1"/>
        <i x="3909" s="1" nd="1"/>
        <i x="1191" s="1" nd="1"/>
        <i x="776" s="1" nd="1"/>
        <i x="2163" s="1" nd="1"/>
        <i x="187" s="1" nd="1"/>
        <i x="955" s="1" nd="1"/>
        <i x="1996" s="1" nd="1"/>
        <i x="3682" s="1" nd="1"/>
        <i x="906" s="1" nd="1"/>
        <i x="4465" s="1" nd="1"/>
        <i x="3366" s="1" nd="1"/>
        <i x="3684" s="1" nd="1"/>
        <i x="4545" s="1" nd="1"/>
        <i x="2558" s="1" nd="1"/>
        <i x="2451" s="1" nd="1"/>
        <i x="1517" s="1" nd="1"/>
        <i x="4234" s="1" nd="1"/>
        <i x="64" s="1" nd="1"/>
        <i x="3393" s="1" nd="1"/>
        <i x="4159" s="1" nd="1"/>
        <i x="2324" s="1" nd="1"/>
        <i x="3772" s="1" nd="1"/>
        <i x="1420" s="1" nd="1"/>
        <i x="1295" s="1" nd="1"/>
        <i x="3354" s="1" nd="1"/>
        <i x="977" s="1" nd="1"/>
        <i x="1508" s="1" nd="1"/>
        <i x="3735" s="1" nd="1"/>
        <i x="2193" s="1" nd="1"/>
        <i x="923" s="1" nd="1"/>
        <i x="1819" s="1" nd="1"/>
        <i x="349" s="1" nd="1"/>
        <i x="3971" s="1" nd="1"/>
        <i x="1647" s="1" nd="1"/>
        <i x="1370" s="1" nd="1"/>
        <i x="2627" s="1" nd="1"/>
        <i x="2822" s="1" nd="1"/>
        <i x="2761" s="1" nd="1"/>
        <i x="528" s="1" nd="1"/>
        <i x="3969" s="1" nd="1"/>
        <i x="707" s="1" nd="1"/>
        <i x="460" s="1" nd="1"/>
        <i x="3559" s="1" nd="1"/>
        <i x="817" s="1" nd="1"/>
        <i x="1682" s="1" nd="1"/>
        <i x="2588" s="1" nd="1"/>
        <i x="1829" s="1" nd="1"/>
        <i x="2321" s="1" nd="1"/>
        <i x="4371" s="1" nd="1"/>
        <i x="4285" s="1" nd="1"/>
        <i x="1868" s="1" nd="1"/>
        <i x="306" s="1" nd="1"/>
        <i x="3932" s="1" nd="1"/>
        <i x="1289" s="1" nd="1"/>
        <i x="3379" s="1" nd="1"/>
        <i x="4049" s="1" nd="1"/>
        <i x="2880" s="1" nd="1"/>
        <i x="1113" s="1" nd="1"/>
        <i x="2897" s="1" nd="1"/>
        <i x="3325" s="1" nd="1"/>
        <i x="2307" s="1" nd="1"/>
        <i x="3508" s="1" nd="1"/>
        <i x="1760" s="1" nd="1"/>
        <i x="1209" s="1" nd="1"/>
        <i x="805" s="1" nd="1"/>
        <i x="2129" s="1" nd="1"/>
        <i x="1059" s="1" nd="1"/>
        <i x="4131" s="1" nd="1"/>
        <i x="4119" s="1" nd="1"/>
        <i x="3984" s="1" nd="1"/>
        <i x="1644" s="1" nd="1"/>
        <i x="1790" s="1" nd="1"/>
        <i x="1698" s="1" nd="1"/>
        <i x="1527" s="1" nd="1"/>
        <i x="429" s="1" nd="1"/>
        <i x="828" s="1" nd="1"/>
        <i x="2550" s="1" nd="1"/>
        <i x="2688" s="1" nd="1"/>
        <i x="3409" s="1" nd="1"/>
        <i x="1564" s="1" nd="1"/>
        <i x="297" s="1" nd="1"/>
        <i x="2254" s="1" nd="1"/>
        <i x="1275" s="1" nd="1"/>
        <i x="2175" s="1" nd="1"/>
        <i x="1085" s="1" nd="1"/>
        <i x="2530" s="1" nd="1"/>
        <i x="2145" s="1" nd="1"/>
        <i x="1079" s="1" nd="1"/>
        <i x="3520" s="1" nd="1"/>
        <i x="1985" s="1" nd="1"/>
        <i x="3256" s="1" nd="1"/>
        <i x="3578" s="1" nd="1"/>
        <i x="2677" s="1" nd="1"/>
        <i x="1587" s="1" nd="1"/>
        <i x="710" s="1" nd="1"/>
        <i x="640" s="1" nd="1"/>
        <i x="1536" s="1" nd="1"/>
        <i x="2600" s="1" nd="1"/>
        <i x="864" s="1" nd="1"/>
        <i x="1249" s="1" nd="1"/>
        <i x="2071" s="1" nd="1"/>
        <i x="1917" s="1" nd="1"/>
        <i x="2234" s="1" nd="1"/>
        <i x="697" s="1" nd="1"/>
        <i x="2288" s="1" nd="1"/>
        <i x="1984" s="1" nd="1"/>
        <i x="1821" s="1" nd="1"/>
        <i x="2350" s="1" nd="1"/>
        <i x="517" s="1" nd="1"/>
        <i x="2524" s="1" nd="1"/>
        <i x="4228" s="1" nd="1"/>
        <i x="4278" s="1" nd="1"/>
        <i x="2758" s="1" nd="1"/>
        <i x="3524" s="1" nd="1"/>
        <i x="1286" s="1" nd="1"/>
        <i x="2278" s="1" nd="1"/>
        <i x="4027" s="1" nd="1"/>
        <i x="2462" s="1" nd="1"/>
        <i x="2675" s="1" nd="1"/>
        <i x="4175" s="1" nd="1"/>
        <i x="206" s="1" nd="1"/>
        <i x="2296" s="1" nd="1"/>
        <i x="1311" s="1" nd="1"/>
        <i x="430" s="1" nd="1"/>
        <i x="518" s="1" nd="1"/>
        <i x="4008" s="1" nd="1"/>
        <i x="2541" s="1" nd="1"/>
        <i x="2402" s="1" nd="1"/>
        <i x="2267" s="1" nd="1"/>
        <i x="1104" s="1" nd="1"/>
        <i x="4001" s="1" nd="1"/>
        <i x="3125" s="1" nd="1"/>
        <i x="147" s="1" nd="1"/>
        <i x="4479" s="1" nd="1"/>
        <i x="501" s="1" nd="1"/>
        <i x="4158" s="1" nd="1"/>
        <i x="1199" s="1" nd="1"/>
        <i x="943" s="1" nd="1"/>
        <i x="2328" s="1" nd="1"/>
        <i x="4042" s="1" nd="1"/>
        <i x="3333" s="1" nd="1"/>
        <i x="2829" s="1" nd="1"/>
        <i x="232" s="1" nd="1"/>
        <i x="3638" s="1" nd="1"/>
        <i x="702" s="1" nd="1"/>
        <i x="186" s="1" nd="1"/>
        <i x="1039" s="1" nd="1"/>
        <i x="2201" s="1" nd="1"/>
        <i x="4105" s="1" nd="1"/>
        <i x="4180" s="1" nd="1"/>
        <i x="1872" s="1" nd="1"/>
        <i x="1771" s="1" nd="1"/>
        <i x="2947" s="1" nd="1"/>
        <i x="3483" s="1" nd="1"/>
        <i x="2760" s="1" nd="1"/>
        <i x="601" s="1" nd="1"/>
        <i x="3614" s="1" nd="1"/>
        <i x="2378" s="1" nd="1"/>
        <i x="3092" s="1" nd="1"/>
        <i x="3403" s="1" nd="1"/>
        <i x="3193" s="1" nd="1"/>
        <i x="2866" s="1" nd="1"/>
        <i x="2895" s="1" nd="1"/>
        <i x="4501" s="1" nd="1"/>
        <i x="534" s="1" nd="1"/>
        <i x="66" s="1" nd="1"/>
        <i x="3886" s="1" nd="1"/>
        <i x="110" s="1" nd="1"/>
        <i x="2693" s="1" nd="1"/>
        <i x="3846" s="1" nd="1"/>
        <i x="3261" s="1" nd="1"/>
        <i x="2403" s="1" nd="1"/>
        <i x="2877" s="1" nd="1"/>
        <i x="2640" s="1" nd="1"/>
        <i x="1922" s="1" nd="1"/>
        <i x="3321" s="1" nd="1"/>
        <i x="4140" s="1" nd="1"/>
        <i x="494" s="1" nd="1"/>
        <i x="3764" s="1" nd="1"/>
        <i x="3245" s="1" nd="1"/>
        <i x="2444" s="1" nd="1"/>
        <i x="1569" s="1" nd="1"/>
        <i x="3161" s="1" nd="1"/>
        <i x="4194" s="1" nd="1"/>
        <i x="1155" s="1" nd="1"/>
        <i x="2576" s="1" nd="1"/>
        <i x="2911" s="1" nd="1"/>
        <i x="2669" s="1" nd="1"/>
        <i x="4226" s="1" nd="1"/>
        <i x="4213" s="1" nd="1"/>
        <i x="859" s="1" nd="1"/>
        <i x="1837" s="1" nd="1"/>
        <i x="1961" s="1" nd="1"/>
        <i x="3088" s="1" nd="1"/>
        <i x="4396" s="1" nd="1"/>
        <i x="108" s="1" nd="1"/>
        <i x="3290" s="1" nd="1"/>
        <i x="1972" s="1" nd="1"/>
        <i x="2927" s="1" nd="1"/>
        <i x="3332" s="1" nd="1"/>
        <i x="13" s="1" nd="1"/>
        <i x="2709" s="1" nd="1"/>
        <i x="1603" s="1" nd="1"/>
        <i x="2010" s="1" nd="1"/>
        <i x="3253" s="1" nd="1"/>
        <i x="113" s="1" nd="1"/>
        <i x="3331" s="1" nd="1"/>
        <i x="2115" s="1" nd="1"/>
        <i x="2950" s="1" nd="1"/>
        <i x="1391" s="1" nd="1"/>
        <i x="3562" s="1" nd="1"/>
        <i x="3692" s="1" nd="1"/>
        <i x="964" s="1" nd="1"/>
        <i x="1669" s="1" nd="1"/>
        <i x="1493" s="1" nd="1"/>
        <i x="1567" s="1" nd="1"/>
        <i x="3122" s="1" nd="1"/>
        <i x="3645" s="1" nd="1"/>
        <i x="2796" s="1" nd="1"/>
        <i x="469" s="1" nd="1"/>
        <i x="3341" s="1" nd="1"/>
        <i x="120" s="1" nd="1"/>
        <i x="2509" s="1" nd="1"/>
        <i x="987" s="1" nd="1"/>
        <i x="1479" s="1" nd="1"/>
        <i x="3498" s="1" nd="1"/>
        <i x="1902" s="1" nd="1"/>
        <i x="2618" s="1" nd="1"/>
        <i x="1195" s="1" nd="1"/>
        <i x="3017" s="1" nd="1"/>
        <i x="1297" s="1" nd="1"/>
        <i x="163" s="1" nd="1"/>
        <i x="638" s="1" nd="1"/>
        <i x="502" s="1" nd="1"/>
        <i x="2998" s="1" nd="1"/>
        <i x="3535" s="1" nd="1"/>
        <i x="1633" s="1" nd="1"/>
        <i x="40" s="1" nd="1"/>
        <i x="967" s="1" nd="1"/>
        <i x="1562" s="1" nd="1"/>
        <i x="860" s="1" nd="1"/>
        <i x="3419" s="1" nd="1"/>
        <i x="2873" s="1" nd="1"/>
        <i x="2778" s="1" nd="1"/>
        <i x="2691" s="1" nd="1"/>
        <i x="1106" s="1" nd="1"/>
        <i x="2187" s="1" nd="1"/>
        <i x="271" s="1" nd="1"/>
        <i x="845" s="1" nd="1"/>
        <i x="1057" s="1" nd="1"/>
        <i x="2621" s="1" nd="1"/>
        <i x="3025" s="1" nd="1"/>
        <i x="393" s="1" nd="1"/>
        <i x="428" s="1" nd="1"/>
        <i x="2285" s="1" nd="1"/>
        <i x="4328" s="1" nd="1"/>
        <i x="3872" s="1" nd="1"/>
        <i x="761" s="1" nd="1"/>
        <i x="1140" s="1" nd="1"/>
        <i x="4456" s="1" nd="1"/>
        <i x="1610" s="1" nd="1"/>
        <i x="3132" s="1" nd="1"/>
        <i x="1967" s="1" nd="1"/>
        <i x="1356" s="1" nd="1"/>
        <i x="4430" s="1" nd="1"/>
        <i x="1498" s="1" nd="1"/>
        <i x="1236" s="1" nd="1"/>
        <i x="2914" s="1" nd="1"/>
        <i x="713" s="1" nd="1"/>
        <i x="3812" s="1" nd="1"/>
        <i x="78" s="1" nd="1"/>
        <i x="2263" s="1" nd="1"/>
        <i x="2023" s="1" nd="1"/>
        <i x="3492" s="1" nd="1"/>
        <i x="4291" s="1" nd="1"/>
        <i x="3" s="1" nd="1"/>
        <i x="1954" s="1" nd="1"/>
        <i x="663" s="1" nd="1"/>
        <i x="4415" s="1" nd="1"/>
        <i x="2219" s="1" nd="1"/>
        <i x="2864" s="1" nd="1"/>
        <i x="1658" s="1" nd="1"/>
        <i x="3742" s="1" nd="1"/>
        <i x="479" s="1" nd="1"/>
        <i x="3949" s="1" nd="1"/>
        <i x="4393" s="1" nd="1"/>
        <i x="1590" s="1" nd="1"/>
        <i x="3771" s="1" nd="1"/>
        <i x="3154" s="1" nd="1"/>
        <i x="3434" s="1" nd="1"/>
        <i x="3804" s="1" nd="1"/>
        <i x="2165" s="1" nd="1"/>
        <i x="823" s="1" nd="1"/>
        <i x="3007" s="1" nd="1"/>
        <i x="4217" s="1" nd="1"/>
        <i x="787" s="1" nd="1"/>
        <i x="1107" s="1" nd="1"/>
        <i x="1186" s="1" nd="1"/>
        <i x="154" s="1" nd="1"/>
        <i x="23" s="1" nd="1"/>
        <i x="277" s="1" nd="1"/>
        <i x="4495" s="1" nd="1"/>
        <i x="4156" s="1" nd="1"/>
        <i x="1942" s="1" nd="1"/>
        <i x="2920" s="1" nd="1"/>
        <i x="1435" s="1" nd="1"/>
        <i x="4132" s="1" nd="1"/>
        <i x="3440" s="1" nd="1"/>
        <i x="2337" s="1" nd="1"/>
        <i x="194" s="1" nd="1"/>
        <i x="2834" s="1" nd="1"/>
        <i x="173" s="1" nd="1"/>
        <i x="4458" s="1" nd="1"/>
        <i x="3015" s="1" nd="1"/>
        <i x="869" s="1" nd="1"/>
        <i x="2757" s="1" nd="1"/>
        <i x="3848" s="1" nd="1"/>
        <i x="1245" s="1" nd="1"/>
        <i x="2748" s="1" nd="1"/>
        <i x="56" s="1" nd="1"/>
        <i x="3227" s="1" nd="1"/>
        <i x="708" s="1" nd="1"/>
        <i x="3760" s="1" nd="1"/>
        <i x="1826" s="1" nd="1"/>
        <i x="2612" s="1" nd="1"/>
        <i x="2289" s="1" nd="1"/>
        <i x="2818" s="1" nd="1"/>
        <i x="1491" s="1" nd="1"/>
        <i x="3737" s="1" nd="1"/>
        <i x="2122" s="1" nd="1"/>
        <i x="762" s="1" nd="1"/>
        <i x="1549" s="1" nd="1"/>
        <i x="67" s="1" nd="1"/>
        <i x="4524" s="1" nd="1"/>
        <i x="4142" s="1" nd="1"/>
        <i x="2706" s="1" nd="1"/>
        <i x="311" s="1" nd="1"/>
        <i x="2717" s="1" nd="1"/>
        <i x="4540" s="1" nd="1"/>
        <i x="492" s="1" nd="1"/>
        <i x="2984" s="1" nd="1"/>
        <i x="2318" s="1" nd="1"/>
        <i x="1296" s="1" nd="1"/>
        <i x="3852" s="1" nd="1"/>
        <i x="2407" s="1" nd="1"/>
        <i x="4360" s="1" nd="1"/>
        <i x="1792" s="1" nd="1"/>
        <i x="3275" s="1" nd="1"/>
        <i x="2813" s="1" nd="1"/>
        <i x="2636" s="1" nd="1"/>
        <i x="1179" s="1" nd="1"/>
        <i x="2247" s="1" nd="1"/>
        <i x="2613" s="1" nd="1"/>
        <i x="1550" s="1" nd="1"/>
        <i x="4451" s="1" nd="1"/>
        <i x="3518" s="1" nd="1"/>
        <i x="4521" s="1" nd="1"/>
        <i x="4345" s="1" nd="1"/>
        <i x="1800" s="1" nd="1"/>
        <i x="3788" s="1" nd="1"/>
        <i x="3965" s="1" nd="1"/>
        <i x="3294" s="1" nd="1"/>
        <i x="636" s="1" nd="1"/>
        <i x="870" s="1" nd="1"/>
        <i x="2673" s="1" nd="1"/>
        <i x="4056" s="1" nd="1"/>
        <i x="2996" s="1" nd="1"/>
        <i x="1574" s="1" nd="1"/>
        <i x="1335" s="1" nd="1"/>
        <i x="121" s="1" nd="1"/>
        <i x="367" s="1" nd="1"/>
        <i x="921" s="1" nd="1"/>
        <i x="1789" s="1" nd="1"/>
        <i x="1766" s="1" nd="1"/>
        <i x="288" s="1" nd="1"/>
        <i x="2970" s="1" nd="1"/>
        <i x="49" s="1" nd="1"/>
        <i x="4417" s="1" nd="1"/>
        <i x="4534" s="1" nd="1"/>
        <i x="233" s="1" nd="1"/>
        <i x="3060" s="1" nd="1"/>
        <i x="2470" s="1" nd="1"/>
        <i x="2908" s="1" nd="1"/>
        <i x="1217" s="1" nd="1"/>
        <i x="4365" s="1" nd="1"/>
        <i x="300" s="1" nd="1"/>
        <i x="1869" s="1" nd="1"/>
        <i x="3435" s="1" nd="1"/>
        <i x="678" s="1" nd="1"/>
        <i x="3896" s="1" nd="1"/>
        <i x="1834" s="1" nd="1"/>
        <i x="3875" s="1" nd="1"/>
        <i x="1258" s="1" nd="1"/>
        <i x="846" s="1" nd="1"/>
        <i x="1546" s="1" nd="1"/>
        <i x="595" s="1" nd="1"/>
        <i x="2857" s="1" nd="1"/>
        <i x="2003" s="1" nd="1"/>
        <i x="3999" s="1" nd="1"/>
        <i x="1518" s="1" nd="1"/>
        <i x="3873" s="1" nd="1"/>
        <i x="3371" s="1" nd="1"/>
        <i x="2980" s="1" nd="1"/>
        <i x="432" s="1" nd="1"/>
        <i x="236" s="1" nd="1"/>
        <i x="452" s="1" nd="1"/>
        <i x="3719" s="1" nd="1"/>
        <i x="555" s="1" nd="1"/>
        <i x="4060" s="1" nd="1"/>
        <i x="1015" s="1" nd="1"/>
        <i x="2697" s="1" nd="1"/>
        <i x="3798" s="1" nd="1"/>
        <i x="2158" s="1" nd="1"/>
        <i x="358" s="1" nd="1"/>
        <i x="4399" s="1" nd="1"/>
        <i x="2724" s="1" nd="1"/>
        <i x="4299" s="1" nd="1"/>
        <i x="649" s="1" nd="1"/>
        <i x="892" s="1" nd="1"/>
        <i x="2406" s="1" nd="1"/>
        <i x="3674" s="1" nd="1"/>
        <i x="716" s="1" nd="1"/>
        <i x="3407" s="1" nd="1"/>
        <i x="4245" s="1" nd="1"/>
        <i x="3045" s="1" nd="1"/>
        <i x="2264" s="1" nd="1"/>
        <i x="3422" s="1" nd="1"/>
        <i x="1323" s="1" nd="1"/>
        <i x="928" s="1" nd="1"/>
        <i x="1428" s="1" nd="1"/>
        <i x="3450" s="1" nd="1"/>
        <i x="2039" s="1" nd="1"/>
        <i x="670" s="1" nd="1"/>
        <i x="158" s="1" nd="1"/>
        <i x="3387" s="1" nd="1"/>
        <i x="4110" s="1" nd="1"/>
        <i x="3481" s="1" nd="1"/>
        <i x="4059" s="1" nd="1"/>
        <i x="646" s="1" nd="1"/>
        <i x="4157" s="1" nd="1"/>
        <i x="3444" s="1" nd="1"/>
        <i x="4447" s="1" nd="1"/>
        <i x="934" s="1" nd="1"/>
        <i x="2815" s="1" nd="1"/>
        <i x="4053" s="1" nd="1"/>
        <i x="1070" s="1" nd="1"/>
        <i x="2699" s="1" nd="1"/>
        <i x="3547" s="1" nd="1"/>
        <i x="4174" s="1" nd="1"/>
        <i x="152" s="1" nd="1"/>
        <i x="691" s="1" nd="1"/>
        <i x="4126" s="1" nd="1"/>
        <i x="1638" s="1" nd="1"/>
        <i x="442" s="1" nd="1"/>
        <i x="1136" s="1" nd="1"/>
        <i x="1640" s="1" nd="1"/>
        <i x="1968" s="1" nd="1"/>
        <i x="4363" s="1" nd="1"/>
        <i x="2446" s="1" nd="1"/>
        <i x="505" s="1" nd="1"/>
        <i x="3733" s="1" nd="1"/>
        <i x="1462" s="1" nd="1"/>
        <i x="4063" s="1" nd="1"/>
        <i x="3020" s="1" nd="1"/>
        <i x="1622" s="1" nd="1"/>
        <i x="3649" s="1" nd="1"/>
        <i x="882" s="1" nd="1"/>
        <i x="4491" s="1" nd="1"/>
        <i x="1005" s="1" nd="1"/>
        <i x="1405" s="1" nd="1"/>
        <i x="3919" s="1" nd="1"/>
        <i x="1060" s="1" nd="1"/>
        <i x="4303" s="1" nd="1"/>
        <i x="2035" s="1" nd="1"/>
        <i x="415" s="1" nd="1"/>
        <i x="2369" s="1" nd="1"/>
        <i x="3326" s="1" nd="1"/>
        <i x="3527" s="1" nd="1"/>
        <i x="3104" s="1" nd="1"/>
        <i x="2140" s="1" nd="1"/>
        <i x="3250" s="1" nd="1"/>
        <i x="2890" s="1" nd="1"/>
        <i x="3069" s="1" nd="1"/>
        <i x="3124" s="1" nd="1"/>
        <i x="3539" s="1" nd="1"/>
        <i x="2290" s="1" nd="1"/>
        <i x="981" s="1" nd="1"/>
        <i x="326" s="1" nd="1"/>
        <i x="4141" s="1" nd="1"/>
        <i x="1692" s="1" nd="1"/>
        <i x="1982" s="1" nd="1"/>
        <i x="2689" s="1" nd="1"/>
        <i x="513" s="1" nd="1"/>
        <i x="2225" s="1" nd="1"/>
        <i x="3431" s="1" nd="1"/>
        <i x="1971" s="1" nd="1"/>
        <i x="2336" s="1" nd="1"/>
        <i x="2832" s="1" nd="1"/>
        <i x="17" s="1" nd="1"/>
        <i x="794" s="1" nd="1"/>
        <i x="3813" s="1" nd="1"/>
        <i x="2120" s="1" nd="1"/>
        <i x="2414" s="1" nd="1"/>
        <i x="3189" s="1" nd="1"/>
        <i x="1434" s="1" nd="1"/>
        <i x="658" s="1" nd="1"/>
        <i x="2662" s="1" nd="1"/>
        <i x="2069" s="1" nd="1"/>
        <i x="2389" s="1" nd="1"/>
        <i x="1449" s="1" nd="1"/>
        <i x="176" s="1" nd="1"/>
        <i x="1267" s="1" nd="1"/>
        <i x="825" s="1" nd="1"/>
        <i x="4314" s="1" nd="1"/>
        <i x="1935" s="1" nd="1"/>
        <i x="4074" s="1" nd="1"/>
        <i x="3023" s="1" nd="1"/>
        <i x="1748" s="1" nd="1"/>
        <i x="566" s="1" nd="1"/>
        <i x="1324" s="1" nd="1"/>
        <i x="3601" s="1" nd="1"/>
        <i x="1377" s="1" nd="1"/>
        <i x="2945" s="1" nd="1"/>
        <i x="997" s="1" nd="1"/>
        <i x="2708" s="1" nd="1"/>
        <i x="1176" s="1" nd="1"/>
        <i x="252" s="1" nd="1"/>
        <i x="2377" s="1" nd="1"/>
        <i x="2056" s="1" nd="1"/>
        <i x="1947" s="1" nd="1"/>
        <i x="3609" s="1" nd="1"/>
        <i x="591" s="1" nd="1"/>
        <i x="130" s="1" nd="1"/>
        <i x="1759" s="1" nd="1"/>
        <i x="990" s="1" nd="1"/>
        <i x="795" s="1" nd="1"/>
        <i x="587" s="1" nd="1"/>
        <i x="365" s="1" nd="1"/>
        <i x="3799" s="1" nd="1"/>
        <i x="4498" s="1" nd="1"/>
        <i x="1327" s="1" nd="1"/>
        <i x="3311" s="1" nd="1"/>
        <i x="2560" s="1" nd="1"/>
        <i x="3073" s="1" nd="1"/>
        <i x="4292" s="1" nd="1"/>
        <i x="498" s="1" nd="1"/>
        <i x="3883" s="1" nd="1"/>
        <i x="2150" s="1" nd="1"/>
        <i x="1399" s="1" nd="1"/>
        <i x="2047" s="1" nd="1"/>
        <i x="1381" s="1" nd="1"/>
        <i x="620" s="1" nd="1"/>
        <i x="227" s="1" nd="1"/>
        <i x="2148" s="1" nd="1"/>
        <i x="1537" s="1" nd="1"/>
        <i x="1992" s="1" nd="1"/>
        <i x="1578" s="1" nd="1"/>
        <i x="891" s="1" nd="1"/>
        <i x="2024" s="1" nd="1"/>
        <i x="1778" s="1" nd="1"/>
        <i x="3530" s="1" nd="1"/>
        <i x="1714" s="1" nd="1"/>
        <i x="242" s="1" nd="1"/>
        <i x="510" s="1" nd="1"/>
        <i x="1418" s="1" nd="1"/>
        <i x="4190" s="1" nd="1"/>
        <i x="3318" s="1" nd="1"/>
        <i x="4445" s="1" nd="1"/>
        <i x="457" s="1" nd="1"/>
        <i x="2399" s="1" nd="1"/>
        <i x="1965" s="1" nd="1"/>
        <i x="1739" s="1" nd="1"/>
        <i x="1596" s="1" nd="1"/>
        <i x="2628" s="1" nd="1"/>
        <i x="3529" s="1" nd="1"/>
        <i x="2740" s="1" nd="1"/>
        <i x="4378" s="1" nd="1"/>
        <i x="2567" s="1" nd="1"/>
        <i x="669" s="1" nd="1"/>
        <i x="1833" s="1" nd="1"/>
        <i x="1716" s="1" nd="1"/>
        <i x="2933" s="1" nd="1"/>
        <i x="3946" s="1" nd="1"/>
        <i x="1223" s="1" nd="1"/>
        <i x="2726" s="1" nd="1"/>
        <i x="1892" s="1" nd="1"/>
        <i x="39" s="1" nd="1"/>
        <i x="682" s="1" nd="1"/>
        <i x="3956" s="1" nd="1"/>
        <i x="493" s="1" nd="1"/>
        <i x="2260" s="1" nd="1"/>
        <i x="4483" s="1" nd="1"/>
        <i x="993" s="1" nd="1"/>
        <i x="3328" s="1" nd="1"/>
        <i x="3802" s="1" nd="1"/>
        <i x="3467" s="1" nd="1"/>
        <i x="3381" s="1" nd="1"/>
        <i x="698" s="1" nd="1"/>
        <i x="1656" s="1" nd="1"/>
        <i x="2325" s="1" nd="1"/>
        <i x="2159" s="1" nd="1"/>
        <i x="4009" s="1" nd="1"/>
        <i x="4061" s="1" nd="1"/>
        <i x="3781" s="1" nd="1"/>
        <i x="962" s="1" nd="1"/>
        <i x="190" s="1" nd="1"/>
        <i x="323" s="1" nd="1"/>
        <i x="4478" s="1" nd="1"/>
        <i x="321" s="1" nd="1"/>
        <i x="3961" s="1" nd="1"/>
        <i x="4255" s="1" nd="1"/>
        <i x="2248" s="1" nd="1"/>
        <i x="165" s="1" nd="1"/>
        <i x="2091" s="1" nd="1"/>
        <i x="2036" s="1" nd="1"/>
        <i x="3190" s="1" nd="1"/>
        <i x="3111" s="1" nd="1"/>
        <i x="2090" s="1" nd="1"/>
        <i x="4134" s="1" nd="1"/>
        <i x="89" s="1" nd="1"/>
        <i x="1395" s="1" nd="1"/>
        <i x="1358" s="1" nd="1"/>
        <i x="2506" s="1" nd="1"/>
        <i x="837" s="1" nd="1"/>
        <i x="2514" s="1" nd="1"/>
        <i x="4317" s="1" nd="1"/>
        <i x="2658" s="1" nd="1"/>
        <i x="1646" s="1" nd="1"/>
        <i x="3863" s="1" nd="1"/>
        <i x="1426" s="1" nd="1"/>
        <i x="234" s="1" nd="1"/>
        <i x="4032" s="1" nd="1"/>
        <i x="490" s="1" nd="1"/>
        <i x="2019" s="1" nd="1"/>
        <i x="225" s="1" nd="1"/>
        <i x="3401" s="1" nd="1"/>
        <i x="24" s="1" nd="1"/>
        <i x="3099" s="1" nd="1"/>
        <i x="2904" s="1" nd="1"/>
        <i x="3610" s="1" nd="1"/>
        <i x="2775" s="1" nd="1"/>
        <i x="3765" s="1" nd="1"/>
        <i x="1683" s="1" nd="1"/>
        <i x="3182" s="1" nd="1"/>
        <i x="1052" s="1" nd="1"/>
        <i x="2154" s="1" nd="1"/>
        <i x="2961" s="1" nd="1"/>
        <i x="2370" s="1" nd="1"/>
        <i x="1030" s="1" nd="1"/>
        <i x="2773" s="1" nd="1"/>
        <i x="481" s="1" nd="1"/>
        <i x="4441" s="1" nd="1"/>
        <i x="2479" s="1" nd="1"/>
        <i x="2098" s="1" nd="1"/>
        <i x="2713" s="1" nd="1"/>
        <i x="4324" s="1" nd="1"/>
        <i x="2972" s="1" nd="1"/>
        <i x="3185" s="1" nd="1"/>
        <i x="3702" s="1" nd="1"/>
        <i x="287" s="1" nd="1"/>
        <i x="1421" s="1" nd="1"/>
        <i x="446" s="1" nd="1"/>
        <i x="2580" s="1" nd="1"/>
        <i x="1913" s="1" nd="1"/>
        <i x="3933" s="1" nd="1"/>
        <i x="1964" s="1" nd="1"/>
        <i x="3469" s="1" nd="1"/>
        <i x="1709" s="1" nd="1"/>
        <i x="2339" s="1" nd="1"/>
        <i x="3368" s="1" nd="1"/>
        <i x="3897" s="1" nd="1"/>
        <i x="1690" s="1" nd="1"/>
        <i x="3510" s="1" nd="1"/>
        <i x="1352" s="1" nd="1"/>
        <i x="2078" s="1" nd="1"/>
        <i x="2419" s="1" nd="1"/>
        <i x="830" s="1" nd="1"/>
        <i x="2259" s="1" nd="1"/>
        <i x="2620" s="1" nd="1"/>
        <i x="1263" s="1" nd="1"/>
        <i x="3389" s="1" nd="1"/>
        <i x="3490" s="1" nd="1"/>
        <i x="1464" s="1" nd="1"/>
        <i x="3672" s="1" nd="1"/>
        <i x="961" s="1" nd="1"/>
        <i x="54" s="1" nd="1"/>
        <i x="4160" s="1" nd="1"/>
        <i x="2522" s="1" nd="1"/>
        <i x="3364" s="1" nd="1"/>
        <i x="2856" s="1" nd="1"/>
        <i x="2768" s="1" nd="1"/>
        <i x="4085" s="1" nd="1"/>
        <i x="1629" s="1" nd="1"/>
        <i x="333" s="1" nd="1"/>
        <i x="2262" s="1" nd="1"/>
        <i x="2356" s="1" nd="1"/>
        <i x="1141" s="1" nd="1"/>
        <i x="3825" s="1" nd="1"/>
        <i x="478" s="1" nd="1"/>
        <i x="1753" s="1" nd="1"/>
        <i x="3280" s="1" nd="1"/>
        <i x="3980" s="1" nd="1"/>
        <i x="4390" s="1" nd="1"/>
        <i x="1175" s="1" nd="1"/>
        <i x="3056" s="1" nd="1"/>
        <i x="809" s="1" nd="1"/>
        <i x="35" s="1" nd="1"/>
        <i x="3740" s="1" nd="1"/>
        <i x="2776" s="1" nd="1"/>
        <i x="832" s="1" nd="1"/>
        <i x="2027" s="1" nd="1"/>
        <i x="3653" s="1" nd="1"/>
        <i x="1412" s="1" nd="1"/>
        <i x="2167" s="1" nd="1"/>
        <i x="3818" s="1" nd="1"/>
        <i x="4408" s="1" nd="1"/>
        <i x="2042" s="1" nd="1"/>
        <i x="3819" s="1" nd="1"/>
        <i x="783" s="1" nd="1"/>
        <i x="2332" s="1" nd="1"/>
        <i x="4144" s="1" nd="1"/>
        <i x="766" s="1" nd="1"/>
        <i x="2221" s="1" nd="1"/>
        <i x="3083" s="1" nd="1"/>
        <i x="4179" s="1" nd="1"/>
        <i x="4200" s="1" nd="1"/>
        <i x="1425" s="1" nd="1"/>
        <i x="2057" s="1" nd="1"/>
        <i x="117" s="1" nd="1"/>
        <i x="4002" s="1" nd="1"/>
        <i x="1783" s="1" nd="1"/>
        <i x="677" s="1" nd="1"/>
        <i x="2715" s="1" nd="1"/>
        <i x="999" s="1" nd="1"/>
        <i x="1619" s="1" nd="1"/>
        <i x="3110" s="1" nd="1"/>
        <i x="1724" s="1" nd="1"/>
        <i x="1348" s="1" nd="1"/>
        <i x="2528" s="1" nd="1"/>
        <i x="178" s="1" nd="1"/>
        <i x="320" s="1" nd="1"/>
        <i x="781" s="1" nd="1"/>
        <i x="549" s="1" nd="1"/>
        <i x="4422" s="1" nd="1"/>
        <i x="2753" s="1" nd="1"/>
        <i x="4455" s="1" nd="1"/>
        <i x="507" s="1" nd="1"/>
        <i x="3174" s="1" nd="1"/>
        <i x="3841" s="1" nd="1"/>
        <i x="4" s="1" nd="1"/>
        <i x="3654" s="1" nd="1"/>
        <i x="4028" s="1" nd="1"/>
        <i x="1208" s="1" nd="1"/>
        <i x="1320" s="1" nd="1"/>
        <i x="3943" s="1" nd="1"/>
        <i x="1483" s="1" nd="1"/>
        <i x="81" s="1" nd="1"/>
        <i x="872" s="1" nd="1"/>
        <i x="1487" s="1" nd="1"/>
        <i x="4006" s="1" nd="1"/>
        <i x="3782" s="1" nd="1"/>
        <i x="1080" s="1" nd="1"/>
        <i x="858" s="1" nd="1"/>
        <i x="3162" s="1" nd="1"/>
        <i x="2649" s="1" nd="1"/>
        <i x="2455" s="1" nd="1"/>
        <i x="3114" s="1" nd="1"/>
        <i x="1597" s="1" nd="1"/>
        <i x="4080" s="1" nd="1"/>
        <i x="2887" s="1" nd="1"/>
        <i x="215" s="1" nd="1"/>
        <i x="1336" s="1" nd="1"/>
        <i x="235" s="1" nd="1"/>
        <i x="2111" s="1" nd="1"/>
        <i x="3633" s="1" nd="1"/>
        <i x="1281" s="1" nd="1"/>
        <i x="1773" s="1" nd="1"/>
        <i x="4518" s="1" nd="1"/>
        <i x="2978" s="1" nd="1"/>
        <i x="1212" s="1" nd="1"/>
        <i x="356" s="1" nd="1"/>
        <i x="177" s="1" nd="1"/>
        <i x="4266" s="1" nd="1"/>
        <i x="399" s="1" nd="1"/>
        <i x="3026" s="1" nd="1"/>
        <i x="2279" s="1" nd="1"/>
        <i x="881" s="1" nd="1"/>
        <i x="625" s="1" nd="1"/>
        <i x="930" s="1" nd="1"/>
        <i x="1547" s="1" nd="1"/>
        <i x="1272" s="1" nd="1"/>
        <i x="4541" s="1" nd="1"/>
        <i x="2678" s="1" nd="1"/>
        <i x="814" s="1" nd="1"/>
        <i x="2670" s="1" nd="1"/>
        <i x="1109" s="1" nd="1"/>
        <i x="824" s="1" nd="1"/>
        <i x="3916" s="1" nd="1"/>
        <i x="2286" s="1" nd="1"/>
        <i x="3291" s="1" nd="1"/>
        <i x="2700" s="1" nd="1"/>
        <i x="1437" s="1" nd="1"/>
        <i x="2946" s="1" nd="1"/>
        <i x="2179" s="1" nd="1"/>
        <i x="27" s="1" nd="1"/>
        <i x="3987" s="1" nd="1"/>
        <i x="3509" s="1" nd="1"/>
        <i x="1651" s="1" nd="1"/>
        <i x="4302" s="1" nd="1"/>
        <i x="3624" s="1" nd="1"/>
        <i x="705" s="1" nd="1"/>
        <i x="3642" s="1" nd="1"/>
        <i x="3146" s="1" nd="1"/>
        <i x="737" s="1" nd="1"/>
        <i x="1406" s="1" nd="1"/>
        <i x="282" s="1" nd="1"/>
        <i x="2293" s="1" nd="1"/>
        <i x="3313" s="1" nd="1"/>
        <i x="237" s="1" nd="1"/>
        <i x="47" s="1" nd="1"/>
        <i x="37" s="1" nd="1"/>
        <i x="3246" s="1" nd="1"/>
        <i x="2659" s="1" nd="1"/>
        <i x="4499" s="1" nd="1"/>
        <i x="3058" s="1" nd="1"/>
        <i x="2094" s="1" nd="1"/>
        <i x="2738" s="1" nd="1"/>
        <i x="223" s="1" nd="1"/>
        <i x="3506" s="1" nd="1"/>
        <i x="1214" s="1" nd="1"/>
        <i x="3438" s="1" nd="1"/>
        <i x="164" s="1" nd="1"/>
        <i x="3315" s="1" nd="1"/>
        <i x="1867" s="1" nd="1"/>
        <i x="1430" s="1" nd="1"/>
        <i x="3683" s="1" nd="1"/>
        <i x="2965" s="1" nd="1"/>
        <i x="4258" s="1" nd="1"/>
        <i x="4093" s="1" nd="1"/>
        <i x="3736" s="1" nd="1"/>
        <i x="1621" s="1" nd="1"/>
        <i x="4375" s="1" nd="1"/>
        <i x="72" s="1" nd="1"/>
        <i x="1132" s="1" nd="1"/>
        <i x="3390" s="1" nd="1"/>
        <i x="3995" s="1" nd="1"/>
        <i x="3894" s="1" nd="1"/>
        <i x="2954" s="1" nd="1"/>
        <i x="9" s="1" nd="1"/>
        <i x="4185" s="1" nd="1"/>
        <i x="1703" s="1" nd="1"/>
        <i x="3367" s="1" nd="1"/>
        <i x="1184" s="1" nd="1"/>
        <i x="2323" s="1" nd="1"/>
        <i x="4023" s="1" nd="1"/>
        <i x="1255" s="1" nd="1"/>
        <i x="1958" s="1" nd="1"/>
        <i x="2741" s="1" nd="1"/>
        <i x="2939" s="1" nd="1"/>
        <i x="184" s="1" nd="1"/>
        <i x="71" s="1" nd="1"/>
        <i x="2222" s="1" nd="1"/>
        <i x="4370" s="1" nd="1"/>
        <i x="868" s="1" nd="1"/>
        <i x="2153" s="1" nd="1"/>
        <i x="2241" s="1" nd="1"/>
        <i x="4265" s="1" nd="1"/>
        <i x="1010" s="1" nd="1"/>
        <i x="355" s="1" nd="1"/>
        <i x="82" s="1" nd="1"/>
        <i x="4150" s="1" nd="1"/>
        <i x="1012" s="1" nd="1"/>
        <i x="3826" s="1" nd="1"/>
        <i x="2031" s="1" nd="1"/>
        <i x="547" s="1" nd="1"/>
        <i x="1990" s="1" nd="1"/>
        <i x="2774" s="1" nd="1"/>
        <i x="3145" s="1" nd="1"/>
        <i x="3839" s="1" nd="1"/>
        <i x="3784" s="1" nd="1"/>
        <i x="3606" s="1" nd="1"/>
        <i x="2534" s="1" nd="1"/>
        <i x="1288" s="1" nd="1"/>
        <i x="2821" s="1" nd="1"/>
        <i x="1934" s="1" nd="1"/>
        <i x="2515" s="1" nd="1"/>
        <i x="826" s="1" nd="1"/>
        <i x="1321" s="1" nd="1"/>
        <i x="1253" s="1" nd="1"/>
        <i x="2841" s="1" nd="1"/>
        <i x="3758" s="1" nd="1"/>
        <i x="1174" s="1" nd="1"/>
        <i x="142" s="1" nd="1"/>
        <i x="1601" s="1" nd="1"/>
        <i x="1538" s="1" nd="1"/>
        <i x="1635" s="1" nd="1"/>
        <i x="1254" s="1" nd="1"/>
        <i x="1020" s="1" nd="1"/>
        <i x="2195" s="1" nd="1"/>
        <i x="1943" s="1" nd="1"/>
        <i x="4211" s="1" nd="1"/>
        <i x="3525" s="1" nd="1"/>
        <i x="4164" s="1" nd="1"/>
        <i x="4015" s="1" nd="1"/>
        <i x="370" s="1" nd="1"/>
        <i x="1808" s="1" nd="1"/>
        <i x="3208" s="1" nd="1"/>
        <i x="2811" s="1" nd="1"/>
        <i x="2357" s="1" nd="1"/>
        <i x="1531" s="1" nd="1"/>
        <i x="530" s="1" nd="1"/>
        <i x="3947" s="1" nd="1"/>
        <i x="2070" s="1" nd="1"/>
        <i x="3102" s="1" nd="1"/>
        <i x="1715" s="1" nd="1"/>
        <i x="4500" s="1" nd="1"/>
        <i x="1041" s="1" nd="1"/>
        <i x="1970" s="1" nd="1"/>
        <i x="4231" s="1" nd="1"/>
        <i x="1098" s="1" nd="1"/>
        <i x="2593" s="1" nd="1"/>
        <i x="438" s="1" nd="1"/>
        <i x="2646" s="1" nd="1"/>
        <i x="1006" s="1" nd="1"/>
        <i x="2788" s="1" nd="1"/>
        <i x="4506" s="1" nd="1"/>
        <i x="2542" s="1" nd="1"/>
        <i x="3455" s="1" nd="1"/>
        <i x="931" s="1" nd="1"/>
        <i x="3433" s="1" nd="1"/>
        <i x="3322" s="1" nd="1"/>
        <i x="2590" s="1" nd="1"/>
        <i x="1559" s="1" nd="1"/>
        <i x="3286" s="1" nd="1"/>
        <i x="476" s="1" nd="1"/>
        <i x="3724" s="1" nd="1"/>
        <i x="3279" s="1" nd="1"/>
        <i x="914" s="1" nd="1"/>
        <i x="4155" s="1" nd="1"/>
        <i x="2985" s="1" nd="1"/>
        <i x="83" s="1" nd="1"/>
        <i x="2681" s="1" nd="1"/>
        <i x="1400" s="1" nd="1"/>
        <i x="1108" s="1" nd="1"/>
        <i x="741" s="1" nd="1"/>
        <i x="2671" s="1" nd="1"/>
        <i x="2581" s="1" nd="1"/>
        <i x="3499" s="1" nd="1"/>
        <i x="472" s="1" nd="1"/>
        <i x="1956" s="1" nd="1"/>
        <i x="4018" s="1" nd="1"/>
        <i x="3454" s="1" nd="1"/>
        <i x="2441" s="1" nd="1"/>
        <i x="969" s="1" nd="1"/>
        <i x="4079" s="1" nd="1"/>
        <i x="4050" s="1" nd="1"/>
        <i x="289" s="1" nd="1"/>
        <i x="1481" s="1" nd="1"/>
        <i x="3952" s="1" nd="1"/>
        <i x="1210" s="1" nd="1"/>
        <i x="3777" s="1" nd="1"/>
        <i x="2364" s="1" nd="1"/>
        <i x="4239" s="1" nd="1"/>
        <i x="2053" s="1" nd="1"/>
        <i x="511" s="1" nd="1"/>
        <i x="1343" s="1" nd="1"/>
        <i x="3031" s="1" nd="1"/>
        <i x="2789" s="1" nd="1"/>
        <i x="2291" s="1" nd="1"/>
        <i x="725" s="1" nd="1"/>
        <i x="4418" s="1" nd="1"/>
        <i x="4400" s="1" nd="1"/>
        <i x="2481" s="1" nd="1"/>
        <i x="598" s="1" nd="1"/>
        <i x="2" s="1" nd="1"/>
        <i x="3588" s="1" nd="1"/>
        <i x="3810" s="1" nd="1"/>
        <i x="2314" s="1" nd="1"/>
        <i x="2651" s="1" nd="1"/>
        <i x="2517" s="1" nd="1"/>
        <i x="51" s="1" nd="1"/>
        <i x="4270" s="1" nd="1"/>
        <i x="2663" s="1" nd="1"/>
        <i x="322" s="1" nd="1"/>
        <i x="4272" s="1" nd="1"/>
        <i x="2373" s="1" nd="1"/>
        <i x="2949" s="1" nd="1"/>
        <i x="2508" s="1" nd="1"/>
        <i x="1544" s="1" nd="1"/>
        <i x="218" s="1" nd="1"/>
        <i x="1667" s="1" nd="1"/>
        <i x="4188" s="1" nd="1"/>
        <i x="4222" s="1" nd="1"/>
        <i x="2934" s="1" nd="1"/>
        <i x="254" s="1" nd="1"/>
        <i x="1454" s="1" nd="1"/>
        <i x="820" s="1" nd="1"/>
        <i x="2913" s="1" nd="1"/>
        <i x="3828" s="1" nd="1"/>
        <i x="4468" s="1" nd="1"/>
        <i x="4221" s="1" nd="1"/>
        <i x="1612" s="1" nd="1"/>
        <i x="3411" s="1" nd="1"/>
        <i x="3599" s="1" nd="1"/>
        <i x="28" s="1" nd="1"/>
        <i x="3762" s="1" nd="1"/>
        <i x="2941" s="1" nd="1"/>
        <i x="2846" s="1" nd="1"/>
        <i x="3502" s="1" nd="1"/>
        <i x="1145" s="1" nd="1"/>
        <i x="2374" s="1" nd="1"/>
        <i x="1314" s="1" nd="1"/>
        <i x="2647" s="1" nd="1"/>
        <i x="2672" s="1" nd="1"/>
        <i x="3024" s="1" nd="1"/>
        <i x="379" s="1" nd="1"/>
        <i x="1480" s="1" nd="1"/>
        <i x="4384" s="1" nd="1"/>
        <i x="2711" s="1" nd="1"/>
        <i x="3939" s="1" nd="1"/>
        <i x="998" s="1" nd="1"/>
        <i x="3662" s="1" nd="1"/>
        <i x="4493" s="1" nd="1"/>
        <i x="861" s="1" nd="1"/>
        <i x="4348" s="1" nd="1"/>
        <i x="4428" s="1" nd="1"/>
        <i x="1671" s="1" nd="1"/>
        <i x="1920" s="1" nd="1"/>
        <i x="3882" s="1" nd="1"/>
        <i x="2113" s="1" nd="1"/>
        <i x="580" s="1" nd="1"/>
        <i x="2735" s="1" nd="1"/>
        <i x="1705" s="1" nd="1"/>
        <i x="2355" s="1" nd="1"/>
        <i x="2146" s="1" nd="1"/>
        <i x="3398" s="1" nd="1"/>
        <i x="3816" s="1" nd="1"/>
        <i x="709" s="1" nd="1"/>
        <i x="2499" s="1" nd="1"/>
        <i x="319" s="1" nd="1"/>
        <i x="1533" s="1" nd="1"/>
        <i x="2523" s="1" nd="1"/>
        <i x="2889" s="1" nd="1"/>
        <i x="888" s="1" nd="1"/>
        <i x="435" s="1" nd="1"/>
        <i x="126" s="1" nd="1"/>
        <i x="632" s="1" nd="1"/>
        <i x="2073" s="1" nd="1"/>
        <i x="895" s="1" nd="1"/>
        <i x="902" s="1" nd="1"/>
        <i x="3979" s="1" nd="1"/>
        <i x="3410" s="1" nd="1"/>
        <i x="3665" s="1" nd="1"/>
        <i x="3463" s="1" nd="1"/>
        <i x="1271" s="1" nd="1"/>
        <i x="3650" s="1" nd="1"/>
        <i x="1014" s="1" nd="1"/>
        <i x="3013" s="1" nd="1"/>
        <i x="99" s="1" nd="1"/>
        <i x="3406" s="1" nd="1"/>
        <i x="2009" s="1" nd="1"/>
        <i x="3594" s="1" nd="1"/>
        <i x="2432" s="1" nd="1"/>
        <i x="247" s="1" nd="1"/>
        <i x="4376" s="1" nd="1"/>
        <i x="4130" s="1" nd="1"/>
        <i x="1831" s="1" nd="1"/>
        <i x="4433" s="1" nd="1"/>
        <i x="3287" s="1" nd="1"/>
        <i x="2359" s="1" nd="1"/>
        <i x="662" s="1" nd="1"/>
        <i x="3940" s="1" nd="1"/>
        <i x="52" s="1" nd="1"/>
        <i x="3731" s="1" nd="1"/>
        <i x="3052" s="1" nd="1"/>
        <i x="2782" s="1" nd="1"/>
        <i x="2415" s="1" nd="1"/>
        <i x="3369" s="1" nd="1"/>
        <i x="1203" s="1" nd="1"/>
        <i x="1373" s="1" nd="1"/>
        <i x="2925" s="1" nd="1"/>
        <i x="1907" s="1" nd="1"/>
        <i x="3914" s="1" nd="1"/>
        <i x="1204" s="1" nd="1"/>
        <i x="3323" s="1" nd="1"/>
        <i x="731" s="1" nd="1"/>
        <i x="2824" s="1" nd="1"/>
        <i x="4425" s="1" nd="1"/>
        <i x="2214" s="1" nd="1"/>
        <i x="4084" s="1" nd="1"/>
        <i x="2983" s="1" nd="1"/>
        <i x="1257" s="1" nd="1"/>
        <i x="2614" s="1" nd="1"/>
        <i x="1613" s="1" nd="1"/>
        <i x="3461" s="1" nd="1"/>
        <i x="2596" s="1" nd="1"/>
        <i x="958" s="1" nd="1"/>
        <i x="4276" s="1" nd="1"/>
        <i x="4484" s="1" nd="1"/>
        <i x="316" s="1" nd="1"/>
        <i x="2083" s="1" nd="1"/>
        <i x="258" s="1" nd="1"/>
        <i x="3920" s="1" nd="1"/>
        <i x="1492" s="1" nd="1"/>
        <i x="1879" s="1" nd="1"/>
        <i x="664" s="1" nd="1"/>
        <i x="1528" s="1" nd="1"/>
        <i x="3905" s="1" nd="1"/>
        <i x="4511" s="1" nd="1"/>
        <i x="3226" s="1" nd="1"/>
        <i x="2755" s="1" nd="1"/>
        <i x="3583" s="1" nd="1"/>
        <i x="2500" s="1" nd="1"/>
        <i x="2177" s="1" nd="1"/>
        <i x="380" s="1" nd="1"/>
        <i x="3549" s="1" nd="1"/>
        <i x="1126" s="1" nd="1"/>
        <i x="1894" s="1" nd="1"/>
        <i x="2966" s="1" nd="1"/>
        <i x="2224" s="1" nd="1"/>
        <i x="798" s="1" nd="1"/>
        <i x="734" s="1" nd="1"/>
        <i x="278" s="1" nd="1"/>
        <i x="3299" s="1" nd="1"/>
        <i x="224" s="1" nd="1"/>
        <i x="1520" s="1" nd="1"/>
        <i x="3522" s="1" nd="1"/>
        <i x="103" s="1" nd="1"/>
        <i x="593" s="1" nd="1"/>
        <i x="2162" s="1" nd="1"/>
        <i x="973" s="1" nd="1"/>
        <i x="4367" s="1" nd="1"/>
        <i x="303" s="1" nd="1"/>
        <i x="4029" s="1" nd="1"/>
        <i x="3661" s="1" nd="1"/>
        <i x="763" s="1" nd="1"/>
        <i x="314" s="1" nd="1"/>
        <i x="381" s="1" nd="1"/>
        <i x="614" s="1" nd="1"/>
        <i x="3669" s="1" nd="1"/>
        <i x="2976" s="1" nd="1"/>
        <i x="1795" s="1" nd="1"/>
        <i x="4361" s="1" nd="1"/>
        <i x="4086" s="1" nd="1"/>
        <i x="1679" s="1" nd="1"/>
        <i x="4035" s="1" nd="1"/>
        <i x="488" s="1" nd="1"/>
        <i x="767" s="1" nd="1"/>
        <i x="3361" s="1" nd="1"/>
        <i x="409" s="1" nd="1"/>
        <i x="1051" s="1" nd="1"/>
        <i x="1082" s="1" nd="1"/>
        <i x="2701" s="1" nd="1"/>
        <i x="1606" s="1" nd="1"/>
        <i x="1122" s="1" nd="1"/>
        <i x="386" s="1" nd="1"/>
        <i x="344" s="1" nd="1"/>
        <i x="1752" s="1" nd="1"/>
        <i x="3019" s="1" nd="1"/>
        <i x="3336" s="1" nd="1"/>
        <i x="4321" s="1" nd="1"/>
        <i x="3574" s="1" nd="1"/>
        <i x="749" s="1" nd="1"/>
        <i x="4508" s="1" nd="1"/>
        <i x="2988" s="1" nd="1"/>
        <i x="2404" s="1" nd="1"/>
        <i x="2315" s="1" nd="1"/>
        <i x="1849" s="1" nd="1"/>
        <i x="1240" s="1" nd="1"/>
        <i x="1877" s="1" nd="1"/>
        <i x="4310" s="1" nd="1"/>
        <i x="1595" s="1" nd="1"/>
        <i x="739" s="1" nd="1"/>
        <i x="1284" s="1" nd="1"/>
        <i x="2830" s="1" nd="1"/>
        <i x="368" s="1" nd="1"/>
        <i x="3075" s="1" nd="1"/>
        <i x="1003" s="1" nd="1"/>
        <i x="1350" s="1" nd="1"/>
        <i x="175" s="1" nd="1"/>
        <i x="1770" s="1" nd="1"/>
        <i x="1416" s="1" nd="1"/>
        <i x="3517" s="1" nd="1"/>
        <i x="4090" s="1" nd="1"/>
        <i x="2347" s="1" nd="1"/>
        <i x="2340" s="1" nd="1"/>
        <i x="3130" s="1" nd="1"/>
        <i x="3242" s="1" nd="1"/>
        <i x="936" s="1" nd="1"/>
        <i x="293" s="1" nd="1"/>
        <i x="3485" s="1" nd="1"/>
        <i x="4362" s="1" nd="1"/>
        <i x="2330" s="1" nd="1"/>
        <i x="4282" s="1" nd="1"/>
        <i x="1994" s="1" nd="1"/>
        <i x="849" s="1" nd="1"/>
        <i x="3086" s="1" nd="1"/>
        <i x="4413" s="1" nd="1"/>
        <i x="2853" s="1" nd="1"/>
        <i x="1455" s="1" nd="1"/>
        <i x="3416" s="1" nd="1"/>
        <i x="4297" s="1" nd="1"/>
        <i x="1594" s="1" nd="1"/>
        <i x="667" s="1" nd="1"/>
        <i x="1137" s="1" nd="1"/>
        <i x="431" s="1" nd="1"/>
        <i x="1979" s="1" nd="1"/>
        <i x="473" s="1" nd="1"/>
        <i x="2322" s="1" nd="1"/>
        <i x="1807" s="1" nd="1"/>
        <i x="3769" s="1" nd="1"/>
        <i x="4388" s="1" nd="1"/>
        <i x="810" s="1" nd="1"/>
        <i x="3255" s="1" nd="1"/>
        <i x="2804" s="1" nd="1"/>
        <i x="1755" s="1" nd="1"/>
        <i x="2683" s="1" nd="1"/>
        <i x="4503" s="1" nd="1"/>
        <i x="1824" s="1" nd="1"/>
        <i x="3254" s="1" nd="1"/>
        <i x="1918" s="1" nd="1"/>
        <i x="111" s="1" nd="1"/>
        <i x="1389" s="1" nd="1"/>
        <i x="2633" s="1" nd="1"/>
        <i x="821" s="1" nd="1"/>
        <i x="2025" s="1" nd="1"/>
        <i x="33" s="1" nd="1"/>
        <i x="2216" s="1" nd="1"/>
        <i x="3143" s="1" nd="1"/>
        <i x="2051" s="1" nd="1"/>
        <i x="1910" s="1" nd="1"/>
        <i x="2535" s="1" nd="1"/>
        <i x="2100" s="1" nd="1"/>
        <i x="1797" s="1" nd="1"/>
        <i x="4089" s="1" nd="1"/>
        <i x="1946" s="1" nd="1"/>
        <i x="1506" s="1" nd="1"/>
        <i x="3670" s="1" nd="1"/>
        <i x="1959" s="1" nd="1"/>
        <i x="270" s="1" nd="1"/>
        <i x="3937" s="1" nd="1"/>
        <i x="801" s="1" nd="1"/>
        <i x="4176" s="1" nd="1"/>
        <i x="3808" s="1" nd="1"/>
        <i x="4300" s="1" nd="1"/>
        <i x="3800" s="1" nd="1"/>
        <i x="1340" s="1" nd="1"/>
        <i x="3927" s="1" nd="1"/>
        <i x="3560" s="1" nd="1"/>
        <i x="3429" s="1" nd="1"/>
        <i x="133" s="1" nd="1"/>
        <i x="463" s="1" nd="1"/>
        <i x="3890" s="1" nd="1"/>
        <i x="2916" s="1" nd="1"/>
        <i x="1443" s="1" nd="1"/>
        <i x="2964" s="1" nd="1"/>
        <i x="2333" s="1" nd="1"/>
        <i x="647" s="1" nd="1"/>
        <i x="1280" s="1" nd="1"/>
        <i x="3166" s="1" nd="1"/>
        <i x="93" s="1" nd="1"/>
        <i x="1211" s="1" nd="1"/>
        <i x="2230" s="1" nd="1"/>
        <i x="1830" s="1" nd="1"/>
        <i x="2226" s="1" nd="1"/>
        <i x="119" s="1" nd="1"/>
        <i x="3196" s="1" nd="1"/>
        <i x="836" s="1" nd="1"/>
        <i x="910" s="1" nd="1"/>
        <i x="1793" s="1" nd="1"/>
        <i x="3292" s="1" nd="1"/>
        <i x="2298" s="1" nd="1"/>
        <i x="1556" s="1" nd="1"/>
        <i x="963" s="1" nd="1"/>
        <i x="7" s="1" nd="1"/>
        <i x="3709" s="1" nd="1"/>
        <i x="717" s="1" nd="1"/>
        <i x="2080" s="1" nd="1"/>
        <i x="2690" s="1" nd="1"/>
        <i x="3856" s="1" nd="1"/>
        <i x="1586" s="1" nd="1"/>
        <i x="1064" s="1" nd="1"/>
        <i x="2103" s="1" nd="1"/>
        <i x="1558" s="1" nd="1"/>
        <i x="1379" s="1" nd="1"/>
        <i x="2847" s="1" nd="1"/>
        <i x="2227" s="1" nd="1"/>
        <i x="1386" s="1" nd="1"/>
        <i x="11" s="1" nd="1"/>
        <i x="1485" s="1" nd="1"/>
        <i x="951" s="1" nd="1"/>
        <i x="1735" s="1" nd="1"/>
        <i x="1501" s="1" nd="1"/>
        <i x="855" s="1" nd="1"/>
        <i x="3630" s="1" nd="1"/>
        <i x="2299" s="1" nd="1"/>
        <i x="764" s="1" nd="1"/>
        <i x="2067" s="1" nd="1"/>
        <i x="2269" s="1" nd="1"/>
        <i x="3248" s="1" nd="1"/>
        <i x="366" s="1" nd="1"/>
        <i x="2994" s="1" nd="1"/>
        <i x="2030" s="1" nd="1"/>
        <i x="2975" s="1" nd="1"/>
        <i x="1708" s="1" nd="1"/>
        <i x="2250" s="1" nd="1"/>
        <i x="1028" s="1" nd="1"/>
        <i x="1774" s="1" nd="1"/>
        <i x="2605" s="1" nd="1"/>
        <i x="1264" s="1" nd="1"/>
        <i x="2401" s="1" nd="1"/>
        <i x="4526" s="1" nd="1"/>
        <i x="1672" s="1" nd="1"/>
        <i x="2765" s="1" nd="1"/>
        <i x="2907" s="1" nd="1"/>
        <i x="1282" s="1" nd="1"/>
        <i x="3754" s="1" nd="1"/>
        <i x="624" s="1" nd="1"/>
        <i x="1782" s="1" nd="1"/>
        <i x="988" s="1" nd="1"/>
        <i x="3096" s="1" nd="1"/>
        <i x="2837" s="1" nd="1"/>
        <i x="4186" s="1" nd="1"/>
        <i x="4537" s="1" nd="1"/>
        <i x="3761" s="1" nd="1"/>
        <i x="1117" s="1" nd="1"/>
        <i x="499" s="1" nd="1"/>
        <i x="1268" s="1" nd="1"/>
        <i x="2543" s="1" nd="1"/>
        <i x="2926" s="1" nd="1"/>
        <i x="21" s="1" nd="1"/>
        <i x="3268" s="1" nd="1"/>
        <i x="3310" s="1" nd="1"/>
        <i x="1832" s="1" nd="1"/>
        <i x="2766" s="1" nd="1"/>
        <i x="2918" s="1" nd="1"/>
        <i x="2108" s="1" nd="1"/>
        <i x="2173" s="1" nd="1"/>
        <i x="2979" s="1" nd="1"/>
        <i x="3084" s="1" nd="1"/>
        <i x="1019" s="1" nd="1"/>
        <i x="4184" s="1" nd="1"/>
        <i x="1570" s="1" nd="1"/>
        <i x="115" s="1" nd="1"/>
        <i x="1058" s="1" nd="1"/>
        <i x="1497" s="1" nd="1"/>
        <i x="916" s="1" nd="1"/>
        <i x="489" s="1" nd="1"/>
        <i x="1616" s="1" nd="1"/>
        <i x="4315" s="1" nd="1"/>
        <i x="3163" s="1" nd="1"/>
        <i x="195" s="1" nd="1"/>
        <i x="22" s="1" nd="1"/>
        <i x="4334" s="1" nd="1"/>
        <i x="3442" s="1" nd="1"/>
        <i x="4330" s="1" nd="1"/>
        <i x="1495" s="1" nd="1"/>
        <i x="2107" s="1" nd="1"/>
        <i x="2043" s="1" nd="1"/>
        <i x="2196" s="1" nd="1"/>
        <i x="3658" s="1" nd="1"/>
        <i x="4502" s="1" nd="1"/>
        <i x="2959" s="1" nd="1"/>
        <i x="1500" s="1" nd="1"/>
        <i x="3616" s="1" nd="1"/>
        <i x="230" s="1" nd="1"/>
        <i x="3973" s="1" nd="1"/>
        <i x="2816" s="1" nd="1"/>
        <i x="3312" s="1" nd="1"/>
        <i x="1864" s="1" nd="1"/>
        <i x="294" s="1" nd="1"/>
        <i x="611" s="1" nd="1"/>
        <i x="3358" s="1" nd="1"/>
        <i x="144" s="1" nd="1"/>
        <i x="753" s="1" nd="1"/>
        <i x="4193" s="1" nd="1"/>
        <i x="722" s="1" nd="1"/>
        <i x="2495" s="1" nd="1"/>
        <i x="307" s="1" nd="1"/>
        <i x="3194" s="1" nd="1"/>
        <i x="2410" s="1" nd="1"/>
        <i x="1349" s="1" nd="1"/>
        <i x="3647" s="1" nd="1"/>
        <i x="3495" s="1" nd="1"/>
        <i x="4152" s="1" nd="1"/>
        <i x="149" s="1" nd="1"/>
        <i x="3803" s="1" nd="1"/>
        <i x="3267" s="1" nd="1"/>
        <i x="4474" s="1" nd="1"/>
        <i x="4381" s="1" nd="1"/>
        <i x="4113" s="1" nd="1"/>
        <i x="819" s="1" nd="1"/>
        <i x="1717" s="1" nd="1"/>
        <i x="1239" s="1" nd="1"/>
        <i x="3656" s="1" nd="1"/>
        <i x="2002" s="1" nd="1"/>
        <i x="1489" s="1" nd="1"/>
        <i x="1007" s="1" nd="1"/>
        <i x="2870" s="1" nd="1"/>
        <i x="2431" s="1" nd="1"/>
        <i x="3100" s="1" nd="1"/>
        <i x="666" s="1" nd="1"/>
        <i x="1392" s="1" nd="1"/>
        <i x="351" s="1" nd="1"/>
        <i x="3717" s="1" nd="1"/>
        <i x="2190" s="1" nd="1"/>
        <i x="3757" s="1" nd="1"/>
        <i x="3755" s="1" nd="1"/>
        <i x="1711" s="1" nd="1"/>
        <i x="1588" s="1" nd="1"/>
        <i x="3140" s="1" nd="1"/>
        <i x="1291" s="1" nd="1"/>
        <i x="2935" s="1" nd="1"/>
        <i x="1762" s="1" nd="1"/>
        <i x="205" s="1" nd="1"/>
        <i x="3228" s="1" nd="1"/>
        <i x="1931" s="1" nd="1"/>
        <i x="1083" s="1" nd="1"/>
        <i x="2204" s="1" nd="1"/>
        <i x="2589" s="1" nd="1"/>
        <i x="2379" s="1" nd="1"/>
        <i x="2707" s="1" nd="1"/>
        <i x="4351" s="1" nd="1"/>
        <i x="3963" s="1" nd="1"/>
        <i x="634" s="1" nd="1"/>
        <i x="1936" s="1" nd="1"/>
        <i x="1611" s="1" nd="1"/>
        <i x="2304" s="1" nd="1"/>
        <i x="2915" s="1" nd="1"/>
        <i x="1182" s="1" nd="1"/>
        <i x="2183" s="1" nd="1"/>
        <i x="2608" s="1" nd="1"/>
        <i x="3222" s="1" nd="1"/>
        <i x="4077" s="1" nd="1"/>
        <i x="3750" s="1" nd="1"/>
        <i x="1702" s="1" nd="1"/>
        <i x="4004" s="1" nd="1"/>
        <i x="2447" s="1" nd="1"/>
        <i x="4116" s="1" nd="1"/>
        <i x="3188" s="1" nd="1"/>
        <i x="3953" s="1" nd="1"/>
        <i x="2319" s="1" nd="1"/>
        <i x="2770" s="1" nd="1"/>
        <i x="4293" s="1" nd="1"/>
        <i x="2793" s="1" nd="1"/>
        <i x="1712" s="1" nd="1"/>
        <i x="627" s="1" nd="1"/>
        <i x="4523" s="1" nd="1"/>
        <i x="1142" s="1" nd="1"/>
        <i x="246" s="1" nd="1"/>
        <i x="128" s="1" nd="1"/>
        <i x="941" s="1" nd="1"/>
        <i x="1763" s="1" nd="1"/>
        <i x="4010" s="1" nd="1"/>
        <i x="756" s="1" nd="1"/>
        <i x="2511" s="1" nd="1"/>
        <i x="661" s="1" nd="1"/>
        <i x="3214" s="1" nd="1"/>
        <i x="3137" s="1" nd="1"/>
        <i x="2483" s="1" nd="1"/>
        <i x="2473" s="1" nd="1"/>
        <i x="654" s="1" nd="1"/>
        <i x="2736" s="1" nd="1"/>
        <i x="3302" s="1" nd="1"/>
        <i x="4106" s="1" nd="1"/>
        <i x="2952" s="1" nd="1"/>
        <i x="2603" s="1" nd="1"/>
        <i x="422" s="1" nd="1"/>
        <i x="1995" s="1" nd="1"/>
        <i x="4011" s="1" nd="1"/>
        <i x="1787" s="1" nd="1"/>
        <i x="915" s="1" nd="1"/>
        <i x="1376" s="1" nd="1"/>
        <i x="4201" s="1" nd="1"/>
        <i x="588" s="1" nd="1"/>
        <i x="1390" s="1" nd="1"/>
        <i x="468" s="1" nd="1"/>
        <i x="332" s="1" nd="1"/>
        <i x="1307" s="1" nd="1"/>
        <i x="1187" s="1" nd="1"/>
        <i x="2667" s="1" nd="1"/>
        <i x="1776" s="1" nd="1"/>
        <i x="2801" s="1" nd="1"/>
        <i x="3519" s="1" nd="1"/>
        <i x="3402" s="1" nd="1"/>
        <i x="4368" s="1" nd="1"/>
        <i x="3867" s="1" nd="1"/>
        <i x="3835" s="1" nd="1"/>
        <i x="3632" s="1" nd="1"/>
        <i x="2882" s="1" nd="1"/>
        <i x="97" s="1" nd="1"/>
        <i x="3437" s="1" nd="1"/>
        <i x="2546" s="1" nd="1"/>
        <i x="2521" s="1" nd="1"/>
        <i x="754" s="1" nd="1"/>
        <i x="4546" s="1" nd="1"/>
        <i x="1780" s="1" nd="1"/>
        <i x="3147" s="1" nd="1"/>
        <i x="1911" s="1" nd="1"/>
        <i x="2704" s="1" nd="1"/>
        <i x="800" s="1" nd="1"/>
        <i x="1998" s="1" nd="1"/>
        <i x="1162" s="1" nd="1"/>
        <i x="994" s="1" nd="1"/>
        <i x="2306" s="1" nd="1"/>
        <i x="2622" s="1" nd="1"/>
        <i x="506" s="1" nd="1"/>
        <i x="3858" s="1" nd="1"/>
        <i x="2728" s="1" nd="1"/>
        <i x="3129" s="1" nd="1"/>
        <i x="1523" s="1" nd="1"/>
        <i x="2117" s="1" nd="1"/>
        <i x="4414" s="1" nd="1"/>
        <i x="3950" s="1" nd="1"/>
        <i x="1043" s="1" nd="1"/>
        <i x="903" s="1" nd="1"/>
        <i x="4357" s="1" nd="1"/>
        <i x="1663" s="1" nd="1"/>
        <i x="4436" s="1" nd="1"/>
        <i x="718" s="1" nd="1"/>
        <i x="1248" s="1" nd="1"/>
        <i x="2660" s="1" nd="1"/>
        <i x="3501" s="1" nd="1"/>
        <i x="1940" s="1" nd="1"/>
        <i x="978" s="1" nd="1"/>
        <i x="2013" s="1" nd="1"/>
        <i x="2065" s="1" nd="1"/>
        <i x="445" s="1" nd="1"/>
        <i x="1127" s="1" nd="1"/>
        <i x="1439" s="1" nd="1"/>
        <i x="3854" s="1" nd="1"/>
        <i x="2425" s="1" nd="1"/>
        <i x="1277" s="1" nd="1"/>
        <i x="2575" s="1" nd="1"/>
        <i x="3046" s="1" nd="1"/>
        <i x="715" s="1" nd="1"/>
        <i x="266" s="1" nd="1"/>
        <i x="1181" s="1" nd="1"/>
        <i x="275" s="1" nd="1"/>
        <i x="1292" s="1" nd="1"/>
        <i x="4219" s="1" nd="1"/>
        <i x="462" s="1" nd="1"/>
        <i x="1427" s="1" nd="1"/>
        <i x="1914" s="1" nd="1"/>
        <i x="562" s="1" nd="1"/>
        <i x="1273" s="1" nd="1"/>
        <i x="842" s="1" nd="1"/>
        <i x="433" s="1" nd="1"/>
        <i x="2634" s="1" nd="1"/>
        <i x="2272" s="1" nd="1"/>
        <i x="1624" s="1" nd="1"/>
        <i x="369" s="1" nd="1"/>
        <i x="2151" s="1" nd="1"/>
        <i x="1988" s="1" nd="1"/>
        <i x="1857" s="1" nd="1"/>
        <i x="42" s="1" nd="1"/>
        <i x="3528" s="1" nd="1"/>
        <i x="2301" s="1" nd="1"/>
        <i x="2881" s="1" nd="1"/>
        <i x="1246" s="1" nd="1"/>
        <i x="1407" s="1" nd="1"/>
        <i x="3595" s="1" nd="1"/>
        <i x="583" s="1" nd="1"/>
        <i x="1049" s="1" nd="1"/>
        <i x="4103" s="1" nd="1"/>
        <i x="4162" s="1" nd="1"/>
        <i x="174" s="1" nd="1"/>
        <i x="2480" s="1" nd="1"/>
        <i x="2616" s="1" nd="1"/>
        <i x="4432" s="1" nd="1"/>
        <i x="4488" s="1" nd="1"/>
        <i x="55" s="1" nd="1"/>
        <i x="1548" s="1" nd="1"/>
        <i x="3944" s="1" nd="1"/>
        <i x="3351" s="1" nd="1"/>
        <i x="4041" s="1" nd="1"/>
        <i x="1317" s="1" nd="1"/>
        <i x="3397" s="1" nd="1"/>
        <i x="3968" s="1" nd="1"/>
        <i x="3456" s="1" nd="1"/>
        <i x="2143" s="1" nd="1"/>
        <i x="2806" s="1" nd="1"/>
        <i x="612" s="1" nd="1"/>
        <i x="1744" s="1" nd="1"/>
        <i x="3415" s="1" nd="1"/>
        <i x="1444" s="1" nd="1"/>
        <i x="807" s="1" nd="1"/>
        <i x="3386" s="1" nd="1"/>
        <i x="3913" s="1" nd="1"/>
        <i x="797" s="1" nd="1"/>
        <i x="1746" s="1" nd="1"/>
        <i x="883" s="1" nd="1"/>
        <i x="2968" s="1" nd="1"/>
        <i x="2635" s="1" nd="1"/>
        <i x="2418" s="1" nd="1"/>
        <i x="3572" s="1" nd="1"/>
        <i x="1305" s="1" nd="1"/>
        <i x="4281" s="1" nd="1"/>
        <i x="839" s="1" nd="1"/>
        <i x="459" s="1" nd="1"/>
        <i x="3580" s="1" nd="1"/>
        <i x="1630" s="1" nd="1"/>
        <i x="3693" s="1" nd="1"/>
        <i x="1496" s="1" nd="1"/>
        <i x="3663" s="1" nd="1"/>
        <i x="2012" s="1" nd="1"/>
        <i x="2161" s="1" nd="1"/>
        <i x="1436" s="1" nd="1"/>
        <i x="3394" s="1" nd="1"/>
        <i x="3011" s="1" nd="1"/>
        <i x="1896" s="1" nd="1"/>
        <i x="831" s="1" nd="1"/>
        <i x="3865" s="1" nd="1"/>
        <i x="3673" s="1" nd="1"/>
        <i x="4019" s="1" nd="1"/>
        <i x="1989" s="1" nd="1"/>
        <i x="4043" s="1" nd="1"/>
        <i x="660" s="1" nd="1"/>
        <i x="2152" s="1" nd="1"/>
        <i x="3237" s="1" nd="1"/>
        <i x="1146" s="1" nd="1"/>
        <i x="3043" s="1" nd="1"/>
        <i x="3766" s="1" nd="1"/>
        <i x="32" s="1" nd="1"/>
        <i x="2335" s="1" nd="1"/>
        <i x="665" s="1" nd="1"/>
        <i x="3244" s="1" nd="1"/>
        <i x="2041" s="1" nd="1"/>
        <i x="525" s="1" nd="1"/>
        <i x="3842" s="1" nd="1"/>
        <i x="2991" s="1" nd="1"/>
        <i x="3951" s="1" nd="1"/>
        <i x="2819" s="1" nd="1"/>
        <i x="2510" s="1" nd="1"/>
        <i x="3374" s="1" nd="1"/>
        <i x="2800" s="1" nd="1"/>
        <i x="621" s="1" nd="1"/>
        <i x="3494" s="1" nd="1"/>
        <i x="2341" s="1" nd="1"/>
        <i x="2211" s="1" nd="1"/>
        <i x="3785" s="1" nd="1"/>
        <i x="2253" s="1" nd="1"/>
        <i x="561" s="1" nd="1"/>
        <i x="811" s="1" nd="1"/>
        <i x="4472" s="1" nd="1"/>
        <i x="3558" s="1" nd="1"/>
        <i x="3780" s="1" nd="1"/>
        <i x="743" s="1" nd="1"/>
        <i x="1178" s="1" nd="1"/>
        <i x="4350" s="1" nd="1"/>
        <i x="458" s="1" nd="1"/>
        <i x="2380" s="1" nd="1"/>
        <i x="1025" s="1" nd="1"/>
        <i x="2842" s="1" nd="1"/>
        <i x="3720" s="1" nd="1"/>
        <i x="3134" s="1" nd="1"/>
        <i x="1900" s="1" nd="1"/>
        <i x="917" s="1" nd="1"/>
        <i x="1541" s="1" nd="1"/>
        <i x="1306" s="1" nd="1"/>
        <i x="3103" s="1" nd="1"/>
        <i x="3346" s="1" nd="1"/>
        <i x="721" s="1" nd="1"/>
        <i x="2497" s="1" nd="1"/>
        <i x="1767" s="1" nd="1"/>
        <i x="3576" s="1" nd="1"/>
        <i x="1133" s="1" nd="1"/>
        <i x="2526" s="1" nd="1"/>
        <i x="1721" s="1" nd="1"/>
        <i x="1372" s="1" nd="1"/>
        <i x="1986" s="1" nd="1"/>
        <i x="673" s="1" nd="1"/>
        <i x="2265" s="1" nd="1"/>
        <i x="4243" s="1" nd="1"/>
        <i x="2828" s="1" nd="1"/>
        <i x="1825" s="1" nd="1"/>
        <i x="2601" s="1" nd="1"/>
        <i x="4516" s="1" nd="1"/>
        <i x="4101" s="1" nd="1"/>
        <i x="3907" s="1" nd="1"/>
        <i x="2664" s="1" nd="1"/>
        <i x="3608" s="1" nd="1"/>
        <i x="2609" s="1" nd="1"/>
        <i x="3258" s="1" nd="1"/>
        <i x="1657" s="1" nd="1"/>
        <i x="3399" s="1" nd="1"/>
        <i x="3191" s="1" nd="1"/>
        <i x="4355" s="1" nd="1"/>
        <i x="1861" s="1" nd="1"/>
        <i x="1031" s="1" nd="1"/>
        <i x="2981" s="1" nd="1"/>
        <i x="2283" s="1" nd="1"/>
        <i x="3006" s="1" nd="1"/>
        <i x="1939" s="1" nd="1"/>
        <i x="403" s="1" nd="1"/>
        <i x="922" s="1" nd="1"/>
        <i x="4181" s="1" nd="1"/>
        <i x="2326" s="1" nd="1"/>
        <i x="1678" s="1" nd="1"/>
        <i x="924" s="1" nd="1"/>
        <i x="1048" s="1" nd="1"/>
        <i x="1087" s="1" nd="1"/>
        <i x="1101" s="1" nd="1"/>
        <i x="907" s="1" nd="1"/>
        <i x="2308" s="1" nd="1"/>
        <i x="4137" s="1" nd="1"/>
        <i x="2512" s="1" nd="1"/>
        <i x="1977" s="1" nd="1"/>
        <i x="2929" s="1" nd="1"/>
        <i x="3877" s="1" nd="1"/>
        <i x="4146" s="1" nd="1"/>
        <i x="2026" s="1" nd="1"/>
        <i x="1206" s="1" nd="1"/>
        <i x="3542" s="1" nd="1"/>
        <i x="3555" s="1" nd="1"/>
        <i x="264" s="1" nd="1"/>
        <i x="2631" s="1" nd="1"/>
        <i x="290" s="1" nd="1"/>
        <i x="3198" s="1" nd="1"/>
        <i x="569" s="1" nd="1"/>
        <i x="1805" s="1" nd="1"/>
        <i x="4102" s="1" nd="1"/>
        <i x="3465" s="1" nd="1"/>
        <i x="3989" s="1" nd="1"/>
        <i x="2317" s="1" nd="1"/>
        <i x="1983" s="1" nd="1"/>
        <i x="3372" s="1" nd="1"/>
        <i x="3395" s="1" nd="1"/>
        <i x="465" s="1" nd="1"/>
        <i x="4069" s="1" nd="1"/>
        <i x="1846" s="1" nd="1"/>
        <i x="2488" s="1" nd="1"/>
        <i x="3384" s="1" nd="1"/>
        <i x="3678" s="1" nd="1"/>
        <i x="585" s="1" nd="1"/>
        <i x="1707" s="1" nd="1"/>
        <i x="3870" s="1" nd="1"/>
        <i x="4091" s="1" nd="1"/>
        <i x="1855" s="1" nd="1"/>
        <i x="674" s="1" nd="1"/>
        <i x="401" s="1" nd="1"/>
        <i x="19" s="1" nd="1"/>
        <i x="411" s="1" nd="1"/>
        <i x="1362" s="1" nd="1"/>
        <i x="4443" s="1" nd="1"/>
        <i x="3300" s="1" nd="1"/>
        <i x="1069" s="1" nd="1"/>
        <i x="1158" s="1" nd="1"/>
        <i x="3027" s="1" nd="1"/>
        <i x="2228" s="1" nd="1"/>
        <i x="1751" s="1" nd="1"/>
        <i x="3700" s="1" nd="1"/>
        <i x="3675" s="1" nd="1"/>
        <i x="1134" s="1" nd="1"/>
        <i x="952" s="1" nd="1"/>
        <i x="3942" s="1" nd="1"/>
        <i x="3050" s="1" nd="1"/>
        <i x="3997" s="1" nd="1"/>
        <i x="470" s="1" nd="1"/>
        <i x="3747" s="1" nd="1"/>
        <i x="447" s="1" nd="1"/>
        <i x="3634" s="1" nd="1"/>
        <i x="59" s="1" nd="1"/>
        <i x="3230" s="1" nd="1"/>
        <i x="1684" s="1" nd="1"/>
        <i x="927" s="1" nd="1"/>
        <i x="4487" s="1" nd="1"/>
        <i x="3373" s="1" nd="1"/>
        <i x="3730" s="1" nd="1"/>
        <i x="4298" s="1" nd="1"/>
        <i x="2109" s="1" nd="1"/>
        <i x="2361" s="1" nd="1"/>
        <i x="1357" s="1" nd="1"/>
        <i x="2327" s="1" nd="1"/>
        <i x="4329" s="1" nd="1"/>
        <i x="1074" s="1" nd="1"/>
        <i x="2388" s="1" nd="1"/>
        <i x="1991" s="1" nd="1"/>
        <i x="1901" s="1" nd="1"/>
        <i x="2892" s="1" nd="1"/>
        <i x="410" s="1" nd="1"/>
        <i x="228" s="1" nd="1"/>
        <i x="4205" s="1" nd="1"/>
        <i x="4463" s="1" nd="1"/>
        <i x="1978" s="1" nd="1"/>
        <i x="714" s="1" nd="1"/>
        <i x="1396" s="1" nd="1"/>
        <i x="877" s="1" nd="1"/>
        <i x="3646" s="1" nd="1"/>
        <i x="596" s="1" nd="1"/>
        <i x="1575" s="1" nd="1"/>
        <i x="1330" s="1" nd="1"/>
        <i x="4420" s="1" nd="1"/>
        <i x="137" s="1" nd="1"/>
        <i x="1346" s="1" nd="1"/>
        <i x="1953" s="1" nd="1"/>
        <i x="4316" s="1" nd="1"/>
        <i x="782" s="1" nd="1"/>
        <i x="4172" s="1" nd="1"/>
        <i x="750" s="1" nd="1"/>
        <i x="503" s="1" nd="1"/>
        <i x="971" s="1" nd="1"/>
        <i x="1219" s="1" nd="1"/>
        <i x="3734" s="1" nd="1"/>
        <i x="3557" s="1" nd="1"/>
        <i x="3470" s="1" nd="1"/>
        <i x="3304" s="1" nd="1"/>
        <i x="3474" s="1" nd="1"/>
        <i x="788" s="1" nd="1"/>
        <i x="2743" s="1" nd="1"/>
        <i x="1838" s="1" nd="1"/>
        <i x="3676" s="1" nd="1"/>
        <i x="2912" s="1" nd="1"/>
        <i x="172" s="1" nd="1"/>
        <i x="248" s="1" nd="1"/>
        <i x="3805" s="1" nd="1"/>
        <i x="3699" s="1" nd="1"/>
        <i x="853" s="1" nd="1"/>
        <i x="2545" s="1" nd="1"/>
        <i x="1948" s="1" nd="1"/>
        <i x="1207" s="1" nd="1"/>
        <i x="335" s="1" nd="1"/>
        <i x="1916" s="1" nd="1"/>
        <i x="10" s="1" nd="1"/>
        <i x="2644" s="1" nd="1"/>
        <i x="1159" s="1" nd="1"/>
        <i x="543" s="1" nd="1"/>
        <i x="1860" s="1" nd="1"/>
        <i x="495" s="1" nd="1"/>
        <i x="3751" s="1" nd="1"/>
        <i x="3418" s="1" nd="1"/>
        <i x="4449" s="1" nd="1"/>
        <i x="1445" s="1" nd="1"/>
        <i x="3269" s="1" nd="1"/>
        <i x="4135" s="1" nd="1"/>
        <i x="2795" s="1" nd="1"/>
        <i x="301" s="1" nd="1"/>
        <i x="4195" s="1" nd="1"/>
        <i x="607" s="1" nd="1"/>
        <i x="3308" s="1" nd="1"/>
        <i x="838" s="1" nd="1"/>
        <i x="1951" s="1" nd="1"/>
        <i x="2687" s="1" nd="1"/>
        <i x="4462" s="1" nd="1"/>
        <i x="3257" s="1" nd="1"/>
        <i x="92" s="1" nd="1"/>
        <i x="1944" s="1" nd="1"/>
        <i x="267" s="1" nd="1"/>
        <i x="2200" s="1" nd="1"/>
        <i x="2702" s="1" nd="1"/>
        <i x="4000" s="1" nd="1"/>
        <i x="2871" s="1" nd="1"/>
        <i x="304" s="1" nd="1"/>
        <i x="1993" s="1" nd="1"/>
        <i x="419" s="1" nd="1"/>
        <i x="4182" s="1" nd="1"/>
        <i x="2420" s="1" nd="1"/>
        <i x="4326" s="1" nd="1"/>
        <i x="363" s="1" nd="1"/>
        <i x="4246" s="1" nd="1"/>
        <i x="3034" s="1" nd="1"/>
        <i x="2538" s="1" nd="1"/>
        <i x="3627" s="1" nd="1"/>
        <i x="3468" s="1" nd="1"/>
        <i x="2284" s="1" nd="1"/>
        <i x="3512" s="1" nd="1"/>
        <i x="4489" s="1" nd="1"/>
        <i x="2971" s="1" nd="1"/>
        <i x="747" s="1" nd="1"/>
        <i x="757" s="1" nd="1"/>
        <i x="18" s="1" nd="1"/>
        <i x="1503" s="1" nd="1"/>
        <i x="1888" s="1" nd="1"/>
        <i x="1634" s="1" nd="1"/>
        <i x="3131" s="1" nd="1"/>
        <i x="279" s="1" nd="1"/>
        <i x="1172" s="1" nd="1"/>
        <i x="4112" s="1" nd="1"/>
        <i x="474" s="1" nd="1"/>
        <i x="577" s="1" nd="1"/>
        <i x="3657" s="1" nd="1"/>
        <i x="3169" s="1" nd="1"/>
        <i x="572" s="1" nd="1"/>
        <i x="622" s="1" nd="1"/>
        <i x="966" s="1" nd="1"/>
        <i x="1473" s="1" nd="1"/>
        <i x="4531" s="1" nd="1"/>
        <i x="1393" s="1" nd="1"/>
        <i x="2932" s="1" nd="1"/>
        <i x="687" s="1" nd="1"/>
        <i x="1539" s="1" nd="1"/>
        <i x="2188" s="1" nd="1"/>
        <i x="2833" s="1" nd="1"/>
        <i x="3396" s="1" nd="1"/>
        <i x="3938" s="1" nd="1"/>
        <i x="679" s="1" nd="1"/>
        <i x="3767" s="1" nd="1"/>
        <i x="742" s="1" nd="1"/>
        <i x="4127" s="1" nd="1"/>
        <i x="4402" s="1" nd="1"/>
        <i x="2763" s="1" nd="1"/>
        <i x="4294" s="1" nd="1"/>
        <i x="3584" s="1" nd="1"/>
        <i x="3466" s="1" nd="1"/>
        <i x="2888" s="1" nd="1"/>
        <i x="1383" s="1" nd="1"/>
        <i x="3324" s="1" nd="1"/>
        <i x="1465" s="1" nd="1"/>
        <i x="2169" s="1" nd="1"/>
        <i x="1661" s="1" nd="1"/>
        <i x="2487" s="1" nd="1"/>
        <i x="251" s="1" nd="1"/>
        <i x="648" s="1" nd="1"/>
        <i x="2997" s="1" nd="1"/>
        <i x="1568" s="1" nd="1"/>
        <i x="4507" s="1" nd="1"/>
        <i x="3596" s="1" nd="1"/>
        <i x="4071" s="1" nd="1"/>
        <i x="3240" s="1" nd="1"/>
        <i x="900" s="1" nd="1"/>
        <i x="2004" s="1" nd="1"/>
        <i x="2066" s="1" nd="1"/>
        <i x="94" s="1" nd="1"/>
        <i x="1952" s="1" nd="1"/>
        <i x="192" s="1" nd="1"/>
        <i x="4372" s="1" nd="1"/>
        <i x="610" s="1" nd="1"/>
        <i x="3941" s="1" nd="1"/>
        <i x="2184" s="1" nd="1"/>
        <i x="1354" s="1" nd="1"/>
        <i x="4268" s="1" nd="1"/>
        <i x="3983" s="1" nd="1"/>
        <i x="3743" s="1" nd="1"/>
        <i x="4066" s="1" nd="1"/>
        <i x="2345" s="1" nd="1"/>
        <i x="3053" s="1" nd="1"/>
        <i x="1091" s="1" nd="1"/>
        <i x="792" s="1" nd="1"/>
        <i x="1589" s="1" nd="1"/>
        <i x="397" s="1" nd="1"/>
        <i x="578" s="1" nd="1"/>
        <i x="4129" s="1" nd="1"/>
        <i x="3412" s="1" nd="1"/>
        <i x="2463" s="1" nd="1"/>
        <i x="1138" s="1" nd="1"/>
        <i x="4078" s="1" nd="1"/>
        <i x="2381" s="1" nd="1"/>
        <i x="2375" s="1" nd="1"/>
        <i x="1008" s="1" nd="1"/>
        <i x="1339" s="1" nd="1"/>
        <i x="3930" s="1" nd="1"/>
        <i x="2555" s="1" nd="1"/>
        <i x="3165" s="1" nd="1"/>
        <i x="979" s="1" nd="1"/>
        <i x="694" s="1" nd="1"/>
        <i x="1103" s="1" nd="1"/>
        <i x="1519" s="1" nd="1"/>
        <i x="3451" s="1" nd="1"/>
        <i x="1260" s="1" nd="1"/>
        <i x="3363" s="1" nd="1"/>
        <i x="3343" s="1" nd="1"/>
        <i x="2430" s="1" nd="1"/>
        <i x="1488" s="1" nd="1"/>
        <i x="1573" s="1" nd="1"/>
        <i x="1361" s="1" nd="1"/>
        <i x="2722" s="1" nd="1"/>
        <i x="2894" s="1" nd="1"/>
        <i x="2243" s="1" nd="1"/>
        <i x="1066" s="1" nd="1"/>
        <i x="635" s="1" nd="1"/>
        <i x="212" s="1" nd="1"/>
        <i x="2845" s="1" nd="1"/>
        <i x="2116" s="1" nd="1"/>
        <i x="2131" s="1" nd="1"/>
        <i x="3356" s="1" nd="1"/>
        <i x="2231" s="1" nd="1"/>
        <i x="439" s="1" nd="1"/>
        <i x="1545" s="1" nd="1"/>
        <i x="1817" s="1" nd="1"/>
        <i x="2249" s="1" nd="1"/>
        <i x="3229" s="1" nd="1"/>
        <i x="1723" s="1" nd="1"/>
        <i x="3774" s="1" nd="1"/>
        <i x="3887" s="1" nd="1"/>
        <i x="1643" s="1" nd="1"/>
        <i x="1024" s="1" nd="1"/>
        <i x="280" s="1" nd="1"/>
        <i x="1482" s="1" nd="1"/>
        <i x="1718" s="1" nd="1"/>
        <i x="3840" s="1" nd="1"/>
        <i x="2061" s="1" nd="1"/>
        <i x="1004" s="1" nd="1"/>
        <i x="2909" s="1" nd="1"/>
        <i x="1898" s="1" nd="1"/>
        <i x="1666" s="1" nd="1"/>
        <i x="3934" s="1" nd="1"/>
        <i x="4382" s="1" nd="1"/>
        <i x="2544" s="1" nd="1"/>
        <i x="732" s="1" nd="1"/>
        <i x="2348" s="1" nd="1"/>
        <i x="1891" s="1" nd="1"/>
        <i x="3537" s="1" nd="1"/>
        <i x="1076" s="1" nd="1"/>
        <i x="116" s="1" nd="1"/>
        <i x="3831" s="1" nd="1"/>
        <i x="701" s="1" nd="1"/>
        <i x="2112" s="1" nd="1"/>
        <i x="75" s="1" nd="1"/>
        <i x="2638" s="1" nd="1"/>
        <i x="2074" s="1" nd="1"/>
        <i x="4542" s="1" nd="1"/>
        <i x="1928" s="1" nd="1"/>
        <i x="2574" s="1" nd="1"/>
        <i x="589" s="1" nd="1"/>
        <i x="3109" s="1" nd="1"/>
        <i x="937" s="1" nd="1"/>
        <i x="3685" s="1" nd="1"/>
        <i x="1552" s="1" nd="1"/>
        <i x="1733" s="1" nd="1"/>
        <i x="146" s="1" nd="1"/>
        <i x="1397" s="1" nd="1"/>
        <i x="2578" s="1" nd="1"/>
        <i x="4457" s="1" nd="1"/>
        <i x="2166" s="1" nd="1"/>
        <i x="769" s="1" nd="1"/>
        <i x="1691" s="1" nd="1"/>
        <i x="3436" s="1" nd="1"/>
        <i x="268" s="1" nd="1"/>
        <i x="138" s="1" nd="1"/>
        <i x="1852" s="1" nd="1"/>
        <i x="1895" s="1" nd="1"/>
        <i x="1333" s="1" nd="1"/>
        <i x="2118" s="1" nd="1"/>
        <i x="1873" s="1" nd="1"/>
        <i x="538" s="1" nd="1"/>
        <i x="1889" s="1" nd="1"/>
        <i x="4051" s="1" nd="1"/>
        <i x="1561" s="1" nd="1"/>
        <i x="3106" s="1" nd="1"/>
        <i x="4331" s="1" nd="1"/>
        <i x="3704" s="1" nd="1"/>
        <i x="3080" s="1" nd="1"/>
        <i x="1342" s="1" nd="1"/>
        <i x="1540" s="1" nd="1"/>
        <i x="1410" s="1" nd="1"/>
        <i x="2937" s="1" nd="1"/>
        <i x="4536" s="1" nd="1"/>
        <i x="2477" s="1" nd="1"/>
        <i x="3263" s="1" nd="1"/>
        <i x="515" s="1" nd="1"/>
        <i x="2280" s="1" nd="1"/>
        <i x="2020" s="1" nd="1"/>
        <i x="1710" s="1" nd="1"/>
        <i x="2034" s="1" nd="1"/>
        <i x="1615" s="1" nd="1"/>
        <i x="4369" s="1" nd="1"/>
        <i x="2923" s="1" nd="1"/>
        <i x="1090" s="1" nd="1"/>
        <i x="2630" s="1" nd="1"/>
        <i x="3211" s="1" nd="1"/>
        <i x="2771" s="1" nd="1"/>
        <i x="3966" s="1" nd="1"/>
        <i x="4439" s="1" nd="1"/>
        <i x="4218" s="1" nd="1"/>
        <i x="4068" s="1" nd="1"/>
        <i x="4305" s="1" nd="1"/>
        <i x="1903" s="1" nd="1"/>
        <i x="1736" s="1" nd="1"/>
        <i x="2604" s="1" nd="1"/>
        <i x="3478" s="1" nd="1"/>
        <i x="2611" s="1" nd="1"/>
        <i x="2564" s="1" nd="1"/>
        <i x="3832" s="1" nd="1"/>
        <i x="1235" s="1" nd="1"/>
        <i x="1229" s="1" nd="1"/>
        <i x="2559" s="1" nd="1"/>
        <i x="3443" s="1" nd="1"/>
        <i x="1360" s="1" nd="1"/>
        <i x="4139" s="1" nd="1"/>
        <i x="2223" s="1" nd="1"/>
        <i x="3974" s="1" nd="1"/>
        <i x="2198" s="1" nd="1"/>
        <i x="3212" s="1" nd="1"/>
        <i x="847" s="1" nd="1"/>
        <i x="3860" s="1" nd="1"/>
        <i x="4319" s="1" nd="1"/>
        <i x="908" s="1" nd="1"/>
        <i x="1329" s="1" nd="1"/>
        <i x="1924" s="1" nd="1"/>
        <i x="4039" s="1" nd="1"/>
        <i x="1431" s="1" nd="1"/>
        <i x="2494" s="1" nd="1"/>
        <i x="3231" s="1" nd="1"/>
        <i x="2365" s="1" nd="1"/>
        <i x="843" s="1" nd="1"/>
        <i x="953" s="1" nd="1"/>
        <i x="4045" s="1" nd="1"/>
        <i x="4476" s="1" nd="1"/>
        <i x="2015" s="1" nd="1"/>
        <i x="3789" s="1" nd="1"/>
        <i x="201" s="1" nd="1"/>
        <i x="1813" s="1" nd="1"/>
        <i x="1130" s="1" nd="1"/>
        <i x="3265" s="1" nd="1"/>
        <i x="466" s="1" nd="1"/>
        <i x="779" s="1" nd="1"/>
        <i x="4120" s="1" nd="1"/>
        <i x="296" s="1" nd="1"/>
        <i x="1215" s="1" nd="1"/>
        <i x="965" s="1" nd="1"/>
        <i x="2694" s="1" nd="1"/>
        <i x="4336" s="1" nd="1"/>
        <i x="2390" s="1" nd="1"/>
        <i x="3038" s="1" nd="1"/>
        <i x="765" s="1" nd="1"/>
        <i x="2474" s="1" nd="1"/>
        <i x="2271" s="1" nd="1"/>
        <i x="2351" s="1" nd="1"/>
        <i x="3262" s="1" nd="1"/>
        <i x="1033" s="1" nd="1"/>
        <i x="1949" s="1" nd="1"/>
        <i x="3475" s="1" nd="1"/>
        <i x="3385" s="1" nd="1"/>
        <i x="4510" s="1" nd="1"/>
        <i x="1754" s="1" nd="1"/>
        <i x="357" s="1" nd="1"/>
        <i x="1696" s="1" nd="1"/>
        <i x="1599" s="1" nd="1"/>
        <i x="412" s="1" nd="1"/>
        <i x="504" s="1" nd="1"/>
        <i x="4288" s="1" nd="1"/>
        <i x="4322" s="1" nd="1"/>
        <i x="1232" s="1" nd="1"/>
        <i x="2275" s="1" nd="1"/>
        <i x="3534" s="1" nd="1"/>
        <i x="2006" s="1" nd="1"/>
        <i x="2955" s="1" nd="1"/>
        <i x="2209" s="1" nd="1"/>
        <i x="3902" s="1" nd="1"/>
        <i x="2258" s="1" nd="1"/>
        <i x="1719" s="1" nd="1"/>
        <i x="4196" s="1" nd="1"/>
        <i x="1124" s="1" nd="1"/>
        <i x="3276" s="1" nd="1"/>
        <i x="1382" s="1" nd="1"/>
        <i x="523" s="1" nd="1"/>
        <i x="1700" s="1" nd="1"/>
        <i x="615" s="1" nd="1"/>
        <i x="3334" s="1" nd="1"/>
        <i x="2657" s="1" nd="1"/>
        <i x="3783" s="1" nd="1"/>
        <i x="4271" s="1" nd="1"/>
        <i x="1874" s="1" nd="1"/>
        <i x="1695" s="1" nd="1"/>
        <i x="3701" s="1" nd="1"/>
        <i x="1576" s="1" nd="1"/>
        <i x="2062" s="1" nd="1"/>
        <i x="1262" s="1" nd="1"/>
        <i x="1322" s="1" nd="1"/>
        <i x="1687" s="1" nd="1"/>
        <i x="3233" s="1" nd="1"/>
        <i x="3417" s="1" nd="1"/>
        <i x="630" s="1" nd="1"/>
        <i x="61" s="1" nd="1"/>
        <i x="3565" s="1" nd="1"/>
        <i x="1044" s="1" nd="1"/>
        <i x="4100" s="1" nd="1"/>
        <i x="1880" s="1" nd="1"/>
        <i x="3505" s="1" nd="1"/>
        <i x="2803" s="1" nd="1"/>
        <i x="1274" s="1" nd="1"/>
        <i x="347" s="1" nd="1"/>
        <i x="1654" s="1" nd="1"/>
        <i x="3727" s="1" nd="1"/>
        <i x="4215" s="1" nd="1"/>
        <i x="2893" s="1" nd="1"/>
        <i x="3652" s="1" nd="1"/>
        <i x="1250" s="1" nd="1"/>
        <i x="2653" s="1" nd="1"/>
        <i x="2502" s="1" nd="1"/>
        <i x="1016" s="1" nd="1"/>
        <i x="3592" s="1" nd="1"/>
        <i x="1287" s="1" nd="1"/>
        <i x="3335" s="1" nd="1"/>
        <i x="2513" s="1" nd="1"/>
        <i x="2458" s="1" nd="1"/>
        <i x="1962" s="1" nd="1"/>
        <i x="2132" s="1" nd="1"/>
        <i x="2602" s="1" nd="1"/>
        <i x="3036" s="1" nd="1"/>
        <i x="2467" s="1" nd="1"/>
        <i x="3668" s="1" nd="1"/>
        <i x="3074" s="1" nd="1"/>
        <i x="1853" s="1" nd="1"/>
        <i x="3790" s="1" nd="1"/>
        <i x="719" s="1" nd="1"/>
        <i x="124" s="1" nd="1"/>
        <i x="1241" s="1" nd="1"/>
        <i x="2825" s="1" nd="1"/>
        <i x="3051" s="1" nd="1"/>
        <i x="1220" s="1" nd="1"/>
        <i x="1368" s="1" nd="1"/>
        <i x="2093" s="1" nd="1"/>
        <i x="3383" s="1" nd="1"/>
        <i x="3778" s="1" nd="1"/>
        <i x="2240" s="1" nd="1"/>
        <i x="2745" s="1" nd="1"/>
        <i x="198" s="1" nd="1"/>
        <i x="3833" s="1" nd="1"/>
        <i x="3821" s="1" nd="1"/>
        <i x="1302" s="1" nd="1"/>
        <i x="1053" s="1" nd="1"/>
        <i x="4327" s="1" nd="1"/>
        <i x="3967" s="1" nd="1"/>
        <i x="1161" s="1" nd="1"/>
        <i x="3348" s="1" nd="1"/>
        <i x="3178" s="1" nd="1"/>
        <i x="2680" s="1" nd="1"/>
        <i x="407" s="1" nd="1"/>
        <i x="2060" s="1" nd="1"/>
        <i x="683" s="1" nd="1"/>
        <i x="2731" s="1" nd="1"/>
        <i x="2861" s="1" nd="1"/>
        <i x="156" s="1" nd="1"/>
        <i x="2138" s="1" nd="1"/>
        <i x="1632" s="1" nd="1"/>
        <i x="976" s="1" nd="1"/>
        <i x="540" s="1" nd="1"/>
        <i x="352" s="1" nd="1"/>
        <i x="3370" s="1" nd="1"/>
        <i x="2022" s="1" nd="1"/>
        <i x="1529" s="1" nd="1"/>
        <i x="3958" s="1" nd="1"/>
        <i x="1056" s="1" nd="1"/>
        <i x="939" s="1" nd="1"/>
        <i x="2718" s="1" nd="1"/>
        <i x="118" s="1" nd="1"/>
        <i x="339" s="1" nd="1"/>
        <i x="2606" s="1" nd="1"/>
        <i x="2181" s="1" nd="1"/>
        <i x="3202" s="1" nd="1"/>
        <i x="2452" s="1" nd="1"/>
        <i x="4187" s="1" nd="1"/>
        <i x="3309" s="1" nd="1"/>
        <i x="4411" s="1" nd="1"/>
        <i x="876" s="1" nd="1"/>
        <i x="2448" s="1" nd="1"/>
        <i x="1997" s="1" nd="1"/>
        <i x="626" s="1" nd="1"/>
        <i x="4138" s="1" nd="1"/>
        <i x="700" s="1" nd="1"/>
        <i x="2739" s="1" nd="1"/>
        <i x="3008" s="1" nd="1"/>
        <i x="2840" s="1" nd="1"/>
        <i x="2464" s="1" nd="1"/>
        <i x="1200" s="1" nd="1"/>
        <i x="1923" s="1" nd="1"/>
        <i x="4356" s="1" nd="1"/>
        <i x="3128" s="1" nd="1"/>
        <i x="3380" s="1" nd="1"/>
        <i x="477" s="1" nd="1"/>
        <i x="1309" s="1" nd="1"/>
        <i x="3493" s="1" nd="1"/>
        <i x="949" s="1" nd="1"/>
        <i x="325" s="1" nd="1"/>
        <i x="420" s="1" nd="1"/>
        <i x="2901" s="1" nd="1"/>
        <i x="200" s="1" nd="1"/>
        <i x="657" s="1" nd="1"/>
        <i x="514" s="1" nd="1"/>
        <i x="605" s="1" nd="1"/>
        <i x="4094" s="1" nd="1"/>
        <i x="2449" s="1" nd="1"/>
        <i x="3187" s="1" nd="1"/>
        <i x="2197" s="1" nd="1"/>
        <i x="29" s="1" nd="1"/>
        <i x="312" s="1" nd="1"/>
        <i x="4358" s="1" nd="1"/>
        <i x="3959" s="1" nd="1"/>
        <i x="2619" s="1" nd="1"/>
        <i x="2862" s="1" nd="1"/>
        <i x="3427" s="1" nd="1"/>
        <i x="4450" s="1" nd="1"/>
        <i x="1842" s="1" nd="1"/>
        <i x="919" s="1" nd="1"/>
        <i x="2422" s="1" nd="1"/>
        <i x="3167" s="1" nd="1"/>
        <i x="4494" s="1" nd="1"/>
        <i x="4166" s="1" nd="1"/>
        <i x="1224" s="1" nd="1"/>
        <i x="377" s="1" nd="1"/>
        <i x="167" s="1" nd="1"/>
        <i x="2208" s="1" nd="1"/>
        <i x="250" s="1" nd="1"/>
        <i x="676" s="1" nd="1"/>
        <i x="2302" s="1" nd="1"/>
        <i x="1886" s="1" nd="1"/>
        <i x="920" s="1" nd="1"/>
        <i x="1218" s="1" nd="1"/>
        <i x="1604" s="1" nd="1"/>
        <i x="1818" s="1" nd="1"/>
        <i x="1881" s="1" nd="1"/>
        <i x="3180" s="1" nd="1"/>
        <i x="2391" s="1" nd="1"/>
        <i x="3352" s="1" nd="1"/>
        <i x="421" s="1" nd="1"/>
        <i x="2239" s="1" nd="1"/>
        <i x="1623" s="1" nd="1"/>
        <i x="375" s="1" nd="1"/>
        <i x="1194" s="1" nd="1"/>
        <i x="387" s="1" nd="1"/>
        <i x="4349" s="1" nd="1"/>
        <i x="2416" s="1" nd="1"/>
        <i x="1269" s="1" nd="1"/>
        <i x="3515" s="1" nd="1"/>
        <i x="1129" s="1" nd="1"/>
        <i x="1469" s="1" nd="1"/>
        <i x="4151" s="1" nd="1"/>
        <i x="3718" s="1" nd="1"/>
        <i x="2362" s="1" nd="1"/>
        <i x="4020" s="1" nd="1"/>
        <i x="315" s="1" nd="1"/>
        <i x="2938" s="1" nd="1"/>
        <i x="4337" s="1" nd="1"/>
        <i x="2999" s="1" nd="1"/>
        <i x="1415" s="1" nd="1"/>
        <i x="245" s="1" nd="1"/>
        <i x="4295" s="1" nd="1"/>
        <i x="456" s="1" nd="1"/>
        <i x="229" s="1" nd="1"/>
        <i x="226" s="1" nd="1"/>
        <i x="526" s="1" nd="1"/>
        <i x="1216" s="1" nd="1"/>
        <i x="2582" s="1" nd="1"/>
        <i x="985" s="1" nd="1"/>
        <i x="2814" s="1" nd="1"/>
        <i x="308" s="1" nd="1"/>
        <i x="2119" s="1" nd="1"/>
        <i x="1422" s="1" nd="1"/>
        <i x="3892" s="1" nd="1"/>
        <i x="3205" s="1" nd="1"/>
        <i x="1803" s="1" nd="1"/>
        <i x="4543" s="1" nd="1"/>
        <i x="730" s="1" nd="1"/>
        <i x="373" s="1" nd="1"/>
        <i x="4269" s="1" nd="1"/>
        <i x="390" s="1" nd="1"/>
        <i x="3491" s="1" nd="1"/>
        <i x="2292" s="1" nd="1"/>
        <i x="96" s="1" nd="1"/>
        <i x="132" s="1" nd="1"/>
        <i x="2779" s="1" nd="1"/>
        <i x="1331" s="1" nd="1"/>
        <i x="3641" s="1" nd="1"/>
        <i x="4256" s="1" nd="1"/>
        <i x="3148" s="1" nd="1"/>
        <i x="3957" s="1" nd="1"/>
        <i x="4095" s="1" nd="1"/>
        <i x="4025" s="1" nd="1"/>
        <i x="2867" s="1" nd="1"/>
        <i x="2040" s="1" nd="1"/>
        <i x="3936" s="1" nd="1"/>
        <i x="773" s="1" nd="1"/>
        <i x="4273" s="1" nd="1"/>
        <i x="2466" s="1" nd="1"/>
        <i x="4398" s="1" nd="1"/>
        <i x="2874" s="1" nd="1"/>
        <i x="4438" s="1" nd="1"/>
        <i x="3809" s="1" nd="1"/>
        <i x="2751" s="1" nd="1"/>
        <i x="565" s="1" nd="1"/>
        <i x="1205" s="1" nd="1"/>
        <i x="3063" s="1" nd="1"/>
        <i x="453" s="1" nd="1"/>
        <i x="3150" s="1" nd="1"/>
        <i x="3679" s="1" nd="1"/>
        <i x="3329" s="1" nd="1"/>
        <i x="4167" s="1" nd="1"/>
        <i x="3546" s="1" nd="1"/>
        <i x="2475" s="1" nd="1"/>
        <i x="929" s="1" nd="1"/>
        <i x="1099" s="1" nd="1"/>
        <i x="4109" s="1" nd="1"/>
        <i x="1042" s="1" nd="1"/>
        <i x="2719" s="1" nd="1"/>
        <i x="4178" s="1" nd="1"/>
        <i x="690" s="1" nd="1"/>
        <i x="3316" s="1" nd="1"/>
        <i x="2472" s="1" nd="1"/>
        <i x="1188" s="1" nd="1"/>
        <i x="2205" s="1" nd="1"/>
        <i x="4406" s="1" nd="1"/>
        <i x="3660" s="1" nd="1"/>
        <i x="745" s="1" nd="1"/>
        <i x="8" s="1" nd="1"/>
        <i x="2720" s="1" nd="1"/>
        <i x="2586" s="1" nd="1"/>
        <i x="4532" s="1" nd="1"/>
        <i x="3793" s="1" nd="1"/>
        <i x="3556" s="1" nd="1"/>
        <i x="508" s="1" nd="1"/>
        <i x="3779" s="1" nd="1"/>
        <i x="2682" s="1" nd="1"/>
        <i x="723" s="1" nd="1"/>
        <i x="259" s="1" nd="1"/>
        <i x="3172" s="1" nd="1"/>
        <i x="1326" s="1" nd="1"/>
        <i x="833" s="1" nd="1"/>
        <i x="2936" s="1" nd="1"/>
        <i x="2568" s="1" nd="1"/>
        <i x="3266" s="1" nd="1"/>
        <i x="1168" s="1" nd="1"/>
        <i x="1847" s="1" nd="1"/>
        <i x="2595" s="1" nd="1"/>
        <i x="482" s="1" nd="1"/>
        <i x="1598" s="1" nd="1"/>
        <i x="171" s="1" nd="1"/>
        <i x="2076" s="1" nd="1"/>
        <i x="2127" s="1" nd="1"/>
        <i x="426" s="1" nd="1"/>
        <i x="3000" s="1" nd="1"/>
        <i x="3327" s="1" nd="1"/>
        <i x="3531" s="1" nd="1"/>
        <i x="712" s="1" nd="1"/>
        <i x="1729" s="1" nd="1"/>
        <i x="1276" s="1" nd="1"/>
        <i x="2809" s="1" nd="1"/>
        <i x="1542" s="1" nd="1"/>
        <i x="1960" s="1" nd="1"/>
        <i x="3149" s="1" nd="1"/>
        <i x="15" s="1" nd="1"/>
        <i x="3598" s="1" nd="1"/>
        <i x="4460" s="1" nd="1"/>
        <i x="1077" s="1" nd="1"/>
        <i x="3643" s="1" nd="1"/>
        <i x="4081" s="1" nd="1"/>
        <i x="641" s="1" nd="1"/>
        <i x="3423" s="1" nd="1"/>
        <i x="2210" s="1" nd="1"/>
        <i x="1299" s="1" nd="1"/>
        <i x="672" s="1" nd="1"/>
        <i x="2930" s="1" nd="1"/>
        <i x="2354" s="1" nd="1"/>
        <i x="2443" s="1" nd="1"/>
        <i x="109" s="1" nd="1"/>
        <i x="1749" s="1" nd="1"/>
        <i x="3590" s="1" nd="1"/>
        <i x="361" s="1" nd="1"/>
        <i x="1512" s="1" nd="1"/>
        <i x="2408" s="1" nd="1"/>
        <i x="1461" s="1" nd="1"/>
        <i x="1371" s="1" nd="1"/>
        <i x="170" s="1" nd="1"/>
        <i x="3249" s="1" nd="1"/>
        <i x="1937" s="1" nd="1"/>
        <i x="2490" s="1" nd="1"/>
        <i x="3072" s="1" nd="1"/>
        <i x="551" s="1" nd="1"/>
        <i x="1084" s="1" nd="1"/>
        <i x="3339" s="1" nd="1"/>
        <i x="3049" s="1" nd="1"/>
        <i x="4052" s="1" nd="1"/>
        <i x="4538" s="1" nd="1"/>
        <i x="2539" s="1" nd="1"/>
        <i x="1384" s="1" nd="1"/>
        <i x="168" s="1" nd="1"/>
        <i x="4341" s="1" nd="1"/>
        <i x="3251" s="1" nd="1"/>
        <i x="600" s="1" nd="1"/>
        <i x="1617" s="1" nd="1"/>
        <i x="1424" s="1" nd="1"/>
        <i x="2629" s="1" nd="1"/>
        <i x="2969" s="1" nd="1"/>
        <i x="3353" s="1" nd="1"/>
        <i x="3644" s="1" nd="1"/>
        <i x="4485" s="1" nd="1"/>
        <i x="3288" s="1" nd="1"/>
        <i x="3725" s="1" nd="1"/>
        <i x="454" s="1" nd="1"/>
        <i x="1513" s="1" nd="1"/>
        <i x="3195" s="1" nd="1"/>
        <i x="2993" s="1" nd="1"/>
        <i x="1510" s="1" nd="1"/>
        <i x="1565" s="1" nd="1"/>
        <i x="873" s="1" nd="1"/>
        <i x="573" s="1" nd="1"/>
        <i x="1639" s="1" nd="1"/>
        <i x="2802" s="1" nd="1"/>
        <i x="1883" s="1" nd="1"/>
        <i x="63" s="1" nd="1"/>
        <i x="3116" s="1" nd="1"/>
        <i x="2792" s="1" nd="1"/>
        <i x="199" s="1" nd="1"/>
        <i x="4385" s="1" nd="1"/>
        <i x="3030" s="1" nd="1"/>
        <i x="4169" s="1" nd="1"/>
        <i x="3513" s="1" nd="1"/>
        <i x="1811" s="1" nd="1"/>
        <i x="1408" s="1" nd="1"/>
        <i x="1438" s="1" nd="1"/>
        <i x="3847" s="1" nd="1"/>
        <i x="436" s="1" nd="1"/>
        <i x="2235" s="1" nd="1"/>
        <i x="2973" s="1" nd="1"/>
        <i x="1095" s="1" nd="1"/>
        <i x="2424" s="1" nd="1"/>
        <i x="1976" s="1" nd="1"/>
        <i x="3703" s="1" nd="1"/>
        <i x="4046" s="1" nd="1"/>
        <i x="4426" s="1" nd="1"/>
        <i x="656" s="1" nd="1"/>
        <i x="3480" s="1" nd="1"/>
        <i x="2303" s="1" nd="1"/>
        <i x="272" s="1" nd="1"/>
        <i x="1814" s="1" nd="1"/>
        <i x="484" s="1" nd="1"/>
        <i x="1201" s="1" nd="1"/>
        <i x="652" s="1" nd="1"/>
        <i x="2156" s="1" nd="1"/>
        <i x="2716" s="1" nd="1"/>
        <i x="3929" s="1" nd="1"/>
        <i x="3686" s="1" nd="1"/>
        <i x="542" s="1" nd="1"/>
        <i x="2016" s="1" nd="1"/>
        <i x="3441" s="1" nd="1"/>
        <i x="1584" s="1" nd="1"/>
        <i x="3587" s="1" nd="1"/>
        <i x="122" s="1" nd="1"/>
        <i x="2157" s="1" nd="1"/>
        <i x="1563" s="1" nd="1"/>
        <i x="2826" s="1" nd="1"/>
        <i x="1310" s="1" nd="1"/>
        <i x="3414" s="1" nd="1"/>
        <i x="337" s="1" nd="1"/>
        <i x="2353" s="1" nd="1"/>
        <i x="746" s="1" nd="1"/>
        <i x="1173" s="1" nd="1"/>
        <i x="3817" s="1" nd="1"/>
        <i x="3405" s="1" nd="1"/>
        <i x="2876" s="1" nd="1"/>
        <i x="2931" s="1" nd="1"/>
        <i x="2536" s="1" nd="1"/>
        <i x="3903" s="1" nd="1"/>
        <i x="2684" s="1" nd="1"/>
        <i x="3603" s="1" nd="1"/>
        <i x="770" s="1" nd="1"/>
        <i x="946" s="1" nd="1"/>
        <i x="2096" s="1" nd="1"/>
        <i x="2147" s="1" nd="1"/>
        <i x="3183" s="1" nd="1"/>
        <i x="444" s="1" nd="1"/>
        <i x="207" s="1" nd="1"/>
        <i x="940" s="1" nd="1"/>
        <i x="3055" s="1" nd="1"/>
        <i x="711" s="1" nd="1"/>
        <i x="3376" s="1" nd="1"/>
        <i x="2642" s="1" nd="1"/>
        <i x="3112" s="1" nd="1"/>
        <i x="629" s="1" nd="1"/>
        <i x="302" s="1" nd="1"/>
        <i x="2676" s="1" nd="1"/>
        <i x="3359" s="1" nd="1"/>
        <i x="2563" s="1" nd="1"/>
        <i x="608" s="1" nd="1"/>
        <i x="2207" s="1" nd="1"/>
        <i x="3550" s="1" nd="1"/>
        <i x="4452" s="1" nd="1"/>
        <i x="4535" s="1" nd="1"/>
        <i x="4240" s="1" nd="1"/>
        <i x="2206" s="1" nd="1"/>
        <i x="2203" s="1" nd="1"/>
        <i x="1890" s="1" nd="1"/>
        <i x="2075" s="1" nd="1"/>
        <i x="3859" s="1" nd="1"/>
        <i x="3171" s="1" nd="1"/>
        <i x="3552" s="1" nd="1"/>
        <i x="3749" s="1" nd="1"/>
        <i x="2055" s="1" nd="1"/>
        <i x="3726" s="1" nd="1"/>
        <i x="2556" s="1" nd="1"/>
        <i x="3138" s="1" nd="1"/>
        <i x="2058" s="1" nd="1"/>
        <i x="2584" s="1" nd="1"/>
        <i x="4403" s="1" nd="1"/>
        <i x="3711" s="1" nd="1"/>
        <i x="803" s="1" nd="1"/>
        <i x="799" s="1" nd="1"/>
        <i x="2496" s="1" nd="1"/>
        <i x="1887" s="1" nd="1"/>
        <i x="4263" s="1" nd="1"/>
        <i x="4244" s="1" nd="1"/>
        <i x="1882" s="1" nd="1"/>
        <i x="3829" s="1" nd="1"/>
        <i x="1452" s="1" nd="1"/>
        <i x="1278" s="1" nd="1"/>
        <i x="1628" s="1" nd="1"/>
        <i x="616" s="1" nd="1"/>
        <i x="2986" s="1" nd="1"/>
        <i x="1032" s="1" nd="1"/>
        <i x="2460" s="1" nd="1"/>
        <i x="3097" s="1" nd="1"/>
        <i x="219" s="1" nd="1"/>
        <i x="925" s="1" nd="1"/>
        <i x="3801" s="1" nd="1"/>
        <i x="1515" s="1" nd="1"/>
        <i x="241" s="1" nd="1"/>
        <i x="2987" s="1" nd="1"/>
        <i x="2052" s="1" nd="1"/>
        <i x="4012" s="1" nd="1"/>
        <i x="3307" s="1" nd="1"/>
        <i x="4343" s="1" nd="1"/>
        <i x="57" s="1" nd="1"/>
        <i x="3076" s="1" nd="1"/>
        <i x="6" s="1" nd="1"/>
        <i x="4036" s="1" nd="1"/>
        <i x="125" s="1" nd="1"/>
        <i x="2585" s="1" nd="1"/>
        <i x="4104" s="1" nd="1"/>
        <i x="3763" s="1" nd="1"/>
        <i x="3545" s="1" nd="1"/>
        <i x="1734" s="1" nd="1"/>
        <i x="2270" s="1" nd="1"/>
        <i x="2168" s="1" nd="1"/>
        <i x="3745" s="1" nd="1"/>
        <i x="3168" s="1" nd="1"/>
        <i x="3264" s="1" nd="1"/>
        <i x="2917" s="1" nd="1"/>
        <i x="1476" s="1" nd="1"/>
        <i x="4309" s="1" nd="1"/>
        <i x="188" s="1" nd="1"/>
        <i x="3827" s="1" nd="1"/>
        <i x="3823" s="1" nd="1"/>
        <i x="3464" s="1" nd="1"/>
        <i x="3728" s="1" nd="1"/>
        <i x="73" s="1" nd="1"/>
        <i x="1112" s="1" nd="1"/>
        <i x="4522" s="1" nd="1"/>
        <i x="1298" s="1" nd="1"/>
        <i x="2352" s="1" nd="1"/>
        <i x="1507" s="1" nd="1"/>
        <i x="4312" s="1" nd="1"/>
        <i x="1147" s="1" nd="1"/>
        <i x="2692" s="1" nd="1"/>
        <i x="3319" s="1" nd="1"/>
        <i x="2992" s="1" nd="1"/>
        <i x="4509" s="1" nd="1"/>
        <i x="260" s="1" nd="1"/>
        <i x="4235" s="1" nd="1"/>
        <i x="3365" s="1" nd="1"/>
        <i x="2942" s="1" nd="1"/>
        <i x="2798" s="1" nd="1"/>
        <i x="1318" s="1" nd="1"/>
        <i x="1583" s="1" nd="1"/>
        <i x="2077" s="1" nd="1"/>
        <i x="726" s="1" nd="1"/>
        <i x="2607" s="1" nd="1"/>
        <i x="2044" s="1" nd="1"/>
        <i x="131" s="1" nd="1"/>
        <i x="643" s="1" nd="1"/>
        <i x="586" s="1" nd="1"/>
        <i x="527" s="1" nd="1"/>
        <i x="4203" s="1" nd="1"/>
        <i x="1693" s="1" nd="1"/>
        <i x="4189" s="1" nd="1"/>
        <i x="1524" s="1" nd="1"/>
        <i x="1312" s="1" nd="1"/>
        <i x="4072" s="1" nd="1"/>
        <i x="310" s="1" nd="1"/>
        <i x="1932" s="1" nd="1"/>
        <i x="3281" s="1" nd="1"/>
        <i x="1673" s="1" nd="1"/>
        <i x="3507" s="1" nd="1"/>
        <i x="3306" s="1" nd="1"/>
        <i x="4259" s="1" nd="1"/>
        <i x="4482" s="1" nd="1"/>
        <i x="1151" s="1" nd="1"/>
        <i x="1279" s="1" nd="1"/>
        <i x="4353" s="1" nd="1"/>
        <i x="1823" s="1" nd="1"/>
        <i x="609" s="1" nd="1"/>
        <i x="2104" s="1" nd="1"/>
        <i x="185" s="1" nd="1"/>
        <i x="887" s="1" nd="1"/>
        <i x="2924" s="1" nd="1"/>
        <i x="3273" s="1" nd="1"/>
        <i x="2468" s="1" nd="1"/>
        <i x="1484" s="1" nd="1"/>
        <i x="1221" s="1" nd="1"/>
        <i x="1290" s="1" nd="1"/>
        <i x="317" s="1" nd="1"/>
        <i x="4117" s="1" nd="1"/>
        <i x="3722" s="1" nd="1"/>
        <i x="1648" s="1" nd="1"/>
        <i x="4034" s="1" nd="1"/>
        <i x="1102" s="1" nd="1"/>
        <i x="4097" s="1" nd="1"/>
        <i x="3811" s="1" nd="1"/>
        <i x="2133" s="1" nd="1"/>
        <i x="4083" s="1" nd="1"/>
        <i x="238" s="1" nd="1"/>
        <i x="2493" s="1" nd="1"/>
        <i x="856" s="1" nd="1"/>
        <i x="1157" s="1" nd="1"/>
        <i x="4442" s="1" nd="1"/>
        <i x="2943" s="1" nd="1"/>
        <i x="4380" s="1" nd="1"/>
        <i x="3998" s="1" nd="1"/>
        <i x="2781" s="1" nd="1"/>
        <i x="3057" s="1" nd="1"/>
        <i x="2137" s="1" nd="1"/>
        <i x="2417" s="1" nd="1"/>
        <i x="2176" s="1" nd="1"/>
        <i x="1945" s="1" nd="1"/>
        <i x="1505" s="1" nd="1"/>
        <i x="1380" s="1" nd="1"/>
        <i x="2863" s="1" nd="1"/>
        <i x="1285" s="1" nd="1"/>
        <i x="1023" s="1" nd="1"/>
        <i x="738" s="1" nd="1"/>
        <i x="1316" s="1" nd="1"/>
        <i x="564" s="1" nd="1"/>
        <i x="305" s="1" nd="1"/>
        <i x="603" s="1" nd="1"/>
        <i x="350" s="1" nd="1"/>
        <i x="127" s="1" nd="1"/>
        <i x="3990" s="1" nd="1"/>
        <i x="2790" s="1" nd="1"/>
        <i x="901" s="1" nd="1"/>
        <i x="2501" s="1" nd="1"/>
        <i x="4055" s="1" nd="1"/>
        <i x="3033" s="1" nd="1"/>
        <i x="3972" s="1" nd="1"/>
        <i x="2329" s="1" nd="1"/>
        <i x="975" s="1" nd="1"/>
        <i x="911" s="1" nd="1"/>
        <i x="991" s="1" nd="1"/>
        <i x="1509" s="1" nd="1"/>
        <i x="3021" s="1" nd="1"/>
        <i x="3355" s="1" nd="1"/>
        <i x="2229" s="1" nd="1"/>
        <i x="239" s="1" nd="1"/>
        <i x="4394" s="1" nd="1"/>
        <i x="376" s="1" nd="1"/>
        <i x="1442" s="1" nd="1"/>
        <i x="544" s="1" nd="1"/>
        <i x="3221" s="1" nd="1"/>
        <i x="3476" s="1" nd="1"/>
        <i x="2017" s="1" nd="1"/>
        <i x="4123" s="1" nd="1"/>
        <i x="935" s="1" nd="1"/>
        <i x="2898" s="1" nd="1"/>
        <i x="3022" s="1" nd="1"/>
        <i x="1458" s="1" nd="1"/>
        <i x="1727" s="1" nd="1"/>
        <i x="644" s="1" nd="1"/>
        <i x="3917" s="1" nd="1"/>
        <i x="3723" s="1" nd="1"/>
        <i x="4512" s="1" nd="1"/>
        <i x="3176" s="1" nd="1"/>
        <i x="3223" s="1" nd="1"/>
        <i x="441" s="1" nd="1"/>
        <i x="2695" s="1" nd="1"/>
        <i x="2178" s="1" nd="1"/>
        <i x="2922" s="1" nd="1"/>
        <i x="4529" s="1" nd="1"/>
        <i x="4088" s="1" nd="1"/>
        <i x="4301" s="1" nd="1"/>
        <i x="681" s="1" nd="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mc:Ignorable="x">
  <slicer name="% Ejecución recursos" cache="SegmentaciónDeDatos___Ejecución_recursos" caption="% Ejecución recursos" startItem="5" rowHeight="241300"/>
</slicers>
</file>

<file path=xl/slicers/slicer2.xml><?xml version="1.0" encoding="utf-8"?>
<slicers xmlns="http://schemas.microsoft.com/office/spreadsheetml/2009/9/main" xmlns:mc="http://schemas.openxmlformats.org/markup-compatibility/2006" xmlns:x="http://schemas.openxmlformats.org/spreadsheetml/2006/main" mc:Ignorable="x">
  <slicer name="% Ejecución recursos 1" cache="SegmentaciónDeDatos___Ejecución_recursos1" caption="% Ejecución recursos" startItem="61" rowHeight="241300"/>
  <slicer name="% Ejecución física" cache="SegmentaciónDeDatos___Ejecución_física" caption="% Ejecución física" rowHeight="241300"/>
</slicers>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6" Type="http://schemas.openxmlformats.org/officeDocument/2006/relationships/hyperlink" Target="https://www.contratos.gov.co/consultas/detalleProceso.do?numConstancia=15-13-3657684" TargetMode="External"/><Relationship Id="rId21" Type="http://schemas.openxmlformats.org/officeDocument/2006/relationships/hyperlink" Target="https://www.contratos.gov.co/consultas/detalleProceso.do?numConstancia=15-9-398902" TargetMode="External"/><Relationship Id="rId42" Type="http://schemas.openxmlformats.org/officeDocument/2006/relationships/hyperlink" Target="https://www.contratos.gov.co/consultas/detalleProceso.do?numConstancia=14-13-2910355" TargetMode="External"/><Relationship Id="rId47" Type="http://schemas.openxmlformats.org/officeDocument/2006/relationships/hyperlink" Target="https://www.contratos.gov.co/consultas/detalleProceso.do?numConstancia=14-12-3057752" TargetMode="External"/><Relationship Id="rId63" Type="http://schemas.openxmlformats.org/officeDocument/2006/relationships/hyperlink" Target="https://www.contratos.gov.co/consultas/detalleProceso.do?numConstancia=14-11-2651606" TargetMode="External"/><Relationship Id="rId68" Type="http://schemas.openxmlformats.org/officeDocument/2006/relationships/hyperlink" Target="https://www.contratos.gov.co/consultas/detalleProceso.do?numConstancia=14-12-3007039" TargetMode="External"/><Relationship Id="rId84" Type="http://schemas.openxmlformats.org/officeDocument/2006/relationships/hyperlink" Target="https://www.contratos.gov.co/consultas/detalleProceso.do?numConstancia=15-1-138745" TargetMode="External"/><Relationship Id="rId89" Type="http://schemas.openxmlformats.org/officeDocument/2006/relationships/hyperlink" Target="https://www.contratos.gov.co/consultas/detalleProceso.do?numConstancia=15-13-4024448" TargetMode="External"/><Relationship Id="rId16" Type="http://schemas.openxmlformats.org/officeDocument/2006/relationships/hyperlink" Target="https://www.contratos.gov.co/consultas/detalleProceso.do?numConstancia=15-13-3559466" TargetMode="External"/><Relationship Id="rId11" Type="http://schemas.openxmlformats.org/officeDocument/2006/relationships/hyperlink" Target="https://www.contratos.gov.co/consultas/detalleProceso.do?numConstancia=15-12-3553134" TargetMode="External"/><Relationship Id="rId32" Type="http://schemas.openxmlformats.org/officeDocument/2006/relationships/hyperlink" Target="https://www.contratos.gov.co/consultas/detalleProceso.do?numConstancia=15-9-397602" TargetMode="External"/><Relationship Id="rId37" Type="http://schemas.openxmlformats.org/officeDocument/2006/relationships/hyperlink" Target="https://www.contratos.gov.co/consultas/detalleProceso.do?numConstancia=14-12-2984163" TargetMode="External"/><Relationship Id="rId53" Type="http://schemas.openxmlformats.org/officeDocument/2006/relationships/hyperlink" Target="https://www.contratos.gov.co/consultas/detalleProceso.do?numConstancia=14-13-2485599" TargetMode="External"/><Relationship Id="rId58" Type="http://schemas.openxmlformats.org/officeDocument/2006/relationships/hyperlink" Target="https://www.contratos.gov.co/consultas/detalleProceso.do?numConstancia=14-13-2531321" TargetMode="External"/><Relationship Id="rId74" Type="http://schemas.openxmlformats.org/officeDocument/2006/relationships/hyperlink" Target="https://www.contratos.gov.co/consultas/detalleProceso.do?numConstancia=15-13-3639794" TargetMode="External"/><Relationship Id="rId79" Type="http://schemas.openxmlformats.org/officeDocument/2006/relationships/hyperlink" Target="https://www.contratos.gov.co/consultas/detalleProceso.do?numConstancia=15-13-3848572" TargetMode="External"/><Relationship Id="rId102" Type="http://schemas.openxmlformats.org/officeDocument/2006/relationships/drawing" Target="../drawings/drawing10.xml"/><Relationship Id="rId5" Type="http://schemas.openxmlformats.org/officeDocument/2006/relationships/hyperlink" Target="https://www.contratos.gov.co/consultas/detalleProceso.do?numConstancia=15-12-3487209" TargetMode="External"/><Relationship Id="rId90" Type="http://schemas.openxmlformats.org/officeDocument/2006/relationships/hyperlink" Target="https://www.contratos.gov.co/consultas/detalleProceso.do?numConstancia=15-12-4051007" TargetMode="External"/><Relationship Id="rId95" Type="http://schemas.openxmlformats.org/officeDocument/2006/relationships/hyperlink" Target="https://www.contratos.gov.co/consultas/detalleProceso.do?numConstancia=15-9-403752" TargetMode="External"/><Relationship Id="rId22" Type="http://schemas.openxmlformats.org/officeDocument/2006/relationships/hyperlink" Target="https://www.contratos.gov.co/consultas/detalleProceso.do?numConstancia=15-12-3763103" TargetMode="External"/><Relationship Id="rId27" Type="http://schemas.openxmlformats.org/officeDocument/2006/relationships/hyperlink" Target="https://www.contratos.gov.co/consultas/detalleProceso.do?numConstancia=15-13-3630125" TargetMode="External"/><Relationship Id="rId43" Type="http://schemas.openxmlformats.org/officeDocument/2006/relationships/hyperlink" Target="https://www.contratos.gov.co/consultas/detalleProceso.do?numConstancia=14-13-2759728" TargetMode="External"/><Relationship Id="rId48" Type="http://schemas.openxmlformats.org/officeDocument/2006/relationships/hyperlink" Target="https://www.contratos.gov.co/consultas/detalleProceso.do?numConstancia=14-12-2874374" TargetMode="External"/><Relationship Id="rId64" Type="http://schemas.openxmlformats.org/officeDocument/2006/relationships/hyperlink" Target="https://www.contratos.gov.co/consultas/detalleProceso.do?numConstancia=14-11-2651606" TargetMode="External"/><Relationship Id="rId69" Type="http://schemas.openxmlformats.org/officeDocument/2006/relationships/hyperlink" Target="https://www.contratos.gov.co/consultas/detalleProceso.do?numConstancia=14-12-2798101" TargetMode="External"/><Relationship Id="rId80" Type="http://schemas.openxmlformats.org/officeDocument/2006/relationships/hyperlink" Target="https://www.contratos.gov.co/consultas/detalleProceso.do?numConstancia=15-13-3845860" TargetMode="External"/><Relationship Id="rId85" Type="http://schemas.openxmlformats.org/officeDocument/2006/relationships/hyperlink" Target="https://www.contratos.gov.co/consultas/detalleProceso.do?numConstancia=15-9-402080" TargetMode="External"/><Relationship Id="rId12" Type="http://schemas.openxmlformats.org/officeDocument/2006/relationships/hyperlink" Target="https://www.contratos.gov.co/consultas/detalleProceso.do?numConstancia=15-12-3553182" TargetMode="External"/><Relationship Id="rId17" Type="http://schemas.openxmlformats.org/officeDocument/2006/relationships/hyperlink" Target="https://www.contratos.gov.co/consultas/detalleProceso.do?numConstancia=15-13-3639663" TargetMode="External"/><Relationship Id="rId25" Type="http://schemas.openxmlformats.org/officeDocument/2006/relationships/hyperlink" Target="https://www.contratos.gov.co/consultas/detalleProceso.do?numConstancia=15-9-398690" TargetMode="External"/><Relationship Id="rId33" Type="http://schemas.openxmlformats.org/officeDocument/2006/relationships/hyperlink" Target="https://www.contratos.gov.co/consultas/detalleProceso.do?numConstancia=15-9-397496" TargetMode="External"/><Relationship Id="rId38" Type="http://schemas.openxmlformats.org/officeDocument/2006/relationships/hyperlink" Target="https://www.contratos.gov.co/consultas/detalleProceso.do?numConstancia=14-12-2934206" TargetMode="External"/><Relationship Id="rId46" Type="http://schemas.openxmlformats.org/officeDocument/2006/relationships/hyperlink" Target="https://www.contratos.gov.co/consultas/detalleProceso.do?numConstancia=14-12-2885332" TargetMode="External"/><Relationship Id="rId59" Type="http://schemas.openxmlformats.org/officeDocument/2006/relationships/hyperlink" Target="https://www.contratos.gov.co/consultas/detalleProceso.do?numConstancia=14-13-2514217" TargetMode="External"/><Relationship Id="rId67" Type="http://schemas.openxmlformats.org/officeDocument/2006/relationships/hyperlink" Target="https://www.contratos.gov.co/consultas/detalleProceso.do?numConstancia=14-9-393334" TargetMode="External"/><Relationship Id="rId20" Type="http://schemas.openxmlformats.org/officeDocument/2006/relationships/hyperlink" Target="https://www.contratos.gov.co/consultas/detalleProceso.do?numConstancia=15-13-3754414" TargetMode="External"/><Relationship Id="rId41" Type="http://schemas.openxmlformats.org/officeDocument/2006/relationships/hyperlink" Target="https://www.contratos.gov.co/consultas/detalleProceso.do?numConstancia=14-12-2989058" TargetMode="External"/><Relationship Id="rId54" Type="http://schemas.openxmlformats.org/officeDocument/2006/relationships/hyperlink" Target="https://www.contratos.gov.co/consultas/detalleProceso.do?numConstancia=14-13-2693086" TargetMode="External"/><Relationship Id="rId62" Type="http://schemas.openxmlformats.org/officeDocument/2006/relationships/hyperlink" Target="https://www.contratos.gov.co/consultas/detalleProceso.do?numConstancia=14-1-124021" TargetMode="External"/><Relationship Id="rId70" Type="http://schemas.openxmlformats.org/officeDocument/2006/relationships/hyperlink" Target="http://www.contratos.gov.co/consultas/detalleProceso.do?numConstancia=14-12-2709352" TargetMode="External"/><Relationship Id="rId75" Type="http://schemas.openxmlformats.org/officeDocument/2006/relationships/hyperlink" Target="https://www.contratos.gov.co/consultas/detalleProceso.do?numConstancia=15-12-3803469" TargetMode="External"/><Relationship Id="rId83" Type="http://schemas.openxmlformats.org/officeDocument/2006/relationships/hyperlink" Target="https://www.contratos.gov.co/consultas/detalleProceso.do?numConstancia=15-11-3876776" TargetMode="External"/><Relationship Id="rId88" Type="http://schemas.openxmlformats.org/officeDocument/2006/relationships/hyperlink" Target="https://www.contratos.gov.co/consultas/detalleProceso.do?numConstancia=15-13-4036371" TargetMode="External"/><Relationship Id="rId91" Type="http://schemas.openxmlformats.org/officeDocument/2006/relationships/hyperlink" Target="https://www.contratos.gov.co/consultas/detalleProceso.do?numConstancia=15-11-3865967" TargetMode="External"/><Relationship Id="rId96" Type="http://schemas.openxmlformats.org/officeDocument/2006/relationships/hyperlink" Target="https://www.contratos.gov.co/consultas/detalleProceso.do?numConstancia=15-13-4153145" TargetMode="External"/><Relationship Id="rId1" Type="http://schemas.openxmlformats.org/officeDocument/2006/relationships/hyperlink" Target="https://www.contratos.gov.co/consultas/detalleProceso.do?numConstancia=15-12-3356280" TargetMode="External"/><Relationship Id="rId6" Type="http://schemas.openxmlformats.org/officeDocument/2006/relationships/hyperlink" Target="https://www.contratos.gov.co/consultas/detalleProceso.do?numConstancia=15-12-3498879" TargetMode="External"/><Relationship Id="rId15" Type="http://schemas.openxmlformats.org/officeDocument/2006/relationships/hyperlink" Target="https://www.contratos.gov.co/consultas/detalleProceso.do?numConstancia=15-12-3730679" TargetMode="External"/><Relationship Id="rId23" Type="http://schemas.openxmlformats.org/officeDocument/2006/relationships/hyperlink" Target="https://www.contratos.gov.co/consultas/detalleProceso.do?numConstancia=15-13-3741806" TargetMode="External"/><Relationship Id="rId28" Type="http://schemas.openxmlformats.org/officeDocument/2006/relationships/hyperlink" Target="https://www.contratos.gov.co/consultas/detalleProceso.do?numConstancia=15-9-398335" TargetMode="External"/><Relationship Id="rId36" Type="http://schemas.openxmlformats.org/officeDocument/2006/relationships/hyperlink" Target="http://www.contratos.gov.co/consultas/detalleProceso.do?numConstancia=14-12-2772933" TargetMode="External"/><Relationship Id="rId49" Type="http://schemas.openxmlformats.org/officeDocument/2006/relationships/hyperlink" Target="http://www.contratos.gov.co/consultas/detalleProceso.do?numConstancia=14-12-2912471" TargetMode="External"/><Relationship Id="rId57" Type="http://schemas.openxmlformats.org/officeDocument/2006/relationships/hyperlink" Target="https://www.contratos.gov.co/consultas/detalleProceso.do?numConstancia=14-11-2559733" TargetMode="External"/><Relationship Id="rId10" Type="http://schemas.openxmlformats.org/officeDocument/2006/relationships/hyperlink" Target="https://www.contratos.gov.co/consultas/detalleProceso.do?numConstancia=15-12-3553112" TargetMode="External"/><Relationship Id="rId31" Type="http://schemas.openxmlformats.org/officeDocument/2006/relationships/hyperlink" Target="https://www.contratos.gov.co/consultas/detalleProceso.do?numConstancia=15-13-3703933" TargetMode="External"/><Relationship Id="rId44" Type="http://schemas.openxmlformats.org/officeDocument/2006/relationships/hyperlink" Target="https://www.contratos.gov.co/consultas/detalleProceso.do?numConstancia=14-12-2989058" TargetMode="External"/><Relationship Id="rId52" Type="http://schemas.openxmlformats.org/officeDocument/2006/relationships/hyperlink" Target="https://www.contratos.gov.co/consultas/detalleProceso.do?numConstancia=14-13-3029035" TargetMode="External"/><Relationship Id="rId60" Type="http://schemas.openxmlformats.org/officeDocument/2006/relationships/hyperlink" Target="https://www.contratos.gov.co/consultas/detalleProceso.do?numConstancia=14-1-125523" TargetMode="External"/><Relationship Id="rId65" Type="http://schemas.openxmlformats.org/officeDocument/2006/relationships/hyperlink" Target="https://www.contratos.gov.co/consultas/detalleProceso.do?numConstancia=14-13-2826038" TargetMode="External"/><Relationship Id="rId73" Type="http://schemas.openxmlformats.org/officeDocument/2006/relationships/hyperlink" Target="https://www.contratos.gov.co/consultas/detalleProceso.do?numConstancia=14-1-124021" TargetMode="External"/><Relationship Id="rId78" Type="http://schemas.openxmlformats.org/officeDocument/2006/relationships/hyperlink" Target="https://www.contratos.gov.co/consultas/detalleProceso.do?numConstancia=15-13-3838289" TargetMode="External"/><Relationship Id="rId81" Type="http://schemas.openxmlformats.org/officeDocument/2006/relationships/hyperlink" Target="https://www.contratos.gov.co/consultas/detalleProceso.do?numConstancia=15-13-3845860" TargetMode="External"/><Relationship Id="rId86" Type="http://schemas.openxmlformats.org/officeDocument/2006/relationships/hyperlink" Target="https://www.contratos.gov.co/consultas/detalleProceso.do?numConstancia=15-13-4026302" TargetMode="External"/><Relationship Id="rId94" Type="http://schemas.openxmlformats.org/officeDocument/2006/relationships/hyperlink" Target="https://www.contratos.gov.co/consultas/detalleProceso.do?numConstancia=15-13-4122092" TargetMode="External"/><Relationship Id="rId99" Type="http://schemas.openxmlformats.org/officeDocument/2006/relationships/hyperlink" Target="https://www.contratos.gov.co/consultas/detalleProceso.do?numConstancia=15-11-4204672" TargetMode="External"/><Relationship Id="rId101" Type="http://schemas.openxmlformats.org/officeDocument/2006/relationships/printerSettings" Target="../printerSettings/printerSettings11.bin"/><Relationship Id="rId4" Type="http://schemas.openxmlformats.org/officeDocument/2006/relationships/hyperlink" Target="https://www.contratos.gov.co/consultas/detalleProceso.do?numConstancia=15-12-3473510" TargetMode="External"/><Relationship Id="rId9" Type="http://schemas.openxmlformats.org/officeDocument/2006/relationships/hyperlink" Target="https://www.contratos.gov.co/consultas/detalleProceso.do?numConstancia=15-12-3496928" TargetMode="External"/><Relationship Id="rId13" Type="http://schemas.openxmlformats.org/officeDocument/2006/relationships/hyperlink" Target="https://www.contratos.gov.co/consultas/detalleProceso.do?numConstancia=15-12-3627252" TargetMode="External"/><Relationship Id="rId18" Type="http://schemas.openxmlformats.org/officeDocument/2006/relationships/hyperlink" Target="https://www.contratos.gov.co/consultas/detalleProceso.do?numConstancia=15-13-3589117" TargetMode="External"/><Relationship Id="rId39" Type="http://schemas.openxmlformats.org/officeDocument/2006/relationships/hyperlink" Target="https://www.contratos.gov.co/consultas/detalleProceso.do?numConstancia=14-12-2952122" TargetMode="External"/><Relationship Id="rId34" Type="http://schemas.openxmlformats.org/officeDocument/2006/relationships/hyperlink" Target="https://www.contratos.gov.co/consultas/detalleProceso.do?numConstancia=15-12-3628052" TargetMode="External"/><Relationship Id="rId50" Type="http://schemas.openxmlformats.org/officeDocument/2006/relationships/hyperlink" Target="https://www.contratos.gov.co/consultas/detalleProceso.do?numConstancia=14-12-2892891" TargetMode="External"/><Relationship Id="rId55" Type="http://schemas.openxmlformats.org/officeDocument/2006/relationships/hyperlink" Target="https://www.contratos.gov.co/consultas/detalleProceso.do?numConstancia=14-13-2712193" TargetMode="External"/><Relationship Id="rId76" Type="http://schemas.openxmlformats.org/officeDocument/2006/relationships/hyperlink" Target="https://www.contratos.gov.co/consultas/detalleProceso.do?numConstancia=15-11-3803468" TargetMode="External"/><Relationship Id="rId97" Type="http://schemas.openxmlformats.org/officeDocument/2006/relationships/hyperlink" Target="https://www.contratos.gov.co/consultas/detalleProceso.do?numConstancia=15-1-143353" TargetMode="External"/><Relationship Id="rId7" Type="http://schemas.openxmlformats.org/officeDocument/2006/relationships/hyperlink" Target="https://www.contratos.gov.co/consultas/detalleProceso.do?numConstancia=15-12-3492957" TargetMode="External"/><Relationship Id="rId71" Type="http://schemas.openxmlformats.org/officeDocument/2006/relationships/hyperlink" Target="https://www.contratos.gov.co/consultas/detalleProceso.do?numConstancia=14-12-2798101" TargetMode="External"/><Relationship Id="rId92" Type="http://schemas.openxmlformats.org/officeDocument/2006/relationships/hyperlink" Target="https://www.contratos.gov.co/consultas/detalleProceso.do?numConstancia=15-13-4067426" TargetMode="External"/><Relationship Id="rId2" Type="http://schemas.openxmlformats.org/officeDocument/2006/relationships/hyperlink" Target="https://www.contratos.gov.co/consultas/detalleProceso.do?numConstancia=15-12-3449941" TargetMode="External"/><Relationship Id="rId29" Type="http://schemas.openxmlformats.org/officeDocument/2006/relationships/hyperlink" Target="https://www.contratos.gov.co/consultas/detalleProceso.do?numConstancia=15-9-398335" TargetMode="External"/><Relationship Id="rId24" Type="http://schemas.openxmlformats.org/officeDocument/2006/relationships/hyperlink" Target="https://www.contratos.gov.co/consultas/detalleProceso.do?numConstancia=15-11-3691528" TargetMode="External"/><Relationship Id="rId40" Type="http://schemas.openxmlformats.org/officeDocument/2006/relationships/hyperlink" Target="http://www.contratos.gov.co/consultas/detalleProceso.do?numConstancia=14-12-2989522" TargetMode="External"/><Relationship Id="rId45" Type="http://schemas.openxmlformats.org/officeDocument/2006/relationships/hyperlink" Target="https://www.contratos.gov.co/consultas/detalleProceso.do?numConstancia=14-9-383497" TargetMode="External"/><Relationship Id="rId66" Type="http://schemas.openxmlformats.org/officeDocument/2006/relationships/hyperlink" Target="https://www.contratos.gov.co/consultas/detalleProceso.do?numConstancia=14-17-2800394" TargetMode="External"/><Relationship Id="rId87" Type="http://schemas.openxmlformats.org/officeDocument/2006/relationships/hyperlink" Target="https://www.contratos.gov.co/consultas/detalleProceso.do?numConstancia=15-13-4020539" TargetMode="External"/><Relationship Id="rId61" Type="http://schemas.openxmlformats.org/officeDocument/2006/relationships/hyperlink" Target="https://www.contratos.gov.co/consultas/detalleProceso.do?numConstancia=14-11-3072875" TargetMode="External"/><Relationship Id="rId82" Type="http://schemas.openxmlformats.org/officeDocument/2006/relationships/hyperlink" Target="https://www.contratos.gov.co/consultas/detalleProceso.do?numConstancia=15-13-3869119" TargetMode="External"/><Relationship Id="rId19" Type="http://schemas.openxmlformats.org/officeDocument/2006/relationships/hyperlink" Target="https://www.contratos.gov.co/consultas/detalleProceso.do?numConstancia=15-9-397600" TargetMode="External"/><Relationship Id="rId14" Type="http://schemas.openxmlformats.org/officeDocument/2006/relationships/hyperlink" Target="https://www.contratos.gov.co/consultas/detalleProceso.do?numConstancia=15-13-3528749" TargetMode="External"/><Relationship Id="rId30" Type="http://schemas.openxmlformats.org/officeDocument/2006/relationships/hyperlink" Target="https://www.contratos.gov.co/consultas/detalleProceso.do?numConstancia=15-13-3636838" TargetMode="External"/><Relationship Id="rId35" Type="http://schemas.openxmlformats.org/officeDocument/2006/relationships/hyperlink" Target="https://www.contratos.gov.co/consultas/detalleProceso.do?numConstancia=15-12-3384887" TargetMode="External"/><Relationship Id="rId56" Type="http://schemas.openxmlformats.org/officeDocument/2006/relationships/hyperlink" Target="https://www.contratos.gov.co/consultas/detalleProceso.do?numConstancia=14-9-383497" TargetMode="External"/><Relationship Id="rId77" Type="http://schemas.openxmlformats.org/officeDocument/2006/relationships/hyperlink" Target="https://www.contratos.gov.co/consultas/detalleProceso.do?numConstancia=15-13-3808819" TargetMode="External"/><Relationship Id="rId100" Type="http://schemas.openxmlformats.org/officeDocument/2006/relationships/hyperlink" Target="https://www.contratos.gov.co/consultas/detalleProceso.do?numConstancia=15-13-4243615" TargetMode="External"/><Relationship Id="rId8" Type="http://schemas.openxmlformats.org/officeDocument/2006/relationships/hyperlink" Target="https://www.contratos.gov.co/consultas/detalleProceso.do?numConstancia=15-12-3496763" TargetMode="External"/><Relationship Id="rId51" Type="http://schemas.openxmlformats.org/officeDocument/2006/relationships/hyperlink" Target="https://www.contratos.gov.co/consultas/detalleProceso.do?numConstancia=14-9-384381" TargetMode="External"/><Relationship Id="rId72" Type="http://schemas.openxmlformats.org/officeDocument/2006/relationships/hyperlink" Target="https://www.contratos.gov.co/consultas/detalleProceso.do?numConstancia=15-13-3785525" TargetMode="External"/><Relationship Id="rId93" Type="http://schemas.openxmlformats.org/officeDocument/2006/relationships/hyperlink" Target="https://www.contratos.gov.co/consultas/detalleProceso.do?numConstancia=15-13-4105874" TargetMode="External"/><Relationship Id="rId98" Type="http://schemas.openxmlformats.org/officeDocument/2006/relationships/hyperlink" Target="https://www.contratos.gov.co/consultas/detalleProceso.do?numConstancia=15-9-405015" TargetMode="External"/><Relationship Id="rId3" Type="http://schemas.openxmlformats.org/officeDocument/2006/relationships/hyperlink" Target="https://www.contratos.gov.co/consultas/detalleProceso.do?numConstancia=15-12-3443448" TargetMode="Externa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2.xml"/><Relationship Id="rId1" Type="http://schemas.openxmlformats.org/officeDocument/2006/relationships/printerSettings" Target="../printerSettings/printerSettings12.bin"/><Relationship Id="rId4" Type="http://schemas.openxmlformats.org/officeDocument/2006/relationships/comments" Target="../comments4.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17" Type="http://schemas.openxmlformats.org/officeDocument/2006/relationships/hyperlink" Target="file:///\\cbprint\..\..\..\..\..\..\..\..\Documents\Actas%20de%20liquidaci&#243;n%20aprobados\130091-0-2013%20-%20Acta%20de%20liquidaci&#243;n-%20ok.pdf" TargetMode="External"/><Relationship Id="rId299" Type="http://schemas.openxmlformats.org/officeDocument/2006/relationships/hyperlink" Target="file:///\\cbprint\Documents\Actas%20de%20liquidaci&#243;n%20aprobados\2017\170130-%20DOUGLAS%20TRADE.pdf" TargetMode="External"/><Relationship Id="rId21" Type="http://schemas.openxmlformats.org/officeDocument/2006/relationships/hyperlink" Target="file:///\\cbprint\..\..\..\..\..\..\..\..\Documents\Actas%20de%20liquidaci&#243;n%20aprobados\LIQUIDACIONES%202015\150256-%20DAYANNA%20FERNANDEZ.pdf" TargetMode="External"/><Relationship Id="rId63" Type="http://schemas.openxmlformats.org/officeDocument/2006/relationships/hyperlink" Target="file:///\\cbprint\..\..\..\..\..\..\..\..\Documents\Actas%20de%20liquidaci&#243;n%20aprobados\LIQUIDACIONES%202015\150382-%20OPENLINK.pdf" TargetMode="External"/><Relationship Id="rId159" Type="http://schemas.openxmlformats.org/officeDocument/2006/relationships/hyperlink" Target="file:///\\cbprint\..\..\..\..\..\..\..\..\Documents\Actas%20de%20liquidaci&#243;n%20aprobados\liquidacion%20cto%20221-2012%20-%20ok.pdf" TargetMode="External"/><Relationship Id="rId324" Type="http://schemas.openxmlformats.org/officeDocument/2006/relationships/hyperlink" Target="file:///\\cbprint\..\..\..\..\Documents\Actas%20de%20liquidaci&#243;n%20aprobados\2018\180083-%20JAVIER%20AVENDA&#209;O.pdf" TargetMode="External"/><Relationship Id="rId366" Type="http://schemas.openxmlformats.org/officeDocument/2006/relationships/hyperlink" Target="file:///\\cbprint\Documents\BACKUP%20DOCUMENTOS%20MAR\Actas%20de%20liquidaci&#243;n%20aprobados\2017\170274-%20MAGIQ%20ALL.pdf" TargetMode="External"/><Relationship Id="rId170" Type="http://schemas.openxmlformats.org/officeDocument/2006/relationships/hyperlink" Target="file:///\\cbprint\..\..\..\..\..\..\..\..\Documents\Actas%20de%20liquidaci&#243;n%20aprobados\LIQUIDACIONES%202015\140234.pdf" TargetMode="External"/><Relationship Id="rId226" Type="http://schemas.openxmlformats.org/officeDocument/2006/relationships/hyperlink" Target="file:///\\cbprint\..\..\..\..\..\..\..\..\Documents\Actas%20de%20liquidaci&#243;n%20aprobados\LIQUIDACIONES%202015\160048-%20REVISTA%20EL%20CONGRESO.pdf" TargetMode="External"/><Relationship Id="rId268" Type="http://schemas.openxmlformats.org/officeDocument/2006/relationships/hyperlink" Target="file:///\\cbprint\Documents\Actas%20de%20liquidaci&#243;n%20aprobados\2017\170064-0-2017%20EL%20TIEMPO.pdf" TargetMode="External"/><Relationship Id="rId32" Type="http://schemas.openxmlformats.org/officeDocument/2006/relationships/hyperlink" Target="file:///\\cbprint\..\..\..\..\..\..\..\..\Documents\Actas%20de%20liquidaci&#243;n%20aprobados\LIQUIDACIONES%202015\150363-%20EDITORIAL%20EL%20GLOBO.pdf" TargetMode="External"/><Relationship Id="rId74" Type="http://schemas.openxmlformats.org/officeDocument/2006/relationships/hyperlink" Target="file:///\\cbprint\..\..\..\..\..\..\..\..\Documents\Actas%20de%20liquidaci&#243;n%20aprobados\LIQUIDACIONES%202015\160240-%20DORA%20PINILLA.pdf" TargetMode="External"/><Relationship Id="rId128" Type="http://schemas.openxmlformats.org/officeDocument/2006/relationships/hyperlink" Target="file:///\\cbprint\..\..\..\..\..\..\..\..\Documents\Actas%20de%20liquidaci&#243;n%20aprobados\130281-0-2013%20-%20Acta%20de%20liquidaci&#243;n%20-%20ok.pdf" TargetMode="External"/><Relationship Id="rId335" Type="http://schemas.openxmlformats.org/officeDocument/2006/relationships/hyperlink" Target="file:///\\cbprint\..\..\..\..\Documents\Actas%20de%20liquidaci&#243;n%20aprobados\2008-2012\120000-125-0-2012%20-%20REVISTA%20EL%20CONGRESO.pdf" TargetMode="External"/><Relationship Id="rId377" Type="http://schemas.openxmlformats.org/officeDocument/2006/relationships/hyperlink" Target="file:///\\cbprint\Documents\BACKUP%20DOCUMENTOS%20MAR\Actas%20de%20liquidaci&#243;n%20aprobados\2017\170347-%20EXITO.pdf" TargetMode="External"/><Relationship Id="rId5" Type="http://schemas.openxmlformats.org/officeDocument/2006/relationships/hyperlink" Target="file:///\\cbprint\..\..\..\..\..\..\..\..\Documents\Actas%20de%20liquidaci&#243;n%20aprobados\LIQUIDACIONES%202015\150053-%20Adriana%20Payares.pdf" TargetMode="External"/><Relationship Id="rId181" Type="http://schemas.openxmlformats.org/officeDocument/2006/relationships/hyperlink" Target="file:///\\cbprint\..\..\..\..\..\..\..\..\Documents\Actas%20de%20liquidaci&#243;n%20aprobados\LIQUIDACIONES%202015\150338%20-%20editorial%20la%20unidad.pdf" TargetMode="External"/><Relationship Id="rId237" Type="http://schemas.openxmlformats.org/officeDocument/2006/relationships/hyperlink" Target="file:///\\cbprint\..\..\..\..\..\..\..\..\Documents\Actas%20de%20liquidaci&#243;n%20aprobados\LIQUIDACIONES%202015\160236-%20LUZ%20YANETH%20RODRIGUEZ.pdf" TargetMode="External"/><Relationship Id="rId402" Type="http://schemas.openxmlformats.org/officeDocument/2006/relationships/hyperlink" Target="file:///\\cbprint\Documents\BACKUP%20DOCUMENTOS%20MAR\Actas%20de%20liquidaci&#243;n%20aprobados\2017\170164-%20MITSUBISHI%20ELECTRIC.pdf" TargetMode="External"/><Relationship Id="rId279" Type="http://schemas.openxmlformats.org/officeDocument/2006/relationships/hyperlink" Target="file:///\\cbprint\Documents\Actas%20de%20liquidaci&#243;n%20aprobados\2015\150351-%20NEGSA.pdf" TargetMode="External"/><Relationship Id="rId43" Type="http://schemas.openxmlformats.org/officeDocument/2006/relationships/hyperlink" Target="file:///\\cbprint\..\..\..\..\..\..\..\..\Documents\Actas%20de%20liquidaci&#243;n%20aprobados\LIQUIDACIONES%202015\140356.pdf" TargetMode="External"/><Relationship Id="rId139" Type="http://schemas.openxmlformats.org/officeDocument/2006/relationships/hyperlink" Target="file:///\\cbprint\..\..\..\..\..\..\..\..\Documents\Actas%20de%20liquidaci&#243;n%20aprobados\ACTA%20DE%20LIQUIDACION%20CONTRATO%20120000-399-0-2012%20-%20ok.pdf" TargetMode="External"/><Relationship Id="rId290" Type="http://schemas.openxmlformats.org/officeDocument/2006/relationships/hyperlink" Target="file:///\\cbprint\Documents\Actas%20de%20liquidaci&#243;n%20aprobados\2017\170141-%20INGENIERIA%20Y%20SOLUCIONES.pdf" TargetMode="External"/><Relationship Id="rId304" Type="http://schemas.openxmlformats.org/officeDocument/2006/relationships/hyperlink" Target="file:///\\cbprint\Documents\Actas%20de%20liquidaci&#243;n%20aprobados\2013\130142-%20AGR%20SOLUCIONES.pdf" TargetMode="External"/><Relationship Id="rId346" Type="http://schemas.openxmlformats.org/officeDocument/2006/relationships/hyperlink" Target="file:///\\cbprint\Documents\Actas%20de%20liquidaci&#243;n%20aprobados\2018\180175-%20ALKOSTO.pdf" TargetMode="External"/><Relationship Id="rId388" Type="http://schemas.openxmlformats.org/officeDocument/2006/relationships/hyperlink" Target="file:///\\cbprint\Documents\BACKUP%20DOCUMENTOS%20MAR\Actas%20de%20liquidaci&#243;n%20aprobados\2008-2012\120000-518-0-2012%20IDPC.pdf" TargetMode="External"/><Relationship Id="rId85" Type="http://schemas.openxmlformats.org/officeDocument/2006/relationships/hyperlink" Target="file:///\\cbprint\..\..\..\..\..\..\..\..\Documents\Actas%20de%20liquidaci&#243;n%20aprobados\LIQUIDACIONES%202015\160143-IVON%20A.%20JIMENEZ.pdf" TargetMode="External"/><Relationship Id="rId150" Type="http://schemas.openxmlformats.org/officeDocument/2006/relationships/hyperlink" Target="file:///\\cbprint\..\..\..\..\..\..\..\..\Documents\Actas%20de%20liquidaci&#243;n%20aprobados\INFORME%20FINAL%20DE%20SUPERVISION%20CTO%20130365-0-2013.pdf" TargetMode="External"/><Relationship Id="rId192" Type="http://schemas.openxmlformats.org/officeDocument/2006/relationships/hyperlink" Target="file:///\\cbprint\..\..\..\..\..\..\..\..\Documents\Actas%20de%20liquidaci&#243;n%20aprobados\LIQUIDACIONES%202015\140216-%20UNP.pdf" TargetMode="External"/><Relationship Id="rId206" Type="http://schemas.openxmlformats.org/officeDocument/2006/relationships/hyperlink" Target="file:///\\cbprint\..\..\..\..\..\..\..\..\Documents\Actas%20de%20liquidaci&#243;n%20aprobados\LIQUIDACIONES%202015\140334-%20EL%20GLOBO.pdf" TargetMode="External"/><Relationship Id="rId248" Type="http://schemas.openxmlformats.org/officeDocument/2006/relationships/hyperlink" Target="file:///\\cbprint\..\..\..\..\..\..\..\..\Documents\Actas%20de%20liquidaci&#243;n%20aprobados\LIQUIDACIONES%202015\160273-%20ETB.pdf" TargetMode="External"/><Relationship Id="rId12" Type="http://schemas.openxmlformats.org/officeDocument/2006/relationships/hyperlink" Target="file:///\\cbprint\..\..\..\..\..\..\..\..\Documents\Actas%20de%20liquidaci&#243;n%20aprobados\LIQUIDACIONES%202015\150189-%20UNIPLES.pdf" TargetMode="External"/><Relationship Id="rId108" Type="http://schemas.openxmlformats.org/officeDocument/2006/relationships/hyperlink" Target="file:///\\cbprint\..\..\..\..\..\..\..\..\Documents\Actas%20de%20liquidaci&#243;n%20aprobados\LIQUIDACIONES%202015\160145-%20INTELLIGENT.pdf" TargetMode="External"/><Relationship Id="rId315" Type="http://schemas.openxmlformats.org/officeDocument/2006/relationships/hyperlink" Target="file:///\\cbprint\Documents\Actas%20de%20liquidaci&#243;n%20aprobados\2008-2012\120000-436-0-2011%20D&amp;D%20AIRE%20ACONDICIONADO.pdf" TargetMode="External"/><Relationship Id="rId357" Type="http://schemas.openxmlformats.org/officeDocument/2006/relationships/hyperlink" Target="file:///\\cbprint\Documents\BACKUP%20DOCUMENTOS%20MAR\Actas%20de%20liquidaci&#243;n%20aprobados\2017\170148-%20ARANDA%20SOFTWARE.pdf" TargetMode="External"/><Relationship Id="rId54" Type="http://schemas.openxmlformats.org/officeDocument/2006/relationships/hyperlink" Target="file:///\\cbprint\..\..\..\..\..\..\..\..\Documents\Actas%20de%20liquidaci&#243;n%20aprobados\LIQUIDACIONES%202015\160293-ANGELA%20LIZETH%20PE&#209;A.pdf" TargetMode="External"/><Relationship Id="rId96" Type="http://schemas.openxmlformats.org/officeDocument/2006/relationships/hyperlink" Target="file:///\\cbprint\..\..\..\..\..\..\..\..\Documents\Actas%20de%20liquidaci&#243;n%20aprobados\140190-0-2014%20-%20ok.pdf" TargetMode="External"/><Relationship Id="rId161" Type="http://schemas.openxmlformats.org/officeDocument/2006/relationships/hyperlink" Target="file:///\\cbprint\..\..\..\..\..\..\..\..\Documents\Actas%20de%20liquidaci&#243;n%20aprobados\LIQUIDACION%20CTO%20120000-453-0-2012%20HERNANDO%20BULLA%20-%20ok.pdf" TargetMode="External"/><Relationship Id="rId217" Type="http://schemas.openxmlformats.org/officeDocument/2006/relationships/hyperlink" Target="file:///\\cbprint\..\..\..\..\..\..\..\..\Documents\Actas%20de%20liquidaci&#243;n%20aprobados\LIQUIDACIONES%202015\150168-%20MONRAK%20INGENIERIA.pdf" TargetMode="External"/><Relationship Id="rId399" Type="http://schemas.openxmlformats.org/officeDocument/2006/relationships/hyperlink" Target="file:///\\cbprint\Documents\BACKUP%20DOCUMENTOS%20MAR\Actas%20de%20liquidaci&#243;n%20aprobados\2018\180371-%20PANAMERICANA.pdf" TargetMode="External"/><Relationship Id="rId259" Type="http://schemas.openxmlformats.org/officeDocument/2006/relationships/hyperlink" Target="file:///\\cbprint\Documents\Actas%20de%20liquidaci&#243;n%20aprobados\LIQUIDACIONES%202015\170251-%20DELIGREIZ%20SUAREZ.pdf" TargetMode="External"/><Relationship Id="rId23" Type="http://schemas.openxmlformats.org/officeDocument/2006/relationships/hyperlink" Target="file:///\\cbprint\..\..\..\..\..\..\..\..\Documents\Actas%20de%20liquidaci&#243;n%20aprobados\LIQUIDACIONES%202015\150276-%20JAVIER%20JATIVA.pdf" TargetMode="External"/><Relationship Id="rId119" Type="http://schemas.openxmlformats.org/officeDocument/2006/relationships/hyperlink" Target="file:///\\cbprint\..\..\..\..\..\..\..\..\Documents\Actas%20de%20liquidaci&#243;n%20aprobados\130139-0-2013%20-%20Acta%20de%20liquidaci&#243;n%20-ok.pdf" TargetMode="External"/><Relationship Id="rId270" Type="http://schemas.openxmlformats.org/officeDocument/2006/relationships/hyperlink" Target="file:///\\cbprint\Documents\Actas%20de%20liquidaci&#243;n%20aprobados\2016\160156-%20MEDALLAS%20COLOMBIANAS.pdf" TargetMode="External"/><Relationship Id="rId326" Type="http://schemas.openxmlformats.org/officeDocument/2006/relationships/hyperlink" Target="file:///\\cbprint\..\..\..\..\Documents\Actas%20de%20liquidaci&#243;n%20aprobados\2014\140160-%20NORMA%20MESA.pdf" TargetMode="External"/><Relationship Id="rId65" Type="http://schemas.openxmlformats.org/officeDocument/2006/relationships/hyperlink" Target="file:///\\cbprint\..\..\..\..\..\..\..\..\Documents\Actas%20de%20liquidaci&#243;n%20aprobados\LIQUIDACIONES%202015\160216-%20DANIELA%20ANTOLINEZ.pdf" TargetMode="External"/><Relationship Id="rId130" Type="http://schemas.openxmlformats.org/officeDocument/2006/relationships/hyperlink" Target="file:///\\cbprint\..\..\..\..\..\..\..\..\Documents\Actas%20de%20liquidaci&#243;n%20aprobados\130334-0-2013%20Acta%20de%20liquidaci&#243;n%20-%20ok.pdf" TargetMode="External"/><Relationship Id="rId368" Type="http://schemas.openxmlformats.org/officeDocument/2006/relationships/hyperlink" Target="file:///\\cbprint\Documents\BACKUP%20DOCUMENTOS%20MAR\Actas%20de%20liquidaci&#243;n%20aprobados\2017\170359-%20DELL%20COLOMBIA.pdf" TargetMode="External"/><Relationship Id="rId172" Type="http://schemas.openxmlformats.org/officeDocument/2006/relationships/hyperlink" Target="file:///\\cbprint\..\..\..\..\..\..\..\..\Documents\Actas%20de%20liquidaci&#243;n%20aprobados\LIQUIDACIONES%202015\140249.pdf" TargetMode="External"/><Relationship Id="rId228" Type="http://schemas.openxmlformats.org/officeDocument/2006/relationships/hyperlink" Target="file:///\\cbprint\..\..\..\..\..\..\..\..\Documents\Actas%20de%20liquidaci&#243;n%20aprobados\LIQUIDACIONES%202015\160215-%20DIDIER%20ESTEVEZ.pdf" TargetMode="External"/><Relationship Id="rId281" Type="http://schemas.openxmlformats.org/officeDocument/2006/relationships/hyperlink" Target="file:///\\cbprint\Documents\Actas%20de%20liquidaci&#243;n%20aprobados\2017\170041-%20SOLUCIONES%20ICG%20SAS.pdf" TargetMode="External"/><Relationship Id="rId337" Type="http://schemas.openxmlformats.org/officeDocument/2006/relationships/hyperlink" Target="file:///\\cbprint\..\..\..\..\Documents\Actas%20de%20liquidaci&#243;n%20aprobados\2008-2012\50000-348-0-2012-%20PUBLICACIONES%20SEMANA.pdf" TargetMode="External"/><Relationship Id="rId34" Type="http://schemas.openxmlformats.org/officeDocument/2006/relationships/hyperlink" Target="file:///\\cbprint\..\..\..\..\..\..\..\..\Documents\Actas%20de%20liquidaci&#243;n%20aprobados\LIQUIDACIONES%202015\160041-%20DPC.pdf" TargetMode="External"/><Relationship Id="rId76" Type="http://schemas.openxmlformats.org/officeDocument/2006/relationships/hyperlink" Target="file:///\\cbprint\..\..\..\..\..\..\..\..\Documents\Actas%20de%20liquidaci&#243;n%20aprobados\LIQUIDACIONES%202015\160148-%20SANDRA%20MARCELA%20ROJAS.pdf" TargetMode="External"/><Relationship Id="rId141" Type="http://schemas.openxmlformats.org/officeDocument/2006/relationships/hyperlink" Target="file:///\\cbprint\..\..\..\..\..\..\..\..\Documents\Actas%20de%20liquidaci&#243;n%20aprobados\ACTA%20DE%20LIQUIDACION%20CONTRATO%20130346-0-2013%20-%20ok.pdf" TargetMode="External"/><Relationship Id="rId379" Type="http://schemas.openxmlformats.org/officeDocument/2006/relationships/hyperlink" Target="file:///\\cbprint\Documents\BACKUP%20DOCUMENTOS%20MAR\Actas%20de%20liquidaci&#243;n%20aprobados\2013\130340-%20RIELCO.pdf" TargetMode="External"/><Relationship Id="rId7" Type="http://schemas.openxmlformats.org/officeDocument/2006/relationships/hyperlink" Target="file:///\\cbprint\..\..\..\..\..\..\..\..\Documents\Actas%20de%20liquidaci&#243;n%20aprobados\150073-%20ELVIN%20ALEXANDER.pdf" TargetMode="External"/><Relationship Id="rId183" Type="http://schemas.openxmlformats.org/officeDocument/2006/relationships/hyperlink" Target="file:///\\cbprint\..\..\..\..\..\..\..\..\Documents\Actas%20de%20liquidaci&#243;n%20aprobados\LIQUIDACIONES%202015\160089-%20UNIPLES.pdf" TargetMode="External"/><Relationship Id="rId239" Type="http://schemas.openxmlformats.org/officeDocument/2006/relationships/hyperlink" Target="file:///\\cbprint\..\..\..\..\..\..\..\..\Documents\Actas%20de%20liquidaci&#243;n%20aprobados\LIQUIDACIONES%202015\160195-%20SOLUCIONES%20INTEGRALES%20MJ.pdf" TargetMode="External"/><Relationship Id="rId390" Type="http://schemas.openxmlformats.org/officeDocument/2006/relationships/hyperlink" Target="file:///\\cbprint\Documents\BACKUP%20DOCUMENTOS%20MAR\Actas%20de%20liquidaci&#243;n%20aprobados\2016\160163-%20LUIS%20CARVAJALINO.pdf" TargetMode="External"/><Relationship Id="rId404" Type="http://schemas.openxmlformats.org/officeDocument/2006/relationships/hyperlink" Target="file:///\\cbprint\Documents\BACKUP%20DOCUMENTOS%20MAR\Actas%20de%20liquidaci&#243;n%20aprobados\2017\170059-%20HERNADO%20BULLA.pdf" TargetMode="External"/><Relationship Id="rId250" Type="http://schemas.openxmlformats.org/officeDocument/2006/relationships/hyperlink" Target="file:///\\cbprint\..\..\..\..\..\..\..\..\Documents\Actas%20de%20liquidaci&#243;n%20aprobados\LIQUIDACIONES%202015\170214-%20SGS.pdf" TargetMode="External"/><Relationship Id="rId292" Type="http://schemas.openxmlformats.org/officeDocument/2006/relationships/hyperlink" Target="file:///\\cbprint\Documents\BACKUP%20DOCUMENTOS%20MAR\Actas%20de%20liquidaci&#243;n%20aprobados\2015\150322-%20GREEN%20TIC.pdf" TargetMode="External"/><Relationship Id="rId306" Type="http://schemas.openxmlformats.org/officeDocument/2006/relationships/hyperlink" Target="file:///\\cbprint\Documents\Actas%20de%20liquidaci&#243;n%20aprobados\2013\130161-%20AUGUSTO%20MENDILVIESO.pdf" TargetMode="External"/><Relationship Id="rId45" Type="http://schemas.openxmlformats.org/officeDocument/2006/relationships/hyperlink" Target="file:///\\cbprint\..\..\..\..\..\..\..\..\Documents\Actas%20de%20liquidaci&#243;n%20aprobados\LIQUIDACIONES%202015\150405-%20PROSEGUR.pdf" TargetMode="External"/><Relationship Id="rId87" Type="http://schemas.openxmlformats.org/officeDocument/2006/relationships/hyperlink" Target="file:///\\cbprint\..\..\..\..\..\..\..\..\Documents\Actas%20de%20liquidaci&#243;n%20aprobados\LIQUIDACIONES%202015\160162-%20JULIO%20ANDRES%20SANCHEZ.pdf" TargetMode="External"/><Relationship Id="rId110" Type="http://schemas.openxmlformats.org/officeDocument/2006/relationships/hyperlink" Target="file:///\\cbprint\..\..\..\..\..\..\..\..\Documents\Actas%20de%20liquidaci&#243;n%20aprobados\LIQUIDACIONES%202015\160137-%20LAURA%20VILLARRAGA.pdf" TargetMode="External"/><Relationship Id="rId348" Type="http://schemas.openxmlformats.org/officeDocument/2006/relationships/hyperlink" Target="file:///\\cbprint\Documents\Actas%20de%20liquidaci&#243;n%20aprobados\2017\170204-%20JESUS%20AGUAS.pdf" TargetMode="External"/><Relationship Id="rId152" Type="http://schemas.openxmlformats.org/officeDocument/2006/relationships/hyperlink" Target="file:///\\cbprint\..\..\..\..\..\..\..\..\Documents\Actas%20de%20liquidaci&#243;n%20aprobados\LIQUIDACION%20130265-02013%20TECNOLOGIA%20BIOMEDICA%20SUMINISTROS%20-%20ok.pdf" TargetMode="External"/><Relationship Id="rId194" Type="http://schemas.openxmlformats.org/officeDocument/2006/relationships/hyperlink" Target="file:///\\cbprint\..\..\..\..\..\..\..\..\Documents\Actas%20de%20liquidaci&#243;n%20aprobados\LIQUIDACIONES%202015\140281-%20SUPERIOR%20DE%20DOTACIONES.pdf" TargetMode="External"/><Relationship Id="rId208" Type="http://schemas.openxmlformats.org/officeDocument/2006/relationships/hyperlink" Target="file:///\\cbprint\..\..\..\..\..\..\..\..\Documents\Actas%20de%20liquidaci&#243;n%20aprobados\LIQUIDACIONES%202015\140369-%20ICONTEC.pdf" TargetMode="External"/><Relationship Id="rId261" Type="http://schemas.openxmlformats.org/officeDocument/2006/relationships/hyperlink" Target="file:///\\cbprint\Documents\Actas%20de%20liquidaci&#243;n%20aprobados\LIQUIDACIONES%202015\160188-%20SOLUTION%20COPY.pdf" TargetMode="External"/><Relationship Id="rId14" Type="http://schemas.openxmlformats.org/officeDocument/2006/relationships/hyperlink" Target="file:///\\cbprint\..\..\..\..\..\..\..\..\Documents\Actas%20de%20liquidaci&#243;n%20aprobados\LIQUIDACIONES%202015\150214-%20CARLOS%20FERNANDO%20IBARRA.pdf" TargetMode="External"/><Relationship Id="rId56" Type="http://schemas.openxmlformats.org/officeDocument/2006/relationships/hyperlink" Target="file:///\\cbprint\..\..\..\..\..\..\..\..\Documents\Actas%20de%20liquidaci&#243;n%20aprobados\LIQUIDACIONES%202015\150223-SECURITYCOM%20SAS.pdf" TargetMode="External"/><Relationship Id="rId317" Type="http://schemas.openxmlformats.org/officeDocument/2006/relationships/hyperlink" Target="file:///\\cbprint\..\..\..\..\Documents\Actas%20de%20liquidaci&#243;n%20aprobados\2016\160238-%20LA%20UNIDAD.pdf" TargetMode="External"/><Relationship Id="rId359" Type="http://schemas.openxmlformats.org/officeDocument/2006/relationships/hyperlink" Target="file:///\\cbprint\Documents\BACKUP%20DOCUMENTOS%20MAR\Actas%20de%20liquidaci&#243;n%20aprobados\2017\170145-%20COLSOFT.pdf" TargetMode="External"/><Relationship Id="rId98" Type="http://schemas.openxmlformats.org/officeDocument/2006/relationships/hyperlink" Target="file:///\\cbprint\..\..\..\..\..\..\..\..\Documents\Actas%20de%20liquidaci&#243;n%20aprobados\LIQUIDACIONES%202015\140317.pdf" TargetMode="External"/><Relationship Id="rId121" Type="http://schemas.openxmlformats.org/officeDocument/2006/relationships/hyperlink" Target="file:///\\cbprint\..\..\..\..\..\..\..\..\Documents\Actas%20de%20liquidaci&#243;n%20aprobados\130162-0-2013%20-%20Acta%20de%20liquidaci&#243;n.pdf" TargetMode="External"/><Relationship Id="rId163" Type="http://schemas.openxmlformats.org/officeDocument/2006/relationships/hyperlink" Target="file:///\\cbprint\..\..\..\..\..\..\..\..\Documents\Actas%20de%20liquidaci&#243;n%20aprobados\LIQUIDACION%20CTO%20130190-0-2013%20CR%20TROFEOS%20LTDA%20-%20ok.pdf" TargetMode="External"/><Relationship Id="rId219" Type="http://schemas.openxmlformats.org/officeDocument/2006/relationships/hyperlink" Target="file:///\\cbprint\..\..\..\..\..\..\..\..\Documents\Actas%20de%20liquidaci&#243;n%20aprobados\LIQUIDACIONES%202015\150274-%20MANUEL%20MALDONADO.pdf" TargetMode="External"/><Relationship Id="rId370" Type="http://schemas.openxmlformats.org/officeDocument/2006/relationships/hyperlink" Target="file:///\\cbprint\Documents\BACKUP%20DOCUMENTOS%20MAR\Actas%20de%20liquidaci&#243;n%20aprobados\2017\170369-%20NUEVA%20ERA%20SOLUCIONES.pdf" TargetMode="External"/><Relationship Id="rId230" Type="http://schemas.openxmlformats.org/officeDocument/2006/relationships/hyperlink" Target="file:///\\cbprint\..\..\..\..\..\..\..\..\Documents\Actas%20de%20liquidaci&#243;n%20aprobados\LIQUIDACIONES%202015\160306-%20ARTEINOX.pdf" TargetMode="External"/><Relationship Id="rId25" Type="http://schemas.openxmlformats.org/officeDocument/2006/relationships/hyperlink" Target="file:///\\cbprint\..\..\..\..\..\..\..\..\Documents\Actas%20de%20liquidaci&#243;n%20aprobados\LIQUIDACIONES%202015\150286-%20CLAUDIA%20RODRIGUEZ.pdf" TargetMode="External"/><Relationship Id="rId67" Type="http://schemas.openxmlformats.org/officeDocument/2006/relationships/hyperlink" Target="file:///\\cbprint\..\..\..\..\..\..\..\..\Documents\Actas%20de%20liquidaci&#243;n%20aprobados\LIQUIDACIONES%202015\160244-%20CLAUDIA%20VANEGAS.pdf" TargetMode="External"/><Relationship Id="rId272" Type="http://schemas.openxmlformats.org/officeDocument/2006/relationships/hyperlink" Target="file:///\\cbprint\Documents\Actas%20de%20liquidaci&#243;n%20aprobados\2016\160171-%20DIRECTV.pdf" TargetMode="External"/><Relationship Id="rId328" Type="http://schemas.openxmlformats.org/officeDocument/2006/relationships/hyperlink" Target="file:///\\cbprint\..\..\..\..\Documents\Actas%20de%20liquidaci&#243;n%20aprobados\2017\170056-%20SOLUCIONES%20H%20&amp;%20S.pdf" TargetMode="External"/><Relationship Id="rId132" Type="http://schemas.openxmlformats.org/officeDocument/2006/relationships/hyperlink" Target="file:///\\cbprint\..\..\..\..\..\..\..\..\Documents\Actas%20de%20liquidaci&#243;n%20aprobados\130384-0-2013%20-%20Acta%20de%20liquidaci&#243;n%20-%20ok.pdf" TargetMode="External"/><Relationship Id="rId174" Type="http://schemas.openxmlformats.org/officeDocument/2006/relationships/hyperlink" Target="file:///\\cbprint\..\..\..\..\..\..\..\..\Documents\Actas%20de%20liquidaci&#243;n%20aprobados\LIQUIDACIONES%202015\140370.pdf" TargetMode="External"/><Relationship Id="rId381" Type="http://schemas.openxmlformats.org/officeDocument/2006/relationships/hyperlink" Target="file:///\\cbprint\Documents\BACKUP%20DOCUMENTOS%20MAR\Actas%20de%20liquidaci&#243;n%20aprobados\2013\130220-%20WEISNER%20FABIAN%20ROBAYO.pdf" TargetMode="External"/><Relationship Id="rId241" Type="http://schemas.openxmlformats.org/officeDocument/2006/relationships/hyperlink" Target="file:///\\cbprint\..\..\..\..\..\..\..\..\Documents\Actas%20de%20liquidaci&#243;n%20aprobados\LIQUIDACIONES%202015\150323%20-%20ALCALA.pdf" TargetMode="External"/><Relationship Id="rId36" Type="http://schemas.openxmlformats.org/officeDocument/2006/relationships/hyperlink" Target="file:///\\cbprint\..\..\..\..\..\..\..\..\Documents\Actas%20de%20liquidaci&#243;n%20aprobados\LIQUIDACIONES%202015\150330-%20COMUNICAN.pdf" TargetMode="External"/><Relationship Id="rId283" Type="http://schemas.openxmlformats.org/officeDocument/2006/relationships/hyperlink" Target="file:///\\cbprint\Documents\Actas%20de%20liquidaci&#243;n%20aprobados\2016\160124-%20COMPENSAR.pdf" TargetMode="External"/><Relationship Id="rId339" Type="http://schemas.openxmlformats.org/officeDocument/2006/relationships/hyperlink" Target="file:///\\cbprint\..\..\..\..\Documents\Actas%20de%20liquidaci&#243;n%20aprobados\2008-2012\120000-420-0-2012%20-%20MEDIDORES%20TECNICA%20EQUIPOS.pdf" TargetMode="External"/><Relationship Id="rId78" Type="http://schemas.openxmlformats.org/officeDocument/2006/relationships/hyperlink" Target="file:///\\cbprint\..\..\..\..\..\..\..\..\Documents\Actas%20de%20liquidaci&#243;n%20aprobados\LIQUIDACIONES%202015\150408-%20SOLUCIONES%20%20ICG%20SAS.pdf" TargetMode="External"/><Relationship Id="rId101" Type="http://schemas.openxmlformats.org/officeDocument/2006/relationships/hyperlink" Target="file:///\\cbprint\..\..\..\..\..\..\..\..\Documents\Actas%20de%20liquidaci&#243;n%20aprobados\LIQUIDACIONES%202015\140377-%20GAMMA%20INGENIEROS.pdf" TargetMode="External"/><Relationship Id="rId143" Type="http://schemas.openxmlformats.org/officeDocument/2006/relationships/hyperlink" Target="file:///\\cbprint\..\..\..\..\..\..\..\..\Documents\Actas%20de%20liquidaci&#243;n%20aprobados\Acta%20de%20terminaci&#243;n%20mutuo%20acuerdo%20Cto%20375-2013-DIANA%20PATRICIA%20JAIME.pdf" TargetMode="External"/><Relationship Id="rId185" Type="http://schemas.openxmlformats.org/officeDocument/2006/relationships/hyperlink" Target="file:///\\cbprint\..\..\..\..\..\..\..\..\Documents\Actas%20de%20liquidaci&#243;n%20aprobados\LIQUIDACIONES%202015\140322-%20SUMIMAS.pdf" TargetMode="External"/><Relationship Id="rId350" Type="http://schemas.openxmlformats.org/officeDocument/2006/relationships/hyperlink" Target="file:///\\cbprint\Documents\Actas%20de%20liquidaci&#243;n%20aprobados\2016\160231-%20BOBINADOS%20Y%20SUMINISTROS.pdf" TargetMode="External"/><Relationship Id="rId9" Type="http://schemas.openxmlformats.org/officeDocument/2006/relationships/hyperlink" Target="file:///\\cbprint\..\..\..\..\..\..\..\..\Documents\Actas%20de%20liquidaci&#243;n%20aprobados\LIQUIDACIONES%202015\150191-%20HERNANDO%20BULLA.pdf" TargetMode="External"/><Relationship Id="rId210" Type="http://schemas.openxmlformats.org/officeDocument/2006/relationships/hyperlink" Target="file:///\\cbprint\..\..\..\..\..\..\..\..\Documents\Actas%20de%20liquidaci&#243;n%20aprobados\LIQUIDACIONES%202015\150081-%20LUISA%20FERNANDA.pdf" TargetMode="External"/><Relationship Id="rId392" Type="http://schemas.openxmlformats.org/officeDocument/2006/relationships/hyperlink" Target="file:///\\cbprint\Documents\BACKUP%20DOCUMENTOS%20MAR\Actas%20de%20liquidaci&#243;n%20aprobados\2017\170345-GRUPO%20EMPRESARIAL.pdf" TargetMode="External"/><Relationship Id="rId252" Type="http://schemas.openxmlformats.org/officeDocument/2006/relationships/hyperlink" Target="file:///\\cbprint\..\..\..\..\..\..\..\..\Documents\Actas%20de%20liquidaci&#243;n%20aprobados\LIQUIDACIONES%202015\170093-%20RED%20COMPUTO.pdf" TargetMode="External"/><Relationship Id="rId294" Type="http://schemas.openxmlformats.org/officeDocument/2006/relationships/hyperlink" Target="file:///\\cbprint\Documents\Actas%20de%20liquidaci&#243;n%20aprobados\2017\170247-%20COMERCIALIZADORA%20VIMEL.pdf" TargetMode="External"/><Relationship Id="rId308" Type="http://schemas.openxmlformats.org/officeDocument/2006/relationships/hyperlink" Target="file:///\\cbprint\Documents\Actas%20de%20liquidaci&#243;n%20aprobados\2008-2012\120000-425-0-2012%20INDUARCHIVOS%20LTDA.pdf" TargetMode="External"/><Relationship Id="rId47" Type="http://schemas.openxmlformats.org/officeDocument/2006/relationships/hyperlink" Target="file:///\\cbprint\..\..\..\..\..\..\..\..\Documents\Actas%20de%20liquidaci&#243;n%20aprobados\LIQUIDACIONES%202015\150244-%20COTECNA.pdf" TargetMode="External"/><Relationship Id="rId89" Type="http://schemas.openxmlformats.org/officeDocument/2006/relationships/hyperlink" Target="file:///\\cbprint\..\..\..\..\..\..\..\..\Documents\Actas%20de%20liquidaci&#243;n%20aprobados\LIQUIDACIONES%202015\160153-%20JOHANA%20POVEDA.pdf" TargetMode="External"/><Relationship Id="rId112" Type="http://schemas.openxmlformats.org/officeDocument/2006/relationships/hyperlink" Target="file:///\\cbprint\..\..\..\..\..\..\..\..\Documents\Actas%20de%20liquidaci&#243;n%20aprobados\LIQUIDACIONES%202015\130214-%20SEGUROS%20GENERALES.pdf" TargetMode="External"/><Relationship Id="rId154" Type="http://schemas.openxmlformats.org/officeDocument/2006/relationships/hyperlink" Target="file:///\\cbprint\..\..\..\..\..\..\..\..\Documents\Actas%20de%20liquidaci&#243;n%20aprobados\liquidacion%20cto%20106-2013%20-%20ok.pdf" TargetMode="External"/><Relationship Id="rId361" Type="http://schemas.openxmlformats.org/officeDocument/2006/relationships/hyperlink" Target="file:///\\cbprint\Documents\BACKUP%20DOCUMENTOS%20MAR\Actas%20de%20liquidaci&#243;n%20aprobados\2017\170194-%20FACTOR%20VISUAL.pdf" TargetMode="External"/><Relationship Id="rId196" Type="http://schemas.openxmlformats.org/officeDocument/2006/relationships/hyperlink" Target="file:///\\cbprint\..\..\..\..\..\..\..\..\Documents\Actas%20de%20liquidaci&#243;n%20aprobados\LIQUIDACIONES%202015\140288-%20SGS.pdf" TargetMode="External"/><Relationship Id="rId16" Type="http://schemas.openxmlformats.org/officeDocument/2006/relationships/hyperlink" Target="file:///\\cbprint\..\..\..\..\..\..\..\..\Documents\Actas%20de%20liquidaci&#243;n%20aprobados\LIQUIDACIONES%202015\150232-%20FORMARCHIVOS.pdf" TargetMode="External"/><Relationship Id="rId221" Type="http://schemas.openxmlformats.org/officeDocument/2006/relationships/hyperlink" Target="file:///\\cbprint\..\..\..\..\..\..\..\..\Documents\Actas%20de%20liquidaci&#243;n%20aprobados\LIQUIDACIONES%202015\150394-%20SOLUCIONES%20H&amp;S.pdf" TargetMode="External"/><Relationship Id="rId263" Type="http://schemas.openxmlformats.org/officeDocument/2006/relationships/hyperlink" Target="file:///\\cbprint\Documents\Actas%20de%20liquidaci&#243;n%20aprobados\2016\160225%20-%20INSTITUCIONAL%20STAR%20SERVICES.pdf" TargetMode="External"/><Relationship Id="rId319" Type="http://schemas.openxmlformats.org/officeDocument/2006/relationships/hyperlink" Target="file:///\\cbprint\..\..\..\..\Documents\Actas%20de%20liquidaci&#243;n%20aprobados\2016\160165-%20USA%20POSTAL.pdf" TargetMode="External"/><Relationship Id="rId58" Type="http://schemas.openxmlformats.org/officeDocument/2006/relationships/hyperlink" Target="file:///\\cbprint\..\..\..\..\..\..\..\..\Documents\Actas%20de%20liquidaci&#243;n%20aprobados\LIQUIDACIONES%202015\150101-%20GLORIA%20CATALINA%20ROSERO.pdf" TargetMode="External"/><Relationship Id="rId123" Type="http://schemas.openxmlformats.org/officeDocument/2006/relationships/hyperlink" Target="file:///\\cbprint\..\..\..\..\..\..\..\..\Documents\Actas%20de%20liquidaci&#243;n%20aprobados\130186-0-2013%20-%20Acta%20de%20liquidaci&#243;n%20-ok.pdf" TargetMode="External"/><Relationship Id="rId330" Type="http://schemas.openxmlformats.org/officeDocument/2006/relationships/hyperlink" Target="file:///\\cbprint\..\..\..\..\Documents\Actas%20de%20liquidaci&#243;n%20aprobados\2015\150141-%20MIGUEL%20ANDRES%20GUTIERREZ.pdf" TargetMode="External"/><Relationship Id="rId165" Type="http://schemas.openxmlformats.org/officeDocument/2006/relationships/hyperlink" Target="file:///\\cbprint\..\..\..\..\..\..\..\..\Documents\Actas%20de%20liquidaci&#243;n%20aprobados\LIQUIDACION%20CTO%20130254-0-2013%20COMPENSAR%20%20-%20ok.pdf" TargetMode="External"/><Relationship Id="rId372" Type="http://schemas.openxmlformats.org/officeDocument/2006/relationships/hyperlink" Target="file:///\\cbprint\Documents\BACKUP%20DOCUMENTOS%20MAR\Actas%20de%20liquidaci&#243;n%20aprobados\2017\170353-%20AUTOMOTORES%20COMAGRO.pdf" TargetMode="External"/><Relationship Id="rId211" Type="http://schemas.openxmlformats.org/officeDocument/2006/relationships/hyperlink" Target="file:///\\cbprint\..\..\..\..\..\..\..\..\Documents\Actas%20de%20liquidaci&#243;n%20aprobados\LIQUIDACIONES%202015\150083-%20DIANA%20MARCELA%20REYES.pdf" TargetMode="External"/><Relationship Id="rId232" Type="http://schemas.openxmlformats.org/officeDocument/2006/relationships/hyperlink" Target="file:///\\cbprint\..\..\..\..\..\..\..\..\Documents\Actas%20de%20liquidaci&#243;n%20aprobados\LIQUIDACIONES%202015\130036-%20SYSTEM%20NET.pdf" TargetMode="External"/><Relationship Id="rId253" Type="http://schemas.openxmlformats.org/officeDocument/2006/relationships/hyperlink" Target="file:///\\cbprint\..\..\..\..\..\..\..\..\Documents\Actas%20de%20liquidaci&#243;n%20aprobados\LIQUIDACIONES%202015\160307-%20ALGOAP%20SAS.pdf" TargetMode="External"/><Relationship Id="rId274" Type="http://schemas.openxmlformats.org/officeDocument/2006/relationships/hyperlink" Target="file:///\\cbprint\Documents\Actas%20de%20liquidaci&#243;n%20aprobados\2016\160122-%20HERNANDO%20BULLA.pdf" TargetMode="External"/><Relationship Id="rId295" Type="http://schemas.openxmlformats.org/officeDocument/2006/relationships/hyperlink" Target="file:///\\cbprint\Documents\Actas%20de%20liquidaci&#243;n%20aprobados\2017\170210-%20SGS%20COLOMBIA.pdf" TargetMode="External"/><Relationship Id="rId309" Type="http://schemas.openxmlformats.org/officeDocument/2006/relationships/hyperlink" Target="file:///\\cbprint\Documents\Actas%20de%20liquidaci&#243;n%20aprobados\2013\130146-%20UNION%20TEMPORAL%20INTERPOSTAL%20URBANEX%201.pdf" TargetMode="External"/><Relationship Id="rId27" Type="http://schemas.openxmlformats.org/officeDocument/2006/relationships/hyperlink" Target="file:///\\cbprint\..\..\..\..\..\..\..\..\Documents\Actas%20de%20liquidaci&#243;n%20aprobados\LIQUIDACIONES%202015\150312-%20SIIGO%20SA.pdf" TargetMode="External"/><Relationship Id="rId48" Type="http://schemas.openxmlformats.org/officeDocument/2006/relationships/hyperlink" Target="file:///\\cbprint\..\..\..\..\..\..\..\..\Documents\Actas%20de%20liquidaci&#243;n%20aprobados\LIQUIDACIONES%202015\050000-272-0-2011%20AGR%20SOLUCIONES.pdf" TargetMode="External"/><Relationship Id="rId69" Type="http://schemas.openxmlformats.org/officeDocument/2006/relationships/hyperlink" Target="file:///\\cbprint\..\..\..\..\..\..\..\..\Documents\Actas%20de%20liquidaci&#243;n%20aprobados\LIQUIDACIONES%202015\170021-%20ANGELICA%20MARIA%20RUBIO%20POLANCO.pdf" TargetMode="External"/><Relationship Id="rId113" Type="http://schemas.openxmlformats.org/officeDocument/2006/relationships/hyperlink" Target="file:///\\cbprint\..\..\..\..\..\..\..\..\Documents\Actas%20de%20liquidaci&#243;n%20aprobados\130217-%20%20SOLUCIONES%20Y%20DIAGNOSTICOS.pdf" TargetMode="External"/><Relationship Id="rId134" Type="http://schemas.openxmlformats.org/officeDocument/2006/relationships/hyperlink" Target="file:///\\cbprint\..\..\..\..\..\..\..\..\Documents\Actas%20de%20liquidaci&#243;n%20aprobados\140166-0-2014%20-%20Acta%20de%20liquidaci&#243;n%20-ok.pdf" TargetMode="External"/><Relationship Id="rId320" Type="http://schemas.openxmlformats.org/officeDocument/2006/relationships/hyperlink" Target="file:///\\cbprint\..\..\..\..\Documents\Actas%20de%20liquidaci&#243;n%20aprobados\2016\160250%20-%20SEAN.pdf" TargetMode="External"/><Relationship Id="rId80" Type="http://schemas.openxmlformats.org/officeDocument/2006/relationships/hyperlink" Target="file:///\\cbprint\..\..\..\..\..\..\..\..\Documents\Actas%20de%20liquidaci&#243;n%20aprobados\LIQUIDACIONES%202015\160138-%20WILSON%20GUERRERO.pdf" TargetMode="External"/><Relationship Id="rId155" Type="http://schemas.openxmlformats.org/officeDocument/2006/relationships/hyperlink" Target="file:///\\cbprint\..\..\..\..\..\..\..\..\Documents\Actas%20de%20liquidaci&#243;n%20aprobados\liquidacion%20cto%20133-2013%20(2)%20-%20ok.pdf" TargetMode="External"/><Relationship Id="rId176" Type="http://schemas.openxmlformats.org/officeDocument/2006/relationships/hyperlink" Target="file:///\\cbprint\..\..\..\..\..\..\..\..\Documents\Actas%20de%20liquidaci&#243;n%20aprobados\LIQUIDACIONES%202015\150076-%20JUDITH%20HERNANDEZ.pdf" TargetMode="External"/><Relationship Id="rId197" Type="http://schemas.openxmlformats.org/officeDocument/2006/relationships/hyperlink" Target="file:///\\cbprint\..\..\..\..\..\..\..\..\Documents\Actas%20de%20liquidaci&#243;n%20aprobados\LIQUIDACIONES%202015\140290-%20CENDIATRA.pdf" TargetMode="External"/><Relationship Id="rId341" Type="http://schemas.openxmlformats.org/officeDocument/2006/relationships/hyperlink" Target="file:///\\cbprint\..\..\..\..\Documents\Actas%20de%20liquidaci&#243;n%20aprobados\2008-2012\050000-427-0-2012.pdf" TargetMode="External"/><Relationship Id="rId362" Type="http://schemas.openxmlformats.org/officeDocument/2006/relationships/hyperlink" Target="file:///\\cbprint\Documents\BACKUP%20DOCUMENTOS%20MAR\Actas%20de%20liquidaci&#243;n%20aprobados\2017\170242-%20GREEN%20FON%20GROUP.pdf" TargetMode="External"/><Relationship Id="rId383" Type="http://schemas.openxmlformats.org/officeDocument/2006/relationships/hyperlink" Target="file:///\\cbprint\Documents\BACKUP%20DOCUMENTOS%20MAR\Actas%20de%20liquidaci&#243;n%20aprobados\2013\130116-%20EDGARDO%20MALDONADO.pdf" TargetMode="External"/><Relationship Id="rId201" Type="http://schemas.openxmlformats.org/officeDocument/2006/relationships/hyperlink" Target="file:///\\cbprint\..\..\..\..\..\..\..\..\Documents\Actas%20de%20liquidaci&#243;n%20aprobados\LIQUIDACIONES%202015\140207-%20MUDANZAS%20DEL%20NOGAL.pdf" TargetMode="External"/><Relationship Id="rId222" Type="http://schemas.openxmlformats.org/officeDocument/2006/relationships/hyperlink" Target="file:///\\cbprint\..\..\..\..\..\..\..\..\Documents\Actas%20de%20liquidaci&#243;n%20aprobados\LIQUIDACIONES%202015\150398-%20MARLON%20MIRANDA.pdf" TargetMode="External"/><Relationship Id="rId243" Type="http://schemas.openxmlformats.org/officeDocument/2006/relationships/hyperlink" Target="file:///\\cbprint\..\..\..\..\..\..\..\..\Documents\Actas%20de%20liquidaci&#243;n%20aprobados\LIQUIDACIONES%202015\170305-%20JAVIER%20AVENDA&#209;O.pdf" TargetMode="External"/><Relationship Id="rId264" Type="http://schemas.openxmlformats.org/officeDocument/2006/relationships/hyperlink" Target="file:///\\cbprint\Documents\Actas%20de%20liquidaci&#243;n%20aprobados\2016\160237-%20YAMEL%20MARTINEZ.pdf" TargetMode="External"/><Relationship Id="rId285" Type="http://schemas.openxmlformats.org/officeDocument/2006/relationships/hyperlink" Target="file:///\\cbprint\Documents\Actas%20de%20liquidaci&#243;n%20aprobados\2015\150333-%20CEYCO.pdf" TargetMode="External"/><Relationship Id="rId17" Type="http://schemas.openxmlformats.org/officeDocument/2006/relationships/hyperlink" Target="file:///\\cbprint\..\..\..\..\..\..\..\..\Documents\Actas%20de%20liquidaci&#243;n%20aprobados\LIQUIDACIONES%202015\150241-%20SOLUTION%20COPY.pdf" TargetMode="External"/><Relationship Id="rId38" Type="http://schemas.openxmlformats.org/officeDocument/2006/relationships/hyperlink" Target="file:///\\cbprint\..\..\..\..\..\..\..\..\Documents\Actas%20de%20liquidaci&#243;n%20aprobados\LIQUIDACIONES%202015\150219-%20MITSUBISHI%20ELECTRIC.pdf" TargetMode="External"/><Relationship Id="rId59" Type="http://schemas.openxmlformats.org/officeDocument/2006/relationships/hyperlink" Target="file:///\\cbprint\..\..\..\..\..\..\..\..\Documents\Actas%20de%20liquidaci&#243;n%20aprobados\LIQUIDACIONES%202015\150316-%20PROCOLDEXT.pdf" TargetMode="External"/><Relationship Id="rId103" Type="http://schemas.openxmlformats.org/officeDocument/2006/relationships/hyperlink" Target="file:///\\cbprint\..\..\..\..\..\..\..\..\Documents\Actas%20de%20liquidaci&#243;n%20aprobados\LIQUIDACIONES%202015\140392-%20MAICROTEL.pdf" TargetMode="External"/><Relationship Id="rId124" Type="http://schemas.openxmlformats.org/officeDocument/2006/relationships/hyperlink" Target="file:///\\cbprint\..\..\..\..\..\..\..\..\Documents\Actas%20de%20liquidaci&#243;n%20aprobados\130204-0-2013%20Acta%20de%20liquidaci&#243;n%20-%20ok.pdf" TargetMode="External"/><Relationship Id="rId310" Type="http://schemas.openxmlformats.org/officeDocument/2006/relationships/hyperlink" Target="file:///\\cbprint\Documents\Actas%20de%20liquidaci&#243;n%20aprobados\2013\130301-%20COMPENSAR.pdf" TargetMode="External"/><Relationship Id="rId70" Type="http://schemas.openxmlformats.org/officeDocument/2006/relationships/hyperlink" Target="file:///\\cbprint\..\..\..\..\..\..\..\..\Documents\Actas%20de%20liquidaci&#243;n%20aprobados\LIQUIDACIONES%202015\160129-%20CRISTIAN%20CAMILO%20RAMOS.pdf" TargetMode="External"/><Relationship Id="rId91" Type="http://schemas.openxmlformats.org/officeDocument/2006/relationships/hyperlink" Target="file:///\\cbprint\..\..\..\..\..\..\..\..\Documents\Actas%20de%20liquidaci&#243;n%20aprobados\LIQUIDACIONES%202015\160047-%20ROSA%20ENRIQUELINA%20GOMEZ.pdf" TargetMode="External"/><Relationship Id="rId145" Type="http://schemas.openxmlformats.org/officeDocument/2006/relationships/hyperlink" Target="file:///\\cbprint\..\..\..\..\..\..\..\..\Documents\Actas%20de%20liquidaci&#243;n%20aprobados\acta%20liquidacion%20328-2013.pdf" TargetMode="External"/><Relationship Id="rId166" Type="http://schemas.openxmlformats.org/officeDocument/2006/relationships/hyperlink" Target="file:///\\cbprint\..\..\..\..\..\..\..\..\Documents\Actas%20de%20liquidaci&#243;n%20aprobados\LIQUIDACIONES%202015\140154.pdf" TargetMode="External"/><Relationship Id="rId187" Type="http://schemas.openxmlformats.org/officeDocument/2006/relationships/hyperlink" Target="file:///\\cbprint\..\..\..\..\..\..\..\..\Documents\Actas%20de%20liquidaci&#243;n%20aprobados\LIQUIDACIONES%202015\140292-%20JUAN%20SEBASTIAN%20RAMIREZ.pdf" TargetMode="External"/><Relationship Id="rId331" Type="http://schemas.openxmlformats.org/officeDocument/2006/relationships/hyperlink" Target="file:///\\cbprint\..\..\..\..\Documents\Actas%20de%20liquidaci&#243;n%20aprobados\2015\150271-%20IDPC.pdf" TargetMode="External"/><Relationship Id="rId352" Type="http://schemas.openxmlformats.org/officeDocument/2006/relationships/hyperlink" Target="file:///\\cbprint\Documents\BACKUP%20DOCUMENTOS%20MAR\Actas%20de%20liquidaci&#243;n%20aprobados\2017\170004-%20AUTOGAS.pdf" TargetMode="External"/><Relationship Id="rId373" Type="http://schemas.openxmlformats.org/officeDocument/2006/relationships/hyperlink" Target="file:///\\cbprint\Documents\BACKUP%20DOCUMENTOS%20MAR\Actas%20de%20liquidaci&#243;n%20aprobados\2014\140382-%20VIGILANCIA%20ACOSTA.pdf" TargetMode="External"/><Relationship Id="rId394" Type="http://schemas.openxmlformats.org/officeDocument/2006/relationships/hyperlink" Target="file:///\\cbprint\Documents\BACKUP%20DOCUMENTOS%20MAR\Actas%20de%20liquidaci&#243;n%20aprobados\2013\130386%20-%20CONTROLES%20EMPRESARIALES.pdf" TargetMode="External"/><Relationship Id="rId1" Type="http://schemas.openxmlformats.org/officeDocument/2006/relationships/hyperlink" Target="mailto:M@icrotel%20ltda" TargetMode="External"/><Relationship Id="rId212" Type="http://schemas.openxmlformats.org/officeDocument/2006/relationships/hyperlink" Target="file:///\\cbprint\..\..\..\..\..\..\..\..\Documents\Actas%20de%20liquidaci&#243;n%20aprobados\LIQUIDACIONES%202015\150100-%20KHAANKO%20RUIZ.pdf" TargetMode="External"/><Relationship Id="rId233" Type="http://schemas.openxmlformats.org/officeDocument/2006/relationships/hyperlink" Target="file:///\\cbprint\..\..\..\..\..\..\..\..\Documents\Actas%20de%20liquidaci&#243;n%20aprobados\LIQUIDACIONES%202015\150277-%20FAIBER%20CORREA.pdf" TargetMode="External"/><Relationship Id="rId254" Type="http://schemas.openxmlformats.org/officeDocument/2006/relationships/hyperlink" Target="file:///\\cbprint\..\..\..\..\..\..\..\..\Documents\Actas%20de%20liquidaci&#243;n%20aprobados\LIQUIDACIONES%202015\160316-%20RED%20COMPUTO.pdf" TargetMode="External"/><Relationship Id="rId28" Type="http://schemas.openxmlformats.org/officeDocument/2006/relationships/hyperlink" Target="file:///\\cbprint\..\..\..\..\..\..\..\..\Documents\Actas%20de%20liquidaci&#243;n%20aprobados\LIQUIDACIONES%202015\150329-%20INFORMATICA%20DOCUMENTAL.pdf" TargetMode="External"/><Relationship Id="rId49" Type="http://schemas.openxmlformats.org/officeDocument/2006/relationships/hyperlink" Target="file:///\\cbprint\..\..\..\..\..\..\..\..\Documents\Actas%20de%20liquidaci&#243;n%20aprobados\LIQUIDACIONES%202015\160072-%20RAFAELA%20ARIZA.pdf" TargetMode="External"/><Relationship Id="rId114" Type="http://schemas.openxmlformats.org/officeDocument/2006/relationships/hyperlink" Target="file:///\\cbprint\..\..\..\..\..\..\..\..\Documents\Actas%20de%20liquidaci&#243;n%20aprobados\LIQUIDACIONES%202015\130130-%20TERPEL.pdf" TargetMode="External"/><Relationship Id="rId275" Type="http://schemas.openxmlformats.org/officeDocument/2006/relationships/hyperlink" Target="file:///\\cbprint\Documents\Actas%20de%20liquidaci&#243;n%20aprobados\2016\160105-%20A&amp;V%20EXPRESS.pdf" TargetMode="External"/><Relationship Id="rId296" Type="http://schemas.openxmlformats.org/officeDocument/2006/relationships/hyperlink" Target="file:///\\cbprint\Documents\Actas%20de%20liquidaci&#243;n%20aprobados\2017\170175-%20PASSWORD%20CONSULTING.pdf" TargetMode="External"/><Relationship Id="rId300" Type="http://schemas.openxmlformats.org/officeDocument/2006/relationships/hyperlink" Target="file:///\\cbprint\Documents\Actas%20de%20liquidaci&#243;n%20aprobados\2016\160315-%20FABRICAMOS%20SU%20SUDADERA.pdf" TargetMode="External"/><Relationship Id="rId60" Type="http://schemas.openxmlformats.org/officeDocument/2006/relationships/hyperlink" Target="file:///\\cbprint\..\..\..\..\..\..\..\..\Documents\Actas%20de%20liquidaci&#243;n%20aprobados\LIQUIDACIONES%202015\150320-%20NUEVA%20LEGISLACION.pdf" TargetMode="External"/><Relationship Id="rId81" Type="http://schemas.openxmlformats.org/officeDocument/2006/relationships/hyperlink" Target="file:///\\cbprint\..\..\..\..\..\..\..\..\Documents\Actas%20de%20liquidaci&#243;n%20aprobados\LIQUIDACIONES%202015\160166-%20SGS%20COLOMBIA.pdf" TargetMode="External"/><Relationship Id="rId135" Type="http://schemas.openxmlformats.org/officeDocument/2006/relationships/hyperlink" Target="file:///\\cbprint\..\..\..\..\..\..\..\..\Documents\Actas%20de%20liquidaci&#243;n%20aprobados\140173-0-2014%20-%20Acta%20de%20liquidaci&#243;n%20-%20ok.pdf" TargetMode="External"/><Relationship Id="rId156" Type="http://schemas.openxmlformats.org/officeDocument/2006/relationships/hyperlink" Target="file:///\\cbprint\..\..\..\..\..\..\..\..\Documents\Actas%20de%20liquidaci&#243;n%20aprobados\liquidacion%20cto%20147-2013%20(2)%20-%20ok.pdf" TargetMode="External"/><Relationship Id="rId177" Type="http://schemas.openxmlformats.org/officeDocument/2006/relationships/hyperlink" Target="file:///\\cbprint\..\..\..\..\..\..\..\..\Documents\Actas%20de%20liquidaci&#243;n%20aprobados\LIQUIDACIONES%202015\150101-%20GLORIA%20CATALINA%20ROSERO.pdf" TargetMode="External"/><Relationship Id="rId198" Type="http://schemas.openxmlformats.org/officeDocument/2006/relationships/hyperlink" Target="file:///\\cbprint\..\..\..\..\..\..\..\..\Documents\Actas%20de%20liquidaci&#243;n%20aprobados\LIQUIDACIONES%202015\150278-%20YURI%20REYES.pdf" TargetMode="External"/><Relationship Id="rId321" Type="http://schemas.openxmlformats.org/officeDocument/2006/relationships/hyperlink" Target="file:///\\cbprint\..\..\..\..\Documents\Actas%20de%20liquidaci&#243;n%20aprobados\2016\160287-%20ALMACENES%20EXITO.pdf" TargetMode="External"/><Relationship Id="rId342" Type="http://schemas.openxmlformats.org/officeDocument/2006/relationships/hyperlink" Target="file:///\\cbprint\Documents\Actas%20de%20liquidaci&#243;n%20aprobados\2008-2012\120000-196-0-2012-%20SGS.pdf" TargetMode="External"/><Relationship Id="rId363" Type="http://schemas.openxmlformats.org/officeDocument/2006/relationships/hyperlink" Target="file:///\\cbprint\Documents\BACKUP%20DOCUMENTOS%20MAR\Actas%20de%20liquidaci&#243;n%20aprobados\2017\170244-%20SEAN%20ELECTRONICA.pdf" TargetMode="External"/><Relationship Id="rId384" Type="http://schemas.openxmlformats.org/officeDocument/2006/relationships/hyperlink" Target="file:///\\cbprint\Documents\BACKUP%20DOCUMENTOS%20MAR\Actas%20de%20liquidaci&#243;n%20aprobados\2013\130373%20-%20COLSOFT.pdf" TargetMode="External"/><Relationship Id="rId202" Type="http://schemas.openxmlformats.org/officeDocument/2006/relationships/hyperlink" Target="file:///\\cbprint\..\..\..\..\..\..\..\..\Documents\Actas%20de%20liquidaci&#243;n%20aprobados\LIQUIDACIONES%202015\120000-451-0-2012%20COMPENSAR.pdf" TargetMode="External"/><Relationship Id="rId223" Type="http://schemas.openxmlformats.org/officeDocument/2006/relationships/hyperlink" Target="file:///\\cbprint\..\..\..\..\..\..\..\..\Documents\Actas%20de%20liquidaci&#243;n%20aprobados\LIQUIDACIONES%202015\150404-%20PUBLIDRUGS.pdf" TargetMode="External"/><Relationship Id="rId244" Type="http://schemas.openxmlformats.org/officeDocument/2006/relationships/hyperlink" Target="file:///\\cbprint\..\..\..\..\..\..\..\..\Documents\Actas%20de%20liquidaci&#243;n%20aprobados\LIQUIDACIONES%202015\160228%20-%20UT%20HACIENDA%20BOGOTA.pdf" TargetMode="External"/><Relationship Id="rId18" Type="http://schemas.openxmlformats.org/officeDocument/2006/relationships/hyperlink" Target="file:///\\cbprint\..\..\..\..\..\..\..\..\Documents\Actas%20de%20liquidaci&#243;n%20aprobados\LIQUIDACIONES%202015\150245-%20SANDRA%20M%20ROJAS.pdf" TargetMode="External"/><Relationship Id="rId39" Type="http://schemas.openxmlformats.org/officeDocument/2006/relationships/hyperlink" Target="file:///\\cbprint\..\..\..\..\..\..\..\..\Documents\Actas%20de%20liquidaci&#243;n%20aprobados\LIQUIDACIONES%202015\150391-UNION%20TEMPORAL%20BMIND%20-%20KOGHI.pdf" TargetMode="External"/><Relationship Id="rId265" Type="http://schemas.openxmlformats.org/officeDocument/2006/relationships/hyperlink" Target="file:///\\cbprint\Documents\Actas%20de%20liquidaci&#243;n%20aprobados\2016\160282-%20SOLUCIONES%20H&amp;%20S.pdf" TargetMode="External"/><Relationship Id="rId286" Type="http://schemas.openxmlformats.org/officeDocument/2006/relationships/hyperlink" Target="file:///\\cbprint\Documents\Actas%20de%20liquidaci&#243;n%20aprobados\2008-2012\120000-177-0-2012%20CANAL%20CAPITAL.pdf" TargetMode="External"/><Relationship Id="rId50" Type="http://schemas.openxmlformats.org/officeDocument/2006/relationships/hyperlink" Target="file:///\\cbprint\..\..\..\..\..\..\..\..\Documents\Actas%20de%20liquidaci&#243;n%20aprobados\LIQUIDACIONES%202015\160092-%20JAVIER%20IGNACIO%20JATIVA.pdf" TargetMode="External"/><Relationship Id="rId104" Type="http://schemas.openxmlformats.org/officeDocument/2006/relationships/hyperlink" Target="file:///\\cbprint\..\..\..\..\..\..\..\..\Documents\Actas%20de%20liquidaci&#243;n%20aprobados\LIQUIDACIONES%202015\150211-%20SEAN%20ELECTRONICA.pdf" TargetMode="External"/><Relationship Id="rId125" Type="http://schemas.openxmlformats.org/officeDocument/2006/relationships/hyperlink" Target="file:///\\cbprint\..\..\..\..\..\..\..\..\Documents\Actas%20de%20liquidaci&#243;n%20aprobados\130211-0-2013%20-%20Acta%20de%20liquidaci&#243;n%20-%20ok.pdf" TargetMode="External"/><Relationship Id="rId146" Type="http://schemas.openxmlformats.org/officeDocument/2006/relationships/hyperlink" Target="file:///\\cbprint\..\..\..\..\..\..\..\..\Documents\Actas%20de%20liquidaci&#243;n%20aprobados\INFORME%20FINAL%20130385-0-2013%20NORMA%20MESA.pdf" TargetMode="External"/><Relationship Id="rId167" Type="http://schemas.openxmlformats.org/officeDocument/2006/relationships/hyperlink" Target="file:///\\cbprint\..\..\..\..\..\..\..\..\Documents\Actas%20de%20liquidaci&#243;n%20aprobados\LIQUIDACIONES%202015\140176.pdf" TargetMode="External"/><Relationship Id="rId188" Type="http://schemas.openxmlformats.org/officeDocument/2006/relationships/hyperlink" Target="file:///\\cbprint\..\..\..\..\..\..\..\..\Documents\Actas%20de%20liquidaci&#243;n%20aprobados\LIQUIDACIONES%202015\140299-%20LIZETH%20GONZALEZ.pdf" TargetMode="External"/><Relationship Id="rId311" Type="http://schemas.openxmlformats.org/officeDocument/2006/relationships/hyperlink" Target="file:///\\cbprint\Documents\Actas%20de%20liquidaci&#243;n%20aprobados\2008-2012\120000-466-0-2012%20-%20JARDIN%20BOTANICO.pdf" TargetMode="External"/><Relationship Id="rId332" Type="http://schemas.openxmlformats.org/officeDocument/2006/relationships/hyperlink" Target="file:///\\cbprint\..\..\..\..\Documents\Actas%20de%20liquidaci&#243;n%20aprobados\2015\150302-%20AXA%20COLPATRIA.pdf" TargetMode="External"/><Relationship Id="rId353" Type="http://schemas.openxmlformats.org/officeDocument/2006/relationships/hyperlink" Target="file:///\\cbprint\Documents\BACKUP%20DOCUMENTOS%20MAR\Actas%20de%20liquidaci&#243;n%20aprobados\2017\170001-%20PERIODICOS%20Y%20PUBLICACIONES.pdf" TargetMode="External"/><Relationship Id="rId374" Type="http://schemas.openxmlformats.org/officeDocument/2006/relationships/hyperlink" Target="file:///\\cbprint\Documents\BACKUP%20DOCUMENTOS%20MAR\Actas%20de%20liquidaci&#243;n%20aprobados\2014\140201-%20UNIPLES.pdf" TargetMode="External"/><Relationship Id="rId395" Type="http://schemas.openxmlformats.org/officeDocument/2006/relationships/hyperlink" Target="file:///\\cbprint\Documents\BACKUP%20DOCUMENTOS%20MAR\Actas%20de%20liquidaci&#243;n%20aprobados\2013\130299-%203D%20CONSULTING.pdf" TargetMode="External"/><Relationship Id="rId71" Type="http://schemas.openxmlformats.org/officeDocument/2006/relationships/hyperlink" Target="file:///\\cbprint\..\..\..\..\..\..\..\..\Documents\Actas%20de%20liquidaci&#243;n%20aprobados\LIQUIDACIONES%202015\160242-%20JONATHAN%20ZAMUDIO.pdf" TargetMode="External"/><Relationship Id="rId92" Type="http://schemas.openxmlformats.org/officeDocument/2006/relationships/hyperlink" Target="file:///\\cbprint\..\..\..\..\..\..\..\..\Documents\Actas%20de%20liquidaci&#243;n%20aprobados\LIQUIDACIONES%202015\140396-%20KAWAK.pdf" TargetMode="External"/><Relationship Id="rId213" Type="http://schemas.openxmlformats.org/officeDocument/2006/relationships/hyperlink" Target="file:///\\cbprint\..\..\..\..\..\..\..\..\Documents\Actas%20de%20liquidaci&#243;n%20aprobados\LIQUIDACIONES%202015\150102-%20LINA%20GONZALEZ.pdf" TargetMode="External"/><Relationship Id="rId234" Type="http://schemas.openxmlformats.org/officeDocument/2006/relationships/hyperlink" Target="file:///\\cbprint\..\..\..\..\..\..\..\..\Documents\Actas%20de%20liquidaci&#243;n%20aprobados\LIQUIDACIONES%202015\150309-%20MARY%20LUZ%20MORA.pdf" TargetMode="External"/><Relationship Id="rId2" Type="http://schemas.openxmlformats.org/officeDocument/2006/relationships/hyperlink" Target="mailto:M@icrotel%20ltda" TargetMode="External"/><Relationship Id="rId29" Type="http://schemas.openxmlformats.org/officeDocument/2006/relationships/hyperlink" Target="file:///\\cbprint\..\..\..\..\..\..\..\..\Documents\Actas%20de%20liquidaci&#243;n%20aprobados\LIQUIDACIONES%202015\150321-%20BUSINESSMID.pdf" TargetMode="External"/><Relationship Id="rId255" Type="http://schemas.openxmlformats.org/officeDocument/2006/relationships/hyperlink" Target="file:///\\cbprint\Documents\Actas%20de%20liquidaci&#243;n%20aprobados\LIQUIDACIONES%202015\160214-%20ARANDA%20SOFTWARE.pdf" TargetMode="External"/><Relationship Id="rId276" Type="http://schemas.openxmlformats.org/officeDocument/2006/relationships/hyperlink" Target="file:///\\cbprint\Documents\Actas%20de%20liquidaci&#243;n%20aprobados\2016\160069-%20UNP.pdf" TargetMode="External"/><Relationship Id="rId297" Type="http://schemas.openxmlformats.org/officeDocument/2006/relationships/hyperlink" Target="file:///\\cbprint\Documents\Actas%20de%20liquidaci&#243;n%20aprobados\2017\170232-%20MARTHA%20SALAZAR.pdf" TargetMode="External"/><Relationship Id="rId40" Type="http://schemas.openxmlformats.org/officeDocument/2006/relationships/hyperlink" Target="file:///\\cbprint\..\..\..\..\..\..\..\..\Documents\Actas%20de%20liquidaci&#243;n%20aprobados\LIQUIDACIONES%202015\140310-0-2014-TECOLSOF%20SAS..pdf" TargetMode="External"/><Relationship Id="rId115" Type="http://schemas.openxmlformats.org/officeDocument/2006/relationships/hyperlink" Target="file:///\\cbprint\..\..\..\..\..\..\..\..\Documents\Actas%20de%20liquidaci&#243;n%20aprobados\130023-0-2013%20-%20Acta%20de%20liquidaci&#243;n%20-%20ok.pdf" TargetMode="External"/><Relationship Id="rId136" Type="http://schemas.openxmlformats.org/officeDocument/2006/relationships/hyperlink" Target="file:///\\cbprint\..\..\..\..\..\..\..\..\Documents\Actas%20de%20liquidaci&#243;n%20aprobados\140212-0-2014%20-%20Informe%20final.pdf" TargetMode="External"/><Relationship Id="rId157" Type="http://schemas.openxmlformats.org/officeDocument/2006/relationships/hyperlink" Target="file:///\\cbprint\..\..\..\..\..\..\..\..\Documents\Actas%20de%20liquidaci&#243;n%20aprobados\liquidacion%20cto%20150-2013%20-%20ok.pdf" TargetMode="External"/><Relationship Id="rId178" Type="http://schemas.openxmlformats.org/officeDocument/2006/relationships/hyperlink" Target="file:///\\cbprint\..\..\..\..\..\..\..\..\Documents\Actas%20de%20liquidaci&#243;n%20aprobados\LIQUIDACIONES%202015\150260-%20COMPENSAR.pdf" TargetMode="External"/><Relationship Id="rId301" Type="http://schemas.openxmlformats.org/officeDocument/2006/relationships/hyperlink" Target="file:///\\cbprint\Documents\Actas%20de%20liquidaci&#243;n%20aprobados\2016\160132-%20MOTORYSA.pdf" TargetMode="External"/><Relationship Id="rId322" Type="http://schemas.openxmlformats.org/officeDocument/2006/relationships/hyperlink" Target="file:///\\cbprint\..\..\..\..\Documents\Actas%20de%20liquidaci&#243;n%20aprobados\2016\160304-%20COLSOF.pdf" TargetMode="External"/><Relationship Id="rId343" Type="http://schemas.openxmlformats.org/officeDocument/2006/relationships/hyperlink" Target="file:///\\cbprint\Documents\Actas%20de%20liquidaci&#243;n%20aprobados\2008-2012\050000-498-0-2012%20-%20CICCE.pdf" TargetMode="External"/><Relationship Id="rId364" Type="http://schemas.openxmlformats.org/officeDocument/2006/relationships/hyperlink" Target="file:///\\cbprint\Documents\BACKUP%20DOCUMENTOS%20MAR\Actas%20de%20liquidaci&#243;n%20aprobados\2017\170245-%20GRUPO%20TITANIUM%20SA.pdf" TargetMode="External"/><Relationship Id="rId61" Type="http://schemas.openxmlformats.org/officeDocument/2006/relationships/hyperlink" Target="file:///\\cbprint\..\..\..\..\..\..\..\..\Documents\Actas%20de%20liquidaci&#243;n%20aprobados\LIQUIDACIONES%202015\150229-%20MOTORES%20Y%20MAQUINAS%20MOTORYSA.pdf" TargetMode="External"/><Relationship Id="rId82" Type="http://schemas.openxmlformats.org/officeDocument/2006/relationships/hyperlink" Target="file:///\\cbprint\..\..\..\..\..\..\..\..\Documents\Actas%20de%20liquidaci&#243;n%20aprobados\LIQUIDACIONES%202015\160134-%20LEIDY%20YINETH%20RIVERA.pdf" TargetMode="External"/><Relationship Id="rId199" Type="http://schemas.openxmlformats.org/officeDocument/2006/relationships/hyperlink" Target="file:///\\cbprint\..\..\..\..\..\..\..\..\Documents\Actas%20de%20liquidaci&#243;n%20aprobados\LIQUIDACIONES%202015\150348-%20ORION%20CONIC.pdf" TargetMode="External"/><Relationship Id="rId203" Type="http://schemas.openxmlformats.org/officeDocument/2006/relationships/hyperlink" Target="file:///\\cbprint\..\..\..\..\..\..\..\..\Documents\Actas%20de%20liquidaci&#243;n%20aprobados\LIQUIDACIONES%202015\120000-390-0-2012%20URBANEX.pdf" TargetMode="External"/><Relationship Id="rId385" Type="http://schemas.openxmlformats.org/officeDocument/2006/relationships/hyperlink" Target="file:///\\cbprint\Documents\BACKUP%20DOCUMENTOS%20MAR\Actas%20de%20liquidaci&#243;n%20aprobados\2014\140171-%20INGEAL.pdf" TargetMode="External"/><Relationship Id="rId19" Type="http://schemas.openxmlformats.org/officeDocument/2006/relationships/hyperlink" Target="file:///\\cbprint\..\..\..\..\..\..\..\..\Documents\Actas%20de%20liquidaci&#243;n%20aprobados\LIQUIDACIONES%202015\150250-%20CRISTIAN%20CAMILO%20RAMOS.pdf" TargetMode="External"/><Relationship Id="rId224" Type="http://schemas.openxmlformats.org/officeDocument/2006/relationships/hyperlink" Target="file:///\\cbprint\..\..\..\..\..\..\..\..\Documents\Actas%20de%20liquidaci&#243;n%20aprobados\LIQUIDACIONES%202015\160022-%20CASA%20EL%20TIEMPO.pdf" TargetMode="External"/><Relationship Id="rId245" Type="http://schemas.openxmlformats.org/officeDocument/2006/relationships/hyperlink" Target="file:///\\cbprint\..\..\..\..\..\..\..\..\Documents\Actas%20de%20liquidaci&#243;n%20aprobados\LIQUIDACIONES%202015\160294-%20MARTIN%20LOPEZ.pdf" TargetMode="External"/><Relationship Id="rId266" Type="http://schemas.openxmlformats.org/officeDocument/2006/relationships/hyperlink" Target="file:///\\cbprint\Documents\Actas%20de%20liquidaci&#243;n%20aprobados\2017\170045-%20ETB.pdf" TargetMode="External"/><Relationship Id="rId287" Type="http://schemas.openxmlformats.org/officeDocument/2006/relationships/hyperlink" Target="file:///\\cbprint\Documents\Actas%20de%20liquidaci&#243;n%20aprobados\2008-2012\050000-155-0-2012%20EDITORIAL%20EL%20GLOBO.pdf" TargetMode="External"/><Relationship Id="rId30" Type="http://schemas.openxmlformats.org/officeDocument/2006/relationships/hyperlink" Target="file:///\\cbprint\..\..\..\..\..\..\..\..\Documents\Actas%20de%20liquidaci&#243;n%20aprobados\LIQUIDACIONES%202015\150346-%20JOHN%20KENNEDY%20LEON.pdf" TargetMode="External"/><Relationship Id="rId105" Type="http://schemas.openxmlformats.org/officeDocument/2006/relationships/hyperlink" Target="file:///\\cbprint\..\..\..\..\..\..\..\..\Documents\Actas%20de%20liquidaci&#243;n%20aprobados\LIQUIDACIONES%202015\150249-%20BRANCH%20MICROSOFT.pdf" TargetMode="External"/><Relationship Id="rId126" Type="http://schemas.openxmlformats.org/officeDocument/2006/relationships/hyperlink" Target="file:///\\cbprint\..\..\..\..\..\..\..\..\Documents\Actas%20de%20liquidaci&#243;n%20aprobados\130241-0-2013%20-%20ok.pdf" TargetMode="External"/><Relationship Id="rId147" Type="http://schemas.openxmlformats.org/officeDocument/2006/relationships/hyperlink" Target="file:///\\cbprint\..\..\..\..\..\..\..\..\Documents\Actas%20de%20liquidaci&#243;n%20aprobados\INFORME%20FINAL%20140152-0-2014%20ROSA%20ENRIQUELINA%20GOMEZ%20CORREDOR.pdf" TargetMode="External"/><Relationship Id="rId168" Type="http://schemas.openxmlformats.org/officeDocument/2006/relationships/hyperlink" Target="file:///\\cbprint\..\..\..\..\..\..\..\..\Documents\Actas%20de%20liquidaci&#243;n%20aprobados\LIQUIDACIONES%202015\140179.pdf" TargetMode="External"/><Relationship Id="rId312" Type="http://schemas.openxmlformats.org/officeDocument/2006/relationships/hyperlink" Target="file:///\\cbprint\Documents\Actas%20de%20liquidaci&#243;n%20aprobados\2008-2012\050000-333-0-2012%20POSITIVA%20COMPA&#209;IA%20DE%20SEGUROS.pdf" TargetMode="External"/><Relationship Id="rId333" Type="http://schemas.openxmlformats.org/officeDocument/2006/relationships/hyperlink" Target="file:///\\cbprint\..\..\..\..\Documents\Actas%20de%20liquidaci&#243;n%20aprobados\2013\130209-%20LA%20UNIDAD.pdf" TargetMode="External"/><Relationship Id="rId354" Type="http://schemas.openxmlformats.org/officeDocument/2006/relationships/hyperlink" Target="file:///\\cbprint\Documents\BACKUP%20DOCUMENTOS%20MAR\Actas%20de%20liquidaci&#243;n%20aprobados\2017\170040-%20ORACLE.pdf" TargetMode="External"/><Relationship Id="rId51" Type="http://schemas.openxmlformats.org/officeDocument/2006/relationships/hyperlink" Target="file:///\\cbprint\..\..\..\..\..\..\..\..\Documents\Actas%20de%20liquidaci&#243;n%20aprobados\LIQUIDACIONES%202015\160119-%20ANGELICA%20MARIA%20RUBIO.pdf" TargetMode="External"/><Relationship Id="rId72" Type="http://schemas.openxmlformats.org/officeDocument/2006/relationships/hyperlink" Target="file:///\\cbprint\..\..\..\..\..\..\..\..\Documents\Actas%20de%20liquidaci&#243;n%20aprobados\LIQUIDACIONES%202015\120000-463-0-2010%20%20AUTOMARKET.pdf" TargetMode="External"/><Relationship Id="rId93" Type="http://schemas.openxmlformats.org/officeDocument/2006/relationships/hyperlink" Target="file:///\\cbprint\..\..\..\..\..\..\..\..\Documents\Actas%20de%20liquidaci&#243;n%20aprobados\LIQUIDACIONES%202015\140219-%20MARKET%20GROUP.pdf" TargetMode="External"/><Relationship Id="rId189" Type="http://schemas.openxmlformats.org/officeDocument/2006/relationships/hyperlink" Target="file:///\\cbprint\..\..\..\..\..\..\..\..\Documents\Actas%20de%20liquidaci&#243;n%20aprobados\LIQUIDACIONES%202015\140174-%20MOTORYSA.pdf" TargetMode="External"/><Relationship Id="rId375" Type="http://schemas.openxmlformats.org/officeDocument/2006/relationships/hyperlink" Target="file:///\\cbprint\Documents\BACKUP%20DOCUMENTOS%20MAR\Actas%20de%20liquidaci&#243;n%20aprobados\2017\170085-%20SERVIASEO.pdf" TargetMode="External"/><Relationship Id="rId396" Type="http://schemas.openxmlformats.org/officeDocument/2006/relationships/hyperlink" Target="file:///\\cbprint\Documents\BACKUP%20DOCUMENTOS%20MAR\Actas%20de%20liquidaci&#243;n%20aprobados\2013\130298-%20SOLUCIONES%20INTEGRALES.pdf" TargetMode="External"/><Relationship Id="rId3" Type="http://schemas.openxmlformats.org/officeDocument/2006/relationships/hyperlink" Target="file:///\\cbprint\..\..\..\..\..\..\..\..\Documents\Actas%20de%20liquidaci&#243;n%20aprobados\LIQUIDACIONES%202015\150049-ROSA%20E.%20GOMEZ.pdf" TargetMode="External"/><Relationship Id="rId214" Type="http://schemas.openxmlformats.org/officeDocument/2006/relationships/hyperlink" Target="file:///\\cbprint\..\..\..\..\..\..\..\..\Documents\Actas%20de%20liquidaci&#243;n%20aprobados\LIQUIDACIONES%202015\150123-%20EL%20TIEMPO.pdf" TargetMode="External"/><Relationship Id="rId235" Type="http://schemas.openxmlformats.org/officeDocument/2006/relationships/hyperlink" Target="file:///\\cbprint\..\..\..\..\..\..\..\..\Documents\Actas%20de%20liquidaci&#243;n%20aprobados\LIQUIDACIONES%202015\160113-%20KHAANKO%20RUIZ.pdf" TargetMode="External"/><Relationship Id="rId256" Type="http://schemas.openxmlformats.org/officeDocument/2006/relationships/hyperlink" Target="file:///\\cbprint\Documents\Actas%20de%20liquidaci&#243;n%20aprobados\LIQUIDACIONES%202015\160233-%20INFORMATICA%20DOCUMENTAL.pdf" TargetMode="External"/><Relationship Id="rId277" Type="http://schemas.openxmlformats.org/officeDocument/2006/relationships/hyperlink" Target="file:///\\cbprint\Documents\Actas%20de%20liquidaci&#243;n%20aprobados\2016\160082.pdf" TargetMode="External"/><Relationship Id="rId298" Type="http://schemas.openxmlformats.org/officeDocument/2006/relationships/hyperlink" Target="file:///\\cbprint\Documents\Actas%20de%20liquidaci&#243;n%20aprobados\2017\170095-%20DPC.pdf" TargetMode="External"/><Relationship Id="rId400" Type="http://schemas.openxmlformats.org/officeDocument/2006/relationships/hyperlink" Target="file:///\\cbprint\Documents\BACKUP%20DOCUMENTOS%20MAR\Actas%20de%20liquidaci&#243;n%20aprobados\2017\170185-%20CANAL%20CAPITAL.pdf" TargetMode="External"/><Relationship Id="rId116" Type="http://schemas.openxmlformats.org/officeDocument/2006/relationships/hyperlink" Target="file:///\\cbprint\..\..\..\..\..\..\..\..\Documents\Actas%20de%20liquidaci&#243;n%20aprobados\040000-1118-0-2008%20COLOMBIANA%20DE%20SOFTWARE%20Y%20HARDWARE%20COLSOF%20SA%20-%20ok.pdf" TargetMode="External"/><Relationship Id="rId137" Type="http://schemas.openxmlformats.org/officeDocument/2006/relationships/hyperlink" Target="file:///\\cbprint\..\..\..\..\..\..\..\..\Documents\Actas%20de%20liquidaci&#243;n%20aprobados\140244-0-2014%20INDUSTRIAS%20QUIMICAS%20FIQ%20LTDA%20-%20ok.pdf" TargetMode="External"/><Relationship Id="rId158" Type="http://schemas.openxmlformats.org/officeDocument/2006/relationships/hyperlink" Target="file:///\\cbprint\..\..\..\..\..\..\..\..\Documents\Actas%20de%20liquidaci&#243;n%20aprobados\liquidacion%20cto%20151-2012%20-%20ok.pdf" TargetMode="External"/><Relationship Id="rId302" Type="http://schemas.openxmlformats.org/officeDocument/2006/relationships/hyperlink" Target="file:///\\cbprint\Documents\Actas%20de%20liquidaci&#243;n%20aprobados\2016\160284-%20EDITORES%20CONARTE.pdf" TargetMode="External"/><Relationship Id="rId323" Type="http://schemas.openxmlformats.org/officeDocument/2006/relationships/hyperlink" Target="file:///\\cbprint\..\..\..\..\Documents\Actas%20de%20liquidaci&#243;n%20aprobados\2017\170002-%20UNP.pdf" TargetMode="External"/><Relationship Id="rId344" Type="http://schemas.openxmlformats.org/officeDocument/2006/relationships/hyperlink" Target="file:///\\cbprint\Documents\Actas%20de%20liquidaci&#243;n%20aprobados\2016\160180-%20INVERSIONES%20MATAY.pdf" TargetMode="External"/><Relationship Id="rId20" Type="http://schemas.openxmlformats.org/officeDocument/2006/relationships/hyperlink" Target="file:///\\cbprint\..\..\..\..\..\..\..\..\Documents\Actas%20de%20liquidaci&#243;n%20aprobados\LIQUIDACIONES%202015\150254-%20OFICOMCO.pdf" TargetMode="External"/><Relationship Id="rId41" Type="http://schemas.openxmlformats.org/officeDocument/2006/relationships/hyperlink" Target="file:///\\cbprint\..\..\..\..\..\..\..\..\Documents\Actas%20de%20liquidaci&#243;n%20aprobados\LIQUIDACIONES%202015\140313-%20M@ICROTEL.pdf" TargetMode="External"/><Relationship Id="rId62" Type="http://schemas.openxmlformats.org/officeDocument/2006/relationships/hyperlink" Target="file:///\\cbprint\..\..\..\..\..\..\..\..\Documents\Actas%20de%20liquidaci&#243;n%20aprobados\LIQUIDACIONES%202015\140367-%20CRECE%20Ltda.pdf" TargetMode="External"/><Relationship Id="rId83" Type="http://schemas.openxmlformats.org/officeDocument/2006/relationships/hyperlink" Target="file:///\\cbprint\..\..\..\..\..\..\..\..\Documents\Actas%20de%20liquidaci&#243;n%20aprobados\LIQUIDACIONES%202015\160066-%20JOHN%20KENNEDY%20LEON.pdf" TargetMode="External"/><Relationship Id="rId179" Type="http://schemas.openxmlformats.org/officeDocument/2006/relationships/hyperlink" Target="file:///\\cbprint\..\..\..\..\..\..\..\..\Documents\Actas%20de%20liquidaci&#243;n%20aprobados\LIQUIDACIONES%202015\150275-%20ROSA%20YASMIN%20CASTRO.pdf" TargetMode="External"/><Relationship Id="rId365" Type="http://schemas.openxmlformats.org/officeDocument/2006/relationships/hyperlink" Target="file:///\\cbprint\Documents\BACKUP%20DOCUMENTOS%20MAR\Actas%20de%20liquidaci&#243;n%20aprobados\2017\170264-%20AXEDE%20SA.pdf" TargetMode="External"/><Relationship Id="rId386" Type="http://schemas.openxmlformats.org/officeDocument/2006/relationships/hyperlink" Target="file:///\\cbprint\Documents\BACKUP%20DOCUMENTOS%20MAR\Actas%20de%20liquidaci&#243;n%20aprobados\2016\160150-%20ALKOSTO.pdf" TargetMode="External"/><Relationship Id="rId190" Type="http://schemas.openxmlformats.org/officeDocument/2006/relationships/hyperlink" Target="file:///\\cbprint\..\..\..\..\..\..\..\..\Documents\Actas%20de%20liquidaci&#243;n%20aprobados\LIQUIDACIONES%202015\140186-%20SECURITY%20COM.pdf" TargetMode="External"/><Relationship Id="rId204" Type="http://schemas.openxmlformats.org/officeDocument/2006/relationships/hyperlink" Target="file:///\\cbprint\..\..\..\..\..\..\..\..\Documents\Actas%20de%20liquidaci&#243;n%20aprobados\LIQUIDACIONES%202015\130156-%20SOLUTION%20COPY.pdf" TargetMode="External"/><Relationship Id="rId225" Type="http://schemas.openxmlformats.org/officeDocument/2006/relationships/hyperlink" Target="file:///\\cbprint\..\..\..\..\..\..\..\..\Documents\Actas%20de%20liquidaci&#243;n%20aprobados\LIQUIDACIONES%202015\160045-%20VOMD.pdf" TargetMode="External"/><Relationship Id="rId246" Type="http://schemas.openxmlformats.org/officeDocument/2006/relationships/hyperlink" Target="file:///\\cbprint\..\..\..\..\..\..\..\..\Documents\Actas%20de%20liquidaci&#243;n%20aprobados\LIQUIDACIONES%202015\160314-%20SIIGO%20SA.pdf" TargetMode="External"/><Relationship Id="rId267" Type="http://schemas.openxmlformats.org/officeDocument/2006/relationships/hyperlink" Target="file:///\\cbprint\Documents\Actas%20de%20liquidaci&#243;n%20aprobados\2008-2012\120000-371-0-2012%20-%20ORGANIZACION%20TERPEL.pdf" TargetMode="External"/><Relationship Id="rId288" Type="http://schemas.openxmlformats.org/officeDocument/2006/relationships/hyperlink" Target="file:///\\cbprint\Documents\Actas%20de%20liquidaci&#243;n%20aprobados\2013\130364-%20FERNANDO%20SOTOMONTE.pdf" TargetMode="External"/><Relationship Id="rId106" Type="http://schemas.openxmlformats.org/officeDocument/2006/relationships/hyperlink" Target="file:///\\cbprint\..\..\..\..\..\..\..\..\Documents\Actas%20de%20liquidaci&#243;n%20aprobados\LIQUIDACIONES%202015\160277-%20controles%20empresariales.pdf" TargetMode="External"/><Relationship Id="rId127" Type="http://schemas.openxmlformats.org/officeDocument/2006/relationships/hyperlink" Target="file:///\\cbprint\..\..\..\..\..\..\..\..\Documents\Actas%20de%20liquidaci&#243;n%20aprobados\130261-0-2013%20-%20Acta%20de%20liquidaci&#243;n%20-%20ok.pdf" TargetMode="External"/><Relationship Id="rId313" Type="http://schemas.openxmlformats.org/officeDocument/2006/relationships/hyperlink" Target="file:///\\cbprint\Documents\Actas%20de%20liquidaci&#243;n%20aprobados\2013\130349-%20PUBBLICA%20SAS.pdf" TargetMode="External"/><Relationship Id="rId10" Type="http://schemas.openxmlformats.org/officeDocument/2006/relationships/hyperlink" Target="file:///\\cbprint\..\..\..\..\..\..\..\..\Documents\Actas%20de%20liquidaci&#243;n%20aprobados\LIQUIDACIONES%202015\150209-%20A&amp;V%20EXPRESS.pdf" TargetMode="External"/><Relationship Id="rId31" Type="http://schemas.openxmlformats.org/officeDocument/2006/relationships/hyperlink" Target="file:///\\cbprint\..\..\..\..\..\..\..\..\Documents\Actas%20de%20liquidaci&#243;n%20aprobados\LIQUIDACIONES%202015\150353-%20NEW%20STETIC%20SA.pdf" TargetMode="External"/><Relationship Id="rId52" Type="http://schemas.openxmlformats.org/officeDocument/2006/relationships/hyperlink" Target="file:///\\cbprint\..\..\..\..\..\..\..\..\Documents\Actas%20de%20liquidaci&#243;n%20aprobados\LIQUIDACIONES%202015\150373-0-2015%20CRECE.pdf" TargetMode="External"/><Relationship Id="rId73" Type="http://schemas.openxmlformats.org/officeDocument/2006/relationships/hyperlink" Target="file:///\\cbprint\..\..\..\..\..\..\..\..\Documents\Actas%20de%20liquidaci&#243;n%20aprobados\LIQUIDACIONES%202015\170014-%20JAVIER%20I.%20JATIVA.pdf" TargetMode="External"/><Relationship Id="rId94" Type="http://schemas.openxmlformats.org/officeDocument/2006/relationships/hyperlink" Target="file:///\\cbprint\..\..\..\..\..\..\..\..\Documents\Actas%20de%20liquidaci&#243;n%20aprobados\LIQUIDACIONES%202015\140222.pdf" TargetMode="External"/><Relationship Id="rId148" Type="http://schemas.openxmlformats.org/officeDocument/2006/relationships/hyperlink" Target="file:///\\cbprint\..\..\..\..\..\..\..\..\Documents\Actas%20de%20liquidaci&#243;n%20aprobados\INFORME%20FINAL%20140291-0-2014%20NAYIVE%20CARRASCO%20PATINO.pdf" TargetMode="External"/><Relationship Id="rId169" Type="http://schemas.openxmlformats.org/officeDocument/2006/relationships/hyperlink" Target="file:///\\cbprint\..\..\..\..\..\..\..\..\Documents\Actas%20de%20liquidaci&#243;n%20aprobados\LIQUIDACIONES%202015\140181.pdf" TargetMode="External"/><Relationship Id="rId334" Type="http://schemas.openxmlformats.org/officeDocument/2006/relationships/hyperlink" Target="file:///\\cbprint\..\..\..\..\Documents\Actas%20de%20liquidaci&#243;n%20aprobados\2008-2012\120000-416-0-2012-%20COD.pdf" TargetMode="External"/><Relationship Id="rId355" Type="http://schemas.openxmlformats.org/officeDocument/2006/relationships/hyperlink" Target="file:///\\cbprint\Documents\BACKUP%20DOCUMENTOS%20MAR\Actas%20de%20liquidaci&#243;n%20aprobados\2017\170081-%20CARRERA%2050.pdf" TargetMode="External"/><Relationship Id="rId376" Type="http://schemas.openxmlformats.org/officeDocument/2006/relationships/hyperlink" Target="file:///\\cbprint\Documents\BACKUP%20DOCUMENTOS%20MAR\Actas%20de%20liquidaci&#243;n%20aprobados\2018\180149-%20EL%20RINCON%20DEPORTIVO.pdf" TargetMode="External"/><Relationship Id="rId397" Type="http://schemas.openxmlformats.org/officeDocument/2006/relationships/hyperlink" Target="file:///\\cbprint\Documents\BACKUP%20DOCUMENTOS%20MAR\Actas%20de%20liquidaci&#243;n%20aprobados\2016\160060-%20AGR%20SOLUCIONES.pdf" TargetMode="External"/><Relationship Id="rId4" Type="http://schemas.openxmlformats.org/officeDocument/2006/relationships/hyperlink" Target="file:///\\cbprint\..\..\..\..\..\..\..\..\Documents\Actas%20de%20liquidaci&#243;n%20aprobados\LIQUIDACIONES%202015\150035-%20Edgar%20Eulices.pdf" TargetMode="External"/><Relationship Id="rId180" Type="http://schemas.openxmlformats.org/officeDocument/2006/relationships/hyperlink" Target="file:///\\cbprint\..\..\..\..\..\..\..\..\Documents\Actas%20de%20liquidaci&#243;n%20aprobados\LIQUIDACIONES%202015\150280-%20%20PATRICIA%20DEL%20ROCIO%20PE&#209;A.pdf" TargetMode="External"/><Relationship Id="rId215" Type="http://schemas.openxmlformats.org/officeDocument/2006/relationships/hyperlink" Target="file:///\\cbprint\..\..\..\..\..\..\..\..\Documents\Actas%20de%20liquidaci&#243;n%20aprobados\LIQUIDACIONES%202015\150192%20-%20MATAY.pdf" TargetMode="External"/><Relationship Id="rId236" Type="http://schemas.openxmlformats.org/officeDocument/2006/relationships/hyperlink" Target="file:///\\cbprint\..\..\..\..\..\..\..\..\Documents\Actas%20de%20liquidaci&#243;n%20aprobados\LIQUIDACIONES%202015\160199-%20BUSINESS%20TECHNOLOGIES.pdf" TargetMode="External"/><Relationship Id="rId257" Type="http://schemas.openxmlformats.org/officeDocument/2006/relationships/hyperlink" Target="file:///\\cbprint\Documents\Actas%20de%20liquidaci&#243;n%20aprobados\LIQUIDACIONES%202015\150104-%20ETB.pdf" TargetMode="External"/><Relationship Id="rId278" Type="http://schemas.openxmlformats.org/officeDocument/2006/relationships/hyperlink" Target="file:///\\cbprint\Documents\BACKUP%20DOCUMENTOS%20MAR\Actas%20de%20liquidaci&#243;n%20aprobados\2016\160049-%20UNIVERSIDAD%20NACIONAL.pdf" TargetMode="External"/><Relationship Id="rId401" Type="http://schemas.openxmlformats.org/officeDocument/2006/relationships/hyperlink" Target="file:///\\cbprint\Documents\BACKUP%20DOCUMENTOS%20MAR\Actas%20de%20liquidaci&#243;n%20aprobados\2017\170186-%20INFORMATICA%20DOCUMENTAL.pdf" TargetMode="External"/><Relationship Id="rId303" Type="http://schemas.openxmlformats.org/officeDocument/2006/relationships/hyperlink" Target="file:///\\cbprint\Documents\Actas%20de%20liquidaci&#243;n%20aprobados\2014\140215-%20UT%20EMINSER.pdf" TargetMode="External"/><Relationship Id="rId42" Type="http://schemas.openxmlformats.org/officeDocument/2006/relationships/hyperlink" Target="file:///\\cbprint\..\..\..\..\..\..\..\..\Documents\Actas%20de%20liquidaci&#243;n%20aprobados\LIQUIDACIONES%202015\140210.pdf" TargetMode="External"/><Relationship Id="rId84" Type="http://schemas.openxmlformats.org/officeDocument/2006/relationships/hyperlink" Target="file:///\\cbprint\..\..\..\..\..\..\..\..\Documents\Actas%20de%20liquidaci&#243;n%20aprobados\LIQUIDACIONES%202015\160142-%20CAMILO%20SARMIENTO.pdf" TargetMode="External"/><Relationship Id="rId138" Type="http://schemas.openxmlformats.org/officeDocument/2006/relationships/hyperlink" Target="file:///\\cbprint\..\..\..\..\..\..\..\..\Documents\Actas%20de%20liquidaci&#243;n%20aprobados\140330-0-2014%20-%20Informe%20final%20SOLUCIONES%20INTEGRALES%20DE%20OFICINA%20SAS%20(2).pdf" TargetMode="External"/><Relationship Id="rId345" Type="http://schemas.openxmlformats.org/officeDocument/2006/relationships/hyperlink" Target="file:///\\cbprint\Documents\Actas%20de%20liquidaci&#243;n%20aprobados\2015\150124-%20DPC.pdf" TargetMode="External"/><Relationship Id="rId387" Type="http://schemas.openxmlformats.org/officeDocument/2006/relationships/hyperlink" Target="file:///\\cbprint\Documents\BACKUP%20DOCUMENTOS%20MAR\Actas%20de%20liquidaci&#243;n%20aprobados\2015\150097-%20TERPEL.pdf" TargetMode="External"/><Relationship Id="rId191" Type="http://schemas.openxmlformats.org/officeDocument/2006/relationships/hyperlink" Target="file:///\\cbprint\..\..\..\..\..\..\..\..\Documents\Actas%20de%20liquidaci&#243;n%20aprobados\LIQUIDACIONES%202015\140188-%20HERNANDO%20BULLA.pdf" TargetMode="External"/><Relationship Id="rId205" Type="http://schemas.openxmlformats.org/officeDocument/2006/relationships/hyperlink" Target="file:///\\cbprint\..\..\..\..\..\..\..\..\Documents\Actas%20de%20liquidaci&#243;n%20aprobados\LIQUIDACIONES%202015\130194-%20EMINSER.pdf" TargetMode="External"/><Relationship Id="rId247" Type="http://schemas.openxmlformats.org/officeDocument/2006/relationships/hyperlink" Target="file:///\\cbprint\..\..\..\..\..\..\..\..\Documents\Actas%20de%20liquidaci&#243;n%20aprobados\LIQUIDACIONES%202015\160301-%20INPROSERVICES.pdf" TargetMode="External"/><Relationship Id="rId107" Type="http://schemas.openxmlformats.org/officeDocument/2006/relationships/hyperlink" Target="file:///\\cbprint\..\..\..\..\..\..\..\..\Documents\Actas%20de%20liquidaci&#243;n%20aprobados\LIQUIDACIONES%202015\160296-%20COLOMBIANA%20DE%20COMERCIO.pdf" TargetMode="External"/><Relationship Id="rId289" Type="http://schemas.openxmlformats.org/officeDocument/2006/relationships/hyperlink" Target="file:///\\cbprint\Documents\Actas%20de%20liquidaci&#243;n%20aprobados\2013\130336-%20CESAR%20GUERRERO.pdf" TargetMode="External"/><Relationship Id="rId11" Type="http://schemas.openxmlformats.org/officeDocument/2006/relationships/hyperlink" Target="file:///\\cbprint\..\..\..\..\..\..\..\..\Documents\Actas%20de%20liquidaci&#243;n%20aprobados\LIQUIDACIONES%202015\150200-%20INGELECTRO.pdf" TargetMode="External"/><Relationship Id="rId53" Type="http://schemas.openxmlformats.org/officeDocument/2006/relationships/hyperlink" Target="file:///\\cbprint\..\..\..\..\..\..\..\..\Documents\Actas%20de%20liquidaci&#243;n%20aprobados\LIQUIDACIONES%202015\050000-302-0-2011%20PORTES%20DE%20COLOMBIA.pdf" TargetMode="External"/><Relationship Id="rId149" Type="http://schemas.openxmlformats.org/officeDocument/2006/relationships/hyperlink" Target="file:///\\cbprint\..\..\..\..\..\..\..\..\Documents\Actas%20de%20liquidaci&#243;n%20aprobados\INFORME%20FINAL%20DE%20SUPERVISION%20CTO%20130163-0-2013.pdf" TargetMode="External"/><Relationship Id="rId314" Type="http://schemas.openxmlformats.org/officeDocument/2006/relationships/hyperlink" Target="file:///\\cbprint\Documents\Actas%20de%20liquidaci&#243;n%20aprobados\2008-2012\120000-525-0-2012%20GAMMA%20INGENIEROS.pdf" TargetMode="External"/><Relationship Id="rId356" Type="http://schemas.openxmlformats.org/officeDocument/2006/relationships/hyperlink" Target="file:///\\cbprint\Documents\BACKUP%20DOCUMENTOS%20MAR\Actas%20de%20liquidaci&#243;n%20aprobados\2017\170136-%20FACTOR%20VISUAL.pdf" TargetMode="External"/><Relationship Id="rId398" Type="http://schemas.openxmlformats.org/officeDocument/2006/relationships/hyperlink" Target="file:///\\cbprint\Documents\BACKUP%20DOCUMENTOS%20MAR\Actas%20de%20liquidaci&#243;n%20aprobados\2017\170103-GRANADOS%20Y%20CONDECORACIONES.pdf" TargetMode="External"/><Relationship Id="rId95" Type="http://schemas.openxmlformats.org/officeDocument/2006/relationships/hyperlink" Target="file:///\\cbprint\..\..\..\..\..\..\..\..\Documents\Actas%20de%20liquidaci&#243;n%20aprobados\140172-0-2014%20SONA%20GREEEN%20-%20Acta%20de%20liquidaci&#243;n%20-%20ok.pdf" TargetMode="External"/><Relationship Id="rId160" Type="http://schemas.openxmlformats.org/officeDocument/2006/relationships/hyperlink" Target="file:///\\cbprint\..\..\..\..\..\..\..\..\Documents\Actas%20de%20liquidaci&#243;n%20aprobados\liquidacion%20cto%20381-2012%20(2)%20-%20ok.pdf" TargetMode="External"/><Relationship Id="rId216" Type="http://schemas.openxmlformats.org/officeDocument/2006/relationships/hyperlink" Target="file:///\\cbprint\..\..\..\..\..\..\..\..\Documents\Actas%20de%20liquidaci&#243;n%20aprobados\LIQUIDACIONES%202015\150152-%20AGUAFILTERS.pdf" TargetMode="External"/><Relationship Id="rId258" Type="http://schemas.openxmlformats.org/officeDocument/2006/relationships/hyperlink" Target="file:///\\cbprint\Documents\Actas%20de%20liquidaci&#243;n%20aprobados\LIQUIDACIONES%202015\160243-%20BUSINESSMIND%20COLOMBIA.pdf" TargetMode="External"/><Relationship Id="rId22" Type="http://schemas.openxmlformats.org/officeDocument/2006/relationships/hyperlink" Target="file:///\\cbprint\..\..\..\..\..\..\..\..\Documents\Actas%20de%20liquidaci&#243;n%20aprobados\LIQUIDACIONES%202015\150252-%20INSTITUCIONAL%20STAR%20SERVICES.pdf" TargetMode="External"/><Relationship Id="rId64" Type="http://schemas.openxmlformats.org/officeDocument/2006/relationships/hyperlink" Target="file:///\\cbprint\..\..\..\..\..\..\..\..\Documents\Actas%20de%20liquidaci&#243;n%20aprobados\LIQUIDACIONES%202015\160152-%20CLAUDIA%20ELVIRA%20RODRIGUEZ.pdf" TargetMode="External"/><Relationship Id="rId118" Type="http://schemas.openxmlformats.org/officeDocument/2006/relationships/hyperlink" Target="file:///\\cbprint\..\..\..\..\..\..\..\..\Documents\Actas%20de%20liquidaci&#243;n%20aprobados\130129-0-2013%20SOCIEDAD%20ENTORNO%20Y%20CIA%20LTDA%20-%20ok.pdf" TargetMode="External"/><Relationship Id="rId325" Type="http://schemas.openxmlformats.org/officeDocument/2006/relationships/hyperlink" Target="file:///\\cbprint\..\..\..\..\Documents\Actas%20de%20liquidaci&#243;n%20aprobados\2015\150386-%20ALMACENES%20EXITO.pdf" TargetMode="External"/><Relationship Id="rId367" Type="http://schemas.openxmlformats.org/officeDocument/2006/relationships/hyperlink" Target="file:///\\cbprint\Documents\BACKUP%20DOCUMENTOS%20MAR\Actas%20de%20liquidaci&#243;n%20aprobados\2017\170326-%20USA%20POSTAL.pdf" TargetMode="External"/><Relationship Id="rId171" Type="http://schemas.openxmlformats.org/officeDocument/2006/relationships/hyperlink" Target="file:///\\cbprint\..\..\..\..\..\..\..\..\Documents\Actas%20de%20liquidaci&#243;n%20aprobados\LIQUIDACIONES%202015\140236.pdf" TargetMode="External"/><Relationship Id="rId227" Type="http://schemas.openxmlformats.org/officeDocument/2006/relationships/hyperlink" Target="file:///\\cbprint\..\..\..\..\..\..\..\..\Documents\Actas%20de%20liquidaci&#243;n%20aprobados\LIQUIDACIONES%202015\160087-%20FACTOR%20VISUAL.pdf" TargetMode="External"/><Relationship Id="rId269" Type="http://schemas.openxmlformats.org/officeDocument/2006/relationships/hyperlink" Target="file:///\\cbprint\Documents\BACKUP%20DOCUMENTOS%20MAR\Actas%20de%20liquidaci&#243;n%20aprobados\2016\160185-%20EDER%20CASTIBLANCO.pdf" TargetMode="External"/><Relationship Id="rId33" Type="http://schemas.openxmlformats.org/officeDocument/2006/relationships/hyperlink" Target="file:///\\cbprint\..\..\..\..\..\..\..\..\Documents\Actas%20de%20liquidaci&#243;n%20aprobados\LIQUIDACIONES%202015\15369-%20DANIEL%20JOSE%20MORALES.pdf" TargetMode="External"/><Relationship Id="rId129" Type="http://schemas.openxmlformats.org/officeDocument/2006/relationships/hyperlink" Target="file:///\\cbprint\..\..\..\..\..\..\..\..\Documents\Actas%20de%20liquidaci&#243;n%20aprobados\130286-0-2013%20-%20Acta%20de%20liquidaci&#243;n%20-ok.pdf" TargetMode="External"/><Relationship Id="rId280" Type="http://schemas.openxmlformats.org/officeDocument/2006/relationships/hyperlink" Target="file:///\\cbprint\Documents\Actas%20de%20liquidaci&#243;n%20aprobados\2015\150340-%20RICOH%20COLOMBIA.pdf" TargetMode="External"/><Relationship Id="rId336" Type="http://schemas.openxmlformats.org/officeDocument/2006/relationships/hyperlink" Target="file:///\\cbprint\..\..\..\..\Documents\Actas%20de%20liquidaci&#243;n%20aprobados\2013\130372-%20VICTOR%20ARMENLLA.pdf" TargetMode="External"/><Relationship Id="rId75" Type="http://schemas.openxmlformats.org/officeDocument/2006/relationships/hyperlink" Target="file:///\\cbprint\..\..\..\..\..\..\..\..\Documents\Actas%20de%20liquidaci&#243;n%20aprobados\LIQUIDACIONES%202015\160141-%20MARTHA%20TAPIA.pdf" TargetMode="External"/><Relationship Id="rId140" Type="http://schemas.openxmlformats.org/officeDocument/2006/relationships/hyperlink" Target="file:///\\cbprint\..\..\..\..\..\..\..\..\Documents\Actas%20de%20liquidaci&#243;n%20aprobados\Acta%20de%20Liquidaci&#243;n%20Contrato%20130200-0-2013%20-ok.pdf" TargetMode="External"/><Relationship Id="rId182" Type="http://schemas.openxmlformats.org/officeDocument/2006/relationships/hyperlink" Target="file:///\\cbprint\..\..\..\..\..\..\..\..\Documents\Actas%20de%20liquidaci&#243;n%20aprobados\LIQUIDACIONES%202015\150281-%20HUGO%20FERNANDO.pdf" TargetMode="External"/><Relationship Id="rId378" Type="http://schemas.openxmlformats.org/officeDocument/2006/relationships/hyperlink" Target="file:///\\cbprint\Documents\BACKUP%20DOCUMENTOS%20MAR\Actas%20de%20liquidaci&#243;n%20aprobados\2013\130361-%20ANDREA%20SUSANA%20BELLO.pdf" TargetMode="External"/><Relationship Id="rId403" Type="http://schemas.openxmlformats.org/officeDocument/2006/relationships/hyperlink" Target="file:///\\cbprint\Documents\BACKUP%20DOCUMENTOS%20MAR\Actas%20de%20liquidaci&#243;n%20aprobados\2018\180182-%20SGS%20COLOMBIA.pdf" TargetMode="External"/><Relationship Id="rId6" Type="http://schemas.openxmlformats.org/officeDocument/2006/relationships/hyperlink" Target="file:///\\cbprint\..\..\..\..\..\..\..\..\Documents\Actas%20de%20liquidaci&#243;n%20aprobados\LIQUIDACIONES%202015\150067-%20WIESNER%20ROBAYO.pdf" TargetMode="External"/><Relationship Id="rId238" Type="http://schemas.openxmlformats.org/officeDocument/2006/relationships/hyperlink" Target="file:///\\cbprint\..\..\..\..\..\..\..\..\Documents\Actas%20de%20liquidaci&#243;n%20aprobados\LIQUIDACIONES%202015\160319-%20NEX%20COMPUTER.pdf" TargetMode="External"/><Relationship Id="rId291" Type="http://schemas.openxmlformats.org/officeDocument/2006/relationships/hyperlink" Target="file:///\\cbprint\Documents\Actas%20de%20liquidaci&#243;n%20aprobados\2017\170308-%20VALORACIONES.pdf" TargetMode="External"/><Relationship Id="rId305" Type="http://schemas.openxmlformats.org/officeDocument/2006/relationships/hyperlink" Target="file:///\\cbprint\Documents\Actas%20de%20liquidaci&#243;n%20aprobados\2008-2012\120000-490-0-2012%20AQUANATURA.pdf" TargetMode="External"/><Relationship Id="rId347" Type="http://schemas.openxmlformats.org/officeDocument/2006/relationships/hyperlink" Target="file:///\\cbprint\Documents\Actas%20de%20liquidaci&#243;n%20aprobados\2017\170320-%20UNP.pdf" TargetMode="External"/><Relationship Id="rId44" Type="http://schemas.openxmlformats.org/officeDocument/2006/relationships/hyperlink" Target="file:///\\cbprint\..\..\..\..\..\..\..\..\Documents\Actas%20de%20liquidaci&#243;n%20aprobados\LIQUIDACIONES%202015\140233-%20ELKIN%20DIMAS.pdf" TargetMode="External"/><Relationship Id="rId86" Type="http://schemas.openxmlformats.org/officeDocument/2006/relationships/hyperlink" Target="file:///\\cbprint\..\..\..\..\..\..\..\..\Documents\Actas%20de%20liquidaci&#243;n%20aprobados\LIQUIDACIONES%202015\160112-%20WIESNER%20FABIAN%20ROBAYO.pdf" TargetMode="External"/><Relationship Id="rId151" Type="http://schemas.openxmlformats.org/officeDocument/2006/relationships/hyperlink" Target="file:///\\cbprint\..\..\..\..\..\..\..\..\Documents\Actas%20de%20liquidaci&#243;n%20aprobados\LIQUIDACION%20120000-504-0-2012%20GRUPO%20LOS%20LAGOS%20SAS%20(2)%20-%20ok.pdf" TargetMode="External"/><Relationship Id="rId389" Type="http://schemas.openxmlformats.org/officeDocument/2006/relationships/hyperlink" Target="file:///\\cbprint\Documents\BACKUP%20DOCUMENTOS%20MAR\Actas%20de%20liquidaci&#243;n%20aprobados\2016\160127-%20SECURITYCOM%20SAS.pdf" TargetMode="External"/><Relationship Id="rId193" Type="http://schemas.openxmlformats.org/officeDocument/2006/relationships/hyperlink" Target="file:///\\cbprint\..\..\..\..\..\..\..\..\Documents\Actas%20de%20liquidaci&#243;n%20aprobados\LIQUIDACIONES%202015\140274-%20PUBLICACIONES%20SEMANA.pdf" TargetMode="External"/><Relationship Id="rId207" Type="http://schemas.openxmlformats.org/officeDocument/2006/relationships/hyperlink" Target="file:///\\cbprint\..\..\..\..\..\..\..\..\Documents\Actas%20de%20liquidaci&#243;n%20aprobados\LIQUIDACIONES%202015\140418-%20CENTURY.pdf" TargetMode="External"/><Relationship Id="rId249" Type="http://schemas.openxmlformats.org/officeDocument/2006/relationships/hyperlink" Target="file:///\\cbprint\..\..\..\..\..\..\..\..\Documents\Actas%20de%20liquidaci&#243;n%20aprobados\LIQUIDACIONES%202015\160170-%20UT%20RGV.pdf" TargetMode="External"/><Relationship Id="rId13" Type="http://schemas.openxmlformats.org/officeDocument/2006/relationships/hyperlink" Target="file:///\\cbprint\..\..\..\..\..\..\..\..\Documents\Actas%20de%20liquidaci&#243;n%20aprobados\LIQUIDACIONES%202015\150221-%20SGS%20COLOMBIA.pdf" TargetMode="External"/><Relationship Id="rId109" Type="http://schemas.openxmlformats.org/officeDocument/2006/relationships/hyperlink" Target="file:///\\cbprint\..\..\..\..\..\..\..\..\Documents\Actas%20de%20liquidaci&#243;n%20aprobados\LIQUIDACIONES%202015\150308-%20ARANDA%20SOFTWARE.pdf" TargetMode="External"/><Relationship Id="rId260" Type="http://schemas.openxmlformats.org/officeDocument/2006/relationships/hyperlink" Target="file:///\\cbprint\Documents\Actas%20de%20liquidaci&#243;n%20aprobados\LIQUIDACIONES%202015\170195-%20JHON%20SUAREZ.pdf" TargetMode="External"/><Relationship Id="rId316" Type="http://schemas.openxmlformats.org/officeDocument/2006/relationships/hyperlink" Target="file:///\\cbprint\Documents\Actas%20de%20liquidaci&#243;n%20aprobados\2008-2012\120000-307-0-2011%20-%20ELECTRIMEK%20LTDA.pdf" TargetMode="External"/><Relationship Id="rId55" Type="http://schemas.openxmlformats.org/officeDocument/2006/relationships/hyperlink" Target="file:///\\cbprint\..\..\..\..\..\..\..\..\Documents\Actas%20de%20liquidaci&#243;n%20aprobados\LIQUIDACIONES%202015\160144-0ELENCO.pdf" TargetMode="External"/><Relationship Id="rId97" Type="http://schemas.openxmlformats.org/officeDocument/2006/relationships/hyperlink" Target="file:///\\cbprint\..\..\..\..\..\..\..\..\Documents\Actas%20de%20liquidaci&#243;n%20aprobados\LIQUIDACIONES%202015\140315-%20PROSEGUR.pdf" TargetMode="External"/><Relationship Id="rId120" Type="http://schemas.openxmlformats.org/officeDocument/2006/relationships/hyperlink" Target="file:///\\cbprint\..\..\..\..\..\..\..\..\Documents\Actas%20de%20liquidaci&#243;n%20aprobados\130141-0-2013%20-%20Acta%20de%20liquidaci&#243;n%20-%20ok.pdf" TargetMode="External"/><Relationship Id="rId358" Type="http://schemas.openxmlformats.org/officeDocument/2006/relationships/hyperlink" Target="file:///\\cbprint\Documents\BACKUP%20DOCUMENTOS%20MAR\Actas%20de%20liquidaci&#243;n%20aprobados\2017\170152-%20MEDICAL%20PROTECTION.pdf" TargetMode="External"/><Relationship Id="rId162" Type="http://schemas.openxmlformats.org/officeDocument/2006/relationships/hyperlink" Target="file:///\\cbprint\..\..\..\..\..\..\..\..\Documents\Actas%20de%20liquidaci&#243;n%20aprobados\LIQUIDACION%20CTO%20130154-0-2013%20MUDANZAS%20LEMUS%20-%20ok.pdf" TargetMode="External"/><Relationship Id="rId218" Type="http://schemas.openxmlformats.org/officeDocument/2006/relationships/hyperlink" Target="file:///\\cbprint\..\..\..\..\..\..\..\..\Documents\Actas%20de%20liquidaci&#243;n%20aprobados\LIQUIDACIONES%202015\150193-%20SOPT.pdf" TargetMode="External"/><Relationship Id="rId271" Type="http://schemas.openxmlformats.org/officeDocument/2006/relationships/hyperlink" Target="file:///\\cbprint\Documents\Actas%20de%20liquidaci&#243;n%20aprobados\2016\160178-%20RIELCO.pdf" TargetMode="External"/><Relationship Id="rId24" Type="http://schemas.openxmlformats.org/officeDocument/2006/relationships/hyperlink" Target="file:///\\cbprint\..\..\..\..\..\..\..\..\Documents\Actas%20de%20liquidaci&#243;n%20aprobados\LIQUIDACIONES%202015\150279-%20WILLIAM%20QUINTERO.pdf" TargetMode="External"/><Relationship Id="rId66" Type="http://schemas.openxmlformats.org/officeDocument/2006/relationships/hyperlink" Target="file:///\\cbprint\..\..\..\..\..\..\..\..\Documents\Actas%20de%20liquidaci&#243;n%20aprobados\LIQUIDACIONES%202015\160076-%20EDGAR%20E.%20GONZALEZ.pdf" TargetMode="External"/><Relationship Id="rId131" Type="http://schemas.openxmlformats.org/officeDocument/2006/relationships/hyperlink" Target="file:///\\cbprint\..\..\..\..\..\..\..\..\Documents\Actas%20de%20liquidaci&#243;n%20aprobados\130363-0-2013%20-%20Acta%20de%20liquidaci&#243;n%20-%20ok.pdf" TargetMode="External"/><Relationship Id="rId327" Type="http://schemas.openxmlformats.org/officeDocument/2006/relationships/hyperlink" Target="file:///\\cbprint\..\..\..\..\Documents\Actas%20de%20liquidaci&#243;n%20aprobados\2014\140168-%20JORGE%20TRUJILLO.pdf" TargetMode="External"/><Relationship Id="rId369" Type="http://schemas.openxmlformats.org/officeDocument/2006/relationships/hyperlink" Target="file:///\\cbprint\Documents\BACKUP%20DOCUMENTOS%20MAR\Actas%20de%20liquidaci&#243;n%20aprobados\2017\170368-%20ZILL%20BUSINESS.pdf" TargetMode="External"/><Relationship Id="rId173" Type="http://schemas.openxmlformats.org/officeDocument/2006/relationships/hyperlink" Target="file:///\\cbprint\..\..\..\..\..\..\..\..\Documents\Actas%20de%20liquidaci&#243;n%20aprobados\LIQUIDACIONES%202015\140279.pdf" TargetMode="External"/><Relationship Id="rId229" Type="http://schemas.openxmlformats.org/officeDocument/2006/relationships/hyperlink" Target="file:///\\cbprint\..\..\..\..\..\..\..\..\Documents\Actas%20de%20liquidaci&#243;n%20aprobados\LIQUIDACIONES%202015\160260-%20MAP%20ING..pdf" TargetMode="External"/><Relationship Id="rId380" Type="http://schemas.openxmlformats.org/officeDocument/2006/relationships/hyperlink" Target="file:///\\cbprint\Documents\BACKUP%20DOCUMENTOS%20MAR\Actas%20de%20liquidaci&#243;n%20aprobados\2013\130368-%20NEX%20COMPUTER.pdf" TargetMode="External"/><Relationship Id="rId240" Type="http://schemas.openxmlformats.org/officeDocument/2006/relationships/hyperlink" Target="file:///\\cbprint\..\..\..\..\..\..\..\..\Documents\Actas%20de%20liquidaci&#243;n%20aprobados\LIQUIDACIONES%202015\170114-%20KHAANKO%20RUIZ.pdf" TargetMode="External"/><Relationship Id="rId35" Type="http://schemas.openxmlformats.org/officeDocument/2006/relationships/hyperlink" Target="file:///\\cbprint\..\..\..\..\..\..\..\..\Documents\Actas%20de%20liquidaci&#243;n%20aprobados\LIQUIDACIONES%202015\150129-0-2015%20DIEGO%20ALEJANDRO%20RUBIO.pdf" TargetMode="External"/><Relationship Id="rId77" Type="http://schemas.openxmlformats.org/officeDocument/2006/relationships/hyperlink" Target="file:///\\cbprint\..\..\..\..\..\..\..\..\Documents\Actas%20de%20liquidaci&#243;n%20aprobados\LIQUIDACIONES%202015\150225-%20TV%20ANDINA.pdf" TargetMode="External"/><Relationship Id="rId100" Type="http://schemas.openxmlformats.org/officeDocument/2006/relationships/hyperlink" Target="file:///\\cbprint\..\..\..\..\..\..\..\..\Documents\Actas%20de%20liquidaci&#243;n%20aprobados\LIQUIDACIONES%202015\140306-%20LINALCA.pdf" TargetMode="External"/><Relationship Id="rId282" Type="http://schemas.openxmlformats.org/officeDocument/2006/relationships/hyperlink" Target="file:///\\cbprint\Documents\Actas%20de%20liquidaci&#243;n%20aprobados\2017\170216-%20TECNOLOGIA%20BIOMEDICA.pdf" TargetMode="External"/><Relationship Id="rId338" Type="http://schemas.openxmlformats.org/officeDocument/2006/relationships/hyperlink" Target="https://www.colombiacompra.gov.co/sites/cce_public/files/documentos_adicionales_oc/informe_final_de_supervision_cto_170337-0-2017.pdf" TargetMode="External"/><Relationship Id="rId8" Type="http://schemas.openxmlformats.org/officeDocument/2006/relationships/hyperlink" Target="file:///\\cbprint\..\..\..\..\..\..\..\..\Documents\Actas%20de%20liquidaci&#243;n%20aprobados\LIQUIDACIONES%202015\150198-%20UNP.pdf" TargetMode="External"/><Relationship Id="rId142" Type="http://schemas.openxmlformats.org/officeDocument/2006/relationships/hyperlink" Target="file:///\\cbprint\..\..\..\..\..\..\..\..\Documents\Actas%20de%20liquidaci&#243;n%20aprobados\Acta%20de%20Liquidaci&#243;n%20del%20Contrato%20120000-396-0-2012%20-%20ok.pdf" TargetMode="External"/><Relationship Id="rId184" Type="http://schemas.openxmlformats.org/officeDocument/2006/relationships/hyperlink" Target="file:///\\cbprint\..\..\..\..\..\..\..\..\Documents\Actas%20de%20liquidaci&#243;n%20aprobados\LIQUIDACIONES%202015\140319-%20TEVEANDINA.pdf" TargetMode="External"/><Relationship Id="rId391" Type="http://schemas.openxmlformats.org/officeDocument/2006/relationships/hyperlink" Target="file:///\\cbprint\Documents\BACKUP%20DOCUMENTOS%20MAR\Actas%20de%20liquidaci&#243;n%20aprobados\2016\160317-%20INARDEX.pdf" TargetMode="External"/><Relationship Id="rId405" Type="http://schemas.openxmlformats.org/officeDocument/2006/relationships/printerSettings" Target="../printerSettings/printerSettings16.bin"/><Relationship Id="rId251" Type="http://schemas.openxmlformats.org/officeDocument/2006/relationships/hyperlink" Target="file:///\\cbprint\..\..\..\..\..\..\..\..\Documents\Actas%20de%20liquidaci&#243;n%20aprobados\LIQUIDACIONES%202015\160198-%20INGENIERIA%20Y%20SOLUCIONES.pdf" TargetMode="External"/><Relationship Id="rId46" Type="http://schemas.openxmlformats.org/officeDocument/2006/relationships/hyperlink" Target="file:///\\cbprint\..\..\..\..\..\..\..\..\Documents\Actas%20de%20liquidaci&#243;n%20aprobados\LIQUIDACIONES%202015\160101-%20CLARA%20INES%20VARGAS%20MALAGON.pdf" TargetMode="External"/><Relationship Id="rId293" Type="http://schemas.openxmlformats.org/officeDocument/2006/relationships/hyperlink" Target="file:///\\cbprint\Documents\Actas%20de%20liquidaci&#243;n%20aprobados\2017\170272-%20MAP%20INGENIEROS.pdf" TargetMode="External"/><Relationship Id="rId307" Type="http://schemas.openxmlformats.org/officeDocument/2006/relationships/hyperlink" Target="file:///\\cbprint\Documents\Actas%20de%20liquidaci&#243;n%20aprobados\2013\130227-%20PUBLICACIONES%20SEMANA.pdf" TargetMode="External"/><Relationship Id="rId349" Type="http://schemas.openxmlformats.org/officeDocument/2006/relationships/hyperlink" Target="file:///\\cbprint\Documents\Actas%20de%20liquidaci&#243;n%20aprobados\2017\170161-%20INGENIERIA%20DE%20BOMBAS.pdf" TargetMode="External"/><Relationship Id="rId88" Type="http://schemas.openxmlformats.org/officeDocument/2006/relationships/hyperlink" Target="file:///\\cbprint\..\..\..\..\..\..\..\..\Documents\Actas%20de%20liquidaci&#243;n%20aprobados\LIQUIDACIONES%202015\150358-%20MITSU%20MOTORS.pdf" TargetMode="External"/><Relationship Id="rId111" Type="http://schemas.openxmlformats.org/officeDocument/2006/relationships/hyperlink" Target="file:///\\cbprint\..\..\..\..\..\..\..\..\Documents\Actas%20de%20liquidaci&#243;n%20aprobados\LIQUIDACIONES%202015\130044-%20MITSUBISHI%20ELECTRIC.pdf" TargetMode="External"/><Relationship Id="rId153" Type="http://schemas.openxmlformats.org/officeDocument/2006/relationships/hyperlink" Target="file:///\\cbprint\..\..\..\..\..\..\..\..\Documents\Actas%20de%20liquidaci&#243;n%20aprobados\LIQUIDACION%20130270-0-2013%20ITELCO%20IT%20SAS%20-%20ok.pdf" TargetMode="External"/><Relationship Id="rId195" Type="http://schemas.openxmlformats.org/officeDocument/2006/relationships/hyperlink" Target="file:///\\cbprint\Documents\Actas%20de%20liquidaci&#243;n%20aprobados\2014\140282-%20EL%20PERIODICO.pdf" TargetMode="External"/><Relationship Id="rId209" Type="http://schemas.openxmlformats.org/officeDocument/2006/relationships/hyperlink" Target="file:///\\cbprint\..\..\..\..\..\..\..\..\Documents\Actas%20de%20liquidaci&#243;n%20aprobados\LIQUIDACIONES%202015\150080-%20LIZETH%20GONZALEZ.pdf" TargetMode="External"/><Relationship Id="rId360" Type="http://schemas.openxmlformats.org/officeDocument/2006/relationships/hyperlink" Target="file:///\\cbprint\Documents\BACKUP%20DOCUMENTOS%20MAR\Actas%20de%20liquidaci&#243;n%20aprobados\2017\170196-%20ALKOSTO.pdf" TargetMode="External"/><Relationship Id="rId220" Type="http://schemas.openxmlformats.org/officeDocument/2006/relationships/hyperlink" Target="file:///\\cbprint\..\..\..\..\..\..\..\..\Documents\Actas%20de%20liquidaci&#243;n%20aprobados\LIQUIDACIONES%202015\150331-%20VIDEO%20BEAMS.pdf" TargetMode="External"/><Relationship Id="rId15" Type="http://schemas.openxmlformats.org/officeDocument/2006/relationships/hyperlink" Target="file:///\\cbprint\..\..\..\..\..\..\..\..\Documents\Actas%20de%20liquidaci&#243;n%20aprobados\LIQUIDACIONES%202015\150228-%20REVISTA%20EL%20CONGRESO%20SIGLO%20XXI.pdf" TargetMode="External"/><Relationship Id="rId57" Type="http://schemas.openxmlformats.org/officeDocument/2006/relationships/hyperlink" Target="file:///\\cbprint\..\..\..\..\..\..\..\..\Documents\Actas%20de%20liquidaci&#243;n%20aprobados\LIQUIDACIONES%202015\150255-%20MEDALLAS%20COLOMBIANAS.pdf" TargetMode="External"/><Relationship Id="rId262" Type="http://schemas.openxmlformats.org/officeDocument/2006/relationships/hyperlink" Target="file:///\\cbprint\Documents\Actas%20de%20liquidaci&#243;n%20aprobados\LIQUIDACIONES%202015\160276-%20ECA%20INTERVENTORIAS.pdf" TargetMode="External"/><Relationship Id="rId318" Type="http://schemas.openxmlformats.org/officeDocument/2006/relationships/hyperlink" Target="file:///\\cbprint\..\..\..\..\Documents\Actas%20de%20liquidaci&#243;n%20aprobados\2015\150400-%20CENTURY%20MEDIA.pdf" TargetMode="External"/><Relationship Id="rId99" Type="http://schemas.openxmlformats.org/officeDocument/2006/relationships/hyperlink" Target="file:///\\cbprint\..\..\..\..\..\..\..\..\Documents\Actas%20de%20liquidaci&#243;n%20aprobados\LIQUIDACIONES%202015\140252-%20LINALCA.pdf" TargetMode="External"/><Relationship Id="rId122" Type="http://schemas.openxmlformats.org/officeDocument/2006/relationships/hyperlink" Target="file:///\\cbprint\..\..\..\..\..\..\..\..\Documents\Actas%20de%20liquidaci&#243;n%20aprobados\130166-0-2013%20-%20Acta%20de%20Liquidaci&#243;n%20Contrato%20-%20ok.pdf" TargetMode="External"/><Relationship Id="rId164" Type="http://schemas.openxmlformats.org/officeDocument/2006/relationships/hyperlink" Target="file:///\\cbprint\..\..\..\..\..\..\..\..\Documents\Actas%20de%20liquidaci&#243;n%20aprobados\LIQUIDACION%20CTO%20130249-02013%20INGEAL%20-%20ok.pdf" TargetMode="External"/><Relationship Id="rId371" Type="http://schemas.openxmlformats.org/officeDocument/2006/relationships/hyperlink" Target="file:///\\cbprint\Documents\BACKUP%20DOCUMENTOS%20MAR\Actas%20de%20liquidaci&#243;n%20aprobados\2015\150226-%20STARCOOP.pdf" TargetMode="External"/><Relationship Id="rId26" Type="http://schemas.openxmlformats.org/officeDocument/2006/relationships/hyperlink" Target="file:///\\cbprint\..\..\..\..\..\..\..\..\Documents\Actas%20de%20liquidaci&#243;n%20aprobados\LIQUIDACIONES%202015\150300-%20GERIZIM.pdf" TargetMode="External"/><Relationship Id="rId231" Type="http://schemas.openxmlformats.org/officeDocument/2006/relationships/hyperlink" Target="file:///\\cbprint\..\..\..\..\..\..\..\..\Documents\Actas%20de%20liquidaci&#243;n%20aprobados\LIQUIDACIONES%202015\160310-%20PRACO.pdf" TargetMode="External"/><Relationship Id="rId273" Type="http://schemas.openxmlformats.org/officeDocument/2006/relationships/hyperlink" Target="file:///\\cbprint\Documents\Actas%20de%20liquidaci&#243;n%20aprobados\2016\160154-%20BRANCH%20OF%20MICROSOFT.pdf" TargetMode="External"/><Relationship Id="rId329" Type="http://schemas.openxmlformats.org/officeDocument/2006/relationships/hyperlink" Target="file:///\\cbprint\..\..\..\..\Documents\Actas%20de%20liquidaci&#243;n%20aprobados\2016\160255-%20INTERAMERICANA%20DE%20SISTEMAS.pdf" TargetMode="External"/><Relationship Id="rId68" Type="http://schemas.openxmlformats.org/officeDocument/2006/relationships/hyperlink" Target="file:///\\cbprint\..\..\..\..\..\..\..\..\Documents\Actas%20de%20liquidaci&#243;n%20aprobados\LIQUIDACIONES%202015\160241-%20GIOVANNI%20SUAREZ.pdf" TargetMode="External"/><Relationship Id="rId133" Type="http://schemas.openxmlformats.org/officeDocument/2006/relationships/hyperlink" Target="file:///\\cbprint\..\..\..\..\..\..\..\..\Documents\Actas%20de%20liquidaci&#243;n%20aprobados\140140-0-2014%20-%20Acta%20de%20liquidaci&#243;n%20-%20ok.pdf" TargetMode="External"/><Relationship Id="rId175" Type="http://schemas.openxmlformats.org/officeDocument/2006/relationships/hyperlink" Target="file:///\\cbprint\..\..\..\..\..\..\..\..\Documents\Actas%20de%20liquidaci&#243;n%20aprobados\LIQUIDACIONES%202015\140372.pdf" TargetMode="External"/><Relationship Id="rId340" Type="http://schemas.openxmlformats.org/officeDocument/2006/relationships/hyperlink" Target="file:///\\cbprint\..\..\..\..\Documents\Actas%20de%20liquidaci&#243;n%20aprobados\2008-2012\120000-177-0-2012%20CANAL%20CAPITAL.pdf" TargetMode="External"/><Relationship Id="rId200" Type="http://schemas.openxmlformats.org/officeDocument/2006/relationships/hyperlink" Target="file:///\\cbprint\..\..\..\..\..\..\..\..\Documents\Actas%20de%20liquidaci&#243;n%20aprobados\LIQUIDACIONES%202015\150314-%20INGEAL.pdf" TargetMode="External"/><Relationship Id="rId382" Type="http://schemas.openxmlformats.org/officeDocument/2006/relationships/hyperlink" Target="https://www.contratos.gov.co/consultas/detalleProceso.do?numConstancia=13-12-1640887" TargetMode="External"/><Relationship Id="rId242" Type="http://schemas.openxmlformats.org/officeDocument/2006/relationships/hyperlink" Target="file:///\\cbprint\..\..\..\..\..\..\..\..\Documents\Actas%20de%20liquidaci&#243;n%20aprobados\LIQUIDACIONES%202015\170167-%20CURACAO.pdf" TargetMode="External"/><Relationship Id="rId284" Type="http://schemas.openxmlformats.org/officeDocument/2006/relationships/hyperlink" Target="file:///\\cbprint\Documents\Actas%20de%20liquidaci&#243;n%20aprobados\2016\160131-%20SODINLEC.pdf" TargetMode="External"/><Relationship Id="rId37" Type="http://schemas.openxmlformats.org/officeDocument/2006/relationships/hyperlink" Target="file:///\\cbprint\..\..\..\..\..\..\..\..\Documents\Actas%20de%20liquidaci&#243;n%20aprobados\LIQUIDACIONES%202015\150342-%20SEMANA.pdf" TargetMode="External"/><Relationship Id="rId79" Type="http://schemas.openxmlformats.org/officeDocument/2006/relationships/hyperlink" Target="file:///\\cbprint\..\..\..\..\..\..\..\..\Documents\Actas%20de%20liquidaci&#243;n%20aprobados\LIQUIDACIONES%202015\150377-%20COMPENSAR.pdf" TargetMode="External"/><Relationship Id="rId102" Type="http://schemas.openxmlformats.org/officeDocument/2006/relationships/hyperlink" Target="file:///\\cbprint\..\..\..\..\..\..\..\..\Documents\Actas%20de%20liquidaci&#243;n%20aprobados\LIQUIDACIONES%202015\140390-%20UT%20SICVEL.pdf" TargetMode="External"/><Relationship Id="rId144" Type="http://schemas.openxmlformats.org/officeDocument/2006/relationships/hyperlink" Target="file:///\\cbprint\..\..\..\..\..\..\..\..\Documents\Actas%20de%20liquidaci&#243;n%20aprobados\Acta%20de%20Terminaci&#243;n%20por%20Mutuo%20Acuerdo%20Cto%20140167-0-2014%20con%20soportes.pdf" TargetMode="External"/><Relationship Id="rId90" Type="http://schemas.openxmlformats.org/officeDocument/2006/relationships/hyperlink" Target="file:///\\cbprint\..\..\..\..\..\..\..\..\Documents\Actas%20de%20liquidaci&#243;n%20aprobados\LIQUIDACIONES%202015\160139-%20DIANA%20PILAR%20DELGADO.pdf" TargetMode="External"/><Relationship Id="rId186" Type="http://schemas.openxmlformats.org/officeDocument/2006/relationships/hyperlink" Target="file:///\\cbprint\..\..\..\..\..\..\..\..\Documents\Actas%20de%20liquidaci&#243;n%20aprobados\LIQUIDACIONES%202015\140312-%20CRISTIAN%20DAVID.pdf" TargetMode="External"/><Relationship Id="rId351" Type="http://schemas.openxmlformats.org/officeDocument/2006/relationships/hyperlink" Target="file:///\\cbprint\Documents\BACKUP%20DOCUMENTOS%20MAR\Actas%20de%20liquidaci&#243;n%20aprobados\2017\170178-%20COLSOFT.pdf" TargetMode="External"/><Relationship Id="rId393" Type="http://schemas.openxmlformats.org/officeDocument/2006/relationships/hyperlink" Target="file:///\\cbprint\Documents\BACKUP%20DOCUMENTOS%20MAR\Actas%20de%20liquidaci&#243;n%20aprobados\2018\180007-%20AUTOGAS.pdf" TargetMode="Externa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pivotTable" Target="../pivotTables/pivotTable2.xml"/><Relationship Id="rId4" Type="http://schemas.microsoft.com/office/2007/relationships/slicer" Target="../slicers/slicer1.xml"/></Relationships>
</file>

<file path=xl/worksheets/_rels/sheet4.xml.rels><?xml version="1.0" encoding="UTF-8" standalone="yes"?>
<Relationships xmlns="http://schemas.openxmlformats.org/package/2006/relationships"><Relationship Id="rId3" Type="http://schemas.microsoft.com/office/2007/relationships/slicer" Target="../slicers/slicer2.xml"/><Relationship Id="rId2" Type="http://schemas.openxmlformats.org/officeDocument/2006/relationships/drawing" Target="../drawings/drawing4.xml"/><Relationship Id="rId1" Type="http://schemas.openxmlformats.org/officeDocument/2006/relationships/pivotTable" Target="../pivotTables/pivotTable3.xml"/></Relationships>
</file>

<file path=xl/worksheets/_rels/sheet5.xml.rels><?xml version="1.0" encoding="UTF-8" standalone="yes"?>
<Relationships xmlns="http://schemas.openxmlformats.org/package/2006/relationships"><Relationship Id="rId117" Type="http://schemas.openxmlformats.org/officeDocument/2006/relationships/hyperlink" Target="https://www.contratos.gov.co/consultas/detalleProceso.do?numConstancia=15-12-3894623" TargetMode="External"/><Relationship Id="rId671" Type="http://schemas.openxmlformats.org/officeDocument/2006/relationships/hyperlink" Target="https://www.contratos.gov.co/consultas/detalleProceso.do?numConstancia=13-13-1905478" TargetMode="External"/><Relationship Id="rId21" Type="http://schemas.openxmlformats.org/officeDocument/2006/relationships/hyperlink" Target="https://www.contratos.gov.co/consultas/detalleProceso.do?numConstancia=14-13-2912893" TargetMode="External"/><Relationship Id="rId324" Type="http://schemas.openxmlformats.org/officeDocument/2006/relationships/hyperlink" Target="https://www.contratos.gov.co/consultas/detalleProceso.do?numConstancia=17-12-6407265" TargetMode="External"/><Relationship Id="rId531" Type="http://schemas.openxmlformats.org/officeDocument/2006/relationships/hyperlink" Target="https://community.secop.gov.co/Public/Tendering/ContractNoticeManagement/Index?currentLanguage=es-CO&amp;Page=login&amp;Country=CO&amp;SkinName=CCE" TargetMode="External"/><Relationship Id="rId629" Type="http://schemas.openxmlformats.org/officeDocument/2006/relationships/hyperlink" Target="https://www.contratos.gov.co/consultas/detalleProceso.do?numConstancia=13-13-2044908" TargetMode="External"/><Relationship Id="rId170" Type="http://schemas.openxmlformats.org/officeDocument/2006/relationships/hyperlink" Target="https://www.contratos.gov.co/consultas/detalleProceso.do?numConstancia=15-11-4204672" TargetMode="External"/><Relationship Id="rId268" Type="http://schemas.openxmlformats.org/officeDocument/2006/relationships/hyperlink" Target="https://www.contratos.gov.co/consultas/detalleProceso.do?numConstancia=16-12-5621641" TargetMode="External"/><Relationship Id="rId475" Type="http://schemas.openxmlformats.org/officeDocument/2006/relationships/hyperlink" Target="https://www.contratos.gov.co/consultas/detalleProceso.do?numConstancia=12-1-78985" TargetMode="External"/><Relationship Id="rId682" Type="http://schemas.openxmlformats.org/officeDocument/2006/relationships/hyperlink" Target="https://www.contratos.gov.co/consultas/detalleProceso.do?numConstancia=19-12-9291351" TargetMode="External"/><Relationship Id="rId32" Type="http://schemas.openxmlformats.org/officeDocument/2006/relationships/hyperlink" Target="https://www.contratos.gov.co/consultas/detalleProceso.do?numConstancia=14-12-2892891" TargetMode="External"/><Relationship Id="rId128" Type="http://schemas.openxmlformats.org/officeDocument/2006/relationships/hyperlink" Target="https://www.contratos.gov.co/consultas/detalleProceso.do?numConstancia=15-9-398690" TargetMode="External"/><Relationship Id="rId335" Type="http://schemas.openxmlformats.org/officeDocument/2006/relationships/hyperlink" Target="https://www.contratos.gov.co/consultas/detalleProceso.do?numConstancia=17-13-6352561" TargetMode="External"/><Relationship Id="rId542" Type="http://schemas.openxmlformats.org/officeDocument/2006/relationships/hyperlink" Target="https://www.colombiacompra.gov.co/tienda-virtual-del-estado-colombiano/ordenes-compra/31794" TargetMode="External"/><Relationship Id="rId181" Type="http://schemas.openxmlformats.org/officeDocument/2006/relationships/hyperlink" Target="https://www.contratos.gov.co/consultas/detalleProceso.do?numConstancia=15-13-4481791" TargetMode="External"/><Relationship Id="rId402" Type="http://schemas.openxmlformats.org/officeDocument/2006/relationships/hyperlink" Target="https://www.contratos.gov.co/consultas/detalleProceso.do?numConstancia=17-9-435254" TargetMode="External"/><Relationship Id="rId279" Type="http://schemas.openxmlformats.org/officeDocument/2006/relationships/hyperlink" Target="https://www.contratos.gov.co/consultas/detalleProceso.do?numConstancia=14-13-2547085" TargetMode="External"/><Relationship Id="rId486" Type="http://schemas.openxmlformats.org/officeDocument/2006/relationships/hyperlink" Target="https://www.contratos.gov.co/consultas/detalleProceso.do?numConstancia=18-13-8174485" TargetMode="External"/><Relationship Id="rId693" Type="http://schemas.openxmlformats.org/officeDocument/2006/relationships/hyperlink" Target="https://www.contratos.gov.co/consultas/detalleProceso.do?numConstancia=19-12-9392727" TargetMode="External"/><Relationship Id="rId707" Type="http://schemas.openxmlformats.org/officeDocument/2006/relationships/hyperlink" Target="https://www.contratos.gov.co/consultas/detalleProceso.do?numConstancia=19-12-9457069" TargetMode="External"/><Relationship Id="rId43" Type="http://schemas.openxmlformats.org/officeDocument/2006/relationships/hyperlink" Target="https://www.contratos.gov.co/consultas/detalleProceso.do?numConstancia=14-13-2693086" TargetMode="External"/><Relationship Id="rId139" Type="http://schemas.openxmlformats.org/officeDocument/2006/relationships/hyperlink" Target="https://www.contratos.gov.co/consultas/detalleProceso.do?numConstancia=15-12-4042665" TargetMode="External"/><Relationship Id="rId346" Type="http://schemas.openxmlformats.org/officeDocument/2006/relationships/hyperlink" Target="https://www.contratos.gov.co/consultas/detalleProceso.do?numConstancia=17-12-6548675" TargetMode="External"/><Relationship Id="rId553" Type="http://schemas.openxmlformats.org/officeDocument/2006/relationships/hyperlink" Target="https://community.secop.gov.co/Public/Tendering/ContractNoticeManagement/Index?currentLanguage=es-CO&amp;Page=login&amp;Country=CO&amp;SkinName=CCE" TargetMode="External"/><Relationship Id="rId192" Type="http://schemas.openxmlformats.org/officeDocument/2006/relationships/hyperlink" Target="https://www.contratos.gov.co/consultas/detalleProceso.do?numConstancia=16-12-4955977" TargetMode="External"/><Relationship Id="rId206" Type="http://schemas.openxmlformats.org/officeDocument/2006/relationships/hyperlink" Target="http://www.contratos.gov.co/consultas/detalleProceso.do?numConstancia=16-12-5146809" TargetMode="External"/><Relationship Id="rId413" Type="http://schemas.openxmlformats.org/officeDocument/2006/relationships/hyperlink" Target="https://www.colombiacompra.gov.co/tienda-virtual-del-estado-colombiano/ordenes-compra/22825" TargetMode="External"/><Relationship Id="rId497" Type="http://schemas.openxmlformats.org/officeDocument/2006/relationships/hyperlink" Target="https://community.secop.gov.co/Public/Tendering/ContractNoticeManagement/Index?currentLanguage=es-CO&amp;Page=login&amp;Country=CO&amp;SkinName=CCE" TargetMode="External"/><Relationship Id="rId620" Type="http://schemas.openxmlformats.org/officeDocument/2006/relationships/hyperlink" Target="https://community.secop.gov.co/Public/Tendering/ContractNoticeManagement/Index?currentLanguage=es-CO&amp;Page=login&amp;Country=CO&amp;SkinName=CCE" TargetMode="External"/><Relationship Id="rId718" Type="http://schemas.openxmlformats.org/officeDocument/2006/relationships/hyperlink" Target="https://www.contratos.gov.co/consultas/detalleProceso.do?numConstancia=19-12-9549341" TargetMode="External"/><Relationship Id="rId357" Type="http://schemas.openxmlformats.org/officeDocument/2006/relationships/hyperlink" Target="https://www.contratos.gov.co/consultas/detalleProceso.do?numConstancia=17-12-6526795" TargetMode="External"/><Relationship Id="rId54" Type="http://schemas.openxmlformats.org/officeDocument/2006/relationships/hyperlink" Target="https://www.contratos.gov.co/consultas/detalleProceso.do?numConstancia=15-12-3553134" TargetMode="External"/><Relationship Id="rId217" Type="http://schemas.openxmlformats.org/officeDocument/2006/relationships/hyperlink" Target="http://www.contratos.gov.co/consultas/detalleProceso.do?numConstancia=16-12-5247423" TargetMode="External"/><Relationship Id="rId564" Type="http://schemas.openxmlformats.org/officeDocument/2006/relationships/hyperlink" Target="https://community.secop.gov.co/Public/Tendering/ContractNoticeManagement/Index?currentLanguage=es-CO&amp;Page=login&amp;Country=CO&amp;SkinName=CCE" TargetMode="External"/><Relationship Id="rId424" Type="http://schemas.openxmlformats.org/officeDocument/2006/relationships/hyperlink" Target="https://www.colombiacompra.gov.co/tienda-virtual-del-estado-colombiano/ordenes-compra/24099" TargetMode="External"/><Relationship Id="rId631" Type="http://schemas.openxmlformats.org/officeDocument/2006/relationships/hyperlink" Target="https://www.contratos.gov.co/consultas/detalleProceso.do?numConstancia=13-12-1798616" TargetMode="External"/><Relationship Id="rId270" Type="http://schemas.openxmlformats.org/officeDocument/2006/relationships/hyperlink" Target="https://www.contratos.gov.co/consultas/detalleProceso.do?numConstancia=16-12-4914537" TargetMode="External"/><Relationship Id="rId65" Type="http://schemas.openxmlformats.org/officeDocument/2006/relationships/hyperlink" Target="https://www.contratos.gov.co/consultas/detalleProceso.do?numConstancia=14-1-125523" TargetMode="External"/><Relationship Id="rId130" Type="http://schemas.openxmlformats.org/officeDocument/2006/relationships/hyperlink" Target="https://www.contratos.gov.co/consultas/detalleProceso.do?numConstancia=15-13-3869119" TargetMode="External"/><Relationship Id="rId368" Type="http://schemas.openxmlformats.org/officeDocument/2006/relationships/hyperlink" Target="https://www.contratos.gov.co/consultas/detalleProceso.do?numConstancia=17-1-173038" TargetMode="External"/><Relationship Id="rId575" Type="http://schemas.openxmlformats.org/officeDocument/2006/relationships/hyperlink" Target="https://www.colombiacompra.gov.co/tienda-virtual-del-estado-colombiano/ordenes-compra/32596" TargetMode="External"/><Relationship Id="rId228" Type="http://schemas.openxmlformats.org/officeDocument/2006/relationships/hyperlink" Target="https://www.contratos.gov.co/consultas/detalleProceso.do?numConstancia=16-12-5286234" TargetMode="External"/><Relationship Id="rId435" Type="http://schemas.openxmlformats.org/officeDocument/2006/relationships/hyperlink" Target="https://www.contratos.gov.co/consultas/detalleProceso.do?numConstancia=18-12-7726389" TargetMode="External"/><Relationship Id="rId642" Type="http://schemas.openxmlformats.org/officeDocument/2006/relationships/hyperlink" Target="https://community.secop.gov.co/Public/Tendering/ContractNoticeManagement/Index?currentLanguage=es-CO&amp;Page=login&amp;Country=CO&amp;SkinName=CCE" TargetMode="External"/><Relationship Id="rId281" Type="http://schemas.openxmlformats.org/officeDocument/2006/relationships/hyperlink" Target="https://www.contratos.gov.co/consultas/detalleProceso.do?numConstancia=16-12-5626583" TargetMode="External"/><Relationship Id="rId502" Type="http://schemas.openxmlformats.org/officeDocument/2006/relationships/hyperlink" Target="https://community.secop.gov.co/Public/Tendering/ContractNoticeManagement/Index?currentLanguage=es-CO&amp;Page=login&amp;Country=CO&amp;SkinName=CCE" TargetMode="External"/><Relationship Id="rId76" Type="http://schemas.openxmlformats.org/officeDocument/2006/relationships/hyperlink" Target="https://www.contratos.gov.co/consultas/detalleProceso.do?numConstancia=15-13-3639794" TargetMode="External"/><Relationship Id="rId141" Type="http://schemas.openxmlformats.org/officeDocument/2006/relationships/hyperlink" Target="https://www.contratos.gov.co/consultas/detalleProceso.do?numConstancia=15-11-3865967" TargetMode="External"/><Relationship Id="rId379" Type="http://schemas.openxmlformats.org/officeDocument/2006/relationships/hyperlink" Target="https://www.contratos.gov.co/consultas/detalleProceso.do?numConstancia=17-13-6888194" TargetMode="External"/><Relationship Id="rId586" Type="http://schemas.openxmlformats.org/officeDocument/2006/relationships/hyperlink" Target="https://www.contratos.gov.co/consultas/detalleProceso.do?numConstancia=13-13-1397260" TargetMode="External"/><Relationship Id="rId7" Type="http://schemas.openxmlformats.org/officeDocument/2006/relationships/hyperlink" Target="https://www.contratos.gov.co/consultas/detalleProceso.do?numConstancia=14-9-388863" TargetMode="External"/><Relationship Id="rId239" Type="http://schemas.openxmlformats.org/officeDocument/2006/relationships/hyperlink" Target="https://www.contratos.gov.co/consultas/detalleProceso.do?numConstancia=16-13-5279502" TargetMode="External"/><Relationship Id="rId446" Type="http://schemas.openxmlformats.org/officeDocument/2006/relationships/hyperlink" Target="https://www.contratos.gov.co/consultas/detalleProceso.do?numConstancia=18-13-8002768" TargetMode="External"/><Relationship Id="rId653" Type="http://schemas.openxmlformats.org/officeDocument/2006/relationships/hyperlink" Target="https://www.contratos.gov.co/consultas/detalleProceso.do?numConstancia=14-12-2319925" TargetMode="External"/><Relationship Id="rId292" Type="http://schemas.openxmlformats.org/officeDocument/2006/relationships/hyperlink" Target="https://www.contratos.gov.co/consultas/detalleProceso.do?numConstancia=16-13-5689362" TargetMode="External"/><Relationship Id="rId306" Type="http://schemas.openxmlformats.org/officeDocument/2006/relationships/hyperlink" Target="https://www.contratos.gov.co/consultas/detalleProceso.do?numConstancia=16-9-423314" TargetMode="External"/><Relationship Id="rId87" Type="http://schemas.openxmlformats.org/officeDocument/2006/relationships/hyperlink" Target="https://www.contratos.gov.co/consultas/detalleProceso.do?numConstancia=15-12-3487209" TargetMode="External"/><Relationship Id="rId513" Type="http://schemas.openxmlformats.org/officeDocument/2006/relationships/hyperlink" Target="https://community.secop.gov.co/Public/Tendering/ContractNoticeManagement/Index?currentLanguage=es-CO&amp;Page=login&amp;Country=CO&amp;SkinName=CCE" TargetMode="External"/><Relationship Id="rId597" Type="http://schemas.openxmlformats.org/officeDocument/2006/relationships/hyperlink" Target="https://community.secop.gov.co/Public/Tendering/ContractNoticeManagement/Index?currentLanguage=es-CO&amp;Page=login&amp;Country=CO&amp;SkinName=CCE" TargetMode="External"/><Relationship Id="rId720" Type="http://schemas.openxmlformats.org/officeDocument/2006/relationships/hyperlink" Target="https://www.contratos.gov.co/consultas/detalleProceso.do?numConstancia=19-12-9559731" TargetMode="External"/><Relationship Id="rId152" Type="http://schemas.openxmlformats.org/officeDocument/2006/relationships/hyperlink" Target="https://www.contratos.gov.co/consultas/detalleProceso.do?numConstancia=15-12-4120873" TargetMode="External"/><Relationship Id="rId457" Type="http://schemas.openxmlformats.org/officeDocument/2006/relationships/hyperlink" Target="https://www.contratos.gov.co/consultas/detalleProceso.do?numConstancia=12-12-986775" TargetMode="External"/><Relationship Id="rId664" Type="http://schemas.openxmlformats.org/officeDocument/2006/relationships/hyperlink" Target="https://www.contratos.gov.co/consultas/detalleProceso.do?numConstancia=13-9-379947" TargetMode="External"/><Relationship Id="rId14" Type="http://schemas.openxmlformats.org/officeDocument/2006/relationships/hyperlink" Target="https://www.contratos.gov.co/consultas/detalleProceso.do?numConstancia=14-9-390176" TargetMode="External"/><Relationship Id="rId317" Type="http://schemas.openxmlformats.org/officeDocument/2006/relationships/hyperlink" Target="https://www.contratos.gov.co/consultas/detalleProceso.do?numConstancia=16-9-423852" TargetMode="External"/><Relationship Id="rId524" Type="http://schemas.openxmlformats.org/officeDocument/2006/relationships/hyperlink" Target="https://www.contratos.gov.co/consultas/detalleProceso.do?numConstancia=18-12-8176034" TargetMode="External"/><Relationship Id="rId98" Type="http://schemas.openxmlformats.org/officeDocument/2006/relationships/hyperlink" Target="https://www.contratos.gov.co/consultas/detalleProceso.do?numConstancia=15-13-3639663" TargetMode="External"/><Relationship Id="rId163" Type="http://schemas.openxmlformats.org/officeDocument/2006/relationships/hyperlink" Target="https://www.contratos.gov.co/consultas/detalleProceso.do?numConstancia=15-13-4153145" TargetMode="External"/><Relationship Id="rId370" Type="http://schemas.openxmlformats.org/officeDocument/2006/relationships/hyperlink" Target="https://www.contratos.gov.co/consultas/detalleProceso.do?numConstancia=17-12-6735136" TargetMode="External"/><Relationship Id="rId230" Type="http://schemas.openxmlformats.org/officeDocument/2006/relationships/hyperlink" Target="https://www.contratos.gov.co/consultas/detalleProceso.do?numConstancia=16-1-157757" TargetMode="External"/><Relationship Id="rId468" Type="http://schemas.openxmlformats.org/officeDocument/2006/relationships/hyperlink" Target="https://www.contratos.gov.co/consultas/detalleProceso.do?numConstancia=13-13-1608949" TargetMode="External"/><Relationship Id="rId675" Type="http://schemas.openxmlformats.org/officeDocument/2006/relationships/hyperlink" Target="https://www.contratos.gov.co/consultas/detalleProceso.do?numConstancia=19-12-9193535" TargetMode="External"/><Relationship Id="rId25" Type="http://schemas.openxmlformats.org/officeDocument/2006/relationships/hyperlink" Target="https://www.contratos.gov.co/consultas/detalleProceso.do?numConstancia=14-1-125523" TargetMode="External"/><Relationship Id="rId328" Type="http://schemas.openxmlformats.org/officeDocument/2006/relationships/hyperlink" Target="https://www.contratos.gov.co/consultas/detalleProceso.do?numConstancia=17-13-6345589" TargetMode="External"/><Relationship Id="rId535" Type="http://schemas.openxmlformats.org/officeDocument/2006/relationships/hyperlink" Target="https://www.contratos.gov.co/consultas/detalleProceso.do?numConstancia=13-12-1779917" TargetMode="External"/><Relationship Id="rId174" Type="http://schemas.openxmlformats.org/officeDocument/2006/relationships/hyperlink" Target="https://www.contratos.gov.co/consultas/detalleProceso.do?numConstancia=15-13-4389061" TargetMode="External"/><Relationship Id="rId381" Type="http://schemas.openxmlformats.org/officeDocument/2006/relationships/hyperlink" Target="https://www.contratos.gov.co/consultas/detalleProceso.do?numConstancia=17-12-6979264" TargetMode="External"/><Relationship Id="rId602" Type="http://schemas.openxmlformats.org/officeDocument/2006/relationships/hyperlink" Target="https://community.secop.gov.co/Public/Tendering/ContractNoticeManagement/Index?currentLanguage=es-CO&amp;Page=login&amp;Country=CO&amp;SkinName=CCE" TargetMode="External"/><Relationship Id="rId241" Type="http://schemas.openxmlformats.org/officeDocument/2006/relationships/hyperlink" Target="https://www.contratos.gov.co/consultas/detalleProceso.do?numConstancia=16-13-5270781" TargetMode="External"/><Relationship Id="rId479" Type="http://schemas.openxmlformats.org/officeDocument/2006/relationships/hyperlink" Target="https://www.contratos.gov.co/consultas/detalleProceso.do?numConstancia=11-13-650884" TargetMode="External"/><Relationship Id="rId686" Type="http://schemas.openxmlformats.org/officeDocument/2006/relationships/hyperlink" Target="https://www.contratos.gov.co/consultas/detalleProceso.do?numConstancia=19-12-9327451" TargetMode="External"/><Relationship Id="rId36" Type="http://schemas.openxmlformats.org/officeDocument/2006/relationships/hyperlink" Target="https://www.contratos.gov.co/consultas/detalleProceso.do?numConstancia=14-12-2798101" TargetMode="External"/><Relationship Id="rId339" Type="http://schemas.openxmlformats.org/officeDocument/2006/relationships/hyperlink" Target="https://www.contratos.gov.co/consultas/detalleProceso.do?numConstancia=17-12-6536381" TargetMode="External"/><Relationship Id="rId546" Type="http://schemas.openxmlformats.org/officeDocument/2006/relationships/hyperlink" Target="https://www.contratos.gov.co/consultas/detalleProceso.do?numConstancia=14-13-3135750" TargetMode="External"/><Relationship Id="rId101" Type="http://schemas.openxmlformats.org/officeDocument/2006/relationships/hyperlink" Target="https://www.contratos.gov.co/consultas/detalleProceso.do?numConstancia=15-12-3763103" TargetMode="External"/><Relationship Id="rId185" Type="http://schemas.openxmlformats.org/officeDocument/2006/relationships/hyperlink" Target="https://www.contratos.gov.co/consultas/detalleProceso.do?numConstancia=15-12-4001368" TargetMode="External"/><Relationship Id="rId406" Type="http://schemas.openxmlformats.org/officeDocument/2006/relationships/hyperlink" Target="https://www.contratos.gov.co/consultas/detalleProceso.do?numConstancia=17-12-7269790" TargetMode="External"/><Relationship Id="rId392" Type="http://schemas.openxmlformats.org/officeDocument/2006/relationships/hyperlink" Target="https://www.contratos.gov.co/consultas/detalleProceso.do?numConstancia=17-12-7121844" TargetMode="External"/><Relationship Id="rId613" Type="http://schemas.openxmlformats.org/officeDocument/2006/relationships/hyperlink" Target="https://community.secop.gov.co/Public/Tendering/ContractNoticeManagement/Index?currentLanguage=es-CO&amp;Page=login&amp;Country=CO&amp;SkinName=CCE" TargetMode="External"/><Relationship Id="rId697" Type="http://schemas.openxmlformats.org/officeDocument/2006/relationships/hyperlink" Target="https://community.secop.gov.co/Public/Tendering/ContractNoticeManagement/Index?currentLanguage=es-CO&amp;Page=login&amp;Country=CO&amp;SkinName=CCE" TargetMode="External"/><Relationship Id="rId252" Type="http://schemas.openxmlformats.org/officeDocument/2006/relationships/hyperlink" Target="https://www.contratos.gov.co/consultas/detalleProceso.do?numConstancia=14-9-388863" TargetMode="External"/><Relationship Id="rId47" Type="http://schemas.openxmlformats.org/officeDocument/2006/relationships/hyperlink" Target="http://www.contratos.gov.co/consultas/detalleProceso.do?numConstancia=14-12-2709352" TargetMode="External"/><Relationship Id="rId112" Type="http://schemas.openxmlformats.org/officeDocument/2006/relationships/hyperlink" Target="https://www.contratos.gov.co/consultas/detalleProceso.do?numConstancia=15-9-398902" TargetMode="External"/><Relationship Id="rId557" Type="http://schemas.openxmlformats.org/officeDocument/2006/relationships/hyperlink" Target="https://community.secop.gov.co/Public/Tendering/ContractNoticeManagement/Index?currentLanguage=es-CO&amp;Page=login&amp;Country=CO&amp;SkinName=CCE" TargetMode="External"/><Relationship Id="rId196" Type="http://schemas.openxmlformats.org/officeDocument/2006/relationships/hyperlink" Target="https://www.contratos.gov.co/consultas/detalleProceso.do?numConstancia=16-12-4981844" TargetMode="External"/><Relationship Id="rId417" Type="http://schemas.openxmlformats.org/officeDocument/2006/relationships/hyperlink" Target="https://www.contratos.gov.co/consultas/detalleProceso.do?numConstancia=17-13-7250578" TargetMode="External"/><Relationship Id="rId624" Type="http://schemas.openxmlformats.org/officeDocument/2006/relationships/hyperlink" Target="https://www.contratos.gov.co/consultas/detalleProceso.do?numConstancia=14-12-2220383" TargetMode="External"/><Relationship Id="rId263" Type="http://schemas.openxmlformats.org/officeDocument/2006/relationships/hyperlink" Target="https://www.contratos.gov.co/consultas/detalleProceso.do?numConstancia=16-12-5540580" TargetMode="External"/><Relationship Id="rId470" Type="http://schemas.openxmlformats.org/officeDocument/2006/relationships/hyperlink" Target="https://www.contratos.gov.co/consultas/detalleProceso.do?numConstancia=13-12-1911131" TargetMode="External"/><Relationship Id="rId58" Type="http://schemas.openxmlformats.org/officeDocument/2006/relationships/hyperlink" Target="https://www.contratos.gov.co/consultas/detalleProceso.do?numConstancia=15-12-3492957" TargetMode="External"/><Relationship Id="rId123" Type="http://schemas.openxmlformats.org/officeDocument/2006/relationships/hyperlink" Target="https://www.contratos.gov.co/consultas/detalleProceso.do?numConstancia=14-15-3227993" TargetMode="External"/><Relationship Id="rId330" Type="http://schemas.openxmlformats.org/officeDocument/2006/relationships/hyperlink" Target="https://www.contratos.gov.co/consultas/detalleProceso.do?numConstancia=17-12-6483045" TargetMode="External"/><Relationship Id="rId568" Type="http://schemas.openxmlformats.org/officeDocument/2006/relationships/hyperlink" Target="https://community.secop.gov.co/Public/Tendering/ContractNoticeManagement/Index?currentLanguage=es-CO&amp;Page=login&amp;Country=CO&amp;SkinName=CCE" TargetMode="External"/><Relationship Id="rId428" Type="http://schemas.openxmlformats.org/officeDocument/2006/relationships/hyperlink" Target="https://www.colombiacompra.gov.co/tienda-virtual-del-estado-colombiano/ordenes-compra/24613" TargetMode="External"/><Relationship Id="rId635" Type="http://schemas.openxmlformats.org/officeDocument/2006/relationships/hyperlink" Target="https://community.secop.gov.co/Public/Tendering/ContractNoticeManagement/Index?currentLanguage=es-CO&amp;Page=login&amp;Country=CO&amp;SkinName=CCE" TargetMode="External"/><Relationship Id="rId274" Type="http://schemas.openxmlformats.org/officeDocument/2006/relationships/hyperlink" Target="https://www.contratos.gov.co/consultas/detalleProceso.do?numConstancia=16-12-5627747" TargetMode="External"/><Relationship Id="rId481" Type="http://schemas.openxmlformats.org/officeDocument/2006/relationships/hyperlink" Target="https://www.contratos.gov.co/consultas/detalleProceso.do?numConstancia=18-13-8146836" TargetMode="External"/><Relationship Id="rId702" Type="http://schemas.openxmlformats.org/officeDocument/2006/relationships/hyperlink" Target="https://www.contratos.gov.co/consultas/detalleProceso.do?numConstancia=12-11-855027" TargetMode="External"/><Relationship Id="rId69" Type="http://schemas.openxmlformats.org/officeDocument/2006/relationships/hyperlink" Target="https://www.contratos.gov.co/consultas/detalleProceso.do?numConstancia=14-13-2485599" TargetMode="External"/><Relationship Id="rId134" Type="http://schemas.openxmlformats.org/officeDocument/2006/relationships/hyperlink" Target="http://www.contratos.gov.co/consultas/detalleProceso.do?numConstancia=15-12-4001333" TargetMode="External"/><Relationship Id="rId579" Type="http://schemas.openxmlformats.org/officeDocument/2006/relationships/hyperlink" Target="https://www.contratos.gov.co/consultas/detalleProceso.do?numConstancia=13-9-363314" TargetMode="External"/><Relationship Id="rId341" Type="http://schemas.openxmlformats.org/officeDocument/2006/relationships/hyperlink" Target="https://www.contratos.gov.co/consultas/detalleProceso.do?numConstancia=17-12-6547356" TargetMode="External"/><Relationship Id="rId439" Type="http://schemas.openxmlformats.org/officeDocument/2006/relationships/hyperlink" Target="https://www.colombiacompra.gov.co/tienda-virtual-del-estado-colombiano/ordenes-compra/24917/1" TargetMode="External"/><Relationship Id="rId646" Type="http://schemas.openxmlformats.org/officeDocument/2006/relationships/hyperlink" Target="https://community.secop.gov.co/Public/Tendering/ContractNoticeManagement/Index?currentLanguage=es-CO&amp;Page=login&amp;Country=CO&amp;SkinName=CCE" TargetMode="External"/><Relationship Id="rId201" Type="http://schemas.openxmlformats.org/officeDocument/2006/relationships/hyperlink" Target="https://www.contratos.gov.co/consultas/detalleProceso.do?numConstancia=15-12-3384887" TargetMode="External"/><Relationship Id="rId285" Type="http://schemas.openxmlformats.org/officeDocument/2006/relationships/hyperlink" Target="https://www.contratos.gov.co/consultas/detalleProceso.do?numConstancia=16-12-5640300" TargetMode="External"/><Relationship Id="rId506" Type="http://schemas.openxmlformats.org/officeDocument/2006/relationships/hyperlink" Target="https://www.contratos.gov.co/consultas/detalleProceso.do?numConstancia=18-13-8170596" TargetMode="External"/><Relationship Id="rId492" Type="http://schemas.openxmlformats.org/officeDocument/2006/relationships/hyperlink" Target="https://community.secop.gov.co/Public/Tendering/ContractNoticeManagement/Index?currentLanguage=es-CO&amp;Page=login&amp;Country=CO&amp;SkinName=CCE" TargetMode="External"/><Relationship Id="rId713" Type="http://schemas.openxmlformats.org/officeDocument/2006/relationships/hyperlink" Target="https://community.secop.gov.co/Public/Tendering/ContractNoticeManagement/Index?currentLanguage=es-CO&amp;Page=login&amp;Country=CO&amp;SkinName=CCE" TargetMode="External"/><Relationship Id="rId145" Type="http://schemas.openxmlformats.org/officeDocument/2006/relationships/hyperlink" Target="https://www.contratos.gov.co/consultas/detalleProceso.do?numConstancia=14-1-131499" TargetMode="External"/><Relationship Id="rId352" Type="http://schemas.openxmlformats.org/officeDocument/2006/relationships/hyperlink" Target="https://www.contratos.gov.co/consultas/detalleProceso.do?numConstancia=17-12-6605008" TargetMode="External"/><Relationship Id="rId212" Type="http://schemas.openxmlformats.org/officeDocument/2006/relationships/hyperlink" Target="http://www.contratos.gov.co/consultas/detalleProceso.do?numConstancia=16-12-5223828" TargetMode="External"/><Relationship Id="rId657" Type="http://schemas.openxmlformats.org/officeDocument/2006/relationships/hyperlink" Target="https://www.contratos.gov.co/consultas/detalleProceso.do?numConstancia=14-13-2650764" TargetMode="External"/><Relationship Id="rId296" Type="http://schemas.openxmlformats.org/officeDocument/2006/relationships/hyperlink" Target="https://www.contratos.gov.co/consultas/detalleProceso.do?numConstancia=16-12-5825766" TargetMode="External"/><Relationship Id="rId517" Type="http://schemas.openxmlformats.org/officeDocument/2006/relationships/hyperlink" Target="https://community.secop.gov.co/Public/Tendering/ContractNoticeManagement/Index?currentLanguage=es-CO&amp;Page=login&amp;Country=CO&amp;SkinName=CCE" TargetMode="External"/><Relationship Id="rId724" Type="http://schemas.openxmlformats.org/officeDocument/2006/relationships/vmlDrawing" Target="../drawings/vmlDrawing1.vml"/><Relationship Id="rId60" Type="http://schemas.openxmlformats.org/officeDocument/2006/relationships/hyperlink" Target="https://www.contratos.gov.co/consultas/detalleProceso.do?numConstancia=15-12-3487209" TargetMode="External"/><Relationship Id="rId156" Type="http://schemas.openxmlformats.org/officeDocument/2006/relationships/hyperlink" Target="https://www.contratos.gov.co/consultas/detalleProceso.do?numConstancia=15-12-4167747" TargetMode="External"/><Relationship Id="rId363" Type="http://schemas.openxmlformats.org/officeDocument/2006/relationships/hyperlink" Target="https://www.contratos.gov.co/consultas/detalleProceso.do?numConstancia=17-13-6590232" TargetMode="External"/><Relationship Id="rId570" Type="http://schemas.openxmlformats.org/officeDocument/2006/relationships/hyperlink" Target="https://www.colombiacompra.gov.co/tienda-virtual-del-estado-colombiano/ordenes-compra/32379" TargetMode="External"/><Relationship Id="rId223" Type="http://schemas.openxmlformats.org/officeDocument/2006/relationships/hyperlink" Target="https://www.contratos.gov.co/consultas/detalleProceso.do?numConstancia=16-12-5262602" TargetMode="External"/><Relationship Id="rId430" Type="http://schemas.openxmlformats.org/officeDocument/2006/relationships/hyperlink" Target="https://www.contratos.gov.co/consultas/detalleProceso.do?numConstancia=18-12-7724174" TargetMode="External"/><Relationship Id="rId668" Type="http://schemas.openxmlformats.org/officeDocument/2006/relationships/hyperlink" Target="https://www.contratos.gov.co/consultas/detalleProceso.do?numConstancia=13-9-372547" TargetMode="External"/><Relationship Id="rId18" Type="http://schemas.openxmlformats.org/officeDocument/2006/relationships/hyperlink" Target="https://www.contratos.gov.co/consultas/detalleProceso.do?numConstancia=14-13-2910355" TargetMode="External"/><Relationship Id="rId528" Type="http://schemas.openxmlformats.org/officeDocument/2006/relationships/hyperlink" Target="https://www.contratos.gov.co/consultas/detalleProceso.do?numConstancia=18-12-8176020" TargetMode="External"/><Relationship Id="rId167" Type="http://schemas.openxmlformats.org/officeDocument/2006/relationships/hyperlink" Target="https://www.contratos.gov.co/consultas/detalleProceso.do?numConstancia=15-1-143357" TargetMode="External"/><Relationship Id="rId374" Type="http://schemas.openxmlformats.org/officeDocument/2006/relationships/hyperlink" Target="https://www.contratos.gov.co/consultas/detalleProceso.do?numConstancia=17-12-6830596" TargetMode="External"/><Relationship Id="rId581" Type="http://schemas.openxmlformats.org/officeDocument/2006/relationships/hyperlink" Target="https://www.contratos.gov.co/consultas/detalleProceso.do?numConstancia=14-12-2989058" TargetMode="External"/><Relationship Id="rId71" Type="http://schemas.openxmlformats.org/officeDocument/2006/relationships/hyperlink" Target="https://www.contratos.gov.co/consultas/detalleProceso.do?numConstancia=15-12-3763103" TargetMode="External"/><Relationship Id="rId234" Type="http://schemas.openxmlformats.org/officeDocument/2006/relationships/hyperlink" Target="https://www.contratos.gov.co/consultas/detalleProceso.do?numConstancia=16-13-5265419" TargetMode="External"/><Relationship Id="rId679" Type="http://schemas.openxmlformats.org/officeDocument/2006/relationships/hyperlink" Target="https://www.contratos.gov.co/consultas/detalleProceso.do?numConstancia=19-12-9250827" TargetMode="External"/><Relationship Id="rId2" Type="http://schemas.openxmlformats.org/officeDocument/2006/relationships/hyperlink" Target="http://www.contratos.gov.co/consultas/detalleProceso.do?numConstancia=14-12-2912471" TargetMode="External"/><Relationship Id="rId29" Type="http://schemas.openxmlformats.org/officeDocument/2006/relationships/hyperlink" Target="https://www.contratos.gov.co/consultas/detalleProceso.do?numConstancia=14-11-3129527" TargetMode="External"/><Relationship Id="rId441" Type="http://schemas.openxmlformats.org/officeDocument/2006/relationships/hyperlink" Target="https://www.contratos.gov.co/consultas/detalleProceso.do?numConstancia=18-13-7884222" TargetMode="External"/><Relationship Id="rId539" Type="http://schemas.openxmlformats.org/officeDocument/2006/relationships/hyperlink" Target="https://www.contratos.gov.co/consultas/detalleProceso.do?numConstancia=12-12-958931" TargetMode="External"/><Relationship Id="rId178" Type="http://schemas.openxmlformats.org/officeDocument/2006/relationships/hyperlink" Target="https://www.contratos.gov.co/consultas/detalleProceso.do?numConstancia=15-9-407682" TargetMode="External"/><Relationship Id="rId301" Type="http://schemas.openxmlformats.org/officeDocument/2006/relationships/hyperlink" Target="https://www.contratos.gov.co/consultas/detalleProceso.do?numConstancia=16-13-5770732" TargetMode="External"/><Relationship Id="rId82" Type="http://schemas.openxmlformats.org/officeDocument/2006/relationships/hyperlink" Target="https://www.contratos.gov.co/consultas/detalleProceso.do?numConstancia=15-12-3443448" TargetMode="External"/><Relationship Id="rId385" Type="http://schemas.openxmlformats.org/officeDocument/2006/relationships/hyperlink" Target="https://www.contratos.gov.co/consultas/detalleProceso.do?numConstancia=17-13-6989178" TargetMode="External"/><Relationship Id="rId592" Type="http://schemas.openxmlformats.org/officeDocument/2006/relationships/hyperlink" Target="https://www.contratos.gov.co/consultas/detalleProceso.do?numConstancia=11-13-734515" TargetMode="External"/><Relationship Id="rId606" Type="http://schemas.openxmlformats.org/officeDocument/2006/relationships/hyperlink" Target="https://www.colombiacompra.gov.co/tienda-virtual-del-estado-colombiano/ordenes-compra/34351" TargetMode="External"/><Relationship Id="rId245" Type="http://schemas.openxmlformats.org/officeDocument/2006/relationships/hyperlink" Target="https://www.contratos.gov.co/consultas/detalleProceso.do?numConstancia=16-13-5318011" TargetMode="External"/><Relationship Id="rId287" Type="http://schemas.openxmlformats.org/officeDocument/2006/relationships/hyperlink" Target="https://www.contratos.gov.co/consultas/detalleProceso.do?numConstancia=16-12-5632846" TargetMode="External"/><Relationship Id="rId410" Type="http://schemas.openxmlformats.org/officeDocument/2006/relationships/hyperlink" Target="https://www.contratos.gov.co/consultas/detalleProceso.do?numConstancia=17-13-6874454" TargetMode="External"/><Relationship Id="rId452" Type="http://schemas.openxmlformats.org/officeDocument/2006/relationships/hyperlink" Target="https://www.contratos.gov.co/consultas/detalleProceso.do?numConstancia=18-13-8043339" TargetMode="External"/><Relationship Id="rId494" Type="http://schemas.openxmlformats.org/officeDocument/2006/relationships/hyperlink" Target="https://community.secop.gov.co/Public/Tendering/ContractNoticeManagement/Index?currentLanguage=es-CO&amp;Page=login&amp;Country=CO&amp;SkinName=CCE" TargetMode="External"/><Relationship Id="rId508" Type="http://schemas.openxmlformats.org/officeDocument/2006/relationships/hyperlink" Target="https://community.secop.gov.co/Public/Tendering/ContractNoticeManagement/Index?currentLanguage=es-CO&amp;Page=login&amp;Country=CO&amp;SkinName=CCE" TargetMode="External"/><Relationship Id="rId715" Type="http://schemas.openxmlformats.org/officeDocument/2006/relationships/hyperlink" Target="https://www.contratos.gov.co/consultas/detalleProceso.do?numConstancia=19-12-9559388" TargetMode="External"/><Relationship Id="rId105" Type="http://schemas.openxmlformats.org/officeDocument/2006/relationships/hyperlink" Target="https://www.contratos.gov.co/consultas/detalleProceso.do?numConstancia=15-9-397602" TargetMode="External"/><Relationship Id="rId147" Type="http://schemas.openxmlformats.org/officeDocument/2006/relationships/hyperlink" Target="https://www.contratos.gov.co/consultas/detalleProceso.do?numConstancia=15-12-4044913" TargetMode="External"/><Relationship Id="rId312" Type="http://schemas.openxmlformats.org/officeDocument/2006/relationships/hyperlink" Target="https://www.contratos.gov.co/consultas/detalleProceso.do?numConstancia=16-11-5832676" TargetMode="External"/><Relationship Id="rId354" Type="http://schemas.openxmlformats.org/officeDocument/2006/relationships/hyperlink" Target="https://www.contratos.gov.co/consultas/detalleProceso.do?numConstancia=17-12-6618075" TargetMode="External"/><Relationship Id="rId51" Type="http://schemas.openxmlformats.org/officeDocument/2006/relationships/hyperlink" Target="https://www.contratos.gov.co/consultas/detalleProceso.do?numConstancia=14-15-3227993" TargetMode="External"/><Relationship Id="rId93" Type="http://schemas.openxmlformats.org/officeDocument/2006/relationships/hyperlink" Target="https://www.contratos.gov.co/consultas/detalleProceso.do?numConstancia=15-12-3627252" TargetMode="External"/><Relationship Id="rId189" Type="http://schemas.openxmlformats.org/officeDocument/2006/relationships/hyperlink" Target="https://www.contratos.gov.co/consultas/detalleProceso.do?numConstancia=16-12-4895937" TargetMode="External"/><Relationship Id="rId396" Type="http://schemas.openxmlformats.org/officeDocument/2006/relationships/hyperlink" Target="https://www.contratos.gov.co/consultas/detalleProceso.do?numConstancia=17-13-7084506" TargetMode="External"/><Relationship Id="rId561" Type="http://schemas.openxmlformats.org/officeDocument/2006/relationships/hyperlink" Target="https://community.secop.gov.co/Public/Tendering/ContractNoticeManagement/Index?currentLanguage=es-CO&amp;Page=login&amp;Country=CO&amp;SkinName=CCE" TargetMode="External"/><Relationship Id="rId617" Type="http://schemas.openxmlformats.org/officeDocument/2006/relationships/hyperlink" Target="https://community.secop.gov.co/Public/Tendering/ContractNoticeManagement/Index?currentLanguage=es-CO&amp;Page=login&amp;Country=CO&amp;SkinName=CCE" TargetMode="External"/><Relationship Id="rId659" Type="http://schemas.openxmlformats.org/officeDocument/2006/relationships/hyperlink" Target="https://community.secop.gov.co/Public/Tendering/ContractNoticeManagement/Index?currentLanguage=es-CO&amp;Page=login&amp;Country=CO&amp;SkinName=CCE" TargetMode="External"/><Relationship Id="rId214" Type="http://schemas.openxmlformats.org/officeDocument/2006/relationships/hyperlink" Target="http://www.contratos.gov.co/consultas/detalleProceso.do?numConstancia=16-12-5062610" TargetMode="External"/><Relationship Id="rId256" Type="http://schemas.openxmlformats.org/officeDocument/2006/relationships/hyperlink" Target="https://www.contratos.gov.co/consultas/detalleProceso.do?numConstancia=14-13-2910355" TargetMode="External"/><Relationship Id="rId298" Type="http://schemas.openxmlformats.org/officeDocument/2006/relationships/hyperlink" Target="https://www.contratos.gov.co/consultas/detalleProceso.do?numConstancia=16-12-5892978" TargetMode="External"/><Relationship Id="rId421" Type="http://schemas.openxmlformats.org/officeDocument/2006/relationships/hyperlink" Target="https://www.contratos.gov.co/consultas/detalleProceso.do?numConstancia=17-11-7300565" TargetMode="External"/><Relationship Id="rId463" Type="http://schemas.openxmlformats.org/officeDocument/2006/relationships/hyperlink" Target="https://www.contratos.gov.co/consultas/detalleProceso.do?numConstancia=12-13-1072820" TargetMode="External"/><Relationship Id="rId519" Type="http://schemas.openxmlformats.org/officeDocument/2006/relationships/hyperlink" Target="https://community.secop.gov.co/Public/Tendering/ContractNoticeManagement/Index?currentLanguage=es-CO&amp;Page=login&amp;Country=CO&amp;SkinName=CCE" TargetMode="External"/><Relationship Id="rId670" Type="http://schemas.openxmlformats.org/officeDocument/2006/relationships/hyperlink" Target="https://www.contratos.gov.co/consultas/detalleProceso.do?numConstancia=13-13-1916525" TargetMode="External"/><Relationship Id="rId116" Type="http://schemas.openxmlformats.org/officeDocument/2006/relationships/hyperlink" Target="https://www.contratos.gov.co/consultas/detalleProceso.do?numConstancia=15-12-3832380" TargetMode="External"/><Relationship Id="rId158" Type="http://schemas.openxmlformats.org/officeDocument/2006/relationships/hyperlink" Target="https://www.contratos.gov.co/consultas/detalleProceso.do?numConstancia=15-12-4188555" TargetMode="External"/><Relationship Id="rId323" Type="http://schemas.openxmlformats.org/officeDocument/2006/relationships/hyperlink" Target="https://www.contratos.gov.co/consultas/detalleProceso.do?numConstancia=17-13-6272764" TargetMode="External"/><Relationship Id="rId530" Type="http://schemas.openxmlformats.org/officeDocument/2006/relationships/hyperlink" Target="https://community.secop.gov.co/Public/Tendering/ContractNoticeManagement/Index?currentLanguage=es-CO&amp;Page=login&amp;Country=CO&amp;SkinName=CCE" TargetMode="External"/><Relationship Id="rId20" Type="http://schemas.openxmlformats.org/officeDocument/2006/relationships/hyperlink" Target="https://www.contratos.gov.co/consultas/detalleProceso.do?numConstancia=14-11-2724276" TargetMode="External"/><Relationship Id="rId62" Type="http://schemas.openxmlformats.org/officeDocument/2006/relationships/hyperlink" Target="https://www.contratos.gov.co/consultas/detalleProceso.do?numConstancia=15-12-3443448" TargetMode="External"/><Relationship Id="rId365" Type="http://schemas.openxmlformats.org/officeDocument/2006/relationships/hyperlink" Target="https://www.contratos.gov.co/consultas/detalleProceso.do?numConstancia=17-13-6673223" TargetMode="External"/><Relationship Id="rId572" Type="http://schemas.openxmlformats.org/officeDocument/2006/relationships/hyperlink" Target="https://community.secop.gov.co/Public/Tendering/ContractNoticeManagement/Index?currentLanguage=es-CO&amp;Page=login&amp;Country=CO&amp;SkinName=CCE" TargetMode="External"/><Relationship Id="rId628" Type="http://schemas.openxmlformats.org/officeDocument/2006/relationships/hyperlink" Target="https://www.contratos.gov.co/consultas/detalleProceso.do?numConstancia=13-13-2073487" TargetMode="External"/><Relationship Id="rId225" Type="http://schemas.openxmlformats.org/officeDocument/2006/relationships/hyperlink" Target="https://www.contratos.gov.co/consultas/detalleProceso.do?numConstancia=16-12-5232769" TargetMode="External"/><Relationship Id="rId267" Type="http://schemas.openxmlformats.org/officeDocument/2006/relationships/hyperlink" Target="https://www.contratos.gov.co/consultas/detalleProceso.do?numConstancia=16-9-417672" TargetMode="External"/><Relationship Id="rId432" Type="http://schemas.openxmlformats.org/officeDocument/2006/relationships/hyperlink" Target="https://www.contratos.gov.co/consultas/detalleProceso.do?numConstancia=18-12-7728244" TargetMode="External"/><Relationship Id="rId474" Type="http://schemas.openxmlformats.org/officeDocument/2006/relationships/hyperlink" Target="https://www.contratos.gov.co/consultas/detalleProceso.do?numConstancia=12-12-1311625" TargetMode="External"/><Relationship Id="rId127" Type="http://schemas.openxmlformats.org/officeDocument/2006/relationships/hyperlink" Target="http://www.contratos.gov.co/consultas/detalleProceso.do?numConstancia=15-12-3930966" TargetMode="External"/><Relationship Id="rId681" Type="http://schemas.openxmlformats.org/officeDocument/2006/relationships/hyperlink" Target="https://www.contratos.gov.co/consultas/detalleProceso.do?numConstancia=19-12-9251838" TargetMode="External"/><Relationship Id="rId31" Type="http://schemas.openxmlformats.org/officeDocument/2006/relationships/hyperlink" Target="https://www.contratos.gov.co/consultas/detalleProceso.do?numConstancia=14-9-393334" TargetMode="External"/><Relationship Id="rId73" Type="http://schemas.openxmlformats.org/officeDocument/2006/relationships/hyperlink" Target="https://www.contratos.gov.co/consultas/detalleProceso.do?numConstancia=15-12-3803469" TargetMode="External"/><Relationship Id="rId169" Type="http://schemas.openxmlformats.org/officeDocument/2006/relationships/hyperlink" Target="https://www.contratos.gov.co/consultas/detalleProceso.do?numConstancia=15-9-406052" TargetMode="External"/><Relationship Id="rId334" Type="http://schemas.openxmlformats.org/officeDocument/2006/relationships/hyperlink" Target="https://www.contratos.gov.co/consultas/detalleProceso.do?numConstancia=17-12-6498868" TargetMode="External"/><Relationship Id="rId376" Type="http://schemas.openxmlformats.org/officeDocument/2006/relationships/hyperlink" Target="https://www.contratos.gov.co/consultas/detalleProceso.do?numConstancia=17-12-6943027" TargetMode="External"/><Relationship Id="rId541" Type="http://schemas.openxmlformats.org/officeDocument/2006/relationships/hyperlink" Target="https://www.contratos.gov.co/consultas/detalleProceso.do?numConstancia=12-13-1208154" TargetMode="External"/><Relationship Id="rId583" Type="http://schemas.openxmlformats.org/officeDocument/2006/relationships/hyperlink" Target="https://www.contratos.gov.co/consultas/detalleProceso.do?numConstancia=14-12-2216784" TargetMode="External"/><Relationship Id="rId639" Type="http://schemas.openxmlformats.org/officeDocument/2006/relationships/hyperlink" Target="https://community.secop.gov.co/Public/Tendering/ContractNoticeManagement/Index?currentLanguage=es-CO&amp;Page=login&amp;Country=CO&amp;SkinName=CCE" TargetMode="External"/><Relationship Id="rId4" Type="http://schemas.openxmlformats.org/officeDocument/2006/relationships/hyperlink" Target="https://www.contratos.gov.co/consultas/detalleProceso.do?numConstancia=14-17-2800394" TargetMode="External"/><Relationship Id="rId180" Type="http://schemas.openxmlformats.org/officeDocument/2006/relationships/hyperlink" Target="https://www.contratos.gov.co/consultas/detalleProceso.do?numConstancia=15-12-3544892" TargetMode="External"/><Relationship Id="rId236" Type="http://schemas.openxmlformats.org/officeDocument/2006/relationships/hyperlink" Target="https://www.contratos.gov.co/consultas/detalleProceso.do?numConstancia=16-13-5246991" TargetMode="External"/><Relationship Id="rId278" Type="http://schemas.openxmlformats.org/officeDocument/2006/relationships/hyperlink" Target="https://www.contratos.gov.co/consultas/detalleProceso.do?numConstancia=14-13-2490165" TargetMode="External"/><Relationship Id="rId401" Type="http://schemas.openxmlformats.org/officeDocument/2006/relationships/hyperlink" Target="https://www.contratos.gov.co/consultas/detalleProceso.do?numConstancia=17-13-7027260" TargetMode="External"/><Relationship Id="rId443" Type="http://schemas.openxmlformats.org/officeDocument/2006/relationships/hyperlink" Target="https://www.colombiacompra.gov.co/tienda-virtual-del-estado-colombiano/ordenes-compra/26881" TargetMode="External"/><Relationship Id="rId650" Type="http://schemas.openxmlformats.org/officeDocument/2006/relationships/hyperlink" Target="https://www.contratos.gov.co/consultas/detalleProceso.do?numConstancia=14-9-393334" TargetMode="External"/><Relationship Id="rId303" Type="http://schemas.openxmlformats.org/officeDocument/2006/relationships/hyperlink" Target="https://www.contratos.gov.co/consultas/detalleProceso.do?numConstancia=16-9-421152" TargetMode="External"/><Relationship Id="rId485" Type="http://schemas.openxmlformats.org/officeDocument/2006/relationships/hyperlink" Target="https://www.contratos.gov.co/consultas/detalleProceso.do?numConstancia=18-13-8156432" TargetMode="External"/><Relationship Id="rId692" Type="http://schemas.openxmlformats.org/officeDocument/2006/relationships/hyperlink" Target="https://community.secop.gov.co/Public/Tendering/ContractNoticeManagement/Index?currentLanguage=es-CO&amp;Page=login&amp;Country=CO&amp;SkinName=CCE" TargetMode="External"/><Relationship Id="rId706" Type="http://schemas.openxmlformats.org/officeDocument/2006/relationships/hyperlink" Target="https://www.contratos.gov.co/consultas/detalleProceso.do?numConstancia=19-12-9457447" TargetMode="External"/><Relationship Id="rId42" Type="http://schemas.openxmlformats.org/officeDocument/2006/relationships/hyperlink" Target="https://www.contratos.gov.co/consultas/detalleProceso.do?numConstancia=14-13-2514217" TargetMode="External"/><Relationship Id="rId84" Type="http://schemas.openxmlformats.org/officeDocument/2006/relationships/hyperlink" Target="https://www.contratos.gov.co/consultas/detalleProceso.do?numConstancia=15-12-3496763" TargetMode="External"/><Relationship Id="rId138" Type="http://schemas.openxmlformats.org/officeDocument/2006/relationships/hyperlink" Target="https://www.contratos.gov.co/consultas/detalleProceso.do?numConstancia=15-11-3803468" TargetMode="External"/><Relationship Id="rId345" Type="http://schemas.openxmlformats.org/officeDocument/2006/relationships/hyperlink" Target="https://www.contratos.gov.co/consultas/detalleProceso.do?numConstancia=17-12-6546267" TargetMode="External"/><Relationship Id="rId387" Type="http://schemas.openxmlformats.org/officeDocument/2006/relationships/hyperlink" Target="https://www.contratos.gov.co/consultas/detalleProceso.do?numConstancia=17-13-7000429" TargetMode="External"/><Relationship Id="rId510" Type="http://schemas.openxmlformats.org/officeDocument/2006/relationships/hyperlink" Target="https://community.secop.gov.co/Public/Tendering/ContractNoticeManagement/Index?currentLanguage=es-CO&amp;Page=login&amp;Country=CO&amp;SkinName=CCE" TargetMode="External"/><Relationship Id="rId552" Type="http://schemas.openxmlformats.org/officeDocument/2006/relationships/hyperlink" Target="https://community.secop.gov.co/Public/Tendering/ContractNoticeManagement/Index?currentLanguage=es-CO&amp;Page=login&amp;Country=CO&amp;SkinName=CCE" TargetMode="External"/><Relationship Id="rId594" Type="http://schemas.openxmlformats.org/officeDocument/2006/relationships/hyperlink" Target="https://community.secop.gov.co/Public/Tendering/ContractNoticeManagement/Index?currentLanguage=es-CO&amp;Page=login&amp;Country=CO&amp;SkinName=CCE" TargetMode="External"/><Relationship Id="rId608" Type="http://schemas.openxmlformats.org/officeDocument/2006/relationships/hyperlink" Target="https://community.secop.gov.co/Public/Tendering/ContractNoticeManagement/Index?currentLanguage=es-CO&amp;Page=login&amp;Country=CO&amp;SkinName=CCE" TargetMode="External"/><Relationship Id="rId191" Type="http://schemas.openxmlformats.org/officeDocument/2006/relationships/hyperlink" Target="https://www.contratos.gov.co/consultas/detalleProceso.do?numConstancia=16-12-4898036" TargetMode="External"/><Relationship Id="rId205" Type="http://schemas.openxmlformats.org/officeDocument/2006/relationships/hyperlink" Target="http://www.contratos.gov.co/consultas/detalleProceso.do?numConstancia=16-12-5173959" TargetMode="External"/><Relationship Id="rId247" Type="http://schemas.openxmlformats.org/officeDocument/2006/relationships/hyperlink" Target="https://www.contratos.gov.co/consultas/detalleProceso.do?numConstancia=16-13-5373086" TargetMode="External"/><Relationship Id="rId412" Type="http://schemas.openxmlformats.org/officeDocument/2006/relationships/hyperlink" Target="https://www.contratos.gov.co/consultas/detalleProceso.do?numConstancia=17-11-7098808" TargetMode="External"/><Relationship Id="rId107" Type="http://schemas.openxmlformats.org/officeDocument/2006/relationships/hyperlink" Target="https://www.contratos.gov.co/consultas/detalleProceso.do?numConstancia=15-9-397496" TargetMode="External"/><Relationship Id="rId289" Type="http://schemas.openxmlformats.org/officeDocument/2006/relationships/hyperlink" Target="https://www.contratos.gov.co/consultas/detalleProceso.do?numConstancia=16-13-5580682" TargetMode="External"/><Relationship Id="rId454" Type="http://schemas.openxmlformats.org/officeDocument/2006/relationships/hyperlink" Target="https://www.contratos.gov.co/consultas/detalleProceso.do?numConstancia=18-13-8038904" TargetMode="External"/><Relationship Id="rId496" Type="http://schemas.openxmlformats.org/officeDocument/2006/relationships/hyperlink" Target="https://community.secop.gov.co/Public/Tendering/ContractNoticeManagement/Index?currentLanguage=es-CO&amp;Page=login&amp;Country=CO&amp;SkinName=CCE" TargetMode="External"/><Relationship Id="rId661" Type="http://schemas.openxmlformats.org/officeDocument/2006/relationships/hyperlink" Target="https://community.secop.gov.co/Public/Tendering/ContractNoticeManagement/Index?currentLanguage=es-CO&amp;Page=login&amp;Country=CO&amp;SkinName=CCE" TargetMode="External"/><Relationship Id="rId717" Type="http://schemas.openxmlformats.org/officeDocument/2006/relationships/hyperlink" Target="https://www.contratos.gov.co/consultas/detalleProceso.do?numConstancia=19-12-9544923" TargetMode="External"/><Relationship Id="rId11" Type="http://schemas.openxmlformats.org/officeDocument/2006/relationships/hyperlink" Target="http://www.contratos.gov.co/consultas/detalleProceso.do?numConstancia=14-12-2989522" TargetMode="External"/><Relationship Id="rId53" Type="http://schemas.openxmlformats.org/officeDocument/2006/relationships/hyperlink" Target="https://www.contratos.gov.co/consultas/detalleProceso.do?numConstancia=15-12-3627252" TargetMode="External"/><Relationship Id="rId149" Type="http://schemas.openxmlformats.org/officeDocument/2006/relationships/hyperlink" Target="https://www.contratos.gov.co/consultas/detalleProceso.do?numConstancia=15-11-3876776" TargetMode="External"/><Relationship Id="rId314" Type="http://schemas.openxmlformats.org/officeDocument/2006/relationships/hyperlink" Target="https://www.contratos.gov.co/consultas/detalleProceso.do?numConstancia=17-12-6047453" TargetMode="External"/><Relationship Id="rId356" Type="http://schemas.openxmlformats.org/officeDocument/2006/relationships/hyperlink" Target="https://www.contratos.gov.co/consultas/detalleProceso.do?numConstancia=17-12-6616563" TargetMode="External"/><Relationship Id="rId398" Type="http://schemas.openxmlformats.org/officeDocument/2006/relationships/hyperlink" Target="https://www.contratos.gov.co/consultas/detalleProceso.do?numConstancia=17-13-7048402" TargetMode="External"/><Relationship Id="rId521" Type="http://schemas.openxmlformats.org/officeDocument/2006/relationships/hyperlink" Target="https://www.colombiacompra.gov.co/tienda-virtual-del-estado-colombiano/ordenes-compra/30874" TargetMode="External"/><Relationship Id="rId563" Type="http://schemas.openxmlformats.org/officeDocument/2006/relationships/hyperlink" Target="https://community.secop.gov.co/Public/Tendering/ContractNoticeManagement/Index?currentLanguage=es-CO&amp;Page=login&amp;Country=CO&amp;SkinName=CCE" TargetMode="External"/><Relationship Id="rId619" Type="http://schemas.openxmlformats.org/officeDocument/2006/relationships/hyperlink" Target="https://www.contratos.gov.co/consultas/detalleProceso.do?numConstancia=14-13-2686379" TargetMode="External"/><Relationship Id="rId95" Type="http://schemas.openxmlformats.org/officeDocument/2006/relationships/hyperlink" Target="https://www.contratos.gov.co/consultas/detalleProceso.do?numConstancia=15-13-3528749" TargetMode="External"/><Relationship Id="rId160" Type="http://schemas.openxmlformats.org/officeDocument/2006/relationships/hyperlink" Target="https://www.contratos.gov.co/consultas/detalleProceso.do?numConstancia=15-12-4164130" TargetMode="External"/><Relationship Id="rId216" Type="http://schemas.openxmlformats.org/officeDocument/2006/relationships/hyperlink" Target="http://www.contratos.gov.co/consultas/detalleProceso.do?numConstancia=16-12-5250861" TargetMode="External"/><Relationship Id="rId423" Type="http://schemas.openxmlformats.org/officeDocument/2006/relationships/hyperlink" Target="https://www.colombiacompra.gov.co/tienda-virtual-del-estado-colombiano/ordenes-compra/23844?sort=desc&amp;order=No" TargetMode="External"/><Relationship Id="rId258" Type="http://schemas.openxmlformats.org/officeDocument/2006/relationships/hyperlink" Target="https://www.contratos.gov.co/consultas/detalleProceso.do?numConstancia=14-12-2309430" TargetMode="External"/><Relationship Id="rId465" Type="http://schemas.openxmlformats.org/officeDocument/2006/relationships/hyperlink" Target="https://www.contratos.gov.co/consultas/detalleProceso.do?numConstancia=12-9-360824" TargetMode="External"/><Relationship Id="rId630" Type="http://schemas.openxmlformats.org/officeDocument/2006/relationships/hyperlink" Target="https://www.contratos.gov.co/consultas/detalleProceso.do?numConstancia=13-12-1860134" TargetMode="External"/><Relationship Id="rId672" Type="http://schemas.openxmlformats.org/officeDocument/2006/relationships/hyperlink" Target="https://www.contratos.gov.co/consultas/detalleProceso.do?numConstancia=13-13-1884833" TargetMode="External"/><Relationship Id="rId22" Type="http://schemas.openxmlformats.org/officeDocument/2006/relationships/hyperlink" Target="https://www.contratos.gov.co/consultas/detalleProceso.do?numConstancia=14-12-3091958" TargetMode="External"/><Relationship Id="rId64" Type="http://schemas.openxmlformats.org/officeDocument/2006/relationships/hyperlink" Target="https://www.contratos.gov.co/consultas/detalleProceso.do?numConstancia=14-9-393473" TargetMode="External"/><Relationship Id="rId118" Type="http://schemas.openxmlformats.org/officeDocument/2006/relationships/hyperlink" Target="https://www.contratos.gov.co/consultas/detalleProceso.do?numConstancia=15-9-397600" TargetMode="External"/><Relationship Id="rId325" Type="http://schemas.openxmlformats.org/officeDocument/2006/relationships/hyperlink" Target="https://www.contratos.gov.co/consultas/detalleProceso.do?numConstancia=17-13-6306594" TargetMode="External"/><Relationship Id="rId367" Type="http://schemas.openxmlformats.org/officeDocument/2006/relationships/hyperlink" Target="https://www.contratos.gov.co/consultas/detalleProceso.do?numConstancia=17-13-6594679" TargetMode="External"/><Relationship Id="rId532" Type="http://schemas.openxmlformats.org/officeDocument/2006/relationships/hyperlink" Target="https://www.contratos.gov.co/consultas/detalleProceso.do?numConstancia=12-13-1134800" TargetMode="External"/><Relationship Id="rId574" Type="http://schemas.openxmlformats.org/officeDocument/2006/relationships/hyperlink" Target="https://www.colombiacompra.gov.co/tienda-virtual-del-estado-colombiano/ordenes-compra/32595" TargetMode="External"/><Relationship Id="rId171" Type="http://schemas.openxmlformats.org/officeDocument/2006/relationships/hyperlink" Target="https://www.contratos.gov.co/consultas/detalleProceso.do?numConstancia=14-12-2892891" TargetMode="External"/><Relationship Id="rId227" Type="http://schemas.openxmlformats.org/officeDocument/2006/relationships/hyperlink" Target="https://www.contratos.gov.co/consultas/detalleProceso.do?numConstancia=16-13-5138824" TargetMode="External"/><Relationship Id="rId269" Type="http://schemas.openxmlformats.org/officeDocument/2006/relationships/hyperlink" Target="https://www.contratos.gov.co/consultas/detalleProceso.do?numConstancia=16-9-412927" TargetMode="External"/><Relationship Id="rId434" Type="http://schemas.openxmlformats.org/officeDocument/2006/relationships/hyperlink" Target="https://www.contratos.gov.co/consultas/detalleProceso.do?numConstancia=18-12-7753977" TargetMode="External"/><Relationship Id="rId476" Type="http://schemas.openxmlformats.org/officeDocument/2006/relationships/hyperlink" Target="https://www.contratos.gov.co/consultas/detalleProceso.do?numConstancia=13-9-374682" TargetMode="External"/><Relationship Id="rId641" Type="http://schemas.openxmlformats.org/officeDocument/2006/relationships/hyperlink" Target="https://community.secop.gov.co/Public/Tendering/ContractNoticeManagement/Index?currentLanguage=es-CO&amp;Page=login&amp;Country=CO&amp;SkinName=CCE" TargetMode="External"/><Relationship Id="rId683" Type="http://schemas.openxmlformats.org/officeDocument/2006/relationships/hyperlink" Target="https://www.contratos.gov.co/consultas/detalleProceso.do?numConstancia=19-12-9301757" TargetMode="External"/><Relationship Id="rId33" Type="http://schemas.openxmlformats.org/officeDocument/2006/relationships/hyperlink" Target="https://www.contratos.gov.co/consultas/detalleProceso.do?numConstancia=14-12-2885332" TargetMode="External"/><Relationship Id="rId129" Type="http://schemas.openxmlformats.org/officeDocument/2006/relationships/hyperlink" Target="https://www.contratos.gov.co/consultas/detalleProceso.do?numConstancia=15-11-3691528" TargetMode="External"/><Relationship Id="rId280" Type="http://schemas.openxmlformats.org/officeDocument/2006/relationships/hyperlink" Target="https://www.contratos.gov.co/consultas/detalleProceso.do?numConstancia=14-13-2528671" TargetMode="External"/><Relationship Id="rId336" Type="http://schemas.openxmlformats.org/officeDocument/2006/relationships/hyperlink" Target="https://www.contratos.gov.co/consultas/detalleProceso.do?numConstancia=17-12-6546872" TargetMode="External"/><Relationship Id="rId501" Type="http://schemas.openxmlformats.org/officeDocument/2006/relationships/hyperlink" Target="https://community.secop.gov.co/Public/Tendering/ContractNoticeManagement/Index?currentLanguage=es-CO&amp;Page=login&amp;Country=CO&amp;SkinName=CCE" TargetMode="External"/><Relationship Id="rId543" Type="http://schemas.openxmlformats.org/officeDocument/2006/relationships/hyperlink" Target="https://www.contratos.gov.co/consultas/detalleProceso.do?numConstancia=12-11-990303" TargetMode="External"/><Relationship Id="rId75" Type="http://schemas.openxmlformats.org/officeDocument/2006/relationships/hyperlink" Target="https://www.contratos.gov.co/consultas/detalleProceso.do?numConstancia=15-13-3630125" TargetMode="External"/><Relationship Id="rId140" Type="http://schemas.openxmlformats.org/officeDocument/2006/relationships/hyperlink" Target="https://www.contratos.gov.co/consultas/detalleProceso.do?numConstancia=15-12-4051007" TargetMode="External"/><Relationship Id="rId182" Type="http://schemas.openxmlformats.org/officeDocument/2006/relationships/hyperlink" Target="https://www.contratos.gov.co/consultas/detalleProceso.do?numConstancia=15-13-4491242" TargetMode="External"/><Relationship Id="rId378" Type="http://schemas.openxmlformats.org/officeDocument/2006/relationships/hyperlink" Target="https://www.contratos.gov.co/consultas/detalleProceso.do?numConstancia=17-12-6947010" TargetMode="External"/><Relationship Id="rId403" Type="http://schemas.openxmlformats.org/officeDocument/2006/relationships/hyperlink" Target="https://www.contratos.gov.co/consultas/detalleProceso.do?numConstancia=17-12-7251288" TargetMode="External"/><Relationship Id="rId585" Type="http://schemas.openxmlformats.org/officeDocument/2006/relationships/hyperlink" Target="https://www.contratos.gov.co/consultas/detalleProceso.do?numConstancia=13-9-379977" TargetMode="External"/><Relationship Id="rId6" Type="http://schemas.openxmlformats.org/officeDocument/2006/relationships/hyperlink" Target="https://www.contratos.gov.co/consultas/detalleProceso.do?numConstancia=14-12-2929558" TargetMode="External"/><Relationship Id="rId238" Type="http://schemas.openxmlformats.org/officeDocument/2006/relationships/hyperlink" Target="https://www.contratos.gov.co/consultas/detalleProceso.do?numConstancia=16-13-5256754" TargetMode="External"/><Relationship Id="rId445" Type="http://schemas.openxmlformats.org/officeDocument/2006/relationships/hyperlink" Target="https://www.contratos.gov.co/consultas/detalleProceso.do?numConstancia=18-13-7968668" TargetMode="External"/><Relationship Id="rId487" Type="http://schemas.openxmlformats.org/officeDocument/2006/relationships/hyperlink" Target="https://www.contratos.gov.co/consultas/detalleProceso.do?numConstancia=18-12-8175359" TargetMode="External"/><Relationship Id="rId610" Type="http://schemas.openxmlformats.org/officeDocument/2006/relationships/hyperlink" Target="https://community.secop.gov.co/Public/Tendering/ContractNoticeManagement/Index?currentLanguage=es-CO&amp;Page=login&amp;Country=CO&amp;SkinName=CCE" TargetMode="External"/><Relationship Id="rId652" Type="http://schemas.openxmlformats.org/officeDocument/2006/relationships/hyperlink" Target="https://www.contratos.gov.co/consultas/detalleProceso.do?numConstancia=14-11-3129527" TargetMode="External"/><Relationship Id="rId694" Type="http://schemas.openxmlformats.org/officeDocument/2006/relationships/hyperlink" Target="https://www.contratos.gov.co/consultas/detalleProceso.do?numConstancia=19-12-9366927" TargetMode="External"/><Relationship Id="rId708" Type="http://schemas.openxmlformats.org/officeDocument/2006/relationships/hyperlink" Target="https://www.contratos.gov.co/consultas/detalleProceso.do?numConstancia=19-12-9475525" TargetMode="External"/><Relationship Id="rId291" Type="http://schemas.openxmlformats.org/officeDocument/2006/relationships/hyperlink" Target="https://www.contratos.gov.co/consultas/detalleProceso.do?numConstancia=16-9-420708" TargetMode="External"/><Relationship Id="rId305" Type="http://schemas.openxmlformats.org/officeDocument/2006/relationships/hyperlink" Target="https://www.contratos.gov.co/consultas/detalleProceso.do?numConstancia=16-12-5966146" TargetMode="External"/><Relationship Id="rId347" Type="http://schemas.openxmlformats.org/officeDocument/2006/relationships/hyperlink" Target="https://www.contratos.gov.co/consultas/detalleProceso.do?numConstancia=17-12-6568206" TargetMode="External"/><Relationship Id="rId512" Type="http://schemas.openxmlformats.org/officeDocument/2006/relationships/hyperlink" Target="https://www.contratos.gov.co/consultas/detalleProceso.do?numConstancia=18-9-444969" TargetMode="External"/><Relationship Id="rId44" Type="http://schemas.openxmlformats.org/officeDocument/2006/relationships/hyperlink" Target="https://www.contratos.gov.co/consultas/detalleProceso.do?numConstancia=14-9-384381" TargetMode="External"/><Relationship Id="rId86" Type="http://schemas.openxmlformats.org/officeDocument/2006/relationships/hyperlink" Target="https://www.contratos.gov.co/consultas/detalleProceso.do?numConstancia=15-12-3498879" TargetMode="External"/><Relationship Id="rId151" Type="http://schemas.openxmlformats.org/officeDocument/2006/relationships/hyperlink" Target="https://www.contratos.gov.co/consultas/detalleProceso.do?numConstancia=15-13-4067426" TargetMode="External"/><Relationship Id="rId389" Type="http://schemas.openxmlformats.org/officeDocument/2006/relationships/hyperlink" Target="https://www.contratos.gov.co/consultas/detalleProceso.do?numConstancia=17-12-7086326" TargetMode="External"/><Relationship Id="rId554" Type="http://schemas.openxmlformats.org/officeDocument/2006/relationships/hyperlink" Target="https://community.secop.gov.co/Public/Tendering/ContractNoticeManagement/Index?currentLanguage=es-CO&amp;Page=login&amp;Country=CO&amp;SkinName=CCE" TargetMode="External"/><Relationship Id="rId596" Type="http://schemas.openxmlformats.org/officeDocument/2006/relationships/hyperlink" Target="https://community.secop.gov.co/Public/Tendering/ContractNoticeManagement/Index?currentLanguage=es-CO&amp;Page=login&amp;Country=CO&amp;SkinName=CCE" TargetMode="External"/><Relationship Id="rId193" Type="http://schemas.openxmlformats.org/officeDocument/2006/relationships/hyperlink" Target="https://www.contratos.gov.co/consultas/detalleProceso.do?numConstancia=16-12-4819340" TargetMode="External"/><Relationship Id="rId207" Type="http://schemas.openxmlformats.org/officeDocument/2006/relationships/hyperlink" Target="http://www.contratos.gov.co/consultas/detalleProceso.do?numConstancia=16-12-5022657" TargetMode="External"/><Relationship Id="rId249" Type="http://schemas.openxmlformats.org/officeDocument/2006/relationships/hyperlink" Target="https://www.contratos.gov.co/consultas/detalleProceso.do?numConstancia=14-12-3089569" TargetMode="External"/><Relationship Id="rId414" Type="http://schemas.openxmlformats.org/officeDocument/2006/relationships/hyperlink" Target="https://www.contratos.gov.co/consultas/detalleProceso.do?numConstancia=17-9-436378" TargetMode="External"/><Relationship Id="rId456" Type="http://schemas.openxmlformats.org/officeDocument/2006/relationships/hyperlink" Target="https://www.contratos.gov.co/consultas/detalleProceso.do?numConstancia=13-13-1591051" TargetMode="External"/><Relationship Id="rId498" Type="http://schemas.openxmlformats.org/officeDocument/2006/relationships/hyperlink" Target="https://community.secop.gov.co/Public/Tendering/ContractNoticeManagement/Index?currentLanguage=es-CO&amp;Page=login&amp;Country=CO&amp;SkinName=CCE" TargetMode="External"/><Relationship Id="rId621" Type="http://schemas.openxmlformats.org/officeDocument/2006/relationships/hyperlink" Target="https://community.secop.gov.co/Public/Tendering/ContractNoticeManagement/Index?currentLanguage=es-CO&amp;Page=login&amp;Country=CO&amp;SkinName=CCE" TargetMode="External"/><Relationship Id="rId663" Type="http://schemas.openxmlformats.org/officeDocument/2006/relationships/hyperlink" Target="https://www.contratos.gov.co/consultas/detalleProceso.do?numConstancia=19-12-9140257" TargetMode="External"/><Relationship Id="rId13" Type="http://schemas.openxmlformats.org/officeDocument/2006/relationships/hyperlink" Target="https://www.contratos.gov.co/consultas/detalleProceso.do?numConstancia=14-12-3007039" TargetMode="External"/><Relationship Id="rId109" Type="http://schemas.openxmlformats.org/officeDocument/2006/relationships/hyperlink" Target="https://www.contratos.gov.co/consultas/detalleProceso.do?numConstancia=15-12-3842703" TargetMode="External"/><Relationship Id="rId260" Type="http://schemas.openxmlformats.org/officeDocument/2006/relationships/hyperlink" Target="https://www.contratos.gov.co/consultas/detalleProceso.do?numConstancia=14-9-393473" TargetMode="External"/><Relationship Id="rId316" Type="http://schemas.openxmlformats.org/officeDocument/2006/relationships/hyperlink" Target="https://www.contratos.gov.co/consultas/detalleProceso.do?numConstancia=15-13-4024448" TargetMode="External"/><Relationship Id="rId523" Type="http://schemas.openxmlformats.org/officeDocument/2006/relationships/hyperlink" Target="https://community.secop.gov.co/Public/Tendering/ContractNoticeManagement/Index?currentLanguage=es-CO&amp;Page=login&amp;Country=CO&amp;SkinName=CCE" TargetMode="External"/><Relationship Id="rId719" Type="http://schemas.openxmlformats.org/officeDocument/2006/relationships/hyperlink" Target="https://community.secop.gov.co/Public/Tendering/ContractNoticeManagement/Index?currentLanguage=es-CO&amp;Page=login&amp;Country=CO&amp;SkinName=CCE" TargetMode="External"/><Relationship Id="rId55" Type="http://schemas.openxmlformats.org/officeDocument/2006/relationships/hyperlink" Target="https://www.contratos.gov.co/consultas/detalleProceso.do?numConstancia=15-12-3553112" TargetMode="External"/><Relationship Id="rId97" Type="http://schemas.openxmlformats.org/officeDocument/2006/relationships/hyperlink" Target="https://www.contratos.gov.co/consultas/detalleProceso.do?numConstancia=15-13-3559466" TargetMode="External"/><Relationship Id="rId120" Type="http://schemas.openxmlformats.org/officeDocument/2006/relationships/hyperlink" Target="https://www.contratos.gov.co/consultas/detalleProceso.do?numConstancia=15-13-3636838" TargetMode="External"/><Relationship Id="rId358" Type="http://schemas.openxmlformats.org/officeDocument/2006/relationships/hyperlink" Target="https://www.contratos.gov.co/consultas/detalleProceso.do?numConstancia=17-12-6611409" TargetMode="External"/><Relationship Id="rId565" Type="http://schemas.openxmlformats.org/officeDocument/2006/relationships/hyperlink" Target="https://community.secop.gov.co/Public/Tendering/ContractNoticeManagement/Index?currentLanguage=es-CO&amp;Page=login&amp;Country=CO&amp;SkinName=CCE" TargetMode="External"/><Relationship Id="rId162" Type="http://schemas.openxmlformats.org/officeDocument/2006/relationships/hyperlink" Target="https://www.contratos.gov.co/consultas/detalleProceso.do?numConstancia=15-13-4193758" TargetMode="External"/><Relationship Id="rId218" Type="http://schemas.openxmlformats.org/officeDocument/2006/relationships/hyperlink" Target="http://www.contratos.gov.co/consultas/detalleProceso.do?numConstancia=16-12-5255554" TargetMode="External"/><Relationship Id="rId425" Type="http://schemas.openxmlformats.org/officeDocument/2006/relationships/hyperlink" Target="https://www.contratos.gov.co/consultas/detalleProceso.do?numConstancia=17-11-7341580" TargetMode="External"/><Relationship Id="rId467" Type="http://schemas.openxmlformats.org/officeDocument/2006/relationships/hyperlink" Target="https://www.contratos.gov.co/consultas/detalleProceso.do?numConstancia=18-13-8034276" TargetMode="External"/><Relationship Id="rId632" Type="http://schemas.openxmlformats.org/officeDocument/2006/relationships/hyperlink" Target="https://www.contratos.gov.co/consultas/detalleProceso.do?numConstancia=13-12-1640887" TargetMode="External"/><Relationship Id="rId271" Type="http://schemas.openxmlformats.org/officeDocument/2006/relationships/hyperlink" Target="https://www.contratos.gov.co/consultas/detalleProceso.do?numConstancia=16-12-5607626" TargetMode="External"/><Relationship Id="rId674" Type="http://schemas.openxmlformats.org/officeDocument/2006/relationships/hyperlink" Target="https://www.contratos.gov.co/consultas/detalleProceso.do?numConstancia=13-11-1767231" TargetMode="External"/><Relationship Id="rId24" Type="http://schemas.openxmlformats.org/officeDocument/2006/relationships/hyperlink" Target="https://www.contratos.gov.co/consultas/detalleProceso.do?numConstancia=14-1-124021" TargetMode="External"/><Relationship Id="rId66" Type="http://schemas.openxmlformats.org/officeDocument/2006/relationships/hyperlink" Target="https://www.contratos.gov.co/consultas/detalleProceso.do?numConstancia=15-12-3356280" TargetMode="External"/><Relationship Id="rId131" Type="http://schemas.openxmlformats.org/officeDocument/2006/relationships/hyperlink" Target="https://www.contratos.gov.co/consultas/detalleProceso.do?numConstancia=15-9-398335" TargetMode="External"/><Relationship Id="rId327" Type="http://schemas.openxmlformats.org/officeDocument/2006/relationships/hyperlink" Target="https://www.contratos.gov.co/consultas/detalleProceso.do?numConstancia=17-1-169066" TargetMode="External"/><Relationship Id="rId369" Type="http://schemas.openxmlformats.org/officeDocument/2006/relationships/hyperlink" Target="https://www.contratos.gov.co/consultas/detalleProceso.do?numConstancia=17-13-6700559" TargetMode="External"/><Relationship Id="rId534" Type="http://schemas.openxmlformats.org/officeDocument/2006/relationships/hyperlink" Target="https://www.contratos.gov.co/consultas/detalleProceso.do?numConstancia=12-11-1062437" TargetMode="External"/><Relationship Id="rId576" Type="http://schemas.openxmlformats.org/officeDocument/2006/relationships/hyperlink" Target="https://community.secop.gov.co/Public/Tendering/ContractNoticeManagement/Index?currentLanguage=es-CO&amp;Page=login&amp;Country=CO&amp;SkinName=CCE" TargetMode="External"/><Relationship Id="rId173" Type="http://schemas.openxmlformats.org/officeDocument/2006/relationships/hyperlink" Target="https://www.contratos.gov.co/consultas/detalleProceso.do?numConstancia=15-11-4250348" TargetMode="External"/><Relationship Id="rId229" Type="http://schemas.openxmlformats.org/officeDocument/2006/relationships/hyperlink" Target="https://www.contratos.gov.co/consultas/detalleProceso.do?numConstancia=16-12-5284464" TargetMode="External"/><Relationship Id="rId380" Type="http://schemas.openxmlformats.org/officeDocument/2006/relationships/hyperlink" Target="https://www.contratos.gov.co/consultas/detalleProceso.do?numConstancia=17-12-6957796" TargetMode="External"/><Relationship Id="rId436" Type="http://schemas.openxmlformats.org/officeDocument/2006/relationships/hyperlink" Target="https://www.contratos.gov.co/consultas/detalleProceso.do?numConstancia=18-12-7761864" TargetMode="External"/><Relationship Id="rId601" Type="http://schemas.openxmlformats.org/officeDocument/2006/relationships/hyperlink" Target="https://community.secop.gov.co/Public/Tendering/ContractNoticeManagement/Index?currentLanguage=es-CO&amp;Page=login&amp;Country=CO&amp;SkinName=CCE" TargetMode="External"/><Relationship Id="rId643" Type="http://schemas.openxmlformats.org/officeDocument/2006/relationships/hyperlink" Target="https://community.secop.gov.co/Public/Tendering/ContractNoticeManagement/Index?currentLanguage=es-CO&amp;Page=login&amp;Country=CO&amp;SkinName=CCE" TargetMode="External"/><Relationship Id="rId240" Type="http://schemas.openxmlformats.org/officeDocument/2006/relationships/hyperlink" Target="https://www.contratos.gov.co/consultas/detalleProceso.do?numConstancia=16-13-5240940" TargetMode="External"/><Relationship Id="rId478" Type="http://schemas.openxmlformats.org/officeDocument/2006/relationships/hyperlink" Target="https://www.contratos.gov.co/consultas/detalleProceso.do?numConstancia=11-13-726827" TargetMode="External"/><Relationship Id="rId685" Type="http://schemas.openxmlformats.org/officeDocument/2006/relationships/hyperlink" Target="https://www.contratos.gov.co/consultas/detalleProceso.do?numConstancia=19-12-9307738" TargetMode="External"/><Relationship Id="rId35" Type="http://schemas.openxmlformats.org/officeDocument/2006/relationships/hyperlink" Target="https://www.contratos.gov.co/consultas/detalleProceso.do?numConstancia=14-13-2759728" TargetMode="External"/><Relationship Id="rId77" Type="http://schemas.openxmlformats.org/officeDocument/2006/relationships/hyperlink" Target="https://www.contratos.gov.co/consultas/detalleProceso.do?numConstancia=15-13-3741806" TargetMode="External"/><Relationship Id="rId100" Type="http://schemas.openxmlformats.org/officeDocument/2006/relationships/hyperlink" Target="https://www.contratos.gov.co/consultas/detalleProceso.do?numConstancia=15-13-3589117" TargetMode="External"/><Relationship Id="rId282" Type="http://schemas.openxmlformats.org/officeDocument/2006/relationships/hyperlink" Target="https://www.contratos.gov.co/consultas/detalleProceso.do?numConstancia=16-13-5508742" TargetMode="External"/><Relationship Id="rId338" Type="http://schemas.openxmlformats.org/officeDocument/2006/relationships/hyperlink" Target="https://www.contratos.gov.co/consultas/detalleProceso.do?numConstancia=17-12-6547774" TargetMode="External"/><Relationship Id="rId503" Type="http://schemas.openxmlformats.org/officeDocument/2006/relationships/hyperlink" Target="https://community.secop.gov.co/Public/Tendering/ContractNoticeManagement/Index?currentLanguage=es-CO&amp;Page=login&amp;Country=CO&amp;SkinName=CCE" TargetMode="External"/><Relationship Id="rId545" Type="http://schemas.openxmlformats.org/officeDocument/2006/relationships/hyperlink" Target="https://www.contratos.gov.co/consultas/detalleProceso.do?numConstancia=14-12-2798101" TargetMode="External"/><Relationship Id="rId587" Type="http://schemas.openxmlformats.org/officeDocument/2006/relationships/hyperlink" Target="https://www.contratos.gov.co/consultas/detalleProceso.do?numConstancia=12-13-1008055" TargetMode="External"/><Relationship Id="rId710" Type="http://schemas.openxmlformats.org/officeDocument/2006/relationships/hyperlink" Target="https://www.contratos.gov.co/consultas/detalleProceso.do?numConstancia=19-12-9462753" TargetMode="External"/><Relationship Id="rId8" Type="http://schemas.openxmlformats.org/officeDocument/2006/relationships/hyperlink" Target="https://www.contratos.gov.co/consultas/detalleProceso.do?numConstancia=14-12-2952122" TargetMode="External"/><Relationship Id="rId142" Type="http://schemas.openxmlformats.org/officeDocument/2006/relationships/hyperlink" Target="https://www.contratos.gov.co/consultas/detalleProceso.do?numConstancia=15-9-399210" TargetMode="External"/><Relationship Id="rId184" Type="http://schemas.openxmlformats.org/officeDocument/2006/relationships/hyperlink" Target="https://www.contratos.gov.co/consultas/detalleProceso.do?numConstancia=15-12-4000812" TargetMode="External"/><Relationship Id="rId391" Type="http://schemas.openxmlformats.org/officeDocument/2006/relationships/hyperlink" Target="https://www.contratos.gov.co/consultas/detalleProceso.do?numConstancia=17-12-7131753" TargetMode="External"/><Relationship Id="rId405" Type="http://schemas.openxmlformats.org/officeDocument/2006/relationships/hyperlink" Target="https://www.contratos.gov.co/consultas/detalleProceso.do?numConstancia=17-12-7278641" TargetMode="External"/><Relationship Id="rId447" Type="http://schemas.openxmlformats.org/officeDocument/2006/relationships/hyperlink" Target="https://www.contratos.gov.co/consultas/detalleProceso.do?numConstancia=18-13-7966473" TargetMode="External"/><Relationship Id="rId612" Type="http://schemas.openxmlformats.org/officeDocument/2006/relationships/hyperlink" Target="https://community.secop.gov.co/Public/Tendering/ContractNoticeManagement/Index?currentLanguage=es-CO&amp;Page=login&amp;Country=CO&amp;SkinName=CCE" TargetMode="External"/><Relationship Id="rId251" Type="http://schemas.openxmlformats.org/officeDocument/2006/relationships/hyperlink" Target="https://www.contratos.gov.co/consultas/detalleProceso.do?numConstancia=14-12-2326601" TargetMode="External"/><Relationship Id="rId489" Type="http://schemas.openxmlformats.org/officeDocument/2006/relationships/hyperlink" Target="https://www.contratos.gov.co/consultas/detalleProceso.do?numConstancia=18-9-445048" TargetMode="External"/><Relationship Id="rId654" Type="http://schemas.openxmlformats.org/officeDocument/2006/relationships/hyperlink" Target="https://www.contratos.gov.co/consultas/detalleProceso.do?numConstancia=13-12-2014567" TargetMode="External"/><Relationship Id="rId696" Type="http://schemas.openxmlformats.org/officeDocument/2006/relationships/hyperlink" Target="https://www.contratos.gov.co/consultas/detalleProceso.do?numConstancia=19-12-9414183" TargetMode="External"/><Relationship Id="rId46" Type="http://schemas.openxmlformats.org/officeDocument/2006/relationships/hyperlink" Target="http://www.contratos.gov.co/consultas/detalleProceso.do?numConstancia=14-13-2678644" TargetMode="External"/><Relationship Id="rId293" Type="http://schemas.openxmlformats.org/officeDocument/2006/relationships/hyperlink" Target="https://www.contratos.gov.co/consultas/detalleProceso.do?numConstancia=16-12-5803549" TargetMode="External"/><Relationship Id="rId307" Type="http://schemas.openxmlformats.org/officeDocument/2006/relationships/hyperlink" Target="https://www.contratos.gov.co/consultas/detalleProceso.do?numConstancia=16-13-5879457" TargetMode="External"/><Relationship Id="rId349" Type="http://schemas.openxmlformats.org/officeDocument/2006/relationships/hyperlink" Target="https://www.contratos.gov.co/consultas/detalleProceso.do?numConstancia=17-13-6433684" TargetMode="External"/><Relationship Id="rId514" Type="http://schemas.openxmlformats.org/officeDocument/2006/relationships/hyperlink" Target="https://www.colombiacompra.gov.co/tienda-virtual-del-estado-colombiano/ordenes-compra/30559" TargetMode="External"/><Relationship Id="rId556" Type="http://schemas.openxmlformats.org/officeDocument/2006/relationships/hyperlink" Target="https://community.secop.gov.co/Public/Tendering/ContractNoticeManagement/Index?currentLanguage=es-CO&amp;Page=login&amp;Country=CO&amp;SkinName=CCE" TargetMode="External"/><Relationship Id="rId721" Type="http://schemas.openxmlformats.org/officeDocument/2006/relationships/hyperlink" Target="https://community.secop.gov.co/Public/Tendering/ContractNoticeManagement/Index?currentLanguage=es-CO&amp;Page=login&amp;Country=CO&amp;SkinName=CCE" TargetMode="External"/><Relationship Id="rId88" Type="http://schemas.openxmlformats.org/officeDocument/2006/relationships/hyperlink" Target="https://www.contratos.gov.co/consultas/detalleProceso.do?numConstancia=15-12-3496928" TargetMode="External"/><Relationship Id="rId111" Type="http://schemas.openxmlformats.org/officeDocument/2006/relationships/hyperlink" Target="https://www.contratos.gov.co/consultas/detalleProceso.do?numConstancia=15-13-3785525" TargetMode="External"/><Relationship Id="rId153" Type="http://schemas.openxmlformats.org/officeDocument/2006/relationships/hyperlink" Target="https://www.contratos.gov.co/consultas/detalleProceso.do?numConstancia=15-13-4036371" TargetMode="External"/><Relationship Id="rId195" Type="http://schemas.openxmlformats.org/officeDocument/2006/relationships/hyperlink" Target="https://www.contratos.gov.co/consultas/detalleProceso.do?numConstancia=16-12-5028164" TargetMode="External"/><Relationship Id="rId209" Type="http://schemas.openxmlformats.org/officeDocument/2006/relationships/hyperlink" Target="http://www.contratos.gov.co/consultas/detalleProceso.do?numConstancia=16-13-5096314" TargetMode="External"/><Relationship Id="rId360" Type="http://schemas.openxmlformats.org/officeDocument/2006/relationships/hyperlink" Target="https://www.contratos.gov.co/consultas/detalleProceso.do?numConstancia=17-12-6665723" TargetMode="External"/><Relationship Id="rId416" Type="http://schemas.openxmlformats.org/officeDocument/2006/relationships/hyperlink" Target="https://www.contratos.gov.co/consultas/detalleProceso.do?numConstancia=17-13-7301804" TargetMode="External"/><Relationship Id="rId598" Type="http://schemas.openxmlformats.org/officeDocument/2006/relationships/hyperlink" Target="https://community.secop.gov.co/Public/Tendering/ContractNoticeManagement/Index?currentLanguage=es-CO&amp;Page=login&amp;Country=CO&amp;SkinName=CCE" TargetMode="External"/><Relationship Id="rId220" Type="http://schemas.openxmlformats.org/officeDocument/2006/relationships/hyperlink" Target="http://www.contratos.gov.co/consultas/detalleProceso.do?numConstancia=16-12-5244335" TargetMode="External"/><Relationship Id="rId458" Type="http://schemas.openxmlformats.org/officeDocument/2006/relationships/hyperlink" Target="https://www.colombiacompra.gov.co/tienda-virtual-del-estado-colombiano/ordenes-compra/19093" TargetMode="External"/><Relationship Id="rId623" Type="http://schemas.openxmlformats.org/officeDocument/2006/relationships/hyperlink" Target="https://www.contratos.gov.co/consultas/detalleProceso.do?numConstancia=13-13-2191153" TargetMode="External"/><Relationship Id="rId665" Type="http://schemas.openxmlformats.org/officeDocument/2006/relationships/hyperlink" Target="https://www.contratos.gov.co/consultas/detalleProceso.do?numConstancia=13-9-377850" TargetMode="External"/><Relationship Id="rId15" Type="http://schemas.openxmlformats.org/officeDocument/2006/relationships/hyperlink" Target="https://www.contratos.gov.co/consultas/detalleProceso.do?numConstancia=14-13-2990033" TargetMode="External"/><Relationship Id="rId57" Type="http://schemas.openxmlformats.org/officeDocument/2006/relationships/hyperlink" Target="https://www.contratos.gov.co/consultas/detalleProceso.do?numConstancia=15-12-3496763" TargetMode="External"/><Relationship Id="rId262" Type="http://schemas.openxmlformats.org/officeDocument/2006/relationships/hyperlink" Target="https://www.contratos.gov.co/consultas/detalleProceso.do?numConstancia=16-13-5411661" TargetMode="External"/><Relationship Id="rId318" Type="http://schemas.openxmlformats.org/officeDocument/2006/relationships/hyperlink" Target="https://www.contratos.gov.co/consultas/detalleProceso.do?numConstancia=17-12-6210150" TargetMode="External"/><Relationship Id="rId525" Type="http://schemas.openxmlformats.org/officeDocument/2006/relationships/hyperlink" Target="https://community.secop.gov.co/Public/Tendering/ContractNoticeManagement/Index?currentLanguage=es-CO&amp;Page=login&amp;Country=CO&amp;SkinName=CCE" TargetMode="External"/><Relationship Id="rId567" Type="http://schemas.openxmlformats.org/officeDocument/2006/relationships/hyperlink" Target="https://community.secop.gov.co/Public/Tendering/ContractNoticeManagement/Index?currentLanguage=es-CO&amp;Page=login&amp;Country=CO&amp;SkinName=CCE" TargetMode="External"/><Relationship Id="rId99" Type="http://schemas.openxmlformats.org/officeDocument/2006/relationships/hyperlink" Target="https://www.contratos.gov.co/consultas/detalleProceso.do?numConstancia=15-13-3589117" TargetMode="External"/><Relationship Id="rId122" Type="http://schemas.openxmlformats.org/officeDocument/2006/relationships/hyperlink" Target="https://www.contratos.gov.co/consultas/detalleProceso.do?numConstancia=15-13-3754414" TargetMode="External"/><Relationship Id="rId164" Type="http://schemas.openxmlformats.org/officeDocument/2006/relationships/hyperlink" Target="https://www.contratos.gov.co/consultas/detalleProceso.do?numConstancia=15-12-4258734" TargetMode="External"/><Relationship Id="rId371" Type="http://schemas.openxmlformats.org/officeDocument/2006/relationships/hyperlink" Target="https://www.contratos.gov.co/consultas/detalleProceso.do?numConstancia=17-9-429708" TargetMode="External"/><Relationship Id="rId427" Type="http://schemas.openxmlformats.org/officeDocument/2006/relationships/hyperlink" Target="https://www.contratos.gov.co/consultas/detalleProceso.do?numConstancia=17-9-438024" TargetMode="External"/><Relationship Id="rId469" Type="http://schemas.openxmlformats.org/officeDocument/2006/relationships/hyperlink" Target="https://www.contratos.gov.co/consultas/detalleProceso.do?numConstancia=13-12-1727613" TargetMode="External"/><Relationship Id="rId634" Type="http://schemas.openxmlformats.org/officeDocument/2006/relationships/hyperlink" Target="https://community.secop.gov.co/Public/Tendering/ContractNoticeManagement/Index?currentLanguage=es-CO&amp;Page=login&amp;Country=CO&amp;SkinName=CCE" TargetMode="External"/><Relationship Id="rId676" Type="http://schemas.openxmlformats.org/officeDocument/2006/relationships/hyperlink" Target="https://community.secop.gov.co/Public/Tendering/ContractNoticeManagement/Index?currentLanguage=es-CO&amp;Page=login&amp;Country=CO&amp;SkinName=CCE" TargetMode="External"/><Relationship Id="rId26" Type="http://schemas.openxmlformats.org/officeDocument/2006/relationships/hyperlink" Target="https://www.contratos.gov.co/consultas/detalleProceso.do?numConstancia=14-13-3135750" TargetMode="External"/><Relationship Id="rId231" Type="http://schemas.openxmlformats.org/officeDocument/2006/relationships/hyperlink" Target="https://www.contratos.gov.co/consultas/detalleProceso.do?numConstancia=16-12-5318198" TargetMode="External"/><Relationship Id="rId273" Type="http://schemas.openxmlformats.org/officeDocument/2006/relationships/hyperlink" Target="https://www.contratos.gov.co/consultas/detalleProceso.do?numConstancia=16-12-5618028" TargetMode="External"/><Relationship Id="rId329" Type="http://schemas.openxmlformats.org/officeDocument/2006/relationships/hyperlink" Target="https://www.contratos.gov.co/consultas/detalleProceso.do?numConstancia=17-13-6345360" TargetMode="External"/><Relationship Id="rId480" Type="http://schemas.openxmlformats.org/officeDocument/2006/relationships/hyperlink" Target="https://www.contratos.gov.co/consultas/detalleProceso.do?numConstancia=18-13-8118614" TargetMode="External"/><Relationship Id="rId536" Type="http://schemas.openxmlformats.org/officeDocument/2006/relationships/hyperlink" Target="https://www.contratos.gov.co/consultas/detalleProceso.do?numConstancia=12-12-913588" TargetMode="External"/><Relationship Id="rId701" Type="http://schemas.openxmlformats.org/officeDocument/2006/relationships/hyperlink" Target="https://www.contratos.gov.co/consultas/detalleProceso.do?numConstancia=13-13-1729021" TargetMode="External"/><Relationship Id="rId68" Type="http://schemas.openxmlformats.org/officeDocument/2006/relationships/hyperlink" Target="https://www.contratos.gov.co/consultas/detalleProceso.do?numConstancia=15-13-3639663" TargetMode="External"/><Relationship Id="rId133" Type="http://schemas.openxmlformats.org/officeDocument/2006/relationships/hyperlink" Target="http://www.contratos.gov.co/consultas/detalleProceso.do?numConstancia=15-12-4001997" TargetMode="External"/><Relationship Id="rId175" Type="http://schemas.openxmlformats.org/officeDocument/2006/relationships/hyperlink" Target="https://www.contratos.gov.co/consultas/detalleProceso.do?numConstancia=15-12-4477389" TargetMode="External"/><Relationship Id="rId340" Type="http://schemas.openxmlformats.org/officeDocument/2006/relationships/hyperlink" Target="https://www.contratos.gov.co/consultas/detalleProceso.do?numConstancia=17-12-6536544" TargetMode="External"/><Relationship Id="rId578" Type="http://schemas.openxmlformats.org/officeDocument/2006/relationships/hyperlink" Target="https://www.contratos.gov.co/consultas/detalleProceso.do?numConstancia=13-13-1732672" TargetMode="External"/><Relationship Id="rId200" Type="http://schemas.openxmlformats.org/officeDocument/2006/relationships/hyperlink" Target="https://www.contratos.gov.co/consultas/detalleProceso.do?numConstancia=16-12-5121622" TargetMode="External"/><Relationship Id="rId382" Type="http://schemas.openxmlformats.org/officeDocument/2006/relationships/hyperlink" Target="https://www.contratos.gov.co/consultas/detalleProceso.do?numConstancia=17-11-6775715" TargetMode="External"/><Relationship Id="rId438" Type="http://schemas.openxmlformats.org/officeDocument/2006/relationships/hyperlink" Target="https://www.contratos.gov.co/consultas/detalleProceso.do?numConstancia=18-12-7758646" TargetMode="External"/><Relationship Id="rId603" Type="http://schemas.openxmlformats.org/officeDocument/2006/relationships/hyperlink" Target="https://community.secop.gov.co/Public/Tendering/ContractNoticeManagement/Index?currentLanguage=es-CO&amp;Page=login&amp;Country=CO&amp;SkinName=CCE" TargetMode="External"/><Relationship Id="rId645" Type="http://schemas.openxmlformats.org/officeDocument/2006/relationships/hyperlink" Target="https://community.secop.gov.co/Public/Tendering/ContractNoticeManagement/Index?currentLanguage=es-CO&amp;Page=login&amp;Country=CO&amp;SkinName=CCE" TargetMode="External"/><Relationship Id="rId687" Type="http://schemas.openxmlformats.org/officeDocument/2006/relationships/hyperlink" Target="https://community.secop.gov.co/Public/Tendering/ContractNoticeManagement/Index?currentLanguage=es-CO&amp;Page=login&amp;Country=CO&amp;SkinName=CCE" TargetMode="External"/><Relationship Id="rId242" Type="http://schemas.openxmlformats.org/officeDocument/2006/relationships/hyperlink" Target="https://www.contratos.gov.co/consultas/detalleProceso.do?numConstancia=16-9-416614" TargetMode="External"/><Relationship Id="rId284" Type="http://schemas.openxmlformats.org/officeDocument/2006/relationships/hyperlink" Target="https://www.contratos.gov.co/consultas/detalleProceso.do?numConstancia=16-12-5633716" TargetMode="External"/><Relationship Id="rId491" Type="http://schemas.openxmlformats.org/officeDocument/2006/relationships/hyperlink" Target="https://community.secop.gov.co/Public/Tendering/ContractNoticeManagement/Index?currentLanguage=es-CO&amp;Page=login&amp;Country=CO&amp;SkinName=CCE" TargetMode="External"/><Relationship Id="rId505" Type="http://schemas.openxmlformats.org/officeDocument/2006/relationships/hyperlink" Target="https://community.secop.gov.co/Public/Tendering/ContractNoticeManagement/Index?currentLanguage=es-CO&amp;Page=login&amp;Country=CO&amp;SkinName=CCE" TargetMode="External"/><Relationship Id="rId712" Type="http://schemas.openxmlformats.org/officeDocument/2006/relationships/hyperlink" Target="https://community.secop.gov.co/Public/Tendering/ContractNoticeManagement/Index?currentLanguage=es-CO&amp;Page=login&amp;Country=CO&amp;SkinName=CCE" TargetMode="External"/><Relationship Id="rId37" Type="http://schemas.openxmlformats.org/officeDocument/2006/relationships/hyperlink" Target="https://www.contratos.gov.co/consultas/detalleProceso.do?numConstancia=14-13-2712193" TargetMode="External"/><Relationship Id="rId79" Type="http://schemas.openxmlformats.org/officeDocument/2006/relationships/hyperlink" Target="https://www.contratos.gov.co/consultas/detalleProceso.do?numConstancia=15-12-3842703" TargetMode="External"/><Relationship Id="rId102" Type="http://schemas.openxmlformats.org/officeDocument/2006/relationships/hyperlink" Target="https://www.contratos.gov.co/consultas/detalleProceso.do?numConstancia=15-13-3639794" TargetMode="External"/><Relationship Id="rId144" Type="http://schemas.openxmlformats.org/officeDocument/2006/relationships/hyperlink" Target="https://www.contratos.gov.co/consultas/detalleProceso.do?numConstancia=14-1-125523" TargetMode="External"/><Relationship Id="rId547" Type="http://schemas.openxmlformats.org/officeDocument/2006/relationships/hyperlink" Target="https://www.contratos.gov.co/consultas/detalleProceso.do?numConstancia=14-9-387988" TargetMode="External"/><Relationship Id="rId589" Type="http://schemas.openxmlformats.org/officeDocument/2006/relationships/hyperlink" Target="https://www.contratos.gov.co/consultas/detalleProceso.do?numConstancia=14-12-3024579" TargetMode="External"/><Relationship Id="rId90" Type="http://schemas.openxmlformats.org/officeDocument/2006/relationships/hyperlink" Target="https://www.contratos.gov.co/consultas/detalleProceso.do?numConstancia=15-12-3566213" TargetMode="External"/><Relationship Id="rId186" Type="http://schemas.openxmlformats.org/officeDocument/2006/relationships/hyperlink" Target="https://www.contratos.gov.co/consultas/detalleProceso.do?numConstancia=15-12-4001609" TargetMode="External"/><Relationship Id="rId351" Type="http://schemas.openxmlformats.org/officeDocument/2006/relationships/hyperlink" Target="https://www.colombiacompra.gov.co/tienda-virtual-del-estado-colombiano/orden-de-compra/13628" TargetMode="External"/><Relationship Id="rId393" Type="http://schemas.openxmlformats.org/officeDocument/2006/relationships/hyperlink" Target="https://www.contratos.gov.co/consultas/detalleProceso.do?numConstancia=17-12-7124423" TargetMode="External"/><Relationship Id="rId407" Type="http://schemas.openxmlformats.org/officeDocument/2006/relationships/hyperlink" Target="https://www.contratos.gov.co/consultas/detalleProceso.do?numConstancia=17-9-434838" TargetMode="External"/><Relationship Id="rId449" Type="http://schemas.openxmlformats.org/officeDocument/2006/relationships/hyperlink" Target="https://www.contratos.gov.co/consultas/detalleProceso.do?numConstancia=18-1-189158" TargetMode="External"/><Relationship Id="rId614" Type="http://schemas.openxmlformats.org/officeDocument/2006/relationships/hyperlink" Target="https://community.secop.gov.co/Public/Tendering/ContractNoticeManagement/Index?currentLanguage=es-CO&amp;Page=login&amp;Country=CO&amp;SkinName=CCE" TargetMode="External"/><Relationship Id="rId656" Type="http://schemas.openxmlformats.org/officeDocument/2006/relationships/hyperlink" Target="https://www.contratos.gov.co/consultas/detalleProceso.do?numConstancia=14-12-3007039" TargetMode="External"/><Relationship Id="rId211" Type="http://schemas.openxmlformats.org/officeDocument/2006/relationships/hyperlink" Target="http://www.contratos.gov.co/consultas/detalleProceso.do?numConstancia=16-11-4974267" TargetMode="External"/><Relationship Id="rId253" Type="http://schemas.openxmlformats.org/officeDocument/2006/relationships/hyperlink" Target="https://www.contratos.gov.co/consultas/detalleProceso.do?numConstancia=14-13-2412764" TargetMode="External"/><Relationship Id="rId295" Type="http://schemas.openxmlformats.org/officeDocument/2006/relationships/hyperlink" Target="https://www.contratos.gov.co/consultas/detalleProceso.do?numConstancia=16-13-5804930" TargetMode="External"/><Relationship Id="rId309" Type="http://schemas.openxmlformats.org/officeDocument/2006/relationships/hyperlink" Target="https://www.contratos.gov.co/consultas/detalleProceso.do?numConstancia=16-9-423286" TargetMode="External"/><Relationship Id="rId460" Type="http://schemas.openxmlformats.org/officeDocument/2006/relationships/hyperlink" Target="https://www.contratos.gov.co/consultas/detalleProceso.do?numConstancia=18-13-8070583" TargetMode="External"/><Relationship Id="rId516" Type="http://schemas.openxmlformats.org/officeDocument/2006/relationships/hyperlink" Target="https://community.secop.gov.co/Public/Tendering/ContractNoticeManagement/Index?currentLanguage=es-CO&amp;Page=login&amp;Country=CO&amp;SkinName=CCE" TargetMode="External"/><Relationship Id="rId698" Type="http://schemas.openxmlformats.org/officeDocument/2006/relationships/hyperlink" Target="https://www.contratos.gov.co/consultas/detalleProceso.do?numConstancia=12-11-1036705" TargetMode="External"/><Relationship Id="rId48" Type="http://schemas.openxmlformats.org/officeDocument/2006/relationships/hyperlink" Target="https://www.contratos.gov.co/consultas/detalleProceso.do?numConstancia=14-9-383497" TargetMode="External"/><Relationship Id="rId113" Type="http://schemas.openxmlformats.org/officeDocument/2006/relationships/hyperlink" Target="https://www.contratos.gov.co/consultas/detalleProceso.do?numConstancia=15-12-3892381" TargetMode="External"/><Relationship Id="rId320" Type="http://schemas.openxmlformats.org/officeDocument/2006/relationships/hyperlink" Target="https://www.contratos.gov.co/consultas/detalleProceso.do?numConstancia=17-13-6215826" TargetMode="External"/><Relationship Id="rId558" Type="http://schemas.openxmlformats.org/officeDocument/2006/relationships/hyperlink" Target="https://community.secop.gov.co/Public/Tendering/ContractNoticeManagement/Index?currentLanguage=es-CO&amp;Page=login&amp;Country=CO&amp;SkinName=CCE" TargetMode="External"/><Relationship Id="rId723" Type="http://schemas.openxmlformats.org/officeDocument/2006/relationships/drawing" Target="../drawings/drawing5.xml"/><Relationship Id="rId155" Type="http://schemas.openxmlformats.org/officeDocument/2006/relationships/hyperlink" Target="https://www.contratos.gov.co/consultas/detalleProceso.do?numConstancia=15-13-4105874" TargetMode="External"/><Relationship Id="rId197" Type="http://schemas.openxmlformats.org/officeDocument/2006/relationships/hyperlink" Target="https://www.contratos.gov.co/consultas/detalleProceso.do?numConstancia=16-12-4928083" TargetMode="External"/><Relationship Id="rId362" Type="http://schemas.openxmlformats.org/officeDocument/2006/relationships/hyperlink" Target="https://www.contratos.gov.co/consultas/detalleProceso.do?numConstancia=17-12-6692587" TargetMode="External"/><Relationship Id="rId418" Type="http://schemas.openxmlformats.org/officeDocument/2006/relationships/hyperlink" Target="https://www.contratos.gov.co/consultas/detalleProceso.do?numConstancia=17-13-7341299" TargetMode="External"/><Relationship Id="rId625" Type="http://schemas.openxmlformats.org/officeDocument/2006/relationships/hyperlink" Target="https://www.contratos.gov.co/consultas/detalleProceso.do?numConstancia=14-12-2220338" TargetMode="External"/><Relationship Id="rId222" Type="http://schemas.openxmlformats.org/officeDocument/2006/relationships/hyperlink" Target="https://www.contratos.gov.co/consultas/detalleProceso.do?numConstancia=16-13-5104605" TargetMode="External"/><Relationship Id="rId264" Type="http://schemas.openxmlformats.org/officeDocument/2006/relationships/hyperlink" Target="https://www.contratos.gov.co/consultas/detalleProceso.do?numConstancia=16-12-5553553" TargetMode="External"/><Relationship Id="rId471" Type="http://schemas.openxmlformats.org/officeDocument/2006/relationships/hyperlink" Target="https://www.contratos.gov.co/consultas/detalleProceso.do?numConstancia=12-13-1130169" TargetMode="External"/><Relationship Id="rId667" Type="http://schemas.openxmlformats.org/officeDocument/2006/relationships/hyperlink" Target="https://www.contratos.gov.co/consultas/detalleProceso.do?numConstancia=13-11-2084592" TargetMode="External"/><Relationship Id="rId17" Type="http://schemas.openxmlformats.org/officeDocument/2006/relationships/hyperlink" Target="https://www.contratos.gov.co/consultas/detalleProceso.do?numConstancia=14-12-3089569" TargetMode="External"/><Relationship Id="rId59" Type="http://schemas.openxmlformats.org/officeDocument/2006/relationships/hyperlink" Target="https://www.contratos.gov.co/consultas/detalleProceso.do?numConstancia=15-12-3498879" TargetMode="External"/><Relationship Id="rId124" Type="http://schemas.openxmlformats.org/officeDocument/2006/relationships/hyperlink" Target="http://www.contratos.gov.co/consultas/detalleProceso.do?numConstancia=15-12-3926559" TargetMode="External"/><Relationship Id="rId527" Type="http://schemas.openxmlformats.org/officeDocument/2006/relationships/hyperlink" Target="https://community.secop.gov.co/Public/Tendering/ContractNoticeManagement/Index?currentLanguage=es-CO&amp;Page=login&amp;Country=CO&amp;SkinName=CCE" TargetMode="External"/><Relationship Id="rId569" Type="http://schemas.openxmlformats.org/officeDocument/2006/relationships/hyperlink" Target="https://www.colombiacompra.gov.co/tienda-virtual-del-estado-colombiano/ordenes-compra/32348" TargetMode="External"/><Relationship Id="rId70" Type="http://schemas.openxmlformats.org/officeDocument/2006/relationships/hyperlink" Target="https://www.contratos.gov.co/consultas/detalleProceso.do?numConstancia=15-12-3730679" TargetMode="External"/><Relationship Id="rId166" Type="http://schemas.openxmlformats.org/officeDocument/2006/relationships/hyperlink" Target="https://www.contratos.gov.co/consultas/detalleProceso.do?numConstancia=15-1-143353" TargetMode="External"/><Relationship Id="rId331" Type="http://schemas.openxmlformats.org/officeDocument/2006/relationships/hyperlink" Target="https://www.contratos.gov.co/consultas/detalleProceso.do?numConstancia=17-13-6403072" TargetMode="External"/><Relationship Id="rId373" Type="http://schemas.openxmlformats.org/officeDocument/2006/relationships/hyperlink" Target="https://www.contratos.gov.co/consultas/detalleProceso.do?numConstancia=17-12-6888037" TargetMode="External"/><Relationship Id="rId429" Type="http://schemas.openxmlformats.org/officeDocument/2006/relationships/hyperlink" Target="https://www.contratos.gov.co/consultas/detalleProceso.do?numConstancia=18-12-7703265" TargetMode="External"/><Relationship Id="rId580" Type="http://schemas.openxmlformats.org/officeDocument/2006/relationships/hyperlink" Target="https://www.contratos.gov.co/consultas/detalleProceso.do?numConstancia=13-11-1520078" TargetMode="External"/><Relationship Id="rId636" Type="http://schemas.openxmlformats.org/officeDocument/2006/relationships/hyperlink" Target="https://community.secop.gov.co/Public/Tendering/ContractNoticeManagement/Index?currentLanguage=es-CO&amp;Page=login&amp;Country=CO&amp;SkinName=CCE" TargetMode="External"/><Relationship Id="rId1" Type="http://schemas.openxmlformats.org/officeDocument/2006/relationships/hyperlink" Target="https://www.contratos.gov.co/consultas/detalleProceso.do?numConstancia=14-13-2826038" TargetMode="External"/><Relationship Id="rId233" Type="http://schemas.openxmlformats.org/officeDocument/2006/relationships/hyperlink" Target="https://www.contratos.gov.co/consultas/detalleProceso.do?numConstancia=16-12-5292827" TargetMode="External"/><Relationship Id="rId440" Type="http://schemas.openxmlformats.org/officeDocument/2006/relationships/hyperlink" Target="https://www.contratos.gov.co/consultas/detalleProceso.do?numConstancia=18-13-7865890" TargetMode="External"/><Relationship Id="rId678" Type="http://schemas.openxmlformats.org/officeDocument/2006/relationships/hyperlink" Target="https://www.contratos.gov.co/consultas/detalleProceso.do?numConstancia=19-12-9230250" TargetMode="External"/><Relationship Id="rId28" Type="http://schemas.openxmlformats.org/officeDocument/2006/relationships/hyperlink" Target="https://www.contratos.gov.co/consultas/detalleProceso.do?numConstancia=14-9-392443" TargetMode="External"/><Relationship Id="rId275" Type="http://schemas.openxmlformats.org/officeDocument/2006/relationships/hyperlink" Target="https://www.contratos.gov.co/consultas/detalleProceso.do?numConstancia=14-13-2361063" TargetMode="External"/><Relationship Id="rId300" Type="http://schemas.openxmlformats.org/officeDocument/2006/relationships/hyperlink" Target="https://www.contratos.gov.co/consultas/detalleProceso.do?numConstancia=16-12-5882161" TargetMode="External"/><Relationship Id="rId482" Type="http://schemas.openxmlformats.org/officeDocument/2006/relationships/hyperlink" Target="https://www.contratos.gov.co/consultas/detalleProceso.do?numConstancia=18-13-8093396" TargetMode="External"/><Relationship Id="rId538" Type="http://schemas.openxmlformats.org/officeDocument/2006/relationships/hyperlink" Target="https://www.contratos.gov.co/consultas/detalleProceso.do?numConstancia=12-12-1168091" TargetMode="External"/><Relationship Id="rId703" Type="http://schemas.openxmlformats.org/officeDocument/2006/relationships/hyperlink" Target="https://www.contratos.gov.co/consultas/detalleProceso.do?numConstancia=13-12-1646909" TargetMode="External"/><Relationship Id="rId81" Type="http://schemas.openxmlformats.org/officeDocument/2006/relationships/hyperlink" Target="https://www.contratos.gov.co/consultas/detalleProceso.do?numConstancia=15-12-3473510" TargetMode="External"/><Relationship Id="rId135" Type="http://schemas.openxmlformats.org/officeDocument/2006/relationships/hyperlink" Target="http://www.contratos.gov.co/consultas/detalleProceso.do?numConstancia=15-12-4002181" TargetMode="External"/><Relationship Id="rId177" Type="http://schemas.openxmlformats.org/officeDocument/2006/relationships/hyperlink" Target="https://www.contratos.gov.co/consultas/detalleProceso.do?numConstancia=15-12-3544892" TargetMode="External"/><Relationship Id="rId342" Type="http://schemas.openxmlformats.org/officeDocument/2006/relationships/hyperlink" Target="https://www.contratos.gov.co/consultas/detalleProceso.do?numConstancia=17-12-6548395" TargetMode="External"/><Relationship Id="rId384" Type="http://schemas.openxmlformats.org/officeDocument/2006/relationships/hyperlink" Target="https://www.contratos.gov.co/consultas/detalleProceso.do?numConstancia=17-12-7047667" TargetMode="External"/><Relationship Id="rId591" Type="http://schemas.openxmlformats.org/officeDocument/2006/relationships/hyperlink" Target="https://community.secop.gov.co/Public/Tendering/ContractNoticeManagement/Index?currentLanguage=es-CO&amp;Page=login&amp;Country=CO&amp;SkinName=CCE" TargetMode="External"/><Relationship Id="rId605" Type="http://schemas.openxmlformats.org/officeDocument/2006/relationships/hyperlink" Target="https://www.colombiacompra.gov.co/tienda-virtual-del-estado-colombiano/ordenes-compra/34346" TargetMode="External"/><Relationship Id="rId202" Type="http://schemas.openxmlformats.org/officeDocument/2006/relationships/hyperlink" Target="https://www.contratos.gov.co/consultas/detalleProceso.do?numConstancia=14-1-124021" TargetMode="External"/><Relationship Id="rId244" Type="http://schemas.openxmlformats.org/officeDocument/2006/relationships/hyperlink" Target="https://www.contratos.gov.co/consultas/detalleProceso.do?numConstancia=16-11-5108844" TargetMode="External"/><Relationship Id="rId647" Type="http://schemas.openxmlformats.org/officeDocument/2006/relationships/hyperlink" Target="https://community.secop.gov.co/Public/Tendering/ContractNoticeManagement/Index?currentLanguage=es-CO&amp;Page=login&amp;Country=CO&amp;SkinName=CCE" TargetMode="External"/><Relationship Id="rId689" Type="http://schemas.openxmlformats.org/officeDocument/2006/relationships/hyperlink" Target="https://www.contratos.gov.co/consultas/detalleProceso.do?numConstancia=19-12-9361320" TargetMode="External"/><Relationship Id="rId39" Type="http://schemas.openxmlformats.org/officeDocument/2006/relationships/hyperlink" Target="https://www.contratos.gov.co/consultas/detalleProceso.do?numConstancia=14-11-2651606" TargetMode="External"/><Relationship Id="rId286" Type="http://schemas.openxmlformats.org/officeDocument/2006/relationships/hyperlink" Target="https://www.contratos.gov.co/consultas/detalleProceso.do?numConstancia=16-12-5640228" TargetMode="External"/><Relationship Id="rId451" Type="http://schemas.openxmlformats.org/officeDocument/2006/relationships/hyperlink" Target="https://www.colombiacompra.gov.co/tienda-virtual-del-estado-colombiano/ordenes-compra/28271" TargetMode="External"/><Relationship Id="rId493" Type="http://schemas.openxmlformats.org/officeDocument/2006/relationships/hyperlink" Target="https://community.secop.gov.co/Public/Tendering/ContractNoticeManagement/Index?currentLanguage=es-CO&amp;Page=login&amp;Country=CO&amp;SkinName=CCE" TargetMode="External"/><Relationship Id="rId507" Type="http://schemas.openxmlformats.org/officeDocument/2006/relationships/hyperlink" Target="https://community.secop.gov.co/Public/Tendering/ContractNoticeManagement/Index?currentLanguage=es-CO&amp;Page=login&amp;Country=CO&amp;SkinName=CCE" TargetMode="External"/><Relationship Id="rId549" Type="http://schemas.openxmlformats.org/officeDocument/2006/relationships/hyperlink" Target="https://www.contratos.gov.co/consultas/detalleProceso.do?numConstancia=12-12-998350" TargetMode="External"/><Relationship Id="rId714" Type="http://schemas.openxmlformats.org/officeDocument/2006/relationships/hyperlink" Target="https://community.secop.gov.co/Public/Tendering/ContractNoticeManagement/Index?currentLanguage=es-CO&amp;Page=login&amp;Country=CO&amp;SkinName=CCE" TargetMode="External"/><Relationship Id="rId50" Type="http://schemas.openxmlformats.org/officeDocument/2006/relationships/hyperlink" Target="https://www.contratos.gov.co/consultas/detalleProceso.do?numConstancia=15-12-3553182" TargetMode="External"/><Relationship Id="rId104" Type="http://schemas.openxmlformats.org/officeDocument/2006/relationships/hyperlink" Target="https://www.contratos.gov.co/consultas/detalleProceso.do?numConstancia=15-12-3803469" TargetMode="External"/><Relationship Id="rId146" Type="http://schemas.openxmlformats.org/officeDocument/2006/relationships/hyperlink" Target="https://www.contratos.gov.co/consultas/detalleProceso.do?numConstancia=15-13-4020539" TargetMode="External"/><Relationship Id="rId188" Type="http://schemas.openxmlformats.org/officeDocument/2006/relationships/hyperlink" Target="https://www.contratos.gov.co/consultas/detalleProceso.do?numConstancia=16-13-4862556" TargetMode="External"/><Relationship Id="rId311" Type="http://schemas.openxmlformats.org/officeDocument/2006/relationships/hyperlink" Target="https://www.contratos.gov.co/consultas/detalleProceso.do?numConstancia=16-9-422963" TargetMode="External"/><Relationship Id="rId353" Type="http://schemas.openxmlformats.org/officeDocument/2006/relationships/hyperlink" Target="https://www.contratos.gov.co/consultas/detalleProceso.do?numConstancia=17-12-6603480" TargetMode="External"/><Relationship Id="rId395" Type="http://schemas.openxmlformats.org/officeDocument/2006/relationships/hyperlink" Target="https://www.contratos.gov.co/consultas/detalleProceso.do?numConstancia=17-13-7062467" TargetMode="External"/><Relationship Id="rId409" Type="http://schemas.openxmlformats.org/officeDocument/2006/relationships/hyperlink" Target="https://www.contratos.gov.co/consultas/detalleProceso.do?numConstancia=17-13-7195223" TargetMode="External"/><Relationship Id="rId560" Type="http://schemas.openxmlformats.org/officeDocument/2006/relationships/hyperlink" Target="https://community.secop.gov.co/Public/Tendering/ContractNoticeManagement/Index?currentLanguage=es-CO&amp;Page=login&amp;Country=CO&amp;SkinName=CCE" TargetMode="External"/><Relationship Id="rId92" Type="http://schemas.openxmlformats.org/officeDocument/2006/relationships/hyperlink" Target="https://www.contratos.gov.co/consultas/detalleProceso.do?numConstancia=15-12-3553112" TargetMode="External"/><Relationship Id="rId213" Type="http://schemas.openxmlformats.org/officeDocument/2006/relationships/hyperlink" Target="http://www.contratos.gov.co/consultas/detalleProceso.do?numConstancia=16-12-5220606" TargetMode="External"/><Relationship Id="rId420" Type="http://schemas.openxmlformats.org/officeDocument/2006/relationships/hyperlink" Target="https://www.contratos.gov.co/consultas/detalleProceso.do?numConstancia=17-11-7098808" TargetMode="External"/><Relationship Id="rId616" Type="http://schemas.openxmlformats.org/officeDocument/2006/relationships/hyperlink" Target="https://community.secop.gov.co/Public/Tendering/ContractNoticeManagement/Index?currentLanguage=es-CO&amp;Page=login&amp;Country=CO&amp;SkinName=CCE" TargetMode="External"/><Relationship Id="rId658" Type="http://schemas.openxmlformats.org/officeDocument/2006/relationships/hyperlink" Target="https://community.secop.gov.co/Public/Tendering/ContractNoticeManagement/Index?currentLanguage=es-CO&amp;Page=login&amp;Country=CO&amp;SkinName=CCE" TargetMode="External"/><Relationship Id="rId255" Type="http://schemas.openxmlformats.org/officeDocument/2006/relationships/hyperlink" Target="https://www.contratos.gov.co/consultas/detalleProceso.do?numConstancia=14-13-2621776" TargetMode="External"/><Relationship Id="rId297" Type="http://schemas.openxmlformats.org/officeDocument/2006/relationships/hyperlink" Target="https://www.contratos.gov.co/consultas/detalleProceso.do?numConstancia=16-11-5683308" TargetMode="External"/><Relationship Id="rId462" Type="http://schemas.openxmlformats.org/officeDocument/2006/relationships/hyperlink" Target="https://www.contratos.gov.co/consultas/detalleProceso.do?numConstancia=13-9-376892" TargetMode="External"/><Relationship Id="rId518" Type="http://schemas.openxmlformats.org/officeDocument/2006/relationships/hyperlink" Target="https://community.secop.gov.co/Public/Tendering/ContractNoticeManagement/Index?currentLanguage=es-CO&amp;Page=login&amp;Country=CO&amp;SkinName=CCE" TargetMode="External"/><Relationship Id="rId725" Type="http://schemas.openxmlformats.org/officeDocument/2006/relationships/comments" Target="../comments1.xml"/><Relationship Id="rId115" Type="http://schemas.openxmlformats.org/officeDocument/2006/relationships/hyperlink" Target="https://www.contratos.gov.co/consultas/detalleProceso.do?numConstancia=15-12-3810079" TargetMode="External"/><Relationship Id="rId157" Type="http://schemas.openxmlformats.org/officeDocument/2006/relationships/hyperlink" Target="https://www.contratos.gov.co/consultas/detalleProceso.do?numConstancia=15-1-138745" TargetMode="External"/><Relationship Id="rId322" Type="http://schemas.openxmlformats.org/officeDocument/2006/relationships/hyperlink" Target="https://www.contratos.gov.co/consultas/detalleProceso.do?numConstancia=13-12-1397244" TargetMode="External"/><Relationship Id="rId364" Type="http://schemas.openxmlformats.org/officeDocument/2006/relationships/hyperlink" Target="https://www.contratos.gov.co/consultas/detalleProceso.do?numConstancia=17-11-6488930" TargetMode="External"/><Relationship Id="rId61" Type="http://schemas.openxmlformats.org/officeDocument/2006/relationships/hyperlink" Target="https://www.contratos.gov.co/consultas/detalleProceso.do?numConstancia=15-12-3473510" TargetMode="External"/><Relationship Id="rId199" Type="http://schemas.openxmlformats.org/officeDocument/2006/relationships/hyperlink" Target="https://www.contratos.gov.co/consultas/detalleProceso.do?numConstancia=16-12-5092008" TargetMode="External"/><Relationship Id="rId571" Type="http://schemas.openxmlformats.org/officeDocument/2006/relationships/hyperlink" Target="https://community.secop.gov.co/Public/Tendering/ContractNoticeManagement/Index?currentLanguage=es-CO&amp;Page=login&amp;Country=CO&amp;SkinName=CCE" TargetMode="External"/><Relationship Id="rId627" Type="http://schemas.openxmlformats.org/officeDocument/2006/relationships/hyperlink" Target="https://www.contratos.gov.co/consultas/detalleProceso.do?numConstancia=13-9-372956" TargetMode="External"/><Relationship Id="rId669" Type="http://schemas.openxmlformats.org/officeDocument/2006/relationships/hyperlink" Target="https://www.contratos.gov.co/consultas/detalleProceso.do?numConstancia=13-13-1916525" TargetMode="External"/><Relationship Id="rId19" Type="http://schemas.openxmlformats.org/officeDocument/2006/relationships/hyperlink" Target="https://www.contratos.gov.co/consultas/detalleProceso.do?numConstancia=14-12-3057752" TargetMode="External"/><Relationship Id="rId224" Type="http://schemas.openxmlformats.org/officeDocument/2006/relationships/hyperlink" Target="https://www.contratos.gov.co/consultas/detalleProceso.do?numConstancia=16-13-5214408" TargetMode="External"/><Relationship Id="rId266" Type="http://schemas.openxmlformats.org/officeDocument/2006/relationships/hyperlink" Target="https://www.contratos.gov.co/consultas/detalleProceso.do?numConstancia=16-12-5584832" TargetMode="External"/><Relationship Id="rId431" Type="http://schemas.openxmlformats.org/officeDocument/2006/relationships/hyperlink" Target="https://www.contratos.gov.co/consultas/detalleProceso.do?numConstancia=18-12-7713910" TargetMode="External"/><Relationship Id="rId473" Type="http://schemas.openxmlformats.org/officeDocument/2006/relationships/hyperlink" Target="https://www.contratos.gov.co/consultas/detalleProceso.do?numConstancia=13-4-2020585" TargetMode="External"/><Relationship Id="rId529" Type="http://schemas.openxmlformats.org/officeDocument/2006/relationships/hyperlink" Target="https://community.secop.gov.co/Public/Tendering/ContractNoticeManagement/Index?currentLanguage=es-CO&amp;Page=login&amp;Country=CO&amp;SkinName=CCE" TargetMode="External"/><Relationship Id="rId680" Type="http://schemas.openxmlformats.org/officeDocument/2006/relationships/hyperlink" Target="https://www.contratos.gov.co/consultas/detalleProceso.do?numConstancia=19-12-9256850" TargetMode="External"/><Relationship Id="rId30" Type="http://schemas.openxmlformats.org/officeDocument/2006/relationships/hyperlink" Target="https://www.contratos.gov.co/consultas/detalleProceso.do?numConstancia=14-9-393632" TargetMode="External"/><Relationship Id="rId126" Type="http://schemas.openxmlformats.org/officeDocument/2006/relationships/hyperlink" Target="http://www.contratos.gov.co/consultas/detalleProceso.do?numConstancia=15-13-3848572" TargetMode="External"/><Relationship Id="rId168" Type="http://schemas.openxmlformats.org/officeDocument/2006/relationships/hyperlink" Target="https://www.contratos.gov.co/consultas/detalleProceso.do?numConstancia=15-13-4294577" TargetMode="External"/><Relationship Id="rId333" Type="http://schemas.openxmlformats.org/officeDocument/2006/relationships/hyperlink" Target="https://www.contratos.gov.co/consultas/detalleProceso.do?numConstancia=17-12-6529405" TargetMode="External"/><Relationship Id="rId540" Type="http://schemas.openxmlformats.org/officeDocument/2006/relationships/hyperlink" Target="https://www.contratos.gov.co/consultas/detalleProceso.do?numConstancia=12-12-1194315" TargetMode="External"/><Relationship Id="rId72" Type="http://schemas.openxmlformats.org/officeDocument/2006/relationships/hyperlink" Target="https://www.contratos.gov.co/consultas/detalleProceso.do?numConstancia=13-12-1936098" TargetMode="External"/><Relationship Id="rId375" Type="http://schemas.openxmlformats.org/officeDocument/2006/relationships/hyperlink" Target="https://www.contratos.gov.co/consultas/detalleProceso.do?numConstancia=17-12-6864786" TargetMode="External"/><Relationship Id="rId582" Type="http://schemas.openxmlformats.org/officeDocument/2006/relationships/hyperlink" Target="https://www.colombiacompra.gov.co/tienda-virtual-del-estado-colombiano/ordenes-compra/32741" TargetMode="External"/><Relationship Id="rId638" Type="http://schemas.openxmlformats.org/officeDocument/2006/relationships/hyperlink" Target="https://community.secop.gov.co/Public/Tendering/ContractNoticeManagement/Index?currentLanguage=es-CO&amp;Page=login&amp;Country=CO&amp;SkinName=CCE" TargetMode="External"/><Relationship Id="rId3" Type="http://schemas.openxmlformats.org/officeDocument/2006/relationships/hyperlink" Target="https://www.contratos.gov.co/consultas/detalleProceso.do?numConstancia=14-12-2922590" TargetMode="External"/><Relationship Id="rId235" Type="http://schemas.openxmlformats.org/officeDocument/2006/relationships/hyperlink" Target="https://www.contratos.gov.co/consultas/detalleProceso.do?numConstancia=16-13-5219179" TargetMode="External"/><Relationship Id="rId277" Type="http://schemas.openxmlformats.org/officeDocument/2006/relationships/hyperlink" Target="https://www.contratos.gov.co/consultas/detalleProceso.do?numConstancia=14-13-2454008" TargetMode="External"/><Relationship Id="rId400" Type="http://schemas.openxmlformats.org/officeDocument/2006/relationships/hyperlink" Target="https://www.contratos.gov.co/consultas/detalleProceso.do?numConstancia=17-12-7211817" TargetMode="External"/><Relationship Id="rId442" Type="http://schemas.openxmlformats.org/officeDocument/2006/relationships/hyperlink" Target="https://www.contratos.gov.co/consultas/detalleProceso.do?numConstancia=18-12-7765130" TargetMode="External"/><Relationship Id="rId484" Type="http://schemas.openxmlformats.org/officeDocument/2006/relationships/hyperlink" Target="https://www.contratos.gov.co/consultas/detalleProceso.do?numConstancia=18-13-8160979" TargetMode="External"/><Relationship Id="rId705" Type="http://schemas.openxmlformats.org/officeDocument/2006/relationships/hyperlink" Target="https://community.secop.gov.co/Public/Tendering/ContractNoticeManagement/Index?currentLanguage=es-CO&amp;Page=login&amp;Country=CO&amp;SkinName=CCE" TargetMode="External"/><Relationship Id="rId137" Type="http://schemas.openxmlformats.org/officeDocument/2006/relationships/hyperlink" Target="http://www.contratos.gov.co/consultas/detalleProceso.do?numConstancia=15-12-4002005" TargetMode="External"/><Relationship Id="rId302" Type="http://schemas.openxmlformats.org/officeDocument/2006/relationships/hyperlink" Target="https://www.contratos.gov.co/consultas/detalleProceso.do?numConstancia=16-13-5872112" TargetMode="External"/><Relationship Id="rId344" Type="http://schemas.openxmlformats.org/officeDocument/2006/relationships/hyperlink" Target="https://www.contratos.gov.co/consultas/detalleProceso.do?numConstancia=17-12-6521272" TargetMode="External"/><Relationship Id="rId691" Type="http://schemas.openxmlformats.org/officeDocument/2006/relationships/hyperlink" Target="https://www.contratos.gov.co/consultas/detalleProceso.do?numConstancia=19-12-9348138" TargetMode="External"/><Relationship Id="rId41" Type="http://schemas.openxmlformats.org/officeDocument/2006/relationships/hyperlink" Target="https://www.contratos.gov.co/consultas/detalleProceso.do?numConstancia=14-11-2559733" TargetMode="External"/><Relationship Id="rId83" Type="http://schemas.openxmlformats.org/officeDocument/2006/relationships/hyperlink" Target="https://www.contratos.gov.co/consultas/detalleProceso.do?numConstancia=15-12-3449941" TargetMode="External"/><Relationship Id="rId179" Type="http://schemas.openxmlformats.org/officeDocument/2006/relationships/hyperlink" Target="https://www.contratos.gov.co/consultas/detalleProceso.do?numConstancia=15-12-3544892" TargetMode="External"/><Relationship Id="rId386" Type="http://schemas.openxmlformats.org/officeDocument/2006/relationships/hyperlink" Target="https://www.contratos.gov.co/consultas/detalleProceso.do?numConstancia=17-12-7082503" TargetMode="External"/><Relationship Id="rId551" Type="http://schemas.openxmlformats.org/officeDocument/2006/relationships/hyperlink" Target="https://www.contratos.gov.co/consultas/detalleProceso.do?numConstancia=12-13-1274224" TargetMode="External"/><Relationship Id="rId593" Type="http://schemas.openxmlformats.org/officeDocument/2006/relationships/hyperlink" Target="https://community.secop.gov.co/Public/Tendering/ContractNoticeManagement/Index?currentLanguage=es-CO&amp;Page=login&amp;Country=CO&amp;SkinName=CCE" TargetMode="External"/><Relationship Id="rId607" Type="http://schemas.openxmlformats.org/officeDocument/2006/relationships/hyperlink" Target="https://www.colombiacompra.gov.co/tienda-virtual-del-estado-colombiano/ordenes-compra/34468" TargetMode="External"/><Relationship Id="rId649" Type="http://schemas.openxmlformats.org/officeDocument/2006/relationships/hyperlink" Target="https://community.secop.gov.co/Public/Tendering/ContractNoticeManagement/Index?currentLanguage=es-CO&amp;Page=login&amp;Country=CO&amp;SkinName=CCE" TargetMode="External"/><Relationship Id="rId190" Type="http://schemas.openxmlformats.org/officeDocument/2006/relationships/hyperlink" Target="https://www.contratos.gov.co/consultas/detalleProceso.do?numConstancia=16-12-4901222" TargetMode="External"/><Relationship Id="rId204" Type="http://schemas.openxmlformats.org/officeDocument/2006/relationships/hyperlink" Target="http://www.contratos.gov.co/consultas/detalleProceso.do?numConstancia=16-12-5156478" TargetMode="External"/><Relationship Id="rId246" Type="http://schemas.openxmlformats.org/officeDocument/2006/relationships/hyperlink" Target="https://www.contratos.gov.co/consultas/detalleProceso.do?numConstancia=16-13-5343512" TargetMode="External"/><Relationship Id="rId288" Type="http://schemas.openxmlformats.org/officeDocument/2006/relationships/hyperlink" Target="https://www.contratos.gov.co/consultas/detalleProceso.do?numConstancia=16-13-5559064" TargetMode="External"/><Relationship Id="rId411" Type="http://schemas.openxmlformats.org/officeDocument/2006/relationships/hyperlink" Target="https://www.contratos.gov.co/consultas/detalleProceso.do?numConstancia=17-13-7211125" TargetMode="External"/><Relationship Id="rId453" Type="http://schemas.openxmlformats.org/officeDocument/2006/relationships/hyperlink" Target="https://www.contratos.gov.co/consultas/detalleProceso.do?numConstancia=18-13-8037321" TargetMode="External"/><Relationship Id="rId509" Type="http://schemas.openxmlformats.org/officeDocument/2006/relationships/hyperlink" Target="https://community.secop.gov.co/Public/Tendering/ContractNoticeManagement/Index?currentLanguage=es-CO&amp;Page=login&amp;Country=CO&amp;SkinName=CCE" TargetMode="External"/><Relationship Id="rId660" Type="http://schemas.openxmlformats.org/officeDocument/2006/relationships/hyperlink" Target="https://community.secop.gov.co/Public/Tendering/ContractNoticeManagement/Index?currentLanguage=es-CO&amp;Page=login&amp;Country=CO&amp;SkinName=CCE" TargetMode="External"/><Relationship Id="rId106" Type="http://schemas.openxmlformats.org/officeDocument/2006/relationships/hyperlink" Target="https://www.contratos.gov.co/consultas/detalleProceso.do?numConstancia=15-13-3741806" TargetMode="External"/><Relationship Id="rId313" Type="http://schemas.openxmlformats.org/officeDocument/2006/relationships/hyperlink" Target="https://www.contratos.gov.co/consultas/detalleProceso.do?numConstancia=16-13-5762249" TargetMode="External"/><Relationship Id="rId495" Type="http://schemas.openxmlformats.org/officeDocument/2006/relationships/hyperlink" Target="https://community.secop.gov.co/Public/Tendering/ContractNoticeManagement/Index?currentLanguage=es-CO&amp;Page=login&amp;Country=CO&amp;SkinName=CCE" TargetMode="External"/><Relationship Id="rId716" Type="http://schemas.openxmlformats.org/officeDocument/2006/relationships/hyperlink" Target="https://www.contratos.gov.co/consultas/detalleProceso.do?numConstancia=19-12-9546689" TargetMode="External"/><Relationship Id="rId10" Type="http://schemas.openxmlformats.org/officeDocument/2006/relationships/hyperlink" Target="https://www.contratos.gov.co/consultas/detalleProceso.do?numConstancia=14-12-2984163" TargetMode="External"/><Relationship Id="rId52" Type="http://schemas.openxmlformats.org/officeDocument/2006/relationships/hyperlink" Target="https://www.contratos.gov.co/consultas/detalleProceso.do?numConstancia=15-12-3566213" TargetMode="External"/><Relationship Id="rId94" Type="http://schemas.openxmlformats.org/officeDocument/2006/relationships/hyperlink" Target="https://www.contratos.gov.co/consultas/detalleProceso.do?numConstancia=15-13-3528749" TargetMode="External"/><Relationship Id="rId148" Type="http://schemas.openxmlformats.org/officeDocument/2006/relationships/hyperlink" Target="https://www.contratos.gov.co/consultas/detalleProceso.do?numConstancia=15-13-4026302" TargetMode="External"/><Relationship Id="rId355" Type="http://schemas.openxmlformats.org/officeDocument/2006/relationships/hyperlink" Target="https://www.contratos.gov.co/consultas/detalleProceso.do?numConstancia=17-12-6610442" TargetMode="External"/><Relationship Id="rId397" Type="http://schemas.openxmlformats.org/officeDocument/2006/relationships/hyperlink" Target="https://www.contratos.gov.co/consultas/detalleProceso.do?numConstancia=17-13-7099002" TargetMode="External"/><Relationship Id="rId520" Type="http://schemas.openxmlformats.org/officeDocument/2006/relationships/hyperlink" Target="https://community.secop.gov.co/Public/Tendering/ContractNoticeManagement/Index?currentLanguage=es-CO&amp;Page=login&amp;Country=CO&amp;SkinName=CCE" TargetMode="External"/><Relationship Id="rId562" Type="http://schemas.openxmlformats.org/officeDocument/2006/relationships/hyperlink" Target="https://community.secop.gov.co/Public/Tendering/ContractNoticeManagement/Index?currentLanguage=es-CO&amp;Page=login&amp;Country=CO&amp;SkinName=CCE" TargetMode="External"/><Relationship Id="rId618" Type="http://schemas.openxmlformats.org/officeDocument/2006/relationships/hyperlink" Target="https://www.contratos.gov.co/consultas/detalleProceso.do?numConstancia=12-13-1322262" TargetMode="External"/><Relationship Id="rId215" Type="http://schemas.openxmlformats.org/officeDocument/2006/relationships/hyperlink" Target="http://www.contratos.gov.co/consultas/detalleProceso.do?numConstancia=16-12-5234611" TargetMode="External"/><Relationship Id="rId257" Type="http://schemas.openxmlformats.org/officeDocument/2006/relationships/hyperlink" Target="https://www.contratos.gov.co/consultas/detalleProceso.do?numConstancia=14-9-384381" TargetMode="External"/><Relationship Id="rId422" Type="http://schemas.openxmlformats.org/officeDocument/2006/relationships/hyperlink" Target="https://www.contratos.gov.co/consultas/detalleProceso.do?numConstancia=17-11-7300565" TargetMode="External"/><Relationship Id="rId464" Type="http://schemas.openxmlformats.org/officeDocument/2006/relationships/hyperlink" Target="https://www.contratos.gov.co/consultas/detalleProceso.do?numConstancia=18-13-8091768" TargetMode="External"/><Relationship Id="rId299" Type="http://schemas.openxmlformats.org/officeDocument/2006/relationships/hyperlink" Target="http://colombiacompra.gov.co/tienda-virtual-del-estado-colombiano/orden-de-compra/12668" TargetMode="External"/><Relationship Id="rId63" Type="http://schemas.openxmlformats.org/officeDocument/2006/relationships/hyperlink" Target="https://www.contratos.gov.co/consultas/detalleProceso.do?numConstancia=15-12-3449941" TargetMode="External"/><Relationship Id="rId159" Type="http://schemas.openxmlformats.org/officeDocument/2006/relationships/hyperlink" Target="https://www.contratos.gov.co/consultas/detalleProceso.do?numConstancia=15-13-4122092" TargetMode="External"/><Relationship Id="rId366" Type="http://schemas.openxmlformats.org/officeDocument/2006/relationships/hyperlink" Target="https://www.contratos.gov.co/consultas/detalleProceso.do?numConstancia=17-11-6344735" TargetMode="External"/><Relationship Id="rId573" Type="http://schemas.openxmlformats.org/officeDocument/2006/relationships/hyperlink" Target="https://www.colombiacompra.gov.co/tienda-virtual-del-estado-colombiano/ordenes-compra/6210" TargetMode="External"/><Relationship Id="rId226" Type="http://schemas.openxmlformats.org/officeDocument/2006/relationships/hyperlink" Target="https://www.contratos.gov.co/consultas/detalleProceso.do?numConstancia=16-13-5109632" TargetMode="External"/><Relationship Id="rId433" Type="http://schemas.openxmlformats.org/officeDocument/2006/relationships/hyperlink" Target="https://www.contratos.gov.co/consultas/detalleProceso.do?numConstancia=18-12-7763111" TargetMode="External"/><Relationship Id="rId640" Type="http://schemas.openxmlformats.org/officeDocument/2006/relationships/hyperlink" Target="https://community.secop.gov.co/Public/Tendering/ContractNoticeManagement/Index?currentLanguage=es-CO&amp;Page=login&amp;Country=CO&amp;SkinName=CCE" TargetMode="External"/><Relationship Id="rId74" Type="http://schemas.openxmlformats.org/officeDocument/2006/relationships/hyperlink" Target="https://www.contratos.gov.co/consultas/detalleProceso.do?numConstancia=15-9-397602" TargetMode="External"/><Relationship Id="rId377" Type="http://schemas.openxmlformats.org/officeDocument/2006/relationships/hyperlink" Target="https://www.contratos.gov.co/consultas/detalleProceso.do?numConstancia=17-12-6954171" TargetMode="External"/><Relationship Id="rId500" Type="http://schemas.openxmlformats.org/officeDocument/2006/relationships/hyperlink" Target="https://community.secop.gov.co/Public/Tendering/ContractNoticeManagement/Index?currentLanguage=es-CO&amp;Page=login&amp;Country=CO&amp;SkinName=CCE" TargetMode="External"/><Relationship Id="rId584" Type="http://schemas.openxmlformats.org/officeDocument/2006/relationships/hyperlink" Target="https://www.contratos.gov.co/consultas/detalleProceso.do?numConstancia=13-12-1727402" TargetMode="External"/><Relationship Id="rId5" Type="http://schemas.openxmlformats.org/officeDocument/2006/relationships/hyperlink" Target="https://www.contratos.gov.co/consultas/detalleProceso.do?numConstancia=14-12-2934206" TargetMode="External"/><Relationship Id="rId237" Type="http://schemas.openxmlformats.org/officeDocument/2006/relationships/hyperlink" Target="https://www.contratos.gov.co/consultas/detalleProceso.do?numConstancia=16-12-5374749" TargetMode="External"/><Relationship Id="rId444" Type="http://schemas.openxmlformats.org/officeDocument/2006/relationships/hyperlink" Target="https://www.contratos.gov.co/consultas/detalleProceso.do?numConstancia=18-9-441338" TargetMode="External"/><Relationship Id="rId651" Type="http://schemas.openxmlformats.org/officeDocument/2006/relationships/hyperlink" Target="https://www.contratos.gov.co/consultas/detalleProceso.do?numConstancia=14-13-2759728" TargetMode="External"/><Relationship Id="rId290" Type="http://schemas.openxmlformats.org/officeDocument/2006/relationships/hyperlink" Target="https://www.contratos.gov.co/consultas/detalleProceso.do?numConstancia=16-9-418888" TargetMode="External"/><Relationship Id="rId304" Type="http://schemas.openxmlformats.org/officeDocument/2006/relationships/hyperlink" Target="https://www.contratos.gov.co/consultas/detalleProceso.do?numConstancia=16-13-5878552" TargetMode="External"/><Relationship Id="rId388" Type="http://schemas.openxmlformats.org/officeDocument/2006/relationships/hyperlink" Target="https://www.contratos.gov.co/consultas/detalleProceso.do?numConstancia=17-13-6963262" TargetMode="External"/><Relationship Id="rId511" Type="http://schemas.openxmlformats.org/officeDocument/2006/relationships/hyperlink" Target="https://community.secop.gov.co/Public/Tendering/ContractNoticeManagement/Index?currentLanguage=es-CO&amp;Page=login&amp;Country=CO&amp;SkinName=CCE" TargetMode="External"/><Relationship Id="rId609" Type="http://schemas.openxmlformats.org/officeDocument/2006/relationships/hyperlink" Target="https://community.secop.gov.co/Public/Tendering/ContractNoticeManagement/Index?currentLanguage=es-CO&amp;Page=login&amp;Country=CO&amp;SkinName=CCE" TargetMode="External"/><Relationship Id="rId85" Type="http://schemas.openxmlformats.org/officeDocument/2006/relationships/hyperlink" Target="https://www.contratos.gov.co/consultas/detalleProceso.do?numConstancia=15-12-3492957" TargetMode="External"/><Relationship Id="rId150" Type="http://schemas.openxmlformats.org/officeDocument/2006/relationships/hyperlink" Target="https://www.contratos.gov.co/consultas/detalleProceso.do?numConstancia=15-12-4116668" TargetMode="External"/><Relationship Id="rId595" Type="http://schemas.openxmlformats.org/officeDocument/2006/relationships/hyperlink" Target="https://www.colombiacompra.gov.co/tienda-virtual-del-estado-colombiano/ordenes-compra/33008" TargetMode="External"/><Relationship Id="rId248" Type="http://schemas.openxmlformats.org/officeDocument/2006/relationships/hyperlink" Target="https://www.contratos.gov.co/consultas/detalleProceso.do?numConstancia=16-13-5298004" TargetMode="External"/><Relationship Id="rId455" Type="http://schemas.openxmlformats.org/officeDocument/2006/relationships/hyperlink" Target="https://www.contratos.gov.co/consultas/detalleProceso.do?numConstancia=13-13-1926674" TargetMode="External"/><Relationship Id="rId662" Type="http://schemas.openxmlformats.org/officeDocument/2006/relationships/hyperlink" Target="https://www.contratos.gov.co/consultas/detalleProceso.do?numConstancia=13-1-99154" TargetMode="External"/><Relationship Id="rId12" Type="http://schemas.openxmlformats.org/officeDocument/2006/relationships/hyperlink" Target="https://www.contratos.gov.co/consultas/detalleProceso.do?numConstancia=14-12-2989058" TargetMode="External"/><Relationship Id="rId108" Type="http://schemas.openxmlformats.org/officeDocument/2006/relationships/hyperlink" Target="https://www.contratos.gov.co/consultas/detalleProceso.do?numConstancia=15-9-397496" TargetMode="External"/><Relationship Id="rId315" Type="http://schemas.openxmlformats.org/officeDocument/2006/relationships/hyperlink" Target="https://www.contratos.gov.co/consultas/detalleProceso.do?numConstancia=15-12-3924666" TargetMode="External"/><Relationship Id="rId522" Type="http://schemas.openxmlformats.org/officeDocument/2006/relationships/hyperlink" Target="https://www.contratos.gov.co/consultas/detalleProceso.do?numConstancia=18-9-446292" TargetMode="External"/><Relationship Id="rId96" Type="http://schemas.openxmlformats.org/officeDocument/2006/relationships/hyperlink" Target="https://www.contratos.gov.co/consultas/detalleProceso.do?numConstancia=15-12-3730679" TargetMode="External"/><Relationship Id="rId161" Type="http://schemas.openxmlformats.org/officeDocument/2006/relationships/hyperlink" Target="https://www.contratos.gov.co/consultas/detalleProceso.do?numConstancia=15-9-403752" TargetMode="External"/><Relationship Id="rId399" Type="http://schemas.openxmlformats.org/officeDocument/2006/relationships/hyperlink" Target="https://www.contratos.gov.co/consultas/detalleProceso.do?numConstancia=17-13-7075663" TargetMode="External"/><Relationship Id="rId259" Type="http://schemas.openxmlformats.org/officeDocument/2006/relationships/hyperlink" Target="http://www.contratos.gov.co/consultas/detalleProceso.do?numConstancia=14-12-2912471" TargetMode="External"/><Relationship Id="rId466" Type="http://schemas.openxmlformats.org/officeDocument/2006/relationships/hyperlink" Target="https://www.contratos.gov.co/consultas/detalleProceso.do?numConstancia=13-12-1727328" TargetMode="External"/><Relationship Id="rId673" Type="http://schemas.openxmlformats.org/officeDocument/2006/relationships/hyperlink" Target="https://www.contratos.gov.co/consultas/detalleProceso.do?numConstancia=13-13-1869750" TargetMode="External"/><Relationship Id="rId23" Type="http://schemas.openxmlformats.org/officeDocument/2006/relationships/hyperlink" Target="https://www.contratos.gov.co/consultas/detalleProceso.do?numConstancia=14-13-3068665" TargetMode="External"/><Relationship Id="rId119" Type="http://schemas.openxmlformats.org/officeDocument/2006/relationships/hyperlink" Target="https://www.contratos.gov.co/consultas/detalleProceso.do?numConstancia=15-13-3657684" TargetMode="External"/><Relationship Id="rId326" Type="http://schemas.openxmlformats.org/officeDocument/2006/relationships/hyperlink" Target="https://www.contratos.gov.co/consultas/detalleProceso.do?numConstancia=17-12-6425671" TargetMode="External"/><Relationship Id="rId533" Type="http://schemas.openxmlformats.org/officeDocument/2006/relationships/hyperlink" Target="https://www.contratos.gov.co/consultas/detalleProceso.do?numConstancia=13-13-1890844" TargetMode="External"/><Relationship Id="rId172" Type="http://schemas.openxmlformats.org/officeDocument/2006/relationships/hyperlink" Target="https://www.contratos.gov.co/consultas/detalleProceso.do?numConstancia=14-13-2704697" TargetMode="External"/><Relationship Id="rId477" Type="http://schemas.openxmlformats.org/officeDocument/2006/relationships/hyperlink" Target="https://www.contratos.gov.co/consultas/detalleProceso.do?numConstancia=12-13-1333245" TargetMode="External"/><Relationship Id="rId600" Type="http://schemas.openxmlformats.org/officeDocument/2006/relationships/hyperlink" Target="https://community.secop.gov.co/Public/Tendering/ContractNoticeManagement/Index?currentLanguage=es-CO&amp;Page=login&amp;Country=CO&amp;SkinName=CCE" TargetMode="External"/><Relationship Id="rId684" Type="http://schemas.openxmlformats.org/officeDocument/2006/relationships/hyperlink" Target="https://community.secop.gov.co/Public/Tendering/ContractNoticeManagement/Index?currentLanguage=es-CO&amp;Page=login&amp;Country=CO&amp;SkinName=CCE" TargetMode="External"/><Relationship Id="rId337" Type="http://schemas.openxmlformats.org/officeDocument/2006/relationships/hyperlink" Target="https://www.contratos.gov.co/consultas/detalleProceso.do?numConstancia=17-12-6547167" TargetMode="External"/><Relationship Id="rId34" Type="http://schemas.openxmlformats.org/officeDocument/2006/relationships/hyperlink" Target="https://www.contratos.gov.co/consultas/detalleProceso.do?numConstancia=14-12-2874374" TargetMode="External"/><Relationship Id="rId544" Type="http://schemas.openxmlformats.org/officeDocument/2006/relationships/hyperlink" Target="https://www.contratos.gov.co/consultas/detalleProceso.do?numConstancia=12-13-1263279" TargetMode="External"/><Relationship Id="rId183" Type="http://schemas.openxmlformats.org/officeDocument/2006/relationships/hyperlink" Target="https://www.contratos.gov.co/consultas/detalleProceso.do?numConstancia=15-12-4002121" TargetMode="External"/><Relationship Id="rId390" Type="http://schemas.openxmlformats.org/officeDocument/2006/relationships/hyperlink" Target="https://www.contratos.gov.co/consultas/detalleProceso.do?numConstancia=17-11-6848708" TargetMode="External"/><Relationship Id="rId404" Type="http://schemas.openxmlformats.org/officeDocument/2006/relationships/hyperlink" Target="https://www.contratos.gov.co/consultas/detalleProceso.do?numConstancia=17-12-7259245" TargetMode="External"/><Relationship Id="rId611" Type="http://schemas.openxmlformats.org/officeDocument/2006/relationships/hyperlink" Target="https://www.contratos.gov.co/consultas/detalleProceso.do?numConstancia=18-9-446351" TargetMode="External"/><Relationship Id="rId250" Type="http://schemas.openxmlformats.org/officeDocument/2006/relationships/hyperlink" Target="https://www.contratos.gov.co/consultas/detalleProceso.do?numConstancia=14-12-2321252" TargetMode="External"/><Relationship Id="rId488" Type="http://schemas.openxmlformats.org/officeDocument/2006/relationships/hyperlink" Target="https://www.contratos.gov.co/consultas/detalleProceso.do?numConstancia=18-12-8176151" TargetMode="External"/><Relationship Id="rId695" Type="http://schemas.openxmlformats.org/officeDocument/2006/relationships/hyperlink" Target="https://www.contratos.gov.co/consultas/detalleProceso.do?numConstancia=19-12-9388618" TargetMode="External"/><Relationship Id="rId709" Type="http://schemas.openxmlformats.org/officeDocument/2006/relationships/hyperlink" Target="https://www.contratos.gov.co/consultas/detalleProceso.do?numConstancia=19-12-9488160" TargetMode="External"/><Relationship Id="rId45" Type="http://schemas.openxmlformats.org/officeDocument/2006/relationships/hyperlink" Target="http://www.contratos.gov.co/consultas/detalleProceso.do?numConstancia=14-13-2687480" TargetMode="External"/><Relationship Id="rId110" Type="http://schemas.openxmlformats.org/officeDocument/2006/relationships/hyperlink" Target="https://www.contratos.gov.co/consultas/detalleProceso.do?numConstancia=15-13-3808819" TargetMode="External"/><Relationship Id="rId348" Type="http://schemas.openxmlformats.org/officeDocument/2006/relationships/hyperlink" Target="https://www.contratos.gov.co/consultas/detalleProceso.do?numConstancia=17-12-6560743" TargetMode="External"/><Relationship Id="rId555" Type="http://schemas.openxmlformats.org/officeDocument/2006/relationships/hyperlink" Target="https://community.secop.gov.co/Public/Tendering/ContractNoticeManagement/Index?currentLanguage=es-CO&amp;Page=login&amp;Country=CO&amp;SkinName=CCE" TargetMode="External"/><Relationship Id="rId194" Type="http://schemas.openxmlformats.org/officeDocument/2006/relationships/hyperlink" Target="https://www.contratos.gov.co/consultas/detalleProceso.do?numConstancia=16-12-5004744" TargetMode="External"/><Relationship Id="rId208" Type="http://schemas.openxmlformats.org/officeDocument/2006/relationships/hyperlink" Target="http://www.contratos.gov.co/consultas/detalleProceso.do?numConstancia=16-13-4981335" TargetMode="External"/><Relationship Id="rId415" Type="http://schemas.openxmlformats.org/officeDocument/2006/relationships/hyperlink" Target="https://www.contratos.gov.co/consultas/detalleProceso.do?numConstancia=17-13-7294289" TargetMode="External"/><Relationship Id="rId622" Type="http://schemas.openxmlformats.org/officeDocument/2006/relationships/hyperlink" Target="https://www.colombiacompra.gov.co/tienda-virtual-del-estado-colombiano/ordenes-compra/35327" TargetMode="External"/><Relationship Id="rId261" Type="http://schemas.openxmlformats.org/officeDocument/2006/relationships/hyperlink" Target="https://www.contratos.gov.co/consultas/detalleProceso.do?numConstancia=14-13-3029035" TargetMode="External"/><Relationship Id="rId499" Type="http://schemas.openxmlformats.org/officeDocument/2006/relationships/hyperlink" Target="https://community.secop.gov.co/Public/Tendering/ContractNoticeManagement/Index?currentLanguage=es-CO&amp;Page=login&amp;Country=CO&amp;SkinName=CCE" TargetMode="External"/><Relationship Id="rId56" Type="http://schemas.openxmlformats.org/officeDocument/2006/relationships/hyperlink" Target="https://www.contratos.gov.co/consultas/detalleProceso.do?numConstancia=15-12-3496928" TargetMode="External"/><Relationship Id="rId359" Type="http://schemas.openxmlformats.org/officeDocument/2006/relationships/hyperlink" Target="https://www.contratos.gov.co/consultas/detalleProceso.do?numConstancia=17-13-6560436" TargetMode="External"/><Relationship Id="rId566" Type="http://schemas.openxmlformats.org/officeDocument/2006/relationships/hyperlink" Target="https://community.secop.gov.co/Public/Tendering/ContractNoticeManagement/Index?currentLanguage=es-CO&amp;Page=login&amp;Country=CO&amp;SkinName=CCE" TargetMode="External"/><Relationship Id="rId121" Type="http://schemas.openxmlformats.org/officeDocument/2006/relationships/hyperlink" Target="https://www.contratos.gov.co/consultas/detalleProceso.do?numConstancia=15-13-3703933" TargetMode="External"/><Relationship Id="rId219" Type="http://schemas.openxmlformats.org/officeDocument/2006/relationships/hyperlink" Target="http://www.contratos.gov.co/consultas/detalleProceso.do?numConstancia=16-12-5251040" TargetMode="External"/><Relationship Id="rId426" Type="http://schemas.openxmlformats.org/officeDocument/2006/relationships/hyperlink" Target="https://www.contratos.gov.co/consultas/detalleProceso.do?numConstancia=17-9-437686" TargetMode="External"/><Relationship Id="rId633" Type="http://schemas.openxmlformats.org/officeDocument/2006/relationships/hyperlink" Target="https://community.secop.gov.co/Public/Tendering/ContractNoticeManagement/Index?currentLanguage=es-CO&amp;Page=login&amp;Country=CO&amp;SkinName=CCE" TargetMode="External"/><Relationship Id="rId67" Type="http://schemas.openxmlformats.org/officeDocument/2006/relationships/hyperlink" Target="https://www.contratos.gov.co/consultas/detalleProceso.do?numConstancia=15-13-3559466" TargetMode="External"/><Relationship Id="rId272" Type="http://schemas.openxmlformats.org/officeDocument/2006/relationships/hyperlink" Target="https://www.contratos.gov.co/consultas/detalleProceso.do?numConstancia=16-1-160915" TargetMode="External"/><Relationship Id="rId577" Type="http://schemas.openxmlformats.org/officeDocument/2006/relationships/hyperlink" Target="https://community.secop.gov.co/Public/Tendering/ContractNoticeManagement/Index?currentLanguage=es-CO&amp;Page=login&amp;Country=CO&amp;SkinName=CCE" TargetMode="External"/><Relationship Id="rId700" Type="http://schemas.openxmlformats.org/officeDocument/2006/relationships/hyperlink" Target="https://www.contratos.gov.co/consultas/detalleProceso.do?numConstancia=13-12-2113026" TargetMode="External"/><Relationship Id="rId132" Type="http://schemas.openxmlformats.org/officeDocument/2006/relationships/hyperlink" Target="http://www.contratos.gov.co/consultas/detalleProceso.do?numConstancia=15-12-3986516" TargetMode="External"/><Relationship Id="rId437" Type="http://schemas.openxmlformats.org/officeDocument/2006/relationships/hyperlink" Target="https://www.contratos.gov.co/consultas/detalleProceso.do?numConstancia=18-12-7748089" TargetMode="External"/><Relationship Id="rId644" Type="http://schemas.openxmlformats.org/officeDocument/2006/relationships/hyperlink" Target="https://community.secop.gov.co/Public/Tendering/ContractNoticeManagement/Index?currentLanguage=es-CO&amp;Page=login&amp;Country=CO&amp;SkinName=CCE" TargetMode="External"/><Relationship Id="rId283" Type="http://schemas.openxmlformats.org/officeDocument/2006/relationships/hyperlink" Target="https://www.contratos.gov.co/consultas/detalleProceso.do?numConstancia=16-12-5642512" TargetMode="External"/><Relationship Id="rId490" Type="http://schemas.openxmlformats.org/officeDocument/2006/relationships/hyperlink" Target="https://community.secop.gov.co/Public/Tendering/ContractNoticeManagement/Index?currentLanguage=es-CO&amp;Page=login&amp;Country=CO&amp;SkinName=CCE" TargetMode="External"/><Relationship Id="rId504" Type="http://schemas.openxmlformats.org/officeDocument/2006/relationships/hyperlink" Target="https://community.secop.gov.co/Public/Tendering/ContractNoticeManagement/Index?currentLanguage=es-CO&amp;Page=login&amp;Country=CO&amp;SkinName=CCE" TargetMode="External"/><Relationship Id="rId711" Type="http://schemas.openxmlformats.org/officeDocument/2006/relationships/hyperlink" Target="https://www.contratos.gov.co/consultas/detalleProceso.do?numConstancia=19-12-9483618" TargetMode="External"/><Relationship Id="rId78" Type="http://schemas.openxmlformats.org/officeDocument/2006/relationships/hyperlink" Target="https://www.contratos.gov.co/consultas/detalleProceso.do?numConstancia=13-9-374682" TargetMode="External"/><Relationship Id="rId143" Type="http://schemas.openxmlformats.org/officeDocument/2006/relationships/hyperlink" Target="https://www.contratos.gov.co/consultas/detalleProceso.do?numConstancia=15-13-3944207" TargetMode="External"/><Relationship Id="rId350" Type="http://schemas.openxmlformats.org/officeDocument/2006/relationships/hyperlink" Target="https://www.contratos.gov.co/consultas/detalleProceso.do?numConstancia=17-11-6306065" TargetMode="External"/><Relationship Id="rId588" Type="http://schemas.openxmlformats.org/officeDocument/2006/relationships/hyperlink" Target="https://www.contratos.gov.co/consultas/detalleProceso.do?numConstancia=12-13-1109345" TargetMode="External"/><Relationship Id="rId9" Type="http://schemas.openxmlformats.org/officeDocument/2006/relationships/hyperlink" Target="https://www.contratos.gov.co/consultas/detalleProceso.do?numConstancia=14-9-387988" TargetMode="External"/><Relationship Id="rId210" Type="http://schemas.openxmlformats.org/officeDocument/2006/relationships/hyperlink" Target="http://www.contratos.gov.co/consultas/detalleProceso.do?numConstancia=16-13-5091709" TargetMode="External"/><Relationship Id="rId448" Type="http://schemas.openxmlformats.org/officeDocument/2006/relationships/hyperlink" Target="https://www.contratos.gov.co/consultas/detalleProceso.do?numConstancia=18-13-8039247" TargetMode="External"/><Relationship Id="rId655" Type="http://schemas.openxmlformats.org/officeDocument/2006/relationships/hyperlink" Target="https://www.contratos.gov.co/consultas/detalleProceso.do?numConstancia=13-13-2156159" TargetMode="External"/><Relationship Id="rId294" Type="http://schemas.openxmlformats.org/officeDocument/2006/relationships/hyperlink" Target="http://colombiacompra.gov.co/tienda-virtual-del-estado-colombiano/orden-de-compra/12051" TargetMode="External"/><Relationship Id="rId308" Type="http://schemas.openxmlformats.org/officeDocument/2006/relationships/hyperlink" Target="https://www.contratos.gov.co/consultas/detalleProceso.do?numConstancia=16-9-423133" TargetMode="External"/><Relationship Id="rId515" Type="http://schemas.openxmlformats.org/officeDocument/2006/relationships/hyperlink" Target="https://community.secop.gov.co/Public/Tendering/ContractNoticeManagement/Index?currentLanguage=es-CO&amp;Page=login&amp;Country=CO&amp;SkinName=CCE" TargetMode="External"/><Relationship Id="rId722" Type="http://schemas.openxmlformats.org/officeDocument/2006/relationships/printerSettings" Target="../printerSettings/printerSettings4.bin"/><Relationship Id="rId89" Type="http://schemas.openxmlformats.org/officeDocument/2006/relationships/hyperlink" Target="https://www.contratos.gov.co/consultas/detalleProceso.do?numConstancia=15-12-3553182" TargetMode="External"/><Relationship Id="rId154" Type="http://schemas.openxmlformats.org/officeDocument/2006/relationships/hyperlink" Target="https://www.contratos.gov.co/consultas/detalleProceso.do?numConstancia=15-12-4151693" TargetMode="External"/><Relationship Id="rId361" Type="http://schemas.openxmlformats.org/officeDocument/2006/relationships/hyperlink" Target="https://www.contratos.gov.co/consultas/detalleProceso.do?numConstancia=17-17-6397659" TargetMode="External"/><Relationship Id="rId599" Type="http://schemas.openxmlformats.org/officeDocument/2006/relationships/hyperlink" Target="https://community.secop.gov.co/Public/Tendering/ContractNoticeManagement/Index?currentLanguage=es-CO&amp;Page=login&amp;Country=CO&amp;SkinName=CCE" TargetMode="External"/><Relationship Id="rId459" Type="http://schemas.openxmlformats.org/officeDocument/2006/relationships/hyperlink" Target="https://www.contratos.gov.co/consultas/detalleProceso.do?numConstancia=18-1-189395" TargetMode="External"/><Relationship Id="rId666" Type="http://schemas.openxmlformats.org/officeDocument/2006/relationships/hyperlink" Target="https://www.contratos.gov.co/consultas/detalleProceso.do?numConstancia=13-13-2189669" TargetMode="External"/><Relationship Id="rId16" Type="http://schemas.openxmlformats.org/officeDocument/2006/relationships/hyperlink" Target="https://www.contratos.gov.co/consultas/detalleProceso.do?numConstancia=14-13-3029035" TargetMode="External"/><Relationship Id="rId221" Type="http://schemas.openxmlformats.org/officeDocument/2006/relationships/hyperlink" Target="http://www.contratos.gov.co/consultas/detalleProceso.do?numConstancia=16-12-5255779" TargetMode="External"/><Relationship Id="rId319" Type="http://schemas.openxmlformats.org/officeDocument/2006/relationships/hyperlink" Target="https://www.contratos.gov.co/consultas/detalleProceso.do?numConstancia=17-12-6194195" TargetMode="External"/><Relationship Id="rId526" Type="http://schemas.openxmlformats.org/officeDocument/2006/relationships/hyperlink" Target="https://community.secop.gov.co/Public/Tendering/ContractNoticeManagement/Index?currentLanguage=es-CO&amp;Page=login&amp;Country=CO&amp;SkinName=CCE" TargetMode="External"/><Relationship Id="rId165" Type="http://schemas.openxmlformats.org/officeDocument/2006/relationships/hyperlink" Target="https://www.contratos.gov.co/consultas/detalleProceso.do?numConstancia=15-12-4292776" TargetMode="External"/><Relationship Id="rId372" Type="http://schemas.openxmlformats.org/officeDocument/2006/relationships/hyperlink" Target="https://www.contratos.gov.co/consultas/detalleProceso.do?numConstancia=17-12-6824719" TargetMode="External"/><Relationship Id="rId677" Type="http://schemas.openxmlformats.org/officeDocument/2006/relationships/hyperlink" Target="https://www.contratos.gov.co/consultas/detalleProceso.do?numConstancia=19-12-9215591" TargetMode="External"/><Relationship Id="rId232" Type="http://schemas.openxmlformats.org/officeDocument/2006/relationships/hyperlink" Target="https://www.contratos.gov.co/consultas/detalleProceso.do?numConstancia=16-17-5093557" TargetMode="External"/><Relationship Id="rId27" Type="http://schemas.openxmlformats.org/officeDocument/2006/relationships/hyperlink" Target="https://www.contratos.gov.co/consultas/detalleProceso.do?numConstancia=14-11-3072875" TargetMode="External"/><Relationship Id="rId537" Type="http://schemas.openxmlformats.org/officeDocument/2006/relationships/hyperlink" Target="https://www.contratos.gov.co/consultas/detalleProceso.do?numConstancia=14-12-3024698" TargetMode="External"/><Relationship Id="rId80" Type="http://schemas.openxmlformats.org/officeDocument/2006/relationships/hyperlink" Target="https://www.contratos.gov.co/consultas/detalleProceso.do?numConstancia=15-12-3356280" TargetMode="External"/><Relationship Id="rId176" Type="http://schemas.openxmlformats.org/officeDocument/2006/relationships/hyperlink" Target="https://www.contratos.gov.co/consultas/detalleProceso.do?numConstancia=15-13-4430437" TargetMode="External"/><Relationship Id="rId383" Type="http://schemas.openxmlformats.org/officeDocument/2006/relationships/hyperlink" Target="https://www.contratos.gov.co/consultas/detalleProceso.do?numConstancia=17-1-175110" TargetMode="External"/><Relationship Id="rId590" Type="http://schemas.openxmlformats.org/officeDocument/2006/relationships/hyperlink" Target="https://community.secop.gov.co/Public/Tendering/ContractNoticeManagement/Index?currentLanguage=es-CO&amp;Page=login&amp;Country=CO&amp;SkinName=CCE" TargetMode="External"/><Relationship Id="rId604" Type="http://schemas.openxmlformats.org/officeDocument/2006/relationships/hyperlink" Target="https://www.colombiacompra.gov.co/tienda-virtual-del-estado-colombiano/ordenes-compra/34344" TargetMode="External"/><Relationship Id="rId243" Type="http://schemas.openxmlformats.org/officeDocument/2006/relationships/hyperlink" Target="https://www.contratos.gov.co/consultas/detalleProceso.do?numConstancia=16-13-5318755" TargetMode="External"/><Relationship Id="rId450" Type="http://schemas.openxmlformats.org/officeDocument/2006/relationships/hyperlink" Target="https://www.contratos.gov.co/consultas/detalleProceso.do?numConstancia=18-13-8034786" TargetMode="External"/><Relationship Id="rId688" Type="http://schemas.openxmlformats.org/officeDocument/2006/relationships/hyperlink" Target="https://www.contratos.gov.co/consultas/detalleProceso.do?numConstancia=19-12-9346416" TargetMode="External"/><Relationship Id="rId38" Type="http://schemas.openxmlformats.org/officeDocument/2006/relationships/hyperlink" Target="http://www.contratos.gov.co/consultas/detalleProceso.do?numConstancia=14-12-2772933" TargetMode="External"/><Relationship Id="rId103" Type="http://schemas.openxmlformats.org/officeDocument/2006/relationships/hyperlink" Target="https://www.contratos.gov.co/consultas/detalleProceso.do?numConstancia=15-13-3630125" TargetMode="External"/><Relationship Id="rId310" Type="http://schemas.openxmlformats.org/officeDocument/2006/relationships/hyperlink" Target="https://www.contratos.gov.co/consultas/detalleProceso.do?numConstancia=16-13-5933729" TargetMode="External"/><Relationship Id="rId548" Type="http://schemas.openxmlformats.org/officeDocument/2006/relationships/hyperlink" Target="https://www.contratos.gov.co/consultas/detalleProceso.do?numConstancia=15-12-3628052" TargetMode="External"/><Relationship Id="rId91" Type="http://schemas.openxmlformats.org/officeDocument/2006/relationships/hyperlink" Target="https://www.contratos.gov.co/consultas/detalleProceso.do?numConstancia=15-12-3553134" TargetMode="External"/><Relationship Id="rId187" Type="http://schemas.openxmlformats.org/officeDocument/2006/relationships/hyperlink" Target="https://www.contratos.gov.co/consultas/detalleProceso.do?numConstancia=14-13-2531321" TargetMode="External"/><Relationship Id="rId394" Type="http://schemas.openxmlformats.org/officeDocument/2006/relationships/hyperlink" Target="https://www.contratos.gov.co/consultas/detalleProceso.do?numConstancia=17-12-7053696" TargetMode="External"/><Relationship Id="rId408" Type="http://schemas.openxmlformats.org/officeDocument/2006/relationships/hyperlink" Target="https://www.contratos.gov.co/consultas/detalleProceso.do?numConstancia=17-12-7281404" TargetMode="External"/><Relationship Id="rId615" Type="http://schemas.openxmlformats.org/officeDocument/2006/relationships/hyperlink" Target="https://www.contratos.gov.co/consultas/detalleProceso.do?numConstancia=15-12-3272948" TargetMode="External"/><Relationship Id="rId254" Type="http://schemas.openxmlformats.org/officeDocument/2006/relationships/hyperlink" Target="https://www.contratos.gov.co/consultas/detalleProceso.do?numConstancia=14-9-381045" TargetMode="External"/><Relationship Id="rId699" Type="http://schemas.openxmlformats.org/officeDocument/2006/relationships/hyperlink" Target="https://www.contratos.gov.co/consultas/detalleProceso.do?numConstancia=12-1-81331" TargetMode="External"/><Relationship Id="rId49" Type="http://schemas.openxmlformats.org/officeDocument/2006/relationships/hyperlink" Target="https://www.contratos.gov.co/consultas/detalleProceso.do?numConstancia=14-13-2531321" TargetMode="External"/><Relationship Id="rId114" Type="http://schemas.openxmlformats.org/officeDocument/2006/relationships/hyperlink" Target="https://www.contratos.gov.co/consultas/detalleProceso.do?numConstancia=15-12-3804640" TargetMode="External"/><Relationship Id="rId461" Type="http://schemas.openxmlformats.org/officeDocument/2006/relationships/hyperlink" Target="https://www.contratos.gov.co/consultas/detalleProceso.do?numConstancia=14-13-2687480" TargetMode="External"/><Relationship Id="rId559" Type="http://schemas.openxmlformats.org/officeDocument/2006/relationships/hyperlink" Target="https://community.secop.gov.co/Public/Tendering/ContractNoticeManagement/Index?currentLanguage=es-CO&amp;Page=login&amp;Country=CO&amp;SkinName=CCE" TargetMode="External"/><Relationship Id="rId198" Type="http://schemas.openxmlformats.org/officeDocument/2006/relationships/hyperlink" Target="https://www.contratos.gov.co/consultas/detalleProceso.do?numConstancia=16-12-5068475" TargetMode="External"/><Relationship Id="rId321" Type="http://schemas.openxmlformats.org/officeDocument/2006/relationships/hyperlink" Target="https://www.contratos.gov.co/consultas/detalleProceso.do?numConstancia=17-12-6342174" TargetMode="External"/><Relationship Id="rId419" Type="http://schemas.openxmlformats.org/officeDocument/2006/relationships/hyperlink" Target="https://www.contratos.gov.co/consultas/detalleProceso.do?numConstancia=17-11-7188445" TargetMode="External"/><Relationship Id="rId626" Type="http://schemas.openxmlformats.org/officeDocument/2006/relationships/hyperlink" Target="https://www.contratos.gov.co/consultas/detalleProceso.do?numConstancia=13-11-2002240" TargetMode="External"/><Relationship Id="rId265" Type="http://schemas.openxmlformats.org/officeDocument/2006/relationships/hyperlink" Target="https://www.contratos.gov.co/consultas/detalleProceso.do?numConstancia=16-12-5551350" TargetMode="External"/><Relationship Id="rId472" Type="http://schemas.openxmlformats.org/officeDocument/2006/relationships/hyperlink" Target="https://www.contratos.gov.co/consultas/detalleProceso.do?numConstancia=13-11-1494840" TargetMode="External"/><Relationship Id="rId125" Type="http://schemas.openxmlformats.org/officeDocument/2006/relationships/hyperlink" Target="http://www.contratos.gov.co/consultas/detalleProceso.do?numConstancia=15-13-3838289" TargetMode="External"/><Relationship Id="rId332" Type="http://schemas.openxmlformats.org/officeDocument/2006/relationships/hyperlink" Target="https://www.contratos.gov.co/consultas/detalleProceso.do?numConstancia=17-12-6510800" TargetMode="External"/><Relationship Id="rId637" Type="http://schemas.openxmlformats.org/officeDocument/2006/relationships/hyperlink" Target="https://community.secop.gov.co/Public/Tendering/ContractNoticeManagement/Index?currentLanguage=es-CO&amp;Page=login&amp;Country=CO&amp;SkinName=CCE" TargetMode="External"/><Relationship Id="rId276" Type="http://schemas.openxmlformats.org/officeDocument/2006/relationships/hyperlink" Target="https://www.contratos.gov.co/consultas/detalleProceso.do?numConstancia=14-13-2414130" TargetMode="External"/><Relationship Id="rId483" Type="http://schemas.openxmlformats.org/officeDocument/2006/relationships/hyperlink" Target="https://www.contratos.gov.co/consultas/detalleProceso.do?numConstancia=18-12-8176085" TargetMode="External"/><Relationship Id="rId690" Type="http://schemas.openxmlformats.org/officeDocument/2006/relationships/hyperlink" Target="https://www.contratos.gov.co/consultas/detalleProceso.do?numConstancia=19-12-9348696" TargetMode="External"/><Relationship Id="rId704" Type="http://schemas.openxmlformats.org/officeDocument/2006/relationships/hyperlink" Target="https://www.contratos.gov.co/consultas/detalleProceso.do?numConstancia=13-13-1701017" TargetMode="External"/><Relationship Id="rId40" Type="http://schemas.openxmlformats.org/officeDocument/2006/relationships/hyperlink" Target="https://www.contratos.gov.co/consultas/detalleProceso.do?numConstancia=14-13-2686379" TargetMode="External"/><Relationship Id="rId136" Type="http://schemas.openxmlformats.org/officeDocument/2006/relationships/hyperlink" Target="http://www.contratos.gov.co/consultas/detalleProceso.do?numConstancia=15-12-4009157" TargetMode="External"/><Relationship Id="rId343" Type="http://schemas.openxmlformats.org/officeDocument/2006/relationships/hyperlink" Target="https://www.colombiacompra.gov.co/tienda-virtual-del-estado-colombiano/orden-de-compra/14670" TargetMode="External"/><Relationship Id="rId550" Type="http://schemas.openxmlformats.org/officeDocument/2006/relationships/hyperlink" Target="https://www.contratos.gov.co/consultas/detalleProceso.do?numConstancia=14-12-2772933" TargetMode="External"/><Relationship Id="rId203" Type="http://schemas.openxmlformats.org/officeDocument/2006/relationships/hyperlink" Target="http://www.contratos.gov.co/consultas/detalleProceso.do?numConstancia=16-12-4907869" TargetMode="External"/><Relationship Id="rId648" Type="http://schemas.openxmlformats.org/officeDocument/2006/relationships/hyperlink" Target="https://www.colombiacompra.gov.co/tienda-virtual-del-estado-colombiano/ordenes-compra/35606"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omments" Target="../comments2.xml"/></Relationships>
</file>

<file path=xl/worksheets/_rels/sheet9.xml.rels><?xml version="1.0" encoding="UTF-8" standalone="yes"?>
<Relationships xmlns="http://schemas.openxmlformats.org/package/2006/relationships"><Relationship Id="rId3" Type="http://schemas.openxmlformats.org/officeDocument/2006/relationships/pivotTable" Target="../pivotTables/pivotTable6.xml"/><Relationship Id="rId2" Type="http://schemas.openxmlformats.org/officeDocument/2006/relationships/pivotTable" Target="../pivotTables/pivotTable5.xml"/><Relationship Id="rId1" Type="http://schemas.openxmlformats.org/officeDocument/2006/relationships/pivotTable" Target="../pivotTables/pivotTable4.xml"/><Relationship Id="rId6" Type="http://schemas.openxmlformats.org/officeDocument/2006/relationships/drawing" Target="../drawings/drawing8.xml"/><Relationship Id="rId5" Type="http://schemas.openxmlformats.org/officeDocument/2006/relationships/printerSettings" Target="../printerSettings/printerSettings8.bin"/><Relationship Id="rId4" Type="http://schemas.openxmlformats.org/officeDocument/2006/relationships/pivotTable" Target="../pivotTables/pivotTable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W48"/>
  <sheetViews>
    <sheetView topLeftCell="C1" zoomScale="80" zoomScaleNormal="80" workbookViewId="0">
      <selection activeCell="S8" sqref="S8"/>
    </sheetView>
  </sheetViews>
  <sheetFormatPr baseColWidth="10" defaultColWidth="0" defaultRowHeight="15" zeroHeight="1" x14ac:dyDescent="0.25"/>
  <cols>
    <col min="1" max="1" width="3" customWidth="1"/>
    <col min="2" max="2" width="1.28515625" customWidth="1"/>
    <col min="3" max="3" width="13.5703125" customWidth="1"/>
    <col min="4" max="4" width="13" customWidth="1"/>
    <col min="5" max="5" width="1.5703125" customWidth="1"/>
    <col min="6" max="6" width="1.7109375" customWidth="1"/>
    <col min="7" max="7" width="10" customWidth="1"/>
    <col min="8" max="8" width="9.85546875" customWidth="1"/>
    <col min="9" max="10" width="10.140625" customWidth="1"/>
    <col min="11" max="11" width="10.28515625" customWidth="1"/>
    <col min="12" max="12" width="10.5703125" customWidth="1"/>
    <col min="13" max="13" width="10.28515625" customWidth="1"/>
    <col min="14" max="14" width="10" customWidth="1"/>
    <col min="15" max="16" width="1.42578125" customWidth="1"/>
    <col min="17" max="17" width="1.7109375" customWidth="1"/>
    <col min="18" max="18" width="17.28515625" customWidth="1"/>
    <col min="19" max="19" width="11.42578125" customWidth="1"/>
    <col min="20" max="20" width="1.42578125" customWidth="1"/>
    <col min="21" max="21" width="1.5703125" customWidth="1"/>
    <col min="22" max="22" width="3" customWidth="1"/>
    <col min="23" max="23" width="0" style="21" hidden="1" customWidth="1"/>
    <col min="24" max="16384" width="11.42578125" hidden="1"/>
  </cols>
  <sheetData>
    <row r="1" spans="1:22" customFormat="1" x14ac:dyDescent="0.25">
      <c r="A1" s="195"/>
      <c r="B1" s="195"/>
      <c r="C1" s="195"/>
      <c r="D1" s="195"/>
      <c r="E1" s="195"/>
      <c r="F1" s="195"/>
      <c r="G1" s="195"/>
      <c r="H1" s="195"/>
      <c r="I1" s="195"/>
      <c r="J1" s="195"/>
      <c r="K1" s="195"/>
      <c r="L1" s="195"/>
      <c r="M1" s="195"/>
      <c r="N1" s="195"/>
      <c r="O1" s="195"/>
      <c r="P1" s="195"/>
      <c r="Q1" s="195"/>
      <c r="R1" s="195"/>
      <c r="S1" s="195"/>
      <c r="T1" s="195"/>
      <c r="U1" s="195"/>
      <c r="V1" s="195"/>
    </row>
    <row r="2" spans="1:22" customFormat="1" ht="6.75" customHeight="1" x14ac:dyDescent="0.25">
      <c r="A2" s="195"/>
      <c r="B2" s="196"/>
      <c r="C2" s="196"/>
      <c r="D2" s="196"/>
      <c r="E2" s="196"/>
      <c r="F2" s="196"/>
      <c r="G2" s="196"/>
      <c r="H2" s="196"/>
      <c r="I2" s="196"/>
      <c r="J2" s="196"/>
      <c r="K2" s="196"/>
      <c r="L2" s="196"/>
      <c r="M2" s="196"/>
      <c r="N2" s="196"/>
      <c r="O2" s="196"/>
      <c r="P2" s="196"/>
      <c r="Q2" s="196"/>
      <c r="R2" s="196"/>
      <c r="S2" s="196"/>
      <c r="T2" s="196"/>
      <c r="U2" s="196"/>
      <c r="V2" s="195"/>
    </row>
    <row r="3" spans="1:22" customFormat="1" ht="15.75" thickBot="1" x14ac:dyDescent="0.3">
      <c r="A3" s="195"/>
      <c r="B3" s="196"/>
      <c r="C3" s="195"/>
      <c r="D3" s="195"/>
      <c r="E3" s="196"/>
      <c r="F3" s="195"/>
      <c r="G3" s="195"/>
      <c r="H3" s="195"/>
      <c r="I3" s="195"/>
      <c r="J3" s="195"/>
      <c r="K3" s="195"/>
      <c r="L3" s="195"/>
      <c r="M3" s="195"/>
      <c r="N3" s="195"/>
      <c r="O3" s="195"/>
      <c r="P3" s="196"/>
      <c r="Q3" s="195"/>
      <c r="R3" s="195"/>
      <c r="S3" s="195"/>
      <c r="T3" s="195"/>
      <c r="U3" s="196"/>
      <c r="V3" s="195"/>
    </row>
    <row r="4" spans="1:22" customFormat="1" ht="9" customHeight="1" thickTop="1" thickBot="1" x14ac:dyDescent="0.3">
      <c r="A4" s="195"/>
      <c r="B4" s="196"/>
      <c r="C4" s="195"/>
      <c r="D4" s="195"/>
      <c r="E4" s="196"/>
      <c r="F4" s="197"/>
      <c r="G4" s="1095" t="s">
        <v>411</v>
      </c>
      <c r="H4" s="1096"/>
      <c r="I4" s="1096"/>
      <c r="J4" s="1096"/>
      <c r="K4" s="1096"/>
      <c r="L4" s="1096"/>
      <c r="M4" s="1096"/>
      <c r="N4" s="1097"/>
      <c r="O4" s="195"/>
      <c r="P4" s="196"/>
      <c r="Q4" s="195"/>
      <c r="R4" s="198"/>
      <c r="S4" s="198"/>
      <c r="T4" s="195"/>
      <c r="U4" s="196"/>
      <c r="V4" s="195"/>
    </row>
    <row r="5" spans="1:22" customFormat="1" ht="16.5" thickTop="1" thickBot="1" x14ac:dyDescent="0.3">
      <c r="A5" s="195"/>
      <c r="B5" s="196"/>
      <c r="C5" s="195"/>
      <c r="D5" s="195"/>
      <c r="E5" s="196"/>
      <c r="F5" s="197"/>
      <c r="G5" s="1098"/>
      <c r="H5" s="1099"/>
      <c r="I5" s="1099"/>
      <c r="J5" s="1099"/>
      <c r="K5" s="1099"/>
      <c r="L5" s="1099"/>
      <c r="M5" s="1099"/>
      <c r="N5" s="1100"/>
      <c r="O5" s="195"/>
      <c r="P5" s="196"/>
      <c r="Q5" s="197"/>
      <c r="R5" s="199" t="s">
        <v>407</v>
      </c>
      <c r="S5" s="200">
        <f ca="1">TODAY()</f>
        <v>43643</v>
      </c>
      <c r="T5" s="195"/>
      <c r="U5" s="196"/>
      <c r="V5" s="195"/>
    </row>
    <row r="6" spans="1:22" customFormat="1" ht="15.75" thickTop="1" x14ac:dyDescent="0.25">
      <c r="A6" s="195"/>
      <c r="B6" s="196"/>
      <c r="C6" s="195"/>
      <c r="D6" s="195"/>
      <c r="E6" s="196"/>
      <c r="F6" s="197"/>
      <c r="G6" s="1098"/>
      <c r="H6" s="1099"/>
      <c r="I6" s="1099"/>
      <c r="J6" s="1099"/>
      <c r="K6" s="1099"/>
      <c r="L6" s="1099"/>
      <c r="M6" s="1099"/>
      <c r="N6" s="1100"/>
      <c r="O6" s="195"/>
      <c r="P6" s="196"/>
      <c r="Q6" s="197"/>
      <c r="R6" s="1090" t="s">
        <v>408</v>
      </c>
      <c r="S6" s="1092">
        <v>43637</v>
      </c>
      <c r="T6" s="195"/>
      <c r="U6" s="196"/>
      <c r="V6" s="195"/>
    </row>
    <row r="7" spans="1:22" customFormat="1" ht="15.75" thickBot="1" x14ac:dyDescent="0.3">
      <c r="A7" s="195"/>
      <c r="B7" s="196"/>
      <c r="C7" s="195"/>
      <c r="D7" s="195"/>
      <c r="E7" s="196"/>
      <c r="F7" s="197"/>
      <c r="G7" s="1098" t="s">
        <v>412</v>
      </c>
      <c r="H7" s="1099"/>
      <c r="I7" s="1099"/>
      <c r="J7" s="1099"/>
      <c r="K7" s="1099"/>
      <c r="L7" s="1099"/>
      <c r="M7" s="1099"/>
      <c r="N7" s="1100"/>
      <c r="O7" s="195"/>
      <c r="P7" s="196"/>
      <c r="Q7" s="197"/>
      <c r="R7" s="1091"/>
      <c r="S7" s="1093"/>
      <c r="T7" s="195"/>
      <c r="U7" s="196"/>
      <c r="V7" s="195"/>
    </row>
    <row r="8" spans="1:22" customFormat="1" ht="16.5" thickTop="1" thickBot="1" x14ac:dyDescent="0.3">
      <c r="A8" s="195"/>
      <c r="B8" s="196"/>
      <c r="C8" s="195"/>
      <c r="D8" s="195"/>
      <c r="E8" s="196"/>
      <c r="F8" s="197"/>
      <c r="G8" s="1098"/>
      <c r="H8" s="1099"/>
      <c r="I8" s="1099"/>
      <c r="J8" s="1099"/>
      <c r="K8" s="1099"/>
      <c r="L8" s="1099"/>
      <c r="M8" s="1099"/>
      <c r="N8" s="1100"/>
      <c r="O8" s="195"/>
      <c r="P8" s="196"/>
      <c r="Q8" s="197"/>
      <c r="R8" s="199" t="s">
        <v>409</v>
      </c>
      <c r="S8" s="201">
        <f ca="1">S5-S6</f>
        <v>6</v>
      </c>
      <c r="T8" s="195"/>
      <c r="U8" s="196"/>
      <c r="V8" s="195"/>
    </row>
    <row r="9" spans="1:22" customFormat="1" ht="8.25" customHeight="1" thickTop="1" x14ac:dyDescent="0.25">
      <c r="A9" s="195"/>
      <c r="B9" s="196"/>
      <c r="C9" s="195"/>
      <c r="D9" s="195"/>
      <c r="E9" s="196"/>
      <c r="F9" s="197"/>
      <c r="G9" s="1098"/>
      <c r="H9" s="1099"/>
      <c r="I9" s="1099"/>
      <c r="J9" s="1099"/>
      <c r="K9" s="1099"/>
      <c r="L9" s="1099"/>
      <c r="M9" s="1099"/>
      <c r="N9" s="1100"/>
      <c r="O9" s="195"/>
      <c r="P9" s="196"/>
      <c r="Q9" s="195"/>
      <c r="R9" s="195"/>
      <c r="S9" s="195"/>
      <c r="T9" s="195"/>
      <c r="U9" s="196"/>
      <c r="V9" s="195"/>
    </row>
    <row r="10" spans="1:22" customFormat="1" ht="6.75" customHeight="1" thickBot="1" x14ac:dyDescent="0.3">
      <c r="A10" s="195"/>
      <c r="B10" s="196"/>
      <c r="C10" s="196"/>
      <c r="D10" s="196"/>
      <c r="E10" s="196"/>
      <c r="F10" s="197"/>
      <c r="G10" s="1101"/>
      <c r="H10" s="1102"/>
      <c r="I10" s="1102"/>
      <c r="J10" s="1102"/>
      <c r="K10" s="1102"/>
      <c r="L10" s="1102"/>
      <c r="M10" s="1102"/>
      <c r="N10" s="1103"/>
      <c r="O10" s="195"/>
      <c r="P10" s="196"/>
      <c r="Q10" s="195"/>
      <c r="R10" s="195"/>
      <c r="S10" s="195"/>
      <c r="T10" s="195"/>
      <c r="U10" s="196"/>
      <c r="V10" s="195"/>
    </row>
    <row r="11" spans="1:22" customFormat="1" ht="16.5" thickTop="1" x14ac:dyDescent="0.25">
      <c r="A11" s="195"/>
      <c r="B11" s="196"/>
      <c r="C11" s="1089" t="s">
        <v>406</v>
      </c>
      <c r="D11" s="1089"/>
      <c r="E11" s="196"/>
      <c r="F11" s="195"/>
      <c r="G11" s="195"/>
      <c r="H11" s="195"/>
      <c r="I11" s="195"/>
      <c r="J11" s="195"/>
      <c r="K11" s="195"/>
      <c r="L11" s="195"/>
      <c r="M11" s="195"/>
      <c r="N11" s="195"/>
      <c r="O11" s="195"/>
      <c r="P11" s="196"/>
      <c r="Q11" s="195"/>
      <c r="R11" s="195"/>
      <c r="S11" s="195"/>
      <c r="T11" s="195"/>
      <c r="U11" s="196"/>
      <c r="V11" s="195"/>
    </row>
    <row r="12" spans="1:22" customFormat="1" ht="6.75" customHeight="1" x14ac:dyDescent="0.25">
      <c r="A12" s="195"/>
      <c r="B12" s="196"/>
      <c r="C12" s="196"/>
      <c r="D12" s="196"/>
      <c r="E12" s="196"/>
      <c r="F12" s="196"/>
      <c r="G12" s="196"/>
      <c r="H12" s="196"/>
      <c r="I12" s="196"/>
      <c r="J12" s="196"/>
      <c r="K12" s="196"/>
      <c r="L12" s="196"/>
      <c r="M12" s="196"/>
      <c r="N12" s="196"/>
      <c r="O12" s="196"/>
      <c r="P12" s="196"/>
      <c r="Q12" s="196"/>
      <c r="R12" s="196"/>
      <c r="S12" s="196"/>
      <c r="T12" s="196"/>
      <c r="U12" s="196"/>
      <c r="V12" s="195"/>
    </row>
    <row r="13" spans="1:22" customFormat="1" x14ac:dyDescent="0.25">
      <c r="A13" s="195"/>
      <c r="B13" s="195"/>
      <c r="C13" s="195"/>
      <c r="D13" s="195"/>
      <c r="E13" s="195"/>
      <c r="F13" s="195"/>
      <c r="G13" s="195"/>
      <c r="H13" s="195"/>
      <c r="I13" s="195"/>
      <c r="J13" s="195"/>
      <c r="K13" s="195"/>
      <c r="L13" s="195"/>
      <c r="M13" s="195"/>
      <c r="N13" s="195"/>
      <c r="O13" s="195"/>
      <c r="P13" s="195"/>
      <c r="Q13" s="195"/>
      <c r="R13" s="195"/>
      <c r="S13" s="195"/>
      <c r="T13" s="195"/>
      <c r="U13" s="195"/>
      <c r="V13" s="195"/>
    </row>
    <row r="14" spans="1:22" customFormat="1" ht="6.75" customHeight="1" x14ac:dyDescent="0.25">
      <c r="A14" s="195"/>
      <c r="B14" s="196"/>
      <c r="C14" s="196"/>
      <c r="D14" s="196"/>
      <c r="E14" s="196"/>
      <c r="F14" s="196"/>
      <c r="G14" s="196"/>
      <c r="H14" s="196"/>
      <c r="I14" s="196"/>
      <c r="J14" s="196"/>
      <c r="K14" s="196"/>
      <c r="L14" s="196"/>
      <c r="M14" s="196"/>
      <c r="N14" s="196"/>
      <c r="O14" s="196"/>
      <c r="P14" s="196"/>
      <c r="Q14" s="196"/>
      <c r="R14" s="196"/>
      <c r="S14" s="196"/>
      <c r="T14" s="196"/>
      <c r="U14" s="196"/>
      <c r="V14" s="195"/>
    </row>
    <row r="15" spans="1:22" customFormat="1" ht="21" x14ac:dyDescent="0.25">
      <c r="A15" s="195"/>
      <c r="B15" s="196"/>
      <c r="C15" s="1094" t="s">
        <v>410</v>
      </c>
      <c r="D15" s="1094"/>
      <c r="E15" s="1094"/>
      <c r="F15" s="1094"/>
      <c r="G15" s="1094"/>
      <c r="H15" s="1094"/>
      <c r="I15" s="1094"/>
      <c r="J15" s="1094"/>
      <c r="K15" s="1094"/>
      <c r="L15" s="1094"/>
      <c r="M15" s="1094"/>
      <c r="N15" s="1094"/>
      <c r="O15" s="1094"/>
      <c r="P15" s="1094"/>
      <c r="Q15" s="1094"/>
      <c r="R15" s="1094"/>
      <c r="S15" s="1094"/>
      <c r="T15" s="1094"/>
      <c r="U15" s="196"/>
      <c r="V15" s="195"/>
    </row>
    <row r="16" spans="1:22" customFormat="1" ht="6.75" customHeight="1" x14ac:dyDescent="0.25">
      <c r="A16" s="195"/>
      <c r="B16" s="196"/>
      <c r="C16" s="196"/>
      <c r="D16" s="196"/>
      <c r="E16" s="196"/>
      <c r="F16" s="196"/>
      <c r="G16" s="196"/>
      <c r="H16" s="196"/>
      <c r="I16" s="196"/>
      <c r="J16" s="196"/>
      <c r="K16" s="196"/>
      <c r="L16" s="196"/>
      <c r="M16" s="196"/>
      <c r="N16" s="196"/>
      <c r="O16" s="196"/>
      <c r="P16" s="196"/>
      <c r="Q16" s="196"/>
      <c r="R16" s="196"/>
      <c r="S16" s="196"/>
      <c r="T16" s="196"/>
      <c r="U16" s="196"/>
      <c r="V16" s="195"/>
    </row>
    <row r="17" spans="1:22" customFormat="1" x14ac:dyDescent="0.25">
      <c r="A17" s="195"/>
      <c r="B17" s="196"/>
      <c r="C17" s="195"/>
      <c r="D17" s="195"/>
      <c r="E17" s="195"/>
      <c r="F17" s="195"/>
      <c r="G17" s="195"/>
      <c r="H17" s="195"/>
      <c r="I17" s="195"/>
      <c r="J17" s="195"/>
      <c r="K17" s="195"/>
      <c r="L17" s="195"/>
      <c r="M17" s="195"/>
      <c r="N17" s="195"/>
      <c r="O17" s="195"/>
      <c r="P17" s="195"/>
      <c r="Q17" s="195"/>
      <c r="R17" s="195"/>
      <c r="S17" s="195"/>
      <c r="T17" s="195"/>
      <c r="U17" s="196"/>
      <c r="V17" s="195"/>
    </row>
    <row r="18" spans="1:22" customFormat="1" x14ac:dyDescent="0.25">
      <c r="A18" s="195"/>
      <c r="B18" s="196"/>
      <c r="C18" s="195"/>
      <c r="D18" s="195"/>
      <c r="E18" s="195"/>
      <c r="F18" s="195"/>
      <c r="G18" s="195"/>
      <c r="H18" s="195"/>
      <c r="I18" s="195"/>
      <c r="J18" s="195"/>
      <c r="K18" s="195"/>
      <c r="L18" s="195"/>
      <c r="M18" s="195"/>
      <c r="N18" s="195"/>
      <c r="O18" s="195"/>
      <c r="P18" s="195"/>
      <c r="Q18" s="195"/>
      <c r="R18" s="195"/>
      <c r="S18" s="195"/>
      <c r="T18" s="195"/>
      <c r="U18" s="196"/>
      <c r="V18" s="195"/>
    </row>
    <row r="19" spans="1:22" customFormat="1" x14ac:dyDescent="0.25">
      <c r="A19" s="195"/>
      <c r="B19" s="196"/>
      <c r="C19" s="195"/>
      <c r="D19" s="195"/>
      <c r="E19" s="195"/>
      <c r="F19" s="195"/>
      <c r="G19" s="195"/>
      <c r="H19" s="195"/>
      <c r="I19" s="195"/>
      <c r="J19" s="195"/>
      <c r="K19" s="195"/>
      <c r="L19" s="195"/>
      <c r="M19" s="195"/>
      <c r="N19" s="195"/>
      <c r="O19" s="195"/>
      <c r="P19" s="195"/>
      <c r="Q19" s="195"/>
      <c r="R19" s="195"/>
      <c r="S19" s="195"/>
      <c r="T19" s="195"/>
      <c r="U19" s="196"/>
      <c r="V19" s="195"/>
    </row>
    <row r="20" spans="1:22" customFormat="1" x14ac:dyDescent="0.25">
      <c r="A20" s="195"/>
      <c r="B20" s="196"/>
      <c r="C20" s="195"/>
      <c r="D20" s="195"/>
      <c r="E20" s="195"/>
      <c r="F20" s="195"/>
      <c r="G20" s="195"/>
      <c r="H20" s="195"/>
      <c r="I20" s="195"/>
      <c r="J20" s="195"/>
      <c r="K20" s="195"/>
      <c r="L20" s="195"/>
      <c r="M20" s="195"/>
      <c r="N20" s="195"/>
      <c r="O20" s="195"/>
      <c r="P20" s="195"/>
      <c r="Q20" s="195"/>
      <c r="R20" s="195"/>
      <c r="S20" s="195"/>
      <c r="T20" s="195"/>
      <c r="U20" s="196"/>
      <c r="V20" s="195"/>
    </row>
    <row r="21" spans="1:22" customFormat="1" x14ac:dyDescent="0.25">
      <c r="A21" s="195"/>
      <c r="B21" s="196"/>
      <c r="C21" s="195"/>
      <c r="D21" s="195"/>
      <c r="E21" s="195"/>
      <c r="F21" s="195"/>
      <c r="G21" s="195"/>
      <c r="H21" s="195"/>
      <c r="I21" s="195"/>
      <c r="J21" s="195"/>
      <c r="K21" s="195"/>
      <c r="L21" s="195"/>
      <c r="M21" s="195"/>
      <c r="N21" s="195"/>
      <c r="O21" s="195"/>
      <c r="P21" s="195"/>
      <c r="Q21" s="195"/>
      <c r="R21" s="195"/>
      <c r="S21" s="195"/>
      <c r="T21" s="195"/>
      <c r="U21" s="196"/>
      <c r="V21" s="195"/>
    </row>
    <row r="22" spans="1:22" customFormat="1" x14ac:dyDescent="0.25">
      <c r="A22" s="195"/>
      <c r="B22" s="196"/>
      <c r="C22" s="195"/>
      <c r="D22" s="195"/>
      <c r="E22" s="195"/>
      <c r="F22" s="195"/>
      <c r="G22" s="195"/>
      <c r="H22" s="195"/>
      <c r="I22" s="195"/>
      <c r="J22" s="195"/>
      <c r="K22" s="195"/>
      <c r="L22" s="195"/>
      <c r="M22" s="195"/>
      <c r="N22" s="195"/>
      <c r="O22" s="195"/>
      <c r="P22" s="195"/>
      <c r="Q22" s="195"/>
      <c r="R22" s="195"/>
      <c r="S22" s="195"/>
      <c r="T22" s="195"/>
      <c r="U22" s="196"/>
      <c r="V22" s="195"/>
    </row>
    <row r="23" spans="1:22" customFormat="1" x14ac:dyDescent="0.25">
      <c r="A23" s="195"/>
      <c r="B23" s="196"/>
      <c r="C23" s="195"/>
      <c r="D23" s="195"/>
      <c r="E23" s="195"/>
      <c r="F23" s="195"/>
      <c r="G23" s="195"/>
      <c r="H23" s="195"/>
      <c r="I23" s="195"/>
      <c r="J23" s="195"/>
      <c r="K23" s="195"/>
      <c r="L23" s="195"/>
      <c r="M23" s="195"/>
      <c r="N23" s="195"/>
      <c r="O23" s="195"/>
      <c r="P23" s="195"/>
      <c r="Q23" s="195"/>
      <c r="R23" s="195"/>
      <c r="S23" s="195"/>
      <c r="T23" s="195"/>
      <c r="U23" s="196"/>
      <c r="V23" s="195"/>
    </row>
    <row r="24" spans="1:22" customFormat="1" x14ac:dyDescent="0.25">
      <c r="A24" s="195"/>
      <c r="B24" s="196"/>
      <c r="C24" s="195"/>
      <c r="D24" s="195"/>
      <c r="E24" s="195"/>
      <c r="F24" s="195"/>
      <c r="G24" s="195"/>
      <c r="H24" s="195"/>
      <c r="I24" s="195"/>
      <c r="J24" s="195"/>
      <c r="K24" s="195"/>
      <c r="L24" s="195"/>
      <c r="M24" s="195"/>
      <c r="N24" s="195"/>
      <c r="O24" s="195"/>
      <c r="P24" s="195"/>
      <c r="Q24" s="195"/>
      <c r="R24" s="195"/>
      <c r="S24" s="195"/>
      <c r="T24" s="195"/>
      <c r="U24" s="196"/>
      <c r="V24" s="195"/>
    </row>
    <row r="25" spans="1:22" customFormat="1" x14ac:dyDescent="0.25">
      <c r="A25" s="195"/>
      <c r="B25" s="196"/>
      <c r="C25" s="195"/>
      <c r="D25" s="195"/>
      <c r="E25" s="195"/>
      <c r="F25" s="195"/>
      <c r="G25" s="195"/>
      <c r="H25" s="195"/>
      <c r="I25" s="195"/>
      <c r="J25" s="195"/>
      <c r="K25" s="195"/>
      <c r="L25" s="195"/>
      <c r="M25" s="195"/>
      <c r="N25" s="195"/>
      <c r="O25" s="195"/>
      <c r="P25" s="195"/>
      <c r="Q25" s="195"/>
      <c r="R25" s="195"/>
      <c r="S25" s="195"/>
      <c r="T25" s="195"/>
      <c r="U25" s="196"/>
      <c r="V25" s="195"/>
    </row>
    <row r="26" spans="1:22" customFormat="1" x14ac:dyDescent="0.25">
      <c r="A26" s="195"/>
      <c r="B26" s="196"/>
      <c r="C26" s="195"/>
      <c r="D26" s="195"/>
      <c r="E26" s="195"/>
      <c r="F26" s="195"/>
      <c r="G26" s="195"/>
      <c r="H26" s="195"/>
      <c r="I26" s="195"/>
      <c r="J26" s="195"/>
      <c r="K26" s="195"/>
      <c r="L26" s="195"/>
      <c r="M26" s="195"/>
      <c r="N26" s="195"/>
      <c r="O26" s="195"/>
      <c r="P26" s="195"/>
      <c r="Q26" s="195"/>
      <c r="R26" s="195"/>
      <c r="S26" s="195"/>
      <c r="T26" s="195"/>
      <c r="U26" s="196"/>
      <c r="V26" s="195"/>
    </row>
    <row r="27" spans="1:22" customFormat="1" x14ac:dyDescent="0.25">
      <c r="A27" s="195"/>
      <c r="B27" s="196"/>
      <c r="C27" s="195"/>
      <c r="D27" s="195"/>
      <c r="E27" s="195"/>
      <c r="F27" s="195"/>
      <c r="G27" s="195"/>
      <c r="H27" s="195"/>
      <c r="I27" s="195"/>
      <c r="J27" s="195"/>
      <c r="K27" s="195"/>
      <c r="L27" s="195"/>
      <c r="M27" s="195"/>
      <c r="N27" s="195"/>
      <c r="O27" s="195"/>
      <c r="P27" s="195"/>
      <c r="Q27" s="195"/>
      <c r="R27" s="195"/>
      <c r="S27" s="195"/>
      <c r="T27" s="195"/>
      <c r="U27" s="196"/>
      <c r="V27" s="195"/>
    </row>
    <row r="28" spans="1:22" customFormat="1" x14ac:dyDescent="0.25">
      <c r="A28" s="195"/>
      <c r="B28" s="196"/>
      <c r="C28" s="195"/>
      <c r="D28" s="195"/>
      <c r="E28" s="195"/>
      <c r="F28" s="195"/>
      <c r="G28" s="195"/>
      <c r="H28" s="195"/>
      <c r="I28" s="195"/>
      <c r="J28" s="195"/>
      <c r="K28" s="195"/>
      <c r="L28" s="195"/>
      <c r="M28" s="195"/>
      <c r="N28" s="195"/>
      <c r="O28" s="195"/>
      <c r="P28" s="195"/>
      <c r="Q28" s="195"/>
      <c r="R28" s="195"/>
      <c r="S28" s="195"/>
      <c r="T28" s="195"/>
      <c r="U28" s="196"/>
      <c r="V28" s="195"/>
    </row>
    <row r="29" spans="1:22" customFormat="1" x14ac:dyDescent="0.25">
      <c r="A29" s="195"/>
      <c r="B29" s="196"/>
      <c r="C29" s="195"/>
      <c r="D29" s="195"/>
      <c r="E29" s="195"/>
      <c r="F29" s="195"/>
      <c r="G29" s="195"/>
      <c r="H29" s="195"/>
      <c r="I29" s="195"/>
      <c r="J29" s="195"/>
      <c r="K29" s="195"/>
      <c r="L29" s="195"/>
      <c r="M29" s="195"/>
      <c r="N29" s="195"/>
      <c r="O29" s="195"/>
      <c r="P29" s="195"/>
      <c r="Q29" s="195"/>
      <c r="R29" s="195"/>
      <c r="S29" s="195"/>
      <c r="T29" s="195"/>
      <c r="U29" s="196"/>
      <c r="V29" s="195"/>
    </row>
    <row r="30" spans="1:22" customFormat="1" x14ac:dyDescent="0.25">
      <c r="A30" s="195"/>
      <c r="B30" s="196"/>
      <c r="C30" s="195"/>
      <c r="D30" s="195"/>
      <c r="E30" s="195"/>
      <c r="F30" s="195"/>
      <c r="G30" s="195"/>
      <c r="H30" s="195"/>
      <c r="I30" s="195"/>
      <c r="J30" s="195"/>
      <c r="K30" s="195"/>
      <c r="L30" s="195"/>
      <c r="M30" s="195"/>
      <c r="N30" s="195"/>
      <c r="O30" s="195"/>
      <c r="P30" s="195"/>
      <c r="Q30" s="195"/>
      <c r="R30" s="195"/>
      <c r="S30" s="195"/>
      <c r="T30" s="195"/>
      <c r="U30" s="196"/>
      <c r="V30" s="195"/>
    </row>
    <row r="31" spans="1:22" customFormat="1" x14ac:dyDescent="0.25">
      <c r="A31" s="195"/>
      <c r="B31" s="196"/>
      <c r="C31" s="195"/>
      <c r="D31" s="195"/>
      <c r="E31" s="195"/>
      <c r="F31" s="195"/>
      <c r="G31" s="195"/>
      <c r="H31" s="195"/>
      <c r="I31" s="195"/>
      <c r="J31" s="195"/>
      <c r="K31" s="195"/>
      <c r="L31" s="195"/>
      <c r="M31" s="195"/>
      <c r="N31" s="195"/>
      <c r="O31" s="195"/>
      <c r="P31" s="195"/>
      <c r="Q31" s="195"/>
      <c r="R31" s="195"/>
      <c r="S31" s="195"/>
      <c r="T31" s="195"/>
      <c r="U31" s="196"/>
      <c r="V31" s="195"/>
    </row>
    <row r="32" spans="1:22" customFormat="1" x14ac:dyDescent="0.25">
      <c r="A32" s="195"/>
      <c r="B32" s="196"/>
      <c r="C32" s="195"/>
      <c r="D32" s="195"/>
      <c r="E32" s="195"/>
      <c r="F32" s="195"/>
      <c r="G32" s="195"/>
      <c r="H32" s="195"/>
      <c r="I32" s="195"/>
      <c r="J32" s="195"/>
      <c r="K32" s="195"/>
      <c r="L32" s="195"/>
      <c r="M32" s="195"/>
      <c r="N32" s="195"/>
      <c r="O32" s="195"/>
      <c r="P32" s="195"/>
      <c r="Q32" s="195"/>
      <c r="R32" s="195"/>
      <c r="S32" s="195"/>
      <c r="T32" s="195"/>
      <c r="U32" s="196"/>
      <c r="V32" s="195"/>
    </row>
    <row r="33" spans="1:22" customFormat="1" x14ac:dyDescent="0.25">
      <c r="A33" s="195"/>
      <c r="B33" s="196"/>
      <c r="C33" s="195"/>
      <c r="D33" s="195"/>
      <c r="E33" s="195"/>
      <c r="F33" s="195"/>
      <c r="G33" s="195"/>
      <c r="H33" s="195"/>
      <c r="I33" s="195"/>
      <c r="J33" s="195"/>
      <c r="K33" s="195"/>
      <c r="L33" s="195"/>
      <c r="M33" s="195"/>
      <c r="N33" s="195"/>
      <c r="O33" s="195"/>
      <c r="P33" s="195"/>
      <c r="Q33" s="195"/>
      <c r="R33" s="195"/>
      <c r="S33" s="195"/>
      <c r="T33" s="195"/>
      <c r="U33" s="196"/>
      <c r="V33" s="195"/>
    </row>
    <row r="34" spans="1:22" customFormat="1" x14ac:dyDescent="0.25">
      <c r="A34" s="195"/>
      <c r="B34" s="196"/>
      <c r="C34" s="195"/>
      <c r="D34" s="195"/>
      <c r="E34" s="195"/>
      <c r="F34" s="195"/>
      <c r="G34" s="195"/>
      <c r="H34" s="195"/>
      <c r="I34" s="195"/>
      <c r="J34" s="195"/>
      <c r="K34" s="195"/>
      <c r="L34" s="195"/>
      <c r="M34" s="195"/>
      <c r="N34" s="195"/>
      <c r="O34" s="195"/>
      <c r="P34" s="195"/>
      <c r="Q34" s="195"/>
      <c r="R34" s="195"/>
      <c r="S34" s="195"/>
      <c r="T34" s="195"/>
      <c r="U34" s="196"/>
      <c r="V34" s="195"/>
    </row>
    <row r="35" spans="1:22" customFormat="1" x14ac:dyDescent="0.25">
      <c r="A35" s="195"/>
      <c r="B35" s="196"/>
      <c r="C35" s="195"/>
      <c r="D35" s="195"/>
      <c r="E35" s="195"/>
      <c r="F35" s="195"/>
      <c r="G35" s="195"/>
      <c r="H35" s="195"/>
      <c r="I35" s="195"/>
      <c r="J35" s="195"/>
      <c r="K35" s="195"/>
      <c r="L35" s="195"/>
      <c r="M35" s="195"/>
      <c r="N35" s="195"/>
      <c r="O35" s="195"/>
      <c r="P35" s="195"/>
      <c r="Q35" s="195"/>
      <c r="R35" s="195"/>
      <c r="S35" s="195"/>
      <c r="T35" s="195"/>
      <c r="U35" s="196"/>
      <c r="V35" s="195"/>
    </row>
    <row r="36" spans="1:22" customFormat="1" x14ac:dyDescent="0.25">
      <c r="A36" s="195"/>
      <c r="B36" s="196"/>
      <c r="C36" s="195"/>
      <c r="D36" s="195"/>
      <c r="E36" s="195"/>
      <c r="F36" s="195"/>
      <c r="G36" s="195"/>
      <c r="H36" s="195"/>
      <c r="I36" s="195"/>
      <c r="J36" s="195"/>
      <c r="K36" s="195"/>
      <c r="L36" s="195"/>
      <c r="M36" s="195"/>
      <c r="N36" s="195"/>
      <c r="O36" s="195"/>
      <c r="P36" s="195"/>
      <c r="Q36" s="195"/>
      <c r="R36" s="195"/>
      <c r="S36" s="195"/>
      <c r="T36" s="195"/>
      <c r="U36" s="196"/>
      <c r="V36" s="195"/>
    </row>
    <row r="37" spans="1:22" customFormat="1" x14ac:dyDescent="0.25">
      <c r="A37" s="195"/>
      <c r="B37" s="196"/>
      <c r="C37" s="195"/>
      <c r="D37" s="195"/>
      <c r="E37" s="195"/>
      <c r="F37" s="195"/>
      <c r="G37" s="195"/>
      <c r="H37" s="195"/>
      <c r="I37" s="195"/>
      <c r="J37" s="195"/>
      <c r="K37" s="195"/>
      <c r="L37" s="195"/>
      <c r="M37" s="195"/>
      <c r="N37" s="195"/>
      <c r="O37" s="195"/>
      <c r="P37" s="195"/>
      <c r="Q37" s="195"/>
      <c r="R37" s="195"/>
      <c r="S37" s="195"/>
      <c r="T37" s="195"/>
      <c r="U37" s="196"/>
      <c r="V37" s="195"/>
    </row>
    <row r="38" spans="1:22" customFormat="1" x14ac:dyDescent="0.25">
      <c r="A38" s="195"/>
      <c r="B38" s="196"/>
      <c r="C38" s="195"/>
      <c r="D38" s="195"/>
      <c r="E38" s="195"/>
      <c r="F38" s="195"/>
      <c r="G38" s="195"/>
      <c r="H38" s="195"/>
      <c r="I38" s="195"/>
      <c r="J38" s="195"/>
      <c r="K38" s="195"/>
      <c r="L38" s="195"/>
      <c r="M38" s="195"/>
      <c r="N38" s="195"/>
      <c r="O38" s="195"/>
      <c r="P38" s="195"/>
      <c r="Q38" s="195"/>
      <c r="R38" s="195"/>
      <c r="S38" s="195"/>
      <c r="T38" s="195"/>
      <c r="U38" s="196"/>
      <c r="V38" s="195"/>
    </row>
    <row r="39" spans="1:22" customFormat="1" x14ac:dyDescent="0.25">
      <c r="A39" s="195"/>
      <c r="B39" s="196"/>
      <c r="C39" s="195"/>
      <c r="D39" s="195"/>
      <c r="E39" s="195"/>
      <c r="F39" s="195"/>
      <c r="G39" s="195"/>
      <c r="H39" s="195"/>
      <c r="I39" s="195"/>
      <c r="J39" s="195"/>
      <c r="K39" s="195"/>
      <c r="L39" s="195"/>
      <c r="M39" s="195"/>
      <c r="N39" s="195"/>
      <c r="O39" s="195"/>
      <c r="P39" s="195"/>
      <c r="Q39" s="195"/>
      <c r="R39" s="195"/>
      <c r="S39" s="195"/>
      <c r="T39" s="195"/>
      <c r="U39" s="196"/>
      <c r="V39" s="195"/>
    </row>
    <row r="40" spans="1:22" customFormat="1" x14ac:dyDescent="0.25">
      <c r="A40" s="195"/>
      <c r="B40" s="196"/>
      <c r="C40" s="195"/>
      <c r="D40" s="195"/>
      <c r="E40" s="195"/>
      <c r="F40" s="195"/>
      <c r="G40" s="195"/>
      <c r="H40" s="195"/>
      <c r="I40" s="195"/>
      <c r="J40" s="195"/>
      <c r="K40" s="195"/>
      <c r="L40" s="195"/>
      <c r="M40" s="195"/>
      <c r="N40" s="195"/>
      <c r="O40" s="195"/>
      <c r="P40" s="195"/>
      <c r="Q40" s="195"/>
      <c r="R40" s="195"/>
      <c r="S40" s="195"/>
      <c r="T40" s="195"/>
      <c r="U40" s="196"/>
      <c r="V40" s="195"/>
    </row>
    <row r="41" spans="1:22" customFormat="1" ht="7.5" customHeight="1" x14ac:dyDescent="0.25">
      <c r="A41" s="195"/>
      <c r="B41" s="196"/>
      <c r="C41" s="196"/>
      <c r="D41" s="196"/>
      <c r="E41" s="196"/>
      <c r="F41" s="196"/>
      <c r="G41" s="196"/>
      <c r="H41" s="196"/>
      <c r="I41" s="196"/>
      <c r="J41" s="196"/>
      <c r="K41" s="196"/>
      <c r="L41" s="196"/>
      <c r="M41" s="196"/>
      <c r="N41" s="196"/>
      <c r="O41" s="196"/>
      <c r="P41" s="196"/>
      <c r="Q41" s="196"/>
      <c r="R41" s="196"/>
      <c r="S41" s="196"/>
      <c r="T41" s="196"/>
      <c r="U41" s="196"/>
      <c r="V41" s="195"/>
    </row>
    <row r="42" spans="1:22" customFormat="1" x14ac:dyDescent="0.25">
      <c r="A42" s="195"/>
      <c r="B42" s="195"/>
      <c r="C42" s="195"/>
      <c r="D42" s="195"/>
      <c r="E42" s="195"/>
      <c r="F42" s="195"/>
      <c r="G42" s="195"/>
      <c r="H42" s="195"/>
      <c r="I42" s="195"/>
      <c r="J42" s="195"/>
      <c r="K42" s="195"/>
      <c r="L42" s="195"/>
      <c r="M42" s="195"/>
      <c r="N42" s="195"/>
      <c r="O42" s="195"/>
      <c r="P42" s="195"/>
      <c r="Q42" s="195"/>
      <c r="R42" s="195"/>
      <c r="S42" s="195"/>
      <c r="T42" s="195"/>
      <c r="U42" s="195"/>
      <c r="V42" s="195"/>
    </row>
    <row r="43" spans="1:22" s="59" customFormat="1" x14ac:dyDescent="0.25">
      <c r="A43" s="195"/>
      <c r="B43" s="195"/>
      <c r="C43" s="195"/>
      <c r="D43" s="195"/>
      <c r="E43" s="195"/>
      <c r="F43" s="195"/>
      <c r="G43" s="195"/>
      <c r="H43" s="195"/>
      <c r="I43" s="195"/>
      <c r="J43" s="195"/>
      <c r="K43" s="195"/>
      <c r="L43" s="195"/>
      <c r="M43" s="195"/>
      <c r="N43" s="195"/>
      <c r="O43" s="195"/>
      <c r="P43" s="195"/>
      <c r="Q43" s="195"/>
      <c r="R43" s="195"/>
      <c r="S43" s="195"/>
      <c r="T43" s="195"/>
      <c r="U43" s="195"/>
      <c r="V43" s="195"/>
    </row>
    <row r="44" spans="1:22" customFormat="1" hidden="1" x14ac:dyDescent="0.25">
      <c r="B44" s="16"/>
      <c r="C44" s="16"/>
      <c r="D44" s="16"/>
      <c r="E44" s="16"/>
      <c r="F44" s="16"/>
      <c r="G44" s="16"/>
      <c r="H44" s="16"/>
      <c r="I44" s="16"/>
      <c r="J44" s="16"/>
      <c r="K44" s="16"/>
      <c r="L44" s="16"/>
      <c r="M44" s="16"/>
      <c r="N44" s="16"/>
      <c r="O44" s="16"/>
      <c r="P44" s="16"/>
      <c r="Q44" s="16"/>
      <c r="R44" s="16"/>
      <c r="S44" s="16"/>
      <c r="T44" s="16"/>
      <c r="U44" s="16"/>
      <c r="V44" s="16"/>
    </row>
    <row r="45" spans="1:22" customFormat="1" hidden="1" x14ac:dyDescent="0.25">
      <c r="B45" s="16"/>
      <c r="C45" s="16"/>
      <c r="D45" s="16"/>
      <c r="E45" s="16"/>
      <c r="F45" s="16"/>
      <c r="G45" s="16"/>
      <c r="H45" s="16"/>
      <c r="I45" s="16"/>
      <c r="J45" s="16"/>
      <c r="K45" s="16"/>
      <c r="L45" s="16"/>
      <c r="M45" s="16"/>
      <c r="N45" s="16"/>
      <c r="O45" s="16"/>
      <c r="P45" s="16"/>
      <c r="Q45" s="16"/>
      <c r="R45" s="16"/>
      <c r="S45" s="16"/>
      <c r="T45" s="16"/>
      <c r="U45" s="16"/>
      <c r="V45" s="16"/>
    </row>
    <row r="46" spans="1:22" customFormat="1" hidden="1" x14ac:dyDescent="0.25">
      <c r="B46" s="16"/>
      <c r="C46" s="16"/>
      <c r="D46" s="16"/>
      <c r="E46" s="16"/>
      <c r="F46" s="16"/>
      <c r="G46" s="16"/>
      <c r="H46" s="16"/>
      <c r="I46" s="16"/>
      <c r="J46" s="16"/>
      <c r="K46" s="16"/>
      <c r="L46" s="16"/>
      <c r="M46" s="16"/>
      <c r="N46" s="16"/>
      <c r="O46" s="16"/>
      <c r="P46" s="16"/>
      <c r="Q46" s="16"/>
      <c r="R46" s="16"/>
      <c r="S46" s="16"/>
      <c r="T46" s="16"/>
      <c r="U46" s="16"/>
      <c r="V46" s="16"/>
    </row>
    <row r="47" spans="1:22" customFormat="1" hidden="1" x14ac:dyDescent="0.25">
      <c r="B47" s="16"/>
      <c r="C47" s="16"/>
      <c r="D47" s="16"/>
      <c r="E47" s="16"/>
      <c r="F47" s="16"/>
      <c r="G47" s="16"/>
      <c r="H47" s="16"/>
      <c r="I47" s="16"/>
      <c r="J47" s="16"/>
      <c r="K47" s="16"/>
      <c r="L47" s="16"/>
      <c r="M47" s="16"/>
      <c r="N47" s="16"/>
      <c r="O47" s="16"/>
      <c r="P47" s="16"/>
      <c r="Q47" s="16"/>
      <c r="R47" s="16"/>
      <c r="S47" s="16"/>
      <c r="T47" s="16"/>
      <c r="U47" s="16"/>
      <c r="V47" s="16"/>
    </row>
    <row r="48" spans="1:22" customFormat="1" ht="6.75" hidden="1" customHeight="1" x14ac:dyDescent="0.25">
      <c r="B48" s="16"/>
      <c r="C48" s="16"/>
      <c r="D48" s="16"/>
      <c r="E48" s="16"/>
      <c r="F48" s="16"/>
      <c r="G48" s="16"/>
      <c r="H48" s="16"/>
      <c r="I48" s="16"/>
      <c r="J48" s="16"/>
      <c r="K48" s="16"/>
      <c r="L48" s="16"/>
      <c r="M48" s="16"/>
      <c r="N48" s="16"/>
      <c r="O48" s="16"/>
      <c r="P48" s="16"/>
      <c r="Q48" s="16"/>
      <c r="R48" s="16"/>
      <c r="S48" s="16"/>
      <c r="T48" s="16"/>
      <c r="U48" s="16"/>
      <c r="V48" s="16"/>
    </row>
  </sheetData>
  <mergeCells count="6">
    <mergeCell ref="C11:D11"/>
    <mergeCell ref="R6:R7"/>
    <mergeCell ref="S6:S7"/>
    <mergeCell ref="C15:T15"/>
    <mergeCell ref="G4:N6"/>
    <mergeCell ref="G7:N10"/>
  </mergeCells>
  <dataValidations count="1">
    <dataValidation allowBlank="1" showInputMessage="1" showErrorMessage="1" prompt="Actualizar la fecha con base en el corte de los giros realizados. _x000a_" sqref="S6:S7"/>
  </dataValidations>
  <pageMargins left="0.7" right="0.7" top="0.75" bottom="0.75" header="0.3" footer="0.3"/>
  <pageSetup orientation="portrait" horizontalDpi="4294967293" verticalDpi="4294967293"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Z289"/>
  <sheetViews>
    <sheetView workbookViewId="0">
      <pane xSplit="3" ySplit="2" topLeftCell="BA260" activePane="bottomRight" state="frozen"/>
      <selection activeCell="AT677" sqref="AT677"/>
      <selection pane="topRight" activeCell="AT677" sqref="AT677"/>
      <selection pane="bottomLeft" activeCell="AT677" sqref="AT677"/>
      <selection pane="bottomRight" activeCell="AT677" sqref="AT677"/>
    </sheetView>
  </sheetViews>
  <sheetFormatPr baseColWidth="10" defaultRowHeight="15" x14ac:dyDescent="0.25"/>
  <cols>
    <col min="1" max="1" width="4.5703125" style="57" customWidth="1"/>
    <col min="3" max="3" width="23.28515625" customWidth="1"/>
    <col min="5" max="5" width="11.42578125" style="240"/>
    <col min="6" max="8" width="11.42578125" style="57"/>
    <col min="10" max="10" width="11.42578125" style="57"/>
    <col min="16" max="27" width="11.42578125" style="57"/>
    <col min="28" max="28" width="12.7109375" style="57" bestFit="1" customWidth="1"/>
    <col min="29" max="39" width="11.42578125" style="57"/>
    <col min="40" max="51" width="11.42578125" style="245"/>
  </cols>
  <sheetData>
    <row r="1" spans="1:51" s="57" customFormat="1" ht="15.75" thickBot="1" x14ac:dyDescent="0.3">
      <c r="B1" s="1160" t="s">
        <v>0</v>
      </c>
      <c r="C1" s="1162" t="s">
        <v>1</v>
      </c>
      <c r="D1" s="1164" t="s">
        <v>1237</v>
      </c>
      <c r="E1" s="1164"/>
      <c r="F1" s="1164"/>
      <c r="G1" s="1164"/>
      <c r="H1" s="1164"/>
      <c r="I1" s="1164" t="s">
        <v>1239</v>
      </c>
      <c r="J1" s="1164"/>
      <c r="K1" s="1164"/>
      <c r="L1" s="1164"/>
      <c r="M1" s="1164"/>
      <c r="N1" s="1164"/>
      <c r="O1" s="215">
        <f ca="1">TODAY()</f>
        <v>43643</v>
      </c>
      <c r="P1" s="1159" t="s">
        <v>1457</v>
      </c>
      <c r="Q1" s="1159"/>
      <c r="R1" s="1159"/>
      <c r="S1" s="1159"/>
      <c r="T1" s="1159"/>
      <c r="U1" s="1159"/>
      <c r="V1" s="1159"/>
      <c r="W1" s="1159"/>
      <c r="X1" s="1159"/>
      <c r="Y1" s="1159"/>
      <c r="Z1" s="1159"/>
      <c r="AA1" s="1159"/>
      <c r="AB1" s="1158" t="s">
        <v>1456</v>
      </c>
      <c r="AC1" s="1158"/>
      <c r="AD1" s="1158"/>
      <c r="AE1" s="1158"/>
      <c r="AF1" s="1158"/>
      <c r="AG1" s="1158"/>
      <c r="AH1" s="1158"/>
      <c r="AI1" s="1158"/>
      <c r="AJ1" s="1158"/>
      <c r="AK1" s="1158"/>
      <c r="AL1" s="1158"/>
      <c r="AM1" s="1158"/>
      <c r="AN1" s="1165" t="s">
        <v>1270</v>
      </c>
      <c r="AO1" s="1165"/>
      <c r="AP1" s="1165"/>
      <c r="AQ1" s="1165"/>
      <c r="AR1" s="1165"/>
      <c r="AS1" s="1165"/>
      <c r="AT1" s="1165"/>
      <c r="AU1" s="1165"/>
      <c r="AV1" s="1165"/>
      <c r="AW1" s="1165"/>
      <c r="AX1" s="1165"/>
      <c r="AY1" s="1165"/>
    </row>
    <row r="2" spans="1:51" ht="33.75" x14ac:dyDescent="0.25">
      <c r="B2" s="1161"/>
      <c r="C2" s="1163"/>
      <c r="D2" s="247" t="s">
        <v>422</v>
      </c>
      <c r="E2" s="248" t="s">
        <v>374</v>
      </c>
      <c r="F2" s="248" t="s">
        <v>1234</v>
      </c>
      <c r="G2" s="248" t="s">
        <v>1235</v>
      </c>
      <c r="H2" s="248" t="s">
        <v>1236</v>
      </c>
      <c r="I2" s="248" t="s">
        <v>979</v>
      </c>
      <c r="J2" s="248" t="s">
        <v>1238</v>
      </c>
      <c r="K2" s="248" t="s">
        <v>1234</v>
      </c>
      <c r="L2" s="248" t="s">
        <v>1235</v>
      </c>
      <c r="M2" s="248" t="s">
        <v>1236</v>
      </c>
      <c r="N2" s="249" t="s">
        <v>1241</v>
      </c>
      <c r="O2" s="249" t="s">
        <v>1240</v>
      </c>
      <c r="P2" s="332">
        <v>40939</v>
      </c>
      <c r="Q2" s="332">
        <v>40967</v>
      </c>
      <c r="R2" s="332">
        <v>40999</v>
      </c>
      <c r="S2" s="332">
        <v>41029</v>
      </c>
      <c r="T2" s="332">
        <v>41060</v>
      </c>
      <c r="U2" s="332">
        <v>41090</v>
      </c>
      <c r="V2" s="332">
        <v>41121</v>
      </c>
      <c r="W2" s="332">
        <v>41152</v>
      </c>
      <c r="X2" s="332">
        <v>41182</v>
      </c>
      <c r="Y2" s="332">
        <v>41213</v>
      </c>
      <c r="Z2" s="332">
        <v>41243</v>
      </c>
      <c r="AA2" s="332">
        <v>41274</v>
      </c>
      <c r="AB2" s="333">
        <v>41305</v>
      </c>
      <c r="AC2" s="333">
        <v>41333</v>
      </c>
      <c r="AD2" s="333">
        <v>41364</v>
      </c>
      <c r="AE2" s="333">
        <v>41394</v>
      </c>
      <c r="AF2" s="333">
        <v>41425</v>
      </c>
      <c r="AG2" s="333">
        <v>41455</v>
      </c>
      <c r="AH2" s="333">
        <v>41486</v>
      </c>
      <c r="AI2" s="333">
        <v>41517</v>
      </c>
      <c r="AJ2" s="333">
        <v>41547</v>
      </c>
      <c r="AK2" s="333">
        <v>41578</v>
      </c>
      <c r="AL2" s="333">
        <v>41608</v>
      </c>
      <c r="AM2" s="333">
        <v>41639</v>
      </c>
      <c r="AN2" s="267">
        <v>41670</v>
      </c>
      <c r="AO2" s="267">
        <v>41698</v>
      </c>
      <c r="AP2" s="267">
        <v>41729</v>
      </c>
      <c r="AQ2" s="267">
        <v>41759</v>
      </c>
      <c r="AR2" s="267">
        <v>41790</v>
      </c>
      <c r="AS2" s="267">
        <v>41820</v>
      </c>
      <c r="AT2" s="267">
        <v>41851</v>
      </c>
      <c r="AU2" s="267">
        <v>41882</v>
      </c>
      <c r="AV2" s="267">
        <v>41912</v>
      </c>
      <c r="AW2" s="267">
        <v>41943</v>
      </c>
      <c r="AX2" s="267">
        <v>41973</v>
      </c>
      <c r="AY2" s="267">
        <v>42004</v>
      </c>
    </row>
    <row r="3" spans="1:51" ht="22.5" x14ac:dyDescent="0.25">
      <c r="A3" s="214">
        <v>1</v>
      </c>
      <c r="B3" s="252" t="s">
        <v>161</v>
      </c>
      <c r="C3" s="132" t="s">
        <v>162</v>
      </c>
      <c r="D3" s="135">
        <v>2011</v>
      </c>
      <c r="E3" s="138">
        <v>40891</v>
      </c>
      <c r="F3" s="222">
        <f t="shared" ref="F3:F66" si="0">MONTH(E3)</f>
        <v>12</v>
      </c>
      <c r="G3" s="222" t="str">
        <f t="shared" ref="G3:G66" si="1">CONCATENATE(F3,D3)</f>
        <v>122011</v>
      </c>
      <c r="H3" s="222" t="str">
        <f t="shared" ref="H3:H66" si="2">TEXT(E3,"MMMM")</f>
        <v>diciembre</v>
      </c>
      <c r="I3" s="126" t="str">
        <f>VLOOKUP(B3,'Base de Datos'!$E$7:$T$271,14,0)</f>
        <v/>
      </c>
      <c r="J3" s="224" t="e">
        <f t="shared" ref="J3:J66" si="3">YEAR(I3)</f>
        <v>#VALUE!</v>
      </c>
      <c r="K3" s="223" t="e">
        <f t="shared" ref="K3:K66" si="4">MONTH(I3)</f>
        <v>#VALUE!</v>
      </c>
      <c r="L3" s="223" t="e">
        <f t="shared" ref="L3:L66" si="5">CONCATENATE(K3,J3)</f>
        <v>#VALUE!</v>
      </c>
      <c r="M3" s="223" t="str">
        <f t="shared" ref="M3:M66" si="6">TEXT(I3,"mmmm")</f>
        <v/>
      </c>
      <c r="N3" s="223" t="e">
        <f t="shared" ref="N3:N66" ca="1" si="7">$O$1-I3</f>
        <v>#VALUE!</v>
      </c>
      <c r="O3" s="268" t="e">
        <f t="shared" ref="O3:O66" ca="1" si="8">IF(N3&gt;0,"SI","NO")</f>
        <v>#VALUE!</v>
      </c>
      <c r="P3" s="268">
        <v>1</v>
      </c>
      <c r="Q3" s="268" t="str">
        <f t="shared" ref="Q3:Q66" si="9">IF(AND(E3&lt;$Q$2,I3&gt;$Q$2),"1","")</f>
        <v>1</v>
      </c>
      <c r="R3" s="268" t="str">
        <f t="shared" ref="R3:R66" si="10">IF(AND(E3&lt;$R$2,I3&gt;$R$2),"1","")</f>
        <v>1</v>
      </c>
      <c r="S3" s="268" t="str">
        <f t="shared" ref="S3:S66" si="11">IF(AND(E3&lt;$S$2,I3&gt;$S$2),"1","")</f>
        <v>1</v>
      </c>
      <c r="T3" s="268" t="str">
        <f t="shared" ref="T3:T66" si="12">IF(AND(E3&lt;$T$2,I3&gt;$T$2),"1","")</f>
        <v>1</v>
      </c>
      <c r="U3" s="268" t="str">
        <f t="shared" ref="U3:U66" si="13">IF(AND(E3&lt;$U$2,I3&gt;$U$2),"1","")</f>
        <v>1</v>
      </c>
      <c r="V3" s="268" t="str">
        <f>IF(AND(E3&lt;$V$2,I3&gt;$V$2),"1","")</f>
        <v>1</v>
      </c>
      <c r="W3" s="268" t="str">
        <f t="shared" ref="W3:W66" si="14">IF(AND(E3&lt;$W$2,I3&gt;$W$2),"1","")</f>
        <v>1</v>
      </c>
      <c r="X3" s="268" t="str">
        <f t="shared" ref="X3:X66" si="15">IF(AND(E3&lt;$X$2,I3&gt;$X$2),"1","")</f>
        <v>1</v>
      </c>
      <c r="Y3" s="268" t="str">
        <f>IF(AND(E3&lt;$Y$2,I3&gt;$Y$2),"1","")</f>
        <v>1</v>
      </c>
      <c r="Z3" s="268" t="str">
        <f t="shared" ref="Z3:Z66" si="16">IF(AND(E3&lt;$Z$2,I3&gt;$Z$2),"1","")</f>
        <v>1</v>
      </c>
      <c r="AA3" s="268" t="str">
        <f>IF(AND(E3&lt;$AA$2,I3&gt;$AA$2),"1","")</f>
        <v>1</v>
      </c>
      <c r="AB3" s="268" t="str">
        <f t="shared" ref="AB3:AB8" si="17">IF(AND(E3&lt;$AB$2,I3&gt;$AB$2),"1","")</f>
        <v>1</v>
      </c>
      <c r="AC3" s="268" t="str">
        <f t="shared" ref="AC3:AC9" si="18">IF(AND(E3&lt;$AC$2,I3&gt;$AC$2),"1","")</f>
        <v>1</v>
      </c>
      <c r="AD3" s="268" t="str">
        <f t="shared" ref="AD3:AD19" si="19">IF(AND(E3&lt;$AD$2,I3&gt;$AD$2),"1","")</f>
        <v>1</v>
      </c>
      <c r="AE3" s="268" t="str">
        <f t="shared" ref="AE3:AE29" si="20">IF(AND(E3&lt;$AE$2,I3&gt;$AE$2),"1","")</f>
        <v>1</v>
      </c>
      <c r="AF3" s="268" t="str">
        <f t="shared" ref="AF3:AF34" si="21">IF(AND(E3&lt;$AF$2,I3&gt;$AF$2),"1","")</f>
        <v>1</v>
      </c>
      <c r="AG3" s="268" t="str">
        <f t="shared" ref="AG3:AG42" si="22">IF(AND(E3&lt;$AG$2,I3&gt;$AG$2),"1","")</f>
        <v>1</v>
      </c>
      <c r="AH3" s="268" t="str">
        <f t="shared" ref="AH3:AH34" si="23">IF(AND(E3&lt;$AH$2,I3&gt;$AH$2),"1","")</f>
        <v>1</v>
      </c>
      <c r="AI3" s="268" t="str">
        <f t="shared" ref="AI3:AI34" si="24">IF(AND(E3&lt;$AI$2,I3&gt;$AI$2),"1","")</f>
        <v>1</v>
      </c>
      <c r="AJ3" s="268" t="str">
        <f t="shared" ref="AJ3:AJ34" si="25">IF(AND(E3&lt;$AJ$2,I3&gt;$AJ$2),"1","")</f>
        <v>1</v>
      </c>
      <c r="AK3" s="268" t="str">
        <f t="shared" ref="AK3:AK34" si="26">IF(AND(E3&lt;$AK$2,I3&gt;$AK$2),"1","")</f>
        <v>1</v>
      </c>
      <c r="AL3" s="268" t="str">
        <f t="shared" ref="AL3:AL34" si="27">IF(AND(E3&lt;$AL$2,I3&gt;$AL$2),"1","")</f>
        <v>1</v>
      </c>
      <c r="AM3" s="268" t="str">
        <f t="shared" ref="AM3:AM34" si="28">IF(AND(E3&lt;$AM$2,I3&gt;$AM$2),"1","")</f>
        <v>1</v>
      </c>
      <c r="AN3" s="223" t="str">
        <f t="shared" ref="AN3:AN34" si="29">IF(AND(E3&lt;$AN$2,I3&gt;$AN$2),"1","")</f>
        <v>1</v>
      </c>
      <c r="AO3" s="223" t="str">
        <f t="shared" ref="AO3:AO34" si="30">IF(AND(E3&lt;$AO$2,I3&gt;$AO$2),"1","")</f>
        <v>1</v>
      </c>
      <c r="AP3" s="223" t="str">
        <f t="shared" ref="AP3:AP34" si="31">IF(AND(E3&lt;$AP$2,I3&gt;$AP$2),"1","")</f>
        <v>1</v>
      </c>
      <c r="AQ3" s="223" t="str">
        <f t="shared" ref="AQ3:AQ34" si="32">IF(AND(E3&lt;$AQ$2,I3&gt;$AQ$2),"1","")</f>
        <v>1</v>
      </c>
      <c r="AR3" s="223" t="str">
        <f t="shared" ref="AR3:AR34" si="33">IF(AND(E3&lt;$AR$2,I3&gt;$AR$2),"1","")</f>
        <v>1</v>
      </c>
      <c r="AS3" s="223" t="str">
        <f t="shared" ref="AS3:AS34" si="34">IF(AND(E3&lt;$AS$2,I3&gt;$AS$2),"1","")</f>
        <v>1</v>
      </c>
      <c r="AT3" s="223" t="str">
        <f t="shared" ref="AT3:AT34" si="35">IF(AND(E3&lt;$AT$2,I3&gt;$AT$2),"1","")</f>
        <v>1</v>
      </c>
      <c r="AU3" s="223" t="str">
        <f t="shared" ref="AU3:AU34" si="36">IF(AND(E3&lt;$AU$2,I3&gt;$AU$2),"1","")</f>
        <v>1</v>
      </c>
      <c r="AV3" s="223" t="str">
        <f t="shared" ref="AV3:AV34" si="37">IF(AND(E3&lt;$AV$2,I3&gt;$AV$2),"1","")</f>
        <v>1</v>
      </c>
      <c r="AW3" s="223" t="str">
        <f t="shared" ref="AW3:AW34" si="38">IF(AND(E3&lt;$AW$2,I3&gt;$AW$2),"1","")</f>
        <v>1</v>
      </c>
      <c r="AX3" s="223" t="str">
        <f t="shared" ref="AX3:AX34" si="39">IF(AND(E3&lt;$AX$2,I3&gt;$AX$2),"1","")</f>
        <v>1</v>
      </c>
      <c r="AY3" s="223" t="str">
        <f t="shared" ref="AY3:AY34" si="40">IF(AND(E3&lt;$AY$2,I3&gt;$AY$2),"1","")</f>
        <v>1</v>
      </c>
    </row>
    <row r="4" spans="1:51" ht="33.75" x14ac:dyDescent="0.25">
      <c r="A4" s="214">
        <v>2</v>
      </c>
      <c r="B4" s="251" t="s">
        <v>170</v>
      </c>
      <c r="C4" s="132" t="s">
        <v>428</v>
      </c>
      <c r="D4" s="135">
        <v>2011</v>
      </c>
      <c r="E4" s="138">
        <v>40746</v>
      </c>
      <c r="F4" s="222">
        <f t="shared" si="0"/>
        <v>7</v>
      </c>
      <c r="G4" s="222" t="str">
        <f t="shared" si="1"/>
        <v>72011</v>
      </c>
      <c r="H4" s="222" t="str">
        <f t="shared" si="2"/>
        <v>julio</v>
      </c>
      <c r="I4" s="126" t="str">
        <f>VLOOKUP(B4,'Base de Datos'!$E$7:$T$271,14,0)</f>
        <v/>
      </c>
      <c r="J4" s="224" t="e">
        <f t="shared" si="3"/>
        <v>#VALUE!</v>
      </c>
      <c r="K4" s="223" t="e">
        <f t="shared" si="4"/>
        <v>#VALUE!</v>
      </c>
      <c r="L4" s="223" t="e">
        <f t="shared" si="5"/>
        <v>#VALUE!</v>
      </c>
      <c r="M4" s="223" t="str">
        <f t="shared" si="6"/>
        <v/>
      </c>
      <c r="N4" s="223" t="e">
        <f t="shared" ca="1" si="7"/>
        <v>#VALUE!</v>
      </c>
      <c r="O4" s="268" t="e">
        <f t="shared" ca="1" si="8"/>
        <v>#VALUE!</v>
      </c>
      <c r="P4" s="268" t="str">
        <f t="shared" ref="P4:P67" si="41">IF(AND(E4&lt;$P$2,I4&gt;$P$2),"1","")</f>
        <v>1</v>
      </c>
      <c r="Q4" s="268" t="str">
        <f t="shared" si="9"/>
        <v>1</v>
      </c>
      <c r="R4" s="268" t="str">
        <f t="shared" si="10"/>
        <v>1</v>
      </c>
      <c r="S4" s="268" t="str">
        <f t="shared" si="11"/>
        <v>1</v>
      </c>
      <c r="T4" s="268" t="str">
        <f t="shared" si="12"/>
        <v>1</v>
      </c>
      <c r="U4" s="268" t="str">
        <f t="shared" si="13"/>
        <v>1</v>
      </c>
      <c r="V4" s="268">
        <v>1</v>
      </c>
      <c r="W4" s="268" t="str">
        <f t="shared" si="14"/>
        <v>1</v>
      </c>
      <c r="X4" s="268" t="str">
        <f t="shared" si="15"/>
        <v>1</v>
      </c>
      <c r="Y4" s="268" t="str">
        <f>IF(AND(E4&lt;$Y$2,I4&gt;$Y$2),"1","")</f>
        <v>1</v>
      </c>
      <c r="Z4" s="268" t="str">
        <f t="shared" si="16"/>
        <v>1</v>
      </c>
      <c r="AA4" s="268" t="str">
        <f>IF(AND(E4&lt;$AA$2,I4&gt;$AA$2),"1","")</f>
        <v>1</v>
      </c>
      <c r="AB4" s="268" t="str">
        <f t="shared" si="17"/>
        <v>1</v>
      </c>
      <c r="AC4" s="268" t="str">
        <f t="shared" si="18"/>
        <v>1</v>
      </c>
      <c r="AD4" s="268" t="str">
        <f t="shared" si="19"/>
        <v>1</v>
      </c>
      <c r="AE4" s="268" t="str">
        <f t="shared" si="20"/>
        <v>1</v>
      </c>
      <c r="AF4" s="268" t="str">
        <f t="shared" si="21"/>
        <v>1</v>
      </c>
      <c r="AG4" s="268" t="str">
        <f t="shared" si="22"/>
        <v>1</v>
      </c>
      <c r="AH4" s="268" t="str">
        <f t="shared" si="23"/>
        <v>1</v>
      </c>
      <c r="AI4" s="268" t="str">
        <f t="shared" si="24"/>
        <v>1</v>
      </c>
      <c r="AJ4" s="268" t="str">
        <f t="shared" si="25"/>
        <v>1</v>
      </c>
      <c r="AK4" s="268" t="str">
        <f t="shared" si="26"/>
        <v>1</v>
      </c>
      <c r="AL4" s="268" t="str">
        <f t="shared" si="27"/>
        <v>1</v>
      </c>
      <c r="AM4" s="268" t="str">
        <f t="shared" si="28"/>
        <v>1</v>
      </c>
      <c r="AN4" s="223" t="str">
        <f t="shared" si="29"/>
        <v>1</v>
      </c>
      <c r="AO4" s="223" t="str">
        <f t="shared" si="30"/>
        <v>1</v>
      </c>
      <c r="AP4" s="223" t="str">
        <f t="shared" si="31"/>
        <v>1</v>
      </c>
      <c r="AQ4" s="223" t="str">
        <f t="shared" si="32"/>
        <v>1</v>
      </c>
      <c r="AR4" s="223" t="str">
        <f t="shared" si="33"/>
        <v>1</v>
      </c>
      <c r="AS4" s="223" t="str">
        <f t="shared" si="34"/>
        <v>1</v>
      </c>
      <c r="AT4" s="223" t="str">
        <f t="shared" si="35"/>
        <v>1</v>
      </c>
      <c r="AU4" s="223" t="str">
        <f t="shared" si="36"/>
        <v>1</v>
      </c>
      <c r="AV4" s="223" t="str">
        <f t="shared" si="37"/>
        <v>1</v>
      </c>
      <c r="AW4" s="223" t="str">
        <f t="shared" si="38"/>
        <v>1</v>
      </c>
      <c r="AX4" s="223" t="str">
        <f t="shared" si="39"/>
        <v>1</v>
      </c>
      <c r="AY4" s="223" t="str">
        <f t="shared" si="40"/>
        <v>1</v>
      </c>
    </row>
    <row r="5" spans="1:51" ht="22.5" x14ac:dyDescent="0.25">
      <c r="A5" s="214">
        <v>3</v>
      </c>
      <c r="B5" s="252" t="s">
        <v>153</v>
      </c>
      <c r="C5" s="132" t="s">
        <v>154</v>
      </c>
      <c r="D5" s="152">
        <v>2012</v>
      </c>
      <c r="E5" s="138">
        <v>41081</v>
      </c>
      <c r="F5" s="222">
        <f t="shared" si="0"/>
        <v>6</v>
      </c>
      <c r="G5" s="222" t="str">
        <f t="shared" si="1"/>
        <v>62012</v>
      </c>
      <c r="H5" s="222" t="str">
        <f t="shared" si="2"/>
        <v>junio</v>
      </c>
      <c r="I5" s="126" t="str">
        <f>VLOOKUP(B5,'Base de Datos'!$E$7:$T$271,14,0)</f>
        <v>1 mes y 20 días</v>
      </c>
      <c r="J5" s="224" t="e">
        <f t="shared" si="3"/>
        <v>#VALUE!</v>
      </c>
      <c r="K5" s="223" t="e">
        <f t="shared" si="4"/>
        <v>#VALUE!</v>
      </c>
      <c r="L5" s="223" t="e">
        <f t="shared" si="5"/>
        <v>#VALUE!</v>
      </c>
      <c r="M5" s="223" t="str">
        <f t="shared" si="6"/>
        <v>1 mes y 20 días</v>
      </c>
      <c r="N5" s="223" t="e">
        <f t="shared" ca="1" si="7"/>
        <v>#VALUE!</v>
      </c>
      <c r="O5" s="268" t="e">
        <f t="shared" ca="1" si="8"/>
        <v>#VALUE!</v>
      </c>
      <c r="P5" s="268" t="str">
        <f t="shared" si="41"/>
        <v/>
      </c>
      <c r="Q5" s="268" t="str">
        <f t="shared" si="9"/>
        <v/>
      </c>
      <c r="R5" s="268" t="str">
        <f t="shared" si="10"/>
        <v/>
      </c>
      <c r="S5" s="268" t="str">
        <f t="shared" si="11"/>
        <v/>
      </c>
      <c r="T5" s="268" t="str">
        <f t="shared" si="12"/>
        <v/>
      </c>
      <c r="U5" s="268" t="str">
        <f t="shared" si="13"/>
        <v>1</v>
      </c>
      <c r="V5" s="268" t="str">
        <f>IF(AND(E5&lt;$V$2,I5&gt;$V$2),"1","")</f>
        <v>1</v>
      </c>
      <c r="W5" s="268" t="str">
        <f t="shared" si="14"/>
        <v>1</v>
      </c>
      <c r="X5" s="268" t="str">
        <f t="shared" si="15"/>
        <v>1</v>
      </c>
      <c r="Y5" s="268">
        <v>1</v>
      </c>
      <c r="Z5" s="268" t="str">
        <f t="shared" si="16"/>
        <v>1</v>
      </c>
      <c r="AA5" s="268" t="str">
        <f>IF(AND(E5&lt;$AA$2,I5&gt;$AA$2),"1","")</f>
        <v>1</v>
      </c>
      <c r="AB5" s="268" t="str">
        <f t="shared" si="17"/>
        <v>1</v>
      </c>
      <c r="AC5" s="268" t="str">
        <f t="shared" si="18"/>
        <v>1</v>
      </c>
      <c r="AD5" s="268" t="str">
        <f t="shared" si="19"/>
        <v>1</v>
      </c>
      <c r="AE5" s="268" t="str">
        <f t="shared" si="20"/>
        <v>1</v>
      </c>
      <c r="AF5" s="268" t="str">
        <f t="shared" si="21"/>
        <v>1</v>
      </c>
      <c r="AG5" s="268" t="str">
        <f t="shared" si="22"/>
        <v>1</v>
      </c>
      <c r="AH5" s="268" t="str">
        <f t="shared" si="23"/>
        <v>1</v>
      </c>
      <c r="AI5" s="268" t="str">
        <f t="shared" si="24"/>
        <v>1</v>
      </c>
      <c r="AJ5" s="268" t="str">
        <f t="shared" si="25"/>
        <v>1</v>
      </c>
      <c r="AK5" s="268" t="str">
        <f t="shared" si="26"/>
        <v>1</v>
      </c>
      <c r="AL5" s="268" t="str">
        <f t="shared" si="27"/>
        <v>1</v>
      </c>
      <c r="AM5" s="268" t="str">
        <f t="shared" si="28"/>
        <v>1</v>
      </c>
      <c r="AN5" s="223" t="str">
        <f t="shared" si="29"/>
        <v>1</v>
      </c>
      <c r="AO5" s="223" t="str">
        <f t="shared" si="30"/>
        <v>1</v>
      </c>
      <c r="AP5" s="223" t="str">
        <f t="shared" si="31"/>
        <v>1</v>
      </c>
      <c r="AQ5" s="223" t="str">
        <f t="shared" si="32"/>
        <v>1</v>
      </c>
      <c r="AR5" s="223" t="str">
        <f t="shared" si="33"/>
        <v>1</v>
      </c>
      <c r="AS5" s="223" t="str">
        <f t="shared" si="34"/>
        <v>1</v>
      </c>
      <c r="AT5" s="223" t="str">
        <f t="shared" si="35"/>
        <v>1</v>
      </c>
      <c r="AU5" s="223" t="str">
        <f t="shared" si="36"/>
        <v>1</v>
      </c>
      <c r="AV5" s="223" t="str">
        <f t="shared" si="37"/>
        <v>1</v>
      </c>
      <c r="AW5" s="223" t="str">
        <f t="shared" si="38"/>
        <v>1</v>
      </c>
      <c r="AX5" s="223" t="str">
        <f t="shared" si="39"/>
        <v>1</v>
      </c>
      <c r="AY5" s="223" t="str">
        <f t="shared" si="40"/>
        <v>1</v>
      </c>
    </row>
    <row r="6" spans="1:51" ht="22.5" x14ac:dyDescent="0.25">
      <c r="A6" s="214">
        <v>4</v>
      </c>
      <c r="B6" s="254" t="s">
        <v>5</v>
      </c>
      <c r="C6" s="145" t="s">
        <v>431</v>
      </c>
      <c r="D6" s="135">
        <v>2011</v>
      </c>
      <c r="E6" s="147">
        <v>40897</v>
      </c>
      <c r="F6" s="222">
        <f t="shared" si="0"/>
        <v>12</v>
      </c>
      <c r="G6" s="222" t="str">
        <f t="shared" si="1"/>
        <v>122011</v>
      </c>
      <c r="H6" s="222" t="str">
        <f t="shared" si="2"/>
        <v>diciembre</v>
      </c>
      <c r="I6" s="126" t="str">
        <f>VLOOKUP(B6,'Base de Datos'!$E$7:$T$271,14,0)</f>
        <v>4 meses y 10 días</v>
      </c>
      <c r="J6" s="224" t="e">
        <f t="shared" si="3"/>
        <v>#VALUE!</v>
      </c>
      <c r="K6" s="223" t="e">
        <f t="shared" si="4"/>
        <v>#VALUE!</v>
      </c>
      <c r="L6" s="223" t="e">
        <f t="shared" si="5"/>
        <v>#VALUE!</v>
      </c>
      <c r="M6" s="223" t="str">
        <f t="shared" si="6"/>
        <v>4 meses y 10 días</v>
      </c>
      <c r="N6" s="223" t="e">
        <f t="shared" ca="1" si="7"/>
        <v>#VALUE!</v>
      </c>
      <c r="O6" s="268" t="e">
        <f t="shared" ca="1" si="8"/>
        <v>#VALUE!</v>
      </c>
      <c r="P6" s="268" t="str">
        <f t="shared" si="41"/>
        <v>1</v>
      </c>
      <c r="Q6" s="268" t="str">
        <f t="shared" si="9"/>
        <v>1</v>
      </c>
      <c r="R6" s="268" t="str">
        <f t="shared" si="10"/>
        <v>1</v>
      </c>
      <c r="S6" s="268" t="str">
        <f t="shared" si="11"/>
        <v>1</v>
      </c>
      <c r="T6" s="268" t="str">
        <f t="shared" si="12"/>
        <v>1</v>
      </c>
      <c r="U6" s="268" t="str">
        <f t="shared" si="13"/>
        <v>1</v>
      </c>
      <c r="V6" s="268">
        <v>1</v>
      </c>
      <c r="W6" s="268" t="str">
        <f t="shared" si="14"/>
        <v>1</v>
      </c>
      <c r="X6" s="268" t="str">
        <f t="shared" si="15"/>
        <v>1</v>
      </c>
      <c r="Y6" s="268" t="str">
        <f t="shared" ref="Y6:Y69" si="42">IF(AND(E6&lt;$Y$2,I6&gt;$Y$2),"1","")</f>
        <v>1</v>
      </c>
      <c r="Z6" s="268" t="str">
        <f t="shared" si="16"/>
        <v>1</v>
      </c>
      <c r="AA6" s="268" t="str">
        <f>IF(AND(E6&lt;$AA$2,I6&gt;$AA$2),"1","")</f>
        <v>1</v>
      </c>
      <c r="AB6" s="268" t="str">
        <f t="shared" si="17"/>
        <v>1</v>
      </c>
      <c r="AC6" s="268" t="str">
        <f t="shared" si="18"/>
        <v>1</v>
      </c>
      <c r="AD6" s="268" t="str">
        <f t="shared" si="19"/>
        <v>1</v>
      </c>
      <c r="AE6" s="268" t="str">
        <f t="shared" si="20"/>
        <v>1</v>
      </c>
      <c r="AF6" s="268" t="str">
        <f t="shared" si="21"/>
        <v>1</v>
      </c>
      <c r="AG6" s="268" t="str">
        <f t="shared" si="22"/>
        <v>1</v>
      </c>
      <c r="AH6" s="268" t="str">
        <f t="shared" si="23"/>
        <v>1</v>
      </c>
      <c r="AI6" s="268" t="str">
        <f t="shared" si="24"/>
        <v>1</v>
      </c>
      <c r="AJ6" s="268" t="str">
        <f t="shared" si="25"/>
        <v>1</v>
      </c>
      <c r="AK6" s="268" t="str">
        <f t="shared" si="26"/>
        <v>1</v>
      </c>
      <c r="AL6" s="268" t="str">
        <f t="shared" si="27"/>
        <v>1</v>
      </c>
      <c r="AM6" s="268" t="str">
        <f t="shared" si="28"/>
        <v>1</v>
      </c>
      <c r="AN6" s="223" t="str">
        <f t="shared" si="29"/>
        <v>1</v>
      </c>
      <c r="AO6" s="223" t="str">
        <f t="shared" si="30"/>
        <v>1</v>
      </c>
      <c r="AP6" s="223" t="str">
        <f t="shared" si="31"/>
        <v>1</v>
      </c>
      <c r="AQ6" s="223" t="str">
        <f t="shared" si="32"/>
        <v>1</v>
      </c>
      <c r="AR6" s="223" t="str">
        <f t="shared" si="33"/>
        <v>1</v>
      </c>
      <c r="AS6" s="223" t="str">
        <f t="shared" si="34"/>
        <v>1</v>
      </c>
      <c r="AT6" s="223" t="str">
        <f t="shared" si="35"/>
        <v>1</v>
      </c>
      <c r="AU6" s="223" t="str">
        <f t="shared" si="36"/>
        <v>1</v>
      </c>
      <c r="AV6" s="223" t="str">
        <f t="shared" si="37"/>
        <v>1</v>
      </c>
      <c r="AW6" s="223" t="str">
        <f t="shared" si="38"/>
        <v>1</v>
      </c>
      <c r="AX6" s="223" t="str">
        <f t="shared" si="39"/>
        <v>1</v>
      </c>
      <c r="AY6" s="223" t="str">
        <f t="shared" si="40"/>
        <v>1</v>
      </c>
    </row>
    <row r="7" spans="1:51" ht="22.5" x14ac:dyDescent="0.25">
      <c r="A7" s="214">
        <v>5</v>
      </c>
      <c r="B7" s="252" t="s">
        <v>105</v>
      </c>
      <c r="C7" s="132" t="s">
        <v>1012</v>
      </c>
      <c r="D7" s="152">
        <v>2012</v>
      </c>
      <c r="E7" s="136">
        <v>41193</v>
      </c>
      <c r="F7" s="222">
        <f t="shared" si="0"/>
        <v>10</v>
      </c>
      <c r="G7" s="222" t="str">
        <f t="shared" si="1"/>
        <v>102012</v>
      </c>
      <c r="H7" s="222" t="str">
        <f t="shared" si="2"/>
        <v>octubre</v>
      </c>
      <c r="I7" s="126" t="str">
        <f>VLOOKUP(B7,'Base de Datos'!$E$7:$T$271,14,0)</f>
        <v>9 días</v>
      </c>
      <c r="J7" s="224" t="e">
        <f t="shared" si="3"/>
        <v>#VALUE!</v>
      </c>
      <c r="K7" s="223" t="e">
        <f t="shared" si="4"/>
        <v>#VALUE!</v>
      </c>
      <c r="L7" s="223" t="e">
        <f t="shared" si="5"/>
        <v>#VALUE!</v>
      </c>
      <c r="M7" s="223" t="str">
        <f t="shared" si="6"/>
        <v>9 días</v>
      </c>
      <c r="N7" s="223" t="e">
        <f t="shared" ca="1" si="7"/>
        <v>#VALUE!</v>
      </c>
      <c r="O7" s="268" t="e">
        <f t="shared" ca="1" si="8"/>
        <v>#VALUE!</v>
      </c>
      <c r="P7" s="268" t="str">
        <f t="shared" si="41"/>
        <v/>
      </c>
      <c r="Q7" s="268" t="str">
        <f t="shared" si="9"/>
        <v/>
      </c>
      <c r="R7" s="268" t="str">
        <f t="shared" si="10"/>
        <v/>
      </c>
      <c r="S7" s="268" t="str">
        <f t="shared" si="11"/>
        <v/>
      </c>
      <c r="T7" s="268" t="str">
        <f t="shared" si="12"/>
        <v/>
      </c>
      <c r="U7" s="268" t="str">
        <f t="shared" si="13"/>
        <v/>
      </c>
      <c r="V7" s="268" t="str">
        <f t="shared" ref="V7:V70" si="43">IF(AND(E7&lt;$V$2,I7&gt;$V$2),"1","")</f>
        <v/>
      </c>
      <c r="W7" s="268" t="str">
        <f t="shared" si="14"/>
        <v/>
      </c>
      <c r="X7" s="268" t="str">
        <f t="shared" si="15"/>
        <v/>
      </c>
      <c r="Y7" s="268" t="str">
        <f t="shared" si="42"/>
        <v>1</v>
      </c>
      <c r="Z7" s="268" t="str">
        <f t="shared" si="16"/>
        <v>1</v>
      </c>
      <c r="AA7" s="268">
        <v>1</v>
      </c>
      <c r="AB7" s="268" t="str">
        <f t="shared" si="17"/>
        <v>1</v>
      </c>
      <c r="AC7" s="268" t="str">
        <f t="shared" si="18"/>
        <v>1</v>
      </c>
      <c r="AD7" s="268" t="str">
        <f t="shared" si="19"/>
        <v>1</v>
      </c>
      <c r="AE7" s="268" t="str">
        <f t="shared" si="20"/>
        <v>1</v>
      </c>
      <c r="AF7" s="268" t="str">
        <f t="shared" si="21"/>
        <v>1</v>
      </c>
      <c r="AG7" s="268" t="str">
        <f t="shared" si="22"/>
        <v>1</v>
      </c>
      <c r="AH7" s="268" t="str">
        <f t="shared" si="23"/>
        <v>1</v>
      </c>
      <c r="AI7" s="268" t="str">
        <f t="shared" si="24"/>
        <v>1</v>
      </c>
      <c r="AJ7" s="268" t="str">
        <f t="shared" si="25"/>
        <v>1</v>
      </c>
      <c r="AK7" s="268" t="str">
        <f t="shared" si="26"/>
        <v>1</v>
      </c>
      <c r="AL7" s="268" t="str">
        <f t="shared" si="27"/>
        <v>1</v>
      </c>
      <c r="AM7" s="268" t="str">
        <f t="shared" si="28"/>
        <v>1</v>
      </c>
      <c r="AN7" s="223" t="str">
        <f t="shared" si="29"/>
        <v>1</v>
      </c>
      <c r="AO7" s="223" t="str">
        <f t="shared" si="30"/>
        <v>1</v>
      </c>
      <c r="AP7" s="223" t="str">
        <f t="shared" si="31"/>
        <v>1</v>
      </c>
      <c r="AQ7" s="223" t="str">
        <f t="shared" si="32"/>
        <v>1</v>
      </c>
      <c r="AR7" s="223" t="str">
        <f t="shared" si="33"/>
        <v>1</v>
      </c>
      <c r="AS7" s="223" t="str">
        <f t="shared" si="34"/>
        <v>1</v>
      </c>
      <c r="AT7" s="223" t="str">
        <f t="shared" si="35"/>
        <v>1</v>
      </c>
      <c r="AU7" s="223" t="str">
        <f t="shared" si="36"/>
        <v>1</v>
      </c>
      <c r="AV7" s="223" t="str">
        <f t="shared" si="37"/>
        <v>1</v>
      </c>
      <c r="AW7" s="223" t="str">
        <f t="shared" si="38"/>
        <v>1</v>
      </c>
      <c r="AX7" s="223" t="str">
        <f t="shared" si="39"/>
        <v>1</v>
      </c>
      <c r="AY7" s="223" t="str">
        <f t="shared" si="40"/>
        <v>1</v>
      </c>
    </row>
    <row r="8" spans="1:51" ht="22.5" x14ac:dyDescent="0.25">
      <c r="A8" s="214">
        <v>6</v>
      </c>
      <c r="B8" s="252" t="s">
        <v>103</v>
      </c>
      <c r="C8" s="132" t="s">
        <v>104</v>
      </c>
      <c r="D8" s="152">
        <v>2012</v>
      </c>
      <c r="E8" s="136">
        <v>41213</v>
      </c>
      <c r="F8" s="222">
        <f t="shared" si="0"/>
        <v>10</v>
      </c>
      <c r="G8" s="222" t="str">
        <f t="shared" si="1"/>
        <v>102012</v>
      </c>
      <c r="H8" s="222" t="str">
        <f t="shared" si="2"/>
        <v>octubre</v>
      </c>
      <c r="I8" s="126" t="str">
        <f>VLOOKUP(B8,'Base de Datos'!$E$7:$T$271,14,0)</f>
        <v/>
      </c>
      <c r="J8" s="224" t="e">
        <f t="shared" si="3"/>
        <v>#VALUE!</v>
      </c>
      <c r="K8" s="223" t="e">
        <f t="shared" si="4"/>
        <v>#VALUE!</v>
      </c>
      <c r="L8" s="223" t="e">
        <f t="shared" si="5"/>
        <v>#VALUE!</v>
      </c>
      <c r="M8" s="223" t="str">
        <f t="shared" si="6"/>
        <v/>
      </c>
      <c r="N8" s="223" t="e">
        <f t="shared" ca="1" si="7"/>
        <v>#VALUE!</v>
      </c>
      <c r="O8" s="268" t="e">
        <f t="shared" ca="1" si="8"/>
        <v>#VALUE!</v>
      </c>
      <c r="P8" s="268" t="str">
        <f t="shared" si="41"/>
        <v/>
      </c>
      <c r="Q8" s="268" t="str">
        <f t="shared" si="9"/>
        <v/>
      </c>
      <c r="R8" s="268" t="str">
        <f t="shared" si="10"/>
        <v/>
      </c>
      <c r="S8" s="268" t="str">
        <f t="shared" si="11"/>
        <v/>
      </c>
      <c r="T8" s="268" t="str">
        <f t="shared" si="12"/>
        <v/>
      </c>
      <c r="U8" s="268" t="str">
        <f t="shared" si="13"/>
        <v/>
      </c>
      <c r="V8" s="268" t="str">
        <f t="shared" si="43"/>
        <v/>
      </c>
      <c r="W8" s="268" t="str">
        <f t="shared" si="14"/>
        <v/>
      </c>
      <c r="X8" s="268" t="str">
        <f t="shared" si="15"/>
        <v/>
      </c>
      <c r="Y8" s="268" t="str">
        <f t="shared" si="42"/>
        <v/>
      </c>
      <c r="Z8" s="268" t="str">
        <f t="shared" si="16"/>
        <v>1</v>
      </c>
      <c r="AA8" s="268">
        <v>1</v>
      </c>
      <c r="AB8" s="268" t="str">
        <f t="shared" si="17"/>
        <v>1</v>
      </c>
      <c r="AC8" s="268" t="str">
        <f t="shared" si="18"/>
        <v>1</v>
      </c>
      <c r="AD8" s="268" t="str">
        <f t="shared" si="19"/>
        <v>1</v>
      </c>
      <c r="AE8" s="268" t="str">
        <f t="shared" si="20"/>
        <v>1</v>
      </c>
      <c r="AF8" s="268" t="str">
        <f t="shared" si="21"/>
        <v>1</v>
      </c>
      <c r="AG8" s="268" t="str">
        <f t="shared" si="22"/>
        <v>1</v>
      </c>
      <c r="AH8" s="268" t="str">
        <f t="shared" si="23"/>
        <v>1</v>
      </c>
      <c r="AI8" s="268" t="str">
        <f t="shared" si="24"/>
        <v>1</v>
      </c>
      <c r="AJ8" s="268" t="str">
        <f t="shared" si="25"/>
        <v>1</v>
      </c>
      <c r="AK8" s="268" t="str">
        <f t="shared" si="26"/>
        <v>1</v>
      </c>
      <c r="AL8" s="268" t="str">
        <f t="shared" si="27"/>
        <v>1</v>
      </c>
      <c r="AM8" s="268" t="str">
        <f t="shared" si="28"/>
        <v>1</v>
      </c>
      <c r="AN8" s="223" t="str">
        <f t="shared" si="29"/>
        <v>1</v>
      </c>
      <c r="AO8" s="223" t="str">
        <f t="shared" si="30"/>
        <v>1</v>
      </c>
      <c r="AP8" s="223" t="str">
        <f t="shared" si="31"/>
        <v>1</v>
      </c>
      <c r="AQ8" s="223" t="str">
        <f t="shared" si="32"/>
        <v>1</v>
      </c>
      <c r="AR8" s="223" t="str">
        <f t="shared" si="33"/>
        <v>1</v>
      </c>
      <c r="AS8" s="223" t="str">
        <f t="shared" si="34"/>
        <v>1</v>
      </c>
      <c r="AT8" s="223" t="str">
        <f t="shared" si="35"/>
        <v>1</v>
      </c>
      <c r="AU8" s="223" t="str">
        <f t="shared" si="36"/>
        <v>1</v>
      </c>
      <c r="AV8" s="223" t="str">
        <f t="shared" si="37"/>
        <v>1</v>
      </c>
      <c r="AW8" s="223" t="str">
        <f t="shared" si="38"/>
        <v>1</v>
      </c>
      <c r="AX8" s="223" t="str">
        <f t="shared" si="39"/>
        <v>1</v>
      </c>
      <c r="AY8" s="223" t="str">
        <f t="shared" si="40"/>
        <v>1</v>
      </c>
    </row>
    <row r="9" spans="1:51" ht="22.5" x14ac:dyDescent="0.25">
      <c r="A9" s="214">
        <v>7</v>
      </c>
      <c r="B9" s="250" t="s">
        <v>399</v>
      </c>
      <c r="C9" s="132" t="s">
        <v>424</v>
      </c>
      <c r="D9" s="152">
        <v>2012</v>
      </c>
      <c r="E9" s="138">
        <v>41235</v>
      </c>
      <c r="F9" s="222">
        <f t="shared" si="0"/>
        <v>11</v>
      </c>
      <c r="G9" s="222" t="str">
        <f t="shared" si="1"/>
        <v>112012</v>
      </c>
      <c r="H9" s="222" t="str">
        <f t="shared" si="2"/>
        <v>noviembre</v>
      </c>
      <c r="I9" s="126" t="str">
        <f>VLOOKUP(B9,'Base de Datos'!$E$7:$T$271,14,0)</f>
        <v/>
      </c>
      <c r="J9" s="224" t="e">
        <f t="shared" si="3"/>
        <v>#VALUE!</v>
      </c>
      <c r="K9" s="223" t="e">
        <f t="shared" si="4"/>
        <v>#VALUE!</v>
      </c>
      <c r="L9" s="223" t="e">
        <f t="shared" si="5"/>
        <v>#VALUE!</v>
      </c>
      <c r="M9" s="223" t="str">
        <f t="shared" si="6"/>
        <v/>
      </c>
      <c r="N9" s="223" t="e">
        <f t="shared" ca="1" si="7"/>
        <v>#VALUE!</v>
      </c>
      <c r="O9" s="268" t="e">
        <f t="shared" ca="1" si="8"/>
        <v>#VALUE!</v>
      </c>
      <c r="P9" s="268" t="str">
        <f t="shared" si="41"/>
        <v/>
      </c>
      <c r="Q9" s="268" t="str">
        <f t="shared" si="9"/>
        <v/>
      </c>
      <c r="R9" s="268" t="str">
        <f t="shared" si="10"/>
        <v/>
      </c>
      <c r="S9" s="268" t="str">
        <f t="shared" si="11"/>
        <v/>
      </c>
      <c r="T9" s="268" t="str">
        <f t="shared" si="12"/>
        <v/>
      </c>
      <c r="U9" s="268" t="str">
        <f t="shared" si="13"/>
        <v/>
      </c>
      <c r="V9" s="268" t="str">
        <f t="shared" si="43"/>
        <v/>
      </c>
      <c r="W9" s="268" t="str">
        <f t="shared" si="14"/>
        <v/>
      </c>
      <c r="X9" s="268" t="str">
        <f t="shared" si="15"/>
        <v/>
      </c>
      <c r="Y9" s="268" t="str">
        <f t="shared" si="42"/>
        <v/>
      </c>
      <c r="Z9" s="268" t="str">
        <f t="shared" si="16"/>
        <v>1</v>
      </c>
      <c r="AA9" s="268" t="str">
        <f t="shared" ref="AA9:AA20" si="44">IF(AND(E9&lt;$AA$2,I9&gt;$AA$2),"1","")</f>
        <v>1</v>
      </c>
      <c r="AB9" s="268">
        <v>1</v>
      </c>
      <c r="AC9" s="268" t="str">
        <f t="shared" si="18"/>
        <v>1</v>
      </c>
      <c r="AD9" s="268" t="str">
        <f t="shared" si="19"/>
        <v>1</v>
      </c>
      <c r="AE9" s="268" t="str">
        <f t="shared" si="20"/>
        <v>1</v>
      </c>
      <c r="AF9" s="268" t="str">
        <f t="shared" si="21"/>
        <v>1</v>
      </c>
      <c r="AG9" s="268" t="str">
        <f t="shared" si="22"/>
        <v>1</v>
      </c>
      <c r="AH9" s="268" t="str">
        <f t="shared" si="23"/>
        <v>1</v>
      </c>
      <c r="AI9" s="268" t="str">
        <f t="shared" si="24"/>
        <v>1</v>
      </c>
      <c r="AJ9" s="268" t="str">
        <f t="shared" si="25"/>
        <v>1</v>
      </c>
      <c r="AK9" s="268" t="str">
        <f t="shared" si="26"/>
        <v>1</v>
      </c>
      <c r="AL9" s="268" t="str">
        <f t="shared" si="27"/>
        <v>1</v>
      </c>
      <c r="AM9" s="268" t="str">
        <f t="shared" si="28"/>
        <v>1</v>
      </c>
      <c r="AN9" s="223" t="str">
        <f t="shared" si="29"/>
        <v>1</v>
      </c>
      <c r="AO9" s="223" t="str">
        <f t="shared" si="30"/>
        <v>1</v>
      </c>
      <c r="AP9" s="223" t="str">
        <f t="shared" si="31"/>
        <v>1</v>
      </c>
      <c r="AQ9" s="223" t="str">
        <f t="shared" si="32"/>
        <v>1</v>
      </c>
      <c r="AR9" s="223" t="str">
        <f t="shared" si="33"/>
        <v>1</v>
      </c>
      <c r="AS9" s="223" t="str">
        <f t="shared" si="34"/>
        <v>1</v>
      </c>
      <c r="AT9" s="223" t="str">
        <f t="shared" si="35"/>
        <v>1</v>
      </c>
      <c r="AU9" s="223" t="str">
        <f t="shared" si="36"/>
        <v>1</v>
      </c>
      <c r="AV9" s="223" t="str">
        <f t="shared" si="37"/>
        <v>1</v>
      </c>
      <c r="AW9" s="223" t="str">
        <f t="shared" si="38"/>
        <v>1</v>
      </c>
      <c r="AX9" s="223" t="str">
        <f t="shared" si="39"/>
        <v>1</v>
      </c>
      <c r="AY9" s="223" t="str">
        <f t="shared" si="40"/>
        <v>1</v>
      </c>
    </row>
    <row r="10" spans="1:51" ht="22.5" x14ac:dyDescent="0.25">
      <c r="A10" s="214">
        <v>8</v>
      </c>
      <c r="B10" s="253" t="s">
        <v>118</v>
      </c>
      <c r="C10" s="145" t="s">
        <v>1014</v>
      </c>
      <c r="D10" s="152">
        <v>2012</v>
      </c>
      <c r="E10" s="147">
        <v>41246</v>
      </c>
      <c r="F10" s="222">
        <f t="shared" si="0"/>
        <v>12</v>
      </c>
      <c r="G10" s="222" t="str">
        <f t="shared" si="1"/>
        <v>122012</v>
      </c>
      <c r="H10" s="222" t="str">
        <f t="shared" si="2"/>
        <v>diciembre</v>
      </c>
      <c r="I10" s="126" t="str">
        <f>VLOOKUP(B10,'Base de Datos'!$E$7:$T$271,14,0)</f>
        <v/>
      </c>
      <c r="J10" s="224" t="e">
        <f t="shared" si="3"/>
        <v>#VALUE!</v>
      </c>
      <c r="K10" s="223" t="e">
        <f t="shared" si="4"/>
        <v>#VALUE!</v>
      </c>
      <c r="L10" s="223" t="e">
        <f t="shared" si="5"/>
        <v>#VALUE!</v>
      </c>
      <c r="M10" s="223" t="str">
        <f t="shared" si="6"/>
        <v/>
      </c>
      <c r="N10" s="223" t="e">
        <f t="shared" ca="1" si="7"/>
        <v>#VALUE!</v>
      </c>
      <c r="O10" s="268" t="e">
        <f t="shared" ca="1" si="8"/>
        <v>#VALUE!</v>
      </c>
      <c r="P10" s="268" t="str">
        <f t="shared" si="41"/>
        <v/>
      </c>
      <c r="Q10" s="268" t="str">
        <f t="shared" si="9"/>
        <v/>
      </c>
      <c r="R10" s="268" t="str">
        <f t="shared" si="10"/>
        <v/>
      </c>
      <c r="S10" s="268" t="str">
        <f t="shared" si="11"/>
        <v/>
      </c>
      <c r="T10" s="268" t="str">
        <f t="shared" si="12"/>
        <v/>
      </c>
      <c r="U10" s="268" t="str">
        <f t="shared" si="13"/>
        <v/>
      </c>
      <c r="V10" s="268" t="str">
        <f t="shared" si="43"/>
        <v/>
      </c>
      <c r="W10" s="268" t="str">
        <f t="shared" si="14"/>
        <v/>
      </c>
      <c r="X10" s="268" t="str">
        <f t="shared" si="15"/>
        <v/>
      </c>
      <c r="Y10" s="268" t="str">
        <f t="shared" si="42"/>
        <v/>
      </c>
      <c r="Z10" s="268" t="str">
        <f t="shared" si="16"/>
        <v/>
      </c>
      <c r="AA10" s="268" t="str">
        <f t="shared" si="44"/>
        <v>1</v>
      </c>
      <c r="AB10" s="268" t="str">
        <f t="shared" ref="AB10:AB73" si="45">IF(AND(E10&lt;$AB$2,I10&gt;$AB$2),"1","")</f>
        <v>1</v>
      </c>
      <c r="AC10" s="268">
        <v>1</v>
      </c>
      <c r="AD10" s="268" t="str">
        <f t="shared" si="19"/>
        <v>1</v>
      </c>
      <c r="AE10" s="268" t="str">
        <f t="shared" si="20"/>
        <v>1</v>
      </c>
      <c r="AF10" s="268" t="str">
        <f t="shared" si="21"/>
        <v>1</v>
      </c>
      <c r="AG10" s="268" t="str">
        <f t="shared" si="22"/>
        <v>1</v>
      </c>
      <c r="AH10" s="268" t="str">
        <f t="shared" si="23"/>
        <v>1</v>
      </c>
      <c r="AI10" s="268" t="str">
        <f t="shared" si="24"/>
        <v>1</v>
      </c>
      <c r="AJ10" s="268" t="str">
        <f t="shared" si="25"/>
        <v>1</v>
      </c>
      <c r="AK10" s="268" t="str">
        <f t="shared" si="26"/>
        <v>1</v>
      </c>
      <c r="AL10" s="268" t="str">
        <f t="shared" si="27"/>
        <v>1</v>
      </c>
      <c r="AM10" s="268" t="str">
        <f t="shared" si="28"/>
        <v>1</v>
      </c>
      <c r="AN10" s="223" t="str">
        <f t="shared" si="29"/>
        <v>1</v>
      </c>
      <c r="AO10" s="223" t="str">
        <f t="shared" si="30"/>
        <v>1</v>
      </c>
      <c r="AP10" s="223" t="str">
        <f t="shared" si="31"/>
        <v>1</v>
      </c>
      <c r="AQ10" s="223" t="str">
        <f t="shared" si="32"/>
        <v>1</v>
      </c>
      <c r="AR10" s="223" t="str">
        <f t="shared" si="33"/>
        <v>1</v>
      </c>
      <c r="AS10" s="223" t="str">
        <f t="shared" si="34"/>
        <v>1</v>
      </c>
      <c r="AT10" s="223" t="str">
        <f t="shared" si="35"/>
        <v>1</v>
      </c>
      <c r="AU10" s="223" t="str">
        <f t="shared" si="36"/>
        <v>1</v>
      </c>
      <c r="AV10" s="223" t="str">
        <f t="shared" si="37"/>
        <v>1</v>
      </c>
      <c r="AW10" s="223" t="str">
        <f t="shared" si="38"/>
        <v>1</v>
      </c>
      <c r="AX10" s="223" t="str">
        <f t="shared" si="39"/>
        <v>1</v>
      </c>
      <c r="AY10" s="223" t="str">
        <f t="shared" si="40"/>
        <v>1</v>
      </c>
    </row>
    <row r="11" spans="1:51" ht="33.75" x14ac:dyDescent="0.25">
      <c r="A11" s="214">
        <v>9</v>
      </c>
      <c r="B11" s="252" t="s">
        <v>163</v>
      </c>
      <c r="C11" s="132" t="s">
        <v>432</v>
      </c>
      <c r="D11" s="135">
        <v>2011</v>
      </c>
      <c r="E11" s="138">
        <v>40946</v>
      </c>
      <c r="F11" s="222">
        <f t="shared" si="0"/>
        <v>2</v>
      </c>
      <c r="G11" s="222" t="str">
        <f t="shared" si="1"/>
        <v>22011</v>
      </c>
      <c r="H11" s="222" t="str">
        <f t="shared" si="2"/>
        <v>febrero</v>
      </c>
      <c r="I11" s="126" t="str">
        <f>VLOOKUP(B11,'Base de Datos'!$E$7:$T$271,14,0)</f>
        <v/>
      </c>
      <c r="J11" s="224" t="e">
        <f t="shared" si="3"/>
        <v>#VALUE!</v>
      </c>
      <c r="K11" s="223" t="e">
        <f t="shared" si="4"/>
        <v>#VALUE!</v>
      </c>
      <c r="L11" s="223" t="e">
        <f t="shared" si="5"/>
        <v>#VALUE!</v>
      </c>
      <c r="M11" s="223" t="str">
        <f t="shared" si="6"/>
        <v/>
      </c>
      <c r="N11" s="223" t="e">
        <f t="shared" ca="1" si="7"/>
        <v>#VALUE!</v>
      </c>
      <c r="O11" s="268" t="e">
        <f t="shared" ca="1" si="8"/>
        <v>#VALUE!</v>
      </c>
      <c r="P11" s="268" t="str">
        <f t="shared" si="41"/>
        <v/>
      </c>
      <c r="Q11" s="268" t="str">
        <f t="shared" si="9"/>
        <v>1</v>
      </c>
      <c r="R11" s="268" t="str">
        <f t="shared" si="10"/>
        <v>1</v>
      </c>
      <c r="S11" s="268" t="str">
        <f t="shared" si="11"/>
        <v>1</v>
      </c>
      <c r="T11" s="268" t="str">
        <f t="shared" si="12"/>
        <v>1</v>
      </c>
      <c r="U11" s="268" t="str">
        <f t="shared" si="13"/>
        <v>1</v>
      </c>
      <c r="V11" s="268" t="str">
        <f t="shared" si="43"/>
        <v>1</v>
      </c>
      <c r="W11" s="268" t="str">
        <f t="shared" si="14"/>
        <v>1</v>
      </c>
      <c r="X11" s="268" t="str">
        <f t="shared" si="15"/>
        <v>1</v>
      </c>
      <c r="Y11" s="268" t="str">
        <f t="shared" si="42"/>
        <v>1</v>
      </c>
      <c r="Z11" s="268" t="str">
        <f t="shared" si="16"/>
        <v>1</v>
      </c>
      <c r="AA11" s="268" t="str">
        <f t="shared" si="44"/>
        <v>1</v>
      </c>
      <c r="AB11" s="268" t="str">
        <f t="shared" si="45"/>
        <v>1</v>
      </c>
      <c r="AC11" s="268">
        <v>1</v>
      </c>
      <c r="AD11" s="268" t="str">
        <f t="shared" si="19"/>
        <v>1</v>
      </c>
      <c r="AE11" s="268" t="str">
        <f t="shared" si="20"/>
        <v>1</v>
      </c>
      <c r="AF11" s="268" t="str">
        <f t="shared" si="21"/>
        <v>1</v>
      </c>
      <c r="AG11" s="268" t="str">
        <f t="shared" si="22"/>
        <v>1</v>
      </c>
      <c r="AH11" s="268" t="str">
        <f t="shared" si="23"/>
        <v>1</v>
      </c>
      <c r="AI11" s="268" t="str">
        <f t="shared" si="24"/>
        <v>1</v>
      </c>
      <c r="AJ11" s="268" t="str">
        <f t="shared" si="25"/>
        <v>1</v>
      </c>
      <c r="AK11" s="268" t="str">
        <f t="shared" si="26"/>
        <v>1</v>
      </c>
      <c r="AL11" s="268" t="str">
        <f t="shared" si="27"/>
        <v>1</v>
      </c>
      <c r="AM11" s="268" t="str">
        <f t="shared" si="28"/>
        <v>1</v>
      </c>
      <c r="AN11" s="223" t="str">
        <f t="shared" si="29"/>
        <v>1</v>
      </c>
      <c r="AO11" s="223" t="str">
        <f t="shared" si="30"/>
        <v>1</v>
      </c>
      <c r="AP11" s="223" t="str">
        <f t="shared" si="31"/>
        <v>1</v>
      </c>
      <c r="AQ11" s="223" t="str">
        <f t="shared" si="32"/>
        <v>1</v>
      </c>
      <c r="AR11" s="223" t="str">
        <f t="shared" si="33"/>
        <v>1</v>
      </c>
      <c r="AS11" s="223" t="str">
        <f t="shared" si="34"/>
        <v>1</v>
      </c>
      <c r="AT11" s="223" t="str">
        <f t="shared" si="35"/>
        <v>1</v>
      </c>
      <c r="AU11" s="223" t="str">
        <f t="shared" si="36"/>
        <v>1</v>
      </c>
      <c r="AV11" s="223" t="str">
        <f t="shared" si="37"/>
        <v>1</v>
      </c>
      <c r="AW11" s="223" t="str">
        <f t="shared" si="38"/>
        <v>1</v>
      </c>
      <c r="AX11" s="223" t="str">
        <f t="shared" si="39"/>
        <v>1</v>
      </c>
      <c r="AY11" s="223" t="str">
        <f t="shared" si="40"/>
        <v>1</v>
      </c>
    </row>
    <row r="12" spans="1:51" ht="22.5" x14ac:dyDescent="0.25">
      <c r="A12" s="214">
        <v>10</v>
      </c>
      <c r="B12" s="252" t="s">
        <v>396</v>
      </c>
      <c r="C12" s="132" t="s">
        <v>102</v>
      </c>
      <c r="D12" s="152">
        <v>2012</v>
      </c>
      <c r="E12" s="147">
        <v>41067</v>
      </c>
      <c r="F12" s="222">
        <f t="shared" si="0"/>
        <v>6</v>
      </c>
      <c r="G12" s="222" t="str">
        <f t="shared" si="1"/>
        <v>62012</v>
      </c>
      <c r="H12" s="222" t="str">
        <f t="shared" si="2"/>
        <v>junio</v>
      </c>
      <c r="I12" s="126" t="str">
        <f>VLOOKUP(B12,'Base de Datos'!$E$7:$T$271,14,0)</f>
        <v/>
      </c>
      <c r="J12" s="224" t="e">
        <f t="shared" si="3"/>
        <v>#VALUE!</v>
      </c>
      <c r="K12" s="223" t="e">
        <f t="shared" si="4"/>
        <v>#VALUE!</v>
      </c>
      <c r="L12" s="223" t="e">
        <f t="shared" si="5"/>
        <v>#VALUE!</v>
      </c>
      <c r="M12" s="223" t="str">
        <f t="shared" si="6"/>
        <v/>
      </c>
      <c r="N12" s="223" t="e">
        <f t="shared" ca="1" si="7"/>
        <v>#VALUE!</v>
      </c>
      <c r="O12" s="268" t="e">
        <f t="shared" ca="1" si="8"/>
        <v>#VALUE!</v>
      </c>
      <c r="P12" s="268" t="str">
        <f t="shared" si="41"/>
        <v/>
      </c>
      <c r="Q12" s="268" t="str">
        <f t="shared" si="9"/>
        <v/>
      </c>
      <c r="R12" s="268" t="str">
        <f t="shared" si="10"/>
        <v/>
      </c>
      <c r="S12" s="268" t="str">
        <f t="shared" si="11"/>
        <v/>
      </c>
      <c r="T12" s="268" t="str">
        <f t="shared" si="12"/>
        <v/>
      </c>
      <c r="U12" s="268" t="str">
        <f t="shared" si="13"/>
        <v>1</v>
      </c>
      <c r="V12" s="268" t="str">
        <f t="shared" si="43"/>
        <v>1</v>
      </c>
      <c r="W12" s="268" t="str">
        <f t="shared" si="14"/>
        <v>1</v>
      </c>
      <c r="X12" s="268" t="str">
        <f t="shared" si="15"/>
        <v>1</v>
      </c>
      <c r="Y12" s="268" t="str">
        <f t="shared" si="42"/>
        <v>1</v>
      </c>
      <c r="Z12" s="268" t="str">
        <f t="shared" si="16"/>
        <v>1</v>
      </c>
      <c r="AA12" s="268" t="str">
        <f t="shared" si="44"/>
        <v>1</v>
      </c>
      <c r="AB12" s="268" t="str">
        <f t="shared" si="45"/>
        <v>1</v>
      </c>
      <c r="AC12" s="268">
        <v>1</v>
      </c>
      <c r="AD12" s="268" t="str">
        <f t="shared" si="19"/>
        <v>1</v>
      </c>
      <c r="AE12" s="268" t="str">
        <f t="shared" si="20"/>
        <v>1</v>
      </c>
      <c r="AF12" s="268" t="str">
        <f t="shared" si="21"/>
        <v>1</v>
      </c>
      <c r="AG12" s="268" t="str">
        <f t="shared" si="22"/>
        <v>1</v>
      </c>
      <c r="AH12" s="268" t="str">
        <f t="shared" si="23"/>
        <v>1</v>
      </c>
      <c r="AI12" s="268" t="str">
        <f t="shared" si="24"/>
        <v>1</v>
      </c>
      <c r="AJ12" s="268" t="str">
        <f t="shared" si="25"/>
        <v>1</v>
      </c>
      <c r="AK12" s="268" t="str">
        <f t="shared" si="26"/>
        <v>1</v>
      </c>
      <c r="AL12" s="268" t="str">
        <f t="shared" si="27"/>
        <v>1</v>
      </c>
      <c r="AM12" s="268" t="str">
        <f t="shared" si="28"/>
        <v>1</v>
      </c>
      <c r="AN12" s="223" t="str">
        <f t="shared" si="29"/>
        <v>1</v>
      </c>
      <c r="AO12" s="223" t="str">
        <f t="shared" si="30"/>
        <v>1</v>
      </c>
      <c r="AP12" s="223" t="str">
        <f t="shared" si="31"/>
        <v>1</v>
      </c>
      <c r="AQ12" s="223" t="str">
        <f t="shared" si="32"/>
        <v>1</v>
      </c>
      <c r="AR12" s="223" t="str">
        <f t="shared" si="33"/>
        <v>1</v>
      </c>
      <c r="AS12" s="223" t="str">
        <f t="shared" si="34"/>
        <v>1</v>
      </c>
      <c r="AT12" s="223" t="str">
        <f t="shared" si="35"/>
        <v>1</v>
      </c>
      <c r="AU12" s="223" t="str">
        <f t="shared" si="36"/>
        <v>1</v>
      </c>
      <c r="AV12" s="223" t="str">
        <f t="shared" si="37"/>
        <v>1</v>
      </c>
      <c r="AW12" s="223" t="str">
        <f t="shared" si="38"/>
        <v>1</v>
      </c>
      <c r="AX12" s="223" t="str">
        <f t="shared" si="39"/>
        <v>1</v>
      </c>
      <c r="AY12" s="223" t="str">
        <f t="shared" si="40"/>
        <v>1</v>
      </c>
    </row>
    <row r="13" spans="1:51" ht="33.75" x14ac:dyDescent="0.25">
      <c r="A13" s="214">
        <v>11</v>
      </c>
      <c r="B13" s="250" t="s">
        <v>67</v>
      </c>
      <c r="C13" s="132" t="s">
        <v>68</v>
      </c>
      <c r="D13" s="152">
        <v>2012</v>
      </c>
      <c r="E13" s="138">
        <v>41260</v>
      </c>
      <c r="F13" s="222">
        <f t="shared" si="0"/>
        <v>12</v>
      </c>
      <c r="G13" s="222" t="str">
        <f t="shared" si="1"/>
        <v>122012</v>
      </c>
      <c r="H13" s="222" t="str">
        <f t="shared" si="2"/>
        <v>diciembre</v>
      </c>
      <c r="I13" s="126" t="str">
        <f>VLOOKUP(B13,'Base de Datos'!$E$7:$T$271,14,0)</f>
        <v/>
      </c>
      <c r="J13" s="224" t="e">
        <f t="shared" si="3"/>
        <v>#VALUE!</v>
      </c>
      <c r="K13" s="223" t="e">
        <f t="shared" si="4"/>
        <v>#VALUE!</v>
      </c>
      <c r="L13" s="223" t="e">
        <f t="shared" si="5"/>
        <v>#VALUE!</v>
      </c>
      <c r="M13" s="223" t="str">
        <f t="shared" si="6"/>
        <v/>
      </c>
      <c r="N13" s="223" t="e">
        <f t="shared" ca="1" si="7"/>
        <v>#VALUE!</v>
      </c>
      <c r="O13" s="268" t="e">
        <f t="shared" ca="1" si="8"/>
        <v>#VALUE!</v>
      </c>
      <c r="P13" s="268" t="str">
        <f t="shared" si="41"/>
        <v/>
      </c>
      <c r="Q13" s="268" t="str">
        <f t="shared" si="9"/>
        <v/>
      </c>
      <c r="R13" s="268" t="str">
        <f t="shared" si="10"/>
        <v/>
      </c>
      <c r="S13" s="268" t="str">
        <f t="shared" si="11"/>
        <v/>
      </c>
      <c r="T13" s="268" t="str">
        <f t="shared" si="12"/>
        <v/>
      </c>
      <c r="U13" s="268" t="str">
        <f t="shared" si="13"/>
        <v/>
      </c>
      <c r="V13" s="268" t="str">
        <f t="shared" si="43"/>
        <v/>
      </c>
      <c r="W13" s="268" t="str">
        <f t="shared" si="14"/>
        <v/>
      </c>
      <c r="X13" s="268" t="str">
        <f t="shared" si="15"/>
        <v/>
      </c>
      <c r="Y13" s="268" t="str">
        <f t="shared" si="42"/>
        <v/>
      </c>
      <c r="Z13" s="268" t="str">
        <f t="shared" si="16"/>
        <v/>
      </c>
      <c r="AA13" s="268" t="str">
        <f t="shared" si="44"/>
        <v>1</v>
      </c>
      <c r="AB13" s="268" t="str">
        <f t="shared" si="45"/>
        <v>1</v>
      </c>
      <c r="AC13" s="268">
        <v>1</v>
      </c>
      <c r="AD13" s="268" t="str">
        <f t="shared" si="19"/>
        <v>1</v>
      </c>
      <c r="AE13" s="268" t="str">
        <f t="shared" si="20"/>
        <v>1</v>
      </c>
      <c r="AF13" s="268" t="str">
        <f t="shared" si="21"/>
        <v>1</v>
      </c>
      <c r="AG13" s="268" t="str">
        <f t="shared" si="22"/>
        <v>1</v>
      </c>
      <c r="AH13" s="268" t="str">
        <f t="shared" si="23"/>
        <v>1</v>
      </c>
      <c r="AI13" s="268" t="str">
        <f t="shared" si="24"/>
        <v>1</v>
      </c>
      <c r="AJ13" s="268" t="str">
        <f t="shared" si="25"/>
        <v>1</v>
      </c>
      <c r="AK13" s="268" t="str">
        <f t="shared" si="26"/>
        <v>1</v>
      </c>
      <c r="AL13" s="268" t="str">
        <f t="shared" si="27"/>
        <v>1</v>
      </c>
      <c r="AM13" s="268" t="str">
        <f t="shared" si="28"/>
        <v>1</v>
      </c>
      <c r="AN13" s="223" t="str">
        <f t="shared" si="29"/>
        <v>1</v>
      </c>
      <c r="AO13" s="223" t="str">
        <f t="shared" si="30"/>
        <v>1</v>
      </c>
      <c r="AP13" s="223" t="str">
        <f t="shared" si="31"/>
        <v>1</v>
      </c>
      <c r="AQ13" s="223" t="str">
        <f t="shared" si="32"/>
        <v>1</v>
      </c>
      <c r="AR13" s="223" t="str">
        <f t="shared" si="33"/>
        <v>1</v>
      </c>
      <c r="AS13" s="223" t="str">
        <f t="shared" si="34"/>
        <v>1</v>
      </c>
      <c r="AT13" s="223" t="str">
        <f t="shared" si="35"/>
        <v>1</v>
      </c>
      <c r="AU13" s="223" t="str">
        <f t="shared" si="36"/>
        <v>1</v>
      </c>
      <c r="AV13" s="223" t="str">
        <f t="shared" si="37"/>
        <v>1</v>
      </c>
      <c r="AW13" s="223" t="str">
        <f t="shared" si="38"/>
        <v>1</v>
      </c>
      <c r="AX13" s="223" t="str">
        <f t="shared" si="39"/>
        <v>1</v>
      </c>
      <c r="AY13" s="223" t="str">
        <f t="shared" si="40"/>
        <v>1</v>
      </c>
    </row>
    <row r="14" spans="1:51" ht="22.5" x14ac:dyDescent="0.25">
      <c r="A14" s="214">
        <v>12</v>
      </c>
      <c r="B14" s="251" t="s">
        <v>180</v>
      </c>
      <c r="C14" s="132" t="s">
        <v>181</v>
      </c>
      <c r="D14" s="141">
        <v>2009</v>
      </c>
      <c r="E14" s="138">
        <v>40197</v>
      </c>
      <c r="F14" s="222">
        <f t="shared" si="0"/>
        <v>1</v>
      </c>
      <c r="G14" s="222" t="str">
        <f t="shared" si="1"/>
        <v>12009</v>
      </c>
      <c r="H14" s="222" t="str">
        <f t="shared" si="2"/>
        <v>enero</v>
      </c>
      <c r="I14" s="126" t="str">
        <f>VLOOKUP(B14,'Base de Datos'!$E$7:$T$271,14,0)</f>
        <v/>
      </c>
      <c r="J14" s="224" t="e">
        <f t="shared" si="3"/>
        <v>#VALUE!</v>
      </c>
      <c r="K14" s="223" t="e">
        <f t="shared" si="4"/>
        <v>#VALUE!</v>
      </c>
      <c r="L14" s="223" t="e">
        <f t="shared" si="5"/>
        <v>#VALUE!</v>
      </c>
      <c r="M14" s="223" t="str">
        <f t="shared" si="6"/>
        <v/>
      </c>
      <c r="N14" s="223" t="e">
        <f t="shared" ca="1" si="7"/>
        <v>#VALUE!</v>
      </c>
      <c r="O14" s="268" t="e">
        <f t="shared" ca="1" si="8"/>
        <v>#VALUE!</v>
      </c>
      <c r="P14" s="268" t="str">
        <f t="shared" si="41"/>
        <v>1</v>
      </c>
      <c r="Q14" s="268" t="str">
        <f t="shared" si="9"/>
        <v>1</v>
      </c>
      <c r="R14" s="268" t="str">
        <f t="shared" si="10"/>
        <v>1</v>
      </c>
      <c r="S14" s="268" t="str">
        <f t="shared" si="11"/>
        <v>1</v>
      </c>
      <c r="T14" s="268" t="str">
        <f t="shared" si="12"/>
        <v>1</v>
      </c>
      <c r="U14" s="268" t="str">
        <f t="shared" si="13"/>
        <v>1</v>
      </c>
      <c r="V14" s="268" t="str">
        <f t="shared" si="43"/>
        <v>1</v>
      </c>
      <c r="W14" s="268" t="str">
        <f t="shared" si="14"/>
        <v>1</v>
      </c>
      <c r="X14" s="268" t="str">
        <f t="shared" si="15"/>
        <v>1</v>
      </c>
      <c r="Y14" s="268" t="str">
        <f t="shared" si="42"/>
        <v>1</v>
      </c>
      <c r="Z14" s="268" t="str">
        <f t="shared" si="16"/>
        <v>1</v>
      </c>
      <c r="AA14" s="268" t="str">
        <f t="shared" si="44"/>
        <v>1</v>
      </c>
      <c r="AB14" s="268" t="str">
        <f t="shared" si="45"/>
        <v>1</v>
      </c>
      <c r="AC14" s="268">
        <v>1</v>
      </c>
      <c r="AD14" s="268" t="str">
        <f t="shared" si="19"/>
        <v>1</v>
      </c>
      <c r="AE14" s="268" t="str">
        <f t="shared" si="20"/>
        <v>1</v>
      </c>
      <c r="AF14" s="268" t="str">
        <f t="shared" si="21"/>
        <v>1</v>
      </c>
      <c r="AG14" s="268" t="str">
        <f t="shared" si="22"/>
        <v>1</v>
      </c>
      <c r="AH14" s="268" t="str">
        <f t="shared" si="23"/>
        <v>1</v>
      </c>
      <c r="AI14" s="268" t="str">
        <f t="shared" si="24"/>
        <v>1</v>
      </c>
      <c r="AJ14" s="268" t="str">
        <f t="shared" si="25"/>
        <v>1</v>
      </c>
      <c r="AK14" s="268" t="str">
        <f t="shared" si="26"/>
        <v>1</v>
      </c>
      <c r="AL14" s="268" t="str">
        <f t="shared" si="27"/>
        <v>1</v>
      </c>
      <c r="AM14" s="268" t="str">
        <f t="shared" si="28"/>
        <v>1</v>
      </c>
      <c r="AN14" s="223" t="str">
        <f t="shared" si="29"/>
        <v>1</v>
      </c>
      <c r="AO14" s="223" t="str">
        <f t="shared" si="30"/>
        <v>1</v>
      </c>
      <c r="AP14" s="223" t="str">
        <f t="shared" si="31"/>
        <v>1</v>
      </c>
      <c r="AQ14" s="223" t="str">
        <f t="shared" si="32"/>
        <v>1</v>
      </c>
      <c r="AR14" s="223" t="str">
        <f t="shared" si="33"/>
        <v>1</v>
      </c>
      <c r="AS14" s="223" t="str">
        <f t="shared" si="34"/>
        <v>1</v>
      </c>
      <c r="AT14" s="223" t="str">
        <f t="shared" si="35"/>
        <v>1</v>
      </c>
      <c r="AU14" s="223" t="str">
        <f t="shared" si="36"/>
        <v>1</v>
      </c>
      <c r="AV14" s="223" t="str">
        <f t="shared" si="37"/>
        <v>1</v>
      </c>
      <c r="AW14" s="223" t="str">
        <f t="shared" si="38"/>
        <v>1</v>
      </c>
      <c r="AX14" s="223" t="str">
        <f t="shared" si="39"/>
        <v>1</v>
      </c>
      <c r="AY14" s="223" t="str">
        <f t="shared" si="40"/>
        <v>1</v>
      </c>
    </row>
    <row r="15" spans="1:51" ht="22.5" x14ac:dyDescent="0.25">
      <c r="A15" s="214">
        <v>13</v>
      </c>
      <c r="B15" s="253" t="s">
        <v>112</v>
      </c>
      <c r="C15" s="145" t="s">
        <v>430</v>
      </c>
      <c r="D15" s="135">
        <v>2011</v>
      </c>
      <c r="E15" s="147">
        <v>40865</v>
      </c>
      <c r="F15" s="222">
        <f t="shared" si="0"/>
        <v>11</v>
      </c>
      <c r="G15" s="222" t="str">
        <f t="shared" si="1"/>
        <v>112011</v>
      </c>
      <c r="H15" s="222" t="str">
        <f t="shared" si="2"/>
        <v>noviembre</v>
      </c>
      <c r="I15" s="126" t="str">
        <f>VLOOKUP(B15,'Base de Datos'!$E$7:$T$271,14,0)</f>
        <v/>
      </c>
      <c r="J15" s="224" t="e">
        <f t="shared" si="3"/>
        <v>#VALUE!</v>
      </c>
      <c r="K15" s="223" t="e">
        <f t="shared" si="4"/>
        <v>#VALUE!</v>
      </c>
      <c r="L15" s="223" t="e">
        <f t="shared" si="5"/>
        <v>#VALUE!</v>
      </c>
      <c r="M15" s="223" t="str">
        <f t="shared" si="6"/>
        <v/>
      </c>
      <c r="N15" s="223" t="e">
        <f t="shared" ca="1" si="7"/>
        <v>#VALUE!</v>
      </c>
      <c r="O15" s="268" t="e">
        <f t="shared" ca="1" si="8"/>
        <v>#VALUE!</v>
      </c>
      <c r="P15" s="268" t="str">
        <f t="shared" si="41"/>
        <v>1</v>
      </c>
      <c r="Q15" s="268" t="str">
        <f t="shared" si="9"/>
        <v>1</v>
      </c>
      <c r="R15" s="268" t="str">
        <f t="shared" si="10"/>
        <v>1</v>
      </c>
      <c r="S15" s="268" t="str">
        <f t="shared" si="11"/>
        <v>1</v>
      </c>
      <c r="T15" s="268" t="str">
        <f t="shared" si="12"/>
        <v>1</v>
      </c>
      <c r="U15" s="268" t="str">
        <f t="shared" si="13"/>
        <v>1</v>
      </c>
      <c r="V15" s="268" t="str">
        <f t="shared" si="43"/>
        <v>1</v>
      </c>
      <c r="W15" s="268" t="str">
        <f t="shared" si="14"/>
        <v>1</v>
      </c>
      <c r="X15" s="268" t="str">
        <f t="shared" si="15"/>
        <v>1</v>
      </c>
      <c r="Y15" s="268" t="str">
        <f t="shared" si="42"/>
        <v>1</v>
      </c>
      <c r="Z15" s="268" t="str">
        <f t="shared" si="16"/>
        <v>1</v>
      </c>
      <c r="AA15" s="268" t="str">
        <f t="shared" si="44"/>
        <v>1</v>
      </c>
      <c r="AB15" s="268" t="str">
        <f t="shared" si="45"/>
        <v>1</v>
      </c>
      <c r="AC15" s="268">
        <v>1</v>
      </c>
      <c r="AD15" s="268" t="str">
        <f t="shared" si="19"/>
        <v>1</v>
      </c>
      <c r="AE15" s="268" t="str">
        <f t="shared" si="20"/>
        <v>1</v>
      </c>
      <c r="AF15" s="268" t="str">
        <f t="shared" si="21"/>
        <v>1</v>
      </c>
      <c r="AG15" s="268" t="str">
        <f t="shared" si="22"/>
        <v>1</v>
      </c>
      <c r="AH15" s="268" t="str">
        <f t="shared" si="23"/>
        <v>1</v>
      </c>
      <c r="AI15" s="268" t="str">
        <f t="shared" si="24"/>
        <v>1</v>
      </c>
      <c r="AJ15" s="268" t="str">
        <f t="shared" si="25"/>
        <v>1</v>
      </c>
      <c r="AK15" s="268" t="str">
        <f t="shared" si="26"/>
        <v>1</v>
      </c>
      <c r="AL15" s="268" t="str">
        <f t="shared" si="27"/>
        <v>1</v>
      </c>
      <c r="AM15" s="268" t="str">
        <f t="shared" si="28"/>
        <v>1</v>
      </c>
      <c r="AN15" s="223" t="str">
        <f t="shared" si="29"/>
        <v>1</v>
      </c>
      <c r="AO15" s="223" t="str">
        <f t="shared" si="30"/>
        <v>1</v>
      </c>
      <c r="AP15" s="223" t="str">
        <f t="shared" si="31"/>
        <v>1</v>
      </c>
      <c r="AQ15" s="223" t="str">
        <f t="shared" si="32"/>
        <v>1</v>
      </c>
      <c r="AR15" s="223" t="str">
        <f t="shared" si="33"/>
        <v>1</v>
      </c>
      <c r="AS15" s="223" t="str">
        <f t="shared" si="34"/>
        <v>1</v>
      </c>
      <c r="AT15" s="223" t="str">
        <f t="shared" si="35"/>
        <v>1</v>
      </c>
      <c r="AU15" s="223" t="str">
        <f t="shared" si="36"/>
        <v>1</v>
      </c>
      <c r="AV15" s="223" t="str">
        <f t="shared" si="37"/>
        <v>1</v>
      </c>
      <c r="AW15" s="223" t="str">
        <f t="shared" si="38"/>
        <v>1</v>
      </c>
      <c r="AX15" s="223" t="str">
        <f t="shared" si="39"/>
        <v>1</v>
      </c>
      <c r="AY15" s="223" t="str">
        <f t="shared" si="40"/>
        <v>1</v>
      </c>
    </row>
    <row r="16" spans="1:51" ht="22.5" x14ac:dyDescent="0.25">
      <c r="A16" s="214">
        <v>14</v>
      </c>
      <c r="B16" s="250" t="s">
        <v>16</v>
      </c>
      <c r="C16" s="132" t="s">
        <v>435</v>
      </c>
      <c r="D16" s="152">
        <v>2012</v>
      </c>
      <c r="E16" s="136">
        <v>41144</v>
      </c>
      <c r="F16" s="222">
        <f t="shared" si="0"/>
        <v>8</v>
      </c>
      <c r="G16" s="222" t="str">
        <f t="shared" si="1"/>
        <v>82012</v>
      </c>
      <c r="H16" s="222" t="str">
        <f t="shared" si="2"/>
        <v>agosto</v>
      </c>
      <c r="I16" s="126" t="str">
        <f>VLOOKUP(B16,'Base de Datos'!$E$7:$T$271,14,0)</f>
        <v/>
      </c>
      <c r="J16" s="224" t="e">
        <f t="shared" si="3"/>
        <v>#VALUE!</v>
      </c>
      <c r="K16" s="223" t="e">
        <f t="shared" si="4"/>
        <v>#VALUE!</v>
      </c>
      <c r="L16" s="223" t="e">
        <f t="shared" si="5"/>
        <v>#VALUE!</v>
      </c>
      <c r="M16" s="223" t="str">
        <f t="shared" si="6"/>
        <v/>
      </c>
      <c r="N16" s="223" t="e">
        <f t="shared" ca="1" si="7"/>
        <v>#VALUE!</v>
      </c>
      <c r="O16" s="268" t="e">
        <f t="shared" ca="1" si="8"/>
        <v>#VALUE!</v>
      </c>
      <c r="P16" s="268" t="str">
        <f t="shared" si="41"/>
        <v/>
      </c>
      <c r="Q16" s="268" t="str">
        <f t="shared" si="9"/>
        <v/>
      </c>
      <c r="R16" s="268" t="str">
        <f t="shared" si="10"/>
        <v/>
      </c>
      <c r="S16" s="268" t="str">
        <f t="shared" si="11"/>
        <v/>
      </c>
      <c r="T16" s="268" t="str">
        <f t="shared" si="12"/>
        <v/>
      </c>
      <c r="U16" s="268" t="str">
        <f t="shared" si="13"/>
        <v/>
      </c>
      <c r="V16" s="268" t="str">
        <f t="shared" si="43"/>
        <v/>
      </c>
      <c r="W16" s="268" t="str">
        <f t="shared" si="14"/>
        <v>1</v>
      </c>
      <c r="X16" s="268" t="str">
        <f t="shared" si="15"/>
        <v>1</v>
      </c>
      <c r="Y16" s="268" t="str">
        <f t="shared" si="42"/>
        <v>1</v>
      </c>
      <c r="Z16" s="268" t="str">
        <f t="shared" si="16"/>
        <v>1</v>
      </c>
      <c r="AA16" s="268" t="str">
        <f t="shared" si="44"/>
        <v>1</v>
      </c>
      <c r="AB16" s="268" t="str">
        <f t="shared" si="45"/>
        <v>1</v>
      </c>
      <c r="AC16" s="268">
        <v>1</v>
      </c>
      <c r="AD16" s="268" t="str">
        <f t="shared" si="19"/>
        <v>1</v>
      </c>
      <c r="AE16" s="268" t="str">
        <f t="shared" si="20"/>
        <v>1</v>
      </c>
      <c r="AF16" s="268" t="str">
        <f t="shared" si="21"/>
        <v>1</v>
      </c>
      <c r="AG16" s="268" t="str">
        <f t="shared" si="22"/>
        <v>1</v>
      </c>
      <c r="AH16" s="268" t="str">
        <f t="shared" si="23"/>
        <v>1</v>
      </c>
      <c r="AI16" s="268" t="str">
        <f t="shared" si="24"/>
        <v>1</v>
      </c>
      <c r="AJ16" s="268" t="str">
        <f t="shared" si="25"/>
        <v>1</v>
      </c>
      <c r="AK16" s="268" t="str">
        <f t="shared" si="26"/>
        <v>1</v>
      </c>
      <c r="AL16" s="268" t="str">
        <f t="shared" si="27"/>
        <v>1</v>
      </c>
      <c r="AM16" s="268" t="str">
        <f t="shared" si="28"/>
        <v>1</v>
      </c>
      <c r="AN16" s="223" t="str">
        <f t="shared" si="29"/>
        <v>1</v>
      </c>
      <c r="AO16" s="223" t="str">
        <f t="shared" si="30"/>
        <v>1</v>
      </c>
      <c r="AP16" s="223" t="str">
        <f t="shared" si="31"/>
        <v>1</v>
      </c>
      <c r="AQ16" s="223" t="str">
        <f t="shared" si="32"/>
        <v>1</v>
      </c>
      <c r="AR16" s="223" t="str">
        <f t="shared" si="33"/>
        <v>1</v>
      </c>
      <c r="AS16" s="223" t="str">
        <f t="shared" si="34"/>
        <v>1</v>
      </c>
      <c r="AT16" s="223" t="str">
        <f t="shared" si="35"/>
        <v>1</v>
      </c>
      <c r="AU16" s="223" t="str">
        <f t="shared" si="36"/>
        <v>1</v>
      </c>
      <c r="AV16" s="223" t="str">
        <f t="shared" si="37"/>
        <v>1</v>
      </c>
      <c r="AW16" s="223" t="str">
        <f t="shared" si="38"/>
        <v>1</v>
      </c>
      <c r="AX16" s="223" t="str">
        <f t="shared" si="39"/>
        <v>1</v>
      </c>
      <c r="AY16" s="223" t="str">
        <f t="shared" si="40"/>
        <v>1</v>
      </c>
    </row>
    <row r="17" spans="1:51" ht="22.5" x14ac:dyDescent="0.25">
      <c r="A17" s="214">
        <v>15</v>
      </c>
      <c r="B17" s="252" t="s">
        <v>589</v>
      </c>
      <c r="C17" s="132" t="s">
        <v>426</v>
      </c>
      <c r="D17" s="135">
        <v>2011</v>
      </c>
      <c r="E17" s="138">
        <v>40966</v>
      </c>
      <c r="F17" s="222">
        <f t="shared" si="0"/>
        <v>2</v>
      </c>
      <c r="G17" s="222" t="str">
        <f t="shared" si="1"/>
        <v>22011</v>
      </c>
      <c r="H17" s="222" t="str">
        <f t="shared" si="2"/>
        <v>febrero</v>
      </c>
      <c r="I17" s="126" t="str">
        <f>VLOOKUP(B17,'Base de Datos'!$E$7:$T$271,14,0)</f>
        <v/>
      </c>
      <c r="J17" s="224" t="e">
        <f t="shared" si="3"/>
        <v>#VALUE!</v>
      </c>
      <c r="K17" s="223" t="e">
        <f t="shared" si="4"/>
        <v>#VALUE!</v>
      </c>
      <c r="L17" s="223" t="e">
        <f t="shared" si="5"/>
        <v>#VALUE!</v>
      </c>
      <c r="M17" s="223" t="str">
        <f t="shared" si="6"/>
        <v/>
      </c>
      <c r="N17" s="223" t="e">
        <f t="shared" ca="1" si="7"/>
        <v>#VALUE!</v>
      </c>
      <c r="O17" s="268" t="e">
        <f t="shared" ca="1" si="8"/>
        <v>#VALUE!</v>
      </c>
      <c r="P17" s="268" t="str">
        <f t="shared" si="41"/>
        <v/>
      </c>
      <c r="Q17" s="268" t="str">
        <f t="shared" si="9"/>
        <v>1</v>
      </c>
      <c r="R17" s="268" t="str">
        <f t="shared" si="10"/>
        <v>1</v>
      </c>
      <c r="S17" s="268" t="str">
        <f t="shared" si="11"/>
        <v>1</v>
      </c>
      <c r="T17" s="268" t="str">
        <f t="shared" si="12"/>
        <v>1</v>
      </c>
      <c r="U17" s="268" t="str">
        <f t="shared" si="13"/>
        <v>1</v>
      </c>
      <c r="V17" s="268" t="str">
        <f t="shared" si="43"/>
        <v>1</v>
      </c>
      <c r="W17" s="268" t="str">
        <f t="shared" si="14"/>
        <v>1</v>
      </c>
      <c r="X17" s="268" t="str">
        <f t="shared" si="15"/>
        <v>1</v>
      </c>
      <c r="Y17" s="268" t="str">
        <f t="shared" si="42"/>
        <v>1</v>
      </c>
      <c r="Z17" s="268" t="str">
        <f t="shared" si="16"/>
        <v>1</v>
      </c>
      <c r="AA17" s="268" t="str">
        <f t="shared" si="44"/>
        <v>1</v>
      </c>
      <c r="AB17" s="268" t="str">
        <f t="shared" si="45"/>
        <v>1</v>
      </c>
      <c r="AC17" s="268">
        <v>1</v>
      </c>
      <c r="AD17" s="268" t="str">
        <f t="shared" si="19"/>
        <v>1</v>
      </c>
      <c r="AE17" s="268" t="str">
        <f t="shared" si="20"/>
        <v>1</v>
      </c>
      <c r="AF17" s="268" t="str">
        <f t="shared" si="21"/>
        <v>1</v>
      </c>
      <c r="AG17" s="268" t="str">
        <f t="shared" si="22"/>
        <v>1</v>
      </c>
      <c r="AH17" s="268" t="str">
        <f t="shared" si="23"/>
        <v>1</v>
      </c>
      <c r="AI17" s="268" t="str">
        <f t="shared" si="24"/>
        <v>1</v>
      </c>
      <c r="AJ17" s="268" t="str">
        <f t="shared" si="25"/>
        <v>1</v>
      </c>
      <c r="AK17" s="268" t="str">
        <f t="shared" si="26"/>
        <v>1</v>
      </c>
      <c r="AL17" s="268" t="str">
        <f t="shared" si="27"/>
        <v>1</v>
      </c>
      <c r="AM17" s="268" t="str">
        <f t="shared" si="28"/>
        <v>1</v>
      </c>
      <c r="AN17" s="223" t="str">
        <f t="shared" si="29"/>
        <v>1</v>
      </c>
      <c r="AO17" s="223" t="str">
        <f t="shared" si="30"/>
        <v>1</v>
      </c>
      <c r="AP17" s="223" t="str">
        <f t="shared" si="31"/>
        <v>1</v>
      </c>
      <c r="AQ17" s="223" t="str">
        <f t="shared" si="32"/>
        <v>1</v>
      </c>
      <c r="AR17" s="223" t="str">
        <f t="shared" si="33"/>
        <v>1</v>
      </c>
      <c r="AS17" s="223" t="str">
        <f t="shared" si="34"/>
        <v>1</v>
      </c>
      <c r="AT17" s="223" t="str">
        <f t="shared" si="35"/>
        <v>1</v>
      </c>
      <c r="AU17" s="223" t="str">
        <f t="shared" si="36"/>
        <v>1</v>
      </c>
      <c r="AV17" s="223" t="str">
        <f t="shared" si="37"/>
        <v>1</v>
      </c>
      <c r="AW17" s="223" t="str">
        <f t="shared" si="38"/>
        <v>1</v>
      </c>
      <c r="AX17" s="223" t="str">
        <f t="shared" si="39"/>
        <v>1</v>
      </c>
      <c r="AY17" s="223" t="str">
        <f t="shared" si="40"/>
        <v>1</v>
      </c>
    </row>
    <row r="18" spans="1:51" ht="22.5" x14ac:dyDescent="0.25">
      <c r="A18" s="214">
        <v>16</v>
      </c>
      <c r="B18" s="252" t="s">
        <v>113</v>
      </c>
      <c r="C18" s="132" t="s">
        <v>434</v>
      </c>
      <c r="D18" s="152">
        <v>2012</v>
      </c>
      <c r="E18" s="136">
        <v>41088</v>
      </c>
      <c r="F18" s="222">
        <f t="shared" si="0"/>
        <v>6</v>
      </c>
      <c r="G18" s="222" t="str">
        <f t="shared" si="1"/>
        <v>62012</v>
      </c>
      <c r="H18" s="222" t="str">
        <f t="shared" si="2"/>
        <v>junio</v>
      </c>
      <c r="I18" s="126" t="str">
        <f>VLOOKUP(B18,'Base de Datos'!$E$7:$T$271,14,0)</f>
        <v/>
      </c>
      <c r="J18" s="224" t="e">
        <f t="shared" si="3"/>
        <v>#VALUE!</v>
      </c>
      <c r="K18" s="223" t="e">
        <f t="shared" si="4"/>
        <v>#VALUE!</v>
      </c>
      <c r="L18" s="223" t="e">
        <f t="shared" si="5"/>
        <v>#VALUE!</v>
      </c>
      <c r="M18" s="223" t="str">
        <f t="shared" si="6"/>
        <v/>
      </c>
      <c r="N18" s="223" t="e">
        <f t="shared" ca="1" si="7"/>
        <v>#VALUE!</v>
      </c>
      <c r="O18" s="268" t="e">
        <f t="shared" ca="1" si="8"/>
        <v>#VALUE!</v>
      </c>
      <c r="P18" s="268" t="str">
        <f t="shared" si="41"/>
        <v/>
      </c>
      <c r="Q18" s="268" t="str">
        <f t="shared" si="9"/>
        <v/>
      </c>
      <c r="R18" s="268" t="str">
        <f t="shared" si="10"/>
        <v/>
      </c>
      <c r="S18" s="268" t="str">
        <f t="shared" si="11"/>
        <v/>
      </c>
      <c r="T18" s="268" t="str">
        <f t="shared" si="12"/>
        <v/>
      </c>
      <c r="U18" s="268" t="str">
        <f t="shared" si="13"/>
        <v>1</v>
      </c>
      <c r="V18" s="268" t="str">
        <f t="shared" si="43"/>
        <v>1</v>
      </c>
      <c r="W18" s="268" t="str">
        <f t="shared" si="14"/>
        <v>1</v>
      </c>
      <c r="X18" s="268" t="str">
        <f t="shared" si="15"/>
        <v>1</v>
      </c>
      <c r="Y18" s="268" t="str">
        <f t="shared" si="42"/>
        <v>1</v>
      </c>
      <c r="Z18" s="268" t="str">
        <f t="shared" si="16"/>
        <v>1</v>
      </c>
      <c r="AA18" s="268" t="str">
        <f t="shared" si="44"/>
        <v>1</v>
      </c>
      <c r="AB18" s="268" t="str">
        <f t="shared" si="45"/>
        <v>1</v>
      </c>
      <c r="AC18" s="268">
        <v>1</v>
      </c>
      <c r="AD18" s="268" t="str">
        <f t="shared" si="19"/>
        <v>1</v>
      </c>
      <c r="AE18" s="268" t="str">
        <f t="shared" si="20"/>
        <v>1</v>
      </c>
      <c r="AF18" s="268" t="str">
        <f t="shared" si="21"/>
        <v>1</v>
      </c>
      <c r="AG18" s="268" t="str">
        <f t="shared" si="22"/>
        <v>1</v>
      </c>
      <c r="AH18" s="268" t="str">
        <f t="shared" si="23"/>
        <v>1</v>
      </c>
      <c r="AI18" s="268" t="str">
        <f t="shared" si="24"/>
        <v>1</v>
      </c>
      <c r="AJ18" s="268" t="str">
        <f t="shared" si="25"/>
        <v>1</v>
      </c>
      <c r="AK18" s="268" t="str">
        <f t="shared" si="26"/>
        <v>1</v>
      </c>
      <c r="AL18" s="268" t="str">
        <f t="shared" si="27"/>
        <v>1</v>
      </c>
      <c r="AM18" s="268" t="str">
        <f t="shared" si="28"/>
        <v>1</v>
      </c>
      <c r="AN18" s="223" t="str">
        <f t="shared" si="29"/>
        <v>1</v>
      </c>
      <c r="AO18" s="223" t="str">
        <f t="shared" si="30"/>
        <v>1</v>
      </c>
      <c r="AP18" s="223" t="str">
        <f t="shared" si="31"/>
        <v>1</v>
      </c>
      <c r="AQ18" s="223" t="str">
        <f t="shared" si="32"/>
        <v>1</v>
      </c>
      <c r="AR18" s="223" t="str">
        <f t="shared" si="33"/>
        <v>1</v>
      </c>
      <c r="AS18" s="223" t="str">
        <f t="shared" si="34"/>
        <v>1</v>
      </c>
      <c r="AT18" s="223" t="str">
        <f t="shared" si="35"/>
        <v>1</v>
      </c>
      <c r="AU18" s="223" t="str">
        <f t="shared" si="36"/>
        <v>1</v>
      </c>
      <c r="AV18" s="223" t="str">
        <f t="shared" si="37"/>
        <v>1</v>
      </c>
      <c r="AW18" s="223" t="str">
        <f t="shared" si="38"/>
        <v>1</v>
      </c>
      <c r="AX18" s="223" t="str">
        <f t="shared" si="39"/>
        <v>1</v>
      </c>
      <c r="AY18" s="223" t="str">
        <f t="shared" si="40"/>
        <v>1</v>
      </c>
    </row>
    <row r="19" spans="1:51" ht="22.5" x14ac:dyDescent="0.25">
      <c r="A19" s="214">
        <v>17</v>
      </c>
      <c r="B19" s="250" t="s">
        <v>34</v>
      </c>
      <c r="C19" s="132" t="s">
        <v>1009</v>
      </c>
      <c r="D19" s="152">
        <v>2012</v>
      </c>
      <c r="E19" s="154">
        <v>41151</v>
      </c>
      <c r="F19" s="222">
        <f t="shared" si="0"/>
        <v>8</v>
      </c>
      <c r="G19" s="222" t="str">
        <f t="shared" si="1"/>
        <v>82012</v>
      </c>
      <c r="H19" s="222" t="str">
        <f t="shared" si="2"/>
        <v>agosto</v>
      </c>
      <c r="I19" s="126" t="str">
        <f>VLOOKUP(B19,'Base de Datos'!$E$7:$T$271,14,0)</f>
        <v/>
      </c>
      <c r="J19" s="224" t="e">
        <f t="shared" si="3"/>
        <v>#VALUE!</v>
      </c>
      <c r="K19" s="223" t="e">
        <f t="shared" si="4"/>
        <v>#VALUE!</v>
      </c>
      <c r="L19" s="223" t="e">
        <f t="shared" si="5"/>
        <v>#VALUE!</v>
      </c>
      <c r="M19" s="223" t="str">
        <f t="shared" si="6"/>
        <v/>
      </c>
      <c r="N19" s="223" t="e">
        <f t="shared" ca="1" si="7"/>
        <v>#VALUE!</v>
      </c>
      <c r="O19" s="268" t="e">
        <f t="shared" ca="1" si="8"/>
        <v>#VALUE!</v>
      </c>
      <c r="P19" s="268" t="str">
        <f t="shared" si="41"/>
        <v/>
      </c>
      <c r="Q19" s="268" t="str">
        <f t="shared" si="9"/>
        <v/>
      </c>
      <c r="R19" s="268" t="str">
        <f t="shared" si="10"/>
        <v/>
      </c>
      <c r="S19" s="268" t="str">
        <f t="shared" si="11"/>
        <v/>
      </c>
      <c r="T19" s="268" t="str">
        <f t="shared" si="12"/>
        <v/>
      </c>
      <c r="U19" s="268" t="str">
        <f t="shared" si="13"/>
        <v/>
      </c>
      <c r="V19" s="268" t="str">
        <f t="shared" si="43"/>
        <v/>
      </c>
      <c r="W19" s="268" t="str">
        <f t="shared" si="14"/>
        <v>1</v>
      </c>
      <c r="X19" s="268" t="str">
        <f t="shared" si="15"/>
        <v>1</v>
      </c>
      <c r="Y19" s="268" t="str">
        <f t="shared" si="42"/>
        <v>1</v>
      </c>
      <c r="Z19" s="268" t="str">
        <f t="shared" si="16"/>
        <v>1</v>
      </c>
      <c r="AA19" s="268" t="str">
        <f t="shared" si="44"/>
        <v>1</v>
      </c>
      <c r="AB19" s="268" t="str">
        <f t="shared" si="45"/>
        <v>1</v>
      </c>
      <c r="AC19" s="268">
        <v>1</v>
      </c>
      <c r="AD19" s="268" t="str">
        <f t="shared" si="19"/>
        <v>1</v>
      </c>
      <c r="AE19" s="268" t="str">
        <f t="shared" si="20"/>
        <v>1</v>
      </c>
      <c r="AF19" s="268" t="str">
        <f t="shared" si="21"/>
        <v>1</v>
      </c>
      <c r="AG19" s="268" t="str">
        <f t="shared" si="22"/>
        <v>1</v>
      </c>
      <c r="AH19" s="268" t="str">
        <f t="shared" si="23"/>
        <v>1</v>
      </c>
      <c r="AI19" s="268" t="str">
        <f t="shared" si="24"/>
        <v>1</v>
      </c>
      <c r="AJ19" s="268" t="str">
        <f t="shared" si="25"/>
        <v>1</v>
      </c>
      <c r="AK19" s="268" t="str">
        <f t="shared" si="26"/>
        <v>1</v>
      </c>
      <c r="AL19" s="268" t="str">
        <f t="shared" si="27"/>
        <v>1</v>
      </c>
      <c r="AM19" s="268" t="str">
        <f t="shared" si="28"/>
        <v>1</v>
      </c>
      <c r="AN19" s="223" t="str">
        <f t="shared" si="29"/>
        <v>1</v>
      </c>
      <c r="AO19" s="223" t="str">
        <f t="shared" si="30"/>
        <v>1</v>
      </c>
      <c r="AP19" s="223" t="str">
        <f t="shared" si="31"/>
        <v>1</v>
      </c>
      <c r="AQ19" s="223" t="str">
        <f t="shared" si="32"/>
        <v>1</v>
      </c>
      <c r="AR19" s="223" t="str">
        <f t="shared" si="33"/>
        <v>1</v>
      </c>
      <c r="AS19" s="223" t="str">
        <f t="shared" si="34"/>
        <v>1</v>
      </c>
      <c r="AT19" s="223" t="str">
        <f t="shared" si="35"/>
        <v>1</v>
      </c>
      <c r="AU19" s="223" t="str">
        <f t="shared" si="36"/>
        <v>1</v>
      </c>
      <c r="AV19" s="223" t="str">
        <f t="shared" si="37"/>
        <v>1</v>
      </c>
      <c r="AW19" s="223" t="str">
        <f t="shared" si="38"/>
        <v>1</v>
      </c>
      <c r="AX19" s="223" t="str">
        <f t="shared" si="39"/>
        <v>1</v>
      </c>
      <c r="AY19" s="223" t="str">
        <f t="shared" si="40"/>
        <v>1</v>
      </c>
    </row>
    <row r="20" spans="1:51" ht="22.5" x14ac:dyDescent="0.25">
      <c r="A20" s="214">
        <v>18</v>
      </c>
      <c r="B20" s="251" t="s">
        <v>182</v>
      </c>
      <c r="C20" s="132" t="s">
        <v>152</v>
      </c>
      <c r="D20" s="135">
        <v>2009</v>
      </c>
      <c r="E20" s="138">
        <v>40150</v>
      </c>
      <c r="F20" s="222">
        <f t="shared" si="0"/>
        <v>12</v>
      </c>
      <c r="G20" s="222" t="str">
        <f t="shared" si="1"/>
        <v>122009</v>
      </c>
      <c r="H20" s="222" t="str">
        <f t="shared" si="2"/>
        <v>diciembre</v>
      </c>
      <c r="I20" s="126" t="str">
        <f>VLOOKUP(B20,'Base de Datos'!$E$7:$T$271,14,0)</f>
        <v/>
      </c>
      <c r="J20" s="224" t="e">
        <f t="shared" si="3"/>
        <v>#VALUE!</v>
      </c>
      <c r="K20" s="223" t="e">
        <f t="shared" si="4"/>
        <v>#VALUE!</v>
      </c>
      <c r="L20" s="223" t="e">
        <f t="shared" si="5"/>
        <v>#VALUE!</v>
      </c>
      <c r="M20" s="223" t="str">
        <f t="shared" si="6"/>
        <v/>
      </c>
      <c r="N20" s="223" t="e">
        <f t="shared" ca="1" si="7"/>
        <v>#VALUE!</v>
      </c>
      <c r="O20" s="268" t="e">
        <f t="shared" ca="1" si="8"/>
        <v>#VALUE!</v>
      </c>
      <c r="P20" s="268" t="str">
        <f t="shared" si="41"/>
        <v>1</v>
      </c>
      <c r="Q20" s="268" t="str">
        <f t="shared" si="9"/>
        <v>1</v>
      </c>
      <c r="R20" s="268" t="str">
        <f t="shared" si="10"/>
        <v>1</v>
      </c>
      <c r="S20" s="268" t="str">
        <f t="shared" si="11"/>
        <v>1</v>
      </c>
      <c r="T20" s="268" t="str">
        <f t="shared" si="12"/>
        <v>1</v>
      </c>
      <c r="U20" s="268" t="str">
        <f t="shared" si="13"/>
        <v>1</v>
      </c>
      <c r="V20" s="268" t="str">
        <f t="shared" si="43"/>
        <v>1</v>
      </c>
      <c r="W20" s="268" t="str">
        <f t="shared" si="14"/>
        <v>1</v>
      </c>
      <c r="X20" s="268" t="str">
        <f t="shared" si="15"/>
        <v>1</v>
      </c>
      <c r="Y20" s="268" t="str">
        <f t="shared" si="42"/>
        <v>1</v>
      </c>
      <c r="Z20" s="268" t="str">
        <f t="shared" si="16"/>
        <v>1</v>
      </c>
      <c r="AA20" s="268" t="str">
        <f t="shared" si="44"/>
        <v>1</v>
      </c>
      <c r="AB20" s="268" t="str">
        <f t="shared" si="45"/>
        <v>1</v>
      </c>
      <c r="AC20" s="268" t="str">
        <f t="shared" ref="AC20:AC83" si="46">IF(AND(E20&lt;$AC$2,I20&gt;$AC$2),"1","")</f>
        <v>1</v>
      </c>
      <c r="AD20" s="268">
        <v>1</v>
      </c>
      <c r="AE20" s="268" t="str">
        <f t="shared" si="20"/>
        <v>1</v>
      </c>
      <c r="AF20" s="268" t="str">
        <f t="shared" si="21"/>
        <v>1</v>
      </c>
      <c r="AG20" s="268" t="str">
        <f t="shared" si="22"/>
        <v>1</v>
      </c>
      <c r="AH20" s="268" t="str">
        <f t="shared" si="23"/>
        <v>1</v>
      </c>
      <c r="AI20" s="268" t="str">
        <f t="shared" si="24"/>
        <v>1</v>
      </c>
      <c r="AJ20" s="268" t="str">
        <f t="shared" si="25"/>
        <v>1</v>
      </c>
      <c r="AK20" s="268" t="str">
        <f t="shared" si="26"/>
        <v>1</v>
      </c>
      <c r="AL20" s="268" t="str">
        <f t="shared" si="27"/>
        <v>1</v>
      </c>
      <c r="AM20" s="268" t="str">
        <f t="shared" si="28"/>
        <v>1</v>
      </c>
      <c r="AN20" s="223" t="str">
        <f t="shared" si="29"/>
        <v>1</v>
      </c>
      <c r="AO20" s="223" t="str">
        <f t="shared" si="30"/>
        <v>1</v>
      </c>
      <c r="AP20" s="223" t="str">
        <f t="shared" si="31"/>
        <v>1</v>
      </c>
      <c r="AQ20" s="223" t="str">
        <f t="shared" si="32"/>
        <v>1</v>
      </c>
      <c r="AR20" s="223" t="str">
        <f t="shared" si="33"/>
        <v>1</v>
      </c>
      <c r="AS20" s="223" t="str">
        <f t="shared" si="34"/>
        <v>1</v>
      </c>
      <c r="AT20" s="223" t="str">
        <f t="shared" si="35"/>
        <v>1</v>
      </c>
      <c r="AU20" s="223" t="str">
        <f t="shared" si="36"/>
        <v>1</v>
      </c>
      <c r="AV20" s="223" t="str">
        <f t="shared" si="37"/>
        <v>1</v>
      </c>
      <c r="AW20" s="223" t="str">
        <f t="shared" si="38"/>
        <v>1</v>
      </c>
      <c r="AX20" s="223" t="str">
        <f t="shared" si="39"/>
        <v>1</v>
      </c>
      <c r="AY20" s="223" t="str">
        <f t="shared" si="40"/>
        <v>1</v>
      </c>
    </row>
    <row r="21" spans="1:51" ht="22.5" x14ac:dyDescent="0.25">
      <c r="A21" s="214">
        <v>19</v>
      </c>
      <c r="B21" s="252" t="s">
        <v>106</v>
      </c>
      <c r="C21" s="132" t="s">
        <v>1011</v>
      </c>
      <c r="D21" s="152">
        <v>2012</v>
      </c>
      <c r="E21" s="136">
        <v>41193</v>
      </c>
      <c r="F21" s="222">
        <f t="shared" si="0"/>
        <v>10</v>
      </c>
      <c r="G21" s="222" t="str">
        <f t="shared" si="1"/>
        <v>102012</v>
      </c>
      <c r="H21" s="222" t="str">
        <f t="shared" si="2"/>
        <v>octubre</v>
      </c>
      <c r="I21" s="126" t="str">
        <f>VLOOKUP(B21,'Base de Datos'!$E$7:$T$271,14,0)</f>
        <v/>
      </c>
      <c r="J21" s="224" t="e">
        <f t="shared" si="3"/>
        <v>#VALUE!</v>
      </c>
      <c r="K21" s="223" t="e">
        <f t="shared" si="4"/>
        <v>#VALUE!</v>
      </c>
      <c r="L21" s="223" t="e">
        <f t="shared" si="5"/>
        <v>#VALUE!</v>
      </c>
      <c r="M21" s="223" t="str">
        <f t="shared" si="6"/>
        <v/>
      </c>
      <c r="N21" s="223" t="e">
        <f t="shared" ca="1" si="7"/>
        <v>#VALUE!</v>
      </c>
      <c r="O21" s="268" t="e">
        <f t="shared" ca="1" si="8"/>
        <v>#VALUE!</v>
      </c>
      <c r="P21" s="268" t="str">
        <f t="shared" si="41"/>
        <v/>
      </c>
      <c r="Q21" s="268" t="str">
        <f t="shared" si="9"/>
        <v/>
      </c>
      <c r="R21" s="268" t="str">
        <f t="shared" si="10"/>
        <v/>
      </c>
      <c r="S21" s="268" t="str">
        <f t="shared" si="11"/>
        <v/>
      </c>
      <c r="T21" s="268" t="str">
        <f t="shared" si="12"/>
        <v/>
      </c>
      <c r="U21" s="268" t="str">
        <f t="shared" si="13"/>
        <v/>
      </c>
      <c r="V21" s="268" t="str">
        <f t="shared" si="43"/>
        <v/>
      </c>
      <c r="W21" s="268" t="str">
        <f t="shared" si="14"/>
        <v/>
      </c>
      <c r="X21" s="268" t="str">
        <f t="shared" si="15"/>
        <v/>
      </c>
      <c r="Y21" s="268" t="str">
        <f t="shared" si="42"/>
        <v>1</v>
      </c>
      <c r="Z21" s="268" t="str">
        <f t="shared" si="16"/>
        <v>1</v>
      </c>
      <c r="AA21" s="268">
        <v>1</v>
      </c>
      <c r="AB21" s="268" t="str">
        <f t="shared" si="45"/>
        <v>1</v>
      </c>
      <c r="AC21" s="268" t="str">
        <f t="shared" si="46"/>
        <v>1</v>
      </c>
      <c r="AD21" s="268" t="str">
        <f>IF(AND(E21&lt;$AD$2,I21&gt;$AD$2),"1","")</f>
        <v>1</v>
      </c>
      <c r="AE21" s="268" t="str">
        <f t="shared" si="20"/>
        <v>1</v>
      </c>
      <c r="AF21" s="268" t="str">
        <f t="shared" si="21"/>
        <v>1</v>
      </c>
      <c r="AG21" s="268" t="str">
        <f t="shared" si="22"/>
        <v>1</v>
      </c>
      <c r="AH21" s="268" t="str">
        <f t="shared" si="23"/>
        <v>1</v>
      </c>
      <c r="AI21" s="268" t="str">
        <f t="shared" si="24"/>
        <v>1</v>
      </c>
      <c r="AJ21" s="268" t="str">
        <f t="shared" si="25"/>
        <v>1</v>
      </c>
      <c r="AK21" s="268" t="str">
        <f t="shared" si="26"/>
        <v>1</v>
      </c>
      <c r="AL21" s="268" t="str">
        <f t="shared" si="27"/>
        <v>1</v>
      </c>
      <c r="AM21" s="268" t="str">
        <f t="shared" si="28"/>
        <v>1</v>
      </c>
      <c r="AN21" s="223" t="str">
        <f t="shared" si="29"/>
        <v>1</v>
      </c>
      <c r="AO21" s="223" t="str">
        <f t="shared" si="30"/>
        <v>1</v>
      </c>
      <c r="AP21" s="223" t="str">
        <f t="shared" si="31"/>
        <v>1</v>
      </c>
      <c r="AQ21" s="223" t="str">
        <f t="shared" si="32"/>
        <v>1</v>
      </c>
      <c r="AR21" s="223" t="str">
        <f t="shared" si="33"/>
        <v>1</v>
      </c>
      <c r="AS21" s="223" t="str">
        <f t="shared" si="34"/>
        <v>1</v>
      </c>
      <c r="AT21" s="223" t="str">
        <f t="shared" si="35"/>
        <v>1</v>
      </c>
      <c r="AU21" s="223" t="str">
        <f t="shared" si="36"/>
        <v>1</v>
      </c>
      <c r="AV21" s="223" t="str">
        <f t="shared" si="37"/>
        <v>1</v>
      </c>
      <c r="AW21" s="223" t="str">
        <f t="shared" si="38"/>
        <v>1</v>
      </c>
      <c r="AX21" s="223" t="str">
        <f t="shared" si="39"/>
        <v>1</v>
      </c>
      <c r="AY21" s="223" t="str">
        <f t="shared" si="40"/>
        <v>1</v>
      </c>
    </row>
    <row r="22" spans="1:51" ht="22.5" x14ac:dyDescent="0.25">
      <c r="A22" s="214">
        <v>20</v>
      </c>
      <c r="B22" s="253" t="s">
        <v>109</v>
      </c>
      <c r="C22" s="145" t="s">
        <v>420</v>
      </c>
      <c r="D22" s="152">
        <v>2012</v>
      </c>
      <c r="E22" s="147">
        <v>41165</v>
      </c>
      <c r="F22" s="222">
        <f t="shared" si="0"/>
        <v>9</v>
      </c>
      <c r="G22" s="222" t="str">
        <f t="shared" si="1"/>
        <v>92012</v>
      </c>
      <c r="H22" s="222" t="str">
        <f t="shared" si="2"/>
        <v>septiembre</v>
      </c>
      <c r="I22" s="126" t="str">
        <f>VLOOKUP(B22,'Base de Datos'!$E$7:$T$271,14,0)</f>
        <v/>
      </c>
      <c r="J22" s="224" t="e">
        <f t="shared" si="3"/>
        <v>#VALUE!</v>
      </c>
      <c r="K22" s="223" t="e">
        <f t="shared" si="4"/>
        <v>#VALUE!</v>
      </c>
      <c r="L22" s="223" t="e">
        <f t="shared" si="5"/>
        <v>#VALUE!</v>
      </c>
      <c r="M22" s="223" t="str">
        <f t="shared" si="6"/>
        <v/>
      </c>
      <c r="N22" s="223" t="e">
        <f t="shared" ca="1" si="7"/>
        <v>#VALUE!</v>
      </c>
      <c r="O22" s="268" t="e">
        <f t="shared" ca="1" si="8"/>
        <v>#VALUE!</v>
      </c>
      <c r="P22" s="268" t="str">
        <f t="shared" si="41"/>
        <v/>
      </c>
      <c r="Q22" s="268" t="str">
        <f t="shared" si="9"/>
        <v/>
      </c>
      <c r="R22" s="268" t="str">
        <f t="shared" si="10"/>
        <v/>
      </c>
      <c r="S22" s="268" t="str">
        <f t="shared" si="11"/>
        <v/>
      </c>
      <c r="T22" s="268" t="str">
        <f t="shared" si="12"/>
        <v/>
      </c>
      <c r="U22" s="268" t="str">
        <f t="shared" si="13"/>
        <v/>
      </c>
      <c r="V22" s="268" t="str">
        <f t="shared" si="43"/>
        <v/>
      </c>
      <c r="W22" s="268" t="str">
        <f t="shared" si="14"/>
        <v/>
      </c>
      <c r="X22" s="268" t="str">
        <f t="shared" si="15"/>
        <v>1</v>
      </c>
      <c r="Y22" s="268" t="str">
        <f t="shared" si="42"/>
        <v>1</v>
      </c>
      <c r="Z22" s="268" t="str">
        <f t="shared" si="16"/>
        <v>1</v>
      </c>
      <c r="AA22" s="268" t="str">
        <f t="shared" ref="AA22:AA85" si="47">IF(AND(E22&lt;$AA$2,I22&gt;$AA$2),"1","")</f>
        <v>1</v>
      </c>
      <c r="AB22" s="268" t="str">
        <f t="shared" si="45"/>
        <v>1</v>
      </c>
      <c r="AC22" s="268" t="str">
        <f t="shared" si="46"/>
        <v>1</v>
      </c>
      <c r="AD22" s="268">
        <v>1</v>
      </c>
      <c r="AE22" s="268" t="str">
        <f t="shared" si="20"/>
        <v>1</v>
      </c>
      <c r="AF22" s="268" t="str">
        <f t="shared" si="21"/>
        <v>1</v>
      </c>
      <c r="AG22" s="268" t="str">
        <f t="shared" si="22"/>
        <v>1</v>
      </c>
      <c r="AH22" s="268" t="str">
        <f t="shared" si="23"/>
        <v>1</v>
      </c>
      <c r="AI22" s="268" t="str">
        <f t="shared" si="24"/>
        <v>1</v>
      </c>
      <c r="AJ22" s="268" t="str">
        <f t="shared" si="25"/>
        <v>1</v>
      </c>
      <c r="AK22" s="268" t="str">
        <f t="shared" si="26"/>
        <v>1</v>
      </c>
      <c r="AL22" s="268" t="str">
        <f t="shared" si="27"/>
        <v>1</v>
      </c>
      <c r="AM22" s="268" t="str">
        <f t="shared" si="28"/>
        <v>1</v>
      </c>
      <c r="AN22" s="223" t="str">
        <f t="shared" si="29"/>
        <v>1</v>
      </c>
      <c r="AO22" s="223" t="str">
        <f t="shared" si="30"/>
        <v>1</v>
      </c>
      <c r="AP22" s="223" t="str">
        <f t="shared" si="31"/>
        <v>1</v>
      </c>
      <c r="AQ22" s="223" t="str">
        <f t="shared" si="32"/>
        <v>1</v>
      </c>
      <c r="AR22" s="223" t="str">
        <f t="shared" si="33"/>
        <v>1</v>
      </c>
      <c r="AS22" s="223" t="str">
        <f t="shared" si="34"/>
        <v>1</v>
      </c>
      <c r="AT22" s="223" t="str">
        <f t="shared" si="35"/>
        <v>1</v>
      </c>
      <c r="AU22" s="223" t="str">
        <f t="shared" si="36"/>
        <v>1</v>
      </c>
      <c r="AV22" s="223" t="str">
        <f t="shared" si="37"/>
        <v>1</v>
      </c>
      <c r="AW22" s="223" t="str">
        <f t="shared" si="38"/>
        <v>1</v>
      </c>
      <c r="AX22" s="223" t="str">
        <f t="shared" si="39"/>
        <v>1</v>
      </c>
      <c r="AY22" s="223" t="str">
        <f t="shared" si="40"/>
        <v>1</v>
      </c>
    </row>
    <row r="23" spans="1:51" ht="22.5" x14ac:dyDescent="0.25">
      <c r="A23" s="214">
        <v>21</v>
      </c>
      <c r="B23" s="254" t="s">
        <v>19</v>
      </c>
      <c r="C23" s="145" t="s">
        <v>20</v>
      </c>
      <c r="D23" s="152">
        <v>2012</v>
      </c>
      <c r="E23" s="149">
        <v>41074</v>
      </c>
      <c r="F23" s="222">
        <f t="shared" si="0"/>
        <v>6</v>
      </c>
      <c r="G23" s="222" t="str">
        <f t="shared" si="1"/>
        <v>62012</v>
      </c>
      <c r="H23" s="222" t="str">
        <f t="shared" si="2"/>
        <v>junio</v>
      </c>
      <c r="I23" s="126" t="str">
        <f>VLOOKUP(B23,'Base de Datos'!$E$7:$T$271,14,0)</f>
        <v/>
      </c>
      <c r="J23" s="224" t="e">
        <f t="shared" si="3"/>
        <v>#VALUE!</v>
      </c>
      <c r="K23" s="223" t="e">
        <f t="shared" si="4"/>
        <v>#VALUE!</v>
      </c>
      <c r="L23" s="223" t="e">
        <f t="shared" si="5"/>
        <v>#VALUE!</v>
      </c>
      <c r="M23" s="223" t="str">
        <f t="shared" si="6"/>
        <v/>
      </c>
      <c r="N23" s="223" t="e">
        <f t="shared" ca="1" si="7"/>
        <v>#VALUE!</v>
      </c>
      <c r="O23" s="268" t="e">
        <f t="shared" ca="1" si="8"/>
        <v>#VALUE!</v>
      </c>
      <c r="P23" s="268" t="str">
        <f t="shared" si="41"/>
        <v/>
      </c>
      <c r="Q23" s="268" t="str">
        <f t="shared" si="9"/>
        <v/>
      </c>
      <c r="R23" s="268" t="str">
        <f t="shared" si="10"/>
        <v/>
      </c>
      <c r="S23" s="268" t="str">
        <f t="shared" si="11"/>
        <v/>
      </c>
      <c r="T23" s="268" t="str">
        <f t="shared" si="12"/>
        <v/>
      </c>
      <c r="U23" s="268" t="str">
        <f t="shared" si="13"/>
        <v>1</v>
      </c>
      <c r="V23" s="268" t="str">
        <f t="shared" si="43"/>
        <v>1</v>
      </c>
      <c r="W23" s="268" t="str">
        <f t="shared" si="14"/>
        <v>1</v>
      </c>
      <c r="X23" s="268" t="str">
        <f t="shared" si="15"/>
        <v>1</v>
      </c>
      <c r="Y23" s="268" t="str">
        <f t="shared" si="42"/>
        <v>1</v>
      </c>
      <c r="Z23" s="268" t="str">
        <f t="shared" si="16"/>
        <v>1</v>
      </c>
      <c r="AA23" s="268" t="str">
        <f t="shared" si="47"/>
        <v>1</v>
      </c>
      <c r="AB23" s="268" t="str">
        <f t="shared" si="45"/>
        <v>1</v>
      </c>
      <c r="AC23" s="268" t="str">
        <f t="shared" si="46"/>
        <v>1</v>
      </c>
      <c r="AD23" s="268">
        <v>1</v>
      </c>
      <c r="AE23" s="268" t="str">
        <f t="shared" si="20"/>
        <v>1</v>
      </c>
      <c r="AF23" s="268" t="str">
        <f t="shared" si="21"/>
        <v>1</v>
      </c>
      <c r="AG23" s="268" t="str">
        <f t="shared" si="22"/>
        <v>1</v>
      </c>
      <c r="AH23" s="268" t="str">
        <f t="shared" si="23"/>
        <v>1</v>
      </c>
      <c r="AI23" s="268" t="str">
        <f t="shared" si="24"/>
        <v>1</v>
      </c>
      <c r="AJ23" s="268" t="str">
        <f t="shared" si="25"/>
        <v>1</v>
      </c>
      <c r="AK23" s="268" t="str">
        <f t="shared" si="26"/>
        <v>1</v>
      </c>
      <c r="AL23" s="268" t="str">
        <f t="shared" si="27"/>
        <v>1</v>
      </c>
      <c r="AM23" s="268" t="str">
        <f t="shared" si="28"/>
        <v>1</v>
      </c>
      <c r="AN23" s="223" t="str">
        <f t="shared" si="29"/>
        <v>1</v>
      </c>
      <c r="AO23" s="223" t="str">
        <f t="shared" si="30"/>
        <v>1</v>
      </c>
      <c r="AP23" s="223" t="str">
        <f t="shared" si="31"/>
        <v>1</v>
      </c>
      <c r="AQ23" s="223" t="str">
        <f t="shared" si="32"/>
        <v>1</v>
      </c>
      <c r="AR23" s="223" t="str">
        <f t="shared" si="33"/>
        <v>1</v>
      </c>
      <c r="AS23" s="223" t="str">
        <f t="shared" si="34"/>
        <v>1</v>
      </c>
      <c r="AT23" s="223" t="str">
        <f t="shared" si="35"/>
        <v>1</v>
      </c>
      <c r="AU23" s="223" t="str">
        <f t="shared" si="36"/>
        <v>1</v>
      </c>
      <c r="AV23" s="223" t="str">
        <f t="shared" si="37"/>
        <v>1</v>
      </c>
      <c r="AW23" s="223" t="str">
        <f t="shared" si="38"/>
        <v>1</v>
      </c>
      <c r="AX23" s="223" t="str">
        <f t="shared" si="39"/>
        <v>1</v>
      </c>
      <c r="AY23" s="223" t="str">
        <f t="shared" si="40"/>
        <v>1</v>
      </c>
    </row>
    <row r="24" spans="1:51" ht="22.5" x14ac:dyDescent="0.25">
      <c r="A24" s="214">
        <v>22</v>
      </c>
      <c r="B24" s="253" t="s">
        <v>107</v>
      </c>
      <c r="C24" s="145" t="s">
        <v>108</v>
      </c>
      <c r="D24" s="152">
        <v>2012</v>
      </c>
      <c r="E24" s="147">
        <v>41137</v>
      </c>
      <c r="F24" s="222">
        <f t="shared" si="0"/>
        <v>8</v>
      </c>
      <c r="G24" s="222" t="str">
        <f t="shared" si="1"/>
        <v>82012</v>
      </c>
      <c r="H24" s="222" t="str">
        <f t="shared" si="2"/>
        <v>agosto</v>
      </c>
      <c r="I24" s="126" t="str">
        <f>VLOOKUP(B24,'Base de Datos'!$E$7:$T$271,14,0)</f>
        <v/>
      </c>
      <c r="J24" s="224" t="e">
        <f t="shared" si="3"/>
        <v>#VALUE!</v>
      </c>
      <c r="K24" s="223" t="e">
        <f t="shared" si="4"/>
        <v>#VALUE!</v>
      </c>
      <c r="L24" s="223" t="e">
        <f t="shared" si="5"/>
        <v>#VALUE!</v>
      </c>
      <c r="M24" s="223" t="str">
        <f t="shared" si="6"/>
        <v/>
      </c>
      <c r="N24" s="223" t="e">
        <f t="shared" ca="1" si="7"/>
        <v>#VALUE!</v>
      </c>
      <c r="O24" s="268" t="e">
        <f t="shared" ca="1" si="8"/>
        <v>#VALUE!</v>
      </c>
      <c r="P24" s="268" t="str">
        <f t="shared" si="41"/>
        <v/>
      </c>
      <c r="Q24" s="268" t="str">
        <f t="shared" si="9"/>
        <v/>
      </c>
      <c r="R24" s="268" t="str">
        <f t="shared" si="10"/>
        <v/>
      </c>
      <c r="S24" s="268" t="str">
        <f t="shared" si="11"/>
        <v/>
      </c>
      <c r="T24" s="268" t="str">
        <f t="shared" si="12"/>
        <v/>
      </c>
      <c r="U24" s="268" t="str">
        <f t="shared" si="13"/>
        <v/>
      </c>
      <c r="V24" s="268" t="str">
        <f t="shared" si="43"/>
        <v/>
      </c>
      <c r="W24" s="268" t="str">
        <f t="shared" si="14"/>
        <v>1</v>
      </c>
      <c r="X24" s="268" t="str">
        <f t="shared" si="15"/>
        <v>1</v>
      </c>
      <c r="Y24" s="268" t="str">
        <f t="shared" si="42"/>
        <v>1</v>
      </c>
      <c r="Z24" s="268" t="str">
        <f t="shared" si="16"/>
        <v>1</v>
      </c>
      <c r="AA24" s="268" t="str">
        <f t="shared" si="47"/>
        <v>1</v>
      </c>
      <c r="AB24" s="268" t="str">
        <f t="shared" si="45"/>
        <v>1</v>
      </c>
      <c r="AC24" s="268" t="str">
        <f t="shared" si="46"/>
        <v>1</v>
      </c>
      <c r="AD24" s="268">
        <v>1</v>
      </c>
      <c r="AE24" s="268" t="str">
        <f t="shared" si="20"/>
        <v>1</v>
      </c>
      <c r="AF24" s="268" t="str">
        <f t="shared" si="21"/>
        <v>1</v>
      </c>
      <c r="AG24" s="268" t="str">
        <f t="shared" si="22"/>
        <v>1</v>
      </c>
      <c r="AH24" s="268" t="str">
        <f t="shared" si="23"/>
        <v>1</v>
      </c>
      <c r="AI24" s="268" t="str">
        <f t="shared" si="24"/>
        <v>1</v>
      </c>
      <c r="AJ24" s="268" t="str">
        <f t="shared" si="25"/>
        <v>1</v>
      </c>
      <c r="AK24" s="268" t="str">
        <f t="shared" si="26"/>
        <v>1</v>
      </c>
      <c r="AL24" s="268" t="str">
        <f t="shared" si="27"/>
        <v>1</v>
      </c>
      <c r="AM24" s="268" t="str">
        <f t="shared" si="28"/>
        <v>1</v>
      </c>
      <c r="AN24" s="223" t="str">
        <f t="shared" si="29"/>
        <v>1</v>
      </c>
      <c r="AO24" s="223" t="str">
        <f t="shared" si="30"/>
        <v>1</v>
      </c>
      <c r="AP24" s="223" t="str">
        <f t="shared" si="31"/>
        <v>1</v>
      </c>
      <c r="AQ24" s="223" t="str">
        <f t="shared" si="32"/>
        <v>1</v>
      </c>
      <c r="AR24" s="223" t="str">
        <f t="shared" si="33"/>
        <v>1</v>
      </c>
      <c r="AS24" s="223" t="str">
        <f t="shared" si="34"/>
        <v>1</v>
      </c>
      <c r="AT24" s="223" t="str">
        <f t="shared" si="35"/>
        <v>1</v>
      </c>
      <c r="AU24" s="223" t="str">
        <f t="shared" si="36"/>
        <v>1</v>
      </c>
      <c r="AV24" s="223" t="str">
        <f t="shared" si="37"/>
        <v>1</v>
      </c>
      <c r="AW24" s="223" t="str">
        <f t="shared" si="38"/>
        <v>1</v>
      </c>
      <c r="AX24" s="223" t="str">
        <f t="shared" si="39"/>
        <v>1</v>
      </c>
      <c r="AY24" s="223" t="str">
        <f t="shared" si="40"/>
        <v>1</v>
      </c>
    </row>
    <row r="25" spans="1:51" ht="22.5" x14ac:dyDescent="0.25">
      <c r="A25" s="214">
        <v>23</v>
      </c>
      <c r="B25" s="250" t="s">
        <v>30</v>
      </c>
      <c r="C25" s="132" t="s">
        <v>31</v>
      </c>
      <c r="D25" s="156">
        <v>2012</v>
      </c>
      <c r="E25" s="136">
        <v>41292</v>
      </c>
      <c r="F25" s="222">
        <f t="shared" si="0"/>
        <v>1</v>
      </c>
      <c r="G25" s="222" t="str">
        <f t="shared" si="1"/>
        <v>12012</v>
      </c>
      <c r="H25" s="222" t="str">
        <f t="shared" si="2"/>
        <v>enero</v>
      </c>
      <c r="I25" s="126" t="str">
        <f>VLOOKUP(B25,'Base de Datos'!$E$7:$T$271,14,0)</f>
        <v/>
      </c>
      <c r="J25" s="224" t="e">
        <f t="shared" si="3"/>
        <v>#VALUE!</v>
      </c>
      <c r="K25" s="223" t="e">
        <f t="shared" si="4"/>
        <v>#VALUE!</v>
      </c>
      <c r="L25" s="223" t="e">
        <f t="shared" si="5"/>
        <v>#VALUE!</v>
      </c>
      <c r="M25" s="223" t="str">
        <f t="shared" si="6"/>
        <v/>
      </c>
      <c r="N25" s="223" t="e">
        <f t="shared" ca="1" si="7"/>
        <v>#VALUE!</v>
      </c>
      <c r="O25" s="268" t="e">
        <f t="shared" ca="1" si="8"/>
        <v>#VALUE!</v>
      </c>
      <c r="P25" s="268" t="str">
        <f t="shared" si="41"/>
        <v/>
      </c>
      <c r="Q25" s="268" t="str">
        <f t="shared" si="9"/>
        <v/>
      </c>
      <c r="R25" s="268" t="str">
        <f t="shared" si="10"/>
        <v/>
      </c>
      <c r="S25" s="268" t="str">
        <f t="shared" si="11"/>
        <v/>
      </c>
      <c r="T25" s="268" t="str">
        <f t="shared" si="12"/>
        <v/>
      </c>
      <c r="U25" s="268" t="str">
        <f t="shared" si="13"/>
        <v/>
      </c>
      <c r="V25" s="268" t="str">
        <f t="shared" si="43"/>
        <v/>
      </c>
      <c r="W25" s="268" t="str">
        <f t="shared" si="14"/>
        <v/>
      </c>
      <c r="X25" s="268" t="str">
        <f t="shared" si="15"/>
        <v/>
      </c>
      <c r="Y25" s="268" t="str">
        <f t="shared" si="42"/>
        <v/>
      </c>
      <c r="Z25" s="268" t="str">
        <f t="shared" si="16"/>
        <v/>
      </c>
      <c r="AA25" s="268" t="str">
        <f t="shared" si="47"/>
        <v/>
      </c>
      <c r="AB25" s="268" t="str">
        <f t="shared" si="45"/>
        <v>1</v>
      </c>
      <c r="AC25" s="268" t="str">
        <f t="shared" si="46"/>
        <v>1</v>
      </c>
      <c r="AD25" s="268">
        <v>1</v>
      </c>
      <c r="AE25" s="268" t="str">
        <f t="shared" si="20"/>
        <v>1</v>
      </c>
      <c r="AF25" s="268" t="str">
        <f t="shared" si="21"/>
        <v>1</v>
      </c>
      <c r="AG25" s="268" t="str">
        <f t="shared" si="22"/>
        <v>1</v>
      </c>
      <c r="AH25" s="268" t="str">
        <f t="shared" si="23"/>
        <v>1</v>
      </c>
      <c r="AI25" s="268" t="str">
        <f t="shared" si="24"/>
        <v>1</v>
      </c>
      <c r="AJ25" s="268" t="str">
        <f t="shared" si="25"/>
        <v>1</v>
      </c>
      <c r="AK25" s="268" t="str">
        <f t="shared" si="26"/>
        <v>1</v>
      </c>
      <c r="AL25" s="268" t="str">
        <f t="shared" si="27"/>
        <v>1</v>
      </c>
      <c r="AM25" s="268" t="str">
        <f t="shared" si="28"/>
        <v>1</v>
      </c>
      <c r="AN25" s="223" t="str">
        <f t="shared" si="29"/>
        <v>1</v>
      </c>
      <c r="AO25" s="223" t="str">
        <f t="shared" si="30"/>
        <v>1</v>
      </c>
      <c r="AP25" s="223" t="str">
        <f t="shared" si="31"/>
        <v>1</v>
      </c>
      <c r="AQ25" s="223" t="str">
        <f t="shared" si="32"/>
        <v>1</v>
      </c>
      <c r="AR25" s="223" t="str">
        <f t="shared" si="33"/>
        <v>1</v>
      </c>
      <c r="AS25" s="223" t="str">
        <f t="shared" si="34"/>
        <v>1</v>
      </c>
      <c r="AT25" s="223" t="str">
        <f t="shared" si="35"/>
        <v>1</v>
      </c>
      <c r="AU25" s="223" t="str">
        <f t="shared" si="36"/>
        <v>1</v>
      </c>
      <c r="AV25" s="223" t="str">
        <f t="shared" si="37"/>
        <v>1</v>
      </c>
      <c r="AW25" s="223" t="str">
        <f t="shared" si="38"/>
        <v>1</v>
      </c>
      <c r="AX25" s="223" t="str">
        <f t="shared" si="39"/>
        <v>1</v>
      </c>
      <c r="AY25" s="223" t="str">
        <f t="shared" si="40"/>
        <v>1</v>
      </c>
    </row>
    <row r="26" spans="1:51" ht="22.5" x14ac:dyDescent="0.25">
      <c r="A26" s="214">
        <v>24</v>
      </c>
      <c r="B26" s="250" t="s">
        <v>45</v>
      </c>
      <c r="C26" s="132" t="s">
        <v>46</v>
      </c>
      <c r="D26" s="156">
        <v>2012</v>
      </c>
      <c r="E26" s="136">
        <v>41292</v>
      </c>
      <c r="F26" s="222">
        <f t="shared" si="0"/>
        <v>1</v>
      </c>
      <c r="G26" s="222" t="str">
        <f t="shared" si="1"/>
        <v>12012</v>
      </c>
      <c r="H26" s="222" t="str">
        <f t="shared" si="2"/>
        <v>enero</v>
      </c>
      <c r="I26" s="126" t="str">
        <f>VLOOKUP(B26,'Base de Datos'!$E$7:$T$271,14,0)</f>
        <v/>
      </c>
      <c r="J26" s="224" t="e">
        <f t="shared" si="3"/>
        <v>#VALUE!</v>
      </c>
      <c r="K26" s="223" t="e">
        <f t="shared" si="4"/>
        <v>#VALUE!</v>
      </c>
      <c r="L26" s="223" t="e">
        <f t="shared" si="5"/>
        <v>#VALUE!</v>
      </c>
      <c r="M26" s="223" t="str">
        <f t="shared" si="6"/>
        <v/>
      </c>
      <c r="N26" s="223" t="e">
        <f t="shared" ca="1" si="7"/>
        <v>#VALUE!</v>
      </c>
      <c r="O26" s="268" t="e">
        <f t="shared" ca="1" si="8"/>
        <v>#VALUE!</v>
      </c>
      <c r="P26" s="268" t="str">
        <f t="shared" si="41"/>
        <v/>
      </c>
      <c r="Q26" s="268" t="str">
        <f t="shared" si="9"/>
        <v/>
      </c>
      <c r="R26" s="268" t="str">
        <f t="shared" si="10"/>
        <v/>
      </c>
      <c r="S26" s="268" t="str">
        <f t="shared" si="11"/>
        <v/>
      </c>
      <c r="T26" s="268" t="str">
        <f t="shared" si="12"/>
        <v/>
      </c>
      <c r="U26" s="268" t="str">
        <f t="shared" si="13"/>
        <v/>
      </c>
      <c r="V26" s="268" t="str">
        <f t="shared" si="43"/>
        <v/>
      </c>
      <c r="W26" s="268" t="str">
        <f t="shared" si="14"/>
        <v/>
      </c>
      <c r="X26" s="268" t="str">
        <f t="shared" si="15"/>
        <v/>
      </c>
      <c r="Y26" s="268" t="str">
        <f t="shared" si="42"/>
        <v/>
      </c>
      <c r="Z26" s="268" t="str">
        <f t="shared" si="16"/>
        <v/>
      </c>
      <c r="AA26" s="268" t="str">
        <f t="shared" si="47"/>
        <v/>
      </c>
      <c r="AB26" s="268" t="str">
        <f t="shared" si="45"/>
        <v>1</v>
      </c>
      <c r="AC26" s="268" t="str">
        <f t="shared" si="46"/>
        <v>1</v>
      </c>
      <c r="AD26" s="268">
        <v>1</v>
      </c>
      <c r="AE26" s="268" t="str">
        <f t="shared" si="20"/>
        <v>1</v>
      </c>
      <c r="AF26" s="268" t="str">
        <f t="shared" si="21"/>
        <v>1</v>
      </c>
      <c r="AG26" s="268" t="str">
        <f t="shared" si="22"/>
        <v>1</v>
      </c>
      <c r="AH26" s="268" t="str">
        <f t="shared" si="23"/>
        <v>1</v>
      </c>
      <c r="AI26" s="268" t="str">
        <f t="shared" si="24"/>
        <v>1</v>
      </c>
      <c r="AJ26" s="268" t="str">
        <f t="shared" si="25"/>
        <v>1</v>
      </c>
      <c r="AK26" s="268" t="str">
        <f t="shared" si="26"/>
        <v>1</v>
      </c>
      <c r="AL26" s="268" t="str">
        <f t="shared" si="27"/>
        <v>1</v>
      </c>
      <c r="AM26" s="268" t="str">
        <f t="shared" si="28"/>
        <v>1</v>
      </c>
      <c r="AN26" s="223" t="str">
        <f t="shared" si="29"/>
        <v>1</v>
      </c>
      <c r="AO26" s="223" t="str">
        <f t="shared" si="30"/>
        <v>1</v>
      </c>
      <c r="AP26" s="223" t="str">
        <f t="shared" si="31"/>
        <v>1</v>
      </c>
      <c r="AQ26" s="223" t="str">
        <f t="shared" si="32"/>
        <v>1</v>
      </c>
      <c r="AR26" s="223" t="str">
        <f t="shared" si="33"/>
        <v>1</v>
      </c>
      <c r="AS26" s="223" t="str">
        <f t="shared" si="34"/>
        <v>1</v>
      </c>
      <c r="AT26" s="223" t="str">
        <f t="shared" si="35"/>
        <v>1</v>
      </c>
      <c r="AU26" s="223" t="str">
        <f t="shared" si="36"/>
        <v>1</v>
      </c>
      <c r="AV26" s="223" t="str">
        <f t="shared" si="37"/>
        <v>1</v>
      </c>
      <c r="AW26" s="223" t="str">
        <f t="shared" si="38"/>
        <v>1</v>
      </c>
      <c r="AX26" s="223" t="str">
        <f t="shared" si="39"/>
        <v>1</v>
      </c>
      <c r="AY26" s="223" t="str">
        <f t="shared" si="40"/>
        <v>1</v>
      </c>
    </row>
    <row r="27" spans="1:51" ht="22.5" x14ac:dyDescent="0.25">
      <c r="A27" s="214">
        <v>25</v>
      </c>
      <c r="B27" s="251" t="s">
        <v>594</v>
      </c>
      <c r="C27" s="132" t="s">
        <v>1006</v>
      </c>
      <c r="D27" s="135">
        <v>2011</v>
      </c>
      <c r="E27" s="138">
        <v>40870</v>
      </c>
      <c r="F27" s="222">
        <f t="shared" si="0"/>
        <v>11</v>
      </c>
      <c r="G27" s="222" t="str">
        <f t="shared" si="1"/>
        <v>112011</v>
      </c>
      <c r="H27" s="222" t="str">
        <f t="shared" si="2"/>
        <v>noviembre</v>
      </c>
      <c r="I27" s="126" t="str">
        <f>VLOOKUP(B27,'Base de Datos'!$E$7:$T$271,14,0)</f>
        <v>4 meses</v>
      </c>
      <c r="J27" s="224" t="e">
        <f t="shared" si="3"/>
        <v>#VALUE!</v>
      </c>
      <c r="K27" s="223" t="e">
        <f t="shared" si="4"/>
        <v>#VALUE!</v>
      </c>
      <c r="L27" s="223" t="e">
        <f t="shared" si="5"/>
        <v>#VALUE!</v>
      </c>
      <c r="M27" s="223" t="str">
        <f t="shared" si="6"/>
        <v>4 meses</v>
      </c>
      <c r="N27" s="223" t="e">
        <f t="shared" ca="1" si="7"/>
        <v>#VALUE!</v>
      </c>
      <c r="O27" s="268" t="e">
        <f t="shared" ca="1" si="8"/>
        <v>#VALUE!</v>
      </c>
      <c r="P27" s="268" t="str">
        <f t="shared" si="41"/>
        <v>1</v>
      </c>
      <c r="Q27" s="268" t="str">
        <f t="shared" si="9"/>
        <v>1</v>
      </c>
      <c r="R27" s="268" t="str">
        <f t="shared" si="10"/>
        <v>1</v>
      </c>
      <c r="S27" s="268" t="str">
        <f t="shared" si="11"/>
        <v>1</v>
      </c>
      <c r="T27" s="268" t="str">
        <f t="shared" si="12"/>
        <v>1</v>
      </c>
      <c r="U27" s="268" t="str">
        <f t="shared" si="13"/>
        <v>1</v>
      </c>
      <c r="V27" s="268" t="str">
        <f t="shared" si="43"/>
        <v>1</v>
      </c>
      <c r="W27" s="268" t="str">
        <f t="shared" si="14"/>
        <v>1</v>
      </c>
      <c r="X27" s="268" t="str">
        <f t="shared" si="15"/>
        <v>1</v>
      </c>
      <c r="Y27" s="268" t="str">
        <f t="shared" si="42"/>
        <v>1</v>
      </c>
      <c r="Z27" s="268" t="str">
        <f t="shared" si="16"/>
        <v>1</v>
      </c>
      <c r="AA27" s="268" t="str">
        <f t="shared" si="47"/>
        <v>1</v>
      </c>
      <c r="AB27" s="268" t="str">
        <f t="shared" si="45"/>
        <v>1</v>
      </c>
      <c r="AC27" s="268" t="str">
        <f t="shared" si="46"/>
        <v>1</v>
      </c>
      <c r="AD27" s="268">
        <v>1</v>
      </c>
      <c r="AE27" s="268" t="str">
        <f t="shared" si="20"/>
        <v>1</v>
      </c>
      <c r="AF27" s="268" t="str">
        <f t="shared" si="21"/>
        <v>1</v>
      </c>
      <c r="AG27" s="268" t="str">
        <f t="shared" si="22"/>
        <v>1</v>
      </c>
      <c r="AH27" s="268" t="str">
        <f t="shared" si="23"/>
        <v>1</v>
      </c>
      <c r="AI27" s="268" t="str">
        <f t="shared" si="24"/>
        <v>1</v>
      </c>
      <c r="AJ27" s="268" t="str">
        <f t="shared" si="25"/>
        <v>1</v>
      </c>
      <c r="AK27" s="268" t="str">
        <f t="shared" si="26"/>
        <v>1</v>
      </c>
      <c r="AL27" s="268" t="str">
        <f t="shared" si="27"/>
        <v>1</v>
      </c>
      <c r="AM27" s="268" t="str">
        <f t="shared" si="28"/>
        <v>1</v>
      </c>
      <c r="AN27" s="223" t="str">
        <f t="shared" si="29"/>
        <v>1</v>
      </c>
      <c r="AO27" s="223" t="str">
        <f t="shared" si="30"/>
        <v>1</v>
      </c>
      <c r="AP27" s="223" t="str">
        <f t="shared" si="31"/>
        <v>1</v>
      </c>
      <c r="AQ27" s="223" t="str">
        <f t="shared" si="32"/>
        <v>1</v>
      </c>
      <c r="AR27" s="223" t="str">
        <f t="shared" si="33"/>
        <v>1</v>
      </c>
      <c r="AS27" s="223" t="str">
        <f t="shared" si="34"/>
        <v>1</v>
      </c>
      <c r="AT27" s="223" t="str">
        <f t="shared" si="35"/>
        <v>1</v>
      </c>
      <c r="AU27" s="223" t="str">
        <f t="shared" si="36"/>
        <v>1</v>
      </c>
      <c r="AV27" s="223" t="str">
        <f t="shared" si="37"/>
        <v>1</v>
      </c>
      <c r="AW27" s="223" t="str">
        <f t="shared" si="38"/>
        <v>1</v>
      </c>
      <c r="AX27" s="223" t="str">
        <f t="shared" si="39"/>
        <v>1</v>
      </c>
      <c r="AY27" s="223" t="str">
        <f t="shared" si="40"/>
        <v>1</v>
      </c>
    </row>
    <row r="28" spans="1:51" ht="22.5" x14ac:dyDescent="0.25">
      <c r="A28" s="214">
        <v>26</v>
      </c>
      <c r="B28" s="252" t="s">
        <v>120</v>
      </c>
      <c r="C28" s="132" t="s">
        <v>429</v>
      </c>
      <c r="D28" s="135">
        <v>2011</v>
      </c>
      <c r="E28" s="136">
        <v>40862</v>
      </c>
      <c r="F28" s="222">
        <f t="shared" si="0"/>
        <v>11</v>
      </c>
      <c r="G28" s="222" t="str">
        <f t="shared" si="1"/>
        <v>112011</v>
      </c>
      <c r="H28" s="222" t="str">
        <f t="shared" si="2"/>
        <v>noviembre</v>
      </c>
      <c r="I28" s="126" t="str">
        <f>VLOOKUP(B28,'Base de Datos'!$E$7:$T$271,14,0)</f>
        <v/>
      </c>
      <c r="J28" s="224" t="e">
        <f t="shared" si="3"/>
        <v>#VALUE!</v>
      </c>
      <c r="K28" s="223" t="e">
        <f t="shared" si="4"/>
        <v>#VALUE!</v>
      </c>
      <c r="L28" s="223" t="e">
        <f t="shared" si="5"/>
        <v>#VALUE!</v>
      </c>
      <c r="M28" s="223" t="str">
        <f t="shared" si="6"/>
        <v/>
      </c>
      <c r="N28" s="223" t="e">
        <f t="shared" ca="1" si="7"/>
        <v>#VALUE!</v>
      </c>
      <c r="O28" s="268" t="e">
        <f t="shared" ca="1" si="8"/>
        <v>#VALUE!</v>
      </c>
      <c r="P28" s="268" t="str">
        <f t="shared" si="41"/>
        <v>1</v>
      </c>
      <c r="Q28" s="268" t="str">
        <f t="shared" si="9"/>
        <v>1</v>
      </c>
      <c r="R28" s="268" t="str">
        <f t="shared" si="10"/>
        <v>1</v>
      </c>
      <c r="S28" s="268" t="str">
        <f t="shared" si="11"/>
        <v>1</v>
      </c>
      <c r="T28" s="268" t="str">
        <f t="shared" si="12"/>
        <v>1</v>
      </c>
      <c r="U28" s="268" t="str">
        <f t="shared" si="13"/>
        <v>1</v>
      </c>
      <c r="V28" s="268" t="str">
        <f t="shared" si="43"/>
        <v>1</v>
      </c>
      <c r="W28" s="268" t="str">
        <f t="shared" si="14"/>
        <v>1</v>
      </c>
      <c r="X28" s="268" t="str">
        <f t="shared" si="15"/>
        <v>1</v>
      </c>
      <c r="Y28" s="268" t="str">
        <f t="shared" si="42"/>
        <v>1</v>
      </c>
      <c r="Z28" s="268" t="str">
        <f t="shared" si="16"/>
        <v>1</v>
      </c>
      <c r="AA28" s="268" t="str">
        <f t="shared" si="47"/>
        <v>1</v>
      </c>
      <c r="AB28" s="268" t="str">
        <f t="shared" si="45"/>
        <v>1</v>
      </c>
      <c r="AC28" s="268" t="str">
        <f t="shared" si="46"/>
        <v>1</v>
      </c>
      <c r="AD28" s="268">
        <v>1</v>
      </c>
      <c r="AE28" s="268" t="str">
        <f t="shared" si="20"/>
        <v>1</v>
      </c>
      <c r="AF28" s="268" t="str">
        <f t="shared" si="21"/>
        <v>1</v>
      </c>
      <c r="AG28" s="268" t="str">
        <f t="shared" si="22"/>
        <v>1</v>
      </c>
      <c r="AH28" s="268" t="str">
        <f t="shared" si="23"/>
        <v>1</v>
      </c>
      <c r="AI28" s="268" t="str">
        <f t="shared" si="24"/>
        <v>1</v>
      </c>
      <c r="AJ28" s="268" t="str">
        <f t="shared" si="25"/>
        <v>1</v>
      </c>
      <c r="AK28" s="268" t="str">
        <f t="shared" si="26"/>
        <v>1</v>
      </c>
      <c r="AL28" s="268" t="str">
        <f t="shared" si="27"/>
        <v>1</v>
      </c>
      <c r="AM28" s="268" t="str">
        <f t="shared" si="28"/>
        <v>1</v>
      </c>
      <c r="AN28" s="223" t="str">
        <f t="shared" si="29"/>
        <v>1</v>
      </c>
      <c r="AO28" s="223" t="str">
        <f t="shared" si="30"/>
        <v>1</v>
      </c>
      <c r="AP28" s="223" t="str">
        <f t="shared" si="31"/>
        <v>1</v>
      </c>
      <c r="AQ28" s="223" t="str">
        <f t="shared" si="32"/>
        <v>1</v>
      </c>
      <c r="AR28" s="223" t="str">
        <f t="shared" si="33"/>
        <v>1</v>
      </c>
      <c r="AS28" s="223" t="str">
        <f t="shared" si="34"/>
        <v>1</v>
      </c>
      <c r="AT28" s="223" t="str">
        <f t="shared" si="35"/>
        <v>1</v>
      </c>
      <c r="AU28" s="223" t="str">
        <f t="shared" si="36"/>
        <v>1</v>
      </c>
      <c r="AV28" s="223" t="str">
        <f t="shared" si="37"/>
        <v>1</v>
      </c>
      <c r="AW28" s="223" t="str">
        <f t="shared" si="38"/>
        <v>1</v>
      </c>
      <c r="AX28" s="223" t="str">
        <f t="shared" si="39"/>
        <v>1</v>
      </c>
      <c r="AY28" s="223" t="str">
        <f t="shared" si="40"/>
        <v>1</v>
      </c>
    </row>
    <row r="29" spans="1:51" ht="22.5" x14ac:dyDescent="0.25">
      <c r="A29" s="214">
        <v>27</v>
      </c>
      <c r="B29" s="254" t="s">
        <v>127</v>
      </c>
      <c r="C29" s="145" t="s">
        <v>128</v>
      </c>
      <c r="D29" s="135">
        <v>2011</v>
      </c>
      <c r="E29" s="149">
        <v>40863</v>
      </c>
      <c r="F29" s="222">
        <f t="shared" si="0"/>
        <v>11</v>
      </c>
      <c r="G29" s="222" t="str">
        <f t="shared" si="1"/>
        <v>112011</v>
      </c>
      <c r="H29" s="222" t="str">
        <f t="shared" si="2"/>
        <v>noviembre</v>
      </c>
      <c r="I29" s="126" t="str">
        <f>VLOOKUP(B29,'Base de Datos'!$E$7:$T$271,14,0)</f>
        <v/>
      </c>
      <c r="J29" s="224" t="e">
        <f t="shared" si="3"/>
        <v>#VALUE!</v>
      </c>
      <c r="K29" s="223" t="e">
        <f t="shared" si="4"/>
        <v>#VALUE!</v>
      </c>
      <c r="L29" s="223" t="e">
        <f t="shared" si="5"/>
        <v>#VALUE!</v>
      </c>
      <c r="M29" s="223" t="str">
        <f t="shared" si="6"/>
        <v/>
      </c>
      <c r="N29" s="223" t="e">
        <f t="shared" ca="1" si="7"/>
        <v>#VALUE!</v>
      </c>
      <c r="O29" s="268" t="e">
        <f t="shared" ca="1" si="8"/>
        <v>#VALUE!</v>
      </c>
      <c r="P29" s="268" t="str">
        <f t="shared" si="41"/>
        <v>1</v>
      </c>
      <c r="Q29" s="268" t="str">
        <f t="shared" si="9"/>
        <v>1</v>
      </c>
      <c r="R29" s="268" t="str">
        <f t="shared" si="10"/>
        <v>1</v>
      </c>
      <c r="S29" s="268" t="str">
        <f t="shared" si="11"/>
        <v>1</v>
      </c>
      <c r="T29" s="268" t="str">
        <f t="shared" si="12"/>
        <v>1</v>
      </c>
      <c r="U29" s="268" t="str">
        <f t="shared" si="13"/>
        <v>1</v>
      </c>
      <c r="V29" s="268" t="str">
        <f t="shared" si="43"/>
        <v>1</v>
      </c>
      <c r="W29" s="268" t="str">
        <f t="shared" si="14"/>
        <v>1</v>
      </c>
      <c r="X29" s="268" t="str">
        <f t="shared" si="15"/>
        <v>1</v>
      </c>
      <c r="Y29" s="268" t="str">
        <f t="shared" si="42"/>
        <v>1</v>
      </c>
      <c r="Z29" s="268" t="str">
        <f t="shared" si="16"/>
        <v>1</v>
      </c>
      <c r="AA29" s="268" t="str">
        <f t="shared" si="47"/>
        <v>1</v>
      </c>
      <c r="AB29" s="268" t="str">
        <f t="shared" si="45"/>
        <v>1</v>
      </c>
      <c r="AC29" s="268" t="str">
        <f t="shared" si="46"/>
        <v>1</v>
      </c>
      <c r="AD29" s="268">
        <v>1</v>
      </c>
      <c r="AE29" s="268" t="str">
        <f t="shared" si="20"/>
        <v>1</v>
      </c>
      <c r="AF29" s="268" t="str">
        <f t="shared" si="21"/>
        <v>1</v>
      </c>
      <c r="AG29" s="268" t="str">
        <f t="shared" si="22"/>
        <v>1</v>
      </c>
      <c r="AH29" s="268" t="str">
        <f t="shared" si="23"/>
        <v>1</v>
      </c>
      <c r="AI29" s="268" t="str">
        <f t="shared" si="24"/>
        <v>1</v>
      </c>
      <c r="AJ29" s="268" t="str">
        <f t="shared" si="25"/>
        <v>1</v>
      </c>
      <c r="AK29" s="268" t="str">
        <f t="shared" si="26"/>
        <v>1</v>
      </c>
      <c r="AL29" s="268" t="str">
        <f t="shared" si="27"/>
        <v>1</v>
      </c>
      <c r="AM29" s="268" t="str">
        <f t="shared" si="28"/>
        <v>1</v>
      </c>
      <c r="AN29" s="223" t="str">
        <f t="shared" si="29"/>
        <v>1</v>
      </c>
      <c r="AO29" s="223" t="str">
        <f t="shared" si="30"/>
        <v>1</v>
      </c>
      <c r="AP29" s="223" t="str">
        <f t="shared" si="31"/>
        <v>1</v>
      </c>
      <c r="AQ29" s="223" t="str">
        <f t="shared" si="32"/>
        <v>1</v>
      </c>
      <c r="AR29" s="223" t="str">
        <f t="shared" si="33"/>
        <v>1</v>
      </c>
      <c r="AS29" s="223" t="str">
        <f t="shared" si="34"/>
        <v>1</v>
      </c>
      <c r="AT29" s="223" t="str">
        <f t="shared" si="35"/>
        <v>1</v>
      </c>
      <c r="AU29" s="223" t="str">
        <f t="shared" si="36"/>
        <v>1</v>
      </c>
      <c r="AV29" s="223" t="str">
        <f t="shared" si="37"/>
        <v>1</v>
      </c>
      <c r="AW29" s="223" t="str">
        <f t="shared" si="38"/>
        <v>1</v>
      </c>
      <c r="AX29" s="223" t="str">
        <f t="shared" si="39"/>
        <v>1</v>
      </c>
      <c r="AY29" s="223" t="str">
        <f t="shared" si="40"/>
        <v>1</v>
      </c>
    </row>
    <row r="30" spans="1:51" ht="22.5" x14ac:dyDescent="0.25">
      <c r="A30" s="214">
        <v>28</v>
      </c>
      <c r="B30" s="254" t="s">
        <v>10</v>
      </c>
      <c r="C30" s="145" t="s">
        <v>1010</v>
      </c>
      <c r="D30" s="152">
        <v>2012</v>
      </c>
      <c r="E30" s="149">
        <v>41155</v>
      </c>
      <c r="F30" s="222">
        <f t="shared" si="0"/>
        <v>9</v>
      </c>
      <c r="G30" s="222" t="str">
        <f t="shared" si="1"/>
        <v>92012</v>
      </c>
      <c r="H30" s="222" t="str">
        <f t="shared" si="2"/>
        <v>septiembre</v>
      </c>
      <c r="I30" s="126" t="str">
        <f>VLOOKUP(B30,'Base de Datos'!$E$7:$T$271,14,0)</f>
        <v/>
      </c>
      <c r="J30" s="224" t="e">
        <f t="shared" si="3"/>
        <v>#VALUE!</v>
      </c>
      <c r="K30" s="223" t="e">
        <f t="shared" si="4"/>
        <v>#VALUE!</v>
      </c>
      <c r="L30" s="223" t="e">
        <f t="shared" si="5"/>
        <v>#VALUE!</v>
      </c>
      <c r="M30" s="223" t="str">
        <f t="shared" si="6"/>
        <v/>
      </c>
      <c r="N30" s="223" t="e">
        <f t="shared" ca="1" si="7"/>
        <v>#VALUE!</v>
      </c>
      <c r="O30" s="268" t="e">
        <f t="shared" ca="1" si="8"/>
        <v>#VALUE!</v>
      </c>
      <c r="P30" s="268" t="str">
        <f t="shared" si="41"/>
        <v/>
      </c>
      <c r="Q30" s="268" t="str">
        <f t="shared" si="9"/>
        <v/>
      </c>
      <c r="R30" s="268" t="str">
        <f t="shared" si="10"/>
        <v/>
      </c>
      <c r="S30" s="268" t="str">
        <f t="shared" si="11"/>
        <v/>
      </c>
      <c r="T30" s="268" t="str">
        <f t="shared" si="12"/>
        <v/>
      </c>
      <c r="U30" s="268" t="str">
        <f t="shared" si="13"/>
        <v/>
      </c>
      <c r="V30" s="268" t="str">
        <f t="shared" si="43"/>
        <v/>
      </c>
      <c r="W30" s="268" t="str">
        <f t="shared" si="14"/>
        <v/>
      </c>
      <c r="X30" s="268" t="str">
        <f t="shared" si="15"/>
        <v>1</v>
      </c>
      <c r="Y30" s="268" t="str">
        <f t="shared" si="42"/>
        <v>1</v>
      </c>
      <c r="Z30" s="268" t="str">
        <f t="shared" si="16"/>
        <v>1</v>
      </c>
      <c r="AA30" s="268" t="str">
        <f t="shared" si="47"/>
        <v>1</v>
      </c>
      <c r="AB30" s="268" t="str">
        <f t="shared" si="45"/>
        <v>1</v>
      </c>
      <c r="AC30" s="268" t="str">
        <f t="shared" si="46"/>
        <v>1</v>
      </c>
      <c r="AD30" s="268" t="str">
        <f t="shared" ref="AD30:AD93" si="48">IF(AND(E30&lt;$AD$2,I30&gt;$AD$2),"1","")</f>
        <v>1</v>
      </c>
      <c r="AE30" s="268">
        <v>1</v>
      </c>
      <c r="AF30" s="268" t="str">
        <f t="shared" si="21"/>
        <v>1</v>
      </c>
      <c r="AG30" s="268" t="str">
        <f t="shared" si="22"/>
        <v>1</v>
      </c>
      <c r="AH30" s="268" t="str">
        <f t="shared" si="23"/>
        <v>1</v>
      </c>
      <c r="AI30" s="268" t="str">
        <f t="shared" si="24"/>
        <v>1</v>
      </c>
      <c r="AJ30" s="268" t="str">
        <f t="shared" si="25"/>
        <v>1</v>
      </c>
      <c r="AK30" s="268" t="str">
        <f t="shared" si="26"/>
        <v>1</v>
      </c>
      <c r="AL30" s="268" t="str">
        <f t="shared" si="27"/>
        <v>1</v>
      </c>
      <c r="AM30" s="268" t="str">
        <f t="shared" si="28"/>
        <v>1</v>
      </c>
      <c r="AN30" s="223" t="str">
        <f t="shared" si="29"/>
        <v>1</v>
      </c>
      <c r="AO30" s="223" t="str">
        <f t="shared" si="30"/>
        <v>1</v>
      </c>
      <c r="AP30" s="223" t="str">
        <f t="shared" si="31"/>
        <v>1</v>
      </c>
      <c r="AQ30" s="223" t="str">
        <f t="shared" si="32"/>
        <v>1</v>
      </c>
      <c r="AR30" s="223" t="str">
        <f t="shared" si="33"/>
        <v>1</v>
      </c>
      <c r="AS30" s="223" t="str">
        <f t="shared" si="34"/>
        <v>1</v>
      </c>
      <c r="AT30" s="223" t="str">
        <f t="shared" si="35"/>
        <v>1</v>
      </c>
      <c r="AU30" s="223" t="str">
        <f t="shared" si="36"/>
        <v>1</v>
      </c>
      <c r="AV30" s="223" t="str">
        <f t="shared" si="37"/>
        <v>1</v>
      </c>
      <c r="AW30" s="223" t="str">
        <f t="shared" si="38"/>
        <v>1</v>
      </c>
      <c r="AX30" s="223" t="str">
        <f t="shared" si="39"/>
        <v>1</v>
      </c>
      <c r="AY30" s="223" t="str">
        <f t="shared" si="40"/>
        <v>1</v>
      </c>
    </row>
    <row r="31" spans="1:51" ht="22.5" x14ac:dyDescent="0.25">
      <c r="A31" s="214">
        <v>29</v>
      </c>
      <c r="B31" s="250" t="s">
        <v>24</v>
      </c>
      <c r="C31" s="132" t="s">
        <v>1013</v>
      </c>
      <c r="D31" s="152">
        <v>2012</v>
      </c>
      <c r="E31" s="136">
        <v>41187</v>
      </c>
      <c r="F31" s="222">
        <f t="shared" si="0"/>
        <v>10</v>
      </c>
      <c r="G31" s="222" t="str">
        <f t="shared" si="1"/>
        <v>102012</v>
      </c>
      <c r="H31" s="222" t="str">
        <f t="shared" si="2"/>
        <v>octubre</v>
      </c>
      <c r="I31" s="126" t="str">
        <f>VLOOKUP(B31,'Base de Datos'!$E$7:$T$271,14,0)</f>
        <v/>
      </c>
      <c r="J31" s="224" t="e">
        <f t="shared" si="3"/>
        <v>#VALUE!</v>
      </c>
      <c r="K31" s="223" t="e">
        <f t="shared" si="4"/>
        <v>#VALUE!</v>
      </c>
      <c r="L31" s="223" t="e">
        <f t="shared" si="5"/>
        <v>#VALUE!</v>
      </c>
      <c r="M31" s="223" t="str">
        <f t="shared" si="6"/>
        <v/>
      </c>
      <c r="N31" s="223" t="e">
        <f t="shared" ca="1" si="7"/>
        <v>#VALUE!</v>
      </c>
      <c r="O31" s="268" t="e">
        <f t="shared" ca="1" si="8"/>
        <v>#VALUE!</v>
      </c>
      <c r="P31" s="268" t="str">
        <f t="shared" si="41"/>
        <v/>
      </c>
      <c r="Q31" s="268" t="str">
        <f t="shared" si="9"/>
        <v/>
      </c>
      <c r="R31" s="268" t="str">
        <f t="shared" si="10"/>
        <v/>
      </c>
      <c r="S31" s="268" t="str">
        <f t="shared" si="11"/>
        <v/>
      </c>
      <c r="T31" s="268" t="str">
        <f t="shared" si="12"/>
        <v/>
      </c>
      <c r="U31" s="268" t="str">
        <f t="shared" si="13"/>
        <v/>
      </c>
      <c r="V31" s="268" t="str">
        <f t="shared" si="43"/>
        <v/>
      </c>
      <c r="W31" s="268" t="str">
        <f t="shared" si="14"/>
        <v/>
      </c>
      <c r="X31" s="268" t="str">
        <f t="shared" si="15"/>
        <v/>
      </c>
      <c r="Y31" s="268" t="str">
        <f t="shared" si="42"/>
        <v>1</v>
      </c>
      <c r="Z31" s="268" t="str">
        <f t="shared" si="16"/>
        <v>1</v>
      </c>
      <c r="AA31" s="268" t="str">
        <f t="shared" si="47"/>
        <v>1</v>
      </c>
      <c r="AB31" s="268" t="str">
        <f t="shared" si="45"/>
        <v>1</v>
      </c>
      <c r="AC31" s="268" t="str">
        <f t="shared" si="46"/>
        <v>1</v>
      </c>
      <c r="AD31" s="268" t="str">
        <f t="shared" si="48"/>
        <v>1</v>
      </c>
      <c r="AE31" s="268">
        <v>1</v>
      </c>
      <c r="AF31" s="268" t="str">
        <f t="shared" si="21"/>
        <v>1</v>
      </c>
      <c r="AG31" s="268" t="str">
        <f t="shared" si="22"/>
        <v>1</v>
      </c>
      <c r="AH31" s="268" t="str">
        <f t="shared" si="23"/>
        <v>1</v>
      </c>
      <c r="AI31" s="268" t="str">
        <f t="shared" si="24"/>
        <v>1</v>
      </c>
      <c r="AJ31" s="268" t="str">
        <f t="shared" si="25"/>
        <v>1</v>
      </c>
      <c r="AK31" s="268" t="str">
        <f t="shared" si="26"/>
        <v>1</v>
      </c>
      <c r="AL31" s="268" t="str">
        <f t="shared" si="27"/>
        <v>1</v>
      </c>
      <c r="AM31" s="268" t="str">
        <f t="shared" si="28"/>
        <v>1</v>
      </c>
      <c r="AN31" s="223" t="str">
        <f t="shared" si="29"/>
        <v>1</v>
      </c>
      <c r="AO31" s="223" t="str">
        <f t="shared" si="30"/>
        <v>1</v>
      </c>
      <c r="AP31" s="223" t="str">
        <f t="shared" si="31"/>
        <v>1</v>
      </c>
      <c r="AQ31" s="223" t="str">
        <f t="shared" si="32"/>
        <v>1</v>
      </c>
      <c r="AR31" s="223" t="str">
        <f t="shared" si="33"/>
        <v>1</v>
      </c>
      <c r="AS31" s="223" t="str">
        <f t="shared" si="34"/>
        <v>1</v>
      </c>
      <c r="AT31" s="223" t="str">
        <f t="shared" si="35"/>
        <v>1</v>
      </c>
      <c r="AU31" s="223" t="str">
        <f t="shared" si="36"/>
        <v>1</v>
      </c>
      <c r="AV31" s="223" t="str">
        <f t="shared" si="37"/>
        <v>1</v>
      </c>
      <c r="AW31" s="223" t="str">
        <f t="shared" si="38"/>
        <v>1</v>
      </c>
      <c r="AX31" s="223" t="str">
        <f t="shared" si="39"/>
        <v>1</v>
      </c>
      <c r="AY31" s="223" t="str">
        <f t="shared" si="40"/>
        <v>1</v>
      </c>
    </row>
    <row r="32" spans="1:51" ht="22.5" x14ac:dyDescent="0.25">
      <c r="A32" s="214">
        <v>30</v>
      </c>
      <c r="B32" s="253" t="s">
        <v>101</v>
      </c>
      <c r="C32" s="145" t="s">
        <v>427</v>
      </c>
      <c r="D32" s="135">
        <v>2011</v>
      </c>
      <c r="E32" s="147">
        <v>40822</v>
      </c>
      <c r="F32" s="222">
        <f t="shared" si="0"/>
        <v>10</v>
      </c>
      <c r="G32" s="222" t="str">
        <f t="shared" si="1"/>
        <v>102011</v>
      </c>
      <c r="H32" s="222" t="str">
        <f t="shared" si="2"/>
        <v>octubre</v>
      </c>
      <c r="I32" s="126" t="str">
        <f>VLOOKUP(B32,'Base de Datos'!$E$7:$T$271,14,0)</f>
        <v>6 meses</v>
      </c>
      <c r="J32" s="224" t="e">
        <f t="shared" si="3"/>
        <v>#VALUE!</v>
      </c>
      <c r="K32" s="223" t="e">
        <f t="shared" si="4"/>
        <v>#VALUE!</v>
      </c>
      <c r="L32" s="223" t="e">
        <f t="shared" si="5"/>
        <v>#VALUE!</v>
      </c>
      <c r="M32" s="223" t="str">
        <f t="shared" si="6"/>
        <v>6 meses</v>
      </c>
      <c r="N32" s="223" t="e">
        <f t="shared" ca="1" si="7"/>
        <v>#VALUE!</v>
      </c>
      <c r="O32" s="268" t="e">
        <f t="shared" ca="1" si="8"/>
        <v>#VALUE!</v>
      </c>
      <c r="P32" s="268" t="str">
        <f t="shared" si="41"/>
        <v>1</v>
      </c>
      <c r="Q32" s="268" t="str">
        <f t="shared" si="9"/>
        <v>1</v>
      </c>
      <c r="R32" s="268" t="str">
        <f t="shared" si="10"/>
        <v>1</v>
      </c>
      <c r="S32" s="268" t="str">
        <f t="shared" si="11"/>
        <v>1</v>
      </c>
      <c r="T32" s="268" t="str">
        <f t="shared" si="12"/>
        <v>1</v>
      </c>
      <c r="U32" s="268" t="str">
        <f t="shared" si="13"/>
        <v>1</v>
      </c>
      <c r="V32" s="268" t="str">
        <f t="shared" si="43"/>
        <v>1</v>
      </c>
      <c r="W32" s="268" t="str">
        <f t="shared" si="14"/>
        <v>1</v>
      </c>
      <c r="X32" s="268" t="str">
        <f t="shared" si="15"/>
        <v>1</v>
      </c>
      <c r="Y32" s="268" t="str">
        <f t="shared" si="42"/>
        <v>1</v>
      </c>
      <c r="Z32" s="268" t="str">
        <f t="shared" si="16"/>
        <v>1</v>
      </c>
      <c r="AA32" s="268" t="str">
        <f t="shared" si="47"/>
        <v>1</v>
      </c>
      <c r="AB32" s="268" t="str">
        <f t="shared" si="45"/>
        <v>1</v>
      </c>
      <c r="AC32" s="268" t="str">
        <f t="shared" si="46"/>
        <v>1</v>
      </c>
      <c r="AD32" s="268" t="str">
        <f t="shared" si="48"/>
        <v>1</v>
      </c>
      <c r="AE32" s="268">
        <v>1</v>
      </c>
      <c r="AF32" s="268" t="str">
        <f t="shared" si="21"/>
        <v>1</v>
      </c>
      <c r="AG32" s="268" t="str">
        <f t="shared" si="22"/>
        <v>1</v>
      </c>
      <c r="AH32" s="268" t="str">
        <f t="shared" si="23"/>
        <v>1</v>
      </c>
      <c r="AI32" s="268" t="str">
        <f t="shared" si="24"/>
        <v>1</v>
      </c>
      <c r="AJ32" s="268" t="str">
        <f t="shared" si="25"/>
        <v>1</v>
      </c>
      <c r="AK32" s="268" t="str">
        <f t="shared" si="26"/>
        <v>1</v>
      </c>
      <c r="AL32" s="268" t="str">
        <f t="shared" si="27"/>
        <v>1</v>
      </c>
      <c r="AM32" s="268" t="str">
        <f t="shared" si="28"/>
        <v>1</v>
      </c>
      <c r="AN32" s="223" t="str">
        <f t="shared" si="29"/>
        <v>1</v>
      </c>
      <c r="AO32" s="223" t="str">
        <f t="shared" si="30"/>
        <v>1</v>
      </c>
      <c r="AP32" s="223" t="str">
        <f t="shared" si="31"/>
        <v>1</v>
      </c>
      <c r="AQ32" s="223" t="str">
        <f t="shared" si="32"/>
        <v>1</v>
      </c>
      <c r="AR32" s="223" t="str">
        <f t="shared" si="33"/>
        <v>1</v>
      </c>
      <c r="AS32" s="223" t="str">
        <f t="shared" si="34"/>
        <v>1</v>
      </c>
      <c r="AT32" s="223" t="str">
        <f t="shared" si="35"/>
        <v>1</v>
      </c>
      <c r="AU32" s="223" t="str">
        <f t="shared" si="36"/>
        <v>1</v>
      </c>
      <c r="AV32" s="223" t="str">
        <f t="shared" si="37"/>
        <v>1</v>
      </c>
      <c r="AW32" s="223" t="str">
        <f t="shared" si="38"/>
        <v>1</v>
      </c>
      <c r="AX32" s="223" t="str">
        <f t="shared" si="39"/>
        <v>1</v>
      </c>
      <c r="AY32" s="223" t="str">
        <f t="shared" si="40"/>
        <v>1</v>
      </c>
    </row>
    <row r="33" spans="1:51" ht="22.5" x14ac:dyDescent="0.25">
      <c r="A33" s="214">
        <v>31</v>
      </c>
      <c r="B33" s="254" t="s">
        <v>17</v>
      </c>
      <c r="C33" s="145" t="s">
        <v>18</v>
      </c>
      <c r="D33" s="152">
        <v>2012</v>
      </c>
      <c r="E33" s="149">
        <v>41205</v>
      </c>
      <c r="F33" s="222">
        <f t="shared" si="0"/>
        <v>10</v>
      </c>
      <c r="G33" s="222" t="str">
        <f t="shared" si="1"/>
        <v>102012</v>
      </c>
      <c r="H33" s="222" t="str">
        <f t="shared" si="2"/>
        <v>octubre</v>
      </c>
      <c r="I33" s="126" t="str">
        <f>VLOOKUP(B33,'Base de Datos'!$E$7:$T$271,14,0)</f>
        <v/>
      </c>
      <c r="J33" s="224" t="e">
        <f t="shared" si="3"/>
        <v>#VALUE!</v>
      </c>
      <c r="K33" s="223" t="e">
        <f t="shared" si="4"/>
        <v>#VALUE!</v>
      </c>
      <c r="L33" s="223" t="e">
        <f t="shared" si="5"/>
        <v>#VALUE!</v>
      </c>
      <c r="M33" s="223" t="str">
        <f t="shared" si="6"/>
        <v/>
      </c>
      <c r="N33" s="223" t="e">
        <f t="shared" ca="1" si="7"/>
        <v>#VALUE!</v>
      </c>
      <c r="O33" s="268" t="e">
        <f t="shared" ca="1" si="8"/>
        <v>#VALUE!</v>
      </c>
      <c r="P33" s="268" t="str">
        <f t="shared" si="41"/>
        <v/>
      </c>
      <c r="Q33" s="268" t="str">
        <f t="shared" si="9"/>
        <v/>
      </c>
      <c r="R33" s="268" t="str">
        <f t="shared" si="10"/>
        <v/>
      </c>
      <c r="S33" s="268" t="str">
        <f t="shared" si="11"/>
        <v/>
      </c>
      <c r="T33" s="268" t="str">
        <f t="shared" si="12"/>
        <v/>
      </c>
      <c r="U33" s="268" t="str">
        <f t="shared" si="13"/>
        <v/>
      </c>
      <c r="V33" s="268" t="str">
        <f t="shared" si="43"/>
        <v/>
      </c>
      <c r="W33" s="268" t="str">
        <f t="shared" si="14"/>
        <v/>
      </c>
      <c r="X33" s="268" t="str">
        <f t="shared" si="15"/>
        <v/>
      </c>
      <c r="Y33" s="268" t="str">
        <f t="shared" si="42"/>
        <v>1</v>
      </c>
      <c r="Z33" s="268" t="str">
        <f t="shared" si="16"/>
        <v>1</v>
      </c>
      <c r="AA33" s="268" t="str">
        <f t="shared" si="47"/>
        <v>1</v>
      </c>
      <c r="AB33" s="268" t="str">
        <f t="shared" si="45"/>
        <v>1</v>
      </c>
      <c r="AC33" s="268" t="str">
        <f t="shared" si="46"/>
        <v>1</v>
      </c>
      <c r="AD33" s="268" t="str">
        <f t="shared" si="48"/>
        <v>1</v>
      </c>
      <c r="AE33" s="268">
        <v>1</v>
      </c>
      <c r="AF33" s="268" t="str">
        <f t="shared" si="21"/>
        <v>1</v>
      </c>
      <c r="AG33" s="268" t="str">
        <f t="shared" si="22"/>
        <v>1</v>
      </c>
      <c r="AH33" s="268" t="str">
        <f t="shared" si="23"/>
        <v>1</v>
      </c>
      <c r="AI33" s="268" t="str">
        <f t="shared" si="24"/>
        <v>1</v>
      </c>
      <c r="AJ33" s="268" t="str">
        <f t="shared" si="25"/>
        <v>1</v>
      </c>
      <c r="AK33" s="268" t="str">
        <f t="shared" si="26"/>
        <v>1</v>
      </c>
      <c r="AL33" s="268" t="str">
        <f t="shared" si="27"/>
        <v>1</v>
      </c>
      <c r="AM33" s="268" t="str">
        <f t="shared" si="28"/>
        <v>1</v>
      </c>
      <c r="AN33" s="223" t="str">
        <f t="shared" si="29"/>
        <v>1</v>
      </c>
      <c r="AO33" s="223" t="str">
        <f t="shared" si="30"/>
        <v>1</v>
      </c>
      <c r="AP33" s="223" t="str">
        <f t="shared" si="31"/>
        <v>1</v>
      </c>
      <c r="AQ33" s="223" t="str">
        <f t="shared" si="32"/>
        <v>1</v>
      </c>
      <c r="AR33" s="223" t="str">
        <f t="shared" si="33"/>
        <v>1</v>
      </c>
      <c r="AS33" s="223" t="str">
        <f t="shared" si="34"/>
        <v>1</v>
      </c>
      <c r="AT33" s="223" t="str">
        <f t="shared" si="35"/>
        <v>1</v>
      </c>
      <c r="AU33" s="223" t="str">
        <f t="shared" si="36"/>
        <v>1</v>
      </c>
      <c r="AV33" s="223" t="str">
        <f t="shared" si="37"/>
        <v>1</v>
      </c>
      <c r="AW33" s="223" t="str">
        <f t="shared" si="38"/>
        <v>1</v>
      </c>
      <c r="AX33" s="223" t="str">
        <f t="shared" si="39"/>
        <v>1</v>
      </c>
      <c r="AY33" s="223" t="str">
        <f t="shared" si="40"/>
        <v>1</v>
      </c>
    </row>
    <row r="34" spans="1:51" ht="22.5" x14ac:dyDescent="0.25">
      <c r="A34" s="214">
        <v>32</v>
      </c>
      <c r="B34" s="252" t="s">
        <v>119</v>
      </c>
      <c r="C34" s="132" t="s">
        <v>398</v>
      </c>
      <c r="D34" s="152">
        <v>2012</v>
      </c>
      <c r="E34" s="136">
        <v>41208</v>
      </c>
      <c r="F34" s="222">
        <f t="shared" si="0"/>
        <v>10</v>
      </c>
      <c r="G34" s="222" t="str">
        <f t="shared" si="1"/>
        <v>102012</v>
      </c>
      <c r="H34" s="222" t="str">
        <f t="shared" si="2"/>
        <v>octubre</v>
      </c>
      <c r="I34" s="126" t="str">
        <f>VLOOKUP(B34,'Base de Datos'!$E$7:$T$271,14,0)</f>
        <v/>
      </c>
      <c r="J34" s="224" t="e">
        <f t="shared" si="3"/>
        <v>#VALUE!</v>
      </c>
      <c r="K34" s="223" t="e">
        <f t="shared" si="4"/>
        <v>#VALUE!</v>
      </c>
      <c r="L34" s="223" t="e">
        <f t="shared" si="5"/>
        <v>#VALUE!</v>
      </c>
      <c r="M34" s="223" t="str">
        <f t="shared" si="6"/>
        <v/>
      </c>
      <c r="N34" s="223" t="e">
        <f t="shared" ca="1" si="7"/>
        <v>#VALUE!</v>
      </c>
      <c r="O34" s="268" t="e">
        <f t="shared" ca="1" si="8"/>
        <v>#VALUE!</v>
      </c>
      <c r="P34" s="268" t="str">
        <f t="shared" si="41"/>
        <v/>
      </c>
      <c r="Q34" s="268" t="str">
        <f t="shared" si="9"/>
        <v/>
      </c>
      <c r="R34" s="268" t="str">
        <f t="shared" si="10"/>
        <v/>
      </c>
      <c r="S34" s="268" t="str">
        <f t="shared" si="11"/>
        <v/>
      </c>
      <c r="T34" s="268" t="str">
        <f t="shared" si="12"/>
        <v/>
      </c>
      <c r="U34" s="268" t="str">
        <f t="shared" si="13"/>
        <v/>
      </c>
      <c r="V34" s="268" t="str">
        <f t="shared" si="43"/>
        <v/>
      </c>
      <c r="W34" s="268" t="str">
        <f t="shared" si="14"/>
        <v/>
      </c>
      <c r="X34" s="268" t="str">
        <f t="shared" si="15"/>
        <v/>
      </c>
      <c r="Y34" s="268" t="str">
        <f t="shared" si="42"/>
        <v>1</v>
      </c>
      <c r="Z34" s="268" t="str">
        <f t="shared" si="16"/>
        <v>1</v>
      </c>
      <c r="AA34" s="268" t="str">
        <f t="shared" si="47"/>
        <v>1</v>
      </c>
      <c r="AB34" s="268" t="str">
        <f t="shared" si="45"/>
        <v>1</v>
      </c>
      <c r="AC34" s="268" t="str">
        <f t="shared" si="46"/>
        <v>1</v>
      </c>
      <c r="AD34" s="268" t="str">
        <f t="shared" si="48"/>
        <v>1</v>
      </c>
      <c r="AE34" s="268">
        <v>1</v>
      </c>
      <c r="AF34" s="268" t="str">
        <f t="shared" si="21"/>
        <v>1</v>
      </c>
      <c r="AG34" s="268" t="str">
        <f t="shared" si="22"/>
        <v>1</v>
      </c>
      <c r="AH34" s="268" t="str">
        <f t="shared" si="23"/>
        <v>1</v>
      </c>
      <c r="AI34" s="268" t="str">
        <f t="shared" si="24"/>
        <v>1</v>
      </c>
      <c r="AJ34" s="268" t="str">
        <f t="shared" si="25"/>
        <v>1</v>
      </c>
      <c r="AK34" s="268" t="str">
        <f t="shared" si="26"/>
        <v>1</v>
      </c>
      <c r="AL34" s="268" t="str">
        <f t="shared" si="27"/>
        <v>1</v>
      </c>
      <c r="AM34" s="268" t="str">
        <f t="shared" si="28"/>
        <v>1</v>
      </c>
      <c r="AN34" s="223" t="str">
        <f t="shared" si="29"/>
        <v>1</v>
      </c>
      <c r="AO34" s="223" t="str">
        <f t="shared" si="30"/>
        <v>1</v>
      </c>
      <c r="AP34" s="223" t="str">
        <f t="shared" si="31"/>
        <v>1</v>
      </c>
      <c r="AQ34" s="223" t="str">
        <f t="shared" si="32"/>
        <v>1</v>
      </c>
      <c r="AR34" s="223" t="str">
        <f t="shared" si="33"/>
        <v>1</v>
      </c>
      <c r="AS34" s="223" t="str">
        <f t="shared" si="34"/>
        <v>1</v>
      </c>
      <c r="AT34" s="223" t="str">
        <f t="shared" si="35"/>
        <v>1</v>
      </c>
      <c r="AU34" s="223" t="str">
        <f t="shared" si="36"/>
        <v>1</v>
      </c>
      <c r="AV34" s="223" t="str">
        <f t="shared" si="37"/>
        <v>1</v>
      </c>
      <c r="AW34" s="223" t="str">
        <f t="shared" si="38"/>
        <v>1</v>
      </c>
      <c r="AX34" s="223" t="str">
        <f t="shared" si="39"/>
        <v>1</v>
      </c>
      <c r="AY34" s="223" t="str">
        <f t="shared" si="40"/>
        <v>1</v>
      </c>
    </row>
    <row r="35" spans="1:51" ht="22.5" x14ac:dyDescent="0.25">
      <c r="A35" s="214">
        <v>33</v>
      </c>
      <c r="B35" s="254" t="s">
        <v>40</v>
      </c>
      <c r="C35" s="145" t="s">
        <v>41</v>
      </c>
      <c r="D35" s="152">
        <v>2012</v>
      </c>
      <c r="E35" s="149">
        <v>41064</v>
      </c>
      <c r="F35" s="222">
        <f t="shared" si="0"/>
        <v>6</v>
      </c>
      <c r="G35" s="222" t="str">
        <f t="shared" si="1"/>
        <v>62012</v>
      </c>
      <c r="H35" s="222" t="str">
        <f t="shared" si="2"/>
        <v>junio</v>
      </c>
      <c r="I35" s="126" t="str">
        <f>VLOOKUP(B35,'Base de Datos'!$E$7:$T$271,14,0)</f>
        <v>3 meses</v>
      </c>
      <c r="J35" s="224" t="e">
        <f t="shared" si="3"/>
        <v>#VALUE!</v>
      </c>
      <c r="K35" s="223" t="e">
        <f t="shared" si="4"/>
        <v>#VALUE!</v>
      </c>
      <c r="L35" s="223" t="e">
        <f t="shared" si="5"/>
        <v>#VALUE!</v>
      </c>
      <c r="M35" s="223" t="str">
        <f t="shared" si="6"/>
        <v>3 meses</v>
      </c>
      <c r="N35" s="223" t="e">
        <f t="shared" ca="1" si="7"/>
        <v>#VALUE!</v>
      </c>
      <c r="O35" s="268" t="e">
        <f t="shared" ca="1" si="8"/>
        <v>#VALUE!</v>
      </c>
      <c r="P35" s="268" t="str">
        <f t="shared" si="41"/>
        <v/>
      </c>
      <c r="Q35" s="268" t="str">
        <f t="shared" si="9"/>
        <v/>
      </c>
      <c r="R35" s="268" t="str">
        <f t="shared" si="10"/>
        <v/>
      </c>
      <c r="S35" s="268" t="str">
        <f t="shared" si="11"/>
        <v/>
      </c>
      <c r="T35" s="268" t="str">
        <f t="shared" si="12"/>
        <v/>
      </c>
      <c r="U35" s="268" t="str">
        <f t="shared" si="13"/>
        <v>1</v>
      </c>
      <c r="V35" s="268" t="str">
        <f t="shared" si="43"/>
        <v>1</v>
      </c>
      <c r="W35" s="268" t="str">
        <f t="shared" si="14"/>
        <v>1</v>
      </c>
      <c r="X35" s="268" t="str">
        <f t="shared" si="15"/>
        <v>1</v>
      </c>
      <c r="Y35" s="268" t="str">
        <f t="shared" si="42"/>
        <v>1</v>
      </c>
      <c r="Z35" s="268" t="str">
        <f t="shared" si="16"/>
        <v>1</v>
      </c>
      <c r="AA35" s="268" t="str">
        <f t="shared" si="47"/>
        <v>1</v>
      </c>
      <c r="AB35" s="268" t="str">
        <f t="shared" si="45"/>
        <v>1</v>
      </c>
      <c r="AC35" s="268" t="str">
        <f t="shared" si="46"/>
        <v>1</v>
      </c>
      <c r="AD35" s="268" t="str">
        <f t="shared" si="48"/>
        <v>1</v>
      </c>
      <c r="AE35" s="268" t="str">
        <f t="shared" ref="AE35:AE98" si="49">IF(AND(E35&lt;$AE$2,I35&gt;$AE$2),"1","")</f>
        <v>1</v>
      </c>
      <c r="AF35" s="268">
        <v>1</v>
      </c>
      <c r="AG35" s="268" t="str">
        <f t="shared" si="22"/>
        <v>1</v>
      </c>
      <c r="AH35" s="268" t="str">
        <f t="shared" ref="AH35:AH51" si="50">IF(AND(E35&lt;$AH$2,I35&gt;$AH$2),"1","")</f>
        <v>1</v>
      </c>
      <c r="AI35" s="268" t="str">
        <f t="shared" ref="AI35:AI58" si="51">IF(AND(E35&lt;$AI$2,I35&gt;$AI$2),"1","")</f>
        <v>1</v>
      </c>
      <c r="AJ35" s="268" t="str">
        <f t="shared" ref="AJ35:AJ62" si="52">IF(AND(E35&lt;$AJ$2,I35&gt;$AJ$2),"1","")</f>
        <v>1</v>
      </c>
      <c r="AK35" s="268" t="str">
        <f t="shared" ref="AK35:AK70" si="53">IF(AND(E35&lt;$AK$2,I35&gt;$AK$2),"1","")</f>
        <v>1</v>
      </c>
      <c r="AL35" s="268" t="str">
        <f t="shared" ref="AL35:AL66" si="54">IF(AND(E35&lt;$AL$2,I35&gt;$AL$2),"1","")</f>
        <v>1</v>
      </c>
      <c r="AM35" s="268" t="str">
        <f t="shared" ref="AM35:AM66" si="55">IF(AND(E35&lt;$AM$2,I35&gt;$AM$2),"1","")</f>
        <v>1</v>
      </c>
      <c r="AN35" s="223" t="str">
        <f t="shared" ref="AN35:AN66" si="56">IF(AND(E35&lt;$AN$2,I35&gt;$AN$2),"1","")</f>
        <v>1</v>
      </c>
      <c r="AO35" s="223" t="str">
        <f t="shared" ref="AO35:AO66" si="57">IF(AND(E35&lt;$AO$2,I35&gt;$AO$2),"1","")</f>
        <v>1</v>
      </c>
      <c r="AP35" s="223" t="str">
        <f t="shared" ref="AP35:AP66" si="58">IF(AND(E35&lt;$AP$2,I35&gt;$AP$2),"1","")</f>
        <v>1</v>
      </c>
      <c r="AQ35" s="223" t="str">
        <f t="shared" ref="AQ35:AQ66" si="59">IF(AND(E35&lt;$AQ$2,I35&gt;$AQ$2),"1","")</f>
        <v>1</v>
      </c>
      <c r="AR35" s="223" t="str">
        <f t="shared" ref="AR35:AR66" si="60">IF(AND(E35&lt;$AR$2,I35&gt;$AR$2),"1","")</f>
        <v>1</v>
      </c>
      <c r="AS35" s="223" t="str">
        <f t="shared" ref="AS35:AS66" si="61">IF(AND(E35&lt;$AS$2,I35&gt;$AS$2),"1","")</f>
        <v>1</v>
      </c>
      <c r="AT35" s="223" t="str">
        <f t="shared" ref="AT35:AT66" si="62">IF(AND(E35&lt;$AT$2,I35&gt;$AT$2),"1","")</f>
        <v>1</v>
      </c>
      <c r="AU35" s="223" t="str">
        <f t="shared" ref="AU35:AU66" si="63">IF(AND(E35&lt;$AU$2,I35&gt;$AU$2),"1","")</f>
        <v>1</v>
      </c>
      <c r="AV35" s="223" t="str">
        <f t="shared" ref="AV35:AV66" si="64">IF(AND(E35&lt;$AV$2,I35&gt;$AV$2),"1","")</f>
        <v>1</v>
      </c>
      <c r="AW35" s="223" t="str">
        <f t="shared" ref="AW35:AW66" si="65">IF(AND(E35&lt;$AW$2,I35&gt;$AW$2),"1","")</f>
        <v>1</v>
      </c>
      <c r="AX35" s="223" t="str">
        <f t="shared" ref="AX35:AX66" si="66">IF(AND(E35&lt;$AX$2,I35&gt;$AX$2),"1","")</f>
        <v>1</v>
      </c>
      <c r="AY35" s="223" t="str">
        <f t="shared" ref="AY35:AY66" si="67">IF(AND(E35&lt;$AY$2,I35&gt;$AY$2),"1","")</f>
        <v>1</v>
      </c>
    </row>
    <row r="36" spans="1:51" ht="22.5" x14ac:dyDescent="0.25">
      <c r="A36" s="214">
        <v>34</v>
      </c>
      <c r="B36" s="250" t="s">
        <v>72</v>
      </c>
      <c r="C36" s="132" t="s">
        <v>73</v>
      </c>
      <c r="D36" s="152">
        <v>2012</v>
      </c>
      <c r="E36" s="138">
        <v>41053</v>
      </c>
      <c r="F36" s="222">
        <f t="shared" si="0"/>
        <v>5</v>
      </c>
      <c r="G36" s="222" t="str">
        <f t="shared" si="1"/>
        <v>52012</v>
      </c>
      <c r="H36" s="222" t="str">
        <f t="shared" si="2"/>
        <v>mayo</v>
      </c>
      <c r="I36" s="126" t="str">
        <f>VLOOKUP(B36,'Base de Datos'!$E$7:$T$271,14,0)</f>
        <v>12 días</v>
      </c>
      <c r="J36" s="224" t="e">
        <f t="shared" si="3"/>
        <v>#VALUE!</v>
      </c>
      <c r="K36" s="223" t="e">
        <f t="shared" si="4"/>
        <v>#VALUE!</v>
      </c>
      <c r="L36" s="223" t="e">
        <f t="shared" si="5"/>
        <v>#VALUE!</v>
      </c>
      <c r="M36" s="223" t="str">
        <f t="shared" si="6"/>
        <v>12 días</v>
      </c>
      <c r="N36" s="223" t="e">
        <f t="shared" ca="1" si="7"/>
        <v>#VALUE!</v>
      </c>
      <c r="O36" s="268" t="e">
        <f t="shared" ca="1" si="8"/>
        <v>#VALUE!</v>
      </c>
      <c r="P36" s="268" t="str">
        <f t="shared" si="41"/>
        <v/>
      </c>
      <c r="Q36" s="268" t="str">
        <f t="shared" si="9"/>
        <v/>
      </c>
      <c r="R36" s="268" t="str">
        <f t="shared" si="10"/>
        <v/>
      </c>
      <c r="S36" s="268" t="str">
        <f t="shared" si="11"/>
        <v/>
      </c>
      <c r="T36" s="268" t="str">
        <f t="shared" si="12"/>
        <v>1</v>
      </c>
      <c r="U36" s="268" t="str">
        <f t="shared" si="13"/>
        <v>1</v>
      </c>
      <c r="V36" s="268" t="str">
        <f t="shared" si="43"/>
        <v>1</v>
      </c>
      <c r="W36" s="268" t="str">
        <f t="shared" si="14"/>
        <v>1</v>
      </c>
      <c r="X36" s="268" t="str">
        <f t="shared" si="15"/>
        <v>1</v>
      </c>
      <c r="Y36" s="268" t="str">
        <f t="shared" si="42"/>
        <v>1</v>
      </c>
      <c r="Z36" s="268" t="str">
        <f t="shared" si="16"/>
        <v>1</v>
      </c>
      <c r="AA36" s="268" t="str">
        <f t="shared" si="47"/>
        <v>1</v>
      </c>
      <c r="AB36" s="268" t="str">
        <f t="shared" si="45"/>
        <v>1</v>
      </c>
      <c r="AC36" s="268" t="str">
        <f t="shared" si="46"/>
        <v>1</v>
      </c>
      <c r="AD36" s="268" t="str">
        <f t="shared" si="48"/>
        <v>1</v>
      </c>
      <c r="AE36" s="268" t="str">
        <f t="shared" si="49"/>
        <v>1</v>
      </c>
      <c r="AF36" s="268">
        <v>1</v>
      </c>
      <c r="AG36" s="268" t="str">
        <f t="shared" si="22"/>
        <v>1</v>
      </c>
      <c r="AH36" s="268" t="str">
        <f t="shared" si="50"/>
        <v>1</v>
      </c>
      <c r="AI36" s="268" t="str">
        <f t="shared" si="51"/>
        <v>1</v>
      </c>
      <c r="AJ36" s="268" t="str">
        <f t="shared" si="52"/>
        <v>1</v>
      </c>
      <c r="AK36" s="268" t="str">
        <f t="shared" si="53"/>
        <v>1</v>
      </c>
      <c r="AL36" s="268" t="str">
        <f t="shared" si="54"/>
        <v>1</v>
      </c>
      <c r="AM36" s="268" t="str">
        <f t="shared" si="55"/>
        <v>1</v>
      </c>
      <c r="AN36" s="223" t="str">
        <f t="shared" si="56"/>
        <v>1</v>
      </c>
      <c r="AO36" s="223" t="str">
        <f t="shared" si="57"/>
        <v>1</v>
      </c>
      <c r="AP36" s="223" t="str">
        <f t="shared" si="58"/>
        <v>1</v>
      </c>
      <c r="AQ36" s="223" t="str">
        <f t="shared" si="59"/>
        <v>1</v>
      </c>
      <c r="AR36" s="223" t="str">
        <f t="shared" si="60"/>
        <v>1</v>
      </c>
      <c r="AS36" s="223" t="str">
        <f t="shared" si="61"/>
        <v>1</v>
      </c>
      <c r="AT36" s="223" t="str">
        <f t="shared" si="62"/>
        <v>1</v>
      </c>
      <c r="AU36" s="223" t="str">
        <f t="shared" si="63"/>
        <v>1</v>
      </c>
      <c r="AV36" s="223" t="str">
        <f t="shared" si="64"/>
        <v>1</v>
      </c>
      <c r="AW36" s="223" t="str">
        <f t="shared" si="65"/>
        <v>1</v>
      </c>
      <c r="AX36" s="223" t="str">
        <f t="shared" si="66"/>
        <v>1</v>
      </c>
      <c r="AY36" s="223" t="str">
        <f t="shared" si="67"/>
        <v>1</v>
      </c>
    </row>
    <row r="37" spans="1:51" ht="22.5" x14ac:dyDescent="0.25">
      <c r="A37" s="214">
        <v>35</v>
      </c>
      <c r="B37" s="250" t="s">
        <v>151</v>
      </c>
      <c r="C37" s="132" t="s">
        <v>152</v>
      </c>
      <c r="D37" s="135">
        <v>2008</v>
      </c>
      <c r="E37" s="138">
        <v>39904</v>
      </c>
      <c r="F37" s="222">
        <f t="shared" si="0"/>
        <v>4</v>
      </c>
      <c r="G37" s="222" t="str">
        <f t="shared" si="1"/>
        <v>42008</v>
      </c>
      <c r="H37" s="222" t="str">
        <f t="shared" si="2"/>
        <v>abril</v>
      </c>
      <c r="I37" s="126" t="str">
        <f>VLOOKUP(B37,'Base de Datos'!$E$7:$T$271,14,0)</f>
        <v/>
      </c>
      <c r="J37" s="224" t="e">
        <f t="shared" si="3"/>
        <v>#VALUE!</v>
      </c>
      <c r="K37" s="223" t="e">
        <f t="shared" si="4"/>
        <v>#VALUE!</v>
      </c>
      <c r="L37" s="223" t="e">
        <f t="shared" si="5"/>
        <v>#VALUE!</v>
      </c>
      <c r="M37" s="223" t="str">
        <f t="shared" si="6"/>
        <v/>
      </c>
      <c r="N37" s="223" t="e">
        <f t="shared" ca="1" si="7"/>
        <v>#VALUE!</v>
      </c>
      <c r="O37" s="268" t="e">
        <f t="shared" ca="1" si="8"/>
        <v>#VALUE!</v>
      </c>
      <c r="P37" s="268" t="str">
        <f t="shared" si="41"/>
        <v>1</v>
      </c>
      <c r="Q37" s="268" t="str">
        <f t="shared" si="9"/>
        <v>1</v>
      </c>
      <c r="R37" s="268" t="str">
        <f t="shared" si="10"/>
        <v>1</v>
      </c>
      <c r="S37" s="268" t="str">
        <f t="shared" si="11"/>
        <v>1</v>
      </c>
      <c r="T37" s="268" t="str">
        <f t="shared" si="12"/>
        <v>1</v>
      </c>
      <c r="U37" s="268" t="str">
        <f t="shared" si="13"/>
        <v>1</v>
      </c>
      <c r="V37" s="268" t="str">
        <f t="shared" si="43"/>
        <v>1</v>
      </c>
      <c r="W37" s="268" t="str">
        <f t="shared" si="14"/>
        <v>1</v>
      </c>
      <c r="X37" s="268" t="str">
        <f t="shared" si="15"/>
        <v>1</v>
      </c>
      <c r="Y37" s="268" t="str">
        <f t="shared" si="42"/>
        <v>1</v>
      </c>
      <c r="Z37" s="268" t="str">
        <f t="shared" si="16"/>
        <v>1</v>
      </c>
      <c r="AA37" s="268" t="str">
        <f t="shared" si="47"/>
        <v>1</v>
      </c>
      <c r="AB37" s="268" t="str">
        <f t="shared" si="45"/>
        <v>1</v>
      </c>
      <c r="AC37" s="268" t="str">
        <f t="shared" si="46"/>
        <v>1</v>
      </c>
      <c r="AD37" s="268" t="str">
        <f t="shared" si="48"/>
        <v>1</v>
      </c>
      <c r="AE37" s="268" t="str">
        <f t="shared" si="49"/>
        <v>1</v>
      </c>
      <c r="AF37" s="268">
        <v>1</v>
      </c>
      <c r="AG37" s="268" t="str">
        <f t="shared" si="22"/>
        <v>1</v>
      </c>
      <c r="AH37" s="268" t="str">
        <f t="shared" si="50"/>
        <v>1</v>
      </c>
      <c r="AI37" s="268" t="str">
        <f t="shared" si="51"/>
        <v>1</v>
      </c>
      <c r="AJ37" s="268" t="str">
        <f t="shared" si="52"/>
        <v>1</v>
      </c>
      <c r="AK37" s="268" t="str">
        <f t="shared" si="53"/>
        <v>1</v>
      </c>
      <c r="AL37" s="268" t="str">
        <f t="shared" si="54"/>
        <v>1</v>
      </c>
      <c r="AM37" s="268" t="str">
        <f t="shared" si="55"/>
        <v>1</v>
      </c>
      <c r="AN37" s="223" t="str">
        <f t="shared" si="56"/>
        <v>1</v>
      </c>
      <c r="AO37" s="223" t="str">
        <f t="shared" si="57"/>
        <v>1</v>
      </c>
      <c r="AP37" s="223" t="str">
        <f t="shared" si="58"/>
        <v>1</v>
      </c>
      <c r="AQ37" s="223" t="str">
        <f t="shared" si="59"/>
        <v>1</v>
      </c>
      <c r="AR37" s="223" t="str">
        <f t="shared" si="60"/>
        <v>1</v>
      </c>
      <c r="AS37" s="223" t="str">
        <f t="shared" si="61"/>
        <v>1</v>
      </c>
      <c r="AT37" s="223" t="str">
        <f t="shared" si="62"/>
        <v>1</v>
      </c>
      <c r="AU37" s="223" t="str">
        <f t="shared" si="63"/>
        <v>1</v>
      </c>
      <c r="AV37" s="223" t="str">
        <f t="shared" si="64"/>
        <v>1</v>
      </c>
      <c r="AW37" s="223" t="str">
        <f t="shared" si="65"/>
        <v>1</v>
      </c>
      <c r="AX37" s="223" t="str">
        <f t="shared" si="66"/>
        <v>1</v>
      </c>
      <c r="AY37" s="223" t="str">
        <f t="shared" si="67"/>
        <v>1</v>
      </c>
    </row>
    <row r="38" spans="1:51" ht="22.5" x14ac:dyDescent="0.25">
      <c r="A38" s="214">
        <v>36</v>
      </c>
      <c r="B38" s="250" t="s">
        <v>23</v>
      </c>
      <c r="C38" s="132" t="s">
        <v>27</v>
      </c>
      <c r="D38" s="152">
        <v>2012</v>
      </c>
      <c r="E38" s="136">
        <v>41044</v>
      </c>
      <c r="F38" s="222">
        <f t="shared" si="0"/>
        <v>5</v>
      </c>
      <c r="G38" s="222" t="str">
        <f t="shared" si="1"/>
        <v>52012</v>
      </c>
      <c r="H38" s="222" t="str">
        <f t="shared" si="2"/>
        <v>mayo</v>
      </c>
      <c r="I38" s="126" t="str">
        <f>VLOOKUP(B38,'Base de Datos'!$E$7:$T$271,14,0)</f>
        <v/>
      </c>
      <c r="J38" s="224" t="e">
        <f t="shared" si="3"/>
        <v>#VALUE!</v>
      </c>
      <c r="K38" s="223" t="e">
        <f t="shared" si="4"/>
        <v>#VALUE!</v>
      </c>
      <c r="L38" s="223" t="e">
        <f t="shared" si="5"/>
        <v>#VALUE!</v>
      </c>
      <c r="M38" s="223" t="str">
        <f t="shared" si="6"/>
        <v/>
      </c>
      <c r="N38" s="223" t="e">
        <f t="shared" ca="1" si="7"/>
        <v>#VALUE!</v>
      </c>
      <c r="O38" s="268" t="e">
        <f t="shared" ca="1" si="8"/>
        <v>#VALUE!</v>
      </c>
      <c r="P38" s="268" t="str">
        <f t="shared" si="41"/>
        <v/>
      </c>
      <c r="Q38" s="268" t="str">
        <f t="shared" si="9"/>
        <v/>
      </c>
      <c r="R38" s="268" t="str">
        <f t="shared" si="10"/>
        <v/>
      </c>
      <c r="S38" s="268" t="str">
        <f t="shared" si="11"/>
        <v/>
      </c>
      <c r="T38" s="268" t="str">
        <f t="shared" si="12"/>
        <v>1</v>
      </c>
      <c r="U38" s="268" t="str">
        <f t="shared" si="13"/>
        <v>1</v>
      </c>
      <c r="V38" s="268" t="str">
        <f t="shared" si="43"/>
        <v>1</v>
      </c>
      <c r="W38" s="268" t="str">
        <f t="shared" si="14"/>
        <v>1</v>
      </c>
      <c r="X38" s="268" t="str">
        <f t="shared" si="15"/>
        <v>1</v>
      </c>
      <c r="Y38" s="268" t="str">
        <f t="shared" si="42"/>
        <v>1</v>
      </c>
      <c r="Z38" s="268" t="str">
        <f t="shared" si="16"/>
        <v>1</v>
      </c>
      <c r="AA38" s="268" t="str">
        <f t="shared" si="47"/>
        <v>1</v>
      </c>
      <c r="AB38" s="268" t="str">
        <f t="shared" si="45"/>
        <v>1</v>
      </c>
      <c r="AC38" s="268" t="str">
        <f t="shared" si="46"/>
        <v>1</v>
      </c>
      <c r="AD38" s="268" t="str">
        <f t="shared" si="48"/>
        <v>1</v>
      </c>
      <c r="AE38" s="268" t="str">
        <f t="shared" si="49"/>
        <v>1</v>
      </c>
      <c r="AF38" s="268">
        <v>1</v>
      </c>
      <c r="AG38" s="268" t="str">
        <f t="shared" si="22"/>
        <v>1</v>
      </c>
      <c r="AH38" s="268" t="str">
        <f t="shared" si="50"/>
        <v>1</v>
      </c>
      <c r="AI38" s="268" t="str">
        <f t="shared" si="51"/>
        <v>1</v>
      </c>
      <c r="AJ38" s="268" t="str">
        <f t="shared" si="52"/>
        <v>1</v>
      </c>
      <c r="AK38" s="268" t="str">
        <f t="shared" si="53"/>
        <v>1</v>
      </c>
      <c r="AL38" s="268" t="str">
        <f t="shared" si="54"/>
        <v>1</v>
      </c>
      <c r="AM38" s="268" t="str">
        <f t="shared" si="55"/>
        <v>1</v>
      </c>
      <c r="AN38" s="223" t="str">
        <f t="shared" si="56"/>
        <v>1</v>
      </c>
      <c r="AO38" s="223" t="str">
        <f t="shared" si="57"/>
        <v>1</v>
      </c>
      <c r="AP38" s="223" t="str">
        <f t="shared" si="58"/>
        <v>1</v>
      </c>
      <c r="AQ38" s="223" t="str">
        <f t="shared" si="59"/>
        <v>1</v>
      </c>
      <c r="AR38" s="223" t="str">
        <f t="shared" si="60"/>
        <v>1</v>
      </c>
      <c r="AS38" s="223" t="str">
        <f t="shared" si="61"/>
        <v>1</v>
      </c>
      <c r="AT38" s="223" t="str">
        <f t="shared" si="62"/>
        <v>1</v>
      </c>
      <c r="AU38" s="223" t="str">
        <f t="shared" si="63"/>
        <v>1</v>
      </c>
      <c r="AV38" s="223" t="str">
        <f t="shared" si="64"/>
        <v>1</v>
      </c>
      <c r="AW38" s="223" t="str">
        <f t="shared" si="65"/>
        <v>1</v>
      </c>
      <c r="AX38" s="223" t="str">
        <f t="shared" si="66"/>
        <v>1</v>
      </c>
      <c r="AY38" s="223" t="str">
        <f t="shared" si="67"/>
        <v>1</v>
      </c>
    </row>
    <row r="39" spans="1:51" ht="22.5" x14ac:dyDescent="0.25">
      <c r="A39" s="214">
        <v>37</v>
      </c>
      <c r="B39" s="254" t="s">
        <v>9</v>
      </c>
      <c r="C39" s="145" t="s">
        <v>1019</v>
      </c>
      <c r="D39" s="152">
        <v>2012</v>
      </c>
      <c r="E39" s="149">
        <v>41176</v>
      </c>
      <c r="F39" s="222">
        <f t="shared" si="0"/>
        <v>9</v>
      </c>
      <c r="G39" s="222" t="str">
        <f t="shared" si="1"/>
        <v>92012</v>
      </c>
      <c r="H39" s="222" t="str">
        <f t="shared" si="2"/>
        <v>septiembre</v>
      </c>
      <c r="I39" s="126" t="str">
        <f>VLOOKUP(B39,'Base de Datos'!$E$7:$T$271,14,0)</f>
        <v>21 días calendario</v>
      </c>
      <c r="J39" s="224" t="e">
        <f t="shared" si="3"/>
        <v>#VALUE!</v>
      </c>
      <c r="K39" s="223" t="e">
        <f t="shared" si="4"/>
        <v>#VALUE!</v>
      </c>
      <c r="L39" s="223" t="e">
        <f t="shared" si="5"/>
        <v>#VALUE!</v>
      </c>
      <c r="M39" s="223" t="str">
        <f t="shared" si="6"/>
        <v>21 días calendario</v>
      </c>
      <c r="N39" s="223" t="e">
        <f t="shared" ca="1" si="7"/>
        <v>#VALUE!</v>
      </c>
      <c r="O39" s="268" t="e">
        <f t="shared" ca="1" si="8"/>
        <v>#VALUE!</v>
      </c>
      <c r="P39" s="268" t="str">
        <f t="shared" si="41"/>
        <v/>
      </c>
      <c r="Q39" s="268" t="str">
        <f t="shared" si="9"/>
        <v/>
      </c>
      <c r="R39" s="268" t="str">
        <f t="shared" si="10"/>
        <v/>
      </c>
      <c r="S39" s="268" t="str">
        <f t="shared" si="11"/>
        <v/>
      </c>
      <c r="T39" s="268" t="str">
        <f t="shared" si="12"/>
        <v/>
      </c>
      <c r="U39" s="268" t="str">
        <f t="shared" si="13"/>
        <v/>
      </c>
      <c r="V39" s="268" t="str">
        <f t="shared" si="43"/>
        <v/>
      </c>
      <c r="W39" s="268" t="str">
        <f t="shared" si="14"/>
        <v/>
      </c>
      <c r="X39" s="268" t="str">
        <f t="shared" si="15"/>
        <v>1</v>
      </c>
      <c r="Y39" s="268" t="str">
        <f t="shared" si="42"/>
        <v>1</v>
      </c>
      <c r="Z39" s="268" t="str">
        <f t="shared" si="16"/>
        <v>1</v>
      </c>
      <c r="AA39" s="268" t="str">
        <f t="shared" si="47"/>
        <v>1</v>
      </c>
      <c r="AB39" s="268" t="str">
        <f t="shared" si="45"/>
        <v>1</v>
      </c>
      <c r="AC39" s="268" t="str">
        <f t="shared" si="46"/>
        <v>1</v>
      </c>
      <c r="AD39" s="268" t="str">
        <f t="shared" si="48"/>
        <v>1</v>
      </c>
      <c r="AE39" s="268" t="str">
        <f t="shared" si="49"/>
        <v>1</v>
      </c>
      <c r="AF39" s="268">
        <v>1</v>
      </c>
      <c r="AG39" s="268" t="str">
        <f t="shared" si="22"/>
        <v>1</v>
      </c>
      <c r="AH39" s="268" t="str">
        <f t="shared" si="50"/>
        <v>1</v>
      </c>
      <c r="AI39" s="268" t="str">
        <f t="shared" si="51"/>
        <v>1</v>
      </c>
      <c r="AJ39" s="268" t="str">
        <f t="shared" si="52"/>
        <v>1</v>
      </c>
      <c r="AK39" s="268" t="str">
        <f t="shared" si="53"/>
        <v>1</v>
      </c>
      <c r="AL39" s="268" t="str">
        <f t="shared" si="54"/>
        <v>1</v>
      </c>
      <c r="AM39" s="268" t="str">
        <f t="shared" si="55"/>
        <v>1</v>
      </c>
      <c r="AN39" s="223" t="str">
        <f t="shared" si="56"/>
        <v>1</v>
      </c>
      <c r="AO39" s="223" t="str">
        <f t="shared" si="57"/>
        <v>1</v>
      </c>
      <c r="AP39" s="223" t="str">
        <f t="shared" si="58"/>
        <v>1</v>
      </c>
      <c r="AQ39" s="223" t="str">
        <f t="shared" si="59"/>
        <v>1</v>
      </c>
      <c r="AR39" s="223" t="str">
        <f t="shared" si="60"/>
        <v>1</v>
      </c>
      <c r="AS39" s="223" t="str">
        <f t="shared" si="61"/>
        <v>1</v>
      </c>
      <c r="AT39" s="223" t="str">
        <f t="shared" si="62"/>
        <v>1</v>
      </c>
      <c r="AU39" s="223" t="str">
        <f t="shared" si="63"/>
        <v>1</v>
      </c>
      <c r="AV39" s="223" t="str">
        <f t="shared" si="64"/>
        <v>1</v>
      </c>
      <c r="AW39" s="223" t="str">
        <f t="shared" si="65"/>
        <v>1</v>
      </c>
      <c r="AX39" s="223" t="str">
        <f t="shared" si="66"/>
        <v>1</v>
      </c>
      <c r="AY39" s="223" t="str">
        <f t="shared" si="67"/>
        <v>1</v>
      </c>
    </row>
    <row r="40" spans="1:51" ht="22.5" x14ac:dyDescent="0.25">
      <c r="A40" s="214">
        <v>38</v>
      </c>
      <c r="B40" s="252" t="s">
        <v>69</v>
      </c>
      <c r="C40" s="142" t="s">
        <v>70</v>
      </c>
      <c r="D40" s="152">
        <v>2012</v>
      </c>
      <c r="E40" s="136">
        <v>41170</v>
      </c>
      <c r="F40" s="222">
        <f t="shared" si="0"/>
        <v>9</v>
      </c>
      <c r="G40" s="222" t="str">
        <f t="shared" si="1"/>
        <v>92012</v>
      </c>
      <c r="H40" s="222" t="str">
        <f t="shared" si="2"/>
        <v>septiembre</v>
      </c>
      <c r="I40" s="126" t="str">
        <f>VLOOKUP(B40,'Base de Datos'!$E$7:$T$271,14,0)</f>
        <v/>
      </c>
      <c r="J40" s="224" t="e">
        <f t="shared" si="3"/>
        <v>#VALUE!</v>
      </c>
      <c r="K40" s="223" t="e">
        <f t="shared" si="4"/>
        <v>#VALUE!</v>
      </c>
      <c r="L40" s="223" t="e">
        <f t="shared" si="5"/>
        <v>#VALUE!</v>
      </c>
      <c r="M40" s="223" t="str">
        <f t="shared" si="6"/>
        <v/>
      </c>
      <c r="N40" s="223" t="e">
        <f t="shared" ca="1" si="7"/>
        <v>#VALUE!</v>
      </c>
      <c r="O40" s="268" t="e">
        <f t="shared" ca="1" si="8"/>
        <v>#VALUE!</v>
      </c>
      <c r="P40" s="268" t="str">
        <f t="shared" si="41"/>
        <v/>
      </c>
      <c r="Q40" s="268" t="str">
        <f t="shared" si="9"/>
        <v/>
      </c>
      <c r="R40" s="268" t="str">
        <f t="shared" si="10"/>
        <v/>
      </c>
      <c r="S40" s="268" t="str">
        <f t="shared" si="11"/>
        <v/>
      </c>
      <c r="T40" s="268" t="str">
        <f t="shared" si="12"/>
        <v/>
      </c>
      <c r="U40" s="268" t="str">
        <f t="shared" si="13"/>
        <v/>
      </c>
      <c r="V40" s="268" t="str">
        <f t="shared" si="43"/>
        <v/>
      </c>
      <c r="W40" s="268" t="str">
        <f t="shared" si="14"/>
        <v/>
      </c>
      <c r="X40" s="268" t="str">
        <f t="shared" si="15"/>
        <v>1</v>
      </c>
      <c r="Y40" s="268" t="str">
        <f t="shared" si="42"/>
        <v>1</v>
      </c>
      <c r="Z40" s="268" t="str">
        <f t="shared" si="16"/>
        <v>1</v>
      </c>
      <c r="AA40" s="268" t="str">
        <f t="shared" si="47"/>
        <v>1</v>
      </c>
      <c r="AB40" s="268" t="str">
        <f t="shared" si="45"/>
        <v>1</v>
      </c>
      <c r="AC40" s="268" t="str">
        <f t="shared" si="46"/>
        <v>1</v>
      </c>
      <c r="AD40" s="268" t="str">
        <f t="shared" si="48"/>
        <v>1</v>
      </c>
      <c r="AE40" s="268" t="str">
        <f t="shared" si="49"/>
        <v>1</v>
      </c>
      <c r="AF40" s="268">
        <v>1</v>
      </c>
      <c r="AG40" s="268" t="str">
        <f t="shared" si="22"/>
        <v>1</v>
      </c>
      <c r="AH40" s="268" t="str">
        <f t="shared" si="50"/>
        <v>1</v>
      </c>
      <c r="AI40" s="268" t="str">
        <f t="shared" si="51"/>
        <v>1</v>
      </c>
      <c r="AJ40" s="268" t="str">
        <f t="shared" si="52"/>
        <v>1</v>
      </c>
      <c r="AK40" s="268" t="str">
        <f t="shared" si="53"/>
        <v>1</v>
      </c>
      <c r="AL40" s="268" t="str">
        <f t="shared" si="54"/>
        <v>1</v>
      </c>
      <c r="AM40" s="268" t="str">
        <f t="shared" si="55"/>
        <v>1</v>
      </c>
      <c r="AN40" s="223" t="str">
        <f t="shared" si="56"/>
        <v>1</v>
      </c>
      <c r="AO40" s="223" t="str">
        <f t="shared" si="57"/>
        <v>1</v>
      </c>
      <c r="AP40" s="223" t="str">
        <f t="shared" si="58"/>
        <v>1</v>
      </c>
      <c r="AQ40" s="223" t="str">
        <f t="shared" si="59"/>
        <v>1</v>
      </c>
      <c r="AR40" s="223" t="str">
        <f t="shared" si="60"/>
        <v>1</v>
      </c>
      <c r="AS40" s="223" t="str">
        <f t="shared" si="61"/>
        <v>1</v>
      </c>
      <c r="AT40" s="223" t="str">
        <f t="shared" si="62"/>
        <v>1</v>
      </c>
      <c r="AU40" s="223" t="str">
        <f t="shared" si="63"/>
        <v>1</v>
      </c>
      <c r="AV40" s="223" t="str">
        <f t="shared" si="64"/>
        <v>1</v>
      </c>
      <c r="AW40" s="223" t="str">
        <f t="shared" si="65"/>
        <v>1</v>
      </c>
      <c r="AX40" s="223" t="str">
        <f t="shared" si="66"/>
        <v>1</v>
      </c>
      <c r="AY40" s="223" t="str">
        <f t="shared" si="67"/>
        <v>1</v>
      </c>
    </row>
    <row r="41" spans="1:51" ht="22.5" x14ac:dyDescent="0.25">
      <c r="A41" s="214">
        <v>39</v>
      </c>
      <c r="B41" s="254" t="s">
        <v>35</v>
      </c>
      <c r="C41" s="145" t="s">
        <v>36</v>
      </c>
      <c r="D41" s="152">
        <v>2012</v>
      </c>
      <c r="E41" s="147">
        <v>41172</v>
      </c>
      <c r="F41" s="222">
        <f t="shared" si="0"/>
        <v>9</v>
      </c>
      <c r="G41" s="222" t="str">
        <f t="shared" si="1"/>
        <v>92012</v>
      </c>
      <c r="H41" s="222" t="str">
        <f t="shared" si="2"/>
        <v>septiembre</v>
      </c>
      <c r="I41" s="126" t="str">
        <f>VLOOKUP(B41,'Base de Datos'!$E$7:$T$271,14,0)</f>
        <v>2 meses</v>
      </c>
      <c r="J41" s="224" t="e">
        <f t="shared" si="3"/>
        <v>#VALUE!</v>
      </c>
      <c r="K41" s="223" t="e">
        <f t="shared" si="4"/>
        <v>#VALUE!</v>
      </c>
      <c r="L41" s="223" t="e">
        <f t="shared" si="5"/>
        <v>#VALUE!</v>
      </c>
      <c r="M41" s="223" t="str">
        <f t="shared" si="6"/>
        <v>2 meses</v>
      </c>
      <c r="N41" s="223" t="e">
        <f t="shared" ca="1" si="7"/>
        <v>#VALUE!</v>
      </c>
      <c r="O41" s="268" t="e">
        <f t="shared" ca="1" si="8"/>
        <v>#VALUE!</v>
      </c>
      <c r="P41" s="268" t="str">
        <f t="shared" si="41"/>
        <v/>
      </c>
      <c r="Q41" s="268" t="str">
        <f t="shared" si="9"/>
        <v/>
      </c>
      <c r="R41" s="268" t="str">
        <f t="shared" si="10"/>
        <v/>
      </c>
      <c r="S41" s="268" t="str">
        <f t="shared" si="11"/>
        <v/>
      </c>
      <c r="T41" s="268" t="str">
        <f t="shared" si="12"/>
        <v/>
      </c>
      <c r="U41" s="268" t="str">
        <f t="shared" si="13"/>
        <v/>
      </c>
      <c r="V41" s="268" t="str">
        <f t="shared" si="43"/>
        <v/>
      </c>
      <c r="W41" s="268" t="str">
        <f t="shared" si="14"/>
        <v/>
      </c>
      <c r="X41" s="268" t="str">
        <f t="shared" si="15"/>
        <v>1</v>
      </c>
      <c r="Y41" s="268" t="str">
        <f t="shared" si="42"/>
        <v>1</v>
      </c>
      <c r="Z41" s="268" t="str">
        <f t="shared" si="16"/>
        <v>1</v>
      </c>
      <c r="AA41" s="268" t="str">
        <f t="shared" si="47"/>
        <v>1</v>
      </c>
      <c r="AB41" s="268" t="str">
        <f t="shared" si="45"/>
        <v>1</v>
      </c>
      <c r="AC41" s="268" t="str">
        <f t="shared" si="46"/>
        <v>1</v>
      </c>
      <c r="AD41" s="268" t="str">
        <f t="shared" si="48"/>
        <v>1</v>
      </c>
      <c r="AE41" s="268" t="str">
        <f t="shared" si="49"/>
        <v>1</v>
      </c>
      <c r="AF41" s="268">
        <v>1</v>
      </c>
      <c r="AG41" s="268" t="str">
        <f t="shared" si="22"/>
        <v>1</v>
      </c>
      <c r="AH41" s="268" t="str">
        <f t="shared" si="50"/>
        <v>1</v>
      </c>
      <c r="AI41" s="268" t="str">
        <f t="shared" si="51"/>
        <v>1</v>
      </c>
      <c r="AJ41" s="268" t="str">
        <f t="shared" si="52"/>
        <v>1</v>
      </c>
      <c r="AK41" s="268" t="str">
        <f t="shared" si="53"/>
        <v>1</v>
      </c>
      <c r="AL41" s="268" t="str">
        <f t="shared" si="54"/>
        <v>1</v>
      </c>
      <c r="AM41" s="268" t="str">
        <f t="shared" si="55"/>
        <v>1</v>
      </c>
      <c r="AN41" s="223" t="str">
        <f t="shared" si="56"/>
        <v>1</v>
      </c>
      <c r="AO41" s="223" t="str">
        <f t="shared" si="57"/>
        <v>1</v>
      </c>
      <c r="AP41" s="223" t="str">
        <f t="shared" si="58"/>
        <v>1</v>
      </c>
      <c r="AQ41" s="223" t="str">
        <f t="shared" si="59"/>
        <v>1</v>
      </c>
      <c r="AR41" s="223" t="str">
        <f t="shared" si="60"/>
        <v>1</v>
      </c>
      <c r="AS41" s="223" t="str">
        <f t="shared" si="61"/>
        <v>1</v>
      </c>
      <c r="AT41" s="223" t="str">
        <f t="shared" si="62"/>
        <v>1</v>
      </c>
      <c r="AU41" s="223" t="str">
        <f t="shared" si="63"/>
        <v>1</v>
      </c>
      <c r="AV41" s="223" t="str">
        <f t="shared" si="64"/>
        <v>1</v>
      </c>
      <c r="AW41" s="223" t="str">
        <f t="shared" si="65"/>
        <v>1</v>
      </c>
      <c r="AX41" s="223" t="str">
        <f t="shared" si="66"/>
        <v>1</v>
      </c>
      <c r="AY41" s="223" t="str">
        <f t="shared" si="67"/>
        <v>1</v>
      </c>
    </row>
    <row r="42" spans="1:51" ht="22.5" x14ac:dyDescent="0.25">
      <c r="A42" s="214">
        <v>40</v>
      </c>
      <c r="B42" s="254" t="s">
        <v>37</v>
      </c>
      <c r="C42" s="145" t="s">
        <v>38</v>
      </c>
      <c r="D42" s="152">
        <v>2012</v>
      </c>
      <c r="E42" s="147">
        <v>41163</v>
      </c>
      <c r="F42" s="222">
        <f t="shared" si="0"/>
        <v>9</v>
      </c>
      <c r="G42" s="222" t="str">
        <f t="shared" si="1"/>
        <v>92012</v>
      </c>
      <c r="H42" s="222" t="str">
        <f t="shared" si="2"/>
        <v>septiembre</v>
      </c>
      <c r="I42" s="126" t="str">
        <f>VLOOKUP(B42,'Base de Datos'!$E$7:$T$271,14,0)</f>
        <v>1 mes y 20 días</v>
      </c>
      <c r="J42" s="224" t="e">
        <f t="shared" si="3"/>
        <v>#VALUE!</v>
      </c>
      <c r="K42" s="223" t="e">
        <f t="shared" si="4"/>
        <v>#VALUE!</v>
      </c>
      <c r="L42" s="223" t="e">
        <f t="shared" si="5"/>
        <v>#VALUE!</v>
      </c>
      <c r="M42" s="223" t="str">
        <f t="shared" si="6"/>
        <v>1 mes y 20 días</v>
      </c>
      <c r="N42" s="223" t="e">
        <f t="shared" ca="1" si="7"/>
        <v>#VALUE!</v>
      </c>
      <c r="O42" s="268" t="e">
        <f t="shared" ca="1" si="8"/>
        <v>#VALUE!</v>
      </c>
      <c r="P42" s="268" t="str">
        <f t="shared" si="41"/>
        <v/>
      </c>
      <c r="Q42" s="268" t="str">
        <f t="shared" si="9"/>
        <v/>
      </c>
      <c r="R42" s="268" t="str">
        <f t="shared" si="10"/>
        <v/>
      </c>
      <c r="S42" s="268" t="str">
        <f t="shared" si="11"/>
        <v/>
      </c>
      <c r="T42" s="268" t="str">
        <f t="shared" si="12"/>
        <v/>
      </c>
      <c r="U42" s="268" t="str">
        <f t="shared" si="13"/>
        <v/>
      </c>
      <c r="V42" s="268" t="str">
        <f t="shared" si="43"/>
        <v/>
      </c>
      <c r="W42" s="268" t="str">
        <f t="shared" si="14"/>
        <v/>
      </c>
      <c r="X42" s="268" t="str">
        <f t="shared" si="15"/>
        <v>1</v>
      </c>
      <c r="Y42" s="268" t="str">
        <f t="shared" si="42"/>
        <v>1</v>
      </c>
      <c r="Z42" s="268" t="str">
        <f t="shared" si="16"/>
        <v>1</v>
      </c>
      <c r="AA42" s="268" t="str">
        <f t="shared" si="47"/>
        <v>1</v>
      </c>
      <c r="AB42" s="268" t="str">
        <f t="shared" si="45"/>
        <v>1</v>
      </c>
      <c r="AC42" s="268" t="str">
        <f t="shared" si="46"/>
        <v>1</v>
      </c>
      <c r="AD42" s="268" t="str">
        <f t="shared" si="48"/>
        <v>1</v>
      </c>
      <c r="AE42" s="268" t="str">
        <f t="shared" si="49"/>
        <v>1</v>
      </c>
      <c r="AF42" s="268">
        <v>1</v>
      </c>
      <c r="AG42" s="268" t="str">
        <f t="shared" si="22"/>
        <v>1</v>
      </c>
      <c r="AH42" s="268" t="str">
        <f t="shared" si="50"/>
        <v>1</v>
      </c>
      <c r="AI42" s="268" t="str">
        <f t="shared" si="51"/>
        <v>1</v>
      </c>
      <c r="AJ42" s="268" t="str">
        <f t="shared" si="52"/>
        <v>1</v>
      </c>
      <c r="AK42" s="268" t="str">
        <f t="shared" si="53"/>
        <v>1</v>
      </c>
      <c r="AL42" s="268" t="str">
        <f t="shared" si="54"/>
        <v>1</v>
      </c>
      <c r="AM42" s="268" t="str">
        <f t="shared" si="55"/>
        <v>1</v>
      </c>
      <c r="AN42" s="223" t="str">
        <f t="shared" si="56"/>
        <v>1</v>
      </c>
      <c r="AO42" s="223" t="str">
        <f t="shared" si="57"/>
        <v>1</v>
      </c>
      <c r="AP42" s="223" t="str">
        <f t="shared" si="58"/>
        <v>1</v>
      </c>
      <c r="AQ42" s="223" t="str">
        <f t="shared" si="59"/>
        <v>1</v>
      </c>
      <c r="AR42" s="223" t="str">
        <f t="shared" si="60"/>
        <v>1</v>
      </c>
      <c r="AS42" s="223" t="str">
        <f t="shared" si="61"/>
        <v>1</v>
      </c>
      <c r="AT42" s="223" t="str">
        <f t="shared" si="62"/>
        <v>1</v>
      </c>
      <c r="AU42" s="223" t="str">
        <f t="shared" si="63"/>
        <v>1</v>
      </c>
      <c r="AV42" s="223" t="str">
        <f t="shared" si="64"/>
        <v>1</v>
      </c>
      <c r="AW42" s="223" t="str">
        <f t="shared" si="65"/>
        <v>1</v>
      </c>
      <c r="AX42" s="223" t="str">
        <f t="shared" si="66"/>
        <v>1</v>
      </c>
      <c r="AY42" s="223" t="str">
        <f t="shared" si="67"/>
        <v>1</v>
      </c>
    </row>
    <row r="43" spans="1:51" ht="45" x14ac:dyDescent="0.25">
      <c r="A43" s="214">
        <v>41</v>
      </c>
      <c r="B43" s="250" t="s">
        <v>63</v>
      </c>
      <c r="C43" s="132" t="s">
        <v>64</v>
      </c>
      <c r="D43" s="152">
        <v>2012</v>
      </c>
      <c r="E43" s="136">
        <v>41198</v>
      </c>
      <c r="F43" s="222">
        <f t="shared" si="0"/>
        <v>10</v>
      </c>
      <c r="G43" s="222" t="str">
        <f t="shared" si="1"/>
        <v>102012</v>
      </c>
      <c r="H43" s="222" t="str">
        <f t="shared" si="2"/>
        <v>octubre</v>
      </c>
      <c r="I43" s="126" t="str">
        <f>VLOOKUP(B43,'Base de Datos'!$E$7:$T$271,14,0)</f>
        <v/>
      </c>
      <c r="J43" s="224" t="e">
        <f t="shared" si="3"/>
        <v>#VALUE!</v>
      </c>
      <c r="K43" s="223" t="e">
        <f t="shared" si="4"/>
        <v>#VALUE!</v>
      </c>
      <c r="L43" s="223" t="e">
        <f t="shared" si="5"/>
        <v>#VALUE!</v>
      </c>
      <c r="M43" s="223" t="str">
        <f t="shared" si="6"/>
        <v/>
      </c>
      <c r="N43" s="223" t="e">
        <f t="shared" ca="1" si="7"/>
        <v>#VALUE!</v>
      </c>
      <c r="O43" s="268" t="e">
        <f t="shared" ca="1" si="8"/>
        <v>#VALUE!</v>
      </c>
      <c r="P43" s="268" t="str">
        <f t="shared" si="41"/>
        <v/>
      </c>
      <c r="Q43" s="268" t="str">
        <f t="shared" si="9"/>
        <v/>
      </c>
      <c r="R43" s="268" t="str">
        <f t="shared" si="10"/>
        <v/>
      </c>
      <c r="S43" s="268" t="str">
        <f t="shared" si="11"/>
        <v/>
      </c>
      <c r="T43" s="268" t="str">
        <f t="shared" si="12"/>
        <v/>
      </c>
      <c r="U43" s="268" t="str">
        <f t="shared" si="13"/>
        <v/>
      </c>
      <c r="V43" s="268" t="str">
        <f t="shared" si="43"/>
        <v/>
      </c>
      <c r="W43" s="268" t="str">
        <f t="shared" si="14"/>
        <v/>
      </c>
      <c r="X43" s="268" t="str">
        <f t="shared" si="15"/>
        <v/>
      </c>
      <c r="Y43" s="268" t="str">
        <f t="shared" si="42"/>
        <v>1</v>
      </c>
      <c r="Z43" s="268" t="str">
        <f t="shared" si="16"/>
        <v>1</v>
      </c>
      <c r="AA43" s="268" t="str">
        <f t="shared" si="47"/>
        <v>1</v>
      </c>
      <c r="AB43" s="268" t="str">
        <f t="shared" si="45"/>
        <v>1</v>
      </c>
      <c r="AC43" s="268" t="str">
        <f t="shared" si="46"/>
        <v>1</v>
      </c>
      <c r="AD43" s="268" t="str">
        <f t="shared" si="48"/>
        <v>1</v>
      </c>
      <c r="AE43" s="268" t="str">
        <f t="shared" si="49"/>
        <v>1</v>
      </c>
      <c r="AF43" s="268" t="str">
        <f t="shared" ref="AF43:AF106" si="68">IF(AND(E43&lt;$AF$2,I43&gt;$AF$2),"1","")</f>
        <v>1</v>
      </c>
      <c r="AG43" s="268">
        <v>1</v>
      </c>
      <c r="AH43" s="268" t="str">
        <f t="shared" si="50"/>
        <v>1</v>
      </c>
      <c r="AI43" s="268" t="str">
        <f t="shared" si="51"/>
        <v>1</v>
      </c>
      <c r="AJ43" s="268" t="str">
        <f t="shared" si="52"/>
        <v>1</v>
      </c>
      <c r="AK43" s="268" t="str">
        <f t="shared" si="53"/>
        <v>1</v>
      </c>
      <c r="AL43" s="268" t="str">
        <f t="shared" si="54"/>
        <v>1</v>
      </c>
      <c r="AM43" s="268" t="str">
        <f t="shared" si="55"/>
        <v>1</v>
      </c>
      <c r="AN43" s="223" t="str">
        <f t="shared" si="56"/>
        <v>1</v>
      </c>
      <c r="AO43" s="223" t="str">
        <f t="shared" si="57"/>
        <v>1</v>
      </c>
      <c r="AP43" s="223" t="str">
        <f t="shared" si="58"/>
        <v>1</v>
      </c>
      <c r="AQ43" s="223" t="str">
        <f t="shared" si="59"/>
        <v>1</v>
      </c>
      <c r="AR43" s="223" t="str">
        <f t="shared" si="60"/>
        <v>1</v>
      </c>
      <c r="AS43" s="223" t="str">
        <f t="shared" si="61"/>
        <v>1</v>
      </c>
      <c r="AT43" s="223" t="str">
        <f t="shared" si="62"/>
        <v>1</v>
      </c>
      <c r="AU43" s="223" t="str">
        <f t="shared" si="63"/>
        <v>1</v>
      </c>
      <c r="AV43" s="223" t="str">
        <f t="shared" si="64"/>
        <v>1</v>
      </c>
      <c r="AW43" s="223" t="str">
        <f t="shared" si="65"/>
        <v>1</v>
      </c>
      <c r="AX43" s="223" t="str">
        <f t="shared" si="66"/>
        <v>1</v>
      </c>
      <c r="AY43" s="223" t="str">
        <f t="shared" si="67"/>
        <v>1</v>
      </c>
    </row>
    <row r="44" spans="1:51" ht="22.5" x14ac:dyDescent="0.25">
      <c r="A44" s="214">
        <v>42</v>
      </c>
      <c r="B44" s="252" t="s">
        <v>110</v>
      </c>
      <c r="C44" s="132" t="s">
        <v>111</v>
      </c>
      <c r="D44" s="152">
        <v>2012</v>
      </c>
      <c r="E44" s="136">
        <v>41076</v>
      </c>
      <c r="F44" s="222">
        <f t="shared" si="0"/>
        <v>6</v>
      </c>
      <c r="G44" s="222" t="str">
        <f t="shared" si="1"/>
        <v>62012</v>
      </c>
      <c r="H44" s="222" t="str">
        <f t="shared" si="2"/>
        <v>junio</v>
      </c>
      <c r="I44" s="126" t="str">
        <f>VLOOKUP(B44,'Base de Datos'!$E$7:$T$271,14,0)</f>
        <v/>
      </c>
      <c r="J44" s="224" t="e">
        <f t="shared" si="3"/>
        <v>#VALUE!</v>
      </c>
      <c r="K44" s="223" t="e">
        <f t="shared" si="4"/>
        <v>#VALUE!</v>
      </c>
      <c r="L44" s="223" t="e">
        <f t="shared" si="5"/>
        <v>#VALUE!</v>
      </c>
      <c r="M44" s="223" t="str">
        <f t="shared" si="6"/>
        <v/>
      </c>
      <c r="N44" s="223" t="e">
        <f t="shared" ca="1" si="7"/>
        <v>#VALUE!</v>
      </c>
      <c r="O44" s="268" t="e">
        <f t="shared" ca="1" si="8"/>
        <v>#VALUE!</v>
      </c>
      <c r="P44" s="268" t="str">
        <f t="shared" si="41"/>
        <v/>
      </c>
      <c r="Q44" s="268" t="str">
        <f t="shared" si="9"/>
        <v/>
      </c>
      <c r="R44" s="268" t="str">
        <f t="shared" si="10"/>
        <v/>
      </c>
      <c r="S44" s="268" t="str">
        <f t="shared" si="11"/>
        <v/>
      </c>
      <c r="T44" s="268" t="str">
        <f t="shared" si="12"/>
        <v/>
      </c>
      <c r="U44" s="268" t="str">
        <f t="shared" si="13"/>
        <v>1</v>
      </c>
      <c r="V44" s="268" t="str">
        <f t="shared" si="43"/>
        <v>1</v>
      </c>
      <c r="W44" s="268" t="str">
        <f t="shared" si="14"/>
        <v>1</v>
      </c>
      <c r="X44" s="268" t="str">
        <f t="shared" si="15"/>
        <v>1</v>
      </c>
      <c r="Y44" s="268" t="str">
        <f t="shared" si="42"/>
        <v>1</v>
      </c>
      <c r="Z44" s="268" t="str">
        <f t="shared" si="16"/>
        <v>1</v>
      </c>
      <c r="AA44" s="268" t="str">
        <f t="shared" si="47"/>
        <v>1</v>
      </c>
      <c r="AB44" s="268" t="str">
        <f t="shared" si="45"/>
        <v>1</v>
      </c>
      <c r="AC44" s="268" t="str">
        <f t="shared" si="46"/>
        <v>1</v>
      </c>
      <c r="AD44" s="268" t="str">
        <f t="shared" si="48"/>
        <v>1</v>
      </c>
      <c r="AE44" s="268" t="str">
        <f t="shared" si="49"/>
        <v>1</v>
      </c>
      <c r="AF44" s="268" t="str">
        <f t="shared" si="68"/>
        <v>1</v>
      </c>
      <c r="AG44" s="268">
        <v>1</v>
      </c>
      <c r="AH44" s="268" t="str">
        <f t="shared" si="50"/>
        <v>1</v>
      </c>
      <c r="AI44" s="268" t="str">
        <f t="shared" si="51"/>
        <v>1</v>
      </c>
      <c r="AJ44" s="268" t="str">
        <f t="shared" si="52"/>
        <v>1</v>
      </c>
      <c r="AK44" s="268" t="str">
        <f t="shared" si="53"/>
        <v>1</v>
      </c>
      <c r="AL44" s="268" t="str">
        <f t="shared" si="54"/>
        <v>1</v>
      </c>
      <c r="AM44" s="268" t="str">
        <f t="shared" si="55"/>
        <v>1</v>
      </c>
      <c r="AN44" s="223" t="str">
        <f t="shared" si="56"/>
        <v>1</v>
      </c>
      <c r="AO44" s="223" t="str">
        <f t="shared" si="57"/>
        <v>1</v>
      </c>
      <c r="AP44" s="223" t="str">
        <f t="shared" si="58"/>
        <v>1</v>
      </c>
      <c r="AQ44" s="223" t="str">
        <f t="shared" si="59"/>
        <v>1</v>
      </c>
      <c r="AR44" s="223" t="str">
        <f t="shared" si="60"/>
        <v>1</v>
      </c>
      <c r="AS44" s="223" t="str">
        <f t="shared" si="61"/>
        <v>1</v>
      </c>
      <c r="AT44" s="223" t="str">
        <f t="shared" si="62"/>
        <v>1</v>
      </c>
      <c r="AU44" s="223" t="str">
        <f t="shared" si="63"/>
        <v>1</v>
      </c>
      <c r="AV44" s="223" t="str">
        <f t="shared" si="64"/>
        <v>1</v>
      </c>
      <c r="AW44" s="223" t="str">
        <f t="shared" si="65"/>
        <v>1</v>
      </c>
      <c r="AX44" s="223" t="str">
        <f t="shared" si="66"/>
        <v>1</v>
      </c>
      <c r="AY44" s="223" t="str">
        <f t="shared" si="67"/>
        <v>1</v>
      </c>
    </row>
    <row r="45" spans="1:51" ht="22.5" x14ac:dyDescent="0.25">
      <c r="A45" s="214">
        <v>43</v>
      </c>
      <c r="B45" s="252" t="s">
        <v>116</v>
      </c>
      <c r="C45" s="132" t="s">
        <v>418</v>
      </c>
      <c r="D45" s="156">
        <v>2012</v>
      </c>
      <c r="E45" s="136">
        <v>41323</v>
      </c>
      <c r="F45" s="222">
        <f t="shared" si="0"/>
        <v>2</v>
      </c>
      <c r="G45" s="222" t="str">
        <f t="shared" si="1"/>
        <v>22012</v>
      </c>
      <c r="H45" s="222" t="str">
        <f t="shared" si="2"/>
        <v>febrero</v>
      </c>
      <c r="I45" s="126" t="str">
        <f>VLOOKUP(B45,'Base de Datos'!$E$7:$T$271,14,0)</f>
        <v/>
      </c>
      <c r="J45" s="224" t="e">
        <f t="shared" si="3"/>
        <v>#VALUE!</v>
      </c>
      <c r="K45" s="223" t="e">
        <f t="shared" si="4"/>
        <v>#VALUE!</v>
      </c>
      <c r="L45" s="223" t="e">
        <f t="shared" si="5"/>
        <v>#VALUE!</v>
      </c>
      <c r="M45" s="223" t="str">
        <f t="shared" si="6"/>
        <v/>
      </c>
      <c r="N45" s="223" t="e">
        <f t="shared" ca="1" si="7"/>
        <v>#VALUE!</v>
      </c>
      <c r="O45" s="268" t="e">
        <f t="shared" ca="1" si="8"/>
        <v>#VALUE!</v>
      </c>
      <c r="P45" s="268" t="str">
        <f t="shared" si="41"/>
        <v/>
      </c>
      <c r="Q45" s="268" t="str">
        <f t="shared" si="9"/>
        <v/>
      </c>
      <c r="R45" s="268" t="str">
        <f t="shared" si="10"/>
        <v/>
      </c>
      <c r="S45" s="268" t="str">
        <f t="shared" si="11"/>
        <v/>
      </c>
      <c r="T45" s="268" t="str">
        <f t="shared" si="12"/>
        <v/>
      </c>
      <c r="U45" s="268" t="str">
        <f t="shared" si="13"/>
        <v/>
      </c>
      <c r="V45" s="268" t="str">
        <f t="shared" si="43"/>
        <v/>
      </c>
      <c r="W45" s="268" t="str">
        <f t="shared" si="14"/>
        <v/>
      </c>
      <c r="X45" s="268" t="str">
        <f t="shared" si="15"/>
        <v/>
      </c>
      <c r="Y45" s="268" t="str">
        <f t="shared" si="42"/>
        <v/>
      </c>
      <c r="Z45" s="268" t="str">
        <f t="shared" si="16"/>
        <v/>
      </c>
      <c r="AA45" s="268" t="str">
        <f t="shared" si="47"/>
        <v/>
      </c>
      <c r="AB45" s="268" t="str">
        <f t="shared" si="45"/>
        <v/>
      </c>
      <c r="AC45" s="268" t="str">
        <f t="shared" si="46"/>
        <v>1</v>
      </c>
      <c r="AD45" s="268" t="str">
        <f t="shared" si="48"/>
        <v>1</v>
      </c>
      <c r="AE45" s="268" t="str">
        <f t="shared" si="49"/>
        <v>1</v>
      </c>
      <c r="AF45" s="268" t="str">
        <f t="shared" si="68"/>
        <v>1</v>
      </c>
      <c r="AG45" s="268">
        <v>1</v>
      </c>
      <c r="AH45" s="268" t="str">
        <f t="shared" si="50"/>
        <v>1</v>
      </c>
      <c r="AI45" s="268" t="str">
        <f t="shared" si="51"/>
        <v>1</v>
      </c>
      <c r="AJ45" s="268" t="str">
        <f t="shared" si="52"/>
        <v>1</v>
      </c>
      <c r="AK45" s="268" t="str">
        <f t="shared" si="53"/>
        <v>1</v>
      </c>
      <c r="AL45" s="268" t="str">
        <f t="shared" si="54"/>
        <v>1</v>
      </c>
      <c r="AM45" s="268" t="str">
        <f t="shared" si="55"/>
        <v>1</v>
      </c>
      <c r="AN45" s="223" t="str">
        <f t="shared" si="56"/>
        <v>1</v>
      </c>
      <c r="AO45" s="223" t="str">
        <f t="shared" si="57"/>
        <v>1</v>
      </c>
      <c r="AP45" s="223" t="str">
        <f t="shared" si="58"/>
        <v>1</v>
      </c>
      <c r="AQ45" s="223" t="str">
        <f t="shared" si="59"/>
        <v>1</v>
      </c>
      <c r="AR45" s="223" t="str">
        <f t="shared" si="60"/>
        <v>1</v>
      </c>
      <c r="AS45" s="223" t="str">
        <f t="shared" si="61"/>
        <v>1</v>
      </c>
      <c r="AT45" s="223" t="str">
        <f t="shared" si="62"/>
        <v>1</v>
      </c>
      <c r="AU45" s="223" t="str">
        <f t="shared" si="63"/>
        <v>1</v>
      </c>
      <c r="AV45" s="223" t="str">
        <f t="shared" si="64"/>
        <v>1</v>
      </c>
      <c r="AW45" s="223" t="str">
        <f t="shared" si="65"/>
        <v>1</v>
      </c>
      <c r="AX45" s="223" t="str">
        <f t="shared" si="66"/>
        <v>1</v>
      </c>
      <c r="AY45" s="223" t="str">
        <f t="shared" si="67"/>
        <v>1</v>
      </c>
    </row>
    <row r="46" spans="1:51" ht="22.5" x14ac:dyDescent="0.25">
      <c r="A46" s="214">
        <v>44</v>
      </c>
      <c r="B46" s="254" t="s">
        <v>6</v>
      </c>
      <c r="C46" s="145" t="s">
        <v>1018</v>
      </c>
      <c r="D46" s="135">
        <v>2012</v>
      </c>
      <c r="E46" s="136">
        <v>41172</v>
      </c>
      <c r="F46" s="222">
        <f t="shared" si="0"/>
        <v>9</v>
      </c>
      <c r="G46" s="222" t="str">
        <f t="shared" si="1"/>
        <v>92012</v>
      </c>
      <c r="H46" s="222" t="str">
        <f t="shared" si="2"/>
        <v>septiembre</v>
      </c>
      <c r="I46" s="126" t="str">
        <f>VLOOKUP(B46,'Base de Datos'!$E$7:$T$271,14,0)</f>
        <v>2 meses</v>
      </c>
      <c r="J46" s="224" t="e">
        <f t="shared" si="3"/>
        <v>#VALUE!</v>
      </c>
      <c r="K46" s="223" t="e">
        <f t="shared" si="4"/>
        <v>#VALUE!</v>
      </c>
      <c r="L46" s="223" t="e">
        <f t="shared" si="5"/>
        <v>#VALUE!</v>
      </c>
      <c r="M46" s="223" t="str">
        <f t="shared" si="6"/>
        <v>2 meses</v>
      </c>
      <c r="N46" s="223" t="e">
        <f t="shared" ca="1" si="7"/>
        <v>#VALUE!</v>
      </c>
      <c r="O46" s="268" t="e">
        <f t="shared" ca="1" si="8"/>
        <v>#VALUE!</v>
      </c>
      <c r="P46" s="268" t="str">
        <f t="shared" si="41"/>
        <v/>
      </c>
      <c r="Q46" s="268" t="str">
        <f t="shared" si="9"/>
        <v/>
      </c>
      <c r="R46" s="268" t="str">
        <f t="shared" si="10"/>
        <v/>
      </c>
      <c r="S46" s="268" t="str">
        <f t="shared" si="11"/>
        <v/>
      </c>
      <c r="T46" s="268" t="str">
        <f t="shared" si="12"/>
        <v/>
      </c>
      <c r="U46" s="268" t="str">
        <f t="shared" si="13"/>
        <v/>
      </c>
      <c r="V46" s="268" t="str">
        <f t="shared" si="43"/>
        <v/>
      </c>
      <c r="W46" s="268" t="str">
        <f t="shared" si="14"/>
        <v/>
      </c>
      <c r="X46" s="268" t="str">
        <f t="shared" si="15"/>
        <v>1</v>
      </c>
      <c r="Y46" s="268" t="str">
        <f t="shared" si="42"/>
        <v>1</v>
      </c>
      <c r="Z46" s="268" t="str">
        <f t="shared" si="16"/>
        <v>1</v>
      </c>
      <c r="AA46" s="268" t="str">
        <f t="shared" si="47"/>
        <v>1</v>
      </c>
      <c r="AB46" s="268" t="str">
        <f t="shared" si="45"/>
        <v>1</v>
      </c>
      <c r="AC46" s="268" t="str">
        <f t="shared" si="46"/>
        <v>1</v>
      </c>
      <c r="AD46" s="268" t="str">
        <f t="shared" si="48"/>
        <v>1</v>
      </c>
      <c r="AE46" s="268" t="str">
        <f t="shared" si="49"/>
        <v>1</v>
      </c>
      <c r="AF46" s="268" t="str">
        <f t="shared" si="68"/>
        <v>1</v>
      </c>
      <c r="AG46" s="268">
        <v>1</v>
      </c>
      <c r="AH46" s="268" t="str">
        <f t="shared" si="50"/>
        <v>1</v>
      </c>
      <c r="AI46" s="268" t="str">
        <f t="shared" si="51"/>
        <v>1</v>
      </c>
      <c r="AJ46" s="268" t="str">
        <f t="shared" si="52"/>
        <v>1</v>
      </c>
      <c r="AK46" s="268" t="str">
        <f t="shared" si="53"/>
        <v>1</v>
      </c>
      <c r="AL46" s="268" t="str">
        <f t="shared" si="54"/>
        <v>1</v>
      </c>
      <c r="AM46" s="268" t="str">
        <f t="shared" si="55"/>
        <v>1</v>
      </c>
      <c r="AN46" s="223" t="str">
        <f t="shared" si="56"/>
        <v>1</v>
      </c>
      <c r="AO46" s="223" t="str">
        <f t="shared" si="57"/>
        <v>1</v>
      </c>
      <c r="AP46" s="223" t="str">
        <f t="shared" si="58"/>
        <v>1</v>
      </c>
      <c r="AQ46" s="223" t="str">
        <f t="shared" si="59"/>
        <v>1</v>
      </c>
      <c r="AR46" s="223" t="str">
        <f t="shared" si="60"/>
        <v>1</v>
      </c>
      <c r="AS46" s="223" t="str">
        <f t="shared" si="61"/>
        <v>1</v>
      </c>
      <c r="AT46" s="223" t="str">
        <f t="shared" si="62"/>
        <v>1</v>
      </c>
      <c r="AU46" s="223" t="str">
        <f t="shared" si="63"/>
        <v>1</v>
      </c>
      <c r="AV46" s="223" t="str">
        <f t="shared" si="64"/>
        <v>1</v>
      </c>
      <c r="AW46" s="223" t="str">
        <f t="shared" si="65"/>
        <v>1</v>
      </c>
      <c r="AX46" s="223" t="str">
        <f t="shared" si="66"/>
        <v>1</v>
      </c>
      <c r="AY46" s="223" t="str">
        <f t="shared" si="67"/>
        <v>1</v>
      </c>
    </row>
    <row r="47" spans="1:51" ht="22.5" x14ac:dyDescent="0.25">
      <c r="A47" s="214">
        <v>45</v>
      </c>
      <c r="B47" s="250" t="s">
        <v>598</v>
      </c>
      <c r="C47" s="132" t="s">
        <v>1025</v>
      </c>
      <c r="D47" s="152">
        <v>2012</v>
      </c>
      <c r="E47" s="136">
        <v>41234</v>
      </c>
      <c r="F47" s="222">
        <f t="shared" si="0"/>
        <v>11</v>
      </c>
      <c r="G47" s="222" t="str">
        <f t="shared" si="1"/>
        <v>112012</v>
      </c>
      <c r="H47" s="222" t="str">
        <f t="shared" si="2"/>
        <v>noviembre</v>
      </c>
      <c r="I47" s="126" t="str">
        <f>VLOOKUP(B47,'Base de Datos'!$E$7:$T$271,14,0)</f>
        <v/>
      </c>
      <c r="J47" s="224" t="e">
        <f t="shared" si="3"/>
        <v>#VALUE!</v>
      </c>
      <c r="K47" s="223" t="e">
        <f t="shared" si="4"/>
        <v>#VALUE!</v>
      </c>
      <c r="L47" s="223" t="e">
        <f t="shared" si="5"/>
        <v>#VALUE!</v>
      </c>
      <c r="M47" s="223" t="str">
        <f t="shared" si="6"/>
        <v/>
      </c>
      <c r="N47" s="223" t="e">
        <f t="shared" ca="1" si="7"/>
        <v>#VALUE!</v>
      </c>
      <c r="O47" s="268" t="e">
        <f t="shared" ca="1" si="8"/>
        <v>#VALUE!</v>
      </c>
      <c r="P47" s="268" t="str">
        <f t="shared" si="41"/>
        <v/>
      </c>
      <c r="Q47" s="268" t="str">
        <f t="shared" si="9"/>
        <v/>
      </c>
      <c r="R47" s="268" t="str">
        <f t="shared" si="10"/>
        <v/>
      </c>
      <c r="S47" s="268" t="str">
        <f t="shared" si="11"/>
        <v/>
      </c>
      <c r="T47" s="268" t="str">
        <f t="shared" si="12"/>
        <v/>
      </c>
      <c r="U47" s="268" t="str">
        <f t="shared" si="13"/>
        <v/>
      </c>
      <c r="V47" s="268" t="str">
        <f t="shared" si="43"/>
        <v/>
      </c>
      <c r="W47" s="268" t="str">
        <f t="shared" si="14"/>
        <v/>
      </c>
      <c r="X47" s="268" t="str">
        <f t="shared" si="15"/>
        <v/>
      </c>
      <c r="Y47" s="268" t="str">
        <f t="shared" si="42"/>
        <v/>
      </c>
      <c r="Z47" s="268" t="str">
        <f t="shared" si="16"/>
        <v>1</v>
      </c>
      <c r="AA47" s="268" t="str">
        <f t="shared" si="47"/>
        <v>1</v>
      </c>
      <c r="AB47" s="268" t="str">
        <f t="shared" si="45"/>
        <v>1</v>
      </c>
      <c r="AC47" s="268" t="str">
        <f t="shared" si="46"/>
        <v>1</v>
      </c>
      <c r="AD47" s="268" t="str">
        <f t="shared" si="48"/>
        <v>1</v>
      </c>
      <c r="AE47" s="268" t="str">
        <f t="shared" si="49"/>
        <v>1</v>
      </c>
      <c r="AF47" s="268" t="str">
        <f t="shared" si="68"/>
        <v>1</v>
      </c>
      <c r="AG47" s="268">
        <v>1</v>
      </c>
      <c r="AH47" s="268" t="str">
        <f t="shared" si="50"/>
        <v>1</v>
      </c>
      <c r="AI47" s="268" t="str">
        <f t="shared" si="51"/>
        <v>1</v>
      </c>
      <c r="AJ47" s="268" t="str">
        <f t="shared" si="52"/>
        <v>1</v>
      </c>
      <c r="AK47" s="268" t="str">
        <f t="shared" si="53"/>
        <v>1</v>
      </c>
      <c r="AL47" s="268" t="str">
        <f t="shared" si="54"/>
        <v>1</v>
      </c>
      <c r="AM47" s="268" t="str">
        <f t="shared" si="55"/>
        <v>1</v>
      </c>
      <c r="AN47" s="223" t="str">
        <f t="shared" si="56"/>
        <v>1</v>
      </c>
      <c r="AO47" s="223" t="str">
        <f t="shared" si="57"/>
        <v>1</v>
      </c>
      <c r="AP47" s="223" t="str">
        <f t="shared" si="58"/>
        <v>1</v>
      </c>
      <c r="AQ47" s="223" t="str">
        <f t="shared" si="59"/>
        <v>1</v>
      </c>
      <c r="AR47" s="223" t="str">
        <f t="shared" si="60"/>
        <v>1</v>
      </c>
      <c r="AS47" s="223" t="str">
        <f t="shared" si="61"/>
        <v>1</v>
      </c>
      <c r="AT47" s="223" t="str">
        <f t="shared" si="62"/>
        <v>1</v>
      </c>
      <c r="AU47" s="223" t="str">
        <f t="shared" si="63"/>
        <v>1</v>
      </c>
      <c r="AV47" s="223" t="str">
        <f t="shared" si="64"/>
        <v>1</v>
      </c>
      <c r="AW47" s="223" t="str">
        <f t="shared" si="65"/>
        <v>1</v>
      </c>
      <c r="AX47" s="223" t="str">
        <f t="shared" si="66"/>
        <v>1</v>
      </c>
      <c r="AY47" s="223" t="str">
        <f t="shared" si="67"/>
        <v>1</v>
      </c>
    </row>
    <row r="48" spans="1:51" ht="22.5" x14ac:dyDescent="0.25">
      <c r="A48" s="214">
        <v>46</v>
      </c>
      <c r="B48" s="253" t="s">
        <v>49</v>
      </c>
      <c r="C48" s="145" t="s">
        <v>1021</v>
      </c>
      <c r="D48" s="152">
        <v>2012</v>
      </c>
      <c r="E48" s="147">
        <v>41208</v>
      </c>
      <c r="F48" s="222">
        <f t="shared" si="0"/>
        <v>10</v>
      </c>
      <c r="G48" s="222" t="str">
        <f t="shared" si="1"/>
        <v>102012</v>
      </c>
      <c r="H48" s="222" t="str">
        <f t="shared" si="2"/>
        <v>octubre</v>
      </c>
      <c r="I48" s="126" t="str">
        <f>VLOOKUP(B48,'Base de Datos'!$E$7:$T$271,14,0)</f>
        <v/>
      </c>
      <c r="J48" s="224" t="e">
        <f t="shared" si="3"/>
        <v>#VALUE!</v>
      </c>
      <c r="K48" s="223" t="e">
        <f t="shared" si="4"/>
        <v>#VALUE!</v>
      </c>
      <c r="L48" s="223" t="e">
        <f t="shared" si="5"/>
        <v>#VALUE!</v>
      </c>
      <c r="M48" s="223" t="str">
        <f t="shared" si="6"/>
        <v/>
      </c>
      <c r="N48" s="223" t="e">
        <f t="shared" ca="1" si="7"/>
        <v>#VALUE!</v>
      </c>
      <c r="O48" s="268" t="e">
        <f t="shared" ca="1" si="8"/>
        <v>#VALUE!</v>
      </c>
      <c r="P48" s="268" t="str">
        <f t="shared" si="41"/>
        <v/>
      </c>
      <c r="Q48" s="268" t="str">
        <f t="shared" si="9"/>
        <v/>
      </c>
      <c r="R48" s="268" t="str">
        <f t="shared" si="10"/>
        <v/>
      </c>
      <c r="S48" s="268" t="str">
        <f t="shared" si="11"/>
        <v/>
      </c>
      <c r="T48" s="268" t="str">
        <f t="shared" si="12"/>
        <v/>
      </c>
      <c r="U48" s="268" t="str">
        <f t="shared" si="13"/>
        <v/>
      </c>
      <c r="V48" s="268" t="str">
        <f t="shared" si="43"/>
        <v/>
      </c>
      <c r="W48" s="268" t="str">
        <f t="shared" si="14"/>
        <v/>
      </c>
      <c r="X48" s="268" t="str">
        <f t="shared" si="15"/>
        <v/>
      </c>
      <c r="Y48" s="268" t="str">
        <f t="shared" si="42"/>
        <v>1</v>
      </c>
      <c r="Z48" s="268" t="str">
        <f t="shared" si="16"/>
        <v>1</v>
      </c>
      <c r="AA48" s="268" t="str">
        <f t="shared" si="47"/>
        <v>1</v>
      </c>
      <c r="AB48" s="268" t="str">
        <f t="shared" si="45"/>
        <v>1</v>
      </c>
      <c r="AC48" s="268" t="str">
        <f t="shared" si="46"/>
        <v>1</v>
      </c>
      <c r="AD48" s="268" t="str">
        <f t="shared" si="48"/>
        <v>1</v>
      </c>
      <c r="AE48" s="268" t="str">
        <f t="shared" si="49"/>
        <v>1</v>
      </c>
      <c r="AF48" s="268" t="str">
        <f t="shared" si="68"/>
        <v>1</v>
      </c>
      <c r="AG48" s="268">
        <v>1</v>
      </c>
      <c r="AH48" s="268" t="str">
        <f t="shared" si="50"/>
        <v>1</v>
      </c>
      <c r="AI48" s="268" t="str">
        <f t="shared" si="51"/>
        <v>1</v>
      </c>
      <c r="AJ48" s="268" t="str">
        <f t="shared" si="52"/>
        <v>1</v>
      </c>
      <c r="AK48" s="268" t="str">
        <f t="shared" si="53"/>
        <v>1</v>
      </c>
      <c r="AL48" s="268" t="str">
        <f t="shared" si="54"/>
        <v>1</v>
      </c>
      <c r="AM48" s="268" t="str">
        <f t="shared" si="55"/>
        <v>1</v>
      </c>
      <c r="AN48" s="223" t="str">
        <f t="shared" si="56"/>
        <v>1</v>
      </c>
      <c r="AO48" s="223" t="str">
        <f t="shared" si="57"/>
        <v>1</v>
      </c>
      <c r="AP48" s="223" t="str">
        <f t="shared" si="58"/>
        <v>1</v>
      </c>
      <c r="AQ48" s="223" t="str">
        <f t="shared" si="59"/>
        <v>1</v>
      </c>
      <c r="AR48" s="223" t="str">
        <f t="shared" si="60"/>
        <v>1</v>
      </c>
      <c r="AS48" s="223" t="str">
        <f t="shared" si="61"/>
        <v>1</v>
      </c>
      <c r="AT48" s="223" t="str">
        <f t="shared" si="62"/>
        <v>1</v>
      </c>
      <c r="AU48" s="223" t="str">
        <f t="shared" si="63"/>
        <v>1</v>
      </c>
      <c r="AV48" s="223" t="str">
        <f t="shared" si="64"/>
        <v>1</v>
      </c>
      <c r="AW48" s="223" t="str">
        <f t="shared" si="65"/>
        <v>1</v>
      </c>
      <c r="AX48" s="223" t="str">
        <f t="shared" si="66"/>
        <v>1</v>
      </c>
      <c r="AY48" s="223" t="str">
        <f t="shared" si="67"/>
        <v>1</v>
      </c>
    </row>
    <row r="49" spans="1:51" ht="22.5" x14ac:dyDescent="0.25">
      <c r="A49" s="214">
        <v>47</v>
      </c>
      <c r="B49" s="254" t="s">
        <v>2</v>
      </c>
      <c r="C49" s="145" t="s">
        <v>3</v>
      </c>
      <c r="D49" s="152">
        <v>2012</v>
      </c>
      <c r="E49" s="147">
        <v>41163</v>
      </c>
      <c r="F49" s="222">
        <f t="shared" si="0"/>
        <v>9</v>
      </c>
      <c r="G49" s="222" t="str">
        <f t="shared" si="1"/>
        <v>92012</v>
      </c>
      <c r="H49" s="222" t="str">
        <f t="shared" si="2"/>
        <v>septiembre</v>
      </c>
      <c r="I49" s="126" t="e">
        <f>VLOOKUP(B49,'Base de Datos'!$E$7:$T$271,14,0)</f>
        <v>#N/A</v>
      </c>
      <c r="J49" s="224" t="e">
        <f t="shared" si="3"/>
        <v>#N/A</v>
      </c>
      <c r="K49" s="223" t="e">
        <f t="shared" si="4"/>
        <v>#N/A</v>
      </c>
      <c r="L49" s="223" t="e">
        <f t="shared" si="5"/>
        <v>#N/A</v>
      </c>
      <c r="M49" s="223" t="e">
        <f t="shared" si="6"/>
        <v>#N/A</v>
      </c>
      <c r="N49" s="223" t="e">
        <f t="shared" ca="1" si="7"/>
        <v>#N/A</v>
      </c>
      <c r="O49" s="268" t="e">
        <f t="shared" ca="1" si="8"/>
        <v>#N/A</v>
      </c>
      <c r="P49" s="268" t="e">
        <f t="shared" si="41"/>
        <v>#N/A</v>
      </c>
      <c r="Q49" s="268" t="e">
        <f t="shared" si="9"/>
        <v>#N/A</v>
      </c>
      <c r="R49" s="268" t="e">
        <f t="shared" si="10"/>
        <v>#N/A</v>
      </c>
      <c r="S49" s="268" t="e">
        <f t="shared" si="11"/>
        <v>#N/A</v>
      </c>
      <c r="T49" s="268" t="e">
        <f t="shared" si="12"/>
        <v>#N/A</v>
      </c>
      <c r="U49" s="268" t="e">
        <f t="shared" si="13"/>
        <v>#N/A</v>
      </c>
      <c r="V49" s="268" t="e">
        <f t="shared" si="43"/>
        <v>#N/A</v>
      </c>
      <c r="W49" s="268" t="e">
        <f t="shared" si="14"/>
        <v>#N/A</v>
      </c>
      <c r="X49" s="268" t="e">
        <f t="shared" si="15"/>
        <v>#N/A</v>
      </c>
      <c r="Y49" s="268" t="e">
        <f t="shared" si="42"/>
        <v>#N/A</v>
      </c>
      <c r="Z49" s="268" t="e">
        <f t="shared" si="16"/>
        <v>#N/A</v>
      </c>
      <c r="AA49" s="268" t="e">
        <f t="shared" si="47"/>
        <v>#N/A</v>
      </c>
      <c r="AB49" s="268" t="e">
        <f t="shared" si="45"/>
        <v>#N/A</v>
      </c>
      <c r="AC49" s="268" t="e">
        <f t="shared" si="46"/>
        <v>#N/A</v>
      </c>
      <c r="AD49" s="268" t="e">
        <f t="shared" si="48"/>
        <v>#N/A</v>
      </c>
      <c r="AE49" s="268" t="e">
        <f t="shared" si="49"/>
        <v>#N/A</v>
      </c>
      <c r="AF49" s="268" t="e">
        <f t="shared" si="68"/>
        <v>#N/A</v>
      </c>
      <c r="AG49" s="268">
        <v>1</v>
      </c>
      <c r="AH49" s="268" t="e">
        <f t="shared" si="50"/>
        <v>#N/A</v>
      </c>
      <c r="AI49" s="268" t="e">
        <f t="shared" si="51"/>
        <v>#N/A</v>
      </c>
      <c r="AJ49" s="268" t="e">
        <f t="shared" si="52"/>
        <v>#N/A</v>
      </c>
      <c r="AK49" s="268" t="e">
        <f t="shared" si="53"/>
        <v>#N/A</v>
      </c>
      <c r="AL49" s="268" t="e">
        <f t="shared" si="54"/>
        <v>#N/A</v>
      </c>
      <c r="AM49" s="268" t="e">
        <f t="shared" si="55"/>
        <v>#N/A</v>
      </c>
      <c r="AN49" s="223" t="e">
        <f t="shared" si="56"/>
        <v>#N/A</v>
      </c>
      <c r="AO49" s="223" t="e">
        <f t="shared" si="57"/>
        <v>#N/A</v>
      </c>
      <c r="AP49" s="223" t="e">
        <f t="shared" si="58"/>
        <v>#N/A</v>
      </c>
      <c r="AQ49" s="223" t="e">
        <f t="shared" si="59"/>
        <v>#N/A</v>
      </c>
      <c r="AR49" s="223" t="e">
        <f t="shared" si="60"/>
        <v>#N/A</v>
      </c>
      <c r="AS49" s="223" t="e">
        <f t="shared" si="61"/>
        <v>#N/A</v>
      </c>
      <c r="AT49" s="223" t="e">
        <f t="shared" si="62"/>
        <v>#N/A</v>
      </c>
      <c r="AU49" s="223" t="e">
        <f t="shared" si="63"/>
        <v>#N/A</v>
      </c>
      <c r="AV49" s="223" t="e">
        <f t="shared" si="64"/>
        <v>#N/A</v>
      </c>
      <c r="AW49" s="223" t="e">
        <f t="shared" si="65"/>
        <v>#N/A</v>
      </c>
      <c r="AX49" s="223" t="e">
        <f t="shared" si="66"/>
        <v>#N/A</v>
      </c>
      <c r="AY49" s="223" t="e">
        <f t="shared" si="67"/>
        <v>#N/A</v>
      </c>
    </row>
    <row r="50" spans="1:51" ht="45" x14ac:dyDescent="0.25">
      <c r="A50" s="214">
        <v>48</v>
      </c>
      <c r="B50" s="252" t="s">
        <v>62</v>
      </c>
      <c r="C50" s="142" t="s">
        <v>1015</v>
      </c>
      <c r="D50" s="152">
        <v>2012</v>
      </c>
      <c r="E50" s="136">
        <v>41270</v>
      </c>
      <c r="F50" s="222">
        <f t="shared" si="0"/>
        <v>12</v>
      </c>
      <c r="G50" s="222" t="str">
        <f t="shared" si="1"/>
        <v>122012</v>
      </c>
      <c r="H50" s="222" t="str">
        <f t="shared" si="2"/>
        <v>diciembre</v>
      </c>
      <c r="I50" s="126" t="str">
        <f>VLOOKUP(B50,'Base de Datos'!$E$7:$T$271,14,0)</f>
        <v/>
      </c>
      <c r="J50" s="224" t="e">
        <f t="shared" si="3"/>
        <v>#VALUE!</v>
      </c>
      <c r="K50" s="223" t="e">
        <f t="shared" si="4"/>
        <v>#VALUE!</v>
      </c>
      <c r="L50" s="223" t="e">
        <f t="shared" si="5"/>
        <v>#VALUE!</v>
      </c>
      <c r="M50" s="223" t="str">
        <f t="shared" si="6"/>
        <v/>
      </c>
      <c r="N50" s="223" t="e">
        <f t="shared" ca="1" si="7"/>
        <v>#VALUE!</v>
      </c>
      <c r="O50" s="268" t="e">
        <f t="shared" ca="1" si="8"/>
        <v>#VALUE!</v>
      </c>
      <c r="P50" s="268" t="str">
        <f t="shared" si="41"/>
        <v/>
      </c>
      <c r="Q50" s="268" t="str">
        <f t="shared" si="9"/>
        <v/>
      </c>
      <c r="R50" s="268" t="str">
        <f t="shared" si="10"/>
        <v/>
      </c>
      <c r="S50" s="268" t="str">
        <f t="shared" si="11"/>
        <v/>
      </c>
      <c r="T50" s="268" t="str">
        <f t="shared" si="12"/>
        <v/>
      </c>
      <c r="U50" s="268" t="str">
        <f t="shared" si="13"/>
        <v/>
      </c>
      <c r="V50" s="268" t="str">
        <f t="shared" si="43"/>
        <v/>
      </c>
      <c r="W50" s="268" t="str">
        <f t="shared" si="14"/>
        <v/>
      </c>
      <c r="X50" s="268" t="str">
        <f t="shared" si="15"/>
        <v/>
      </c>
      <c r="Y50" s="268" t="str">
        <f t="shared" si="42"/>
        <v/>
      </c>
      <c r="Z50" s="268" t="str">
        <f t="shared" si="16"/>
        <v/>
      </c>
      <c r="AA50" s="268" t="str">
        <f t="shared" si="47"/>
        <v>1</v>
      </c>
      <c r="AB50" s="268" t="str">
        <f t="shared" si="45"/>
        <v>1</v>
      </c>
      <c r="AC50" s="268" t="str">
        <f t="shared" si="46"/>
        <v>1</v>
      </c>
      <c r="AD50" s="268" t="str">
        <f t="shared" si="48"/>
        <v>1</v>
      </c>
      <c r="AE50" s="268" t="str">
        <f t="shared" si="49"/>
        <v>1</v>
      </c>
      <c r="AF50" s="268" t="str">
        <f t="shared" si="68"/>
        <v>1</v>
      </c>
      <c r="AG50" s="268">
        <v>1</v>
      </c>
      <c r="AH50" s="268" t="str">
        <f t="shared" si="50"/>
        <v>1</v>
      </c>
      <c r="AI50" s="268" t="str">
        <f t="shared" si="51"/>
        <v>1</v>
      </c>
      <c r="AJ50" s="268" t="str">
        <f t="shared" si="52"/>
        <v>1</v>
      </c>
      <c r="AK50" s="268" t="str">
        <f t="shared" si="53"/>
        <v>1</v>
      </c>
      <c r="AL50" s="268" t="str">
        <f t="shared" si="54"/>
        <v>1</v>
      </c>
      <c r="AM50" s="268" t="str">
        <f t="shared" si="55"/>
        <v>1</v>
      </c>
      <c r="AN50" s="223" t="str">
        <f t="shared" si="56"/>
        <v>1</v>
      </c>
      <c r="AO50" s="223" t="str">
        <f t="shared" si="57"/>
        <v>1</v>
      </c>
      <c r="AP50" s="223" t="str">
        <f t="shared" si="58"/>
        <v>1</v>
      </c>
      <c r="AQ50" s="223" t="str">
        <f t="shared" si="59"/>
        <v>1</v>
      </c>
      <c r="AR50" s="223" t="str">
        <f t="shared" si="60"/>
        <v>1</v>
      </c>
      <c r="AS50" s="223" t="str">
        <f t="shared" si="61"/>
        <v>1</v>
      </c>
      <c r="AT50" s="223" t="str">
        <f t="shared" si="62"/>
        <v>1</v>
      </c>
      <c r="AU50" s="223" t="str">
        <f t="shared" si="63"/>
        <v>1</v>
      </c>
      <c r="AV50" s="223" t="str">
        <f t="shared" si="64"/>
        <v>1</v>
      </c>
      <c r="AW50" s="223" t="str">
        <f t="shared" si="65"/>
        <v>1</v>
      </c>
      <c r="AX50" s="223" t="str">
        <f t="shared" si="66"/>
        <v>1</v>
      </c>
      <c r="AY50" s="223" t="str">
        <f t="shared" si="67"/>
        <v>1</v>
      </c>
    </row>
    <row r="51" spans="1:51" ht="22.5" x14ac:dyDescent="0.25">
      <c r="A51" s="214">
        <v>49</v>
      </c>
      <c r="B51" s="254" t="s">
        <v>42</v>
      </c>
      <c r="C51" s="145" t="s">
        <v>43</v>
      </c>
      <c r="D51" s="152">
        <v>2012</v>
      </c>
      <c r="E51" s="149">
        <v>41240</v>
      </c>
      <c r="F51" s="222">
        <f t="shared" si="0"/>
        <v>11</v>
      </c>
      <c r="G51" s="222" t="str">
        <f t="shared" si="1"/>
        <v>112012</v>
      </c>
      <c r="H51" s="222" t="str">
        <f t="shared" si="2"/>
        <v>noviembre</v>
      </c>
      <c r="I51" s="126" t="str">
        <f>VLOOKUP(B51,'Base de Datos'!$E$7:$T$271,14,0)</f>
        <v>1 mes</v>
      </c>
      <c r="J51" s="224" t="e">
        <f t="shared" si="3"/>
        <v>#VALUE!</v>
      </c>
      <c r="K51" s="223" t="e">
        <f t="shared" si="4"/>
        <v>#VALUE!</v>
      </c>
      <c r="L51" s="223" t="e">
        <f t="shared" si="5"/>
        <v>#VALUE!</v>
      </c>
      <c r="M51" s="223" t="str">
        <f t="shared" si="6"/>
        <v>1 mes</v>
      </c>
      <c r="N51" s="223" t="e">
        <f t="shared" ca="1" si="7"/>
        <v>#VALUE!</v>
      </c>
      <c r="O51" s="268" t="e">
        <f t="shared" ca="1" si="8"/>
        <v>#VALUE!</v>
      </c>
      <c r="P51" s="268" t="str">
        <f t="shared" si="41"/>
        <v/>
      </c>
      <c r="Q51" s="268" t="str">
        <f t="shared" si="9"/>
        <v/>
      </c>
      <c r="R51" s="268" t="str">
        <f t="shared" si="10"/>
        <v/>
      </c>
      <c r="S51" s="268" t="str">
        <f t="shared" si="11"/>
        <v/>
      </c>
      <c r="T51" s="268" t="str">
        <f t="shared" si="12"/>
        <v/>
      </c>
      <c r="U51" s="268" t="str">
        <f t="shared" si="13"/>
        <v/>
      </c>
      <c r="V51" s="268" t="str">
        <f t="shared" si="43"/>
        <v/>
      </c>
      <c r="W51" s="268" t="str">
        <f t="shared" si="14"/>
        <v/>
      </c>
      <c r="X51" s="268" t="str">
        <f t="shared" si="15"/>
        <v/>
      </c>
      <c r="Y51" s="268" t="str">
        <f t="shared" si="42"/>
        <v/>
      </c>
      <c r="Z51" s="268" t="str">
        <f t="shared" si="16"/>
        <v>1</v>
      </c>
      <c r="AA51" s="268" t="str">
        <f t="shared" si="47"/>
        <v>1</v>
      </c>
      <c r="AB51" s="268" t="str">
        <f t="shared" si="45"/>
        <v>1</v>
      </c>
      <c r="AC51" s="268" t="str">
        <f t="shared" si="46"/>
        <v>1</v>
      </c>
      <c r="AD51" s="268" t="str">
        <f t="shared" si="48"/>
        <v>1</v>
      </c>
      <c r="AE51" s="268" t="str">
        <f t="shared" si="49"/>
        <v>1</v>
      </c>
      <c r="AF51" s="268" t="str">
        <f t="shared" si="68"/>
        <v>1</v>
      </c>
      <c r="AG51" s="268">
        <v>1</v>
      </c>
      <c r="AH51" s="268" t="str">
        <f t="shared" si="50"/>
        <v>1</v>
      </c>
      <c r="AI51" s="268" t="str">
        <f t="shared" si="51"/>
        <v>1</v>
      </c>
      <c r="AJ51" s="268" t="str">
        <f t="shared" si="52"/>
        <v>1</v>
      </c>
      <c r="AK51" s="268" t="str">
        <f t="shared" si="53"/>
        <v>1</v>
      </c>
      <c r="AL51" s="268" t="str">
        <f t="shared" si="54"/>
        <v>1</v>
      </c>
      <c r="AM51" s="268" t="str">
        <f t="shared" si="55"/>
        <v>1</v>
      </c>
      <c r="AN51" s="223" t="str">
        <f t="shared" si="56"/>
        <v>1</v>
      </c>
      <c r="AO51" s="223" t="str">
        <f t="shared" si="57"/>
        <v>1</v>
      </c>
      <c r="AP51" s="223" t="str">
        <f t="shared" si="58"/>
        <v>1</v>
      </c>
      <c r="AQ51" s="223" t="str">
        <f t="shared" si="59"/>
        <v>1</v>
      </c>
      <c r="AR51" s="223" t="str">
        <f t="shared" si="60"/>
        <v>1</v>
      </c>
      <c r="AS51" s="223" t="str">
        <f t="shared" si="61"/>
        <v>1</v>
      </c>
      <c r="AT51" s="223" t="str">
        <f t="shared" si="62"/>
        <v>1</v>
      </c>
      <c r="AU51" s="223" t="str">
        <f t="shared" si="63"/>
        <v>1</v>
      </c>
      <c r="AV51" s="223" t="str">
        <f t="shared" si="64"/>
        <v>1</v>
      </c>
      <c r="AW51" s="223" t="str">
        <f t="shared" si="65"/>
        <v>1</v>
      </c>
      <c r="AX51" s="223" t="str">
        <f t="shared" si="66"/>
        <v>1</v>
      </c>
      <c r="AY51" s="223" t="str">
        <f t="shared" si="67"/>
        <v>1</v>
      </c>
    </row>
    <row r="52" spans="1:51" ht="22.5" x14ac:dyDescent="0.25">
      <c r="A52" s="214">
        <v>50</v>
      </c>
      <c r="B52" s="254" t="s">
        <v>7</v>
      </c>
      <c r="C52" s="145" t="s">
        <v>8</v>
      </c>
      <c r="D52" s="152">
        <v>2012</v>
      </c>
      <c r="E52" s="147">
        <v>41155</v>
      </c>
      <c r="F52" s="222">
        <f t="shared" si="0"/>
        <v>9</v>
      </c>
      <c r="G52" s="222" t="str">
        <f t="shared" si="1"/>
        <v>92012</v>
      </c>
      <c r="H52" s="222" t="str">
        <f t="shared" si="2"/>
        <v>septiembre</v>
      </c>
      <c r="I52" s="126" t="str">
        <f>VLOOKUP(B52,'Base de Datos'!$E$7:$T$271,14,0)</f>
        <v>3 meses</v>
      </c>
      <c r="J52" s="224" t="e">
        <f t="shared" si="3"/>
        <v>#VALUE!</v>
      </c>
      <c r="K52" s="223" t="e">
        <f t="shared" si="4"/>
        <v>#VALUE!</v>
      </c>
      <c r="L52" s="223" t="e">
        <f t="shared" si="5"/>
        <v>#VALUE!</v>
      </c>
      <c r="M52" s="223" t="str">
        <f t="shared" si="6"/>
        <v>3 meses</v>
      </c>
      <c r="N52" s="223" t="e">
        <f t="shared" ca="1" si="7"/>
        <v>#VALUE!</v>
      </c>
      <c r="O52" s="268" t="e">
        <f t="shared" ca="1" si="8"/>
        <v>#VALUE!</v>
      </c>
      <c r="P52" s="268" t="str">
        <f t="shared" si="41"/>
        <v/>
      </c>
      <c r="Q52" s="268" t="str">
        <f t="shared" si="9"/>
        <v/>
      </c>
      <c r="R52" s="268" t="str">
        <f t="shared" si="10"/>
        <v/>
      </c>
      <c r="S52" s="268" t="str">
        <f t="shared" si="11"/>
        <v/>
      </c>
      <c r="T52" s="268" t="str">
        <f t="shared" si="12"/>
        <v/>
      </c>
      <c r="U52" s="268" t="str">
        <f t="shared" si="13"/>
        <v/>
      </c>
      <c r="V52" s="268" t="str">
        <f t="shared" si="43"/>
        <v/>
      </c>
      <c r="W52" s="268" t="str">
        <f t="shared" si="14"/>
        <v/>
      </c>
      <c r="X52" s="268" t="str">
        <f t="shared" si="15"/>
        <v>1</v>
      </c>
      <c r="Y52" s="268" t="str">
        <f t="shared" si="42"/>
        <v>1</v>
      </c>
      <c r="Z52" s="268" t="str">
        <f t="shared" si="16"/>
        <v>1</v>
      </c>
      <c r="AA52" s="268" t="str">
        <f t="shared" si="47"/>
        <v>1</v>
      </c>
      <c r="AB52" s="268" t="str">
        <f t="shared" si="45"/>
        <v>1</v>
      </c>
      <c r="AC52" s="268" t="str">
        <f t="shared" si="46"/>
        <v>1</v>
      </c>
      <c r="AD52" s="268" t="str">
        <f t="shared" si="48"/>
        <v>1</v>
      </c>
      <c r="AE52" s="268" t="str">
        <f t="shared" si="49"/>
        <v>1</v>
      </c>
      <c r="AF52" s="268" t="str">
        <f t="shared" si="68"/>
        <v>1</v>
      </c>
      <c r="AG52" s="268">
        <v>1</v>
      </c>
      <c r="AH52" s="268">
        <v>1</v>
      </c>
      <c r="AI52" s="268" t="str">
        <f t="shared" si="51"/>
        <v>1</v>
      </c>
      <c r="AJ52" s="268" t="str">
        <f t="shared" si="52"/>
        <v>1</v>
      </c>
      <c r="AK52" s="268" t="str">
        <f t="shared" si="53"/>
        <v>1</v>
      </c>
      <c r="AL52" s="268" t="str">
        <f t="shared" si="54"/>
        <v>1</v>
      </c>
      <c r="AM52" s="268" t="str">
        <f t="shared" si="55"/>
        <v>1</v>
      </c>
      <c r="AN52" s="223" t="str">
        <f t="shared" si="56"/>
        <v>1</v>
      </c>
      <c r="AO52" s="223" t="str">
        <f t="shared" si="57"/>
        <v>1</v>
      </c>
      <c r="AP52" s="223" t="str">
        <f t="shared" si="58"/>
        <v>1</v>
      </c>
      <c r="AQ52" s="223" t="str">
        <f t="shared" si="59"/>
        <v>1</v>
      </c>
      <c r="AR52" s="223" t="str">
        <f t="shared" si="60"/>
        <v>1</v>
      </c>
      <c r="AS52" s="223" t="str">
        <f t="shared" si="61"/>
        <v>1</v>
      </c>
      <c r="AT52" s="223" t="str">
        <f t="shared" si="62"/>
        <v>1</v>
      </c>
      <c r="AU52" s="223" t="str">
        <f t="shared" si="63"/>
        <v>1</v>
      </c>
      <c r="AV52" s="223" t="str">
        <f t="shared" si="64"/>
        <v>1</v>
      </c>
      <c r="AW52" s="223" t="str">
        <f t="shared" si="65"/>
        <v>1</v>
      </c>
      <c r="AX52" s="223" t="str">
        <f t="shared" si="66"/>
        <v>1</v>
      </c>
      <c r="AY52" s="223" t="str">
        <f t="shared" si="67"/>
        <v>1</v>
      </c>
    </row>
    <row r="53" spans="1:51" ht="22.5" x14ac:dyDescent="0.25">
      <c r="A53" s="214">
        <v>51</v>
      </c>
      <c r="B53" s="254" t="s">
        <v>52</v>
      </c>
      <c r="C53" s="145" t="s">
        <v>53</v>
      </c>
      <c r="D53" s="156">
        <v>2012</v>
      </c>
      <c r="E53" s="149">
        <v>41278</v>
      </c>
      <c r="F53" s="222">
        <f t="shared" si="0"/>
        <v>1</v>
      </c>
      <c r="G53" s="222" t="str">
        <f t="shared" si="1"/>
        <v>12012</v>
      </c>
      <c r="H53" s="222" t="str">
        <f t="shared" si="2"/>
        <v>enero</v>
      </c>
      <c r="I53" s="126" t="str">
        <f>VLOOKUP(B53,'Base de Datos'!$E$7:$T$271,14,0)</f>
        <v>1 mes</v>
      </c>
      <c r="J53" s="224" t="e">
        <f t="shared" si="3"/>
        <v>#VALUE!</v>
      </c>
      <c r="K53" s="223" t="e">
        <f t="shared" si="4"/>
        <v>#VALUE!</v>
      </c>
      <c r="L53" s="223" t="e">
        <f t="shared" si="5"/>
        <v>#VALUE!</v>
      </c>
      <c r="M53" s="223" t="str">
        <f t="shared" si="6"/>
        <v>1 mes</v>
      </c>
      <c r="N53" s="223" t="e">
        <f t="shared" ca="1" si="7"/>
        <v>#VALUE!</v>
      </c>
      <c r="O53" s="268" t="e">
        <f t="shared" ca="1" si="8"/>
        <v>#VALUE!</v>
      </c>
      <c r="P53" s="268" t="str">
        <f t="shared" si="41"/>
        <v/>
      </c>
      <c r="Q53" s="268" t="str">
        <f t="shared" si="9"/>
        <v/>
      </c>
      <c r="R53" s="268" t="str">
        <f t="shared" si="10"/>
        <v/>
      </c>
      <c r="S53" s="268" t="str">
        <f t="shared" si="11"/>
        <v/>
      </c>
      <c r="T53" s="268" t="str">
        <f t="shared" si="12"/>
        <v/>
      </c>
      <c r="U53" s="268" t="str">
        <f t="shared" si="13"/>
        <v/>
      </c>
      <c r="V53" s="268" t="str">
        <f t="shared" si="43"/>
        <v/>
      </c>
      <c r="W53" s="268" t="str">
        <f t="shared" si="14"/>
        <v/>
      </c>
      <c r="X53" s="268" t="str">
        <f t="shared" si="15"/>
        <v/>
      </c>
      <c r="Y53" s="268" t="str">
        <f t="shared" si="42"/>
        <v/>
      </c>
      <c r="Z53" s="268" t="str">
        <f t="shared" si="16"/>
        <v/>
      </c>
      <c r="AA53" s="268" t="str">
        <f t="shared" si="47"/>
        <v/>
      </c>
      <c r="AB53" s="268" t="str">
        <f t="shared" si="45"/>
        <v>1</v>
      </c>
      <c r="AC53" s="268" t="str">
        <f t="shared" si="46"/>
        <v>1</v>
      </c>
      <c r="AD53" s="268" t="str">
        <f t="shared" si="48"/>
        <v>1</v>
      </c>
      <c r="AE53" s="268" t="str">
        <f t="shared" si="49"/>
        <v>1</v>
      </c>
      <c r="AF53" s="268" t="str">
        <f t="shared" si="68"/>
        <v>1</v>
      </c>
      <c r="AG53" s="268" t="str">
        <f t="shared" ref="AG53:AG116" si="69">IF(AND(E53&lt;$AG$2,I53&gt;$AG$2),"1","")</f>
        <v>1</v>
      </c>
      <c r="AH53" s="268">
        <v>1</v>
      </c>
      <c r="AI53" s="268" t="str">
        <f t="shared" si="51"/>
        <v>1</v>
      </c>
      <c r="AJ53" s="268" t="str">
        <f t="shared" si="52"/>
        <v>1</v>
      </c>
      <c r="AK53" s="268" t="str">
        <f t="shared" si="53"/>
        <v>1</v>
      </c>
      <c r="AL53" s="268" t="str">
        <f t="shared" si="54"/>
        <v>1</v>
      </c>
      <c r="AM53" s="268" t="str">
        <f t="shared" si="55"/>
        <v>1</v>
      </c>
      <c r="AN53" s="223" t="str">
        <f t="shared" si="56"/>
        <v>1</v>
      </c>
      <c r="AO53" s="223" t="str">
        <f t="shared" si="57"/>
        <v>1</v>
      </c>
      <c r="AP53" s="223" t="str">
        <f t="shared" si="58"/>
        <v>1</v>
      </c>
      <c r="AQ53" s="223" t="str">
        <f t="shared" si="59"/>
        <v>1</v>
      </c>
      <c r="AR53" s="223" t="str">
        <f t="shared" si="60"/>
        <v>1</v>
      </c>
      <c r="AS53" s="223" t="str">
        <f t="shared" si="61"/>
        <v>1</v>
      </c>
      <c r="AT53" s="223" t="str">
        <f t="shared" si="62"/>
        <v>1</v>
      </c>
      <c r="AU53" s="223" t="str">
        <f t="shared" si="63"/>
        <v>1</v>
      </c>
      <c r="AV53" s="223" t="str">
        <f t="shared" si="64"/>
        <v>1</v>
      </c>
      <c r="AW53" s="223" t="str">
        <f t="shared" si="65"/>
        <v>1</v>
      </c>
      <c r="AX53" s="223" t="str">
        <f t="shared" si="66"/>
        <v>1</v>
      </c>
      <c r="AY53" s="223" t="str">
        <f t="shared" si="67"/>
        <v>1</v>
      </c>
    </row>
    <row r="54" spans="1:51" ht="22.5" x14ac:dyDescent="0.25">
      <c r="A54" s="214">
        <v>52</v>
      </c>
      <c r="B54" s="254" t="s">
        <v>59</v>
      </c>
      <c r="C54" s="145" t="s">
        <v>60</v>
      </c>
      <c r="D54" s="152">
        <v>2012</v>
      </c>
      <c r="E54" s="147">
        <v>41103</v>
      </c>
      <c r="F54" s="222">
        <f t="shared" si="0"/>
        <v>7</v>
      </c>
      <c r="G54" s="222" t="str">
        <f t="shared" si="1"/>
        <v>72012</v>
      </c>
      <c r="H54" s="222" t="str">
        <f t="shared" si="2"/>
        <v>julio</v>
      </c>
      <c r="I54" s="126" t="str">
        <f>VLOOKUP(B54,'Base de Datos'!$E$7:$T$271,14,0)</f>
        <v/>
      </c>
      <c r="J54" s="224" t="e">
        <f t="shared" si="3"/>
        <v>#VALUE!</v>
      </c>
      <c r="K54" s="223" t="e">
        <f t="shared" si="4"/>
        <v>#VALUE!</v>
      </c>
      <c r="L54" s="223" t="e">
        <f t="shared" si="5"/>
        <v>#VALUE!</v>
      </c>
      <c r="M54" s="223" t="str">
        <f t="shared" si="6"/>
        <v/>
      </c>
      <c r="N54" s="223" t="e">
        <f t="shared" ca="1" si="7"/>
        <v>#VALUE!</v>
      </c>
      <c r="O54" s="268" t="e">
        <f t="shared" ca="1" si="8"/>
        <v>#VALUE!</v>
      </c>
      <c r="P54" s="268" t="str">
        <f t="shared" si="41"/>
        <v/>
      </c>
      <c r="Q54" s="268" t="str">
        <f t="shared" si="9"/>
        <v/>
      </c>
      <c r="R54" s="268" t="str">
        <f t="shared" si="10"/>
        <v/>
      </c>
      <c r="S54" s="268" t="str">
        <f t="shared" si="11"/>
        <v/>
      </c>
      <c r="T54" s="268" t="str">
        <f t="shared" si="12"/>
        <v/>
      </c>
      <c r="U54" s="268" t="str">
        <f t="shared" si="13"/>
        <v/>
      </c>
      <c r="V54" s="268" t="str">
        <f t="shared" si="43"/>
        <v>1</v>
      </c>
      <c r="W54" s="268" t="str">
        <f t="shared" si="14"/>
        <v>1</v>
      </c>
      <c r="X54" s="268" t="str">
        <f t="shared" si="15"/>
        <v>1</v>
      </c>
      <c r="Y54" s="268" t="str">
        <f t="shared" si="42"/>
        <v>1</v>
      </c>
      <c r="Z54" s="268" t="str">
        <f t="shared" si="16"/>
        <v>1</v>
      </c>
      <c r="AA54" s="268" t="str">
        <f t="shared" si="47"/>
        <v>1</v>
      </c>
      <c r="AB54" s="268" t="str">
        <f t="shared" si="45"/>
        <v>1</v>
      </c>
      <c r="AC54" s="268" t="str">
        <f t="shared" si="46"/>
        <v>1</v>
      </c>
      <c r="AD54" s="268" t="str">
        <f t="shared" si="48"/>
        <v>1</v>
      </c>
      <c r="AE54" s="268" t="str">
        <f t="shared" si="49"/>
        <v>1</v>
      </c>
      <c r="AF54" s="268" t="str">
        <f t="shared" si="68"/>
        <v>1</v>
      </c>
      <c r="AG54" s="268" t="str">
        <f t="shared" si="69"/>
        <v>1</v>
      </c>
      <c r="AH54" s="268">
        <v>1</v>
      </c>
      <c r="AI54" s="268" t="str">
        <f t="shared" si="51"/>
        <v>1</v>
      </c>
      <c r="AJ54" s="268" t="str">
        <f t="shared" si="52"/>
        <v>1</v>
      </c>
      <c r="AK54" s="268" t="str">
        <f t="shared" si="53"/>
        <v>1</v>
      </c>
      <c r="AL54" s="268" t="str">
        <f t="shared" si="54"/>
        <v>1</v>
      </c>
      <c r="AM54" s="268" t="str">
        <f t="shared" si="55"/>
        <v>1</v>
      </c>
      <c r="AN54" s="223" t="str">
        <f t="shared" si="56"/>
        <v>1</v>
      </c>
      <c r="AO54" s="223" t="str">
        <f t="shared" si="57"/>
        <v>1</v>
      </c>
      <c r="AP54" s="223" t="str">
        <f t="shared" si="58"/>
        <v>1</v>
      </c>
      <c r="AQ54" s="223" t="str">
        <f t="shared" si="59"/>
        <v>1</v>
      </c>
      <c r="AR54" s="223" t="str">
        <f t="shared" si="60"/>
        <v>1</v>
      </c>
      <c r="AS54" s="223" t="str">
        <f t="shared" si="61"/>
        <v>1</v>
      </c>
      <c r="AT54" s="223" t="str">
        <f t="shared" si="62"/>
        <v>1</v>
      </c>
      <c r="AU54" s="223" t="str">
        <f t="shared" si="63"/>
        <v>1</v>
      </c>
      <c r="AV54" s="223" t="str">
        <f t="shared" si="64"/>
        <v>1</v>
      </c>
      <c r="AW54" s="223" t="str">
        <f t="shared" si="65"/>
        <v>1</v>
      </c>
      <c r="AX54" s="223" t="str">
        <f t="shared" si="66"/>
        <v>1</v>
      </c>
      <c r="AY54" s="223" t="str">
        <f t="shared" si="67"/>
        <v>1</v>
      </c>
    </row>
    <row r="55" spans="1:51" ht="22.5" x14ac:dyDescent="0.25">
      <c r="A55" s="214">
        <v>53</v>
      </c>
      <c r="B55" s="250" t="s">
        <v>14</v>
      </c>
      <c r="C55" s="132" t="s">
        <v>15</v>
      </c>
      <c r="D55" s="152">
        <v>2012</v>
      </c>
      <c r="E55" s="136">
        <v>41107</v>
      </c>
      <c r="F55" s="222">
        <f t="shared" si="0"/>
        <v>7</v>
      </c>
      <c r="G55" s="222" t="str">
        <f t="shared" si="1"/>
        <v>72012</v>
      </c>
      <c r="H55" s="222" t="str">
        <f t="shared" si="2"/>
        <v>julio</v>
      </c>
      <c r="I55" s="126" t="str">
        <f>VLOOKUP(B55,'Base de Datos'!$E$7:$T$271,14,0)</f>
        <v/>
      </c>
      <c r="J55" s="224" t="e">
        <f t="shared" si="3"/>
        <v>#VALUE!</v>
      </c>
      <c r="K55" s="223" t="e">
        <f t="shared" si="4"/>
        <v>#VALUE!</v>
      </c>
      <c r="L55" s="223" t="e">
        <f t="shared" si="5"/>
        <v>#VALUE!</v>
      </c>
      <c r="M55" s="223" t="str">
        <f t="shared" si="6"/>
        <v/>
      </c>
      <c r="N55" s="223" t="e">
        <f t="shared" ca="1" si="7"/>
        <v>#VALUE!</v>
      </c>
      <c r="O55" s="268" t="e">
        <f t="shared" ca="1" si="8"/>
        <v>#VALUE!</v>
      </c>
      <c r="P55" s="268" t="str">
        <f t="shared" si="41"/>
        <v/>
      </c>
      <c r="Q55" s="268" t="str">
        <f t="shared" si="9"/>
        <v/>
      </c>
      <c r="R55" s="268" t="str">
        <f t="shared" si="10"/>
        <v/>
      </c>
      <c r="S55" s="268" t="str">
        <f t="shared" si="11"/>
        <v/>
      </c>
      <c r="T55" s="268" t="str">
        <f t="shared" si="12"/>
        <v/>
      </c>
      <c r="U55" s="268" t="str">
        <f t="shared" si="13"/>
        <v/>
      </c>
      <c r="V55" s="268" t="str">
        <f t="shared" si="43"/>
        <v>1</v>
      </c>
      <c r="W55" s="268" t="str">
        <f t="shared" si="14"/>
        <v>1</v>
      </c>
      <c r="X55" s="268" t="str">
        <f t="shared" si="15"/>
        <v>1</v>
      </c>
      <c r="Y55" s="268" t="str">
        <f t="shared" si="42"/>
        <v>1</v>
      </c>
      <c r="Z55" s="268" t="str">
        <f t="shared" si="16"/>
        <v>1</v>
      </c>
      <c r="AA55" s="268" t="str">
        <f t="shared" si="47"/>
        <v>1</v>
      </c>
      <c r="AB55" s="268" t="str">
        <f t="shared" si="45"/>
        <v>1</v>
      </c>
      <c r="AC55" s="268" t="str">
        <f t="shared" si="46"/>
        <v>1</v>
      </c>
      <c r="AD55" s="268" t="str">
        <f t="shared" si="48"/>
        <v>1</v>
      </c>
      <c r="AE55" s="268" t="str">
        <f t="shared" si="49"/>
        <v>1</v>
      </c>
      <c r="AF55" s="268" t="str">
        <f t="shared" si="68"/>
        <v>1</v>
      </c>
      <c r="AG55" s="268" t="str">
        <f t="shared" si="69"/>
        <v>1</v>
      </c>
      <c r="AH55" s="268">
        <v>1</v>
      </c>
      <c r="AI55" s="268" t="str">
        <f t="shared" si="51"/>
        <v>1</v>
      </c>
      <c r="AJ55" s="268" t="str">
        <f t="shared" si="52"/>
        <v>1</v>
      </c>
      <c r="AK55" s="268" t="str">
        <f t="shared" si="53"/>
        <v>1</v>
      </c>
      <c r="AL55" s="268" t="str">
        <f t="shared" si="54"/>
        <v>1</v>
      </c>
      <c r="AM55" s="268" t="str">
        <f t="shared" si="55"/>
        <v>1</v>
      </c>
      <c r="AN55" s="223" t="str">
        <f t="shared" si="56"/>
        <v>1</v>
      </c>
      <c r="AO55" s="223" t="str">
        <f t="shared" si="57"/>
        <v>1</v>
      </c>
      <c r="AP55" s="223" t="str">
        <f t="shared" si="58"/>
        <v>1</v>
      </c>
      <c r="AQ55" s="223" t="str">
        <f t="shared" si="59"/>
        <v>1</v>
      </c>
      <c r="AR55" s="223" t="str">
        <f t="shared" si="60"/>
        <v>1</v>
      </c>
      <c r="AS55" s="223" t="str">
        <f t="shared" si="61"/>
        <v>1</v>
      </c>
      <c r="AT55" s="223" t="str">
        <f t="shared" si="62"/>
        <v>1</v>
      </c>
      <c r="AU55" s="223" t="str">
        <f t="shared" si="63"/>
        <v>1</v>
      </c>
      <c r="AV55" s="223" t="str">
        <f t="shared" si="64"/>
        <v>1</v>
      </c>
      <c r="AW55" s="223" t="str">
        <f t="shared" si="65"/>
        <v>1</v>
      </c>
      <c r="AX55" s="223" t="str">
        <f t="shared" si="66"/>
        <v>1</v>
      </c>
      <c r="AY55" s="223" t="str">
        <f t="shared" si="67"/>
        <v>1</v>
      </c>
    </row>
    <row r="56" spans="1:51" ht="22.5" x14ac:dyDescent="0.25">
      <c r="A56" s="214">
        <v>54</v>
      </c>
      <c r="B56" s="250" t="s">
        <v>149</v>
      </c>
      <c r="C56" s="132" t="s">
        <v>150</v>
      </c>
      <c r="D56" s="135">
        <v>2008</v>
      </c>
      <c r="E56" s="138">
        <v>39864</v>
      </c>
      <c r="F56" s="222">
        <f t="shared" si="0"/>
        <v>2</v>
      </c>
      <c r="G56" s="222" t="str">
        <f t="shared" si="1"/>
        <v>22008</v>
      </c>
      <c r="H56" s="222" t="str">
        <f t="shared" si="2"/>
        <v>febrero</v>
      </c>
      <c r="I56" s="126" t="str">
        <f>VLOOKUP(B56,'Base de Datos'!$E$7:$T$271,14,0)</f>
        <v/>
      </c>
      <c r="J56" s="224" t="e">
        <f t="shared" si="3"/>
        <v>#VALUE!</v>
      </c>
      <c r="K56" s="223" t="e">
        <f t="shared" si="4"/>
        <v>#VALUE!</v>
      </c>
      <c r="L56" s="223" t="e">
        <f t="shared" si="5"/>
        <v>#VALUE!</v>
      </c>
      <c r="M56" s="223" t="str">
        <f t="shared" si="6"/>
        <v/>
      </c>
      <c r="N56" s="223" t="e">
        <f t="shared" ca="1" si="7"/>
        <v>#VALUE!</v>
      </c>
      <c r="O56" s="268" t="e">
        <f t="shared" ca="1" si="8"/>
        <v>#VALUE!</v>
      </c>
      <c r="P56" s="268" t="str">
        <f t="shared" si="41"/>
        <v>1</v>
      </c>
      <c r="Q56" s="268" t="str">
        <f t="shared" si="9"/>
        <v>1</v>
      </c>
      <c r="R56" s="268" t="str">
        <f t="shared" si="10"/>
        <v>1</v>
      </c>
      <c r="S56" s="268" t="str">
        <f t="shared" si="11"/>
        <v>1</v>
      </c>
      <c r="T56" s="268" t="str">
        <f t="shared" si="12"/>
        <v>1</v>
      </c>
      <c r="U56" s="268" t="str">
        <f t="shared" si="13"/>
        <v>1</v>
      </c>
      <c r="V56" s="268" t="str">
        <f t="shared" si="43"/>
        <v>1</v>
      </c>
      <c r="W56" s="268" t="str">
        <f t="shared" si="14"/>
        <v>1</v>
      </c>
      <c r="X56" s="268" t="str">
        <f t="shared" si="15"/>
        <v>1</v>
      </c>
      <c r="Y56" s="268" t="str">
        <f t="shared" si="42"/>
        <v>1</v>
      </c>
      <c r="Z56" s="268" t="str">
        <f t="shared" si="16"/>
        <v>1</v>
      </c>
      <c r="AA56" s="268" t="str">
        <f t="shared" si="47"/>
        <v>1</v>
      </c>
      <c r="AB56" s="268" t="str">
        <f t="shared" si="45"/>
        <v>1</v>
      </c>
      <c r="AC56" s="268" t="str">
        <f t="shared" si="46"/>
        <v>1</v>
      </c>
      <c r="AD56" s="268" t="str">
        <f t="shared" si="48"/>
        <v>1</v>
      </c>
      <c r="AE56" s="268" t="str">
        <f t="shared" si="49"/>
        <v>1</v>
      </c>
      <c r="AF56" s="268" t="str">
        <f t="shared" si="68"/>
        <v>1</v>
      </c>
      <c r="AG56" s="268" t="str">
        <f t="shared" si="69"/>
        <v>1</v>
      </c>
      <c r="AH56" s="268">
        <v>1</v>
      </c>
      <c r="AI56" s="268" t="str">
        <f t="shared" si="51"/>
        <v>1</v>
      </c>
      <c r="AJ56" s="268" t="str">
        <f t="shared" si="52"/>
        <v>1</v>
      </c>
      <c r="AK56" s="268" t="str">
        <f t="shared" si="53"/>
        <v>1</v>
      </c>
      <c r="AL56" s="268" t="str">
        <f t="shared" si="54"/>
        <v>1</v>
      </c>
      <c r="AM56" s="268" t="str">
        <f t="shared" si="55"/>
        <v>1</v>
      </c>
      <c r="AN56" s="223" t="str">
        <f t="shared" si="56"/>
        <v>1</v>
      </c>
      <c r="AO56" s="223" t="str">
        <f t="shared" si="57"/>
        <v>1</v>
      </c>
      <c r="AP56" s="223" t="str">
        <f t="shared" si="58"/>
        <v>1</v>
      </c>
      <c r="AQ56" s="223" t="str">
        <f t="shared" si="59"/>
        <v>1</v>
      </c>
      <c r="AR56" s="223" t="str">
        <f t="shared" si="60"/>
        <v>1</v>
      </c>
      <c r="AS56" s="223" t="str">
        <f t="shared" si="61"/>
        <v>1</v>
      </c>
      <c r="AT56" s="223" t="str">
        <f t="shared" si="62"/>
        <v>1</v>
      </c>
      <c r="AU56" s="223" t="str">
        <f t="shared" si="63"/>
        <v>1</v>
      </c>
      <c r="AV56" s="223" t="str">
        <f t="shared" si="64"/>
        <v>1</v>
      </c>
      <c r="AW56" s="223" t="str">
        <f t="shared" si="65"/>
        <v>1</v>
      </c>
      <c r="AX56" s="223" t="str">
        <f t="shared" si="66"/>
        <v>1</v>
      </c>
      <c r="AY56" s="223" t="str">
        <f t="shared" si="67"/>
        <v>1</v>
      </c>
    </row>
    <row r="57" spans="1:51" ht="22.5" x14ac:dyDescent="0.25">
      <c r="A57" s="214">
        <v>55</v>
      </c>
      <c r="B57" s="254" t="s">
        <v>47</v>
      </c>
      <c r="C57" s="145" t="s">
        <v>48</v>
      </c>
      <c r="D57" s="152">
        <v>2012</v>
      </c>
      <c r="E57" s="147">
        <v>41208</v>
      </c>
      <c r="F57" s="222">
        <f t="shared" si="0"/>
        <v>10</v>
      </c>
      <c r="G57" s="222" t="str">
        <f t="shared" si="1"/>
        <v>102012</v>
      </c>
      <c r="H57" s="222" t="str">
        <f t="shared" si="2"/>
        <v>octubre</v>
      </c>
      <c r="I57" s="126" t="str">
        <f>VLOOKUP(B57,'Base de Datos'!$E$7:$T$271,14,0)</f>
        <v/>
      </c>
      <c r="J57" s="224" t="e">
        <f t="shared" si="3"/>
        <v>#VALUE!</v>
      </c>
      <c r="K57" s="223" t="e">
        <f t="shared" si="4"/>
        <v>#VALUE!</v>
      </c>
      <c r="L57" s="223" t="e">
        <f t="shared" si="5"/>
        <v>#VALUE!</v>
      </c>
      <c r="M57" s="223" t="str">
        <f t="shared" si="6"/>
        <v/>
      </c>
      <c r="N57" s="223" t="e">
        <f t="shared" ca="1" si="7"/>
        <v>#VALUE!</v>
      </c>
      <c r="O57" s="268" t="e">
        <f t="shared" ca="1" si="8"/>
        <v>#VALUE!</v>
      </c>
      <c r="P57" s="268" t="str">
        <f t="shared" si="41"/>
        <v/>
      </c>
      <c r="Q57" s="268" t="str">
        <f t="shared" si="9"/>
        <v/>
      </c>
      <c r="R57" s="268" t="str">
        <f t="shared" si="10"/>
        <v/>
      </c>
      <c r="S57" s="268" t="str">
        <f t="shared" si="11"/>
        <v/>
      </c>
      <c r="T57" s="268" t="str">
        <f t="shared" si="12"/>
        <v/>
      </c>
      <c r="U57" s="268" t="str">
        <f t="shared" si="13"/>
        <v/>
      </c>
      <c r="V57" s="268" t="str">
        <f t="shared" si="43"/>
        <v/>
      </c>
      <c r="W57" s="268" t="str">
        <f t="shared" si="14"/>
        <v/>
      </c>
      <c r="X57" s="268" t="str">
        <f t="shared" si="15"/>
        <v/>
      </c>
      <c r="Y57" s="268" t="str">
        <f t="shared" si="42"/>
        <v>1</v>
      </c>
      <c r="Z57" s="268" t="str">
        <f t="shared" si="16"/>
        <v>1</v>
      </c>
      <c r="AA57" s="268" t="str">
        <f t="shared" si="47"/>
        <v>1</v>
      </c>
      <c r="AB57" s="268" t="str">
        <f t="shared" si="45"/>
        <v>1</v>
      </c>
      <c r="AC57" s="268" t="str">
        <f t="shared" si="46"/>
        <v>1</v>
      </c>
      <c r="AD57" s="268" t="str">
        <f t="shared" si="48"/>
        <v>1</v>
      </c>
      <c r="AE57" s="268" t="str">
        <f t="shared" si="49"/>
        <v>1</v>
      </c>
      <c r="AF57" s="268" t="str">
        <f t="shared" si="68"/>
        <v>1</v>
      </c>
      <c r="AG57" s="268" t="str">
        <f t="shared" si="69"/>
        <v>1</v>
      </c>
      <c r="AH57" s="268">
        <v>1</v>
      </c>
      <c r="AI57" s="268" t="str">
        <f t="shared" si="51"/>
        <v>1</v>
      </c>
      <c r="AJ57" s="268" t="str">
        <f t="shared" si="52"/>
        <v>1</v>
      </c>
      <c r="AK57" s="268" t="str">
        <f t="shared" si="53"/>
        <v>1</v>
      </c>
      <c r="AL57" s="268" t="str">
        <f t="shared" si="54"/>
        <v>1</v>
      </c>
      <c r="AM57" s="268" t="str">
        <f t="shared" si="55"/>
        <v>1</v>
      </c>
      <c r="AN57" s="223" t="str">
        <f t="shared" si="56"/>
        <v>1</v>
      </c>
      <c r="AO57" s="223" t="str">
        <f t="shared" si="57"/>
        <v>1</v>
      </c>
      <c r="AP57" s="223" t="str">
        <f t="shared" si="58"/>
        <v>1</v>
      </c>
      <c r="AQ57" s="223" t="str">
        <f t="shared" si="59"/>
        <v>1</v>
      </c>
      <c r="AR57" s="223" t="str">
        <f t="shared" si="60"/>
        <v>1</v>
      </c>
      <c r="AS57" s="223" t="str">
        <f t="shared" si="61"/>
        <v>1</v>
      </c>
      <c r="AT57" s="223" t="str">
        <f t="shared" si="62"/>
        <v>1</v>
      </c>
      <c r="AU57" s="223" t="str">
        <f t="shared" si="63"/>
        <v>1</v>
      </c>
      <c r="AV57" s="223" t="str">
        <f t="shared" si="64"/>
        <v>1</v>
      </c>
      <c r="AW57" s="223" t="str">
        <f t="shared" si="65"/>
        <v>1</v>
      </c>
      <c r="AX57" s="223" t="str">
        <f t="shared" si="66"/>
        <v>1</v>
      </c>
      <c r="AY57" s="223" t="str">
        <f t="shared" si="67"/>
        <v>1</v>
      </c>
    </row>
    <row r="58" spans="1:51" ht="22.5" x14ac:dyDescent="0.25">
      <c r="A58" s="214">
        <v>56</v>
      </c>
      <c r="B58" s="250" t="s">
        <v>65</v>
      </c>
      <c r="C58" s="132" t="s">
        <v>66</v>
      </c>
      <c r="D58" s="152">
        <v>2012</v>
      </c>
      <c r="E58" s="138">
        <v>41202</v>
      </c>
      <c r="F58" s="222">
        <f t="shared" si="0"/>
        <v>10</v>
      </c>
      <c r="G58" s="222" t="str">
        <f t="shared" si="1"/>
        <v>102012</v>
      </c>
      <c r="H58" s="222" t="str">
        <f t="shared" si="2"/>
        <v>octubre</v>
      </c>
      <c r="I58" s="126" t="str">
        <f>VLOOKUP(B58,'Base de Datos'!$E$7:$T$271,14,0)</f>
        <v>41 días</v>
      </c>
      <c r="J58" s="224" t="e">
        <f t="shared" si="3"/>
        <v>#VALUE!</v>
      </c>
      <c r="K58" s="223" t="e">
        <f t="shared" si="4"/>
        <v>#VALUE!</v>
      </c>
      <c r="L58" s="223" t="e">
        <f t="shared" si="5"/>
        <v>#VALUE!</v>
      </c>
      <c r="M58" s="223" t="str">
        <f t="shared" si="6"/>
        <v>41 días</v>
      </c>
      <c r="N58" s="223" t="e">
        <f t="shared" ca="1" si="7"/>
        <v>#VALUE!</v>
      </c>
      <c r="O58" s="268" t="e">
        <f t="shared" ca="1" si="8"/>
        <v>#VALUE!</v>
      </c>
      <c r="P58" s="268" t="str">
        <f t="shared" si="41"/>
        <v/>
      </c>
      <c r="Q58" s="268" t="str">
        <f t="shared" si="9"/>
        <v/>
      </c>
      <c r="R58" s="268" t="str">
        <f t="shared" si="10"/>
        <v/>
      </c>
      <c r="S58" s="268" t="str">
        <f t="shared" si="11"/>
        <v/>
      </c>
      <c r="T58" s="268" t="str">
        <f t="shared" si="12"/>
        <v/>
      </c>
      <c r="U58" s="268" t="str">
        <f t="shared" si="13"/>
        <v/>
      </c>
      <c r="V58" s="268" t="str">
        <f t="shared" si="43"/>
        <v/>
      </c>
      <c r="W58" s="268" t="str">
        <f t="shared" si="14"/>
        <v/>
      </c>
      <c r="X58" s="268" t="str">
        <f t="shared" si="15"/>
        <v/>
      </c>
      <c r="Y58" s="268" t="str">
        <f t="shared" si="42"/>
        <v>1</v>
      </c>
      <c r="Z58" s="268" t="str">
        <f t="shared" si="16"/>
        <v>1</v>
      </c>
      <c r="AA58" s="268" t="str">
        <f t="shared" si="47"/>
        <v>1</v>
      </c>
      <c r="AB58" s="268" t="str">
        <f t="shared" si="45"/>
        <v>1</v>
      </c>
      <c r="AC58" s="268" t="str">
        <f t="shared" si="46"/>
        <v>1</v>
      </c>
      <c r="AD58" s="268" t="str">
        <f t="shared" si="48"/>
        <v>1</v>
      </c>
      <c r="AE58" s="268" t="str">
        <f t="shared" si="49"/>
        <v>1</v>
      </c>
      <c r="AF58" s="268" t="str">
        <f t="shared" si="68"/>
        <v>1</v>
      </c>
      <c r="AG58" s="268" t="str">
        <f t="shared" si="69"/>
        <v>1</v>
      </c>
      <c r="AH58" s="268">
        <v>1</v>
      </c>
      <c r="AI58" s="268" t="str">
        <f t="shared" si="51"/>
        <v>1</v>
      </c>
      <c r="AJ58" s="268" t="str">
        <f t="shared" si="52"/>
        <v>1</v>
      </c>
      <c r="AK58" s="268" t="str">
        <f t="shared" si="53"/>
        <v>1</v>
      </c>
      <c r="AL58" s="268" t="str">
        <f t="shared" si="54"/>
        <v>1</v>
      </c>
      <c r="AM58" s="268" t="str">
        <f t="shared" si="55"/>
        <v>1</v>
      </c>
      <c r="AN58" s="223" t="str">
        <f t="shared" si="56"/>
        <v>1</v>
      </c>
      <c r="AO58" s="223" t="str">
        <f t="shared" si="57"/>
        <v>1</v>
      </c>
      <c r="AP58" s="223" t="str">
        <f t="shared" si="58"/>
        <v>1</v>
      </c>
      <c r="AQ58" s="223" t="str">
        <f t="shared" si="59"/>
        <v>1</v>
      </c>
      <c r="AR58" s="223" t="str">
        <f t="shared" si="60"/>
        <v>1</v>
      </c>
      <c r="AS58" s="223" t="str">
        <f t="shared" si="61"/>
        <v>1</v>
      </c>
      <c r="AT58" s="223" t="str">
        <f t="shared" si="62"/>
        <v>1</v>
      </c>
      <c r="AU58" s="223" t="str">
        <f t="shared" si="63"/>
        <v>1</v>
      </c>
      <c r="AV58" s="223" t="str">
        <f t="shared" si="64"/>
        <v>1</v>
      </c>
      <c r="AW58" s="223" t="str">
        <f t="shared" si="65"/>
        <v>1</v>
      </c>
      <c r="AX58" s="223" t="str">
        <f t="shared" si="66"/>
        <v>1</v>
      </c>
      <c r="AY58" s="223" t="str">
        <f t="shared" si="67"/>
        <v>1</v>
      </c>
    </row>
    <row r="59" spans="1:51" ht="22.5" x14ac:dyDescent="0.25">
      <c r="A59" s="214">
        <v>57</v>
      </c>
      <c r="B59" s="250" t="s">
        <v>141</v>
      </c>
      <c r="C59" s="132" t="s">
        <v>142</v>
      </c>
      <c r="D59" s="156">
        <v>2013</v>
      </c>
      <c r="E59" s="138">
        <v>41457</v>
      </c>
      <c r="F59" s="222">
        <f t="shared" si="0"/>
        <v>7</v>
      </c>
      <c r="G59" s="222" t="str">
        <f t="shared" si="1"/>
        <v>72013</v>
      </c>
      <c r="H59" s="222" t="str">
        <f t="shared" si="2"/>
        <v>julio</v>
      </c>
      <c r="I59" s="126" t="str">
        <f>VLOOKUP(B59,'Base de Datos'!$E$7:$T$271,14,0)</f>
        <v/>
      </c>
      <c r="J59" s="224" t="e">
        <f t="shared" si="3"/>
        <v>#VALUE!</v>
      </c>
      <c r="K59" s="223" t="e">
        <f t="shared" si="4"/>
        <v>#VALUE!</v>
      </c>
      <c r="L59" s="223" t="e">
        <f t="shared" si="5"/>
        <v>#VALUE!</v>
      </c>
      <c r="M59" s="223" t="str">
        <f t="shared" si="6"/>
        <v/>
      </c>
      <c r="N59" s="223" t="e">
        <f t="shared" ca="1" si="7"/>
        <v>#VALUE!</v>
      </c>
      <c r="O59" s="268" t="e">
        <f t="shared" ca="1" si="8"/>
        <v>#VALUE!</v>
      </c>
      <c r="P59" s="268" t="str">
        <f t="shared" si="41"/>
        <v/>
      </c>
      <c r="Q59" s="268" t="str">
        <f t="shared" si="9"/>
        <v/>
      </c>
      <c r="R59" s="268" t="str">
        <f t="shared" si="10"/>
        <v/>
      </c>
      <c r="S59" s="268" t="str">
        <f t="shared" si="11"/>
        <v/>
      </c>
      <c r="T59" s="268" t="str">
        <f t="shared" si="12"/>
        <v/>
      </c>
      <c r="U59" s="268" t="str">
        <f t="shared" si="13"/>
        <v/>
      </c>
      <c r="V59" s="268" t="str">
        <f t="shared" si="43"/>
        <v/>
      </c>
      <c r="W59" s="268" t="str">
        <f t="shared" si="14"/>
        <v/>
      </c>
      <c r="X59" s="268" t="str">
        <f t="shared" si="15"/>
        <v/>
      </c>
      <c r="Y59" s="268" t="str">
        <f t="shared" si="42"/>
        <v/>
      </c>
      <c r="Z59" s="268" t="str">
        <f t="shared" si="16"/>
        <v/>
      </c>
      <c r="AA59" s="268" t="str">
        <f t="shared" si="47"/>
        <v/>
      </c>
      <c r="AB59" s="268" t="str">
        <f t="shared" si="45"/>
        <v/>
      </c>
      <c r="AC59" s="268" t="str">
        <f t="shared" si="46"/>
        <v/>
      </c>
      <c r="AD59" s="268" t="str">
        <f t="shared" si="48"/>
        <v/>
      </c>
      <c r="AE59" s="268" t="str">
        <f t="shared" si="49"/>
        <v/>
      </c>
      <c r="AF59" s="268" t="str">
        <f t="shared" si="68"/>
        <v/>
      </c>
      <c r="AG59" s="268" t="str">
        <f t="shared" si="69"/>
        <v/>
      </c>
      <c r="AH59" s="268" t="str">
        <f t="shared" ref="AH59:AH122" si="70">IF(AND(E59&lt;$AH$2,I59&gt;$AH$2),"1","")</f>
        <v>1</v>
      </c>
      <c r="AI59" s="268">
        <v>1</v>
      </c>
      <c r="AJ59" s="268" t="str">
        <f t="shared" si="52"/>
        <v>1</v>
      </c>
      <c r="AK59" s="268" t="str">
        <f t="shared" si="53"/>
        <v>1</v>
      </c>
      <c r="AL59" s="268" t="str">
        <f t="shared" si="54"/>
        <v>1</v>
      </c>
      <c r="AM59" s="268" t="str">
        <f t="shared" si="55"/>
        <v>1</v>
      </c>
      <c r="AN59" s="223" t="str">
        <f t="shared" si="56"/>
        <v>1</v>
      </c>
      <c r="AO59" s="223" t="str">
        <f t="shared" si="57"/>
        <v>1</v>
      </c>
      <c r="AP59" s="223" t="str">
        <f t="shared" si="58"/>
        <v>1</v>
      </c>
      <c r="AQ59" s="223" t="str">
        <f t="shared" si="59"/>
        <v>1</v>
      </c>
      <c r="AR59" s="223" t="str">
        <f t="shared" si="60"/>
        <v>1</v>
      </c>
      <c r="AS59" s="223" t="str">
        <f t="shared" si="61"/>
        <v>1</v>
      </c>
      <c r="AT59" s="223" t="str">
        <f t="shared" si="62"/>
        <v>1</v>
      </c>
      <c r="AU59" s="223" t="str">
        <f t="shared" si="63"/>
        <v>1</v>
      </c>
      <c r="AV59" s="223" t="str">
        <f t="shared" si="64"/>
        <v>1</v>
      </c>
      <c r="AW59" s="223" t="str">
        <f t="shared" si="65"/>
        <v>1</v>
      </c>
      <c r="AX59" s="223" t="str">
        <f t="shared" si="66"/>
        <v>1</v>
      </c>
      <c r="AY59" s="223" t="str">
        <f t="shared" si="67"/>
        <v>1</v>
      </c>
    </row>
    <row r="60" spans="1:51" ht="22.5" x14ac:dyDescent="0.25">
      <c r="A60" s="214">
        <v>58</v>
      </c>
      <c r="B60" s="254" t="s">
        <v>71</v>
      </c>
      <c r="C60" s="145" t="s">
        <v>1029</v>
      </c>
      <c r="D60" s="156">
        <v>2012</v>
      </c>
      <c r="E60" s="149">
        <v>41325</v>
      </c>
      <c r="F60" s="222">
        <f t="shared" si="0"/>
        <v>2</v>
      </c>
      <c r="G60" s="222" t="str">
        <f t="shared" si="1"/>
        <v>22012</v>
      </c>
      <c r="H60" s="222" t="str">
        <f t="shared" si="2"/>
        <v>febrero</v>
      </c>
      <c r="I60" s="126" t="str">
        <f>VLOOKUP(B60,'Base de Datos'!$E$7:$T$271,14,0)</f>
        <v/>
      </c>
      <c r="J60" s="224" t="e">
        <f t="shared" si="3"/>
        <v>#VALUE!</v>
      </c>
      <c r="K60" s="223" t="e">
        <f t="shared" si="4"/>
        <v>#VALUE!</v>
      </c>
      <c r="L60" s="223" t="e">
        <f t="shared" si="5"/>
        <v>#VALUE!</v>
      </c>
      <c r="M60" s="223" t="str">
        <f t="shared" si="6"/>
        <v/>
      </c>
      <c r="N60" s="223" t="e">
        <f t="shared" ca="1" si="7"/>
        <v>#VALUE!</v>
      </c>
      <c r="O60" s="268" t="e">
        <f t="shared" ca="1" si="8"/>
        <v>#VALUE!</v>
      </c>
      <c r="P60" s="268" t="str">
        <f t="shared" si="41"/>
        <v/>
      </c>
      <c r="Q60" s="268" t="str">
        <f t="shared" si="9"/>
        <v/>
      </c>
      <c r="R60" s="268" t="str">
        <f t="shared" si="10"/>
        <v/>
      </c>
      <c r="S60" s="268" t="str">
        <f t="shared" si="11"/>
        <v/>
      </c>
      <c r="T60" s="268" t="str">
        <f t="shared" si="12"/>
        <v/>
      </c>
      <c r="U60" s="268" t="str">
        <f t="shared" si="13"/>
        <v/>
      </c>
      <c r="V60" s="268" t="str">
        <f t="shared" si="43"/>
        <v/>
      </c>
      <c r="W60" s="268" t="str">
        <f t="shared" si="14"/>
        <v/>
      </c>
      <c r="X60" s="268" t="str">
        <f t="shared" si="15"/>
        <v/>
      </c>
      <c r="Y60" s="268" t="str">
        <f t="shared" si="42"/>
        <v/>
      </c>
      <c r="Z60" s="268" t="str">
        <f t="shared" si="16"/>
        <v/>
      </c>
      <c r="AA60" s="268" t="str">
        <f t="shared" si="47"/>
        <v/>
      </c>
      <c r="AB60" s="268" t="str">
        <f t="shared" si="45"/>
        <v/>
      </c>
      <c r="AC60" s="268" t="str">
        <f t="shared" si="46"/>
        <v>1</v>
      </c>
      <c r="AD60" s="268" t="str">
        <f t="shared" si="48"/>
        <v>1</v>
      </c>
      <c r="AE60" s="268" t="str">
        <f t="shared" si="49"/>
        <v>1</v>
      </c>
      <c r="AF60" s="268" t="str">
        <f t="shared" si="68"/>
        <v>1</v>
      </c>
      <c r="AG60" s="268" t="str">
        <f t="shared" si="69"/>
        <v>1</v>
      </c>
      <c r="AH60" s="268" t="str">
        <f t="shared" si="70"/>
        <v>1</v>
      </c>
      <c r="AI60" s="268">
        <v>1</v>
      </c>
      <c r="AJ60" s="268" t="str">
        <f t="shared" si="52"/>
        <v>1</v>
      </c>
      <c r="AK60" s="268" t="str">
        <f t="shared" si="53"/>
        <v>1</v>
      </c>
      <c r="AL60" s="268" t="str">
        <f t="shared" si="54"/>
        <v>1</v>
      </c>
      <c r="AM60" s="268" t="str">
        <f t="shared" si="55"/>
        <v>1</v>
      </c>
      <c r="AN60" s="223" t="str">
        <f t="shared" si="56"/>
        <v>1</v>
      </c>
      <c r="AO60" s="223" t="str">
        <f t="shared" si="57"/>
        <v>1</v>
      </c>
      <c r="AP60" s="223" t="str">
        <f t="shared" si="58"/>
        <v>1</v>
      </c>
      <c r="AQ60" s="223" t="str">
        <f t="shared" si="59"/>
        <v>1</v>
      </c>
      <c r="AR60" s="223" t="str">
        <f t="shared" si="60"/>
        <v>1</v>
      </c>
      <c r="AS60" s="223" t="str">
        <f t="shared" si="61"/>
        <v>1</v>
      </c>
      <c r="AT60" s="223" t="str">
        <f t="shared" si="62"/>
        <v>1</v>
      </c>
      <c r="AU60" s="223" t="str">
        <f t="shared" si="63"/>
        <v>1</v>
      </c>
      <c r="AV60" s="223" t="str">
        <f t="shared" si="64"/>
        <v>1</v>
      </c>
      <c r="AW60" s="223" t="str">
        <f t="shared" si="65"/>
        <v>1</v>
      </c>
      <c r="AX60" s="223" t="str">
        <f t="shared" si="66"/>
        <v>1</v>
      </c>
      <c r="AY60" s="223" t="str">
        <f t="shared" si="67"/>
        <v>1</v>
      </c>
    </row>
    <row r="61" spans="1:51" ht="33.75" x14ac:dyDescent="0.25">
      <c r="A61" s="214">
        <v>59</v>
      </c>
      <c r="B61" s="250" t="s">
        <v>94</v>
      </c>
      <c r="C61" s="132" t="s">
        <v>433</v>
      </c>
      <c r="D61" s="156">
        <v>2013</v>
      </c>
      <c r="E61" s="136">
        <v>41411</v>
      </c>
      <c r="F61" s="222">
        <f t="shared" si="0"/>
        <v>5</v>
      </c>
      <c r="G61" s="222" t="str">
        <f t="shared" si="1"/>
        <v>52013</v>
      </c>
      <c r="H61" s="222" t="str">
        <f t="shared" si="2"/>
        <v>mayo</v>
      </c>
      <c r="I61" s="126" t="str">
        <f>VLOOKUP(B61,'Base de Datos'!$E$7:$T$271,14,0)</f>
        <v>1 mes</v>
      </c>
      <c r="J61" s="224" t="e">
        <f t="shared" si="3"/>
        <v>#VALUE!</v>
      </c>
      <c r="K61" s="223" t="e">
        <f t="shared" si="4"/>
        <v>#VALUE!</v>
      </c>
      <c r="L61" s="223" t="e">
        <f t="shared" si="5"/>
        <v>#VALUE!</v>
      </c>
      <c r="M61" s="223" t="str">
        <f t="shared" si="6"/>
        <v>1 mes</v>
      </c>
      <c r="N61" s="223" t="e">
        <f t="shared" ca="1" si="7"/>
        <v>#VALUE!</v>
      </c>
      <c r="O61" s="268" t="e">
        <f t="shared" ca="1" si="8"/>
        <v>#VALUE!</v>
      </c>
      <c r="P61" s="268" t="str">
        <f t="shared" si="41"/>
        <v/>
      </c>
      <c r="Q61" s="268" t="str">
        <f t="shared" si="9"/>
        <v/>
      </c>
      <c r="R61" s="268" t="str">
        <f t="shared" si="10"/>
        <v/>
      </c>
      <c r="S61" s="268" t="str">
        <f t="shared" si="11"/>
        <v/>
      </c>
      <c r="T61" s="268" t="str">
        <f t="shared" si="12"/>
        <v/>
      </c>
      <c r="U61" s="268" t="str">
        <f t="shared" si="13"/>
        <v/>
      </c>
      <c r="V61" s="268" t="str">
        <f t="shared" si="43"/>
        <v/>
      </c>
      <c r="W61" s="268" t="str">
        <f t="shared" si="14"/>
        <v/>
      </c>
      <c r="X61" s="268" t="str">
        <f t="shared" si="15"/>
        <v/>
      </c>
      <c r="Y61" s="268" t="str">
        <f t="shared" si="42"/>
        <v/>
      </c>
      <c r="Z61" s="268" t="str">
        <f t="shared" si="16"/>
        <v/>
      </c>
      <c r="AA61" s="268" t="str">
        <f t="shared" si="47"/>
        <v/>
      </c>
      <c r="AB61" s="268" t="str">
        <f t="shared" si="45"/>
        <v/>
      </c>
      <c r="AC61" s="268" t="str">
        <f t="shared" si="46"/>
        <v/>
      </c>
      <c r="AD61" s="268" t="str">
        <f t="shared" si="48"/>
        <v/>
      </c>
      <c r="AE61" s="268" t="str">
        <f t="shared" si="49"/>
        <v/>
      </c>
      <c r="AF61" s="268" t="str">
        <f t="shared" si="68"/>
        <v>1</v>
      </c>
      <c r="AG61" s="268" t="str">
        <f t="shared" si="69"/>
        <v>1</v>
      </c>
      <c r="AH61" s="268" t="str">
        <f t="shared" si="70"/>
        <v>1</v>
      </c>
      <c r="AI61" s="268">
        <v>1</v>
      </c>
      <c r="AJ61" s="268" t="str">
        <f t="shared" si="52"/>
        <v>1</v>
      </c>
      <c r="AK61" s="268" t="str">
        <f t="shared" si="53"/>
        <v>1</v>
      </c>
      <c r="AL61" s="268" t="str">
        <f t="shared" si="54"/>
        <v>1</v>
      </c>
      <c r="AM61" s="268" t="str">
        <f t="shared" si="55"/>
        <v>1</v>
      </c>
      <c r="AN61" s="223" t="str">
        <f t="shared" si="56"/>
        <v>1</v>
      </c>
      <c r="AO61" s="223" t="str">
        <f t="shared" si="57"/>
        <v>1</v>
      </c>
      <c r="AP61" s="223" t="str">
        <f t="shared" si="58"/>
        <v>1</v>
      </c>
      <c r="AQ61" s="223" t="str">
        <f t="shared" si="59"/>
        <v>1</v>
      </c>
      <c r="AR61" s="223" t="str">
        <f t="shared" si="60"/>
        <v>1</v>
      </c>
      <c r="AS61" s="223" t="str">
        <f t="shared" si="61"/>
        <v>1</v>
      </c>
      <c r="AT61" s="223" t="str">
        <f t="shared" si="62"/>
        <v>1</v>
      </c>
      <c r="AU61" s="223" t="str">
        <f t="shared" si="63"/>
        <v>1</v>
      </c>
      <c r="AV61" s="223" t="str">
        <f t="shared" si="64"/>
        <v>1</v>
      </c>
      <c r="AW61" s="223" t="str">
        <f t="shared" si="65"/>
        <v>1</v>
      </c>
      <c r="AX61" s="223" t="str">
        <f t="shared" si="66"/>
        <v>1</v>
      </c>
      <c r="AY61" s="223" t="str">
        <f t="shared" si="67"/>
        <v>1</v>
      </c>
    </row>
    <row r="62" spans="1:51" ht="22.5" x14ac:dyDescent="0.25">
      <c r="A62" s="214">
        <v>60</v>
      </c>
      <c r="B62" s="250" t="s">
        <v>21</v>
      </c>
      <c r="C62" s="132" t="s">
        <v>22</v>
      </c>
      <c r="D62" s="152">
        <v>2012</v>
      </c>
      <c r="E62" s="138">
        <v>41087</v>
      </c>
      <c r="F62" s="222">
        <f t="shared" si="0"/>
        <v>6</v>
      </c>
      <c r="G62" s="222" t="str">
        <f t="shared" si="1"/>
        <v>62012</v>
      </c>
      <c r="H62" s="222" t="str">
        <f t="shared" si="2"/>
        <v>junio</v>
      </c>
      <c r="I62" s="126" t="str">
        <f>VLOOKUP(B62,'Base de Datos'!$E$7:$T$271,14,0)</f>
        <v>2 meses</v>
      </c>
      <c r="J62" s="224" t="e">
        <f t="shared" si="3"/>
        <v>#VALUE!</v>
      </c>
      <c r="K62" s="223" t="e">
        <f t="shared" si="4"/>
        <v>#VALUE!</v>
      </c>
      <c r="L62" s="223" t="e">
        <f t="shared" si="5"/>
        <v>#VALUE!</v>
      </c>
      <c r="M62" s="223" t="str">
        <f t="shared" si="6"/>
        <v>2 meses</v>
      </c>
      <c r="N62" s="223" t="e">
        <f t="shared" ca="1" si="7"/>
        <v>#VALUE!</v>
      </c>
      <c r="O62" s="268" t="e">
        <f t="shared" ca="1" si="8"/>
        <v>#VALUE!</v>
      </c>
      <c r="P62" s="268" t="str">
        <f t="shared" si="41"/>
        <v/>
      </c>
      <c r="Q62" s="268" t="str">
        <f t="shared" si="9"/>
        <v/>
      </c>
      <c r="R62" s="268" t="str">
        <f t="shared" si="10"/>
        <v/>
      </c>
      <c r="S62" s="268" t="str">
        <f t="shared" si="11"/>
        <v/>
      </c>
      <c r="T62" s="268" t="str">
        <f t="shared" si="12"/>
        <v/>
      </c>
      <c r="U62" s="268" t="str">
        <f t="shared" si="13"/>
        <v>1</v>
      </c>
      <c r="V62" s="268" t="str">
        <f t="shared" si="43"/>
        <v>1</v>
      </c>
      <c r="W62" s="268" t="str">
        <f t="shared" si="14"/>
        <v>1</v>
      </c>
      <c r="X62" s="268" t="str">
        <f t="shared" si="15"/>
        <v>1</v>
      </c>
      <c r="Y62" s="268" t="str">
        <f t="shared" si="42"/>
        <v>1</v>
      </c>
      <c r="Z62" s="268" t="str">
        <f t="shared" si="16"/>
        <v>1</v>
      </c>
      <c r="AA62" s="268" t="str">
        <f t="shared" si="47"/>
        <v>1</v>
      </c>
      <c r="AB62" s="268" t="str">
        <f t="shared" si="45"/>
        <v>1</v>
      </c>
      <c r="AC62" s="268" t="str">
        <f t="shared" si="46"/>
        <v>1</v>
      </c>
      <c r="AD62" s="268" t="str">
        <f t="shared" si="48"/>
        <v>1</v>
      </c>
      <c r="AE62" s="268" t="str">
        <f t="shared" si="49"/>
        <v>1</v>
      </c>
      <c r="AF62" s="268" t="str">
        <f t="shared" si="68"/>
        <v>1</v>
      </c>
      <c r="AG62" s="268" t="str">
        <f t="shared" si="69"/>
        <v>1</v>
      </c>
      <c r="AH62" s="268" t="str">
        <f t="shared" si="70"/>
        <v>1</v>
      </c>
      <c r="AI62" s="268">
        <v>1</v>
      </c>
      <c r="AJ62" s="268" t="str">
        <f t="shared" si="52"/>
        <v>1</v>
      </c>
      <c r="AK62" s="268" t="str">
        <f t="shared" si="53"/>
        <v>1</v>
      </c>
      <c r="AL62" s="268" t="str">
        <f t="shared" si="54"/>
        <v>1</v>
      </c>
      <c r="AM62" s="268" t="str">
        <f t="shared" si="55"/>
        <v>1</v>
      </c>
      <c r="AN62" s="223" t="str">
        <f t="shared" si="56"/>
        <v>1</v>
      </c>
      <c r="AO62" s="223" t="str">
        <f t="shared" si="57"/>
        <v>1</v>
      </c>
      <c r="AP62" s="223" t="str">
        <f t="shared" si="58"/>
        <v>1</v>
      </c>
      <c r="AQ62" s="223" t="str">
        <f t="shared" si="59"/>
        <v>1</v>
      </c>
      <c r="AR62" s="223" t="str">
        <f t="shared" si="60"/>
        <v>1</v>
      </c>
      <c r="AS62" s="223" t="str">
        <f t="shared" si="61"/>
        <v>1</v>
      </c>
      <c r="AT62" s="223" t="str">
        <f t="shared" si="62"/>
        <v>1</v>
      </c>
      <c r="AU62" s="223" t="str">
        <f t="shared" si="63"/>
        <v>1</v>
      </c>
      <c r="AV62" s="223" t="str">
        <f t="shared" si="64"/>
        <v>1</v>
      </c>
      <c r="AW62" s="223" t="str">
        <f t="shared" si="65"/>
        <v>1</v>
      </c>
      <c r="AX62" s="223" t="str">
        <f t="shared" si="66"/>
        <v>1</v>
      </c>
      <c r="AY62" s="223" t="str">
        <f t="shared" si="67"/>
        <v>1</v>
      </c>
    </row>
    <row r="63" spans="1:51" ht="22.5" x14ac:dyDescent="0.25">
      <c r="A63" s="214">
        <v>61</v>
      </c>
      <c r="B63" s="250" t="s">
        <v>423</v>
      </c>
      <c r="C63" s="132" t="s">
        <v>13</v>
      </c>
      <c r="D63" s="152">
        <v>2012</v>
      </c>
      <c r="E63" s="138">
        <v>41162</v>
      </c>
      <c r="F63" s="222">
        <f t="shared" si="0"/>
        <v>9</v>
      </c>
      <c r="G63" s="222" t="str">
        <f t="shared" si="1"/>
        <v>92012</v>
      </c>
      <c r="H63" s="222" t="str">
        <f t="shared" si="2"/>
        <v>septiembre</v>
      </c>
      <c r="I63" s="126" t="str">
        <f>VLOOKUP(B63,'Base de Datos'!$E$7:$T$271,14,0)</f>
        <v/>
      </c>
      <c r="J63" s="224" t="e">
        <f t="shared" si="3"/>
        <v>#VALUE!</v>
      </c>
      <c r="K63" s="223" t="e">
        <f t="shared" si="4"/>
        <v>#VALUE!</v>
      </c>
      <c r="L63" s="223" t="e">
        <f t="shared" si="5"/>
        <v>#VALUE!</v>
      </c>
      <c r="M63" s="223" t="str">
        <f t="shared" si="6"/>
        <v/>
      </c>
      <c r="N63" s="223" t="e">
        <f t="shared" ca="1" si="7"/>
        <v>#VALUE!</v>
      </c>
      <c r="O63" s="268" t="e">
        <f t="shared" ca="1" si="8"/>
        <v>#VALUE!</v>
      </c>
      <c r="P63" s="268" t="str">
        <f t="shared" si="41"/>
        <v/>
      </c>
      <c r="Q63" s="268" t="str">
        <f t="shared" si="9"/>
        <v/>
      </c>
      <c r="R63" s="268" t="str">
        <f t="shared" si="10"/>
        <v/>
      </c>
      <c r="S63" s="268" t="str">
        <f t="shared" si="11"/>
        <v/>
      </c>
      <c r="T63" s="268" t="str">
        <f t="shared" si="12"/>
        <v/>
      </c>
      <c r="U63" s="268" t="str">
        <f t="shared" si="13"/>
        <v/>
      </c>
      <c r="V63" s="268" t="str">
        <f t="shared" si="43"/>
        <v/>
      </c>
      <c r="W63" s="268" t="str">
        <f t="shared" si="14"/>
        <v/>
      </c>
      <c r="X63" s="268" t="str">
        <f t="shared" si="15"/>
        <v>1</v>
      </c>
      <c r="Y63" s="268" t="str">
        <f t="shared" si="42"/>
        <v>1</v>
      </c>
      <c r="Z63" s="268" t="str">
        <f t="shared" si="16"/>
        <v>1</v>
      </c>
      <c r="AA63" s="268" t="str">
        <f t="shared" si="47"/>
        <v>1</v>
      </c>
      <c r="AB63" s="268" t="str">
        <f t="shared" si="45"/>
        <v>1</v>
      </c>
      <c r="AC63" s="268" t="str">
        <f t="shared" si="46"/>
        <v>1</v>
      </c>
      <c r="AD63" s="268" t="str">
        <f t="shared" si="48"/>
        <v>1</v>
      </c>
      <c r="AE63" s="268" t="str">
        <f t="shared" si="49"/>
        <v>1</v>
      </c>
      <c r="AF63" s="268" t="str">
        <f t="shared" si="68"/>
        <v>1</v>
      </c>
      <c r="AG63" s="268" t="str">
        <f t="shared" si="69"/>
        <v>1</v>
      </c>
      <c r="AH63" s="268" t="str">
        <f t="shared" si="70"/>
        <v>1</v>
      </c>
      <c r="AI63" s="268" t="str">
        <f t="shared" ref="AI63:AI94" si="71">IF(AND(E63&lt;$AI$2,I63&gt;$AI$2),"1","")</f>
        <v>1</v>
      </c>
      <c r="AJ63" s="268">
        <v>1</v>
      </c>
      <c r="AK63" s="268" t="str">
        <f t="shared" si="53"/>
        <v>1</v>
      </c>
      <c r="AL63" s="268" t="str">
        <f t="shared" si="54"/>
        <v>1</v>
      </c>
      <c r="AM63" s="268" t="str">
        <f t="shared" si="55"/>
        <v>1</v>
      </c>
      <c r="AN63" s="223" t="str">
        <f t="shared" si="56"/>
        <v>1</v>
      </c>
      <c r="AO63" s="223" t="str">
        <f t="shared" si="57"/>
        <v>1</v>
      </c>
      <c r="AP63" s="223" t="str">
        <f t="shared" si="58"/>
        <v>1</v>
      </c>
      <c r="AQ63" s="223" t="str">
        <f t="shared" si="59"/>
        <v>1</v>
      </c>
      <c r="AR63" s="223" t="str">
        <f t="shared" si="60"/>
        <v>1</v>
      </c>
      <c r="AS63" s="223" t="str">
        <f t="shared" si="61"/>
        <v>1</v>
      </c>
      <c r="AT63" s="223" t="str">
        <f t="shared" si="62"/>
        <v>1</v>
      </c>
      <c r="AU63" s="223" t="str">
        <f t="shared" si="63"/>
        <v>1</v>
      </c>
      <c r="AV63" s="223" t="str">
        <f t="shared" si="64"/>
        <v>1</v>
      </c>
      <c r="AW63" s="223" t="str">
        <f t="shared" si="65"/>
        <v>1</v>
      </c>
      <c r="AX63" s="223" t="str">
        <f t="shared" si="66"/>
        <v>1</v>
      </c>
      <c r="AY63" s="223" t="str">
        <f t="shared" si="67"/>
        <v>1</v>
      </c>
    </row>
    <row r="64" spans="1:51" ht="22.5" x14ac:dyDescent="0.25">
      <c r="A64" s="214">
        <v>62</v>
      </c>
      <c r="B64" s="250" t="s">
        <v>28</v>
      </c>
      <c r="C64" s="132" t="s">
        <v>29</v>
      </c>
      <c r="D64" s="152">
        <v>2012</v>
      </c>
      <c r="E64" s="136">
        <v>41165</v>
      </c>
      <c r="F64" s="222">
        <f t="shared" si="0"/>
        <v>9</v>
      </c>
      <c r="G64" s="222" t="str">
        <f t="shared" si="1"/>
        <v>92012</v>
      </c>
      <c r="H64" s="222" t="str">
        <f t="shared" si="2"/>
        <v>septiembre</v>
      </c>
      <c r="I64" s="126" t="str">
        <f>VLOOKUP(B64,'Base de Datos'!$E$7:$T$271,14,0)</f>
        <v/>
      </c>
      <c r="J64" s="224" t="e">
        <f t="shared" si="3"/>
        <v>#VALUE!</v>
      </c>
      <c r="K64" s="223" t="e">
        <f t="shared" si="4"/>
        <v>#VALUE!</v>
      </c>
      <c r="L64" s="223" t="e">
        <f t="shared" si="5"/>
        <v>#VALUE!</v>
      </c>
      <c r="M64" s="223" t="str">
        <f t="shared" si="6"/>
        <v/>
      </c>
      <c r="N64" s="223" t="e">
        <f t="shared" ca="1" si="7"/>
        <v>#VALUE!</v>
      </c>
      <c r="O64" s="268" t="e">
        <f t="shared" ca="1" si="8"/>
        <v>#VALUE!</v>
      </c>
      <c r="P64" s="268" t="str">
        <f t="shared" si="41"/>
        <v/>
      </c>
      <c r="Q64" s="268" t="str">
        <f t="shared" si="9"/>
        <v/>
      </c>
      <c r="R64" s="268" t="str">
        <f t="shared" si="10"/>
        <v/>
      </c>
      <c r="S64" s="268" t="str">
        <f t="shared" si="11"/>
        <v/>
      </c>
      <c r="T64" s="268" t="str">
        <f t="shared" si="12"/>
        <v/>
      </c>
      <c r="U64" s="268" t="str">
        <f t="shared" si="13"/>
        <v/>
      </c>
      <c r="V64" s="268" t="str">
        <f t="shared" si="43"/>
        <v/>
      </c>
      <c r="W64" s="268" t="str">
        <f t="shared" si="14"/>
        <v/>
      </c>
      <c r="X64" s="268" t="str">
        <f t="shared" si="15"/>
        <v>1</v>
      </c>
      <c r="Y64" s="268" t="str">
        <f t="shared" si="42"/>
        <v>1</v>
      </c>
      <c r="Z64" s="268" t="str">
        <f t="shared" si="16"/>
        <v>1</v>
      </c>
      <c r="AA64" s="268" t="str">
        <f t="shared" si="47"/>
        <v>1</v>
      </c>
      <c r="AB64" s="268" t="str">
        <f t="shared" si="45"/>
        <v>1</v>
      </c>
      <c r="AC64" s="268" t="str">
        <f t="shared" si="46"/>
        <v>1</v>
      </c>
      <c r="AD64" s="268" t="str">
        <f t="shared" si="48"/>
        <v>1</v>
      </c>
      <c r="AE64" s="268" t="str">
        <f t="shared" si="49"/>
        <v>1</v>
      </c>
      <c r="AF64" s="268" t="str">
        <f t="shared" si="68"/>
        <v>1</v>
      </c>
      <c r="AG64" s="268" t="str">
        <f t="shared" si="69"/>
        <v>1</v>
      </c>
      <c r="AH64" s="268" t="str">
        <f t="shared" si="70"/>
        <v>1</v>
      </c>
      <c r="AI64" s="268" t="str">
        <f t="shared" si="71"/>
        <v>1</v>
      </c>
      <c r="AJ64" s="268">
        <v>1</v>
      </c>
      <c r="AK64" s="268" t="str">
        <f t="shared" si="53"/>
        <v>1</v>
      </c>
      <c r="AL64" s="268" t="str">
        <f t="shared" si="54"/>
        <v>1</v>
      </c>
      <c r="AM64" s="268" t="str">
        <f t="shared" si="55"/>
        <v>1</v>
      </c>
      <c r="AN64" s="223" t="str">
        <f t="shared" si="56"/>
        <v>1</v>
      </c>
      <c r="AO64" s="223" t="str">
        <f t="shared" si="57"/>
        <v>1</v>
      </c>
      <c r="AP64" s="223" t="str">
        <f t="shared" si="58"/>
        <v>1</v>
      </c>
      <c r="AQ64" s="223" t="str">
        <f t="shared" si="59"/>
        <v>1</v>
      </c>
      <c r="AR64" s="223" t="str">
        <f t="shared" si="60"/>
        <v>1</v>
      </c>
      <c r="AS64" s="223" t="str">
        <f t="shared" si="61"/>
        <v>1</v>
      </c>
      <c r="AT64" s="223" t="str">
        <f t="shared" si="62"/>
        <v>1</v>
      </c>
      <c r="AU64" s="223" t="str">
        <f t="shared" si="63"/>
        <v>1</v>
      </c>
      <c r="AV64" s="223" t="str">
        <f t="shared" si="64"/>
        <v>1</v>
      </c>
      <c r="AW64" s="223" t="str">
        <f t="shared" si="65"/>
        <v>1</v>
      </c>
      <c r="AX64" s="223" t="str">
        <f t="shared" si="66"/>
        <v>1</v>
      </c>
      <c r="AY64" s="223" t="str">
        <f t="shared" si="67"/>
        <v>1</v>
      </c>
    </row>
    <row r="65" spans="1:51" ht="22.5" x14ac:dyDescent="0.25">
      <c r="A65" s="214">
        <v>63</v>
      </c>
      <c r="B65" s="254" t="s">
        <v>50</v>
      </c>
      <c r="C65" s="132" t="s">
        <v>1022</v>
      </c>
      <c r="D65" s="152">
        <v>2012</v>
      </c>
      <c r="E65" s="147">
        <v>41242</v>
      </c>
      <c r="F65" s="222">
        <f t="shared" si="0"/>
        <v>11</v>
      </c>
      <c r="G65" s="222" t="str">
        <f t="shared" si="1"/>
        <v>112012</v>
      </c>
      <c r="H65" s="222" t="str">
        <f t="shared" si="2"/>
        <v>noviembre</v>
      </c>
      <c r="I65" s="126" t="str">
        <f>VLOOKUP(B65,'Base de Datos'!$E$7:$T$271,14,0)</f>
        <v>9 meses</v>
      </c>
      <c r="J65" s="224" t="e">
        <f t="shared" si="3"/>
        <v>#VALUE!</v>
      </c>
      <c r="K65" s="223" t="e">
        <f t="shared" si="4"/>
        <v>#VALUE!</v>
      </c>
      <c r="L65" s="223" t="e">
        <f t="shared" si="5"/>
        <v>#VALUE!</v>
      </c>
      <c r="M65" s="223" t="str">
        <f t="shared" si="6"/>
        <v>9 meses</v>
      </c>
      <c r="N65" s="223" t="e">
        <f t="shared" ca="1" si="7"/>
        <v>#VALUE!</v>
      </c>
      <c r="O65" s="268" t="e">
        <f t="shared" ca="1" si="8"/>
        <v>#VALUE!</v>
      </c>
      <c r="P65" s="268" t="str">
        <f t="shared" si="41"/>
        <v/>
      </c>
      <c r="Q65" s="268" t="str">
        <f t="shared" si="9"/>
        <v/>
      </c>
      <c r="R65" s="268" t="str">
        <f t="shared" si="10"/>
        <v/>
      </c>
      <c r="S65" s="268" t="str">
        <f t="shared" si="11"/>
        <v/>
      </c>
      <c r="T65" s="268" t="str">
        <f t="shared" si="12"/>
        <v/>
      </c>
      <c r="U65" s="268" t="str">
        <f t="shared" si="13"/>
        <v/>
      </c>
      <c r="V65" s="268" t="str">
        <f t="shared" si="43"/>
        <v/>
      </c>
      <c r="W65" s="268" t="str">
        <f t="shared" si="14"/>
        <v/>
      </c>
      <c r="X65" s="268" t="str">
        <f t="shared" si="15"/>
        <v/>
      </c>
      <c r="Y65" s="268" t="str">
        <f t="shared" si="42"/>
        <v/>
      </c>
      <c r="Z65" s="268" t="str">
        <f t="shared" si="16"/>
        <v>1</v>
      </c>
      <c r="AA65" s="268" t="str">
        <f t="shared" si="47"/>
        <v>1</v>
      </c>
      <c r="AB65" s="268" t="str">
        <f t="shared" si="45"/>
        <v>1</v>
      </c>
      <c r="AC65" s="268" t="str">
        <f t="shared" si="46"/>
        <v>1</v>
      </c>
      <c r="AD65" s="268" t="str">
        <f t="shared" si="48"/>
        <v>1</v>
      </c>
      <c r="AE65" s="268" t="str">
        <f t="shared" si="49"/>
        <v>1</v>
      </c>
      <c r="AF65" s="268" t="str">
        <f t="shared" si="68"/>
        <v>1</v>
      </c>
      <c r="AG65" s="268" t="str">
        <f t="shared" si="69"/>
        <v>1</v>
      </c>
      <c r="AH65" s="268" t="str">
        <f t="shared" si="70"/>
        <v>1</v>
      </c>
      <c r="AI65" s="268" t="str">
        <f t="shared" si="71"/>
        <v>1</v>
      </c>
      <c r="AJ65" s="268">
        <v>1</v>
      </c>
      <c r="AK65" s="268" t="str">
        <f t="shared" si="53"/>
        <v>1</v>
      </c>
      <c r="AL65" s="268" t="str">
        <f t="shared" si="54"/>
        <v>1</v>
      </c>
      <c r="AM65" s="268" t="str">
        <f t="shared" si="55"/>
        <v>1</v>
      </c>
      <c r="AN65" s="223" t="str">
        <f t="shared" si="56"/>
        <v>1</v>
      </c>
      <c r="AO65" s="223" t="str">
        <f t="shared" si="57"/>
        <v>1</v>
      </c>
      <c r="AP65" s="223" t="str">
        <f t="shared" si="58"/>
        <v>1</v>
      </c>
      <c r="AQ65" s="223" t="str">
        <f t="shared" si="59"/>
        <v>1</v>
      </c>
      <c r="AR65" s="223" t="str">
        <f t="shared" si="60"/>
        <v>1</v>
      </c>
      <c r="AS65" s="223" t="str">
        <f t="shared" si="61"/>
        <v>1</v>
      </c>
      <c r="AT65" s="223" t="str">
        <f t="shared" si="62"/>
        <v>1</v>
      </c>
      <c r="AU65" s="223" t="str">
        <f t="shared" si="63"/>
        <v>1</v>
      </c>
      <c r="AV65" s="223" t="str">
        <f t="shared" si="64"/>
        <v>1</v>
      </c>
      <c r="AW65" s="223" t="str">
        <f t="shared" si="65"/>
        <v>1</v>
      </c>
      <c r="AX65" s="223" t="str">
        <f t="shared" si="66"/>
        <v>1</v>
      </c>
      <c r="AY65" s="223" t="str">
        <f t="shared" si="67"/>
        <v>1</v>
      </c>
    </row>
    <row r="66" spans="1:51" ht="22.5" x14ac:dyDescent="0.25">
      <c r="A66" s="214">
        <v>64</v>
      </c>
      <c r="B66" s="252" t="s">
        <v>61</v>
      </c>
      <c r="C66" s="132" t="s">
        <v>436</v>
      </c>
      <c r="D66" s="135">
        <v>2012</v>
      </c>
      <c r="E66" s="136">
        <v>41122</v>
      </c>
      <c r="F66" s="222">
        <f t="shared" si="0"/>
        <v>8</v>
      </c>
      <c r="G66" s="222" t="str">
        <f t="shared" si="1"/>
        <v>82012</v>
      </c>
      <c r="H66" s="222" t="str">
        <f t="shared" si="2"/>
        <v>agosto</v>
      </c>
      <c r="I66" s="126" t="str">
        <f>VLOOKUP(B66,'Base de Datos'!$E$7:$T$271,14,0)</f>
        <v/>
      </c>
      <c r="J66" s="224" t="e">
        <f t="shared" si="3"/>
        <v>#VALUE!</v>
      </c>
      <c r="K66" s="223" t="e">
        <f t="shared" si="4"/>
        <v>#VALUE!</v>
      </c>
      <c r="L66" s="223" t="e">
        <f t="shared" si="5"/>
        <v>#VALUE!</v>
      </c>
      <c r="M66" s="223" t="str">
        <f t="shared" si="6"/>
        <v/>
      </c>
      <c r="N66" s="223" t="e">
        <f t="shared" ca="1" si="7"/>
        <v>#VALUE!</v>
      </c>
      <c r="O66" s="268" t="e">
        <f t="shared" ca="1" si="8"/>
        <v>#VALUE!</v>
      </c>
      <c r="P66" s="268" t="str">
        <f t="shared" si="41"/>
        <v/>
      </c>
      <c r="Q66" s="268" t="str">
        <f t="shared" si="9"/>
        <v/>
      </c>
      <c r="R66" s="268" t="str">
        <f t="shared" si="10"/>
        <v/>
      </c>
      <c r="S66" s="268" t="str">
        <f t="shared" si="11"/>
        <v/>
      </c>
      <c r="T66" s="268" t="str">
        <f t="shared" si="12"/>
        <v/>
      </c>
      <c r="U66" s="268" t="str">
        <f t="shared" si="13"/>
        <v/>
      </c>
      <c r="V66" s="268" t="str">
        <f t="shared" si="43"/>
        <v/>
      </c>
      <c r="W66" s="268" t="str">
        <f t="shared" si="14"/>
        <v>1</v>
      </c>
      <c r="X66" s="268" t="str">
        <f t="shared" si="15"/>
        <v>1</v>
      </c>
      <c r="Y66" s="268" t="str">
        <f t="shared" si="42"/>
        <v>1</v>
      </c>
      <c r="Z66" s="268" t="str">
        <f t="shared" si="16"/>
        <v>1</v>
      </c>
      <c r="AA66" s="268" t="str">
        <f t="shared" si="47"/>
        <v>1</v>
      </c>
      <c r="AB66" s="268" t="str">
        <f t="shared" si="45"/>
        <v>1</v>
      </c>
      <c r="AC66" s="268" t="str">
        <f t="shared" si="46"/>
        <v>1</v>
      </c>
      <c r="AD66" s="268" t="str">
        <f t="shared" si="48"/>
        <v>1</v>
      </c>
      <c r="AE66" s="268" t="str">
        <f t="shared" si="49"/>
        <v>1</v>
      </c>
      <c r="AF66" s="268" t="str">
        <f t="shared" si="68"/>
        <v>1</v>
      </c>
      <c r="AG66" s="268" t="str">
        <f t="shared" si="69"/>
        <v>1</v>
      </c>
      <c r="AH66" s="268" t="str">
        <f t="shared" si="70"/>
        <v>1</v>
      </c>
      <c r="AI66" s="268" t="str">
        <f t="shared" si="71"/>
        <v>1</v>
      </c>
      <c r="AJ66" s="268">
        <v>1</v>
      </c>
      <c r="AK66" s="268" t="str">
        <f t="shared" si="53"/>
        <v>1</v>
      </c>
      <c r="AL66" s="268" t="str">
        <f t="shared" si="54"/>
        <v>1</v>
      </c>
      <c r="AM66" s="268" t="str">
        <f t="shared" si="55"/>
        <v>1</v>
      </c>
      <c r="AN66" s="223" t="str">
        <f t="shared" si="56"/>
        <v>1</v>
      </c>
      <c r="AO66" s="223" t="str">
        <f t="shared" si="57"/>
        <v>1</v>
      </c>
      <c r="AP66" s="223" t="str">
        <f t="shared" si="58"/>
        <v>1</v>
      </c>
      <c r="AQ66" s="223" t="str">
        <f t="shared" si="59"/>
        <v>1</v>
      </c>
      <c r="AR66" s="223" t="str">
        <f t="shared" si="60"/>
        <v>1</v>
      </c>
      <c r="AS66" s="223" t="str">
        <f t="shared" si="61"/>
        <v>1</v>
      </c>
      <c r="AT66" s="223" t="str">
        <f t="shared" si="62"/>
        <v>1</v>
      </c>
      <c r="AU66" s="223" t="str">
        <f t="shared" si="63"/>
        <v>1</v>
      </c>
      <c r="AV66" s="223" t="str">
        <f t="shared" si="64"/>
        <v>1</v>
      </c>
      <c r="AW66" s="223" t="str">
        <f t="shared" si="65"/>
        <v>1</v>
      </c>
      <c r="AX66" s="223" t="str">
        <f t="shared" si="66"/>
        <v>1</v>
      </c>
      <c r="AY66" s="223" t="str">
        <f t="shared" si="67"/>
        <v>1</v>
      </c>
    </row>
    <row r="67" spans="1:51" ht="22.5" x14ac:dyDescent="0.25">
      <c r="A67" s="214">
        <v>65</v>
      </c>
      <c r="B67" s="252" t="s">
        <v>159</v>
      </c>
      <c r="C67" s="132" t="s">
        <v>160</v>
      </c>
      <c r="D67" s="156">
        <v>2013</v>
      </c>
      <c r="E67" s="138">
        <v>41472</v>
      </c>
      <c r="F67" s="222">
        <f t="shared" ref="F67:F130" si="72">MONTH(E67)</f>
        <v>7</v>
      </c>
      <c r="G67" s="222" t="str">
        <f t="shared" ref="G67:G130" si="73">CONCATENATE(F67,D67)</f>
        <v>72013</v>
      </c>
      <c r="H67" s="222" t="str">
        <f t="shared" ref="H67:H130" si="74">TEXT(E67,"MMMM")</f>
        <v>julio</v>
      </c>
      <c r="I67" s="126" t="str">
        <f>VLOOKUP(B67,'Base de Datos'!$E$7:$T$271,14,0)</f>
        <v/>
      </c>
      <c r="J67" s="224" t="e">
        <f t="shared" ref="J67:J130" si="75">YEAR(I67)</f>
        <v>#VALUE!</v>
      </c>
      <c r="K67" s="223" t="e">
        <f t="shared" ref="K67:K130" si="76">MONTH(I67)</f>
        <v>#VALUE!</v>
      </c>
      <c r="L67" s="223" t="e">
        <f t="shared" ref="L67:L130" si="77">CONCATENATE(K67,J67)</f>
        <v>#VALUE!</v>
      </c>
      <c r="M67" s="223" t="str">
        <f t="shared" ref="M67:M130" si="78">TEXT(I67,"mmmm")</f>
        <v/>
      </c>
      <c r="N67" s="223" t="e">
        <f t="shared" ref="N67:N130" ca="1" si="79">$O$1-I67</f>
        <v>#VALUE!</v>
      </c>
      <c r="O67" s="268" t="e">
        <f t="shared" ref="O67:O130" ca="1" si="80">IF(N67&gt;0,"SI","NO")</f>
        <v>#VALUE!</v>
      </c>
      <c r="P67" s="268" t="str">
        <f t="shared" si="41"/>
        <v/>
      </c>
      <c r="Q67" s="268" t="str">
        <f t="shared" ref="Q67:Q130" si="81">IF(AND(E67&lt;$Q$2,I67&gt;$Q$2),"1","")</f>
        <v/>
      </c>
      <c r="R67" s="268" t="str">
        <f t="shared" ref="R67:R130" si="82">IF(AND(E67&lt;$R$2,I67&gt;$R$2),"1","")</f>
        <v/>
      </c>
      <c r="S67" s="268" t="str">
        <f t="shared" ref="S67:S130" si="83">IF(AND(E67&lt;$S$2,I67&gt;$S$2),"1","")</f>
        <v/>
      </c>
      <c r="T67" s="268" t="str">
        <f t="shared" ref="T67:T130" si="84">IF(AND(E67&lt;$T$2,I67&gt;$T$2),"1","")</f>
        <v/>
      </c>
      <c r="U67" s="268" t="str">
        <f t="shared" ref="U67:U130" si="85">IF(AND(E67&lt;$U$2,I67&gt;$U$2),"1","")</f>
        <v/>
      </c>
      <c r="V67" s="268" t="str">
        <f t="shared" si="43"/>
        <v/>
      </c>
      <c r="W67" s="268" t="str">
        <f t="shared" ref="W67:W130" si="86">IF(AND(E67&lt;$W$2,I67&gt;$W$2),"1","")</f>
        <v/>
      </c>
      <c r="X67" s="268" t="str">
        <f t="shared" ref="X67:X130" si="87">IF(AND(E67&lt;$X$2,I67&gt;$X$2),"1","")</f>
        <v/>
      </c>
      <c r="Y67" s="268" t="str">
        <f t="shared" si="42"/>
        <v/>
      </c>
      <c r="Z67" s="268" t="str">
        <f t="shared" ref="Z67:Z130" si="88">IF(AND(E67&lt;$Z$2,I67&gt;$Z$2),"1","")</f>
        <v/>
      </c>
      <c r="AA67" s="268" t="str">
        <f t="shared" si="47"/>
        <v/>
      </c>
      <c r="AB67" s="268" t="str">
        <f t="shared" si="45"/>
        <v/>
      </c>
      <c r="AC67" s="268" t="str">
        <f t="shared" si="46"/>
        <v/>
      </c>
      <c r="AD67" s="268" t="str">
        <f t="shared" si="48"/>
        <v/>
      </c>
      <c r="AE67" s="268" t="str">
        <f t="shared" si="49"/>
        <v/>
      </c>
      <c r="AF67" s="268" t="str">
        <f t="shared" si="68"/>
        <v/>
      </c>
      <c r="AG67" s="268" t="str">
        <f t="shared" si="69"/>
        <v/>
      </c>
      <c r="AH67" s="268" t="str">
        <f t="shared" si="70"/>
        <v>1</v>
      </c>
      <c r="AI67" s="268" t="str">
        <f t="shared" si="71"/>
        <v>1</v>
      </c>
      <c r="AJ67" s="268">
        <v>1</v>
      </c>
      <c r="AK67" s="268" t="str">
        <f t="shared" si="53"/>
        <v>1</v>
      </c>
      <c r="AL67" s="268" t="str">
        <f t="shared" ref="AL67:AL75" si="89">IF(AND(E67&lt;$AL$2,I67&gt;$AL$2),"1","")</f>
        <v>1</v>
      </c>
      <c r="AM67" s="268" t="str">
        <f t="shared" ref="AM67:AM79" si="90">IF(AND(E67&lt;$AM$2,I67&gt;$AM$2),"1","")</f>
        <v>1</v>
      </c>
      <c r="AN67" s="223" t="str">
        <f t="shared" ref="AN67:AN84" si="91">IF(AND(E67&lt;$AN$2,I67&gt;$AN$2),"1","")</f>
        <v>1</v>
      </c>
      <c r="AO67" s="223" t="str">
        <f t="shared" ref="AO67:AO100" si="92">IF(AND(E67&lt;$AO$2,I67&gt;$AO$2),"1","")</f>
        <v>1</v>
      </c>
      <c r="AP67" s="223" t="str">
        <f t="shared" ref="AP67:AP101" si="93">IF(AND(E67&lt;$AP$2,I67&gt;$AP$2),"1","")</f>
        <v>1</v>
      </c>
      <c r="AQ67" s="223" t="str">
        <f t="shared" ref="AQ67:AQ101" si="94">IF(AND(E67&lt;$AQ$2,I67&gt;$AQ$2),"1","")</f>
        <v>1</v>
      </c>
      <c r="AR67" s="223" t="str">
        <f t="shared" ref="AR67:AR101" si="95">IF(AND(E67&lt;$AR$2,I67&gt;$AR$2),"1","")</f>
        <v>1</v>
      </c>
      <c r="AS67" s="223" t="str">
        <f t="shared" ref="AS67:AS101" si="96">IF(AND(E67&lt;$AS$2,I67&gt;$AS$2),"1","")</f>
        <v>1</v>
      </c>
      <c r="AT67" s="223" t="str">
        <f t="shared" ref="AT67:AT101" si="97">IF(AND(E67&lt;$AT$2,I67&gt;$AT$2),"1","")</f>
        <v>1</v>
      </c>
      <c r="AU67" s="223" t="str">
        <f t="shared" ref="AU67:AU101" si="98">IF(AND(E67&lt;$AU$2,I67&gt;$AU$2),"1","")</f>
        <v>1</v>
      </c>
      <c r="AV67" s="223" t="str">
        <f t="shared" ref="AV67:AV101" si="99">IF(AND(E67&lt;$AV$2,I67&gt;$AV$2),"1","")</f>
        <v>1</v>
      </c>
      <c r="AW67" s="223" t="str">
        <f t="shared" ref="AW67:AW101" si="100">IF(AND(E67&lt;$AW$2,I67&gt;$AW$2),"1","")</f>
        <v>1</v>
      </c>
      <c r="AX67" s="223" t="str">
        <f t="shared" ref="AX67:AX101" si="101">IF(AND(E67&lt;$AX$2,I67&gt;$AX$2),"1","")</f>
        <v>1</v>
      </c>
      <c r="AY67" s="223" t="str">
        <f t="shared" ref="AY67:AY101" si="102">IF(AND(E67&lt;$AY$2,I67&gt;$AY$2),"1","")</f>
        <v>1</v>
      </c>
    </row>
    <row r="68" spans="1:51" ht="22.5" x14ac:dyDescent="0.25">
      <c r="A68" s="214">
        <v>66</v>
      </c>
      <c r="B68" s="250" t="s">
        <v>32</v>
      </c>
      <c r="C68" s="132" t="s">
        <v>33</v>
      </c>
      <c r="D68" s="152">
        <v>2012</v>
      </c>
      <c r="E68" s="136">
        <v>41180</v>
      </c>
      <c r="F68" s="222">
        <f t="shared" si="72"/>
        <v>9</v>
      </c>
      <c r="G68" s="222" t="str">
        <f t="shared" si="73"/>
        <v>92012</v>
      </c>
      <c r="H68" s="222" t="str">
        <f t="shared" si="74"/>
        <v>septiembre</v>
      </c>
      <c r="I68" s="126" t="str">
        <f>VLOOKUP(B68,'Base de Datos'!$E$7:$T$271,14,0)</f>
        <v/>
      </c>
      <c r="J68" s="224" t="e">
        <f t="shared" si="75"/>
        <v>#VALUE!</v>
      </c>
      <c r="K68" s="223" t="e">
        <f t="shared" si="76"/>
        <v>#VALUE!</v>
      </c>
      <c r="L68" s="223" t="e">
        <f t="shared" si="77"/>
        <v>#VALUE!</v>
      </c>
      <c r="M68" s="223" t="str">
        <f t="shared" si="78"/>
        <v/>
      </c>
      <c r="N68" s="223" t="e">
        <f t="shared" ca="1" si="79"/>
        <v>#VALUE!</v>
      </c>
      <c r="O68" s="268" t="e">
        <f t="shared" ca="1" si="80"/>
        <v>#VALUE!</v>
      </c>
      <c r="P68" s="268" t="str">
        <f t="shared" ref="P68:P131" si="103">IF(AND(E68&lt;$P$2,I68&gt;$P$2),"1","")</f>
        <v/>
      </c>
      <c r="Q68" s="268" t="str">
        <f t="shared" si="81"/>
        <v/>
      </c>
      <c r="R68" s="268" t="str">
        <f t="shared" si="82"/>
        <v/>
      </c>
      <c r="S68" s="268" t="str">
        <f t="shared" si="83"/>
        <v/>
      </c>
      <c r="T68" s="268" t="str">
        <f t="shared" si="84"/>
        <v/>
      </c>
      <c r="U68" s="268" t="str">
        <f t="shared" si="85"/>
        <v/>
      </c>
      <c r="V68" s="268" t="str">
        <f t="shared" si="43"/>
        <v/>
      </c>
      <c r="W68" s="268" t="str">
        <f t="shared" si="86"/>
        <v/>
      </c>
      <c r="X68" s="268" t="str">
        <f t="shared" si="87"/>
        <v>1</v>
      </c>
      <c r="Y68" s="268" t="str">
        <f t="shared" si="42"/>
        <v>1</v>
      </c>
      <c r="Z68" s="268" t="str">
        <f t="shared" si="88"/>
        <v>1</v>
      </c>
      <c r="AA68" s="268" t="str">
        <f t="shared" si="47"/>
        <v>1</v>
      </c>
      <c r="AB68" s="268" t="str">
        <f t="shared" si="45"/>
        <v>1</v>
      </c>
      <c r="AC68" s="268" t="str">
        <f t="shared" si="46"/>
        <v>1</v>
      </c>
      <c r="AD68" s="268" t="str">
        <f t="shared" si="48"/>
        <v>1</v>
      </c>
      <c r="AE68" s="268" t="str">
        <f t="shared" si="49"/>
        <v>1</v>
      </c>
      <c r="AF68" s="268" t="str">
        <f t="shared" si="68"/>
        <v>1</v>
      </c>
      <c r="AG68" s="268" t="str">
        <f t="shared" si="69"/>
        <v>1</v>
      </c>
      <c r="AH68" s="268" t="str">
        <f t="shared" si="70"/>
        <v>1</v>
      </c>
      <c r="AI68" s="268" t="str">
        <f t="shared" si="71"/>
        <v>1</v>
      </c>
      <c r="AJ68" s="268">
        <v>1</v>
      </c>
      <c r="AK68" s="268" t="str">
        <f t="shared" si="53"/>
        <v>1</v>
      </c>
      <c r="AL68" s="268" t="str">
        <f t="shared" si="89"/>
        <v>1</v>
      </c>
      <c r="AM68" s="268" t="str">
        <f t="shared" si="90"/>
        <v>1</v>
      </c>
      <c r="AN68" s="223" t="str">
        <f t="shared" si="91"/>
        <v>1</v>
      </c>
      <c r="AO68" s="223" t="str">
        <f t="shared" si="92"/>
        <v>1</v>
      </c>
      <c r="AP68" s="223" t="str">
        <f t="shared" si="93"/>
        <v>1</v>
      </c>
      <c r="AQ68" s="223" t="str">
        <f t="shared" si="94"/>
        <v>1</v>
      </c>
      <c r="AR68" s="223" t="str">
        <f t="shared" si="95"/>
        <v>1</v>
      </c>
      <c r="AS68" s="223" t="str">
        <f t="shared" si="96"/>
        <v>1</v>
      </c>
      <c r="AT68" s="223" t="str">
        <f t="shared" si="97"/>
        <v>1</v>
      </c>
      <c r="AU68" s="223" t="str">
        <f t="shared" si="98"/>
        <v>1</v>
      </c>
      <c r="AV68" s="223" t="str">
        <f t="shared" si="99"/>
        <v>1</v>
      </c>
      <c r="AW68" s="223" t="str">
        <f t="shared" si="100"/>
        <v>1</v>
      </c>
      <c r="AX68" s="223" t="str">
        <f t="shared" si="101"/>
        <v>1</v>
      </c>
      <c r="AY68" s="223" t="str">
        <f t="shared" si="102"/>
        <v>1</v>
      </c>
    </row>
    <row r="69" spans="1:51" ht="33.75" x14ac:dyDescent="0.25">
      <c r="A69" s="214">
        <v>67</v>
      </c>
      <c r="B69" s="250" t="s">
        <v>88</v>
      </c>
      <c r="C69" s="132" t="s">
        <v>1031</v>
      </c>
      <c r="D69" s="156">
        <v>2013</v>
      </c>
      <c r="E69" s="136">
        <v>41393</v>
      </c>
      <c r="F69" s="222">
        <f t="shared" si="72"/>
        <v>4</v>
      </c>
      <c r="G69" s="222" t="str">
        <f t="shared" si="73"/>
        <v>42013</v>
      </c>
      <c r="H69" s="222" t="str">
        <f t="shared" si="74"/>
        <v>abril</v>
      </c>
      <c r="I69" s="126" t="str">
        <f>VLOOKUP(B69,'Base de Datos'!$E$7:$T$271,14,0)</f>
        <v/>
      </c>
      <c r="J69" s="224" t="e">
        <f t="shared" si="75"/>
        <v>#VALUE!</v>
      </c>
      <c r="K69" s="223" t="e">
        <f t="shared" si="76"/>
        <v>#VALUE!</v>
      </c>
      <c r="L69" s="223" t="e">
        <f t="shared" si="77"/>
        <v>#VALUE!</v>
      </c>
      <c r="M69" s="223" t="str">
        <f t="shared" si="78"/>
        <v/>
      </c>
      <c r="N69" s="223" t="e">
        <f t="shared" ca="1" si="79"/>
        <v>#VALUE!</v>
      </c>
      <c r="O69" s="268" t="e">
        <f t="shared" ca="1" si="80"/>
        <v>#VALUE!</v>
      </c>
      <c r="P69" s="268" t="str">
        <f t="shared" si="103"/>
        <v/>
      </c>
      <c r="Q69" s="268" t="str">
        <f t="shared" si="81"/>
        <v/>
      </c>
      <c r="R69" s="268" t="str">
        <f t="shared" si="82"/>
        <v/>
      </c>
      <c r="S69" s="268" t="str">
        <f t="shared" si="83"/>
        <v/>
      </c>
      <c r="T69" s="268" t="str">
        <f t="shared" si="84"/>
        <v/>
      </c>
      <c r="U69" s="268" t="str">
        <f t="shared" si="85"/>
        <v/>
      </c>
      <c r="V69" s="268" t="str">
        <f t="shared" si="43"/>
        <v/>
      </c>
      <c r="W69" s="268" t="str">
        <f t="shared" si="86"/>
        <v/>
      </c>
      <c r="X69" s="268" t="str">
        <f t="shared" si="87"/>
        <v/>
      </c>
      <c r="Y69" s="268" t="str">
        <f t="shared" si="42"/>
        <v/>
      </c>
      <c r="Z69" s="268" t="str">
        <f t="shared" si="88"/>
        <v/>
      </c>
      <c r="AA69" s="268" t="str">
        <f t="shared" si="47"/>
        <v/>
      </c>
      <c r="AB69" s="268" t="str">
        <f t="shared" si="45"/>
        <v/>
      </c>
      <c r="AC69" s="268" t="str">
        <f t="shared" si="46"/>
        <v/>
      </c>
      <c r="AD69" s="268" t="str">
        <f t="shared" si="48"/>
        <v/>
      </c>
      <c r="AE69" s="268" t="str">
        <f t="shared" si="49"/>
        <v>1</v>
      </c>
      <c r="AF69" s="268" t="str">
        <f t="shared" si="68"/>
        <v>1</v>
      </c>
      <c r="AG69" s="268" t="str">
        <f t="shared" si="69"/>
        <v>1</v>
      </c>
      <c r="AH69" s="268" t="str">
        <f t="shared" si="70"/>
        <v>1</v>
      </c>
      <c r="AI69" s="268" t="str">
        <f t="shared" si="71"/>
        <v>1</v>
      </c>
      <c r="AJ69" s="268">
        <v>1</v>
      </c>
      <c r="AK69" s="268" t="str">
        <f t="shared" si="53"/>
        <v>1</v>
      </c>
      <c r="AL69" s="268" t="str">
        <f t="shared" si="89"/>
        <v>1</v>
      </c>
      <c r="AM69" s="268" t="str">
        <f t="shared" si="90"/>
        <v>1</v>
      </c>
      <c r="AN69" s="223" t="str">
        <f t="shared" si="91"/>
        <v>1</v>
      </c>
      <c r="AO69" s="223" t="str">
        <f t="shared" si="92"/>
        <v>1</v>
      </c>
      <c r="AP69" s="223" t="str">
        <f t="shared" si="93"/>
        <v>1</v>
      </c>
      <c r="AQ69" s="223" t="str">
        <f t="shared" si="94"/>
        <v>1</v>
      </c>
      <c r="AR69" s="223" t="str">
        <f t="shared" si="95"/>
        <v>1</v>
      </c>
      <c r="AS69" s="223" t="str">
        <f t="shared" si="96"/>
        <v>1</v>
      </c>
      <c r="AT69" s="223" t="str">
        <f t="shared" si="97"/>
        <v>1</v>
      </c>
      <c r="AU69" s="223" t="str">
        <f t="shared" si="98"/>
        <v>1</v>
      </c>
      <c r="AV69" s="223" t="str">
        <f t="shared" si="99"/>
        <v>1</v>
      </c>
      <c r="AW69" s="223" t="str">
        <f t="shared" si="100"/>
        <v>1</v>
      </c>
      <c r="AX69" s="223" t="str">
        <f t="shared" si="101"/>
        <v>1</v>
      </c>
      <c r="AY69" s="223" t="str">
        <f t="shared" si="102"/>
        <v>1</v>
      </c>
    </row>
    <row r="70" spans="1:51" ht="33.75" x14ac:dyDescent="0.25">
      <c r="A70" s="214">
        <v>68</v>
      </c>
      <c r="B70" s="250" t="s">
        <v>44</v>
      </c>
      <c r="C70" s="132" t="s">
        <v>1017</v>
      </c>
      <c r="D70" s="152">
        <v>2012</v>
      </c>
      <c r="E70" s="136">
        <v>41151</v>
      </c>
      <c r="F70" s="222">
        <f t="shared" si="72"/>
        <v>8</v>
      </c>
      <c r="G70" s="222" t="str">
        <f t="shared" si="73"/>
        <v>82012</v>
      </c>
      <c r="H70" s="222" t="str">
        <f t="shared" si="74"/>
        <v>agosto</v>
      </c>
      <c r="I70" s="126" t="str">
        <f>VLOOKUP(B70,'Base de Datos'!$E$7:$T$271,14,0)</f>
        <v>4 meses</v>
      </c>
      <c r="J70" s="224" t="e">
        <f t="shared" si="75"/>
        <v>#VALUE!</v>
      </c>
      <c r="K70" s="401" t="e">
        <f t="shared" si="76"/>
        <v>#VALUE!</v>
      </c>
      <c r="L70" s="401" t="e">
        <f t="shared" si="77"/>
        <v>#VALUE!</v>
      </c>
      <c r="M70" s="401" t="str">
        <f t="shared" si="78"/>
        <v>4 meses</v>
      </c>
      <c r="N70" s="401" t="e">
        <f t="shared" ca="1" si="79"/>
        <v>#VALUE!</v>
      </c>
      <c r="O70" s="268" t="e">
        <f t="shared" ca="1" si="80"/>
        <v>#VALUE!</v>
      </c>
      <c r="P70" s="268" t="str">
        <f t="shared" si="103"/>
        <v/>
      </c>
      <c r="Q70" s="268" t="str">
        <f t="shared" si="81"/>
        <v/>
      </c>
      <c r="R70" s="268" t="str">
        <f t="shared" si="82"/>
        <v/>
      </c>
      <c r="S70" s="268" t="str">
        <f t="shared" si="83"/>
        <v/>
      </c>
      <c r="T70" s="268" t="str">
        <f t="shared" si="84"/>
        <v/>
      </c>
      <c r="U70" s="268" t="str">
        <f t="shared" si="85"/>
        <v/>
      </c>
      <c r="V70" s="268" t="str">
        <f t="shared" si="43"/>
        <v/>
      </c>
      <c r="W70" s="268" t="str">
        <f t="shared" si="86"/>
        <v>1</v>
      </c>
      <c r="X70" s="268" t="str">
        <f t="shared" si="87"/>
        <v>1</v>
      </c>
      <c r="Y70" s="268" t="str">
        <f t="shared" ref="Y70:Y133" si="104">IF(AND(E70&lt;$Y$2,I70&gt;$Y$2),"1","")</f>
        <v>1</v>
      </c>
      <c r="Z70" s="268" t="str">
        <f t="shared" si="88"/>
        <v>1</v>
      </c>
      <c r="AA70" s="268" t="str">
        <f t="shared" si="47"/>
        <v>1</v>
      </c>
      <c r="AB70" s="268" t="str">
        <f t="shared" si="45"/>
        <v>1</v>
      </c>
      <c r="AC70" s="268" t="str">
        <f t="shared" si="46"/>
        <v>1</v>
      </c>
      <c r="AD70" s="268" t="str">
        <f t="shared" si="48"/>
        <v>1</v>
      </c>
      <c r="AE70" s="268" t="str">
        <f t="shared" si="49"/>
        <v>1</v>
      </c>
      <c r="AF70" s="268" t="str">
        <f t="shared" si="68"/>
        <v>1</v>
      </c>
      <c r="AG70" s="268" t="str">
        <f t="shared" si="69"/>
        <v>1</v>
      </c>
      <c r="AH70" s="268" t="str">
        <f t="shared" si="70"/>
        <v>1</v>
      </c>
      <c r="AI70" s="268" t="str">
        <f t="shared" si="71"/>
        <v>1</v>
      </c>
      <c r="AJ70" s="268">
        <v>1</v>
      </c>
      <c r="AK70" s="268" t="str">
        <f t="shared" si="53"/>
        <v>1</v>
      </c>
      <c r="AL70" s="268" t="str">
        <f t="shared" si="89"/>
        <v>1</v>
      </c>
      <c r="AM70" s="268" t="str">
        <f t="shared" si="90"/>
        <v>1</v>
      </c>
      <c r="AN70" s="223" t="str">
        <f t="shared" si="91"/>
        <v>1</v>
      </c>
      <c r="AO70" s="223" t="str">
        <f t="shared" si="92"/>
        <v>1</v>
      </c>
      <c r="AP70" s="223" t="str">
        <f t="shared" si="93"/>
        <v>1</v>
      </c>
      <c r="AQ70" s="223" t="str">
        <f t="shared" si="94"/>
        <v>1</v>
      </c>
      <c r="AR70" s="223" t="str">
        <f t="shared" si="95"/>
        <v>1</v>
      </c>
      <c r="AS70" s="223" t="str">
        <f t="shared" si="96"/>
        <v>1</v>
      </c>
      <c r="AT70" s="223" t="str">
        <f t="shared" si="97"/>
        <v>1</v>
      </c>
      <c r="AU70" s="223" t="str">
        <f t="shared" si="98"/>
        <v>1</v>
      </c>
      <c r="AV70" s="223" t="str">
        <f t="shared" si="99"/>
        <v>1</v>
      </c>
      <c r="AW70" s="223" t="str">
        <f t="shared" si="100"/>
        <v>1</v>
      </c>
      <c r="AX70" s="223" t="str">
        <f t="shared" si="101"/>
        <v>1</v>
      </c>
      <c r="AY70" s="223" t="str">
        <f t="shared" si="102"/>
        <v>1</v>
      </c>
    </row>
    <row r="71" spans="1:51" ht="22.5" x14ac:dyDescent="0.25">
      <c r="A71" s="214">
        <v>69</v>
      </c>
      <c r="B71" s="250" t="s">
        <v>39</v>
      </c>
      <c r="C71" s="132" t="s">
        <v>1020</v>
      </c>
      <c r="D71" s="152">
        <v>2012</v>
      </c>
      <c r="E71" s="138">
        <v>41193</v>
      </c>
      <c r="F71" s="222">
        <f t="shared" si="72"/>
        <v>10</v>
      </c>
      <c r="G71" s="222" t="str">
        <f t="shared" si="73"/>
        <v>102012</v>
      </c>
      <c r="H71" s="222" t="str">
        <f t="shared" si="74"/>
        <v>octubre</v>
      </c>
      <c r="I71" s="126" t="str">
        <f>VLOOKUP(B71,'Base de Datos'!$E$7:$T$271,14,0)</f>
        <v/>
      </c>
      <c r="J71" s="224" t="e">
        <f t="shared" si="75"/>
        <v>#VALUE!</v>
      </c>
      <c r="K71" s="223" t="e">
        <f t="shared" si="76"/>
        <v>#VALUE!</v>
      </c>
      <c r="L71" s="223" t="e">
        <f t="shared" si="77"/>
        <v>#VALUE!</v>
      </c>
      <c r="M71" s="223" t="str">
        <f t="shared" si="78"/>
        <v/>
      </c>
      <c r="N71" s="223" t="e">
        <f t="shared" ca="1" si="79"/>
        <v>#VALUE!</v>
      </c>
      <c r="O71" s="268" t="e">
        <f t="shared" ca="1" si="80"/>
        <v>#VALUE!</v>
      </c>
      <c r="P71" s="268" t="str">
        <f t="shared" si="103"/>
        <v/>
      </c>
      <c r="Q71" s="268" t="str">
        <f t="shared" si="81"/>
        <v/>
      </c>
      <c r="R71" s="268" t="str">
        <f t="shared" si="82"/>
        <v/>
      </c>
      <c r="S71" s="268" t="str">
        <f t="shared" si="83"/>
        <v/>
      </c>
      <c r="T71" s="268" t="str">
        <f t="shared" si="84"/>
        <v/>
      </c>
      <c r="U71" s="268" t="str">
        <f t="shared" si="85"/>
        <v/>
      </c>
      <c r="V71" s="268" t="str">
        <f t="shared" ref="V71:V134" si="105">IF(AND(E71&lt;$V$2,I71&gt;$V$2),"1","")</f>
        <v/>
      </c>
      <c r="W71" s="268" t="str">
        <f t="shared" si="86"/>
        <v/>
      </c>
      <c r="X71" s="268" t="str">
        <f t="shared" si="87"/>
        <v/>
      </c>
      <c r="Y71" s="268" t="str">
        <f t="shared" si="104"/>
        <v>1</v>
      </c>
      <c r="Z71" s="268" t="str">
        <f t="shared" si="88"/>
        <v>1</v>
      </c>
      <c r="AA71" s="268" t="str">
        <f t="shared" si="47"/>
        <v>1</v>
      </c>
      <c r="AB71" s="268" t="str">
        <f t="shared" si="45"/>
        <v>1</v>
      </c>
      <c r="AC71" s="268" t="str">
        <f t="shared" si="46"/>
        <v>1</v>
      </c>
      <c r="AD71" s="268" t="str">
        <f t="shared" si="48"/>
        <v>1</v>
      </c>
      <c r="AE71" s="268" t="str">
        <f t="shared" si="49"/>
        <v>1</v>
      </c>
      <c r="AF71" s="268" t="str">
        <f t="shared" si="68"/>
        <v>1</v>
      </c>
      <c r="AG71" s="268" t="str">
        <f t="shared" si="69"/>
        <v>1</v>
      </c>
      <c r="AH71" s="268" t="str">
        <f t="shared" si="70"/>
        <v>1</v>
      </c>
      <c r="AI71" s="268" t="str">
        <f t="shared" si="71"/>
        <v>1</v>
      </c>
      <c r="AJ71" s="268" t="str">
        <f t="shared" ref="AJ71:AJ102" si="106">IF(AND(E71&lt;$AJ$2,I71&gt;$AJ$2),"1","")</f>
        <v>1</v>
      </c>
      <c r="AK71" s="268">
        <v>1</v>
      </c>
      <c r="AL71" s="268" t="str">
        <f t="shared" si="89"/>
        <v>1</v>
      </c>
      <c r="AM71" s="268" t="str">
        <f t="shared" si="90"/>
        <v>1</v>
      </c>
      <c r="AN71" s="223" t="str">
        <f t="shared" si="91"/>
        <v>1</v>
      </c>
      <c r="AO71" s="223" t="str">
        <f t="shared" si="92"/>
        <v>1</v>
      </c>
      <c r="AP71" s="223" t="str">
        <f t="shared" si="93"/>
        <v>1</v>
      </c>
      <c r="AQ71" s="223" t="str">
        <f t="shared" si="94"/>
        <v>1</v>
      </c>
      <c r="AR71" s="223" t="str">
        <f t="shared" si="95"/>
        <v>1</v>
      </c>
      <c r="AS71" s="223" t="str">
        <f t="shared" si="96"/>
        <v>1</v>
      </c>
      <c r="AT71" s="223" t="str">
        <f t="shared" si="97"/>
        <v>1</v>
      </c>
      <c r="AU71" s="223" t="str">
        <f t="shared" si="98"/>
        <v>1</v>
      </c>
      <c r="AV71" s="223" t="str">
        <f t="shared" si="99"/>
        <v>1</v>
      </c>
      <c r="AW71" s="223" t="str">
        <f t="shared" si="100"/>
        <v>1</v>
      </c>
      <c r="AX71" s="223" t="str">
        <f t="shared" si="101"/>
        <v>1</v>
      </c>
      <c r="AY71" s="223" t="str">
        <f t="shared" si="102"/>
        <v>1</v>
      </c>
    </row>
    <row r="72" spans="1:51" ht="33.75" x14ac:dyDescent="0.25">
      <c r="A72" s="214">
        <v>70</v>
      </c>
      <c r="B72" s="250" t="s">
        <v>597</v>
      </c>
      <c r="C72" s="132" t="s">
        <v>1024</v>
      </c>
      <c r="D72" s="152">
        <v>2012</v>
      </c>
      <c r="E72" s="136">
        <v>41232</v>
      </c>
      <c r="F72" s="222">
        <f t="shared" si="72"/>
        <v>11</v>
      </c>
      <c r="G72" s="222" t="str">
        <f t="shared" si="73"/>
        <v>112012</v>
      </c>
      <c r="H72" s="222" t="str">
        <f t="shared" si="74"/>
        <v>noviembre</v>
      </c>
      <c r="I72" s="126" t="str">
        <f>VLOOKUP(B72,'Base de Datos'!$E$7:$T$271,14,0)</f>
        <v>5 meses y 27 días</v>
      </c>
      <c r="J72" s="224" t="e">
        <f t="shared" si="75"/>
        <v>#VALUE!</v>
      </c>
      <c r="K72" s="223" t="e">
        <f t="shared" si="76"/>
        <v>#VALUE!</v>
      </c>
      <c r="L72" s="223" t="e">
        <f t="shared" si="77"/>
        <v>#VALUE!</v>
      </c>
      <c r="M72" s="223" t="str">
        <f t="shared" si="78"/>
        <v>5 meses y 27 días</v>
      </c>
      <c r="N72" s="223" t="e">
        <f t="shared" ca="1" si="79"/>
        <v>#VALUE!</v>
      </c>
      <c r="O72" s="268" t="e">
        <f t="shared" ca="1" si="80"/>
        <v>#VALUE!</v>
      </c>
      <c r="P72" s="268" t="str">
        <f t="shared" si="103"/>
        <v/>
      </c>
      <c r="Q72" s="268" t="str">
        <f t="shared" si="81"/>
        <v/>
      </c>
      <c r="R72" s="268" t="str">
        <f t="shared" si="82"/>
        <v/>
      </c>
      <c r="S72" s="268" t="str">
        <f t="shared" si="83"/>
        <v/>
      </c>
      <c r="T72" s="268" t="str">
        <f t="shared" si="84"/>
        <v/>
      </c>
      <c r="U72" s="268" t="str">
        <f t="shared" si="85"/>
        <v/>
      </c>
      <c r="V72" s="268" t="str">
        <f t="shared" si="105"/>
        <v/>
      </c>
      <c r="W72" s="268" t="str">
        <f t="shared" si="86"/>
        <v/>
      </c>
      <c r="X72" s="268" t="str">
        <f t="shared" si="87"/>
        <v/>
      </c>
      <c r="Y72" s="268" t="str">
        <f t="shared" si="104"/>
        <v/>
      </c>
      <c r="Z72" s="268" t="str">
        <f t="shared" si="88"/>
        <v>1</v>
      </c>
      <c r="AA72" s="268" t="str">
        <f t="shared" si="47"/>
        <v>1</v>
      </c>
      <c r="AB72" s="268" t="str">
        <f t="shared" si="45"/>
        <v>1</v>
      </c>
      <c r="AC72" s="268" t="str">
        <f t="shared" si="46"/>
        <v>1</v>
      </c>
      <c r="AD72" s="268" t="str">
        <f t="shared" si="48"/>
        <v>1</v>
      </c>
      <c r="AE72" s="268" t="str">
        <f t="shared" si="49"/>
        <v>1</v>
      </c>
      <c r="AF72" s="268" t="str">
        <f t="shared" si="68"/>
        <v>1</v>
      </c>
      <c r="AG72" s="268" t="str">
        <f t="shared" si="69"/>
        <v>1</v>
      </c>
      <c r="AH72" s="268" t="str">
        <f t="shared" si="70"/>
        <v>1</v>
      </c>
      <c r="AI72" s="268" t="str">
        <f t="shared" si="71"/>
        <v>1</v>
      </c>
      <c r="AJ72" s="268" t="str">
        <f t="shared" si="106"/>
        <v>1</v>
      </c>
      <c r="AK72" s="268">
        <v>1</v>
      </c>
      <c r="AL72" s="268" t="str">
        <f t="shared" si="89"/>
        <v>1</v>
      </c>
      <c r="AM72" s="268" t="str">
        <f t="shared" si="90"/>
        <v>1</v>
      </c>
      <c r="AN72" s="223" t="str">
        <f t="shared" si="91"/>
        <v>1</v>
      </c>
      <c r="AO72" s="223" t="str">
        <f t="shared" si="92"/>
        <v>1</v>
      </c>
      <c r="AP72" s="223" t="str">
        <f t="shared" si="93"/>
        <v>1</v>
      </c>
      <c r="AQ72" s="223" t="str">
        <f t="shared" si="94"/>
        <v>1</v>
      </c>
      <c r="AR72" s="223" t="str">
        <f t="shared" si="95"/>
        <v>1</v>
      </c>
      <c r="AS72" s="223" t="str">
        <f t="shared" si="96"/>
        <v>1</v>
      </c>
      <c r="AT72" s="223" t="str">
        <f t="shared" si="97"/>
        <v>1</v>
      </c>
      <c r="AU72" s="223" t="str">
        <f t="shared" si="98"/>
        <v>1</v>
      </c>
      <c r="AV72" s="223" t="str">
        <f t="shared" si="99"/>
        <v>1</v>
      </c>
      <c r="AW72" s="223" t="str">
        <f t="shared" si="100"/>
        <v>1</v>
      </c>
      <c r="AX72" s="223" t="str">
        <f t="shared" si="101"/>
        <v>1</v>
      </c>
      <c r="AY72" s="223" t="str">
        <f t="shared" si="102"/>
        <v>1</v>
      </c>
    </row>
    <row r="73" spans="1:51" ht="22.5" x14ac:dyDescent="0.25">
      <c r="A73" s="214">
        <v>71</v>
      </c>
      <c r="B73" s="252" t="s">
        <v>157</v>
      </c>
      <c r="C73" s="132" t="s">
        <v>158</v>
      </c>
      <c r="D73" s="156">
        <v>2013</v>
      </c>
      <c r="E73" s="138">
        <v>41471</v>
      </c>
      <c r="F73" s="222">
        <f t="shared" si="72"/>
        <v>7</v>
      </c>
      <c r="G73" s="222" t="str">
        <f t="shared" si="73"/>
        <v>72013</v>
      </c>
      <c r="H73" s="222" t="str">
        <f t="shared" si="74"/>
        <v>julio</v>
      </c>
      <c r="I73" s="126" t="str">
        <f>VLOOKUP(B73,'Base de Datos'!$E$7:$T$271,14,0)</f>
        <v/>
      </c>
      <c r="J73" s="224" t="e">
        <f t="shared" si="75"/>
        <v>#VALUE!</v>
      </c>
      <c r="K73" s="223" t="e">
        <f t="shared" si="76"/>
        <v>#VALUE!</v>
      </c>
      <c r="L73" s="223" t="e">
        <f t="shared" si="77"/>
        <v>#VALUE!</v>
      </c>
      <c r="M73" s="223" t="str">
        <f t="shared" si="78"/>
        <v/>
      </c>
      <c r="N73" s="223" t="e">
        <f t="shared" ca="1" si="79"/>
        <v>#VALUE!</v>
      </c>
      <c r="O73" s="268" t="e">
        <f t="shared" ca="1" si="80"/>
        <v>#VALUE!</v>
      </c>
      <c r="P73" s="268" t="str">
        <f t="shared" si="103"/>
        <v/>
      </c>
      <c r="Q73" s="268" t="str">
        <f t="shared" si="81"/>
        <v/>
      </c>
      <c r="R73" s="268" t="str">
        <f t="shared" si="82"/>
        <v/>
      </c>
      <c r="S73" s="268" t="str">
        <f t="shared" si="83"/>
        <v/>
      </c>
      <c r="T73" s="268" t="str">
        <f t="shared" si="84"/>
        <v/>
      </c>
      <c r="U73" s="268" t="str">
        <f t="shared" si="85"/>
        <v/>
      </c>
      <c r="V73" s="268" t="str">
        <f t="shared" si="105"/>
        <v/>
      </c>
      <c r="W73" s="268" t="str">
        <f t="shared" si="86"/>
        <v/>
      </c>
      <c r="X73" s="268" t="str">
        <f t="shared" si="87"/>
        <v/>
      </c>
      <c r="Y73" s="268" t="str">
        <f t="shared" si="104"/>
        <v/>
      </c>
      <c r="Z73" s="268" t="str">
        <f t="shared" si="88"/>
        <v/>
      </c>
      <c r="AA73" s="268" t="str">
        <f t="shared" si="47"/>
        <v/>
      </c>
      <c r="AB73" s="268" t="str">
        <f t="shared" si="45"/>
        <v/>
      </c>
      <c r="AC73" s="268" t="str">
        <f t="shared" si="46"/>
        <v/>
      </c>
      <c r="AD73" s="268" t="str">
        <f t="shared" si="48"/>
        <v/>
      </c>
      <c r="AE73" s="268" t="str">
        <f t="shared" si="49"/>
        <v/>
      </c>
      <c r="AF73" s="268" t="str">
        <f t="shared" si="68"/>
        <v/>
      </c>
      <c r="AG73" s="268" t="str">
        <f t="shared" si="69"/>
        <v/>
      </c>
      <c r="AH73" s="268" t="str">
        <f t="shared" si="70"/>
        <v>1</v>
      </c>
      <c r="AI73" s="268" t="str">
        <f t="shared" si="71"/>
        <v>1</v>
      </c>
      <c r="AJ73" s="268" t="str">
        <f t="shared" si="106"/>
        <v>1</v>
      </c>
      <c r="AK73" s="268">
        <v>1</v>
      </c>
      <c r="AL73" s="268" t="str">
        <f t="shared" si="89"/>
        <v>1</v>
      </c>
      <c r="AM73" s="268" t="str">
        <f t="shared" si="90"/>
        <v>1</v>
      </c>
      <c r="AN73" s="223" t="str">
        <f t="shared" si="91"/>
        <v>1</v>
      </c>
      <c r="AO73" s="223" t="str">
        <f t="shared" si="92"/>
        <v>1</v>
      </c>
      <c r="AP73" s="223" t="str">
        <f t="shared" si="93"/>
        <v>1</v>
      </c>
      <c r="AQ73" s="223" t="str">
        <f t="shared" si="94"/>
        <v>1</v>
      </c>
      <c r="AR73" s="223" t="str">
        <f t="shared" si="95"/>
        <v>1</v>
      </c>
      <c r="AS73" s="223" t="str">
        <f t="shared" si="96"/>
        <v>1</v>
      </c>
      <c r="AT73" s="223" t="str">
        <f t="shared" si="97"/>
        <v>1</v>
      </c>
      <c r="AU73" s="223" t="str">
        <f t="shared" si="98"/>
        <v>1</v>
      </c>
      <c r="AV73" s="223" t="str">
        <f t="shared" si="99"/>
        <v>1</v>
      </c>
      <c r="AW73" s="223" t="str">
        <f t="shared" si="100"/>
        <v>1</v>
      </c>
      <c r="AX73" s="223" t="str">
        <f t="shared" si="101"/>
        <v>1</v>
      </c>
      <c r="AY73" s="223" t="str">
        <f t="shared" si="102"/>
        <v>1</v>
      </c>
    </row>
    <row r="74" spans="1:51" ht="33.75" x14ac:dyDescent="0.25">
      <c r="A74" s="214">
        <v>72</v>
      </c>
      <c r="B74" s="250" t="s">
        <v>54</v>
      </c>
      <c r="C74" s="132" t="s">
        <v>55</v>
      </c>
      <c r="D74" s="152">
        <v>2012</v>
      </c>
      <c r="E74" s="138">
        <v>41274</v>
      </c>
      <c r="F74" s="222">
        <f t="shared" si="72"/>
        <v>12</v>
      </c>
      <c r="G74" s="222" t="str">
        <f t="shared" si="73"/>
        <v>122012</v>
      </c>
      <c r="H74" s="222" t="str">
        <f t="shared" si="74"/>
        <v>diciembre</v>
      </c>
      <c r="I74" s="126" t="str">
        <f>VLOOKUP(B74,'Base de Datos'!$E$7:$T$271,14,0)</f>
        <v>2 meses</v>
      </c>
      <c r="J74" s="224" t="e">
        <f t="shared" si="75"/>
        <v>#VALUE!</v>
      </c>
      <c r="K74" s="223" t="e">
        <f t="shared" si="76"/>
        <v>#VALUE!</v>
      </c>
      <c r="L74" s="223" t="e">
        <f t="shared" si="77"/>
        <v>#VALUE!</v>
      </c>
      <c r="M74" s="223" t="str">
        <f t="shared" si="78"/>
        <v>2 meses</v>
      </c>
      <c r="N74" s="223" t="e">
        <f t="shared" ca="1" si="79"/>
        <v>#VALUE!</v>
      </c>
      <c r="O74" s="268" t="e">
        <f t="shared" ca="1" si="80"/>
        <v>#VALUE!</v>
      </c>
      <c r="P74" s="268" t="str">
        <f t="shared" si="103"/>
        <v/>
      </c>
      <c r="Q74" s="268" t="str">
        <f t="shared" si="81"/>
        <v/>
      </c>
      <c r="R74" s="268" t="str">
        <f t="shared" si="82"/>
        <v/>
      </c>
      <c r="S74" s="268" t="str">
        <f t="shared" si="83"/>
        <v/>
      </c>
      <c r="T74" s="268" t="str">
        <f t="shared" si="84"/>
        <v/>
      </c>
      <c r="U74" s="268" t="str">
        <f t="shared" si="85"/>
        <v/>
      </c>
      <c r="V74" s="268" t="str">
        <f t="shared" si="105"/>
        <v/>
      </c>
      <c r="W74" s="268" t="str">
        <f t="shared" si="86"/>
        <v/>
      </c>
      <c r="X74" s="268" t="str">
        <f t="shared" si="87"/>
        <v/>
      </c>
      <c r="Y74" s="268" t="str">
        <f t="shared" si="104"/>
        <v/>
      </c>
      <c r="Z74" s="268" t="str">
        <f t="shared" si="88"/>
        <v/>
      </c>
      <c r="AA74" s="268" t="str">
        <f t="shared" si="47"/>
        <v/>
      </c>
      <c r="AB74" s="268" t="str">
        <f t="shared" ref="AB74:AB137" si="107">IF(AND(E74&lt;$AB$2,I74&gt;$AB$2),"1","")</f>
        <v>1</v>
      </c>
      <c r="AC74" s="268" t="str">
        <f t="shared" si="46"/>
        <v>1</v>
      </c>
      <c r="AD74" s="268" t="str">
        <f t="shared" si="48"/>
        <v>1</v>
      </c>
      <c r="AE74" s="268" t="str">
        <f t="shared" si="49"/>
        <v>1</v>
      </c>
      <c r="AF74" s="268" t="str">
        <f t="shared" si="68"/>
        <v>1</v>
      </c>
      <c r="AG74" s="268" t="str">
        <f t="shared" si="69"/>
        <v>1</v>
      </c>
      <c r="AH74" s="268" t="str">
        <f t="shared" si="70"/>
        <v>1</v>
      </c>
      <c r="AI74" s="268" t="str">
        <f t="shared" si="71"/>
        <v>1</v>
      </c>
      <c r="AJ74" s="268" t="str">
        <f t="shared" si="106"/>
        <v>1</v>
      </c>
      <c r="AK74" s="268">
        <v>1</v>
      </c>
      <c r="AL74" s="268" t="str">
        <f t="shared" si="89"/>
        <v>1</v>
      </c>
      <c r="AM74" s="268" t="str">
        <f t="shared" si="90"/>
        <v>1</v>
      </c>
      <c r="AN74" s="223" t="str">
        <f t="shared" si="91"/>
        <v>1</v>
      </c>
      <c r="AO74" s="223" t="str">
        <f t="shared" si="92"/>
        <v>1</v>
      </c>
      <c r="AP74" s="223" t="str">
        <f t="shared" si="93"/>
        <v>1</v>
      </c>
      <c r="AQ74" s="223" t="str">
        <f t="shared" si="94"/>
        <v>1</v>
      </c>
      <c r="AR74" s="223" t="str">
        <f t="shared" si="95"/>
        <v>1</v>
      </c>
      <c r="AS74" s="223" t="str">
        <f t="shared" si="96"/>
        <v>1</v>
      </c>
      <c r="AT74" s="223" t="str">
        <f t="shared" si="97"/>
        <v>1</v>
      </c>
      <c r="AU74" s="223" t="str">
        <f t="shared" si="98"/>
        <v>1</v>
      </c>
      <c r="AV74" s="223" t="str">
        <f t="shared" si="99"/>
        <v>1</v>
      </c>
      <c r="AW74" s="223" t="str">
        <f t="shared" si="100"/>
        <v>1</v>
      </c>
      <c r="AX74" s="223" t="str">
        <f t="shared" si="101"/>
        <v>1</v>
      </c>
      <c r="AY74" s="223" t="str">
        <f t="shared" si="102"/>
        <v>1</v>
      </c>
    </row>
    <row r="75" spans="1:51" x14ac:dyDescent="0.25">
      <c r="A75" s="214">
        <v>73</v>
      </c>
      <c r="B75" s="251" t="s">
        <v>202</v>
      </c>
      <c r="C75" s="132" t="s">
        <v>203</v>
      </c>
      <c r="D75" s="141">
        <v>2013</v>
      </c>
      <c r="E75" s="138">
        <v>41548</v>
      </c>
      <c r="F75" s="222">
        <f t="shared" si="72"/>
        <v>10</v>
      </c>
      <c r="G75" s="222" t="str">
        <f t="shared" si="73"/>
        <v>102013</v>
      </c>
      <c r="H75" s="222" t="str">
        <f t="shared" si="74"/>
        <v>octubre</v>
      </c>
      <c r="I75" s="126" t="str">
        <f>VLOOKUP(B75,'Base de Datos'!$E$7:$T$271,14,0)</f>
        <v/>
      </c>
      <c r="J75" s="224" t="e">
        <f t="shared" si="75"/>
        <v>#VALUE!</v>
      </c>
      <c r="K75" s="223" t="e">
        <f t="shared" si="76"/>
        <v>#VALUE!</v>
      </c>
      <c r="L75" s="223" t="e">
        <f t="shared" si="77"/>
        <v>#VALUE!</v>
      </c>
      <c r="M75" s="223" t="str">
        <f t="shared" si="78"/>
        <v/>
      </c>
      <c r="N75" s="223" t="e">
        <f t="shared" ca="1" si="79"/>
        <v>#VALUE!</v>
      </c>
      <c r="O75" s="268" t="e">
        <f t="shared" ca="1" si="80"/>
        <v>#VALUE!</v>
      </c>
      <c r="P75" s="268" t="str">
        <f t="shared" si="103"/>
        <v/>
      </c>
      <c r="Q75" s="268" t="str">
        <f t="shared" si="81"/>
        <v/>
      </c>
      <c r="R75" s="268" t="str">
        <f t="shared" si="82"/>
        <v/>
      </c>
      <c r="S75" s="268" t="str">
        <f t="shared" si="83"/>
        <v/>
      </c>
      <c r="T75" s="268" t="str">
        <f t="shared" si="84"/>
        <v/>
      </c>
      <c r="U75" s="268" t="str">
        <f t="shared" si="85"/>
        <v/>
      </c>
      <c r="V75" s="268" t="str">
        <f t="shared" si="105"/>
        <v/>
      </c>
      <c r="W75" s="268" t="str">
        <f t="shared" si="86"/>
        <v/>
      </c>
      <c r="X75" s="268" t="str">
        <f t="shared" si="87"/>
        <v/>
      </c>
      <c r="Y75" s="268" t="str">
        <f t="shared" si="104"/>
        <v/>
      </c>
      <c r="Z75" s="268" t="str">
        <f t="shared" si="88"/>
        <v/>
      </c>
      <c r="AA75" s="268" t="str">
        <f t="shared" si="47"/>
        <v/>
      </c>
      <c r="AB75" s="268" t="str">
        <f t="shared" si="107"/>
        <v/>
      </c>
      <c r="AC75" s="268" t="str">
        <f t="shared" si="46"/>
        <v/>
      </c>
      <c r="AD75" s="268" t="str">
        <f t="shared" si="48"/>
        <v/>
      </c>
      <c r="AE75" s="268" t="str">
        <f t="shared" si="49"/>
        <v/>
      </c>
      <c r="AF75" s="268" t="str">
        <f t="shared" si="68"/>
        <v/>
      </c>
      <c r="AG75" s="268" t="str">
        <f t="shared" si="69"/>
        <v/>
      </c>
      <c r="AH75" s="268" t="str">
        <f t="shared" si="70"/>
        <v/>
      </c>
      <c r="AI75" s="268" t="str">
        <f t="shared" si="71"/>
        <v/>
      </c>
      <c r="AJ75" s="268" t="str">
        <f t="shared" si="106"/>
        <v/>
      </c>
      <c r="AK75" s="268">
        <v>1</v>
      </c>
      <c r="AL75" s="268" t="str">
        <f t="shared" si="89"/>
        <v>1</v>
      </c>
      <c r="AM75" s="268" t="str">
        <f t="shared" si="90"/>
        <v>1</v>
      </c>
      <c r="AN75" s="223" t="str">
        <f t="shared" si="91"/>
        <v>1</v>
      </c>
      <c r="AO75" s="223" t="str">
        <f t="shared" si="92"/>
        <v>1</v>
      </c>
      <c r="AP75" s="223" t="str">
        <f t="shared" si="93"/>
        <v>1</v>
      </c>
      <c r="AQ75" s="223" t="str">
        <f t="shared" si="94"/>
        <v>1</v>
      </c>
      <c r="AR75" s="223" t="str">
        <f t="shared" si="95"/>
        <v>1</v>
      </c>
      <c r="AS75" s="223" t="str">
        <f t="shared" si="96"/>
        <v>1</v>
      </c>
      <c r="AT75" s="223" t="str">
        <f t="shared" si="97"/>
        <v>1</v>
      </c>
      <c r="AU75" s="223" t="str">
        <f t="shared" si="98"/>
        <v>1</v>
      </c>
      <c r="AV75" s="223" t="str">
        <f t="shared" si="99"/>
        <v>1</v>
      </c>
      <c r="AW75" s="223" t="str">
        <f t="shared" si="100"/>
        <v>1</v>
      </c>
      <c r="AX75" s="223" t="str">
        <f t="shared" si="101"/>
        <v>1</v>
      </c>
      <c r="AY75" s="223" t="str">
        <f t="shared" si="102"/>
        <v>1</v>
      </c>
    </row>
    <row r="76" spans="1:51" ht="33.75" x14ac:dyDescent="0.25">
      <c r="A76" s="214">
        <v>74</v>
      </c>
      <c r="B76" s="254" t="s">
        <v>51</v>
      </c>
      <c r="C76" s="132" t="s">
        <v>1023</v>
      </c>
      <c r="D76" s="152">
        <v>2012</v>
      </c>
      <c r="E76" s="147">
        <v>41214</v>
      </c>
      <c r="F76" s="222">
        <f t="shared" si="72"/>
        <v>11</v>
      </c>
      <c r="G76" s="222" t="str">
        <f t="shared" si="73"/>
        <v>112012</v>
      </c>
      <c r="H76" s="222" t="str">
        <f t="shared" si="74"/>
        <v>noviembre</v>
      </c>
      <c r="I76" s="126" t="str">
        <f>VLOOKUP(B76,'Base de Datos'!$E$7:$T$271,14,0)</f>
        <v>2 meses</v>
      </c>
      <c r="J76" s="224" t="e">
        <f t="shared" si="75"/>
        <v>#VALUE!</v>
      </c>
      <c r="K76" s="223" t="e">
        <f t="shared" si="76"/>
        <v>#VALUE!</v>
      </c>
      <c r="L76" s="223" t="e">
        <f t="shared" si="77"/>
        <v>#VALUE!</v>
      </c>
      <c r="M76" s="223" t="str">
        <f t="shared" si="78"/>
        <v>2 meses</v>
      </c>
      <c r="N76" s="223" t="e">
        <f t="shared" ca="1" si="79"/>
        <v>#VALUE!</v>
      </c>
      <c r="O76" s="268" t="e">
        <f t="shared" ca="1" si="80"/>
        <v>#VALUE!</v>
      </c>
      <c r="P76" s="268" t="str">
        <f t="shared" si="103"/>
        <v/>
      </c>
      <c r="Q76" s="268" t="str">
        <f t="shared" si="81"/>
        <v/>
      </c>
      <c r="R76" s="268" t="str">
        <f t="shared" si="82"/>
        <v/>
      </c>
      <c r="S76" s="268" t="str">
        <f t="shared" si="83"/>
        <v/>
      </c>
      <c r="T76" s="268" t="str">
        <f t="shared" si="84"/>
        <v/>
      </c>
      <c r="U76" s="268" t="str">
        <f t="shared" si="85"/>
        <v/>
      </c>
      <c r="V76" s="268" t="str">
        <f t="shared" si="105"/>
        <v/>
      </c>
      <c r="W76" s="268" t="str">
        <f t="shared" si="86"/>
        <v/>
      </c>
      <c r="X76" s="268" t="str">
        <f t="shared" si="87"/>
        <v/>
      </c>
      <c r="Y76" s="268" t="str">
        <f t="shared" si="104"/>
        <v/>
      </c>
      <c r="Z76" s="268" t="str">
        <f t="shared" si="88"/>
        <v>1</v>
      </c>
      <c r="AA76" s="268" t="str">
        <f t="shared" si="47"/>
        <v>1</v>
      </c>
      <c r="AB76" s="268" t="str">
        <f t="shared" si="107"/>
        <v>1</v>
      </c>
      <c r="AC76" s="268" t="str">
        <f t="shared" si="46"/>
        <v>1</v>
      </c>
      <c r="AD76" s="268" t="str">
        <f t="shared" si="48"/>
        <v>1</v>
      </c>
      <c r="AE76" s="268" t="str">
        <f t="shared" si="49"/>
        <v>1</v>
      </c>
      <c r="AF76" s="268" t="str">
        <f t="shared" si="68"/>
        <v>1</v>
      </c>
      <c r="AG76" s="268" t="str">
        <f t="shared" si="69"/>
        <v>1</v>
      </c>
      <c r="AH76" s="268" t="str">
        <f t="shared" si="70"/>
        <v>1</v>
      </c>
      <c r="AI76" s="268" t="str">
        <f t="shared" si="71"/>
        <v>1</v>
      </c>
      <c r="AJ76" s="268" t="str">
        <f t="shared" si="106"/>
        <v>1</v>
      </c>
      <c r="AK76" s="268" t="str">
        <f>IF(AND(E76&lt;$AK$2,I76&gt;$AK$2),"1","")</f>
        <v>1</v>
      </c>
      <c r="AL76" s="268">
        <v>1</v>
      </c>
      <c r="AM76" s="268" t="str">
        <f t="shared" si="90"/>
        <v>1</v>
      </c>
      <c r="AN76" s="223" t="str">
        <f t="shared" si="91"/>
        <v>1</v>
      </c>
      <c r="AO76" s="223" t="str">
        <f t="shared" si="92"/>
        <v>1</v>
      </c>
      <c r="AP76" s="223" t="str">
        <f t="shared" si="93"/>
        <v>1</v>
      </c>
      <c r="AQ76" s="223" t="str">
        <f t="shared" si="94"/>
        <v>1</v>
      </c>
      <c r="AR76" s="223" t="str">
        <f t="shared" si="95"/>
        <v>1</v>
      </c>
      <c r="AS76" s="223" t="str">
        <f t="shared" si="96"/>
        <v>1</v>
      </c>
      <c r="AT76" s="223" t="str">
        <f t="shared" si="97"/>
        <v>1</v>
      </c>
      <c r="AU76" s="223" t="str">
        <f t="shared" si="98"/>
        <v>1</v>
      </c>
      <c r="AV76" s="223" t="str">
        <f t="shared" si="99"/>
        <v>1</v>
      </c>
      <c r="AW76" s="223" t="str">
        <f t="shared" si="100"/>
        <v>1</v>
      </c>
      <c r="AX76" s="223" t="str">
        <f t="shared" si="101"/>
        <v>1</v>
      </c>
      <c r="AY76" s="223" t="str">
        <f t="shared" si="102"/>
        <v>1</v>
      </c>
    </row>
    <row r="77" spans="1:51" x14ac:dyDescent="0.25">
      <c r="A77" s="214">
        <v>75</v>
      </c>
      <c r="B77" s="251" t="s">
        <v>200</v>
      </c>
      <c r="C77" s="132" t="s">
        <v>201</v>
      </c>
      <c r="D77" s="141">
        <v>2013</v>
      </c>
      <c r="E77" s="138">
        <v>41562</v>
      </c>
      <c r="F77" s="222">
        <f t="shared" si="72"/>
        <v>10</v>
      </c>
      <c r="G77" s="222" t="str">
        <f t="shared" si="73"/>
        <v>102013</v>
      </c>
      <c r="H77" s="222" t="str">
        <f t="shared" si="74"/>
        <v>octubre</v>
      </c>
      <c r="I77" s="126" t="str">
        <f>VLOOKUP(B77,'Base de Datos'!$E$7:$T$271,14,0)</f>
        <v/>
      </c>
      <c r="J77" s="224" t="e">
        <f t="shared" si="75"/>
        <v>#VALUE!</v>
      </c>
      <c r="K77" s="223" t="e">
        <f t="shared" si="76"/>
        <v>#VALUE!</v>
      </c>
      <c r="L77" s="223" t="e">
        <f t="shared" si="77"/>
        <v>#VALUE!</v>
      </c>
      <c r="M77" s="223" t="str">
        <f t="shared" si="78"/>
        <v/>
      </c>
      <c r="N77" s="223" t="e">
        <f t="shared" ca="1" si="79"/>
        <v>#VALUE!</v>
      </c>
      <c r="O77" s="268" t="e">
        <f t="shared" ca="1" si="80"/>
        <v>#VALUE!</v>
      </c>
      <c r="P77" s="268" t="str">
        <f t="shared" si="103"/>
        <v/>
      </c>
      <c r="Q77" s="268" t="str">
        <f t="shared" si="81"/>
        <v/>
      </c>
      <c r="R77" s="268" t="str">
        <f t="shared" si="82"/>
        <v/>
      </c>
      <c r="S77" s="268" t="str">
        <f t="shared" si="83"/>
        <v/>
      </c>
      <c r="T77" s="268" t="str">
        <f t="shared" si="84"/>
        <v/>
      </c>
      <c r="U77" s="268" t="str">
        <f t="shared" si="85"/>
        <v/>
      </c>
      <c r="V77" s="268" t="str">
        <f t="shared" si="105"/>
        <v/>
      </c>
      <c r="W77" s="268" t="str">
        <f t="shared" si="86"/>
        <v/>
      </c>
      <c r="X77" s="268" t="str">
        <f t="shared" si="87"/>
        <v/>
      </c>
      <c r="Y77" s="268" t="str">
        <f t="shared" si="104"/>
        <v/>
      </c>
      <c r="Z77" s="268" t="str">
        <f t="shared" si="88"/>
        <v/>
      </c>
      <c r="AA77" s="268" t="str">
        <f t="shared" si="47"/>
        <v/>
      </c>
      <c r="AB77" s="268" t="str">
        <f t="shared" si="107"/>
        <v/>
      </c>
      <c r="AC77" s="268" t="str">
        <f t="shared" si="46"/>
        <v/>
      </c>
      <c r="AD77" s="268" t="str">
        <f t="shared" si="48"/>
        <v/>
      </c>
      <c r="AE77" s="268" t="str">
        <f t="shared" si="49"/>
        <v/>
      </c>
      <c r="AF77" s="268" t="str">
        <f t="shared" si="68"/>
        <v/>
      </c>
      <c r="AG77" s="268" t="str">
        <f t="shared" si="69"/>
        <v/>
      </c>
      <c r="AH77" s="268" t="str">
        <f t="shared" si="70"/>
        <v/>
      </c>
      <c r="AI77" s="268" t="str">
        <f t="shared" si="71"/>
        <v/>
      </c>
      <c r="AJ77" s="268" t="str">
        <f t="shared" si="106"/>
        <v/>
      </c>
      <c r="AK77" s="268" t="str">
        <f>IF(AND(E77&lt;$AK$2,I77&gt;$AK$2),"1","")</f>
        <v>1</v>
      </c>
      <c r="AL77" s="268">
        <v>1</v>
      </c>
      <c r="AM77" s="268" t="str">
        <f t="shared" si="90"/>
        <v>1</v>
      </c>
      <c r="AN77" s="223" t="str">
        <f t="shared" si="91"/>
        <v>1</v>
      </c>
      <c r="AO77" s="223" t="str">
        <f t="shared" si="92"/>
        <v>1</v>
      </c>
      <c r="AP77" s="223" t="str">
        <f t="shared" si="93"/>
        <v>1</v>
      </c>
      <c r="AQ77" s="223" t="str">
        <f t="shared" si="94"/>
        <v>1</v>
      </c>
      <c r="AR77" s="223" t="str">
        <f t="shared" si="95"/>
        <v>1</v>
      </c>
      <c r="AS77" s="223" t="str">
        <f t="shared" si="96"/>
        <v>1</v>
      </c>
      <c r="AT77" s="223" t="str">
        <f t="shared" si="97"/>
        <v>1</v>
      </c>
      <c r="AU77" s="223" t="str">
        <f t="shared" si="98"/>
        <v>1</v>
      </c>
      <c r="AV77" s="223" t="str">
        <f t="shared" si="99"/>
        <v>1</v>
      </c>
      <c r="AW77" s="223" t="str">
        <f t="shared" si="100"/>
        <v>1</v>
      </c>
      <c r="AX77" s="223" t="str">
        <f t="shared" si="101"/>
        <v>1</v>
      </c>
      <c r="AY77" s="223" t="str">
        <f t="shared" si="102"/>
        <v>1</v>
      </c>
    </row>
    <row r="78" spans="1:51" ht="22.5" x14ac:dyDescent="0.25">
      <c r="A78" s="214">
        <v>76</v>
      </c>
      <c r="B78" s="254" t="s">
        <v>74</v>
      </c>
      <c r="C78" s="145" t="s">
        <v>75</v>
      </c>
      <c r="D78" s="152">
        <v>2012</v>
      </c>
      <c r="E78" s="147">
        <v>41269</v>
      </c>
      <c r="F78" s="222">
        <f t="shared" si="72"/>
        <v>12</v>
      </c>
      <c r="G78" s="222" t="str">
        <f t="shared" si="73"/>
        <v>122012</v>
      </c>
      <c r="H78" s="222" t="str">
        <f t="shared" si="74"/>
        <v>diciembre</v>
      </c>
      <c r="I78" s="126" t="str">
        <f>VLOOKUP(B78,'Base de Datos'!$E$7:$T$271,14,0)</f>
        <v>4 meses y 20 días</v>
      </c>
      <c r="J78" s="224" t="e">
        <f t="shared" si="75"/>
        <v>#VALUE!</v>
      </c>
      <c r="K78" s="223" t="e">
        <f t="shared" si="76"/>
        <v>#VALUE!</v>
      </c>
      <c r="L78" s="223" t="e">
        <f t="shared" si="77"/>
        <v>#VALUE!</v>
      </c>
      <c r="M78" s="223" t="str">
        <f t="shared" si="78"/>
        <v>4 meses y 20 días</v>
      </c>
      <c r="N78" s="223" t="e">
        <f t="shared" ca="1" si="79"/>
        <v>#VALUE!</v>
      </c>
      <c r="O78" s="268" t="e">
        <f t="shared" ca="1" si="80"/>
        <v>#VALUE!</v>
      </c>
      <c r="P78" s="268" t="str">
        <f t="shared" si="103"/>
        <v/>
      </c>
      <c r="Q78" s="268" t="str">
        <f t="shared" si="81"/>
        <v/>
      </c>
      <c r="R78" s="268" t="str">
        <f t="shared" si="82"/>
        <v/>
      </c>
      <c r="S78" s="268" t="str">
        <f t="shared" si="83"/>
        <v/>
      </c>
      <c r="T78" s="268" t="str">
        <f t="shared" si="84"/>
        <v/>
      </c>
      <c r="U78" s="268" t="str">
        <f t="shared" si="85"/>
        <v/>
      </c>
      <c r="V78" s="268" t="str">
        <f t="shared" si="105"/>
        <v/>
      </c>
      <c r="W78" s="268" t="str">
        <f t="shared" si="86"/>
        <v/>
      </c>
      <c r="X78" s="268" t="str">
        <f t="shared" si="87"/>
        <v/>
      </c>
      <c r="Y78" s="268" t="str">
        <f t="shared" si="104"/>
        <v/>
      </c>
      <c r="Z78" s="268" t="str">
        <f t="shared" si="88"/>
        <v/>
      </c>
      <c r="AA78" s="268" t="str">
        <f t="shared" si="47"/>
        <v>1</v>
      </c>
      <c r="AB78" s="268" t="str">
        <f t="shared" si="107"/>
        <v>1</v>
      </c>
      <c r="AC78" s="268" t="str">
        <f t="shared" si="46"/>
        <v>1</v>
      </c>
      <c r="AD78" s="268" t="str">
        <f t="shared" si="48"/>
        <v>1</v>
      </c>
      <c r="AE78" s="268" t="str">
        <f t="shared" si="49"/>
        <v>1</v>
      </c>
      <c r="AF78" s="268" t="str">
        <f t="shared" si="68"/>
        <v>1</v>
      </c>
      <c r="AG78" s="268" t="str">
        <f t="shared" si="69"/>
        <v>1</v>
      </c>
      <c r="AH78" s="268" t="str">
        <f t="shared" si="70"/>
        <v>1</v>
      </c>
      <c r="AI78" s="268" t="str">
        <f t="shared" si="71"/>
        <v>1</v>
      </c>
      <c r="AJ78" s="268" t="str">
        <f t="shared" si="106"/>
        <v>1</v>
      </c>
      <c r="AK78" s="268">
        <v>1</v>
      </c>
      <c r="AL78" s="268">
        <v>1</v>
      </c>
      <c r="AM78" s="268" t="str">
        <f t="shared" si="90"/>
        <v>1</v>
      </c>
      <c r="AN78" s="223" t="str">
        <f t="shared" si="91"/>
        <v>1</v>
      </c>
      <c r="AO78" s="223" t="str">
        <f t="shared" si="92"/>
        <v>1</v>
      </c>
      <c r="AP78" s="223" t="str">
        <f t="shared" si="93"/>
        <v>1</v>
      </c>
      <c r="AQ78" s="223" t="str">
        <f t="shared" si="94"/>
        <v>1</v>
      </c>
      <c r="AR78" s="223" t="str">
        <f t="shared" si="95"/>
        <v>1</v>
      </c>
      <c r="AS78" s="223" t="str">
        <f t="shared" si="96"/>
        <v>1</v>
      </c>
      <c r="AT78" s="223" t="str">
        <f t="shared" si="97"/>
        <v>1</v>
      </c>
      <c r="AU78" s="223" t="str">
        <f t="shared" si="98"/>
        <v>1</v>
      </c>
      <c r="AV78" s="223" t="str">
        <f t="shared" si="99"/>
        <v>1</v>
      </c>
      <c r="AW78" s="223" t="str">
        <f t="shared" si="100"/>
        <v>1</v>
      </c>
      <c r="AX78" s="223" t="str">
        <f t="shared" si="101"/>
        <v>1</v>
      </c>
      <c r="AY78" s="223" t="str">
        <f t="shared" si="102"/>
        <v>1</v>
      </c>
    </row>
    <row r="79" spans="1:51" ht="22.5" x14ac:dyDescent="0.25">
      <c r="A79" s="214">
        <v>77</v>
      </c>
      <c r="B79" s="250" t="s">
        <v>4</v>
      </c>
      <c r="C79" s="132" t="s">
        <v>1028</v>
      </c>
      <c r="D79" s="135">
        <v>2012</v>
      </c>
      <c r="E79" s="136">
        <v>41292</v>
      </c>
      <c r="F79" s="222">
        <f t="shared" si="72"/>
        <v>1</v>
      </c>
      <c r="G79" s="222" t="str">
        <f t="shared" si="73"/>
        <v>12012</v>
      </c>
      <c r="H79" s="222" t="str">
        <f t="shared" si="74"/>
        <v>enero</v>
      </c>
      <c r="I79" s="126" t="str">
        <f>VLOOKUP(B79,'Base de Datos'!$E$7:$T$271,14,0)</f>
        <v>5 meses y 13 días</v>
      </c>
      <c r="J79" s="224" t="e">
        <f t="shared" si="75"/>
        <v>#VALUE!</v>
      </c>
      <c r="K79" s="223" t="e">
        <f t="shared" si="76"/>
        <v>#VALUE!</v>
      </c>
      <c r="L79" s="223" t="e">
        <f t="shared" si="77"/>
        <v>#VALUE!</v>
      </c>
      <c r="M79" s="223" t="str">
        <f t="shared" si="78"/>
        <v>5 meses y 13 días</v>
      </c>
      <c r="N79" s="223" t="e">
        <f t="shared" ca="1" si="79"/>
        <v>#VALUE!</v>
      </c>
      <c r="O79" s="268" t="e">
        <f t="shared" ca="1" si="80"/>
        <v>#VALUE!</v>
      </c>
      <c r="P79" s="268" t="str">
        <f t="shared" si="103"/>
        <v/>
      </c>
      <c r="Q79" s="268" t="str">
        <f t="shared" si="81"/>
        <v/>
      </c>
      <c r="R79" s="268" t="str">
        <f t="shared" si="82"/>
        <v/>
      </c>
      <c r="S79" s="268" t="str">
        <f t="shared" si="83"/>
        <v/>
      </c>
      <c r="T79" s="268" t="str">
        <f t="shared" si="84"/>
        <v/>
      </c>
      <c r="U79" s="268" t="str">
        <f t="shared" si="85"/>
        <v/>
      </c>
      <c r="V79" s="268" t="str">
        <f t="shared" si="105"/>
        <v/>
      </c>
      <c r="W79" s="268" t="str">
        <f t="shared" si="86"/>
        <v/>
      </c>
      <c r="X79" s="268" t="str">
        <f t="shared" si="87"/>
        <v/>
      </c>
      <c r="Y79" s="268" t="str">
        <f t="shared" si="104"/>
        <v/>
      </c>
      <c r="Z79" s="268" t="str">
        <f t="shared" si="88"/>
        <v/>
      </c>
      <c r="AA79" s="268" t="str">
        <f t="shared" si="47"/>
        <v/>
      </c>
      <c r="AB79" s="268" t="str">
        <f t="shared" si="107"/>
        <v>1</v>
      </c>
      <c r="AC79" s="268" t="str">
        <f t="shared" si="46"/>
        <v>1</v>
      </c>
      <c r="AD79" s="268" t="str">
        <f t="shared" si="48"/>
        <v>1</v>
      </c>
      <c r="AE79" s="268" t="str">
        <f t="shared" si="49"/>
        <v>1</v>
      </c>
      <c r="AF79" s="268" t="str">
        <f t="shared" si="68"/>
        <v>1</v>
      </c>
      <c r="AG79" s="268" t="str">
        <f t="shared" si="69"/>
        <v>1</v>
      </c>
      <c r="AH79" s="268" t="str">
        <f t="shared" si="70"/>
        <v>1</v>
      </c>
      <c r="AI79" s="268" t="str">
        <f t="shared" si="71"/>
        <v>1</v>
      </c>
      <c r="AJ79" s="268" t="str">
        <f t="shared" si="106"/>
        <v>1</v>
      </c>
      <c r="AK79" s="268" t="str">
        <f t="shared" ref="AK79:AK110" si="108">IF(AND(E79&lt;$AK$2,I79&gt;$AK$2),"1","")</f>
        <v>1</v>
      </c>
      <c r="AL79" s="268">
        <v>1</v>
      </c>
      <c r="AM79" s="268" t="str">
        <f t="shared" si="90"/>
        <v>1</v>
      </c>
      <c r="AN79" s="223" t="str">
        <f t="shared" si="91"/>
        <v>1</v>
      </c>
      <c r="AO79" s="223" t="str">
        <f t="shared" si="92"/>
        <v>1</v>
      </c>
      <c r="AP79" s="223" t="str">
        <f t="shared" si="93"/>
        <v>1</v>
      </c>
      <c r="AQ79" s="223" t="str">
        <f t="shared" si="94"/>
        <v>1</v>
      </c>
      <c r="AR79" s="223" t="str">
        <f t="shared" si="95"/>
        <v>1</v>
      </c>
      <c r="AS79" s="223" t="str">
        <f t="shared" si="96"/>
        <v>1</v>
      </c>
      <c r="AT79" s="223" t="str">
        <f t="shared" si="97"/>
        <v>1</v>
      </c>
      <c r="AU79" s="223" t="str">
        <f t="shared" si="98"/>
        <v>1</v>
      </c>
      <c r="AV79" s="223" t="str">
        <f t="shared" si="99"/>
        <v>1</v>
      </c>
      <c r="AW79" s="223" t="str">
        <f t="shared" si="100"/>
        <v>1</v>
      </c>
      <c r="AX79" s="223" t="str">
        <f t="shared" si="101"/>
        <v>1</v>
      </c>
      <c r="AY79" s="223" t="str">
        <f t="shared" si="102"/>
        <v>1</v>
      </c>
    </row>
    <row r="80" spans="1:51" ht="33.75" x14ac:dyDescent="0.25">
      <c r="A80" s="214">
        <v>78</v>
      </c>
      <c r="B80" s="251" t="s">
        <v>179</v>
      </c>
      <c r="C80" s="132" t="s">
        <v>433</v>
      </c>
      <c r="D80" s="152">
        <v>2012</v>
      </c>
      <c r="E80" s="138">
        <v>41206</v>
      </c>
      <c r="F80" s="222">
        <f t="shared" si="72"/>
        <v>10</v>
      </c>
      <c r="G80" s="222" t="str">
        <f t="shared" si="73"/>
        <v>102012</v>
      </c>
      <c r="H80" s="222" t="str">
        <f t="shared" si="74"/>
        <v>octubre</v>
      </c>
      <c r="I80" s="126" t="str">
        <f>VLOOKUP(B80,'Base de Datos'!$E$7:$T$271,14,0)</f>
        <v/>
      </c>
      <c r="J80" s="224" t="e">
        <f t="shared" si="75"/>
        <v>#VALUE!</v>
      </c>
      <c r="K80" s="223" t="e">
        <f t="shared" si="76"/>
        <v>#VALUE!</v>
      </c>
      <c r="L80" s="223" t="e">
        <f t="shared" si="77"/>
        <v>#VALUE!</v>
      </c>
      <c r="M80" s="223" t="str">
        <f t="shared" si="78"/>
        <v/>
      </c>
      <c r="N80" s="223" t="e">
        <f t="shared" ca="1" si="79"/>
        <v>#VALUE!</v>
      </c>
      <c r="O80" s="268" t="e">
        <f t="shared" ca="1" si="80"/>
        <v>#VALUE!</v>
      </c>
      <c r="P80" s="268" t="str">
        <f t="shared" si="103"/>
        <v/>
      </c>
      <c r="Q80" s="268" t="str">
        <f t="shared" si="81"/>
        <v/>
      </c>
      <c r="R80" s="268" t="str">
        <f t="shared" si="82"/>
        <v/>
      </c>
      <c r="S80" s="268" t="str">
        <f t="shared" si="83"/>
        <v/>
      </c>
      <c r="T80" s="268" t="str">
        <f t="shared" si="84"/>
        <v/>
      </c>
      <c r="U80" s="268" t="str">
        <f t="shared" si="85"/>
        <v/>
      </c>
      <c r="V80" s="268" t="str">
        <f t="shared" si="105"/>
        <v/>
      </c>
      <c r="W80" s="268" t="str">
        <f t="shared" si="86"/>
        <v/>
      </c>
      <c r="X80" s="268" t="str">
        <f t="shared" si="87"/>
        <v/>
      </c>
      <c r="Y80" s="268" t="str">
        <f t="shared" si="104"/>
        <v>1</v>
      </c>
      <c r="Z80" s="268" t="str">
        <f t="shared" si="88"/>
        <v>1</v>
      </c>
      <c r="AA80" s="268" t="str">
        <f t="shared" si="47"/>
        <v>1</v>
      </c>
      <c r="AB80" s="268" t="str">
        <f t="shared" si="107"/>
        <v>1</v>
      </c>
      <c r="AC80" s="268" t="str">
        <f t="shared" si="46"/>
        <v>1</v>
      </c>
      <c r="AD80" s="268" t="str">
        <f t="shared" si="48"/>
        <v>1</v>
      </c>
      <c r="AE80" s="268" t="str">
        <f t="shared" si="49"/>
        <v>1</v>
      </c>
      <c r="AF80" s="268" t="str">
        <f t="shared" si="68"/>
        <v>1</v>
      </c>
      <c r="AG80" s="268" t="str">
        <f t="shared" si="69"/>
        <v>1</v>
      </c>
      <c r="AH80" s="268" t="str">
        <f t="shared" si="70"/>
        <v>1</v>
      </c>
      <c r="AI80" s="268" t="str">
        <f t="shared" si="71"/>
        <v>1</v>
      </c>
      <c r="AJ80" s="268" t="str">
        <f t="shared" si="106"/>
        <v>1</v>
      </c>
      <c r="AK80" s="268" t="str">
        <f t="shared" si="108"/>
        <v>1</v>
      </c>
      <c r="AL80" s="268" t="str">
        <f t="shared" ref="AL80:AL111" si="109">IF(AND(E80&lt;$AL$2,I80&gt;$AL$2),"1","")</f>
        <v>1</v>
      </c>
      <c r="AM80" s="268">
        <v>1</v>
      </c>
      <c r="AN80" s="223" t="str">
        <f t="shared" si="91"/>
        <v>1</v>
      </c>
      <c r="AO80" s="223" t="str">
        <f t="shared" si="92"/>
        <v>1</v>
      </c>
      <c r="AP80" s="223" t="str">
        <f t="shared" si="93"/>
        <v>1</v>
      </c>
      <c r="AQ80" s="223" t="str">
        <f t="shared" si="94"/>
        <v>1</v>
      </c>
      <c r="AR80" s="223" t="str">
        <f t="shared" si="95"/>
        <v>1</v>
      </c>
      <c r="AS80" s="223" t="str">
        <f t="shared" si="96"/>
        <v>1</v>
      </c>
      <c r="AT80" s="223" t="str">
        <f t="shared" si="97"/>
        <v>1</v>
      </c>
      <c r="AU80" s="223" t="str">
        <f t="shared" si="98"/>
        <v>1</v>
      </c>
      <c r="AV80" s="223" t="str">
        <f t="shared" si="99"/>
        <v>1</v>
      </c>
      <c r="AW80" s="223" t="str">
        <f t="shared" si="100"/>
        <v>1</v>
      </c>
      <c r="AX80" s="223" t="str">
        <f t="shared" si="101"/>
        <v>1</v>
      </c>
      <c r="AY80" s="223" t="str">
        <f t="shared" si="102"/>
        <v>1</v>
      </c>
    </row>
    <row r="81" spans="1:51" x14ac:dyDescent="0.25">
      <c r="A81" s="214">
        <v>79</v>
      </c>
      <c r="B81" s="251" t="s">
        <v>191</v>
      </c>
      <c r="C81" s="132" t="s">
        <v>192</v>
      </c>
      <c r="D81" s="141">
        <v>2013</v>
      </c>
      <c r="E81" s="138">
        <v>41555</v>
      </c>
      <c r="F81" s="222">
        <f t="shared" si="72"/>
        <v>10</v>
      </c>
      <c r="G81" s="222" t="str">
        <f t="shared" si="73"/>
        <v>102013</v>
      </c>
      <c r="H81" s="222" t="str">
        <f t="shared" si="74"/>
        <v>octubre</v>
      </c>
      <c r="I81" s="126" t="str">
        <f>VLOOKUP(B81,'Base de Datos'!$E$7:$T$271,14,0)</f>
        <v/>
      </c>
      <c r="J81" s="224" t="e">
        <f t="shared" si="75"/>
        <v>#VALUE!</v>
      </c>
      <c r="K81" s="223" t="e">
        <f t="shared" si="76"/>
        <v>#VALUE!</v>
      </c>
      <c r="L81" s="223" t="e">
        <f t="shared" si="77"/>
        <v>#VALUE!</v>
      </c>
      <c r="M81" s="223" t="str">
        <f t="shared" si="78"/>
        <v/>
      </c>
      <c r="N81" s="223" t="e">
        <f t="shared" ca="1" si="79"/>
        <v>#VALUE!</v>
      </c>
      <c r="O81" s="268" t="e">
        <f t="shared" ca="1" si="80"/>
        <v>#VALUE!</v>
      </c>
      <c r="P81" s="268" t="str">
        <f t="shared" si="103"/>
        <v/>
      </c>
      <c r="Q81" s="268" t="str">
        <f t="shared" si="81"/>
        <v/>
      </c>
      <c r="R81" s="268" t="str">
        <f t="shared" si="82"/>
        <v/>
      </c>
      <c r="S81" s="268" t="str">
        <f t="shared" si="83"/>
        <v/>
      </c>
      <c r="T81" s="268" t="str">
        <f t="shared" si="84"/>
        <v/>
      </c>
      <c r="U81" s="268" t="str">
        <f t="shared" si="85"/>
        <v/>
      </c>
      <c r="V81" s="268" t="str">
        <f t="shared" si="105"/>
        <v/>
      </c>
      <c r="W81" s="268" t="str">
        <f t="shared" si="86"/>
        <v/>
      </c>
      <c r="X81" s="268" t="str">
        <f t="shared" si="87"/>
        <v/>
      </c>
      <c r="Y81" s="268" t="str">
        <f t="shared" si="104"/>
        <v/>
      </c>
      <c r="Z81" s="268" t="str">
        <f t="shared" si="88"/>
        <v/>
      </c>
      <c r="AA81" s="268" t="str">
        <f t="shared" si="47"/>
        <v/>
      </c>
      <c r="AB81" s="268" t="str">
        <f t="shared" si="107"/>
        <v/>
      </c>
      <c r="AC81" s="268" t="str">
        <f t="shared" si="46"/>
        <v/>
      </c>
      <c r="AD81" s="268" t="str">
        <f t="shared" si="48"/>
        <v/>
      </c>
      <c r="AE81" s="268" t="str">
        <f t="shared" si="49"/>
        <v/>
      </c>
      <c r="AF81" s="268" t="str">
        <f t="shared" si="68"/>
        <v/>
      </c>
      <c r="AG81" s="268" t="str">
        <f t="shared" si="69"/>
        <v/>
      </c>
      <c r="AH81" s="268" t="str">
        <f t="shared" si="70"/>
        <v/>
      </c>
      <c r="AI81" s="268" t="str">
        <f t="shared" si="71"/>
        <v/>
      </c>
      <c r="AJ81" s="268" t="str">
        <f t="shared" si="106"/>
        <v/>
      </c>
      <c r="AK81" s="268" t="str">
        <f t="shared" si="108"/>
        <v>1</v>
      </c>
      <c r="AL81" s="268" t="str">
        <f t="shared" si="109"/>
        <v>1</v>
      </c>
      <c r="AM81" s="268">
        <v>1</v>
      </c>
      <c r="AN81" s="223" t="str">
        <f t="shared" si="91"/>
        <v>1</v>
      </c>
      <c r="AO81" s="223" t="str">
        <f t="shared" si="92"/>
        <v>1</v>
      </c>
      <c r="AP81" s="223" t="str">
        <f t="shared" si="93"/>
        <v>1</v>
      </c>
      <c r="AQ81" s="223" t="str">
        <f t="shared" si="94"/>
        <v>1</v>
      </c>
      <c r="AR81" s="223" t="str">
        <f t="shared" si="95"/>
        <v>1</v>
      </c>
      <c r="AS81" s="223" t="str">
        <f t="shared" si="96"/>
        <v>1</v>
      </c>
      <c r="AT81" s="223" t="str">
        <f t="shared" si="97"/>
        <v>1</v>
      </c>
      <c r="AU81" s="223" t="str">
        <f t="shared" si="98"/>
        <v>1</v>
      </c>
      <c r="AV81" s="223" t="str">
        <f t="shared" si="99"/>
        <v>1</v>
      </c>
      <c r="AW81" s="223" t="str">
        <f t="shared" si="100"/>
        <v>1</v>
      </c>
      <c r="AX81" s="223" t="str">
        <f t="shared" si="101"/>
        <v>1</v>
      </c>
      <c r="AY81" s="223" t="str">
        <f t="shared" si="102"/>
        <v>1</v>
      </c>
    </row>
    <row r="82" spans="1:51" ht="22.5" x14ac:dyDescent="0.25">
      <c r="A82" s="214">
        <v>80</v>
      </c>
      <c r="B82" s="250" t="s">
        <v>56</v>
      </c>
      <c r="C82" s="132" t="s">
        <v>57</v>
      </c>
      <c r="D82" s="152">
        <v>2012</v>
      </c>
      <c r="E82" s="136">
        <v>41025</v>
      </c>
      <c r="F82" s="222">
        <f t="shared" si="72"/>
        <v>4</v>
      </c>
      <c r="G82" s="222" t="str">
        <f t="shared" si="73"/>
        <v>42012</v>
      </c>
      <c r="H82" s="222" t="str">
        <f t="shared" si="74"/>
        <v>abril</v>
      </c>
      <c r="I82" s="126" t="str">
        <f>VLOOKUP(B82,'Base de Datos'!$E$7:$T$271,14,0)</f>
        <v>5 meses y 15 días</v>
      </c>
      <c r="J82" s="224" t="e">
        <f t="shared" si="75"/>
        <v>#VALUE!</v>
      </c>
      <c r="K82" s="223" t="e">
        <f t="shared" si="76"/>
        <v>#VALUE!</v>
      </c>
      <c r="L82" s="223" t="e">
        <f t="shared" si="77"/>
        <v>#VALUE!</v>
      </c>
      <c r="M82" s="223" t="str">
        <f t="shared" si="78"/>
        <v>5 meses y 15 días</v>
      </c>
      <c r="N82" s="223" t="e">
        <f t="shared" ca="1" si="79"/>
        <v>#VALUE!</v>
      </c>
      <c r="O82" s="268" t="e">
        <f t="shared" ca="1" si="80"/>
        <v>#VALUE!</v>
      </c>
      <c r="P82" s="268" t="str">
        <f t="shared" si="103"/>
        <v/>
      </c>
      <c r="Q82" s="268" t="str">
        <f t="shared" si="81"/>
        <v/>
      </c>
      <c r="R82" s="268" t="str">
        <f t="shared" si="82"/>
        <v/>
      </c>
      <c r="S82" s="268" t="str">
        <f t="shared" si="83"/>
        <v>1</v>
      </c>
      <c r="T82" s="268" t="str">
        <f t="shared" si="84"/>
        <v>1</v>
      </c>
      <c r="U82" s="268" t="str">
        <f t="shared" si="85"/>
        <v>1</v>
      </c>
      <c r="V82" s="268" t="str">
        <f t="shared" si="105"/>
        <v>1</v>
      </c>
      <c r="W82" s="268" t="str">
        <f t="shared" si="86"/>
        <v>1</v>
      </c>
      <c r="X82" s="268" t="str">
        <f t="shared" si="87"/>
        <v>1</v>
      </c>
      <c r="Y82" s="268" t="str">
        <f t="shared" si="104"/>
        <v>1</v>
      </c>
      <c r="Z82" s="268" t="str">
        <f t="shared" si="88"/>
        <v>1</v>
      </c>
      <c r="AA82" s="268" t="str">
        <f t="shared" si="47"/>
        <v>1</v>
      </c>
      <c r="AB82" s="268" t="str">
        <f t="shared" si="107"/>
        <v>1</v>
      </c>
      <c r="AC82" s="268" t="str">
        <f t="shared" si="46"/>
        <v>1</v>
      </c>
      <c r="AD82" s="268" t="str">
        <f t="shared" si="48"/>
        <v>1</v>
      </c>
      <c r="AE82" s="268" t="str">
        <f t="shared" si="49"/>
        <v>1</v>
      </c>
      <c r="AF82" s="268" t="str">
        <f t="shared" si="68"/>
        <v>1</v>
      </c>
      <c r="AG82" s="268" t="str">
        <f t="shared" si="69"/>
        <v>1</v>
      </c>
      <c r="AH82" s="268" t="str">
        <f t="shared" si="70"/>
        <v>1</v>
      </c>
      <c r="AI82" s="268" t="str">
        <f t="shared" si="71"/>
        <v>1</v>
      </c>
      <c r="AJ82" s="268" t="str">
        <f t="shared" si="106"/>
        <v>1</v>
      </c>
      <c r="AK82" s="268" t="str">
        <f t="shared" si="108"/>
        <v>1</v>
      </c>
      <c r="AL82" s="268" t="str">
        <f t="shared" si="109"/>
        <v>1</v>
      </c>
      <c r="AM82" s="268">
        <v>1</v>
      </c>
      <c r="AN82" s="223" t="str">
        <f t="shared" si="91"/>
        <v>1</v>
      </c>
      <c r="AO82" s="223" t="str">
        <f t="shared" si="92"/>
        <v>1</v>
      </c>
      <c r="AP82" s="223" t="str">
        <f t="shared" si="93"/>
        <v>1</v>
      </c>
      <c r="AQ82" s="223" t="str">
        <f t="shared" si="94"/>
        <v>1</v>
      </c>
      <c r="AR82" s="223" t="str">
        <f t="shared" si="95"/>
        <v>1</v>
      </c>
      <c r="AS82" s="223" t="str">
        <f t="shared" si="96"/>
        <v>1</v>
      </c>
      <c r="AT82" s="223" t="str">
        <f t="shared" si="97"/>
        <v>1</v>
      </c>
      <c r="AU82" s="223" t="str">
        <f t="shared" si="98"/>
        <v>1</v>
      </c>
      <c r="AV82" s="223" t="str">
        <f t="shared" si="99"/>
        <v>1</v>
      </c>
      <c r="AW82" s="223" t="str">
        <f t="shared" si="100"/>
        <v>1</v>
      </c>
      <c r="AX82" s="223" t="str">
        <f t="shared" si="101"/>
        <v>1</v>
      </c>
      <c r="AY82" s="223" t="str">
        <f t="shared" si="102"/>
        <v>1</v>
      </c>
    </row>
    <row r="83" spans="1:51" ht="56.25" x14ac:dyDescent="0.25">
      <c r="A83" s="214">
        <v>81</v>
      </c>
      <c r="B83" s="250" t="s">
        <v>58</v>
      </c>
      <c r="C83" s="132" t="s">
        <v>437</v>
      </c>
      <c r="D83" s="135">
        <v>2012</v>
      </c>
      <c r="E83" s="136">
        <v>41122</v>
      </c>
      <c r="F83" s="222">
        <f t="shared" si="72"/>
        <v>8</v>
      </c>
      <c r="G83" s="222" t="str">
        <f t="shared" si="73"/>
        <v>82012</v>
      </c>
      <c r="H83" s="222" t="str">
        <f t="shared" si="74"/>
        <v>agosto</v>
      </c>
      <c r="I83" s="126" t="str">
        <f>VLOOKUP(B83,'Base de Datos'!$E$7:$T$271,14,0)</f>
        <v>107 días calendario</v>
      </c>
      <c r="J83" s="224" t="e">
        <f t="shared" si="75"/>
        <v>#VALUE!</v>
      </c>
      <c r="K83" s="223" t="e">
        <f t="shared" si="76"/>
        <v>#VALUE!</v>
      </c>
      <c r="L83" s="223" t="e">
        <f t="shared" si="77"/>
        <v>#VALUE!</v>
      </c>
      <c r="M83" s="223" t="str">
        <f t="shared" si="78"/>
        <v>107 días calendario</v>
      </c>
      <c r="N83" s="223" t="e">
        <f t="shared" ca="1" si="79"/>
        <v>#VALUE!</v>
      </c>
      <c r="O83" s="268" t="e">
        <f t="shared" ca="1" si="80"/>
        <v>#VALUE!</v>
      </c>
      <c r="P83" s="268" t="str">
        <f t="shared" si="103"/>
        <v/>
      </c>
      <c r="Q83" s="268" t="str">
        <f t="shared" si="81"/>
        <v/>
      </c>
      <c r="R83" s="268" t="str">
        <f t="shared" si="82"/>
        <v/>
      </c>
      <c r="S83" s="268" t="str">
        <f t="shared" si="83"/>
        <v/>
      </c>
      <c r="T83" s="268" t="str">
        <f t="shared" si="84"/>
        <v/>
      </c>
      <c r="U83" s="268" t="str">
        <f t="shared" si="85"/>
        <v/>
      </c>
      <c r="V83" s="268" t="str">
        <f t="shared" si="105"/>
        <v/>
      </c>
      <c r="W83" s="268" t="str">
        <f t="shared" si="86"/>
        <v>1</v>
      </c>
      <c r="X83" s="268" t="str">
        <f t="shared" si="87"/>
        <v>1</v>
      </c>
      <c r="Y83" s="268" t="str">
        <f t="shared" si="104"/>
        <v>1</v>
      </c>
      <c r="Z83" s="268" t="str">
        <f t="shared" si="88"/>
        <v>1</v>
      </c>
      <c r="AA83" s="268" t="str">
        <f t="shared" si="47"/>
        <v>1</v>
      </c>
      <c r="AB83" s="268" t="str">
        <f t="shared" si="107"/>
        <v>1</v>
      </c>
      <c r="AC83" s="268" t="str">
        <f t="shared" si="46"/>
        <v>1</v>
      </c>
      <c r="AD83" s="268" t="str">
        <f t="shared" si="48"/>
        <v>1</v>
      </c>
      <c r="AE83" s="268" t="str">
        <f t="shared" si="49"/>
        <v>1</v>
      </c>
      <c r="AF83" s="268" t="str">
        <f t="shared" si="68"/>
        <v>1</v>
      </c>
      <c r="AG83" s="268" t="str">
        <f t="shared" si="69"/>
        <v>1</v>
      </c>
      <c r="AH83" s="268" t="str">
        <f t="shared" si="70"/>
        <v>1</v>
      </c>
      <c r="AI83" s="268" t="str">
        <f t="shared" si="71"/>
        <v>1</v>
      </c>
      <c r="AJ83" s="268" t="str">
        <f t="shared" si="106"/>
        <v>1</v>
      </c>
      <c r="AK83" s="268" t="str">
        <f t="shared" si="108"/>
        <v>1</v>
      </c>
      <c r="AL83" s="268" t="str">
        <f t="shared" si="109"/>
        <v>1</v>
      </c>
      <c r="AM83" s="268">
        <v>1</v>
      </c>
      <c r="AN83" s="223" t="str">
        <f t="shared" si="91"/>
        <v>1</v>
      </c>
      <c r="AO83" s="223" t="str">
        <f t="shared" si="92"/>
        <v>1</v>
      </c>
      <c r="AP83" s="223" t="str">
        <f t="shared" si="93"/>
        <v>1</v>
      </c>
      <c r="AQ83" s="223" t="str">
        <f t="shared" si="94"/>
        <v>1</v>
      </c>
      <c r="AR83" s="223" t="str">
        <f t="shared" si="95"/>
        <v>1</v>
      </c>
      <c r="AS83" s="223" t="str">
        <f t="shared" si="96"/>
        <v>1</v>
      </c>
      <c r="AT83" s="223" t="str">
        <f t="shared" si="97"/>
        <v>1</v>
      </c>
      <c r="AU83" s="223" t="str">
        <f t="shared" si="98"/>
        <v>1</v>
      </c>
      <c r="AV83" s="223" t="str">
        <f t="shared" si="99"/>
        <v>1</v>
      </c>
      <c r="AW83" s="223" t="str">
        <f t="shared" si="100"/>
        <v>1</v>
      </c>
      <c r="AX83" s="223" t="str">
        <f t="shared" si="101"/>
        <v>1</v>
      </c>
      <c r="AY83" s="223" t="str">
        <f t="shared" si="102"/>
        <v>1</v>
      </c>
    </row>
    <row r="84" spans="1:51" ht="22.5" x14ac:dyDescent="0.25">
      <c r="A84" s="214">
        <v>82</v>
      </c>
      <c r="B84" s="252" t="s">
        <v>114</v>
      </c>
      <c r="C84" s="132" t="s">
        <v>115</v>
      </c>
      <c r="D84" s="152">
        <v>2012</v>
      </c>
      <c r="E84" s="136">
        <v>41170</v>
      </c>
      <c r="F84" s="222">
        <f t="shared" si="72"/>
        <v>9</v>
      </c>
      <c r="G84" s="222" t="str">
        <f t="shared" si="73"/>
        <v>92012</v>
      </c>
      <c r="H84" s="222" t="str">
        <f t="shared" si="74"/>
        <v>septiembre</v>
      </c>
      <c r="I84" s="126" t="str">
        <f>VLOOKUP(B84,'Base de Datos'!$E$7:$T$271,14,0)</f>
        <v/>
      </c>
      <c r="J84" s="224" t="e">
        <f t="shared" si="75"/>
        <v>#VALUE!</v>
      </c>
      <c r="K84" s="223" t="e">
        <f t="shared" si="76"/>
        <v>#VALUE!</v>
      </c>
      <c r="L84" s="223" t="e">
        <f t="shared" si="77"/>
        <v>#VALUE!</v>
      </c>
      <c r="M84" s="223" t="str">
        <f t="shared" si="78"/>
        <v/>
      </c>
      <c r="N84" s="223" t="e">
        <f t="shared" ca="1" si="79"/>
        <v>#VALUE!</v>
      </c>
      <c r="O84" s="268" t="e">
        <f t="shared" ca="1" si="80"/>
        <v>#VALUE!</v>
      </c>
      <c r="P84" s="268" t="str">
        <f t="shared" si="103"/>
        <v/>
      </c>
      <c r="Q84" s="268" t="str">
        <f t="shared" si="81"/>
        <v/>
      </c>
      <c r="R84" s="268" t="str">
        <f t="shared" si="82"/>
        <v/>
      </c>
      <c r="S84" s="268" t="str">
        <f t="shared" si="83"/>
        <v/>
      </c>
      <c r="T84" s="268" t="str">
        <f t="shared" si="84"/>
        <v/>
      </c>
      <c r="U84" s="268" t="str">
        <f t="shared" si="85"/>
        <v/>
      </c>
      <c r="V84" s="268" t="str">
        <f t="shared" si="105"/>
        <v/>
      </c>
      <c r="W84" s="268" t="str">
        <f t="shared" si="86"/>
        <v/>
      </c>
      <c r="X84" s="268" t="str">
        <f t="shared" si="87"/>
        <v>1</v>
      </c>
      <c r="Y84" s="268" t="str">
        <f t="shared" si="104"/>
        <v>1</v>
      </c>
      <c r="Z84" s="268" t="str">
        <f t="shared" si="88"/>
        <v>1</v>
      </c>
      <c r="AA84" s="268" t="str">
        <f t="shared" si="47"/>
        <v>1</v>
      </c>
      <c r="AB84" s="268" t="str">
        <f t="shared" si="107"/>
        <v>1</v>
      </c>
      <c r="AC84" s="268" t="str">
        <f t="shared" ref="AC84:AC147" si="110">IF(AND(E84&lt;$AC$2,I84&gt;$AC$2),"1","")</f>
        <v>1</v>
      </c>
      <c r="AD84" s="268" t="str">
        <f t="shared" si="48"/>
        <v>1</v>
      </c>
      <c r="AE84" s="268" t="str">
        <f t="shared" si="49"/>
        <v>1</v>
      </c>
      <c r="AF84" s="268" t="str">
        <f t="shared" si="68"/>
        <v>1</v>
      </c>
      <c r="AG84" s="268" t="str">
        <f t="shared" si="69"/>
        <v>1</v>
      </c>
      <c r="AH84" s="268" t="str">
        <f t="shared" si="70"/>
        <v>1</v>
      </c>
      <c r="AI84" s="268" t="str">
        <f t="shared" si="71"/>
        <v>1</v>
      </c>
      <c r="AJ84" s="268" t="str">
        <f t="shared" si="106"/>
        <v>1</v>
      </c>
      <c r="AK84" s="268" t="str">
        <f t="shared" si="108"/>
        <v>1</v>
      </c>
      <c r="AL84" s="268" t="str">
        <f t="shared" si="109"/>
        <v>1</v>
      </c>
      <c r="AM84" s="268">
        <v>1</v>
      </c>
      <c r="AN84" s="223" t="str">
        <f t="shared" si="91"/>
        <v>1</v>
      </c>
      <c r="AO84" s="223" t="str">
        <f t="shared" si="92"/>
        <v>1</v>
      </c>
      <c r="AP84" s="223" t="str">
        <f t="shared" si="93"/>
        <v>1</v>
      </c>
      <c r="AQ84" s="223" t="str">
        <f t="shared" si="94"/>
        <v>1</v>
      </c>
      <c r="AR84" s="223" t="str">
        <f t="shared" si="95"/>
        <v>1</v>
      </c>
      <c r="AS84" s="223" t="str">
        <f t="shared" si="96"/>
        <v>1</v>
      </c>
      <c r="AT84" s="223" t="str">
        <f t="shared" si="97"/>
        <v>1</v>
      </c>
      <c r="AU84" s="223" t="str">
        <f t="shared" si="98"/>
        <v>1</v>
      </c>
      <c r="AV84" s="223" t="str">
        <f t="shared" si="99"/>
        <v>1</v>
      </c>
      <c r="AW84" s="223" t="str">
        <f t="shared" si="100"/>
        <v>1</v>
      </c>
      <c r="AX84" s="223" t="str">
        <f t="shared" si="101"/>
        <v>1</v>
      </c>
      <c r="AY84" s="223" t="str">
        <f t="shared" si="102"/>
        <v>1</v>
      </c>
    </row>
    <row r="85" spans="1:51" ht="22.5" x14ac:dyDescent="0.25">
      <c r="A85" s="214">
        <v>83</v>
      </c>
      <c r="B85" s="251" t="s">
        <v>220</v>
      </c>
      <c r="C85" s="132" t="s">
        <v>1149</v>
      </c>
      <c r="D85" s="141">
        <v>2013</v>
      </c>
      <c r="E85" s="138">
        <v>41626</v>
      </c>
      <c r="F85" s="222">
        <f t="shared" si="72"/>
        <v>12</v>
      </c>
      <c r="G85" s="222" t="str">
        <f t="shared" si="73"/>
        <v>122013</v>
      </c>
      <c r="H85" s="222" t="str">
        <f t="shared" si="74"/>
        <v>diciembre</v>
      </c>
      <c r="I85" s="126" t="str">
        <f>VLOOKUP(B85,'Base de Datos'!$E$7:$T$271,14,0)</f>
        <v/>
      </c>
      <c r="J85" s="224" t="e">
        <f t="shared" si="75"/>
        <v>#VALUE!</v>
      </c>
      <c r="K85" s="223" t="e">
        <f t="shared" si="76"/>
        <v>#VALUE!</v>
      </c>
      <c r="L85" s="223" t="e">
        <f t="shared" si="77"/>
        <v>#VALUE!</v>
      </c>
      <c r="M85" s="223" t="str">
        <f t="shared" si="78"/>
        <v/>
      </c>
      <c r="N85" s="223" t="e">
        <f t="shared" ca="1" si="79"/>
        <v>#VALUE!</v>
      </c>
      <c r="O85" s="268" t="e">
        <f t="shared" ca="1" si="80"/>
        <v>#VALUE!</v>
      </c>
      <c r="P85" s="268" t="str">
        <f t="shared" si="103"/>
        <v/>
      </c>
      <c r="Q85" s="268" t="str">
        <f t="shared" si="81"/>
        <v/>
      </c>
      <c r="R85" s="268" t="str">
        <f t="shared" si="82"/>
        <v/>
      </c>
      <c r="S85" s="268" t="str">
        <f t="shared" si="83"/>
        <v/>
      </c>
      <c r="T85" s="268" t="str">
        <f t="shared" si="84"/>
        <v/>
      </c>
      <c r="U85" s="268" t="str">
        <f t="shared" si="85"/>
        <v/>
      </c>
      <c r="V85" s="268" t="str">
        <f t="shared" si="105"/>
        <v/>
      </c>
      <c r="W85" s="268" t="str">
        <f t="shared" si="86"/>
        <v/>
      </c>
      <c r="X85" s="268" t="str">
        <f t="shared" si="87"/>
        <v/>
      </c>
      <c r="Y85" s="268" t="str">
        <f t="shared" si="104"/>
        <v/>
      </c>
      <c r="Z85" s="268" t="str">
        <f t="shared" si="88"/>
        <v/>
      </c>
      <c r="AA85" s="268" t="str">
        <f t="shared" si="47"/>
        <v/>
      </c>
      <c r="AB85" s="268" t="str">
        <f t="shared" si="107"/>
        <v/>
      </c>
      <c r="AC85" s="268" t="str">
        <f t="shared" si="110"/>
        <v/>
      </c>
      <c r="AD85" s="268" t="str">
        <f t="shared" si="48"/>
        <v/>
      </c>
      <c r="AE85" s="268" t="str">
        <f t="shared" si="49"/>
        <v/>
      </c>
      <c r="AF85" s="268" t="str">
        <f t="shared" si="68"/>
        <v/>
      </c>
      <c r="AG85" s="268" t="str">
        <f t="shared" si="69"/>
        <v/>
      </c>
      <c r="AH85" s="268" t="str">
        <f t="shared" si="70"/>
        <v/>
      </c>
      <c r="AI85" s="268" t="str">
        <f t="shared" si="71"/>
        <v/>
      </c>
      <c r="AJ85" s="268" t="str">
        <f t="shared" si="106"/>
        <v/>
      </c>
      <c r="AK85" s="268" t="str">
        <f t="shared" si="108"/>
        <v/>
      </c>
      <c r="AL85" s="268" t="str">
        <f t="shared" si="109"/>
        <v/>
      </c>
      <c r="AM85" s="268" t="str">
        <f t="shared" ref="AM85:AM116" si="111">IF(AND(E85&lt;$AM$2,I85&gt;$AM$2),"1","")</f>
        <v>1</v>
      </c>
      <c r="AN85" s="223">
        <v>1</v>
      </c>
      <c r="AO85" s="223" t="str">
        <f t="shared" si="92"/>
        <v>1</v>
      </c>
      <c r="AP85" s="223" t="str">
        <f t="shared" si="93"/>
        <v>1</v>
      </c>
      <c r="AQ85" s="223" t="str">
        <f t="shared" si="94"/>
        <v>1</v>
      </c>
      <c r="AR85" s="223" t="str">
        <f t="shared" si="95"/>
        <v>1</v>
      </c>
      <c r="AS85" s="223" t="str">
        <f t="shared" si="96"/>
        <v>1</v>
      </c>
      <c r="AT85" s="223" t="str">
        <f t="shared" si="97"/>
        <v>1</v>
      </c>
      <c r="AU85" s="223" t="str">
        <f t="shared" si="98"/>
        <v>1</v>
      </c>
      <c r="AV85" s="223" t="str">
        <f t="shared" si="99"/>
        <v>1</v>
      </c>
      <c r="AW85" s="223" t="str">
        <f t="shared" si="100"/>
        <v>1</v>
      </c>
      <c r="AX85" s="223" t="str">
        <f t="shared" si="101"/>
        <v>1</v>
      </c>
      <c r="AY85" s="223" t="str">
        <f t="shared" si="102"/>
        <v>1</v>
      </c>
    </row>
    <row r="86" spans="1:51" x14ac:dyDescent="0.25">
      <c r="A86" s="214">
        <v>84</v>
      </c>
      <c r="B86" s="251" t="s">
        <v>177</v>
      </c>
      <c r="C86" s="132" t="s">
        <v>1039</v>
      </c>
      <c r="D86" s="141">
        <v>2013</v>
      </c>
      <c r="E86" s="138">
        <v>41554</v>
      </c>
      <c r="F86" s="222">
        <f t="shared" si="72"/>
        <v>10</v>
      </c>
      <c r="G86" s="222" t="str">
        <f t="shared" si="73"/>
        <v>102013</v>
      </c>
      <c r="H86" s="222" t="str">
        <f t="shared" si="74"/>
        <v>octubre</v>
      </c>
      <c r="I86" s="126" t="str">
        <f>VLOOKUP(B86,'Base de Datos'!$E$7:$T$271,14,0)</f>
        <v/>
      </c>
      <c r="J86" s="224" t="e">
        <f t="shared" si="75"/>
        <v>#VALUE!</v>
      </c>
      <c r="K86" s="223" t="e">
        <f t="shared" si="76"/>
        <v>#VALUE!</v>
      </c>
      <c r="L86" s="223" t="e">
        <f t="shared" si="77"/>
        <v>#VALUE!</v>
      </c>
      <c r="M86" s="223" t="str">
        <f t="shared" si="78"/>
        <v/>
      </c>
      <c r="N86" s="223" t="e">
        <f t="shared" ca="1" si="79"/>
        <v>#VALUE!</v>
      </c>
      <c r="O86" s="268" t="e">
        <f t="shared" ca="1" si="80"/>
        <v>#VALUE!</v>
      </c>
      <c r="P86" s="268" t="str">
        <f t="shared" si="103"/>
        <v/>
      </c>
      <c r="Q86" s="268" t="str">
        <f t="shared" si="81"/>
        <v/>
      </c>
      <c r="R86" s="268" t="str">
        <f t="shared" si="82"/>
        <v/>
      </c>
      <c r="S86" s="268" t="str">
        <f t="shared" si="83"/>
        <v/>
      </c>
      <c r="T86" s="268" t="str">
        <f t="shared" si="84"/>
        <v/>
      </c>
      <c r="U86" s="268" t="str">
        <f t="shared" si="85"/>
        <v/>
      </c>
      <c r="V86" s="268" t="str">
        <f t="shared" si="105"/>
        <v/>
      </c>
      <c r="W86" s="268" t="str">
        <f t="shared" si="86"/>
        <v/>
      </c>
      <c r="X86" s="268" t="str">
        <f t="shared" si="87"/>
        <v/>
      </c>
      <c r="Y86" s="268" t="str">
        <f t="shared" si="104"/>
        <v/>
      </c>
      <c r="Z86" s="268" t="str">
        <f t="shared" si="88"/>
        <v/>
      </c>
      <c r="AA86" s="268" t="str">
        <f t="shared" ref="AA86:AA149" si="112">IF(AND(E86&lt;$AA$2,I86&gt;$AA$2),"1","")</f>
        <v/>
      </c>
      <c r="AB86" s="268" t="str">
        <f t="shared" si="107"/>
        <v/>
      </c>
      <c r="AC86" s="268" t="str">
        <f t="shared" si="110"/>
        <v/>
      </c>
      <c r="AD86" s="268" t="str">
        <f t="shared" si="48"/>
        <v/>
      </c>
      <c r="AE86" s="268" t="str">
        <f t="shared" si="49"/>
        <v/>
      </c>
      <c r="AF86" s="268" t="str">
        <f t="shared" si="68"/>
        <v/>
      </c>
      <c r="AG86" s="268" t="str">
        <f t="shared" si="69"/>
        <v/>
      </c>
      <c r="AH86" s="268" t="str">
        <f t="shared" si="70"/>
        <v/>
      </c>
      <c r="AI86" s="268" t="str">
        <f t="shared" si="71"/>
        <v/>
      </c>
      <c r="AJ86" s="268" t="str">
        <f t="shared" si="106"/>
        <v/>
      </c>
      <c r="AK86" s="268" t="str">
        <f t="shared" si="108"/>
        <v>1</v>
      </c>
      <c r="AL86" s="268" t="str">
        <f t="shared" si="109"/>
        <v>1</v>
      </c>
      <c r="AM86" s="268" t="str">
        <f t="shared" si="111"/>
        <v>1</v>
      </c>
      <c r="AN86" s="223">
        <v>1</v>
      </c>
      <c r="AO86" s="223" t="str">
        <f t="shared" si="92"/>
        <v>1</v>
      </c>
      <c r="AP86" s="223" t="str">
        <f t="shared" si="93"/>
        <v>1</v>
      </c>
      <c r="AQ86" s="223" t="str">
        <f t="shared" si="94"/>
        <v>1</v>
      </c>
      <c r="AR86" s="223" t="str">
        <f t="shared" si="95"/>
        <v>1</v>
      </c>
      <c r="AS86" s="223" t="str">
        <f t="shared" si="96"/>
        <v>1</v>
      </c>
      <c r="AT86" s="223" t="str">
        <f t="shared" si="97"/>
        <v>1</v>
      </c>
      <c r="AU86" s="223" t="str">
        <f t="shared" si="98"/>
        <v>1</v>
      </c>
      <c r="AV86" s="223" t="str">
        <f t="shared" si="99"/>
        <v>1</v>
      </c>
      <c r="AW86" s="223" t="str">
        <f t="shared" si="100"/>
        <v>1</v>
      </c>
      <c r="AX86" s="223" t="str">
        <f t="shared" si="101"/>
        <v>1</v>
      </c>
      <c r="AY86" s="223" t="str">
        <f t="shared" si="102"/>
        <v>1</v>
      </c>
    </row>
    <row r="87" spans="1:51" ht="22.5" x14ac:dyDescent="0.25">
      <c r="A87" s="214">
        <v>85</v>
      </c>
      <c r="B87" s="251" t="s">
        <v>211</v>
      </c>
      <c r="C87" s="132" t="s">
        <v>212</v>
      </c>
      <c r="D87" s="141">
        <v>2013</v>
      </c>
      <c r="E87" s="138">
        <v>41590</v>
      </c>
      <c r="F87" s="222">
        <f t="shared" si="72"/>
        <v>11</v>
      </c>
      <c r="G87" s="222" t="str">
        <f t="shared" si="73"/>
        <v>112013</v>
      </c>
      <c r="H87" s="222" t="str">
        <f t="shared" si="74"/>
        <v>noviembre</v>
      </c>
      <c r="I87" s="126" t="str">
        <f>VLOOKUP(B87,'Base de Datos'!$E$7:$T$271,14,0)</f>
        <v/>
      </c>
      <c r="J87" s="224" t="e">
        <f t="shared" si="75"/>
        <v>#VALUE!</v>
      </c>
      <c r="K87" s="223" t="e">
        <f t="shared" si="76"/>
        <v>#VALUE!</v>
      </c>
      <c r="L87" s="223" t="e">
        <f t="shared" si="77"/>
        <v>#VALUE!</v>
      </c>
      <c r="M87" s="223" t="str">
        <f t="shared" si="78"/>
        <v/>
      </c>
      <c r="N87" s="223" t="e">
        <f t="shared" ca="1" si="79"/>
        <v>#VALUE!</v>
      </c>
      <c r="O87" s="268" t="e">
        <f t="shared" ca="1" si="80"/>
        <v>#VALUE!</v>
      </c>
      <c r="P87" s="268" t="str">
        <f t="shared" si="103"/>
        <v/>
      </c>
      <c r="Q87" s="268" t="str">
        <f t="shared" si="81"/>
        <v/>
      </c>
      <c r="R87" s="268" t="str">
        <f t="shared" si="82"/>
        <v/>
      </c>
      <c r="S87" s="268" t="str">
        <f t="shared" si="83"/>
        <v/>
      </c>
      <c r="T87" s="268" t="str">
        <f t="shared" si="84"/>
        <v/>
      </c>
      <c r="U87" s="268" t="str">
        <f t="shared" si="85"/>
        <v/>
      </c>
      <c r="V87" s="268" t="str">
        <f t="shared" si="105"/>
        <v/>
      </c>
      <c r="W87" s="268" t="str">
        <f t="shared" si="86"/>
        <v/>
      </c>
      <c r="X87" s="268" t="str">
        <f t="shared" si="87"/>
        <v/>
      </c>
      <c r="Y87" s="268" t="str">
        <f t="shared" si="104"/>
        <v/>
      </c>
      <c r="Z87" s="268" t="str">
        <f t="shared" si="88"/>
        <v/>
      </c>
      <c r="AA87" s="268" t="str">
        <f t="shared" si="112"/>
        <v/>
      </c>
      <c r="AB87" s="268" t="str">
        <f t="shared" si="107"/>
        <v/>
      </c>
      <c r="AC87" s="268" t="str">
        <f t="shared" si="110"/>
        <v/>
      </c>
      <c r="AD87" s="268" t="str">
        <f t="shared" si="48"/>
        <v/>
      </c>
      <c r="AE87" s="268" t="str">
        <f t="shared" si="49"/>
        <v/>
      </c>
      <c r="AF87" s="268" t="str">
        <f t="shared" si="68"/>
        <v/>
      </c>
      <c r="AG87" s="268" t="str">
        <f t="shared" si="69"/>
        <v/>
      </c>
      <c r="AH87" s="268" t="str">
        <f t="shared" si="70"/>
        <v/>
      </c>
      <c r="AI87" s="268" t="str">
        <f t="shared" si="71"/>
        <v/>
      </c>
      <c r="AJ87" s="268" t="str">
        <f t="shared" si="106"/>
        <v/>
      </c>
      <c r="AK87" s="268" t="str">
        <f t="shared" si="108"/>
        <v/>
      </c>
      <c r="AL87" s="268" t="str">
        <f t="shared" si="109"/>
        <v>1</v>
      </c>
      <c r="AM87" s="268" t="str">
        <f t="shared" si="111"/>
        <v>1</v>
      </c>
      <c r="AN87" s="223">
        <v>1</v>
      </c>
      <c r="AO87" s="223" t="str">
        <f t="shared" si="92"/>
        <v>1</v>
      </c>
      <c r="AP87" s="223" t="str">
        <f t="shared" si="93"/>
        <v>1</v>
      </c>
      <c r="AQ87" s="223" t="str">
        <f t="shared" si="94"/>
        <v>1</v>
      </c>
      <c r="AR87" s="223" t="str">
        <f t="shared" si="95"/>
        <v>1</v>
      </c>
      <c r="AS87" s="223" t="str">
        <f t="shared" si="96"/>
        <v>1</v>
      </c>
      <c r="AT87" s="223" t="str">
        <f t="shared" si="97"/>
        <v>1</v>
      </c>
      <c r="AU87" s="223" t="str">
        <f t="shared" si="98"/>
        <v>1</v>
      </c>
      <c r="AV87" s="223" t="str">
        <f t="shared" si="99"/>
        <v>1</v>
      </c>
      <c r="AW87" s="223" t="str">
        <f t="shared" si="100"/>
        <v>1</v>
      </c>
      <c r="AX87" s="223" t="str">
        <f t="shared" si="101"/>
        <v>1</v>
      </c>
      <c r="AY87" s="223" t="str">
        <f t="shared" si="102"/>
        <v>1</v>
      </c>
    </row>
    <row r="88" spans="1:51" x14ac:dyDescent="0.25">
      <c r="A88" s="214">
        <v>86</v>
      </c>
      <c r="B88" s="251" t="s">
        <v>209</v>
      </c>
      <c r="C88" s="132" t="s">
        <v>210</v>
      </c>
      <c r="D88" s="141">
        <v>2013</v>
      </c>
      <c r="E88" s="138">
        <v>41590</v>
      </c>
      <c r="F88" s="222">
        <f t="shared" si="72"/>
        <v>11</v>
      </c>
      <c r="G88" s="222" t="str">
        <f t="shared" si="73"/>
        <v>112013</v>
      </c>
      <c r="H88" s="222" t="str">
        <f t="shared" si="74"/>
        <v>noviembre</v>
      </c>
      <c r="I88" s="126" t="str">
        <f>VLOOKUP(B88,'Base de Datos'!$E$7:$T$271,14,0)</f>
        <v/>
      </c>
      <c r="J88" s="224" t="e">
        <f t="shared" si="75"/>
        <v>#VALUE!</v>
      </c>
      <c r="K88" s="223" t="e">
        <f t="shared" si="76"/>
        <v>#VALUE!</v>
      </c>
      <c r="L88" s="223" t="e">
        <f t="shared" si="77"/>
        <v>#VALUE!</v>
      </c>
      <c r="M88" s="223" t="str">
        <f t="shared" si="78"/>
        <v/>
      </c>
      <c r="N88" s="223" t="e">
        <f t="shared" ca="1" si="79"/>
        <v>#VALUE!</v>
      </c>
      <c r="O88" s="268" t="e">
        <f t="shared" ca="1" si="80"/>
        <v>#VALUE!</v>
      </c>
      <c r="P88" s="268" t="str">
        <f t="shared" si="103"/>
        <v/>
      </c>
      <c r="Q88" s="268" t="str">
        <f t="shared" si="81"/>
        <v/>
      </c>
      <c r="R88" s="268" t="str">
        <f t="shared" si="82"/>
        <v/>
      </c>
      <c r="S88" s="268" t="str">
        <f t="shared" si="83"/>
        <v/>
      </c>
      <c r="T88" s="268" t="str">
        <f t="shared" si="84"/>
        <v/>
      </c>
      <c r="U88" s="268" t="str">
        <f t="shared" si="85"/>
        <v/>
      </c>
      <c r="V88" s="268" t="str">
        <f t="shared" si="105"/>
        <v/>
      </c>
      <c r="W88" s="268" t="str">
        <f t="shared" si="86"/>
        <v/>
      </c>
      <c r="X88" s="268" t="str">
        <f t="shared" si="87"/>
        <v/>
      </c>
      <c r="Y88" s="268" t="str">
        <f t="shared" si="104"/>
        <v/>
      </c>
      <c r="Z88" s="268" t="str">
        <f t="shared" si="88"/>
        <v/>
      </c>
      <c r="AA88" s="268" t="str">
        <f t="shared" si="112"/>
        <v/>
      </c>
      <c r="AB88" s="268" t="str">
        <f t="shared" si="107"/>
        <v/>
      </c>
      <c r="AC88" s="268" t="str">
        <f t="shared" si="110"/>
        <v/>
      </c>
      <c r="AD88" s="268" t="str">
        <f t="shared" si="48"/>
        <v/>
      </c>
      <c r="AE88" s="268" t="str">
        <f t="shared" si="49"/>
        <v/>
      </c>
      <c r="AF88" s="268" t="str">
        <f t="shared" si="68"/>
        <v/>
      </c>
      <c r="AG88" s="268" t="str">
        <f t="shared" si="69"/>
        <v/>
      </c>
      <c r="AH88" s="268" t="str">
        <f t="shared" si="70"/>
        <v/>
      </c>
      <c r="AI88" s="268" t="str">
        <f t="shared" si="71"/>
        <v/>
      </c>
      <c r="AJ88" s="268" t="str">
        <f t="shared" si="106"/>
        <v/>
      </c>
      <c r="AK88" s="268" t="str">
        <f t="shared" si="108"/>
        <v/>
      </c>
      <c r="AL88" s="268" t="str">
        <f t="shared" si="109"/>
        <v>1</v>
      </c>
      <c r="AM88" s="268" t="str">
        <f t="shared" si="111"/>
        <v>1</v>
      </c>
      <c r="AN88" s="223">
        <v>1</v>
      </c>
      <c r="AO88" s="223" t="str">
        <f t="shared" si="92"/>
        <v>1</v>
      </c>
      <c r="AP88" s="223" t="str">
        <f t="shared" si="93"/>
        <v>1</v>
      </c>
      <c r="AQ88" s="223" t="str">
        <f t="shared" si="94"/>
        <v>1</v>
      </c>
      <c r="AR88" s="223" t="str">
        <f t="shared" si="95"/>
        <v>1</v>
      </c>
      <c r="AS88" s="223" t="str">
        <f t="shared" si="96"/>
        <v>1</v>
      </c>
      <c r="AT88" s="223" t="str">
        <f t="shared" si="97"/>
        <v>1</v>
      </c>
      <c r="AU88" s="223" t="str">
        <f t="shared" si="98"/>
        <v>1</v>
      </c>
      <c r="AV88" s="223" t="str">
        <f t="shared" si="99"/>
        <v>1</v>
      </c>
      <c r="AW88" s="223" t="str">
        <f t="shared" si="100"/>
        <v>1</v>
      </c>
      <c r="AX88" s="223" t="str">
        <f t="shared" si="101"/>
        <v>1</v>
      </c>
      <c r="AY88" s="223" t="str">
        <f t="shared" si="102"/>
        <v>1</v>
      </c>
    </row>
    <row r="89" spans="1:51" ht="22.5" x14ac:dyDescent="0.25">
      <c r="A89" s="214">
        <v>87</v>
      </c>
      <c r="B89" s="250" t="s">
        <v>82</v>
      </c>
      <c r="C89" s="132" t="s">
        <v>1030</v>
      </c>
      <c r="D89" s="156">
        <v>2013</v>
      </c>
      <c r="E89" s="136">
        <v>41347</v>
      </c>
      <c r="F89" s="222">
        <f t="shared" si="72"/>
        <v>3</v>
      </c>
      <c r="G89" s="222" t="str">
        <f t="shared" si="73"/>
        <v>32013</v>
      </c>
      <c r="H89" s="222" t="str">
        <f t="shared" si="74"/>
        <v>marzo</v>
      </c>
      <c r="I89" s="126" t="str">
        <f>VLOOKUP(B89,'Base de Datos'!$E$7:$T$271,14,0)</f>
        <v/>
      </c>
      <c r="J89" s="224" t="e">
        <f t="shared" si="75"/>
        <v>#VALUE!</v>
      </c>
      <c r="K89" s="223" t="e">
        <f t="shared" si="76"/>
        <v>#VALUE!</v>
      </c>
      <c r="L89" s="223" t="e">
        <f t="shared" si="77"/>
        <v>#VALUE!</v>
      </c>
      <c r="M89" s="223" t="str">
        <f t="shared" si="78"/>
        <v/>
      </c>
      <c r="N89" s="223" t="e">
        <f t="shared" ca="1" si="79"/>
        <v>#VALUE!</v>
      </c>
      <c r="O89" s="268" t="e">
        <f t="shared" ca="1" si="80"/>
        <v>#VALUE!</v>
      </c>
      <c r="P89" s="268" t="str">
        <f t="shared" si="103"/>
        <v/>
      </c>
      <c r="Q89" s="268" t="str">
        <f t="shared" si="81"/>
        <v/>
      </c>
      <c r="R89" s="268" t="str">
        <f t="shared" si="82"/>
        <v/>
      </c>
      <c r="S89" s="268" t="str">
        <f t="shared" si="83"/>
        <v/>
      </c>
      <c r="T89" s="268" t="str">
        <f t="shared" si="84"/>
        <v/>
      </c>
      <c r="U89" s="268" t="str">
        <f t="shared" si="85"/>
        <v/>
      </c>
      <c r="V89" s="268" t="str">
        <f t="shared" si="105"/>
        <v/>
      </c>
      <c r="W89" s="268" t="str">
        <f t="shared" si="86"/>
        <v/>
      </c>
      <c r="X89" s="268" t="str">
        <f t="shared" si="87"/>
        <v/>
      </c>
      <c r="Y89" s="268" t="str">
        <f t="shared" si="104"/>
        <v/>
      </c>
      <c r="Z89" s="268" t="str">
        <f t="shared" si="88"/>
        <v/>
      </c>
      <c r="AA89" s="268" t="str">
        <f t="shared" si="112"/>
        <v/>
      </c>
      <c r="AB89" s="268" t="str">
        <f t="shared" si="107"/>
        <v/>
      </c>
      <c r="AC89" s="268" t="str">
        <f t="shared" si="110"/>
        <v/>
      </c>
      <c r="AD89" s="268" t="str">
        <f t="shared" si="48"/>
        <v>1</v>
      </c>
      <c r="AE89" s="268" t="str">
        <f t="shared" si="49"/>
        <v>1</v>
      </c>
      <c r="AF89" s="268" t="str">
        <f t="shared" si="68"/>
        <v>1</v>
      </c>
      <c r="AG89" s="268" t="str">
        <f t="shared" si="69"/>
        <v>1</v>
      </c>
      <c r="AH89" s="268" t="str">
        <f t="shared" si="70"/>
        <v>1</v>
      </c>
      <c r="AI89" s="268" t="str">
        <f t="shared" si="71"/>
        <v>1</v>
      </c>
      <c r="AJ89" s="268" t="str">
        <f t="shared" si="106"/>
        <v>1</v>
      </c>
      <c r="AK89" s="268" t="str">
        <f t="shared" si="108"/>
        <v>1</v>
      </c>
      <c r="AL89" s="268" t="str">
        <f t="shared" si="109"/>
        <v>1</v>
      </c>
      <c r="AM89" s="268" t="str">
        <f t="shared" si="111"/>
        <v>1</v>
      </c>
      <c r="AN89" s="223">
        <v>1</v>
      </c>
      <c r="AO89" s="223" t="str">
        <f t="shared" si="92"/>
        <v>1</v>
      </c>
      <c r="AP89" s="223" t="str">
        <f t="shared" si="93"/>
        <v>1</v>
      </c>
      <c r="AQ89" s="223" t="str">
        <f t="shared" si="94"/>
        <v>1</v>
      </c>
      <c r="AR89" s="223" t="str">
        <f t="shared" si="95"/>
        <v>1</v>
      </c>
      <c r="AS89" s="223" t="str">
        <f t="shared" si="96"/>
        <v>1</v>
      </c>
      <c r="AT89" s="223" t="str">
        <f t="shared" si="97"/>
        <v>1</v>
      </c>
      <c r="AU89" s="223" t="str">
        <f t="shared" si="98"/>
        <v>1</v>
      </c>
      <c r="AV89" s="223" t="str">
        <f t="shared" si="99"/>
        <v>1</v>
      </c>
      <c r="AW89" s="223" t="str">
        <f t="shared" si="100"/>
        <v>1</v>
      </c>
      <c r="AX89" s="223" t="str">
        <f t="shared" si="101"/>
        <v>1</v>
      </c>
      <c r="AY89" s="223" t="str">
        <f t="shared" si="102"/>
        <v>1</v>
      </c>
    </row>
    <row r="90" spans="1:51" x14ac:dyDescent="0.25">
      <c r="A90" s="214">
        <v>88</v>
      </c>
      <c r="B90" s="251" t="s">
        <v>215</v>
      </c>
      <c r="C90" s="132" t="s">
        <v>1041</v>
      </c>
      <c r="D90" s="141">
        <v>2013</v>
      </c>
      <c r="E90" s="138">
        <v>41612</v>
      </c>
      <c r="F90" s="222">
        <f t="shared" si="72"/>
        <v>12</v>
      </c>
      <c r="G90" s="222" t="str">
        <f t="shared" si="73"/>
        <v>122013</v>
      </c>
      <c r="H90" s="222" t="str">
        <f t="shared" si="74"/>
        <v>diciembre</v>
      </c>
      <c r="I90" s="126" t="str">
        <f>VLOOKUP(B90,'Base de Datos'!$E$7:$T$271,14,0)</f>
        <v/>
      </c>
      <c r="J90" s="224" t="e">
        <f t="shared" si="75"/>
        <v>#VALUE!</v>
      </c>
      <c r="K90" s="223" t="e">
        <f t="shared" si="76"/>
        <v>#VALUE!</v>
      </c>
      <c r="L90" s="223" t="e">
        <f t="shared" si="77"/>
        <v>#VALUE!</v>
      </c>
      <c r="M90" s="223" t="str">
        <f t="shared" si="78"/>
        <v/>
      </c>
      <c r="N90" s="223" t="e">
        <f t="shared" ca="1" si="79"/>
        <v>#VALUE!</v>
      </c>
      <c r="O90" s="268" t="e">
        <f t="shared" ca="1" si="80"/>
        <v>#VALUE!</v>
      </c>
      <c r="P90" s="268" t="str">
        <f t="shared" si="103"/>
        <v/>
      </c>
      <c r="Q90" s="268" t="str">
        <f t="shared" si="81"/>
        <v/>
      </c>
      <c r="R90" s="268" t="str">
        <f t="shared" si="82"/>
        <v/>
      </c>
      <c r="S90" s="268" t="str">
        <f t="shared" si="83"/>
        <v/>
      </c>
      <c r="T90" s="268" t="str">
        <f t="shared" si="84"/>
        <v/>
      </c>
      <c r="U90" s="268" t="str">
        <f t="shared" si="85"/>
        <v/>
      </c>
      <c r="V90" s="268" t="str">
        <f t="shared" si="105"/>
        <v/>
      </c>
      <c r="W90" s="268" t="str">
        <f t="shared" si="86"/>
        <v/>
      </c>
      <c r="X90" s="268" t="str">
        <f t="shared" si="87"/>
        <v/>
      </c>
      <c r="Y90" s="268" t="str">
        <f t="shared" si="104"/>
        <v/>
      </c>
      <c r="Z90" s="268" t="str">
        <f t="shared" si="88"/>
        <v/>
      </c>
      <c r="AA90" s="268" t="str">
        <f t="shared" si="112"/>
        <v/>
      </c>
      <c r="AB90" s="268" t="str">
        <f t="shared" si="107"/>
        <v/>
      </c>
      <c r="AC90" s="268" t="str">
        <f t="shared" si="110"/>
        <v/>
      </c>
      <c r="AD90" s="268" t="str">
        <f t="shared" si="48"/>
        <v/>
      </c>
      <c r="AE90" s="268" t="str">
        <f t="shared" si="49"/>
        <v/>
      </c>
      <c r="AF90" s="268" t="str">
        <f t="shared" si="68"/>
        <v/>
      </c>
      <c r="AG90" s="268" t="str">
        <f t="shared" si="69"/>
        <v/>
      </c>
      <c r="AH90" s="268" t="str">
        <f t="shared" si="70"/>
        <v/>
      </c>
      <c r="AI90" s="268" t="str">
        <f t="shared" si="71"/>
        <v/>
      </c>
      <c r="AJ90" s="268" t="str">
        <f t="shared" si="106"/>
        <v/>
      </c>
      <c r="AK90" s="268" t="str">
        <f t="shared" si="108"/>
        <v/>
      </c>
      <c r="AL90" s="268" t="str">
        <f t="shared" si="109"/>
        <v/>
      </c>
      <c r="AM90" s="268" t="str">
        <f t="shared" si="111"/>
        <v>1</v>
      </c>
      <c r="AN90" s="223">
        <v>1</v>
      </c>
      <c r="AO90" s="223" t="str">
        <f t="shared" si="92"/>
        <v>1</v>
      </c>
      <c r="AP90" s="223" t="str">
        <f t="shared" si="93"/>
        <v>1</v>
      </c>
      <c r="AQ90" s="223" t="str">
        <f t="shared" si="94"/>
        <v>1</v>
      </c>
      <c r="AR90" s="223" t="str">
        <f t="shared" si="95"/>
        <v>1</v>
      </c>
      <c r="AS90" s="223" t="str">
        <f t="shared" si="96"/>
        <v>1</v>
      </c>
      <c r="AT90" s="223" t="str">
        <f t="shared" si="97"/>
        <v>1</v>
      </c>
      <c r="AU90" s="223" t="str">
        <f t="shared" si="98"/>
        <v>1</v>
      </c>
      <c r="AV90" s="223" t="str">
        <f t="shared" si="99"/>
        <v>1</v>
      </c>
      <c r="AW90" s="223" t="str">
        <f t="shared" si="100"/>
        <v>1</v>
      </c>
      <c r="AX90" s="223" t="str">
        <f t="shared" si="101"/>
        <v>1</v>
      </c>
      <c r="AY90" s="223" t="str">
        <f t="shared" si="102"/>
        <v>1</v>
      </c>
    </row>
    <row r="91" spans="1:51" ht="22.5" x14ac:dyDescent="0.25">
      <c r="A91" s="214">
        <v>89</v>
      </c>
      <c r="B91" s="251" t="s">
        <v>227</v>
      </c>
      <c r="C91" s="132" t="s">
        <v>228</v>
      </c>
      <c r="D91" s="141">
        <v>2013</v>
      </c>
      <c r="E91" s="138">
        <v>41628</v>
      </c>
      <c r="F91" s="222">
        <f t="shared" si="72"/>
        <v>12</v>
      </c>
      <c r="G91" s="222" t="str">
        <f t="shared" si="73"/>
        <v>122013</v>
      </c>
      <c r="H91" s="222" t="str">
        <f t="shared" si="74"/>
        <v>diciembre</v>
      </c>
      <c r="I91" s="126" t="str">
        <f>VLOOKUP(B91,'Base de Datos'!$E$7:$T$271,14,0)</f>
        <v/>
      </c>
      <c r="J91" s="224" t="e">
        <f t="shared" si="75"/>
        <v>#VALUE!</v>
      </c>
      <c r="K91" s="223" t="e">
        <f t="shared" si="76"/>
        <v>#VALUE!</v>
      </c>
      <c r="L91" s="223" t="e">
        <f t="shared" si="77"/>
        <v>#VALUE!</v>
      </c>
      <c r="M91" s="223" t="str">
        <f t="shared" si="78"/>
        <v/>
      </c>
      <c r="N91" s="223" t="e">
        <f t="shared" ca="1" si="79"/>
        <v>#VALUE!</v>
      </c>
      <c r="O91" s="268" t="e">
        <f t="shared" ca="1" si="80"/>
        <v>#VALUE!</v>
      </c>
      <c r="P91" s="268" t="str">
        <f t="shared" si="103"/>
        <v/>
      </c>
      <c r="Q91" s="268" t="str">
        <f t="shared" si="81"/>
        <v/>
      </c>
      <c r="R91" s="268" t="str">
        <f t="shared" si="82"/>
        <v/>
      </c>
      <c r="S91" s="268" t="str">
        <f t="shared" si="83"/>
        <v/>
      </c>
      <c r="T91" s="268" t="str">
        <f t="shared" si="84"/>
        <v/>
      </c>
      <c r="U91" s="268" t="str">
        <f t="shared" si="85"/>
        <v/>
      </c>
      <c r="V91" s="268" t="str">
        <f t="shared" si="105"/>
        <v/>
      </c>
      <c r="W91" s="268" t="str">
        <f t="shared" si="86"/>
        <v/>
      </c>
      <c r="X91" s="268" t="str">
        <f t="shared" si="87"/>
        <v/>
      </c>
      <c r="Y91" s="268" t="str">
        <f t="shared" si="104"/>
        <v/>
      </c>
      <c r="Z91" s="268" t="str">
        <f t="shared" si="88"/>
        <v/>
      </c>
      <c r="AA91" s="268" t="str">
        <f t="shared" si="112"/>
        <v/>
      </c>
      <c r="AB91" s="268" t="str">
        <f t="shared" si="107"/>
        <v/>
      </c>
      <c r="AC91" s="268" t="str">
        <f t="shared" si="110"/>
        <v/>
      </c>
      <c r="AD91" s="268" t="str">
        <f t="shared" si="48"/>
        <v/>
      </c>
      <c r="AE91" s="268" t="str">
        <f t="shared" si="49"/>
        <v/>
      </c>
      <c r="AF91" s="268" t="str">
        <f t="shared" si="68"/>
        <v/>
      </c>
      <c r="AG91" s="268" t="str">
        <f t="shared" si="69"/>
        <v/>
      </c>
      <c r="AH91" s="268" t="str">
        <f t="shared" si="70"/>
        <v/>
      </c>
      <c r="AI91" s="268" t="str">
        <f t="shared" si="71"/>
        <v/>
      </c>
      <c r="AJ91" s="268" t="str">
        <f t="shared" si="106"/>
        <v/>
      </c>
      <c r="AK91" s="268" t="str">
        <f t="shared" si="108"/>
        <v/>
      </c>
      <c r="AL91" s="268" t="str">
        <f t="shared" si="109"/>
        <v/>
      </c>
      <c r="AM91" s="268" t="str">
        <f t="shared" si="111"/>
        <v>1</v>
      </c>
      <c r="AN91" s="223">
        <v>1</v>
      </c>
      <c r="AO91" s="223" t="str">
        <f t="shared" si="92"/>
        <v>1</v>
      </c>
      <c r="AP91" s="223" t="str">
        <f t="shared" si="93"/>
        <v>1</v>
      </c>
      <c r="AQ91" s="223" t="str">
        <f t="shared" si="94"/>
        <v>1</v>
      </c>
      <c r="AR91" s="223" t="str">
        <f t="shared" si="95"/>
        <v>1</v>
      </c>
      <c r="AS91" s="223" t="str">
        <f t="shared" si="96"/>
        <v>1</v>
      </c>
      <c r="AT91" s="223" t="str">
        <f t="shared" si="97"/>
        <v>1</v>
      </c>
      <c r="AU91" s="223" t="str">
        <f t="shared" si="98"/>
        <v>1</v>
      </c>
      <c r="AV91" s="223" t="str">
        <f t="shared" si="99"/>
        <v>1</v>
      </c>
      <c r="AW91" s="223" t="str">
        <f t="shared" si="100"/>
        <v>1</v>
      </c>
      <c r="AX91" s="223" t="str">
        <f t="shared" si="101"/>
        <v>1</v>
      </c>
      <c r="AY91" s="223" t="str">
        <f t="shared" si="102"/>
        <v>1</v>
      </c>
    </row>
    <row r="92" spans="1:51" ht="22.5" x14ac:dyDescent="0.25">
      <c r="A92" s="214">
        <v>90</v>
      </c>
      <c r="B92" s="251" t="s">
        <v>223</v>
      </c>
      <c r="C92" s="132" t="s">
        <v>224</v>
      </c>
      <c r="D92" s="141">
        <v>2013</v>
      </c>
      <c r="E92" s="138">
        <v>41628</v>
      </c>
      <c r="F92" s="222">
        <f t="shared" si="72"/>
        <v>12</v>
      </c>
      <c r="G92" s="222" t="str">
        <f t="shared" si="73"/>
        <v>122013</v>
      </c>
      <c r="H92" s="222" t="str">
        <f t="shared" si="74"/>
        <v>diciembre</v>
      </c>
      <c r="I92" s="126" t="str">
        <f>VLOOKUP(B92,'Base de Datos'!$E$7:$T$271,14,0)</f>
        <v/>
      </c>
      <c r="J92" s="224" t="e">
        <f t="shared" si="75"/>
        <v>#VALUE!</v>
      </c>
      <c r="K92" s="223" t="e">
        <f t="shared" si="76"/>
        <v>#VALUE!</v>
      </c>
      <c r="L92" s="223" t="e">
        <f t="shared" si="77"/>
        <v>#VALUE!</v>
      </c>
      <c r="M92" s="223" t="str">
        <f t="shared" si="78"/>
        <v/>
      </c>
      <c r="N92" s="223" t="e">
        <f t="shared" ca="1" si="79"/>
        <v>#VALUE!</v>
      </c>
      <c r="O92" s="268" t="e">
        <f t="shared" ca="1" si="80"/>
        <v>#VALUE!</v>
      </c>
      <c r="P92" s="268" t="str">
        <f t="shared" si="103"/>
        <v/>
      </c>
      <c r="Q92" s="268" t="str">
        <f t="shared" si="81"/>
        <v/>
      </c>
      <c r="R92" s="268" t="str">
        <f t="shared" si="82"/>
        <v/>
      </c>
      <c r="S92" s="268" t="str">
        <f t="shared" si="83"/>
        <v/>
      </c>
      <c r="T92" s="268" t="str">
        <f t="shared" si="84"/>
        <v/>
      </c>
      <c r="U92" s="268" t="str">
        <f t="shared" si="85"/>
        <v/>
      </c>
      <c r="V92" s="268" t="str">
        <f t="shared" si="105"/>
        <v/>
      </c>
      <c r="W92" s="268" t="str">
        <f t="shared" si="86"/>
        <v/>
      </c>
      <c r="X92" s="268" t="str">
        <f t="shared" si="87"/>
        <v/>
      </c>
      <c r="Y92" s="268" t="str">
        <f t="shared" si="104"/>
        <v/>
      </c>
      <c r="Z92" s="268" t="str">
        <f t="shared" si="88"/>
        <v/>
      </c>
      <c r="AA92" s="268" t="str">
        <f t="shared" si="112"/>
        <v/>
      </c>
      <c r="AB92" s="268" t="str">
        <f t="shared" si="107"/>
        <v/>
      </c>
      <c r="AC92" s="268" t="str">
        <f t="shared" si="110"/>
        <v/>
      </c>
      <c r="AD92" s="268" t="str">
        <f t="shared" si="48"/>
        <v/>
      </c>
      <c r="AE92" s="268" t="str">
        <f t="shared" si="49"/>
        <v/>
      </c>
      <c r="AF92" s="268" t="str">
        <f t="shared" si="68"/>
        <v/>
      </c>
      <c r="AG92" s="268" t="str">
        <f t="shared" si="69"/>
        <v/>
      </c>
      <c r="AH92" s="268" t="str">
        <f t="shared" si="70"/>
        <v/>
      </c>
      <c r="AI92" s="268" t="str">
        <f t="shared" si="71"/>
        <v/>
      </c>
      <c r="AJ92" s="268" t="str">
        <f t="shared" si="106"/>
        <v/>
      </c>
      <c r="AK92" s="268" t="str">
        <f t="shared" si="108"/>
        <v/>
      </c>
      <c r="AL92" s="268" t="str">
        <f t="shared" si="109"/>
        <v/>
      </c>
      <c r="AM92" s="268" t="str">
        <f t="shared" si="111"/>
        <v>1</v>
      </c>
      <c r="AN92" s="223">
        <v>1</v>
      </c>
      <c r="AO92" s="223" t="str">
        <f t="shared" si="92"/>
        <v>1</v>
      </c>
      <c r="AP92" s="223" t="str">
        <f t="shared" si="93"/>
        <v>1</v>
      </c>
      <c r="AQ92" s="223" t="str">
        <f t="shared" si="94"/>
        <v>1</v>
      </c>
      <c r="AR92" s="223" t="str">
        <f t="shared" si="95"/>
        <v>1</v>
      </c>
      <c r="AS92" s="223" t="str">
        <f t="shared" si="96"/>
        <v>1</v>
      </c>
      <c r="AT92" s="223" t="str">
        <f t="shared" si="97"/>
        <v>1</v>
      </c>
      <c r="AU92" s="223" t="str">
        <f t="shared" si="98"/>
        <v>1</v>
      </c>
      <c r="AV92" s="223" t="str">
        <f t="shared" si="99"/>
        <v>1</v>
      </c>
      <c r="AW92" s="223" t="str">
        <f t="shared" si="100"/>
        <v>1</v>
      </c>
      <c r="AX92" s="223" t="str">
        <f t="shared" si="101"/>
        <v>1</v>
      </c>
      <c r="AY92" s="223" t="str">
        <f t="shared" si="102"/>
        <v>1</v>
      </c>
    </row>
    <row r="93" spans="1:51" ht="22.5" x14ac:dyDescent="0.25">
      <c r="A93" s="214">
        <v>91</v>
      </c>
      <c r="B93" s="251" t="s">
        <v>225</v>
      </c>
      <c r="C93" s="132" t="s">
        <v>226</v>
      </c>
      <c r="D93" s="141">
        <v>2013</v>
      </c>
      <c r="E93" s="138">
        <v>41628</v>
      </c>
      <c r="F93" s="222">
        <f t="shared" si="72"/>
        <v>12</v>
      </c>
      <c r="G93" s="222" t="str">
        <f t="shared" si="73"/>
        <v>122013</v>
      </c>
      <c r="H93" s="222" t="str">
        <f t="shared" si="74"/>
        <v>diciembre</v>
      </c>
      <c r="I93" s="126" t="str">
        <f>VLOOKUP(B93,'Base de Datos'!$E$7:$T$271,14,0)</f>
        <v/>
      </c>
      <c r="J93" s="224" t="e">
        <f t="shared" si="75"/>
        <v>#VALUE!</v>
      </c>
      <c r="K93" s="223" t="e">
        <f t="shared" si="76"/>
        <v>#VALUE!</v>
      </c>
      <c r="L93" s="223" t="e">
        <f t="shared" si="77"/>
        <v>#VALUE!</v>
      </c>
      <c r="M93" s="223" t="str">
        <f t="shared" si="78"/>
        <v/>
      </c>
      <c r="N93" s="223" t="e">
        <f t="shared" ca="1" si="79"/>
        <v>#VALUE!</v>
      </c>
      <c r="O93" s="268" t="e">
        <f t="shared" ca="1" si="80"/>
        <v>#VALUE!</v>
      </c>
      <c r="P93" s="268" t="str">
        <f t="shared" si="103"/>
        <v/>
      </c>
      <c r="Q93" s="268" t="str">
        <f t="shared" si="81"/>
        <v/>
      </c>
      <c r="R93" s="268" t="str">
        <f t="shared" si="82"/>
        <v/>
      </c>
      <c r="S93" s="268" t="str">
        <f t="shared" si="83"/>
        <v/>
      </c>
      <c r="T93" s="268" t="str">
        <f t="shared" si="84"/>
        <v/>
      </c>
      <c r="U93" s="268" t="str">
        <f t="shared" si="85"/>
        <v/>
      </c>
      <c r="V93" s="268" t="str">
        <f t="shared" si="105"/>
        <v/>
      </c>
      <c r="W93" s="268" t="str">
        <f t="shared" si="86"/>
        <v/>
      </c>
      <c r="X93" s="268" t="str">
        <f t="shared" si="87"/>
        <v/>
      </c>
      <c r="Y93" s="268" t="str">
        <f t="shared" si="104"/>
        <v/>
      </c>
      <c r="Z93" s="268" t="str">
        <f t="shared" si="88"/>
        <v/>
      </c>
      <c r="AA93" s="268" t="str">
        <f t="shared" si="112"/>
        <v/>
      </c>
      <c r="AB93" s="268" t="str">
        <f t="shared" si="107"/>
        <v/>
      </c>
      <c r="AC93" s="268" t="str">
        <f t="shared" si="110"/>
        <v/>
      </c>
      <c r="AD93" s="268" t="str">
        <f t="shared" si="48"/>
        <v/>
      </c>
      <c r="AE93" s="268" t="str">
        <f t="shared" si="49"/>
        <v/>
      </c>
      <c r="AF93" s="268" t="str">
        <f t="shared" si="68"/>
        <v/>
      </c>
      <c r="AG93" s="268" t="str">
        <f t="shared" si="69"/>
        <v/>
      </c>
      <c r="AH93" s="268" t="str">
        <f t="shared" si="70"/>
        <v/>
      </c>
      <c r="AI93" s="268" t="str">
        <f t="shared" si="71"/>
        <v/>
      </c>
      <c r="AJ93" s="268" t="str">
        <f t="shared" si="106"/>
        <v/>
      </c>
      <c r="AK93" s="268" t="str">
        <f t="shared" si="108"/>
        <v/>
      </c>
      <c r="AL93" s="268" t="str">
        <f t="shared" si="109"/>
        <v/>
      </c>
      <c r="AM93" s="268" t="str">
        <f t="shared" si="111"/>
        <v>1</v>
      </c>
      <c r="AN93" s="223">
        <v>1</v>
      </c>
      <c r="AO93" s="223" t="str">
        <f t="shared" si="92"/>
        <v>1</v>
      </c>
      <c r="AP93" s="223" t="str">
        <f t="shared" si="93"/>
        <v>1</v>
      </c>
      <c r="AQ93" s="223" t="str">
        <f t="shared" si="94"/>
        <v>1</v>
      </c>
      <c r="AR93" s="223" t="str">
        <f t="shared" si="95"/>
        <v>1</v>
      </c>
      <c r="AS93" s="223" t="str">
        <f t="shared" si="96"/>
        <v>1</v>
      </c>
      <c r="AT93" s="223" t="str">
        <f t="shared" si="97"/>
        <v>1</v>
      </c>
      <c r="AU93" s="223" t="str">
        <f t="shared" si="98"/>
        <v>1</v>
      </c>
      <c r="AV93" s="223" t="str">
        <f t="shared" si="99"/>
        <v>1</v>
      </c>
      <c r="AW93" s="223" t="str">
        <f t="shared" si="100"/>
        <v>1</v>
      </c>
      <c r="AX93" s="223" t="str">
        <f t="shared" si="101"/>
        <v>1</v>
      </c>
      <c r="AY93" s="223" t="str">
        <f t="shared" si="102"/>
        <v>1</v>
      </c>
    </row>
    <row r="94" spans="1:51" ht="22.5" x14ac:dyDescent="0.25">
      <c r="A94" s="214">
        <v>92</v>
      </c>
      <c r="B94" s="251" t="s">
        <v>221</v>
      </c>
      <c r="C94" s="132" t="s">
        <v>222</v>
      </c>
      <c r="D94" s="141">
        <v>2013</v>
      </c>
      <c r="E94" s="138">
        <v>41628</v>
      </c>
      <c r="F94" s="222">
        <f t="shared" si="72"/>
        <v>12</v>
      </c>
      <c r="G94" s="222" t="str">
        <f t="shared" si="73"/>
        <v>122013</v>
      </c>
      <c r="H94" s="222" t="str">
        <f t="shared" si="74"/>
        <v>diciembre</v>
      </c>
      <c r="I94" s="126" t="str">
        <f>VLOOKUP(B94,'Base de Datos'!$E$7:$T$271,14,0)</f>
        <v/>
      </c>
      <c r="J94" s="224" t="e">
        <f t="shared" si="75"/>
        <v>#VALUE!</v>
      </c>
      <c r="K94" s="223" t="e">
        <f t="shared" si="76"/>
        <v>#VALUE!</v>
      </c>
      <c r="L94" s="223" t="e">
        <f t="shared" si="77"/>
        <v>#VALUE!</v>
      </c>
      <c r="M94" s="223" t="str">
        <f t="shared" si="78"/>
        <v/>
      </c>
      <c r="N94" s="223" t="e">
        <f t="shared" ca="1" si="79"/>
        <v>#VALUE!</v>
      </c>
      <c r="O94" s="268" t="e">
        <f t="shared" ca="1" si="80"/>
        <v>#VALUE!</v>
      </c>
      <c r="P94" s="268" t="str">
        <f t="shared" si="103"/>
        <v/>
      </c>
      <c r="Q94" s="268" t="str">
        <f t="shared" si="81"/>
        <v/>
      </c>
      <c r="R94" s="268" t="str">
        <f t="shared" si="82"/>
        <v/>
      </c>
      <c r="S94" s="268" t="str">
        <f t="shared" si="83"/>
        <v/>
      </c>
      <c r="T94" s="268" t="str">
        <f t="shared" si="84"/>
        <v/>
      </c>
      <c r="U94" s="268" t="str">
        <f t="shared" si="85"/>
        <v/>
      </c>
      <c r="V94" s="268" t="str">
        <f t="shared" si="105"/>
        <v/>
      </c>
      <c r="W94" s="268" t="str">
        <f t="shared" si="86"/>
        <v/>
      </c>
      <c r="X94" s="268" t="str">
        <f t="shared" si="87"/>
        <v/>
      </c>
      <c r="Y94" s="268" t="str">
        <f t="shared" si="104"/>
        <v/>
      </c>
      <c r="Z94" s="268" t="str">
        <f t="shared" si="88"/>
        <v/>
      </c>
      <c r="AA94" s="268" t="str">
        <f t="shared" si="112"/>
        <v/>
      </c>
      <c r="AB94" s="268" t="str">
        <f t="shared" si="107"/>
        <v/>
      </c>
      <c r="AC94" s="268" t="str">
        <f t="shared" si="110"/>
        <v/>
      </c>
      <c r="AD94" s="268" t="str">
        <f t="shared" ref="AD94:AD157" si="113">IF(AND(E94&lt;$AD$2,I94&gt;$AD$2),"1","")</f>
        <v/>
      </c>
      <c r="AE94" s="268" t="str">
        <f t="shared" si="49"/>
        <v/>
      </c>
      <c r="AF94" s="268" t="str">
        <f t="shared" si="68"/>
        <v/>
      </c>
      <c r="AG94" s="268" t="str">
        <f t="shared" si="69"/>
        <v/>
      </c>
      <c r="AH94" s="268" t="str">
        <f t="shared" si="70"/>
        <v/>
      </c>
      <c r="AI94" s="268" t="str">
        <f t="shared" si="71"/>
        <v/>
      </c>
      <c r="AJ94" s="268" t="str">
        <f t="shared" si="106"/>
        <v/>
      </c>
      <c r="AK94" s="268" t="str">
        <f t="shared" si="108"/>
        <v/>
      </c>
      <c r="AL94" s="268" t="str">
        <f t="shared" si="109"/>
        <v/>
      </c>
      <c r="AM94" s="268" t="str">
        <f t="shared" si="111"/>
        <v>1</v>
      </c>
      <c r="AN94" s="223">
        <v>1</v>
      </c>
      <c r="AO94" s="223" t="str">
        <f t="shared" si="92"/>
        <v>1</v>
      </c>
      <c r="AP94" s="223" t="str">
        <f t="shared" si="93"/>
        <v>1</v>
      </c>
      <c r="AQ94" s="223" t="str">
        <f t="shared" si="94"/>
        <v>1</v>
      </c>
      <c r="AR94" s="223" t="str">
        <f t="shared" si="95"/>
        <v>1</v>
      </c>
      <c r="AS94" s="223" t="str">
        <f t="shared" si="96"/>
        <v>1</v>
      </c>
      <c r="AT94" s="223" t="str">
        <f t="shared" si="97"/>
        <v>1</v>
      </c>
      <c r="AU94" s="223" t="str">
        <f t="shared" si="98"/>
        <v>1</v>
      </c>
      <c r="AV94" s="223" t="str">
        <f t="shared" si="99"/>
        <v>1</v>
      </c>
      <c r="AW94" s="223" t="str">
        <f t="shared" si="100"/>
        <v>1</v>
      </c>
      <c r="AX94" s="223" t="str">
        <f t="shared" si="101"/>
        <v>1</v>
      </c>
      <c r="AY94" s="223" t="str">
        <f t="shared" si="102"/>
        <v>1</v>
      </c>
    </row>
    <row r="95" spans="1:51" ht="22.5" x14ac:dyDescent="0.25">
      <c r="A95" s="214">
        <v>93</v>
      </c>
      <c r="B95" s="250" t="s">
        <v>99</v>
      </c>
      <c r="C95" s="132" t="s">
        <v>100</v>
      </c>
      <c r="D95" s="156">
        <v>2013</v>
      </c>
      <c r="E95" s="138">
        <v>41416</v>
      </c>
      <c r="F95" s="222">
        <f t="shared" si="72"/>
        <v>5</v>
      </c>
      <c r="G95" s="222" t="str">
        <f t="shared" si="73"/>
        <v>52013</v>
      </c>
      <c r="H95" s="222" t="str">
        <f t="shared" si="74"/>
        <v>mayo</v>
      </c>
      <c r="I95" s="126" t="str">
        <f>VLOOKUP(B95,'Base de Datos'!$E$7:$T$271,14,0)</f>
        <v/>
      </c>
      <c r="J95" s="224" t="e">
        <f t="shared" si="75"/>
        <v>#VALUE!</v>
      </c>
      <c r="K95" s="223" t="e">
        <f t="shared" si="76"/>
        <v>#VALUE!</v>
      </c>
      <c r="L95" s="223" t="e">
        <f t="shared" si="77"/>
        <v>#VALUE!</v>
      </c>
      <c r="M95" s="223" t="str">
        <f t="shared" si="78"/>
        <v/>
      </c>
      <c r="N95" s="223" t="e">
        <f t="shared" ca="1" si="79"/>
        <v>#VALUE!</v>
      </c>
      <c r="O95" s="268" t="e">
        <f t="shared" ca="1" si="80"/>
        <v>#VALUE!</v>
      </c>
      <c r="P95" s="268" t="str">
        <f t="shared" si="103"/>
        <v/>
      </c>
      <c r="Q95" s="268" t="str">
        <f t="shared" si="81"/>
        <v/>
      </c>
      <c r="R95" s="268" t="str">
        <f t="shared" si="82"/>
        <v/>
      </c>
      <c r="S95" s="268" t="str">
        <f t="shared" si="83"/>
        <v/>
      </c>
      <c r="T95" s="268" t="str">
        <f t="shared" si="84"/>
        <v/>
      </c>
      <c r="U95" s="268" t="str">
        <f t="shared" si="85"/>
        <v/>
      </c>
      <c r="V95" s="268" t="str">
        <f t="shared" si="105"/>
        <v/>
      </c>
      <c r="W95" s="268" t="str">
        <f t="shared" si="86"/>
        <v/>
      </c>
      <c r="X95" s="268" t="str">
        <f t="shared" si="87"/>
        <v/>
      </c>
      <c r="Y95" s="268" t="str">
        <f t="shared" si="104"/>
        <v/>
      </c>
      <c r="Z95" s="268" t="str">
        <f t="shared" si="88"/>
        <v/>
      </c>
      <c r="AA95" s="268" t="str">
        <f t="shared" si="112"/>
        <v/>
      </c>
      <c r="AB95" s="268" t="str">
        <f t="shared" si="107"/>
        <v/>
      </c>
      <c r="AC95" s="268" t="str">
        <f t="shared" si="110"/>
        <v/>
      </c>
      <c r="AD95" s="268" t="str">
        <f t="shared" si="113"/>
        <v/>
      </c>
      <c r="AE95" s="268" t="str">
        <f t="shared" si="49"/>
        <v/>
      </c>
      <c r="AF95" s="268" t="str">
        <f t="shared" si="68"/>
        <v>1</v>
      </c>
      <c r="AG95" s="268" t="str">
        <f t="shared" si="69"/>
        <v>1</v>
      </c>
      <c r="AH95" s="268" t="str">
        <f t="shared" si="70"/>
        <v>1</v>
      </c>
      <c r="AI95" s="268" t="str">
        <f t="shared" ref="AI95:AI126" si="114">IF(AND(E95&lt;$AI$2,I95&gt;$AI$2),"1","")</f>
        <v>1</v>
      </c>
      <c r="AJ95" s="268" t="str">
        <f t="shared" si="106"/>
        <v>1</v>
      </c>
      <c r="AK95" s="268" t="str">
        <f t="shared" si="108"/>
        <v>1</v>
      </c>
      <c r="AL95" s="268" t="str">
        <f t="shared" si="109"/>
        <v>1</v>
      </c>
      <c r="AM95" s="268" t="str">
        <f t="shared" si="111"/>
        <v>1</v>
      </c>
      <c r="AN95" s="223">
        <v>1</v>
      </c>
      <c r="AO95" s="223" t="str">
        <f t="shared" si="92"/>
        <v>1</v>
      </c>
      <c r="AP95" s="223" t="str">
        <f t="shared" si="93"/>
        <v>1</v>
      </c>
      <c r="AQ95" s="223" t="str">
        <f t="shared" si="94"/>
        <v>1</v>
      </c>
      <c r="AR95" s="223" t="str">
        <f t="shared" si="95"/>
        <v>1</v>
      </c>
      <c r="AS95" s="223" t="str">
        <f t="shared" si="96"/>
        <v>1</v>
      </c>
      <c r="AT95" s="223" t="str">
        <f t="shared" si="97"/>
        <v>1</v>
      </c>
      <c r="AU95" s="223" t="str">
        <f t="shared" si="98"/>
        <v>1</v>
      </c>
      <c r="AV95" s="223" t="str">
        <f t="shared" si="99"/>
        <v>1</v>
      </c>
      <c r="AW95" s="223" t="str">
        <f t="shared" si="100"/>
        <v>1</v>
      </c>
      <c r="AX95" s="223" t="str">
        <f t="shared" si="101"/>
        <v>1</v>
      </c>
      <c r="AY95" s="223" t="str">
        <f t="shared" si="102"/>
        <v>1</v>
      </c>
    </row>
    <row r="96" spans="1:51" ht="22.5" x14ac:dyDescent="0.25">
      <c r="A96" s="214">
        <v>94</v>
      </c>
      <c r="B96" s="250" t="s">
        <v>136</v>
      </c>
      <c r="C96" s="132" t="s">
        <v>137</v>
      </c>
      <c r="D96" s="156">
        <v>2013</v>
      </c>
      <c r="E96" s="136">
        <v>41416</v>
      </c>
      <c r="F96" s="222">
        <f t="shared" si="72"/>
        <v>5</v>
      </c>
      <c r="G96" s="222" t="str">
        <f t="shared" si="73"/>
        <v>52013</v>
      </c>
      <c r="H96" s="222" t="str">
        <f t="shared" si="74"/>
        <v>mayo</v>
      </c>
      <c r="I96" s="126" t="str">
        <f>VLOOKUP(B96,'Base de Datos'!$E$7:$T$271,14,0)</f>
        <v/>
      </c>
      <c r="J96" s="224" t="e">
        <f t="shared" si="75"/>
        <v>#VALUE!</v>
      </c>
      <c r="K96" s="223" t="e">
        <f t="shared" si="76"/>
        <v>#VALUE!</v>
      </c>
      <c r="L96" s="223" t="e">
        <f t="shared" si="77"/>
        <v>#VALUE!</v>
      </c>
      <c r="M96" s="223" t="str">
        <f t="shared" si="78"/>
        <v/>
      </c>
      <c r="N96" s="223" t="e">
        <f t="shared" ca="1" si="79"/>
        <v>#VALUE!</v>
      </c>
      <c r="O96" s="268" t="e">
        <f t="shared" ca="1" si="80"/>
        <v>#VALUE!</v>
      </c>
      <c r="P96" s="268" t="str">
        <f t="shared" si="103"/>
        <v/>
      </c>
      <c r="Q96" s="268" t="str">
        <f t="shared" si="81"/>
        <v/>
      </c>
      <c r="R96" s="268" t="str">
        <f t="shared" si="82"/>
        <v/>
      </c>
      <c r="S96" s="268" t="str">
        <f t="shared" si="83"/>
        <v/>
      </c>
      <c r="T96" s="268" t="str">
        <f t="shared" si="84"/>
        <v/>
      </c>
      <c r="U96" s="268" t="str">
        <f t="shared" si="85"/>
        <v/>
      </c>
      <c r="V96" s="268" t="str">
        <f t="shared" si="105"/>
        <v/>
      </c>
      <c r="W96" s="268" t="str">
        <f t="shared" si="86"/>
        <v/>
      </c>
      <c r="X96" s="268" t="str">
        <f t="shared" si="87"/>
        <v/>
      </c>
      <c r="Y96" s="268" t="str">
        <f t="shared" si="104"/>
        <v/>
      </c>
      <c r="Z96" s="268" t="str">
        <f t="shared" si="88"/>
        <v/>
      </c>
      <c r="AA96" s="268" t="str">
        <f t="shared" si="112"/>
        <v/>
      </c>
      <c r="AB96" s="268" t="str">
        <f t="shared" si="107"/>
        <v/>
      </c>
      <c r="AC96" s="268" t="str">
        <f t="shared" si="110"/>
        <v/>
      </c>
      <c r="AD96" s="268" t="str">
        <f t="shared" si="113"/>
        <v/>
      </c>
      <c r="AE96" s="268" t="str">
        <f t="shared" si="49"/>
        <v/>
      </c>
      <c r="AF96" s="268" t="str">
        <f t="shared" si="68"/>
        <v>1</v>
      </c>
      <c r="AG96" s="268" t="str">
        <f t="shared" si="69"/>
        <v>1</v>
      </c>
      <c r="AH96" s="268" t="str">
        <f t="shared" si="70"/>
        <v>1</v>
      </c>
      <c r="AI96" s="268" t="str">
        <f t="shared" si="114"/>
        <v>1</v>
      </c>
      <c r="AJ96" s="268" t="str">
        <f t="shared" si="106"/>
        <v>1</v>
      </c>
      <c r="AK96" s="268" t="str">
        <f t="shared" si="108"/>
        <v>1</v>
      </c>
      <c r="AL96" s="268" t="str">
        <f t="shared" si="109"/>
        <v>1</v>
      </c>
      <c r="AM96" s="268" t="str">
        <f t="shared" si="111"/>
        <v>1</v>
      </c>
      <c r="AN96" s="223">
        <v>1</v>
      </c>
      <c r="AO96" s="223" t="str">
        <f t="shared" si="92"/>
        <v>1</v>
      </c>
      <c r="AP96" s="223" t="str">
        <f t="shared" si="93"/>
        <v>1</v>
      </c>
      <c r="AQ96" s="223" t="str">
        <f t="shared" si="94"/>
        <v>1</v>
      </c>
      <c r="AR96" s="223" t="str">
        <f t="shared" si="95"/>
        <v>1</v>
      </c>
      <c r="AS96" s="223" t="str">
        <f t="shared" si="96"/>
        <v>1</v>
      </c>
      <c r="AT96" s="223" t="str">
        <f t="shared" si="97"/>
        <v>1</v>
      </c>
      <c r="AU96" s="223" t="str">
        <f t="shared" si="98"/>
        <v>1</v>
      </c>
      <c r="AV96" s="223" t="str">
        <f t="shared" si="99"/>
        <v>1</v>
      </c>
      <c r="AW96" s="223" t="str">
        <f t="shared" si="100"/>
        <v>1</v>
      </c>
      <c r="AX96" s="223" t="str">
        <f t="shared" si="101"/>
        <v>1</v>
      </c>
      <c r="AY96" s="223" t="str">
        <f t="shared" si="102"/>
        <v>1</v>
      </c>
    </row>
    <row r="97" spans="1:51" ht="22.5" x14ac:dyDescent="0.25">
      <c r="A97" s="214">
        <v>95</v>
      </c>
      <c r="B97" s="251" t="s">
        <v>229</v>
      </c>
      <c r="C97" s="132" t="s">
        <v>1043</v>
      </c>
      <c r="D97" s="141">
        <v>2013</v>
      </c>
      <c r="E97" s="138">
        <v>41634</v>
      </c>
      <c r="F97" s="222">
        <f t="shared" si="72"/>
        <v>12</v>
      </c>
      <c r="G97" s="222" t="str">
        <f t="shared" si="73"/>
        <v>122013</v>
      </c>
      <c r="H97" s="222" t="str">
        <f t="shared" si="74"/>
        <v>diciembre</v>
      </c>
      <c r="I97" s="126" t="str">
        <f>VLOOKUP(B97,'Base de Datos'!$E$7:$T$271,14,0)</f>
        <v/>
      </c>
      <c r="J97" s="224" t="e">
        <f t="shared" si="75"/>
        <v>#VALUE!</v>
      </c>
      <c r="K97" s="223" t="e">
        <f t="shared" si="76"/>
        <v>#VALUE!</v>
      </c>
      <c r="L97" s="223" t="e">
        <f t="shared" si="77"/>
        <v>#VALUE!</v>
      </c>
      <c r="M97" s="223" t="str">
        <f t="shared" si="78"/>
        <v/>
      </c>
      <c r="N97" s="223" t="e">
        <f t="shared" ca="1" si="79"/>
        <v>#VALUE!</v>
      </c>
      <c r="O97" s="268" t="e">
        <f t="shared" ca="1" si="80"/>
        <v>#VALUE!</v>
      </c>
      <c r="P97" s="268" t="str">
        <f t="shared" si="103"/>
        <v/>
      </c>
      <c r="Q97" s="268" t="str">
        <f t="shared" si="81"/>
        <v/>
      </c>
      <c r="R97" s="268" t="str">
        <f t="shared" si="82"/>
        <v/>
      </c>
      <c r="S97" s="268" t="str">
        <f t="shared" si="83"/>
        <v/>
      </c>
      <c r="T97" s="268" t="str">
        <f t="shared" si="84"/>
        <v/>
      </c>
      <c r="U97" s="268" t="str">
        <f t="shared" si="85"/>
        <v/>
      </c>
      <c r="V97" s="268" t="str">
        <f t="shared" si="105"/>
        <v/>
      </c>
      <c r="W97" s="268" t="str">
        <f t="shared" si="86"/>
        <v/>
      </c>
      <c r="X97" s="268" t="str">
        <f t="shared" si="87"/>
        <v/>
      </c>
      <c r="Y97" s="268" t="str">
        <f t="shared" si="104"/>
        <v/>
      </c>
      <c r="Z97" s="268" t="str">
        <f t="shared" si="88"/>
        <v/>
      </c>
      <c r="AA97" s="268" t="str">
        <f t="shared" si="112"/>
        <v/>
      </c>
      <c r="AB97" s="268" t="str">
        <f t="shared" si="107"/>
        <v/>
      </c>
      <c r="AC97" s="268" t="str">
        <f t="shared" si="110"/>
        <v/>
      </c>
      <c r="AD97" s="268" t="str">
        <f t="shared" si="113"/>
        <v/>
      </c>
      <c r="AE97" s="268" t="str">
        <f t="shared" si="49"/>
        <v/>
      </c>
      <c r="AF97" s="268" t="str">
        <f t="shared" si="68"/>
        <v/>
      </c>
      <c r="AG97" s="268" t="str">
        <f t="shared" si="69"/>
        <v/>
      </c>
      <c r="AH97" s="268" t="str">
        <f t="shared" si="70"/>
        <v/>
      </c>
      <c r="AI97" s="268" t="str">
        <f t="shared" si="114"/>
        <v/>
      </c>
      <c r="AJ97" s="268" t="str">
        <f t="shared" si="106"/>
        <v/>
      </c>
      <c r="AK97" s="268" t="str">
        <f t="shared" si="108"/>
        <v/>
      </c>
      <c r="AL97" s="268" t="str">
        <f t="shared" si="109"/>
        <v/>
      </c>
      <c r="AM97" s="268" t="str">
        <f t="shared" si="111"/>
        <v>1</v>
      </c>
      <c r="AN97" s="223">
        <v>1</v>
      </c>
      <c r="AO97" s="223" t="str">
        <f t="shared" si="92"/>
        <v>1</v>
      </c>
      <c r="AP97" s="223" t="str">
        <f t="shared" si="93"/>
        <v>1</v>
      </c>
      <c r="AQ97" s="223" t="str">
        <f t="shared" si="94"/>
        <v>1</v>
      </c>
      <c r="AR97" s="223" t="str">
        <f t="shared" si="95"/>
        <v>1</v>
      </c>
      <c r="AS97" s="223" t="str">
        <f t="shared" si="96"/>
        <v>1</v>
      </c>
      <c r="AT97" s="223" t="str">
        <f t="shared" si="97"/>
        <v>1</v>
      </c>
      <c r="AU97" s="223" t="str">
        <f t="shared" si="98"/>
        <v>1</v>
      </c>
      <c r="AV97" s="223" t="str">
        <f t="shared" si="99"/>
        <v>1</v>
      </c>
      <c r="AW97" s="223" t="str">
        <f t="shared" si="100"/>
        <v>1</v>
      </c>
      <c r="AX97" s="223" t="str">
        <f t="shared" si="101"/>
        <v>1</v>
      </c>
      <c r="AY97" s="223" t="str">
        <f t="shared" si="102"/>
        <v>1</v>
      </c>
    </row>
    <row r="98" spans="1:51" ht="22.5" x14ac:dyDescent="0.25">
      <c r="A98" s="214">
        <v>96</v>
      </c>
      <c r="B98" s="250" t="s">
        <v>138</v>
      </c>
      <c r="C98" s="132" t="s">
        <v>1034</v>
      </c>
      <c r="D98" s="156">
        <v>2013</v>
      </c>
      <c r="E98" s="136">
        <v>41421</v>
      </c>
      <c r="F98" s="222">
        <f t="shared" si="72"/>
        <v>5</v>
      </c>
      <c r="G98" s="222" t="str">
        <f t="shared" si="73"/>
        <v>52013</v>
      </c>
      <c r="H98" s="222" t="str">
        <f t="shared" si="74"/>
        <v>mayo</v>
      </c>
      <c r="I98" s="126" t="str">
        <f>VLOOKUP(B98,'Base de Datos'!$E$7:$T$271,14,0)</f>
        <v/>
      </c>
      <c r="J98" s="224" t="e">
        <f t="shared" si="75"/>
        <v>#VALUE!</v>
      </c>
      <c r="K98" s="223" t="e">
        <f t="shared" si="76"/>
        <v>#VALUE!</v>
      </c>
      <c r="L98" s="223" t="e">
        <f t="shared" si="77"/>
        <v>#VALUE!</v>
      </c>
      <c r="M98" s="223" t="str">
        <f t="shared" si="78"/>
        <v/>
      </c>
      <c r="N98" s="223" t="e">
        <f t="shared" ca="1" si="79"/>
        <v>#VALUE!</v>
      </c>
      <c r="O98" s="268" t="e">
        <f t="shared" ca="1" si="80"/>
        <v>#VALUE!</v>
      </c>
      <c r="P98" s="268" t="str">
        <f t="shared" si="103"/>
        <v/>
      </c>
      <c r="Q98" s="268" t="str">
        <f t="shared" si="81"/>
        <v/>
      </c>
      <c r="R98" s="268" t="str">
        <f t="shared" si="82"/>
        <v/>
      </c>
      <c r="S98" s="268" t="str">
        <f t="shared" si="83"/>
        <v/>
      </c>
      <c r="T98" s="268" t="str">
        <f t="shared" si="84"/>
        <v/>
      </c>
      <c r="U98" s="268" t="str">
        <f t="shared" si="85"/>
        <v/>
      </c>
      <c r="V98" s="268" t="str">
        <f t="shared" si="105"/>
        <v/>
      </c>
      <c r="W98" s="268" t="str">
        <f t="shared" si="86"/>
        <v/>
      </c>
      <c r="X98" s="268" t="str">
        <f t="shared" si="87"/>
        <v/>
      </c>
      <c r="Y98" s="268" t="str">
        <f t="shared" si="104"/>
        <v/>
      </c>
      <c r="Z98" s="268" t="str">
        <f t="shared" si="88"/>
        <v/>
      </c>
      <c r="AA98" s="268" t="str">
        <f t="shared" si="112"/>
        <v/>
      </c>
      <c r="AB98" s="268" t="str">
        <f t="shared" si="107"/>
        <v/>
      </c>
      <c r="AC98" s="268" t="str">
        <f t="shared" si="110"/>
        <v/>
      </c>
      <c r="AD98" s="268" t="str">
        <f t="shared" si="113"/>
        <v/>
      </c>
      <c r="AE98" s="268" t="str">
        <f t="shared" si="49"/>
        <v/>
      </c>
      <c r="AF98" s="268" t="str">
        <f t="shared" si="68"/>
        <v>1</v>
      </c>
      <c r="AG98" s="268" t="str">
        <f t="shared" si="69"/>
        <v>1</v>
      </c>
      <c r="AH98" s="268" t="str">
        <f t="shared" si="70"/>
        <v>1</v>
      </c>
      <c r="AI98" s="268" t="str">
        <f t="shared" si="114"/>
        <v>1</v>
      </c>
      <c r="AJ98" s="268" t="str">
        <f t="shared" si="106"/>
        <v>1</v>
      </c>
      <c r="AK98" s="268" t="str">
        <f t="shared" si="108"/>
        <v>1</v>
      </c>
      <c r="AL98" s="268" t="str">
        <f t="shared" si="109"/>
        <v>1</v>
      </c>
      <c r="AM98" s="268" t="str">
        <f t="shared" si="111"/>
        <v>1</v>
      </c>
      <c r="AN98" s="223">
        <v>1</v>
      </c>
      <c r="AO98" s="223" t="str">
        <f t="shared" si="92"/>
        <v>1</v>
      </c>
      <c r="AP98" s="223" t="str">
        <f t="shared" si="93"/>
        <v>1</v>
      </c>
      <c r="AQ98" s="223" t="str">
        <f t="shared" si="94"/>
        <v>1</v>
      </c>
      <c r="AR98" s="223" t="str">
        <f t="shared" si="95"/>
        <v>1</v>
      </c>
      <c r="AS98" s="223" t="str">
        <f t="shared" si="96"/>
        <v>1</v>
      </c>
      <c r="AT98" s="223" t="str">
        <f t="shared" si="97"/>
        <v>1</v>
      </c>
      <c r="AU98" s="223" t="str">
        <f t="shared" si="98"/>
        <v>1</v>
      </c>
      <c r="AV98" s="223" t="str">
        <f t="shared" si="99"/>
        <v>1</v>
      </c>
      <c r="AW98" s="223" t="str">
        <f t="shared" si="100"/>
        <v>1</v>
      </c>
      <c r="AX98" s="223" t="str">
        <f t="shared" si="101"/>
        <v>1</v>
      </c>
      <c r="AY98" s="223" t="str">
        <f t="shared" si="102"/>
        <v>1</v>
      </c>
    </row>
    <row r="99" spans="1:51" ht="22.5" x14ac:dyDescent="0.25">
      <c r="A99" s="214">
        <v>97</v>
      </c>
      <c r="B99" s="250" t="s">
        <v>139</v>
      </c>
      <c r="C99" s="132" t="s">
        <v>140</v>
      </c>
      <c r="D99" s="156">
        <v>2013</v>
      </c>
      <c r="E99" s="136">
        <v>41423</v>
      </c>
      <c r="F99" s="222">
        <f t="shared" si="72"/>
        <v>5</v>
      </c>
      <c r="G99" s="222" t="str">
        <f t="shared" si="73"/>
        <v>52013</v>
      </c>
      <c r="H99" s="222" t="str">
        <f t="shared" si="74"/>
        <v>mayo</v>
      </c>
      <c r="I99" s="126" t="str">
        <f>VLOOKUP(B99,'Base de Datos'!$E$7:$T$271,14,0)</f>
        <v/>
      </c>
      <c r="J99" s="224" t="e">
        <f t="shared" si="75"/>
        <v>#VALUE!</v>
      </c>
      <c r="K99" s="223" t="e">
        <f t="shared" si="76"/>
        <v>#VALUE!</v>
      </c>
      <c r="L99" s="223" t="e">
        <f t="shared" si="77"/>
        <v>#VALUE!</v>
      </c>
      <c r="M99" s="223" t="str">
        <f t="shared" si="78"/>
        <v/>
      </c>
      <c r="N99" s="223" t="e">
        <f t="shared" ca="1" si="79"/>
        <v>#VALUE!</v>
      </c>
      <c r="O99" s="268" t="e">
        <f t="shared" ca="1" si="80"/>
        <v>#VALUE!</v>
      </c>
      <c r="P99" s="268" t="str">
        <f t="shared" si="103"/>
        <v/>
      </c>
      <c r="Q99" s="268" t="str">
        <f t="shared" si="81"/>
        <v/>
      </c>
      <c r="R99" s="268" t="str">
        <f t="shared" si="82"/>
        <v/>
      </c>
      <c r="S99" s="268" t="str">
        <f t="shared" si="83"/>
        <v/>
      </c>
      <c r="T99" s="268" t="str">
        <f t="shared" si="84"/>
        <v/>
      </c>
      <c r="U99" s="268" t="str">
        <f t="shared" si="85"/>
        <v/>
      </c>
      <c r="V99" s="268" t="str">
        <f t="shared" si="105"/>
        <v/>
      </c>
      <c r="W99" s="268" t="str">
        <f t="shared" si="86"/>
        <v/>
      </c>
      <c r="X99" s="268" t="str">
        <f t="shared" si="87"/>
        <v/>
      </c>
      <c r="Y99" s="268" t="str">
        <f t="shared" si="104"/>
        <v/>
      </c>
      <c r="Z99" s="268" t="str">
        <f t="shared" si="88"/>
        <v/>
      </c>
      <c r="AA99" s="268" t="str">
        <f t="shared" si="112"/>
        <v/>
      </c>
      <c r="AB99" s="268" t="str">
        <f t="shared" si="107"/>
        <v/>
      </c>
      <c r="AC99" s="268" t="str">
        <f t="shared" si="110"/>
        <v/>
      </c>
      <c r="AD99" s="268" t="str">
        <f t="shared" si="113"/>
        <v/>
      </c>
      <c r="AE99" s="268" t="str">
        <f t="shared" ref="AE99:AE162" si="115">IF(AND(E99&lt;$AE$2,I99&gt;$AE$2),"1","")</f>
        <v/>
      </c>
      <c r="AF99" s="268" t="str">
        <f t="shared" si="68"/>
        <v>1</v>
      </c>
      <c r="AG99" s="268" t="str">
        <f t="shared" si="69"/>
        <v>1</v>
      </c>
      <c r="AH99" s="268" t="str">
        <f t="shared" si="70"/>
        <v>1</v>
      </c>
      <c r="AI99" s="268" t="str">
        <f t="shared" si="114"/>
        <v>1</v>
      </c>
      <c r="AJ99" s="268" t="str">
        <f t="shared" si="106"/>
        <v>1</v>
      </c>
      <c r="AK99" s="268" t="str">
        <f t="shared" si="108"/>
        <v>1</v>
      </c>
      <c r="AL99" s="268" t="str">
        <f t="shared" si="109"/>
        <v>1</v>
      </c>
      <c r="AM99" s="268" t="str">
        <f t="shared" si="111"/>
        <v>1</v>
      </c>
      <c r="AN99" s="223">
        <v>1</v>
      </c>
      <c r="AO99" s="223" t="str">
        <f t="shared" si="92"/>
        <v>1</v>
      </c>
      <c r="AP99" s="223" t="str">
        <f t="shared" si="93"/>
        <v>1</v>
      </c>
      <c r="AQ99" s="223" t="str">
        <f t="shared" si="94"/>
        <v>1</v>
      </c>
      <c r="AR99" s="223" t="str">
        <f t="shared" si="95"/>
        <v>1</v>
      </c>
      <c r="AS99" s="223" t="str">
        <f t="shared" si="96"/>
        <v>1</v>
      </c>
      <c r="AT99" s="223" t="str">
        <f t="shared" si="97"/>
        <v>1</v>
      </c>
      <c r="AU99" s="223" t="str">
        <f t="shared" si="98"/>
        <v>1</v>
      </c>
      <c r="AV99" s="223" t="str">
        <f t="shared" si="99"/>
        <v>1</v>
      </c>
      <c r="AW99" s="223" t="str">
        <f t="shared" si="100"/>
        <v>1</v>
      </c>
      <c r="AX99" s="223" t="str">
        <f t="shared" si="101"/>
        <v>1</v>
      </c>
      <c r="AY99" s="223" t="str">
        <f t="shared" si="102"/>
        <v>1</v>
      </c>
    </row>
    <row r="100" spans="1:51" ht="22.5" x14ac:dyDescent="0.25">
      <c r="A100" s="214">
        <v>98</v>
      </c>
      <c r="B100" s="251" t="s">
        <v>230</v>
      </c>
      <c r="C100" s="132" t="s">
        <v>1045</v>
      </c>
      <c r="D100" s="141">
        <v>2013</v>
      </c>
      <c r="E100" s="138">
        <v>41638</v>
      </c>
      <c r="F100" s="222">
        <f t="shared" si="72"/>
        <v>12</v>
      </c>
      <c r="G100" s="222" t="str">
        <f t="shared" si="73"/>
        <v>122013</v>
      </c>
      <c r="H100" s="222" t="str">
        <f t="shared" si="74"/>
        <v>diciembre</v>
      </c>
      <c r="I100" s="126" t="str">
        <f>VLOOKUP(B100,'Base de Datos'!$E$7:$T$271,14,0)</f>
        <v/>
      </c>
      <c r="J100" s="224" t="e">
        <f t="shared" si="75"/>
        <v>#VALUE!</v>
      </c>
      <c r="K100" s="223" t="e">
        <f t="shared" si="76"/>
        <v>#VALUE!</v>
      </c>
      <c r="L100" s="223" t="e">
        <f t="shared" si="77"/>
        <v>#VALUE!</v>
      </c>
      <c r="M100" s="223" t="str">
        <f t="shared" si="78"/>
        <v/>
      </c>
      <c r="N100" s="223" t="e">
        <f t="shared" ca="1" si="79"/>
        <v>#VALUE!</v>
      </c>
      <c r="O100" s="268" t="e">
        <f t="shared" ca="1" si="80"/>
        <v>#VALUE!</v>
      </c>
      <c r="P100" s="268" t="str">
        <f t="shared" si="103"/>
        <v/>
      </c>
      <c r="Q100" s="268" t="str">
        <f t="shared" si="81"/>
        <v/>
      </c>
      <c r="R100" s="268" t="str">
        <f t="shared" si="82"/>
        <v/>
      </c>
      <c r="S100" s="268" t="str">
        <f t="shared" si="83"/>
        <v/>
      </c>
      <c r="T100" s="268" t="str">
        <f t="shared" si="84"/>
        <v/>
      </c>
      <c r="U100" s="268" t="str">
        <f t="shared" si="85"/>
        <v/>
      </c>
      <c r="V100" s="268" t="str">
        <f t="shared" si="105"/>
        <v/>
      </c>
      <c r="W100" s="268" t="str">
        <f t="shared" si="86"/>
        <v/>
      </c>
      <c r="X100" s="268" t="str">
        <f t="shared" si="87"/>
        <v/>
      </c>
      <c r="Y100" s="268" t="str">
        <f t="shared" si="104"/>
        <v/>
      </c>
      <c r="Z100" s="268" t="str">
        <f t="shared" si="88"/>
        <v/>
      </c>
      <c r="AA100" s="268" t="str">
        <f t="shared" si="112"/>
        <v/>
      </c>
      <c r="AB100" s="268" t="str">
        <f t="shared" si="107"/>
        <v/>
      </c>
      <c r="AC100" s="268" t="str">
        <f t="shared" si="110"/>
        <v/>
      </c>
      <c r="AD100" s="268" t="str">
        <f t="shared" si="113"/>
        <v/>
      </c>
      <c r="AE100" s="268" t="str">
        <f t="shared" si="115"/>
        <v/>
      </c>
      <c r="AF100" s="268" t="str">
        <f t="shared" si="68"/>
        <v/>
      </c>
      <c r="AG100" s="268" t="str">
        <f t="shared" si="69"/>
        <v/>
      </c>
      <c r="AH100" s="268" t="str">
        <f t="shared" si="70"/>
        <v/>
      </c>
      <c r="AI100" s="268" t="str">
        <f t="shared" si="114"/>
        <v/>
      </c>
      <c r="AJ100" s="268" t="str">
        <f t="shared" si="106"/>
        <v/>
      </c>
      <c r="AK100" s="268" t="str">
        <f t="shared" si="108"/>
        <v/>
      </c>
      <c r="AL100" s="268" t="str">
        <f t="shared" si="109"/>
        <v/>
      </c>
      <c r="AM100" s="268" t="str">
        <f t="shared" si="111"/>
        <v>1</v>
      </c>
      <c r="AN100" s="223">
        <v>1</v>
      </c>
      <c r="AO100" s="223" t="str">
        <f t="shared" si="92"/>
        <v>1</v>
      </c>
      <c r="AP100" s="223" t="str">
        <f t="shared" si="93"/>
        <v>1</v>
      </c>
      <c r="AQ100" s="223" t="str">
        <f t="shared" si="94"/>
        <v>1</v>
      </c>
      <c r="AR100" s="223" t="str">
        <f t="shared" si="95"/>
        <v>1</v>
      </c>
      <c r="AS100" s="223" t="str">
        <f t="shared" si="96"/>
        <v>1</v>
      </c>
      <c r="AT100" s="223" t="str">
        <f t="shared" si="97"/>
        <v>1</v>
      </c>
      <c r="AU100" s="223" t="str">
        <f t="shared" si="98"/>
        <v>1</v>
      </c>
      <c r="AV100" s="223" t="str">
        <f t="shared" si="99"/>
        <v>1</v>
      </c>
      <c r="AW100" s="223" t="str">
        <f t="shared" si="100"/>
        <v>1</v>
      </c>
      <c r="AX100" s="223" t="str">
        <f t="shared" si="101"/>
        <v>1</v>
      </c>
      <c r="AY100" s="223" t="str">
        <f t="shared" si="102"/>
        <v>1</v>
      </c>
    </row>
    <row r="101" spans="1:51" ht="22.5" x14ac:dyDescent="0.25">
      <c r="A101" s="214">
        <v>99</v>
      </c>
      <c r="B101" s="252" t="s">
        <v>155</v>
      </c>
      <c r="C101" s="132" t="s">
        <v>1035</v>
      </c>
      <c r="D101" s="156">
        <v>2013</v>
      </c>
      <c r="E101" s="138">
        <v>41457</v>
      </c>
      <c r="F101" s="222">
        <f t="shared" si="72"/>
        <v>7</v>
      </c>
      <c r="G101" s="222" t="str">
        <f t="shared" si="73"/>
        <v>72013</v>
      </c>
      <c r="H101" s="222" t="str">
        <f t="shared" si="74"/>
        <v>julio</v>
      </c>
      <c r="I101" s="126" t="str">
        <f>VLOOKUP(B101,'Base de Datos'!$E$7:$T$271,14,0)</f>
        <v/>
      </c>
      <c r="J101" s="224" t="e">
        <f t="shared" si="75"/>
        <v>#VALUE!</v>
      </c>
      <c r="K101" s="223" t="e">
        <f t="shared" si="76"/>
        <v>#VALUE!</v>
      </c>
      <c r="L101" s="223" t="e">
        <f t="shared" si="77"/>
        <v>#VALUE!</v>
      </c>
      <c r="M101" s="223" t="str">
        <f t="shared" si="78"/>
        <v/>
      </c>
      <c r="N101" s="223" t="e">
        <f t="shared" ca="1" si="79"/>
        <v>#VALUE!</v>
      </c>
      <c r="O101" s="268" t="e">
        <f t="shared" ca="1" si="80"/>
        <v>#VALUE!</v>
      </c>
      <c r="P101" s="268" t="str">
        <f t="shared" si="103"/>
        <v/>
      </c>
      <c r="Q101" s="268" t="str">
        <f t="shared" si="81"/>
        <v/>
      </c>
      <c r="R101" s="268" t="str">
        <f t="shared" si="82"/>
        <v/>
      </c>
      <c r="S101" s="268" t="str">
        <f t="shared" si="83"/>
        <v/>
      </c>
      <c r="T101" s="268" t="str">
        <f t="shared" si="84"/>
        <v/>
      </c>
      <c r="U101" s="268" t="str">
        <f t="shared" si="85"/>
        <v/>
      </c>
      <c r="V101" s="268" t="str">
        <f t="shared" si="105"/>
        <v/>
      </c>
      <c r="W101" s="268" t="str">
        <f t="shared" si="86"/>
        <v/>
      </c>
      <c r="X101" s="268" t="str">
        <f t="shared" si="87"/>
        <v/>
      </c>
      <c r="Y101" s="268" t="str">
        <f t="shared" si="104"/>
        <v/>
      </c>
      <c r="Z101" s="268" t="str">
        <f t="shared" si="88"/>
        <v/>
      </c>
      <c r="AA101" s="268" t="str">
        <f t="shared" si="112"/>
        <v/>
      </c>
      <c r="AB101" s="268" t="str">
        <f t="shared" si="107"/>
        <v/>
      </c>
      <c r="AC101" s="268" t="str">
        <f t="shared" si="110"/>
        <v/>
      </c>
      <c r="AD101" s="268" t="str">
        <f t="shared" si="113"/>
        <v/>
      </c>
      <c r="AE101" s="268" t="str">
        <f t="shared" si="115"/>
        <v/>
      </c>
      <c r="AF101" s="268" t="str">
        <f t="shared" si="68"/>
        <v/>
      </c>
      <c r="AG101" s="268" t="str">
        <f t="shared" si="69"/>
        <v/>
      </c>
      <c r="AH101" s="268" t="str">
        <f t="shared" si="70"/>
        <v>1</v>
      </c>
      <c r="AI101" s="268" t="str">
        <f t="shared" si="114"/>
        <v>1</v>
      </c>
      <c r="AJ101" s="268" t="str">
        <f t="shared" si="106"/>
        <v>1</v>
      </c>
      <c r="AK101" s="268" t="str">
        <f t="shared" si="108"/>
        <v>1</v>
      </c>
      <c r="AL101" s="268" t="str">
        <f t="shared" si="109"/>
        <v>1</v>
      </c>
      <c r="AM101" s="268" t="str">
        <f t="shared" si="111"/>
        <v>1</v>
      </c>
      <c r="AN101" s="223" t="str">
        <f>IF(AND(E101&lt;$AN$2,I101&gt;$AN$2),"1","")</f>
        <v>1</v>
      </c>
      <c r="AO101" s="223">
        <v>1</v>
      </c>
      <c r="AP101" s="223" t="str">
        <f t="shared" si="93"/>
        <v>1</v>
      </c>
      <c r="AQ101" s="223" t="str">
        <f t="shared" si="94"/>
        <v>1</v>
      </c>
      <c r="AR101" s="223" t="str">
        <f t="shared" si="95"/>
        <v>1</v>
      </c>
      <c r="AS101" s="223" t="str">
        <f t="shared" si="96"/>
        <v>1</v>
      </c>
      <c r="AT101" s="223" t="str">
        <f t="shared" si="97"/>
        <v>1</v>
      </c>
      <c r="AU101" s="223" t="str">
        <f t="shared" si="98"/>
        <v>1</v>
      </c>
      <c r="AV101" s="223" t="str">
        <f t="shared" si="99"/>
        <v>1</v>
      </c>
      <c r="AW101" s="223" t="str">
        <f t="shared" si="100"/>
        <v>1</v>
      </c>
      <c r="AX101" s="223" t="str">
        <f t="shared" si="101"/>
        <v>1</v>
      </c>
      <c r="AY101" s="223" t="str">
        <f t="shared" si="102"/>
        <v>1</v>
      </c>
    </row>
    <row r="102" spans="1:51" ht="22.5" x14ac:dyDescent="0.25">
      <c r="A102" s="214">
        <v>100</v>
      </c>
      <c r="B102" s="250" t="s">
        <v>92</v>
      </c>
      <c r="C102" s="132" t="s">
        <v>425</v>
      </c>
      <c r="D102" s="135">
        <v>2008</v>
      </c>
      <c r="E102" s="136">
        <v>39724</v>
      </c>
      <c r="F102" s="222">
        <f t="shared" si="72"/>
        <v>10</v>
      </c>
      <c r="G102" s="222" t="str">
        <f t="shared" si="73"/>
        <v>102008</v>
      </c>
      <c r="H102" s="222" t="str">
        <f t="shared" si="74"/>
        <v>octubre</v>
      </c>
      <c r="I102" s="126" t="str">
        <f>VLOOKUP(B102,'Base de Datos'!$E$7:$T$271,14,0)</f>
        <v/>
      </c>
      <c r="J102" s="224" t="e">
        <f t="shared" si="75"/>
        <v>#VALUE!</v>
      </c>
      <c r="K102" s="223" t="e">
        <f t="shared" si="76"/>
        <v>#VALUE!</v>
      </c>
      <c r="L102" s="223" t="e">
        <f t="shared" si="77"/>
        <v>#VALUE!</v>
      </c>
      <c r="M102" s="223" t="str">
        <f t="shared" si="78"/>
        <v/>
      </c>
      <c r="N102" s="223" t="e">
        <f t="shared" ca="1" si="79"/>
        <v>#VALUE!</v>
      </c>
      <c r="O102" s="268" t="e">
        <f t="shared" ca="1" si="80"/>
        <v>#VALUE!</v>
      </c>
      <c r="P102" s="268" t="str">
        <f t="shared" si="103"/>
        <v>1</v>
      </c>
      <c r="Q102" s="268" t="str">
        <f t="shared" si="81"/>
        <v>1</v>
      </c>
      <c r="R102" s="268" t="str">
        <f t="shared" si="82"/>
        <v>1</v>
      </c>
      <c r="S102" s="268" t="str">
        <f t="shared" si="83"/>
        <v>1</v>
      </c>
      <c r="T102" s="268" t="str">
        <f t="shared" si="84"/>
        <v>1</v>
      </c>
      <c r="U102" s="268" t="str">
        <f t="shared" si="85"/>
        <v>1</v>
      </c>
      <c r="V102" s="268" t="str">
        <f t="shared" si="105"/>
        <v>1</v>
      </c>
      <c r="W102" s="268" t="str">
        <f t="shared" si="86"/>
        <v>1</v>
      </c>
      <c r="X102" s="268" t="str">
        <f t="shared" si="87"/>
        <v>1</v>
      </c>
      <c r="Y102" s="268" t="str">
        <f t="shared" si="104"/>
        <v>1</v>
      </c>
      <c r="Z102" s="268" t="str">
        <f t="shared" si="88"/>
        <v>1</v>
      </c>
      <c r="AA102" s="268" t="str">
        <f t="shared" si="112"/>
        <v>1</v>
      </c>
      <c r="AB102" s="268" t="str">
        <f t="shared" si="107"/>
        <v>1</v>
      </c>
      <c r="AC102" s="268" t="str">
        <f t="shared" si="110"/>
        <v>1</v>
      </c>
      <c r="AD102" s="268" t="str">
        <f t="shared" si="113"/>
        <v>1</v>
      </c>
      <c r="AE102" s="268" t="str">
        <f t="shared" si="115"/>
        <v>1</v>
      </c>
      <c r="AF102" s="268" t="str">
        <f t="shared" si="68"/>
        <v>1</v>
      </c>
      <c r="AG102" s="268" t="str">
        <f t="shared" si="69"/>
        <v>1</v>
      </c>
      <c r="AH102" s="268" t="str">
        <f t="shared" si="70"/>
        <v>1</v>
      </c>
      <c r="AI102" s="268" t="str">
        <f t="shared" si="114"/>
        <v>1</v>
      </c>
      <c r="AJ102" s="268" t="str">
        <f t="shared" si="106"/>
        <v>1</v>
      </c>
      <c r="AK102" s="268" t="str">
        <f t="shared" si="108"/>
        <v>1</v>
      </c>
      <c r="AL102" s="268" t="str">
        <f t="shared" si="109"/>
        <v>1</v>
      </c>
      <c r="AM102" s="268" t="str">
        <f t="shared" si="111"/>
        <v>1</v>
      </c>
      <c r="AN102" s="223" t="str">
        <f>IF(AND($E$3&lt;AN101,$I$3&gt;AN101),"1","")</f>
        <v/>
      </c>
      <c r="AO102" s="223">
        <v>1</v>
      </c>
      <c r="AP102" s="223" t="str">
        <f t="shared" ref="AP102:AY102" si="116">IF(AND($E$3&lt;AP101,$I$3&gt;AP101),"1","")</f>
        <v/>
      </c>
      <c r="AQ102" s="223" t="str">
        <f t="shared" si="116"/>
        <v/>
      </c>
      <c r="AR102" s="223" t="str">
        <f t="shared" si="116"/>
        <v/>
      </c>
      <c r="AS102" s="223" t="str">
        <f t="shared" si="116"/>
        <v/>
      </c>
      <c r="AT102" s="223" t="str">
        <f t="shared" si="116"/>
        <v/>
      </c>
      <c r="AU102" s="223" t="str">
        <f t="shared" si="116"/>
        <v/>
      </c>
      <c r="AV102" s="223" t="str">
        <f t="shared" si="116"/>
        <v/>
      </c>
      <c r="AW102" s="223" t="str">
        <f t="shared" si="116"/>
        <v/>
      </c>
      <c r="AX102" s="223" t="str">
        <f t="shared" si="116"/>
        <v/>
      </c>
      <c r="AY102" s="223" t="str">
        <f t="shared" si="116"/>
        <v/>
      </c>
    </row>
    <row r="103" spans="1:51" ht="22.5" x14ac:dyDescent="0.25">
      <c r="A103" s="214">
        <v>101</v>
      </c>
      <c r="B103" s="252" t="s">
        <v>122</v>
      </c>
      <c r="C103" s="132" t="s">
        <v>244</v>
      </c>
      <c r="D103" s="156">
        <v>2012</v>
      </c>
      <c r="E103" s="136">
        <v>41316</v>
      </c>
      <c r="F103" s="222">
        <f t="shared" si="72"/>
        <v>2</v>
      </c>
      <c r="G103" s="222" t="str">
        <f t="shared" si="73"/>
        <v>22012</v>
      </c>
      <c r="H103" s="222" t="str">
        <f t="shared" si="74"/>
        <v>febrero</v>
      </c>
      <c r="I103" s="126" t="str">
        <f>VLOOKUP(B103,'Base de Datos'!$E$7:$T$271,14,0)</f>
        <v/>
      </c>
      <c r="J103" s="224" t="e">
        <f t="shared" si="75"/>
        <v>#VALUE!</v>
      </c>
      <c r="K103" s="223" t="e">
        <f t="shared" si="76"/>
        <v>#VALUE!</v>
      </c>
      <c r="L103" s="223" t="e">
        <f t="shared" si="77"/>
        <v>#VALUE!</v>
      </c>
      <c r="M103" s="223" t="str">
        <f t="shared" si="78"/>
        <v/>
      </c>
      <c r="N103" s="223" t="e">
        <f t="shared" ca="1" si="79"/>
        <v>#VALUE!</v>
      </c>
      <c r="O103" s="268" t="e">
        <f t="shared" ca="1" si="80"/>
        <v>#VALUE!</v>
      </c>
      <c r="P103" s="268" t="str">
        <f t="shared" si="103"/>
        <v/>
      </c>
      <c r="Q103" s="268" t="str">
        <f t="shared" si="81"/>
        <v/>
      </c>
      <c r="R103" s="268" t="str">
        <f t="shared" si="82"/>
        <v/>
      </c>
      <c r="S103" s="268" t="str">
        <f t="shared" si="83"/>
        <v/>
      </c>
      <c r="T103" s="268" t="str">
        <f t="shared" si="84"/>
        <v/>
      </c>
      <c r="U103" s="268" t="str">
        <f t="shared" si="85"/>
        <v/>
      </c>
      <c r="V103" s="268" t="str">
        <f t="shared" si="105"/>
        <v/>
      </c>
      <c r="W103" s="268" t="str">
        <f t="shared" si="86"/>
        <v/>
      </c>
      <c r="X103" s="268" t="str">
        <f t="shared" si="87"/>
        <v/>
      </c>
      <c r="Y103" s="268" t="str">
        <f t="shared" si="104"/>
        <v/>
      </c>
      <c r="Z103" s="268" t="str">
        <f t="shared" si="88"/>
        <v/>
      </c>
      <c r="AA103" s="268" t="str">
        <f t="shared" si="112"/>
        <v/>
      </c>
      <c r="AB103" s="268" t="str">
        <f t="shared" si="107"/>
        <v/>
      </c>
      <c r="AC103" s="268" t="str">
        <f t="shared" si="110"/>
        <v>1</v>
      </c>
      <c r="AD103" s="268" t="str">
        <f t="shared" si="113"/>
        <v>1</v>
      </c>
      <c r="AE103" s="268" t="str">
        <f t="shared" si="115"/>
        <v>1</v>
      </c>
      <c r="AF103" s="268" t="str">
        <f t="shared" si="68"/>
        <v>1</v>
      </c>
      <c r="AG103" s="268" t="str">
        <f t="shared" si="69"/>
        <v>1</v>
      </c>
      <c r="AH103" s="268" t="str">
        <f t="shared" si="70"/>
        <v>1</v>
      </c>
      <c r="AI103" s="268" t="str">
        <f t="shared" si="114"/>
        <v>1</v>
      </c>
      <c r="AJ103" s="268" t="str">
        <f t="shared" ref="AJ103:AJ134" si="117">IF(AND(E103&lt;$AJ$2,I103&gt;$AJ$2),"1","")</f>
        <v>1</v>
      </c>
      <c r="AK103" s="268" t="str">
        <f t="shared" si="108"/>
        <v>1</v>
      </c>
      <c r="AL103" s="268" t="str">
        <f t="shared" si="109"/>
        <v>1</v>
      </c>
      <c r="AM103" s="268" t="str">
        <f t="shared" si="111"/>
        <v>1</v>
      </c>
      <c r="AN103" s="223" t="str">
        <f t="shared" ref="AN103:AN134" si="118">IF(AND(E103&lt;$AN$2,I103&gt;$AN$2),"1","")</f>
        <v>1</v>
      </c>
      <c r="AO103" s="223">
        <v>1</v>
      </c>
      <c r="AP103" s="223" t="str">
        <f t="shared" ref="AP103:AP110" si="119">IF(AND(E103&lt;$AP$2,I103&gt;$AP$2),"1","")</f>
        <v>1</v>
      </c>
      <c r="AQ103" s="223" t="str">
        <f t="shared" ref="AQ103:AQ119" si="120">IF(AND(E103&lt;$AQ$2,I103&gt;$AQ$2),"1","")</f>
        <v>1</v>
      </c>
      <c r="AR103" s="223" t="str">
        <f t="shared" ref="AR103:AR129" si="121">IF(AND(E103&lt;$AR$2,I103&gt;$AR$2),"1","")</f>
        <v>1</v>
      </c>
      <c r="AS103" s="223" t="str">
        <f t="shared" ref="AS103:AS134" si="122">IF(AND(E103&lt;$AS$2,I103&gt;$AS$2),"1","")</f>
        <v>1</v>
      </c>
      <c r="AT103" s="223" t="str">
        <f t="shared" ref="AT103:AT143" si="123">IF(AND(E103&lt;$AT$2,I103&gt;$AT$2),"1","")</f>
        <v>1</v>
      </c>
      <c r="AU103" s="223" t="str">
        <f t="shared" ref="AU103:AU146" si="124">IF(AND(E103&lt;$AU$2,I103&gt;$AU$2),"1","")</f>
        <v>1</v>
      </c>
      <c r="AV103" s="223" t="str">
        <f t="shared" ref="AV103:AV150" si="125">IF(AND(E103&lt;$AV$2,I103&gt;$AV$2),"1","")</f>
        <v>1</v>
      </c>
      <c r="AW103" s="223" t="str">
        <f t="shared" ref="AW103:AW134" si="126">IF(AND(E103&lt;$AW$2,I103&gt;$AW$2),"1","")</f>
        <v>1</v>
      </c>
      <c r="AX103" s="223" t="str">
        <f t="shared" ref="AX103:AX134" si="127">IF(AND(E103&lt;$AX$2,I103&gt;$AX$2),"1","")</f>
        <v>1</v>
      </c>
      <c r="AY103" s="223" t="str">
        <f t="shared" ref="AY103:AY134" si="128">IF(AND(E103&lt;$AY$2,I103&gt;$AY$2),"1","")</f>
        <v>1</v>
      </c>
    </row>
    <row r="104" spans="1:51" ht="22.5" x14ac:dyDescent="0.25">
      <c r="A104" s="214">
        <v>102</v>
      </c>
      <c r="B104" s="251" t="s">
        <v>214</v>
      </c>
      <c r="C104" s="132" t="s">
        <v>31</v>
      </c>
      <c r="D104" s="141">
        <v>2013</v>
      </c>
      <c r="E104" s="138">
        <v>41620</v>
      </c>
      <c r="F104" s="222">
        <f t="shared" si="72"/>
        <v>12</v>
      </c>
      <c r="G104" s="222" t="str">
        <f t="shared" si="73"/>
        <v>122013</v>
      </c>
      <c r="H104" s="222" t="str">
        <f t="shared" si="74"/>
        <v>diciembre</v>
      </c>
      <c r="I104" s="126" t="str">
        <f>VLOOKUP(B104,'Base de Datos'!$E$7:$T$271,14,0)</f>
        <v/>
      </c>
      <c r="J104" s="224" t="e">
        <f t="shared" si="75"/>
        <v>#VALUE!</v>
      </c>
      <c r="K104" s="223" t="e">
        <f t="shared" si="76"/>
        <v>#VALUE!</v>
      </c>
      <c r="L104" s="223" t="e">
        <f t="shared" si="77"/>
        <v>#VALUE!</v>
      </c>
      <c r="M104" s="223" t="str">
        <f t="shared" si="78"/>
        <v/>
      </c>
      <c r="N104" s="223" t="e">
        <f t="shared" ca="1" si="79"/>
        <v>#VALUE!</v>
      </c>
      <c r="O104" s="268" t="e">
        <f t="shared" ca="1" si="80"/>
        <v>#VALUE!</v>
      </c>
      <c r="P104" s="268" t="str">
        <f t="shared" si="103"/>
        <v/>
      </c>
      <c r="Q104" s="268" t="str">
        <f t="shared" si="81"/>
        <v/>
      </c>
      <c r="R104" s="268" t="str">
        <f t="shared" si="82"/>
        <v/>
      </c>
      <c r="S104" s="268" t="str">
        <f t="shared" si="83"/>
        <v/>
      </c>
      <c r="T104" s="268" t="str">
        <f t="shared" si="84"/>
        <v/>
      </c>
      <c r="U104" s="268" t="str">
        <f t="shared" si="85"/>
        <v/>
      </c>
      <c r="V104" s="268" t="str">
        <f t="shared" si="105"/>
        <v/>
      </c>
      <c r="W104" s="268" t="str">
        <f t="shared" si="86"/>
        <v/>
      </c>
      <c r="X104" s="268" t="str">
        <f t="shared" si="87"/>
        <v/>
      </c>
      <c r="Y104" s="268" t="str">
        <f t="shared" si="104"/>
        <v/>
      </c>
      <c r="Z104" s="268" t="str">
        <f t="shared" si="88"/>
        <v/>
      </c>
      <c r="AA104" s="268" t="str">
        <f t="shared" si="112"/>
        <v/>
      </c>
      <c r="AB104" s="268" t="str">
        <f t="shared" si="107"/>
        <v/>
      </c>
      <c r="AC104" s="268" t="str">
        <f t="shared" si="110"/>
        <v/>
      </c>
      <c r="AD104" s="268" t="str">
        <f t="shared" si="113"/>
        <v/>
      </c>
      <c r="AE104" s="268" t="str">
        <f t="shared" si="115"/>
        <v/>
      </c>
      <c r="AF104" s="268" t="str">
        <f t="shared" si="68"/>
        <v/>
      </c>
      <c r="AG104" s="268" t="str">
        <f t="shared" si="69"/>
        <v/>
      </c>
      <c r="AH104" s="268" t="str">
        <f t="shared" si="70"/>
        <v/>
      </c>
      <c r="AI104" s="268" t="str">
        <f t="shared" si="114"/>
        <v/>
      </c>
      <c r="AJ104" s="268" t="str">
        <f t="shared" si="117"/>
        <v/>
      </c>
      <c r="AK104" s="268" t="str">
        <f t="shared" si="108"/>
        <v/>
      </c>
      <c r="AL104" s="268" t="str">
        <f t="shared" si="109"/>
        <v/>
      </c>
      <c r="AM104" s="268" t="str">
        <f t="shared" si="111"/>
        <v>1</v>
      </c>
      <c r="AN104" s="223" t="str">
        <f t="shared" si="118"/>
        <v>1</v>
      </c>
      <c r="AO104" s="223">
        <v>1</v>
      </c>
      <c r="AP104" s="223" t="str">
        <f t="shared" si="119"/>
        <v>1</v>
      </c>
      <c r="AQ104" s="223" t="str">
        <f t="shared" si="120"/>
        <v>1</v>
      </c>
      <c r="AR104" s="223" t="str">
        <f t="shared" si="121"/>
        <v>1</v>
      </c>
      <c r="AS104" s="223" t="str">
        <f t="shared" si="122"/>
        <v>1</v>
      </c>
      <c r="AT104" s="223" t="str">
        <f t="shared" si="123"/>
        <v>1</v>
      </c>
      <c r="AU104" s="223" t="str">
        <f t="shared" si="124"/>
        <v>1</v>
      </c>
      <c r="AV104" s="223" t="str">
        <f t="shared" si="125"/>
        <v>1</v>
      </c>
      <c r="AW104" s="223" t="str">
        <f t="shared" si="126"/>
        <v>1</v>
      </c>
      <c r="AX104" s="223" t="str">
        <f t="shared" si="127"/>
        <v>1</v>
      </c>
      <c r="AY104" s="223" t="str">
        <f t="shared" si="128"/>
        <v>1</v>
      </c>
    </row>
    <row r="105" spans="1:51" ht="22.5" x14ac:dyDescent="0.25">
      <c r="A105" s="214">
        <v>103</v>
      </c>
      <c r="B105" s="250" t="s">
        <v>78</v>
      </c>
      <c r="C105" s="132" t="s">
        <v>79</v>
      </c>
      <c r="D105" s="156">
        <v>2013</v>
      </c>
      <c r="E105" s="136">
        <v>41319</v>
      </c>
      <c r="F105" s="222">
        <f t="shared" si="72"/>
        <v>2</v>
      </c>
      <c r="G105" s="222" t="str">
        <f t="shared" si="73"/>
        <v>22013</v>
      </c>
      <c r="H105" s="222" t="str">
        <f t="shared" si="74"/>
        <v>febrero</v>
      </c>
      <c r="I105" s="126" t="str">
        <f>VLOOKUP(B105,'Base de Datos'!$E$7:$T$271,14,0)</f>
        <v/>
      </c>
      <c r="J105" s="224" t="e">
        <f t="shared" si="75"/>
        <v>#VALUE!</v>
      </c>
      <c r="K105" s="223" t="e">
        <f t="shared" si="76"/>
        <v>#VALUE!</v>
      </c>
      <c r="L105" s="223" t="e">
        <f t="shared" si="77"/>
        <v>#VALUE!</v>
      </c>
      <c r="M105" s="223" t="str">
        <f t="shared" si="78"/>
        <v/>
      </c>
      <c r="N105" s="223" t="e">
        <f t="shared" ca="1" si="79"/>
        <v>#VALUE!</v>
      </c>
      <c r="O105" s="268" t="e">
        <f t="shared" ca="1" si="80"/>
        <v>#VALUE!</v>
      </c>
      <c r="P105" s="268" t="str">
        <f t="shared" si="103"/>
        <v/>
      </c>
      <c r="Q105" s="268" t="str">
        <f t="shared" si="81"/>
        <v/>
      </c>
      <c r="R105" s="268" t="str">
        <f t="shared" si="82"/>
        <v/>
      </c>
      <c r="S105" s="268" t="str">
        <f t="shared" si="83"/>
        <v/>
      </c>
      <c r="T105" s="268" t="str">
        <f t="shared" si="84"/>
        <v/>
      </c>
      <c r="U105" s="268" t="str">
        <f t="shared" si="85"/>
        <v/>
      </c>
      <c r="V105" s="268" t="str">
        <f t="shared" si="105"/>
        <v/>
      </c>
      <c r="W105" s="268" t="str">
        <f t="shared" si="86"/>
        <v/>
      </c>
      <c r="X105" s="268" t="str">
        <f t="shared" si="87"/>
        <v/>
      </c>
      <c r="Y105" s="268" t="str">
        <f t="shared" si="104"/>
        <v/>
      </c>
      <c r="Z105" s="268" t="str">
        <f t="shared" si="88"/>
        <v/>
      </c>
      <c r="AA105" s="268" t="str">
        <f t="shared" si="112"/>
        <v/>
      </c>
      <c r="AB105" s="268" t="str">
        <f t="shared" si="107"/>
        <v/>
      </c>
      <c r="AC105" s="268" t="str">
        <f t="shared" si="110"/>
        <v>1</v>
      </c>
      <c r="AD105" s="268" t="str">
        <f t="shared" si="113"/>
        <v>1</v>
      </c>
      <c r="AE105" s="268" t="str">
        <f t="shared" si="115"/>
        <v>1</v>
      </c>
      <c r="AF105" s="268" t="str">
        <f t="shared" si="68"/>
        <v>1</v>
      </c>
      <c r="AG105" s="268" t="str">
        <f t="shared" si="69"/>
        <v>1</v>
      </c>
      <c r="AH105" s="268" t="str">
        <f t="shared" si="70"/>
        <v>1</v>
      </c>
      <c r="AI105" s="268" t="str">
        <f t="shared" si="114"/>
        <v>1</v>
      </c>
      <c r="AJ105" s="268" t="str">
        <f t="shared" si="117"/>
        <v>1</v>
      </c>
      <c r="AK105" s="268" t="str">
        <f t="shared" si="108"/>
        <v>1</v>
      </c>
      <c r="AL105" s="268" t="str">
        <f t="shared" si="109"/>
        <v>1</v>
      </c>
      <c r="AM105" s="268" t="str">
        <f t="shared" si="111"/>
        <v>1</v>
      </c>
      <c r="AN105" s="223" t="str">
        <f t="shared" si="118"/>
        <v>1</v>
      </c>
      <c r="AO105" s="223">
        <v>1</v>
      </c>
      <c r="AP105" s="223" t="str">
        <f t="shared" si="119"/>
        <v>1</v>
      </c>
      <c r="AQ105" s="223" t="str">
        <f t="shared" si="120"/>
        <v>1</v>
      </c>
      <c r="AR105" s="223" t="str">
        <f t="shared" si="121"/>
        <v>1</v>
      </c>
      <c r="AS105" s="223" t="str">
        <f t="shared" si="122"/>
        <v>1</v>
      </c>
      <c r="AT105" s="223" t="str">
        <f t="shared" si="123"/>
        <v>1</v>
      </c>
      <c r="AU105" s="223" t="str">
        <f t="shared" si="124"/>
        <v>1</v>
      </c>
      <c r="AV105" s="223" t="str">
        <f t="shared" si="125"/>
        <v>1</v>
      </c>
      <c r="AW105" s="223" t="str">
        <f t="shared" si="126"/>
        <v>1</v>
      </c>
      <c r="AX105" s="223" t="str">
        <f t="shared" si="127"/>
        <v>1</v>
      </c>
      <c r="AY105" s="223" t="str">
        <f t="shared" si="128"/>
        <v>1</v>
      </c>
    </row>
    <row r="106" spans="1:51" ht="22.5" x14ac:dyDescent="0.25">
      <c r="A106" s="214">
        <v>104</v>
      </c>
      <c r="B106" s="252" t="s">
        <v>167</v>
      </c>
      <c r="C106" s="132" t="s">
        <v>1036</v>
      </c>
      <c r="D106" s="156">
        <v>2013</v>
      </c>
      <c r="E106" s="138">
        <v>41477</v>
      </c>
      <c r="F106" s="222">
        <f t="shared" si="72"/>
        <v>7</v>
      </c>
      <c r="G106" s="222" t="str">
        <f t="shared" si="73"/>
        <v>72013</v>
      </c>
      <c r="H106" s="222" t="str">
        <f t="shared" si="74"/>
        <v>julio</v>
      </c>
      <c r="I106" s="126" t="str">
        <f>VLOOKUP(B106,'Base de Datos'!$E$7:$T$271,14,0)</f>
        <v/>
      </c>
      <c r="J106" s="224" t="e">
        <f t="shared" si="75"/>
        <v>#VALUE!</v>
      </c>
      <c r="K106" s="223" t="e">
        <f t="shared" si="76"/>
        <v>#VALUE!</v>
      </c>
      <c r="L106" s="223" t="e">
        <f t="shared" si="77"/>
        <v>#VALUE!</v>
      </c>
      <c r="M106" s="223" t="str">
        <f t="shared" si="78"/>
        <v/>
      </c>
      <c r="N106" s="223" t="e">
        <f t="shared" ca="1" si="79"/>
        <v>#VALUE!</v>
      </c>
      <c r="O106" s="268" t="e">
        <f t="shared" ca="1" si="80"/>
        <v>#VALUE!</v>
      </c>
      <c r="P106" s="268" t="str">
        <f t="shared" si="103"/>
        <v/>
      </c>
      <c r="Q106" s="268" t="str">
        <f t="shared" si="81"/>
        <v/>
      </c>
      <c r="R106" s="268" t="str">
        <f t="shared" si="82"/>
        <v/>
      </c>
      <c r="S106" s="268" t="str">
        <f t="shared" si="83"/>
        <v/>
      </c>
      <c r="T106" s="268" t="str">
        <f t="shared" si="84"/>
        <v/>
      </c>
      <c r="U106" s="268" t="str">
        <f t="shared" si="85"/>
        <v/>
      </c>
      <c r="V106" s="268" t="str">
        <f t="shared" si="105"/>
        <v/>
      </c>
      <c r="W106" s="268" t="str">
        <f t="shared" si="86"/>
        <v/>
      </c>
      <c r="X106" s="268" t="str">
        <f t="shared" si="87"/>
        <v/>
      </c>
      <c r="Y106" s="268" t="str">
        <f t="shared" si="104"/>
        <v/>
      </c>
      <c r="Z106" s="268" t="str">
        <f t="shared" si="88"/>
        <v/>
      </c>
      <c r="AA106" s="268" t="str">
        <f t="shared" si="112"/>
        <v/>
      </c>
      <c r="AB106" s="268" t="str">
        <f t="shared" si="107"/>
        <v/>
      </c>
      <c r="AC106" s="268" t="str">
        <f t="shared" si="110"/>
        <v/>
      </c>
      <c r="AD106" s="268" t="str">
        <f t="shared" si="113"/>
        <v/>
      </c>
      <c r="AE106" s="268" t="str">
        <f t="shared" si="115"/>
        <v/>
      </c>
      <c r="AF106" s="268" t="str">
        <f t="shared" si="68"/>
        <v/>
      </c>
      <c r="AG106" s="268" t="str">
        <f t="shared" si="69"/>
        <v/>
      </c>
      <c r="AH106" s="268" t="str">
        <f t="shared" si="70"/>
        <v>1</v>
      </c>
      <c r="AI106" s="268" t="str">
        <f t="shared" si="114"/>
        <v>1</v>
      </c>
      <c r="AJ106" s="268" t="str">
        <f t="shared" si="117"/>
        <v>1</v>
      </c>
      <c r="AK106" s="268" t="str">
        <f t="shared" si="108"/>
        <v>1</v>
      </c>
      <c r="AL106" s="268" t="str">
        <f t="shared" si="109"/>
        <v>1</v>
      </c>
      <c r="AM106" s="268" t="str">
        <f t="shared" si="111"/>
        <v>1</v>
      </c>
      <c r="AN106" s="223" t="str">
        <f t="shared" si="118"/>
        <v>1</v>
      </c>
      <c r="AO106" s="223">
        <v>1</v>
      </c>
      <c r="AP106" s="223" t="str">
        <f t="shared" si="119"/>
        <v>1</v>
      </c>
      <c r="AQ106" s="223" t="str">
        <f t="shared" si="120"/>
        <v>1</v>
      </c>
      <c r="AR106" s="223" t="str">
        <f t="shared" si="121"/>
        <v>1</v>
      </c>
      <c r="AS106" s="223" t="str">
        <f t="shared" si="122"/>
        <v>1</v>
      </c>
      <c r="AT106" s="223" t="str">
        <f t="shared" si="123"/>
        <v>1</v>
      </c>
      <c r="AU106" s="223" t="str">
        <f t="shared" si="124"/>
        <v>1</v>
      </c>
      <c r="AV106" s="223" t="str">
        <f t="shared" si="125"/>
        <v>1</v>
      </c>
      <c r="AW106" s="223" t="str">
        <f t="shared" si="126"/>
        <v>1</v>
      </c>
      <c r="AX106" s="223" t="str">
        <f t="shared" si="127"/>
        <v>1</v>
      </c>
      <c r="AY106" s="223" t="str">
        <f t="shared" si="128"/>
        <v>1</v>
      </c>
    </row>
    <row r="107" spans="1:51" ht="22.5" x14ac:dyDescent="0.25">
      <c r="A107" s="214">
        <v>105</v>
      </c>
      <c r="B107" s="250" t="s">
        <v>91</v>
      </c>
      <c r="C107" s="132" t="s">
        <v>1032</v>
      </c>
      <c r="D107" s="156">
        <v>2013</v>
      </c>
      <c r="E107" s="136">
        <v>41387</v>
      </c>
      <c r="F107" s="222">
        <f t="shared" si="72"/>
        <v>4</v>
      </c>
      <c r="G107" s="222" t="str">
        <f t="shared" si="73"/>
        <v>42013</v>
      </c>
      <c r="H107" s="222" t="str">
        <f t="shared" si="74"/>
        <v>abril</v>
      </c>
      <c r="I107" s="126" t="str">
        <f>VLOOKUP(B107,'Base de Datos'!$E$7:$T$271,14,0)</f>
        <v/>
      </c>
      <c r="J107" s="224" t="e">
        <f t="shared" si="75"/>
        <v>#VALUE!</v>
      </c>
      <c r="K107" s="223" t="e">
        <f t="shared" si="76"/>
        <v>#VALUE!</v>
      </c>
      <c r="L107" s="223" t="e">
        <f t="shared" si="77"/>
        <v>#VALUE!</v>
      </c>
      <c r="M107" s="223" t="str">
        <f t="shared" si="78"/>
        <v/>
      </c>
      <c r="N107" s="223" t="e">
        <f t="shared" ca="1" si="79"/>
        <v>#VALUE!</v>
      </c>
      <c r="O107" s="268" t="e">
        <f t="shared" ca="1" si="80"/>
        <v>#VALUE!</v>
      </c>
      <c r="P107" s="268" t="str">
        <f t="shared" si="103"/>
        <v/>
      </c>
      <c r="Q107" s="268" t="str">
        <f t="shared" si="81"/>
        <v/>
      </c>
      <c r="R107" s="268" t="str">
        <f t="shared" si="82"/>
        <v/>
      </c>
      <c r="S107" s="268" t="str">
        <f t="shared" si="83"/>
        <v/>
      </c>
      <c r="T107" s="268" t="str">
        <f t="shared" si="84"/>
        <v/>
      </c>
      <c r="U107" s="268" t="str">
        <f t="shared" si="85"/>
        <v/>
      </c>
      <c r="V107" s="268" t="str">
        <f t="shared" si="105"/>
        <v/>
      </c>
      <c r="W107" s="268" t="str">
        <f t="shared" si="86"/>
        <v/>
      </c>
      <c r="X107" s="268" t="str">
        <f t="shared" si="87"/>
        <v/>
      </c>
      <c r="Y107" s="268" t="str">
        <f t="shared" si="104"/>
        <v/>
      </c>
      <c r="Z107" s="268" t="str">
        <f t="shared" si="88"/>
        <v/>
      </c>
      <c r="AA107" s="268" t="str">
        <f t="shared" si="112"/>
        <v/>
      </c>
      <c r="AB107" s="268" t="str">
        <f t="shared" si="107"/>
        <v/>
      </c>
      <c r="AC107" s="268" t="str">
        <f t="shared" si="110"/>
        <v/>
      </c>
      <c r="AD107" s="268" t="str">
        <f t="shared" si="113"/>
        <v/>
      </c>
      <c r="AE107" s="268" t="str">
        <f t="shared" si="115"/>
        <v>1</v>
      </c>
      <c r="AF107" s="268" t="str">
        <f t="shared" ref="AF107:AF170" si="129">IF(AND(E107&lt;$AF$2,I107&gt;$AF$2),"1","")</f>
        <v>1</v>
      </c>
      <c r="AG107" s="268" t="str">
        <f t="shared" si="69"/>
        <v>1</v>
      </c>
      <c r="AH107" s="268" t="str">
        <f t="shared" si="70"/>
        <v>1</v>
      </c>
      <c r="AI107" s="268" t="str">
        <f t="shared" si="114"/>
        <v>1</v>
      </c>
      <c r="AJ107" s="268" t="str">
        <f t="shared" si="117"/>
        <v>1</v>
      </c>
      <c r="AK107" s="268" t="str">
        <f t="shared" si="108"/>
        <v>1</v>
      </c>
      <c r="AL107" s="268" t="str">
        <f t="shared" si="109"/>
        <v>1</v>
      </c>
      <c r="AM107" s="268" t="str">
        <f t="shared" si="111"/>
        <v>1</v>
      </c>
      <c r="AN107" s="223" t="str">
        <f t="shared" si="118"/>
        <v>1</v>
      </c>
      <c r="AO107" s="223">
        <v>1</v>
      </c>
      <c r="AP107" s="223" t="str">
        <f t="shared" si="119"/>
        <v>1</v>
      </c>
      <c r="AQ107" s="223" t="str">
        <f t="shared" si="120"/>
        <v>1</v>
      </c>
      <c r="AR107" s="223" t="str">
        <f t="shared" si="121"/>
        <v>1</v>
      </c>
      <c r="AS107" s="223" t="str">
        <f t="shared" si="122"/>
        <v>1</v>
      </c>
      <c r="AT107" s="223" t="str">
        <f t="shared" si="123"/>
        <v>1</v>
      </c>
      <c r="AU107" s="223" t="str">
        <f t="shared" si="124"/>
        <v>1</v>
      </c>
      <c r="AV107" s="223" t="str">
        <f t="shared" si="125"/>
        <v>1</v>
      </c>
      <c r="AW107" s="223" t="str">
        <f t="shared" si="126"/>
        <v>1</v>
      </c>
      <c r="AX107" s="223" t="str">
        <f t="shared" si="127"/>
        <v>1</v>
      </c>
      <c r="AY107" s="223" t="str">
        <f t="shared" si="128"/>
        <v>1</v>
      </c>
    </row>
    <row r="108" spans="1:51" ht="22.5" x14ac:dyDescent="0.25">
      <c r="A108" s="214">
        <v>106</v>
      </c>
      <c r="B108" s="250" t="s">
        <v>97</v>
      </c>
      <c r="C108" s="132" t="s">
        <v>98</v>
      </c>
      <c r="D108" s="156">
        <v>2013</v>
      </c>
      <c r="E108" s="138">
        <v>41417</v>
      </c>
      <c r="F108" s="222">
        <f t="shared" si="72"/>
        <v>5</v>
      </c>
      <c r="G108" s="222" t="str">
        <f t="shared" si="73"/>
        <v>52013</v>
      </c>
      <c r="H108" s="222" t="str">
        <f t="shared" si="74"/>
        <v>mayo</v>
      </c>
      <c r="I108" s="126" t="str">
        <f>VLOOKUP(B108,'Base de Datos'!$E$7:$T$271,14,0)</f>
        <v/>
      </c>
      <c r="J108" s="224" t="e">
        <f t="shared" si="75"/>
        <v>#VALUE!</v>
      </c>
      <c r="K108" s="223" t="e">
        <f t="shared" si="76"/>
        <v>#VALUE!</v>
      </c>
      <c r="L108" s="223" t="e">
        <f t="shared" si="77"/>
        <v>#VALUE!</v>
      </c>
      <c r="M108" s="223" t="str">
        <f t="shared" si="78"/>
        <v/>
      </c>
      <c r="N108" s="223" t="e">
        <f t="shared" ca="1" si="79"/>
        <v>#VALUE!</v>
      </c>
      <c r="O108" s="268" t="e">
        <f t="shared" ca="1" si="80"/>
        <v>#VALUE!</v>
      </c>
      <c r="P108" s="268" t="str">
        <f t="shared" si="103"/>
        <v/>
      </c>
      <c r="Q108" s="268" t="str">
        <f t="shared" si="81"/>
        <v/>
      </c>
      <c r="R108" s="268" t="str">
        <f t="shared" si="82"/>
        <v/>
      </c>
      <c r="S108" s="268" t="str">
        <f t="shared" si="83"/>
        <v/>
      </c>
      <c r="T108" s="268" t="str">
        <f t="shared" si="84"/>
        <v/>
      </c>
      <c r="U108" s="268" t="str">
        <f t="shared" si="85"/>
        <v/>
      </c>
      <c r="V108" s="268" t="str">
        <f t="shared" si="105"/>
        <v/>
      </c>
      <c r="W108" s="268" t="str">
        <f t="shared" si="86"/>
        <v/>
      </c>
      <c r="X108" s="268" t="str">
        <f t="shared" si="87"/>
        <v/>
      </c>
      <c r="Y108" s="268" t="str">
        <f t="shared" si="104"/>
        <v/>
      </c>
      <c r="Z108" s="268" t="str">
        <f t="shared" si="88"/>
        <v/>
      </c>
      <c r="AA108" s="268" t="str">
        <f t="shared" si="112"/>
        <v/>
      </c>
      <c r="AB108" s="268" t="str">
        <f t="shared" si="107"/>
        <v/>
      </c>
      <c r="AC108" s="268" t="str">
        <f t="shared" si="110"/>
        <v/>
      </c>
      <c r="AD108" s="268" t="str">
        <f t="shared" si="113"/>
        <v/>
      </c>
      <c r="AE108" s="268" t="str">
        <f t="shared" si="115"/>
        <v/>
      </c>
      <c r="AF108" s="268" t="str">
        <f t="shared" si="129"/>
        <v>1</v>
      </c>
      <c r="AG108" s="268" t="str">
        <f t="shared" si="69"/>
        <v>1</v>
      </c>
      <c r="AH108" s="268" t="str">
        <f t="shared" si="70"/>
        <v>1</v>
      </c>
      <c r="AI108" s="268" t="str">
        <f t="shared" si="114"/>
        <v>1</v>
      </c>
      <c r="AJ108" s="268" t="str">
        <f t="shared" si="117"/>
        <v>1</v>
      </c>
      <c r="AK108" s="268" t="str">
        <f t="shared" si="108"/>
        <v>1</v>
      </c>
      <c r="AL108" s="268" t="str">
        <f t="shared" si="109"/>
        <v>1</v>
      </c>
      <c r="AM108" s="268" t="str">
        <f t="shared" si="111"/>
        <v>1</v>
      </c>
      <c r="AN108" s="223" t="str">
        <f t="shared" si="118"/>
        <v>1</v>
      </c>
      <c r="AO108" s="223">
        <v>1</v>
      </c>
      <c r="AP108" s="223" t="str">
        <f t="shared" si="119"/>
        <v>1</v>
      </c>
      <c r="AQ108" s="223" t="str">
        <f t="shared" si="120"/>
        <v>1</v>
      </c>
      <c r="AR108" s="223" t="str">
        <f t="shared" si="121"/>
        <v>1</v>
      </c>
      <c r="AS108" s="223" t="str">
        <f t="shared" si="122"/>
        <v>1</v>
      </c>
      <c r="AT108" s="223" t="str">
        <f t="shared" si="123"/>
        <v>1</v>
      </c>
      <c r="AU108" s="223" t="str">
        <f t="shared" si="124"/>
        <v>1</v>
      </c>
      <c r="AV108" s="223" t="str">
        <f t="shared" si="125"/>
        <v>1</v>
      </c>
      <c r="AW108" s="223" t="str">
        <f t="shared" si="126"/>
        <v>1</v>
      </c>
      <c r="AX108" s="223" t="str">
        <f t="shared" si="127"/>
        <v>1</v>
      </c>
      <c r="AY108" s="223" t="str">
        <f t="shared" si="128"/>
        <v>1</v>
      </c>
    </row>
    <row r="109" spans="1:51" ht="33.75" x14ac:dyDescent="0.25">
      <c r="A109" s="214">
        <v>107</v>
      </c>
      <c r="B109" s="251" t="s">
        <v>204</v>
      </c>
      <c r="C109" s="132" t="s">
        <v>205</v>
      </c>
      <c r="D109" s="141">
        <v>2013</v>
      </c>
      <c r="E109" s="138">
        <v>41570</v>
      </c>
      <c r="F109" s="222">
        <f t="shared" si="72"/>
        <v>10</v>
      </c>
      <c r="G109" s="222" t="str">
        <f t="shared" si="73"/>
        <v>102013</v>
      </c>
      <c r="H109" s="222" t="str">
        <f t="shared" si="74"/>
        <v>octubre</v>
      </c>
      <c r="I109" s="126" t="str">
        <f>VLOOKUP(B109,'Base de Datos'!$E$7:$T$271,14,0)</f>
        <v/>
      </c>
      <c r="J109" s="224" t="e">
        <f t="shared" si="75"/>
        <v>#VALUE!</v>
      </c>
      <c r="K109" s="223" t="e">
        <f t="shared" si="76"/>
        <v>#VALUE!</v>
      </c>
      <c r="L109" s="223" t="e">
        <f t="shared" si="77"/>
        <v>#VALUE!</v>
      </c>
      <c r="M109" s="223" t="str">
        <f t="shared" si="78"/>
        <v/>
      </c>
      <c r="N109" s="223" t="e">
        <f t="shared" ca="1" si="79"/>
        <v>#VALUE!</v>
      </c>
      <c r="O109" s="268" t="e">
        <f t="shared" ca="1" si="80"/>
        <v>#VALUE!</v>
      </c>
      <c r="P109" s="268" t="str">
        <f t="shared" si="103"/>
        <v/>
      </c>
      <c r="Q109" s="268" t="str">
        <f t="shared" si="81"/>
        <v/>
      </c>
      <c r="R109" s="268" t="str">
        <f t="shared" si="82"/>
        <v/>
      </c>
      <c r="S109" s="268" t="str">
        <f t="shared" si="83"/>
        <v/>
      </c>
      <c r="T109" s="268" t="str">
        <f t="shared" si="84"/>
        <v/>
      </c>
      <c r="U109" s="268" t="str">
        <f t="shared" si="85"/>
        <v/>
      </c>
      <c r="V109" s="268" t="str">
        <f t="shared" si="105"/>
        <v/>
      </c>
      <c r="W109" s="268" t="str">
        <f t="shared" si="86"/>
        <v/>
      </c>
      <c r="X109" s="268" t="str">
        <f t="shared" si="87"/>
        <v/>
      </c>
      <c r="Y109" s="268" t="str">
        <f t="shared" si="104"/>
        <v/>
      </c>
      <c r="Z109" s="268" t="str">
        <f t="shared" si="88"/>
        <v/>
      </c>
      <c r="AA109" s="268" t="str">
        <f t="shared" si="112"/>
        <v/>
      </c>
      <c r="AB109" s="268" t="str">
        <f t="shared" si="107"/>
        <v/>
      </c>
      <c r="AC109" s="268" t="str">
        <f t="shared" si="110"/>
        <v/>
      </c>
      <c r="AD109" s="268" t="str">
        <f t="shared" si="113"/>
        <v/>
      </c>
      <c r="AE109" s="268" t="str">
        <f t="shared" si="115"/>
        <v/>
      </c>
      <c r="AF109" s="268" t="str">
        <f t="shared" si="129"/>
        <v/>
      </c>
      <c r="AG109" s="268" t="str">
        <f t="shared" si="69"/>
        <v/>
      </c>
      <c r="AH109" s="268" t="str">
        <f t="shared" si="70"/>
        <v/>
      </c>
      <c r="AI109" s="268" t="str">
        <f t="shared" si="114"/>
        <v/>
      </c>
      <c r="AJ109" s="268" t="str">
        <f t="shared" si="117"/>
        <v/>
      </c>
      <c r="AK109" s="268" t="str">
        <f t="shared" si="108"/>
        <v>1</v>
      </c>
      <c r="AL109" s="268" t="str">
        <f t="shared" si="109"/>
        <v>1</v>
      </c>
      <c r="AM109" s="268" t="str">
        <f t="shared" si="111"/>
        <v>1</v>
      </c>
      <c r="AN109" s="223" t="str">
        <f t="shared" si="118"/>
        <v>1</v>
      </c>
      <c r="AO109" s="223">
        <v>1</v>
      </c>
      <c r="AP109" s="223" t="str">
        <f t="shared" si="119"/>
        <v>1</v>
      </c>
      <c r="AQ109" s="223" t="str">
        <f t="shared" si="120"/>
        <v>1</v>
      </c>
      <c r="AR109" s="223" t="str">
        <f t="shared" si="121"/>
        <v>1</v>
      </c>
      <c r="AS109" s="223" t="str">
        <f t="shared" si="122"/>
        <v>1</v>
      </c>
      <c r="AT109" s="223" t="str">
        <f t="shared" si="123"/>
        <v>1</v>
      </c>
      <c r="AU109" s="223" t="str">
        <f t="shared" si="124"/>
        <v>1</v>
      </c>
      <c r="AV109" s="223" t="str">
        <f t="shared" si="125"/>
        <v>1</v>
      </c>
      <c r="AW109" s="223" t="str">
        <f t="shared" si="126"/>
        <v>1</v>
      </c>
      <c r="AX109" s="223" t="str">
        <f t="shared" si="127"/>
        <v>1</v>
      </c>
      <c r="AY109" s="223" t="str">
        <f t="shared" si="128"/>
        <v>1</v>
      </c>
    </row>
    <row r="110" spans="1:51" ht="22.5" x14ac:dyDescent="0.25">
      <c r="A110" s="214">
        <v>108</v>
      </c>
      <c r="B110" s="250" t="s">
        <v>125</v>
      </c>
      <c r="C110" s="132" t="s">
        <v>126</v>
      </c>
      <c r="D110" s="156">
        <v>2013</v>
      </c>
      <c r="E110" s="138">
        <v>41423</v>
      </c>
      <c r="F110" s="222">
        <f t="shared" si="72"/>
        <v>5</v>
      </c>
      <c r="G110" s="222" t="str">
        <f t="shared" si="73"/>
        <v>52013</v>
      </c>
      <c r="H110" s="222" t="str">
        <f t="shared" si="74"/>
        <v>mayo</v>
      </c>
      <c r="I110" s="126" t="str">
        <f>VLOOKUP(B110,'Base de Datos'!$E$7:$T$271,14,0)</f>
        <v/>
      </c>
      <c r="J110" s="224" t="e">
        <f t="shared" si="75"/>
        <v>#VALUE!</v>
      </c>
      <c r="K110" s="223" t="e">
        <f t="shared" si="76"/>
        <v>#VALUE!</v>
      </c>
      <c r="L110" s="223" t="e">
        <f t="shared" si="77"/>
        <v>#VALUE!</v>
      </c>
      <c r="M110" s="223" t="str">
        <f t="shared" si="78"/>
        <v/>
      </c>
      <c r="N110" s="223" t="e">
        <f t="shared" ca="1" si="79"/>
        <v>#VALUE!</v>
      </c>
      <c r="O110" s="268" t="e">
        <f t="shared" ca="1" si="80"/>
        <v>#VALUE!</v>
      </c>
      <c r="P110" s="268" t="str">
        <f t="shared" si="103"/>
        <v/>
      </c>
      <c r="Q110" s="268" t="str">
        <f t="shared" si="81"/>
        <v/>
      </c>
      <c r="R110" s="268" t="str">
        <f t="shared" si="82"/>
        <v/>
      </c>
      <c r="S110" s="268" t="str">
        <f t="shared" si="83"/>
        <v/>
      </c>
      <c r="T110" s="268" t="str">
        <f t="shared" si="84"/>
        <v/>
      </c>
      <c r="U110" s="268" t="str">
        <f t="shared" si="85"/>
        <v/>
      </c>
      <c r="V110" s="268" t="str">
        <f t="shared" si="105"/>
        <v/>
      </c>
      <c r="W110" s="268" t="str">
        <f t="shared" si="86"/>
        <v/>
      </c>
      <c r="X110" s="268" t="str">
        <f t="shared" si="87"/>
        <v/>
      </c>
      <c r="Y110" s="268" t="str">
        <f t="shared" si="104"/>
        <v/>
      </c>
      <c r="Z110" s="268" t="str">
        <f t="shared" si="88"/>
        <v/>
      </c>
      <c r="AA110" s="268" t="str">
        <f t="shared" si="112"/>
        <v/>
      </c>
      <c r="AB110" s="268" t="str">
        <f t="shared" si="107"/>
        <v/>
      </c>
      <c r="AC110" s="268" t="str">
        <f t="shared" si="110"/>
        <v/>
      </c>
      <c r="AD110" s="268" t="str">
        <f t="shared" si="113"/>
        <v/>
      </c>
      <c r="AE110" s="268" t="str">
        <f t="shared" si="115"/>
        <v/>
      </c>
      <c r="AF110" s="268" t="str">
        <f t="shared" si="129"/>
        <v>1</v>
      </c>
      <c r="AG110" s="268" t="str">
        <f t="shared" si="69"/>
        <v>1</v>
      </c>
      <c r="AH110" s="268" t="str">
        <f t="shared" si="70"/>
        <v>1</v>
      </c>
      <c r="AI110" s="268" t="str">
        <f t="shared" si="114"/>
        <v>1</v>
      </c>
      <c r="AJ110" s="268" t="str">
        <f t="shared" si="117"/>
        <v>1</v>
      </c>
      <c r="AK110" s="268" t="str">
        <f t="shared" si="108"/>
        <v>1</v>
      </c>
      <c r="AL110" s="268" t="str">
        <f t="shared" si="109"/>
        <v>1</v>
      </c>
      <c r="AM110" s="268" t="str">
        <f t="shared" si="111"/>
        <v>1</v>
      </c>
      <c r="AN110" s="223" t="str">
        <f t="shared" si="118"/>
        <v>1</v>
      </c>
      <c r="AO110" s="223">
        <v>1</v>
      </c>
      <c r="AP110" s="223" t="str">
        <f t="shared" si="119"/>
        <v>1</v>
      </c>
      <c r="AQ110" s="223" t="str">
        <f t="shared" si="120"/>
        <v>1</v>
      </c>
      <c r="AR110" s="223" t="str">
        <f t="shared" si="121"/>
        <v>1</v>
      </c>
      <c r="AS110" s="223" t="str">
        <f t="shared" si="122"/>
        <v>1</v>
      </c>
      <c r="AT110" s="223" t="str">
        <f t="shared" si="123"/>
        <v>1</v>
      </c>
      <c r="AU110" s="223" t="str">
        <f t="shared" si="124"/>
        <v>1</v>
      </c>
      <c r="AV110" s="223" t="str">
        <f t="shared" si="125"/>
        <v>1</v>
      </c>
      <c r="AW110" s="223" t="str">
        <f t="shared" si="126"/>
        <v>1</v>
      </c>
      <c r="AX110" s="223" t="str">
        <f t="shared" si="127"/>
        <v>1</v>
      </c>
      <c r="AY110" s="223" t="str">
        <f t="shared" si="128"/>
        <v>1</v>
      </c>
    </row>
    <row r="111" spans="1:51" ht="22.5" x14ac:dyDescent="0.25">
      <c r="A111" s="214">
        <v>109</v>
      </c>
      <c r="B111" s="250" t="s">
        <v>93</v>
      </c>
      <c r="C111" s="132" t="s">
        <v>1033</v>
      </c>
      <c r="D111" s="156">
        <v>2013</v>
      </c>
      <c r="E111" s="136">
        <v>41396</v>
      </c>
      <c r="F111" s="222">
        <f t="shared" si="72"/>
        <v>5</v>
      </c>
      <c r="G111" s="222" t="str">
        <f t="shared" si="73"/>
        <v>52013</v>
      </c>
      <c r="H111" s="222" t="str">
        <f t="shared" si="74"/>
        <v>mayo</v>
      </c>
      <c r="I111" s="126" t="str">
        <f>VLOOKUP(B111,'Base de Datos'!$E$7:$T$271,14,0)</f>
        <v/>
      </c>
      <c r="J111" s="224" t="e">
        <f t="shared" si="75"/>
        <v>#VALUE!</v>
      </c>
      <c r="K111" s="223" t="e">
        <f t="shared" si="76"/>
        <v>#VALUE!</v>
      </c>
      <c r="L111" s="223" t="e">
        <f t="shared" si="77"/>
        <v>#VALUE!</v>
      </c>
      <c r="M111" s="223" t="str">
        <f t="shared" si="78"/>
        <v/>
      </c>
      <c r="N111" s="223" t="e">
        <f t="shared" ca="1" si="79"/>
        <v>#VALUE!</v>
      </c>
      <c r="O111" s="268" t="e">
        <f t="shared" ca="1" si="80"/>
        <v>#VALUE!</v>
      </c>
      <c r="P111" s="268" t="str">
        <f t="shared" si="103"/>
        <v/>
      </c>
      <c r="Q111" s="268" t="str">
        <f t="shared" si="81"/>
        <v/>
      </c>
      <c r="R111" s="268" t="str">
        <f t="shared" si="82"/>
        <v/>
      </c>
      <c r="S111" s="268" t="str">
        <f t="shared" si="83"/>
        <v/>
      </c>
      <c r="T111" s="268" t="str">
        <f t="shared" si="84"/>
        <v/>
      </c>
      <c r="U111" s="268" t="str">
        <f t="shared" si="85"/>
        <v/>
      </c>
      <c r="V111" s="268" t="str">
        <f t="shared" si="105"/>
        <v/>
      </c>
      <c r="W111" s="268" t="str">
        <f t="shared" si="86"/>
        <v/>
      </c>
      <c r="X111" s="268" t="str">
        <f t="shared" si="87"/>
        <v/>
      </c>
      <c r="Y111" s="268" t="str">
        <f t="shared" si="104"/>
        <v/>
      </c>
      <c r="Z111" s="268" t="str">
        <f t="shared" si="88"/>
        <v/>
      </c>
      <c r="AA111" s="268" t="str">
        <f t="shared" si="112"/>
        <v/>
      </c>
      <c r="AB111" s="268" t="str">
        <f t="shared" si="107"/>
        <v/>
      </c>
      <c r="AC111" s="268" t="str">
        <f t="shared" si="110"/>
        <v/>
      </c>
      <c r="AD111" s="268" t="str">
        <f t="shared" si="113"/>
        <v/>
      </c>
      <c r="AE111" s="268" t="str">
        <f t="shared" si="115"/>
        <v/>
      </c>
      <c r="AF111" s="268" t="str">
        <f t="shared" si="129"/>
        <v>1</v>
      </c>
      <c r="AG111" s="268" t="str">
        <f t="shared" si="69"/>
        <v>1</v>
      </c>
      <c r="AH111" s="268" t="str">
        <f t="shared" si="70"/>
        <v>1</v>
      </c>
      <c r="AI111" s="268" t="str">
        <f t="shared" si="114"/>
        <v>1</v>
      </c>
      <c r="AJ111" s="268" t="str">
        <f t="shared" si="117"/>
        <v>1</v>
      </c>
      <c r="AK111" s="268" t="str">
        <f t="shared" ref="AK111:AK142" si="130">IF(AND(E111&lt;$AK$2,I111&gt;$AK$2),"1","")</f>
        <v>1</v>
      </c>
      <c r="AL111" s="268" t="str">
        <f t="shared" si="109"/>
        <v>1</v>
      </c>
      <c r="AM111" s="268" t="str">
        <f t="shared" si="111"/>
        <v>1</v>
      </c>
      <c r="AN111" s="223" t="str">
        <f t="shared" si="118"/>
        <v>1</v>
      </c>
      <c r="AO111" s="223" t="str">
        <f t="shared" ref="AO111:AO142" si="131">IF(AND(E111&lt;$AO$2,I111&gt;$AO$2),"1","")</f>
        <v>1</v>
      </c>
      <c r="AP111" s="223">
        <v>1</v>
      </c>
      <c r="AQ111" s="223" t="str">
        <f t="shared" si="120"/>
        <v>1</v>
      </c>
      <c r="AR111" s="223" t="str">
        <f t="shared" si="121"/>
        <v>1</v>
      </c>
      <c r="AS111" s="223" t="str">
        <f t="shared" si="122"/>
        <v>1</v>
      </c>
      <c r="AT111" s="223" t="str">
        <f t="shared" si="123"/>
        <v>1</v>
      </c>
      <c r="AU111" s="223" t="str">
        <f t="shared" si="124"/>
        <v>1</v>
      </c>
      <c r="AV111" s="223" t="str">
        <f t="shared" si="125"/>
        <v>1</v>
      </c>
      <c r="AW111" s="223" t="str">
        <f t="shared" si="126"/>
        <v>1</v>
      </c>
      <c r="AX111" s="223" t="str">
        <f t="shared" si="127"/>
        <v>1</v>
      </c>
      <c r="AY111" s="223" t="str">
        <f t="shared" si="128"/>
        <v>1</v>
      </c>
    </row>
    <row r="112" spans="1:51" ht="22.5" x14ac:dyDescent="0.25">
      <c r="A112" s="214">
        <v>110</v>
      </c>
      <c r="B112" s="250" t="s">
        <v>11</v>
      </c>
      <c r="C112" s="132" t="s">
        <v>12</v>
      </c>
      <c r="D112" s="156">
        <v>2012</v>
      </c>
      <c r="E112" s="136">
        <v>41288</v>
      </c>
      <c r="F112" s="222">
        <f t="shared" si="72"/>
        <v>1</v>
      </c>
      <c r="G112" s="222" t="str">
        <f t="shared" si="73"/>
        <v>12012</v>
      </c>
      <c r="H112" s="222" t="str">
        <f t="shared" si="74"/>
        <v>enero</v>
      </c>
      <c r="I112" s="126" t="str">
        <f>VLOOKUP(B112,'Base de Datos'!$E$7:$T$271,14,0)</f>
        <v>2 meses</v>
      </c>
      <c r="J112" s="224" t="e">
        <f t="shared" si="75"/>
        <v>#VALUE!</v>
      </c>
      <c r="K112" s="223" t="e">
        <f t="shared" si="76"/>
        <v>#VALUE!</v>
      </c>
      <c r="L112" s="223" t="e">
        <f t="shared" si="77"/>
        <v>#VALUE!</v>
      </c>
      <c r="M112" s="223" t="str">
        <f t="shared" si="78"/>
        <v>2 meses</v>
      </c>
      <c r="N112" s="223" t="e">
        <f t="shared" ca="1" si="79"/>
        <v>#VALUE!</v>
      </c>
      <c r="O112" s="268" t="e">
        <f t="shared" ca="1" si="80"/>
        <v>#VALUE!</v>
      </c>
      <c r="P112" s="268" t="str">
        <f t="shared" si="103"/>
        <v/>
      </c>
      <c r="Q112" s="268" t="str">
        <f t="shared" si="81"/>
        <v/>
      </c>
      <c r="R112" s="268" t="str">
        <f t="shared" si="82"/>
        <v/>
      </c>
      <c r="S112" s="268" t="str">
        <f t="shared" si="83"/>
        <v/>
      </c>
      <c r="T112" s="268" t="str">
        <f t="shared" si="84"/>
        <v/>
      </c>
      <c r="U112" s="268" t="str">
        <f t="shared" si="85"/>
        <v/>
      </c>
      <c r="V112" s="268" t="str">
        <f t="shared" si="105"/>
        <v/>
      </c>
      <c r="W112" s="268" t="str">
        <f t="shared" si="86"/>
        <v/>
      </c>
      <c r="X112" s="268" t="str">
        <f t="shared" si="87"/>
        <v/>
      </c>
      <c r="Y112" s="268" t="str">
        <f t="shared" si="104"/>
        <v/>
      </c>
      <c r="Z112" s="268" t="str">
        <f t="shared" si="88"/>
        <v/>
      </c>
      <c r="AA112" s="268" t="str">
        <f t="shared" si="112"/>
        <v/>
      </c>
      <c r="AB112" s="268" t="str">
        <f t="shared" si="107"/>
        <v>1</v>
      </c>
      <c r="AC112" s="268" t="str">
        <f t="shared" si="110"/>
        <v>1</v>
      </c>
      <c r="AD112" s="268" t="str">
        <f t="shared" si="113"/>
        <v>1</v>
      </c>
      <c r="AE112" s="268" t="str">
        <f t="shared" si="115"/>
        <v>1</v>
      </c>
      <c r="AF112" s="268" t="str">
        <f t="shared" si="129"/>
        <v>1</v>
      </c>
      <c r="AG112" s="268" t="str">
        <f t="shared" si="69"/>
        <v>1</v>
      </c>
      <c r="AH112" s="268" t="str">
        <f t="shared" si="70"/>
        <v>1</v>
      </c>
      <c r="AI112" s="268" t="str">
        <f t="shared" si="114"/>
        <v>1</v>
      </c>
      <c r="AJ112" s="268" t="str">
        <f t="shared" si="117"/>
        <v>1</v>
      </c>
      <c r="AK112" s="268" t="str">
        <f t="shared" si="130"/>
        <v>1</v>
      </c>
      <c r="AL112" s="268" t="str">
        <f t="shared" ref="AL112:AL143" si="132">IF(AND(E112&lt;$AL$2,I112&gt;$AL$2),"1","")</f>
        <v>1</v>
      </c>
      <c r="AM112" s="268" t="str">
        <f t="shared" si="111"/>
        <v>1</v>
      </c>
      <c r="AN112" s="223" t="str">
        <f t="shared" si="118"/>
        <v>1</v>
      </c>
      <c r="AO112" s="223" t="str">
        <f t="shared" si="131"/>
        <v>1</v>
      </c>
      <c r="AP112" s="223">
        <v>1</v>
      </c>
      <c r="AQ112" s="223" t="str">
        <f t="shared" si="120"/>
        <v>1</v>
      </c>
      <c r="AR112" s="223" t="str">
        <f t="shared" si="121"/>
        <v>1</v>
      </c>
      <c r="AS112" s="223" t="str">
        <f t="shared" si="122"/>
        <v>1</v>
      </c>
      <c r="AT112" s="223" t="str">
        <f t="shared" si="123"/>
        <v>1</v>
      </c>
      <c r="AU112" s="223" t="str">
        <f t="shared" si="124"/>
        <v>1</v>
      </c>
      <c r="AV112" s="223" t="str">
        <f t="shared" si="125"/>
        <v>1</v>
      </c>
      <c r="AW112" s="223" t="str">
        <f t="shared" si="126"/>
        <v>1</v>
      </c>
      <c r="AX112" s="223" t="str">
        <f t="shared" si="127"/>
        <v>1</v>
      </c>
      <c r="AY112" s="223" t="str">
        <f t="shared" si="128"/>
        <v>1</v>
      </c>
    </row>
    <row r="113" spans="1:51" ht="22.5" x14ac:dyDescent="0.25">
      <c r="A113" s="214">
        <v>111</v>
      </c>
      <c r="B113" s="250" t="s">
        <v>80</v>
      </c>
      <c r="C113" s="132" t="s">
        <v>81</v>
      </c>
      <c r="D113" s="156">
        <v>2013</v>
      </c>
      <c r="E113" s="136">
        <v>41347</v>
      </c>
      <c r="F113" s="222">
        <f t="shared" si="72"/>
        <v>3</v>
      </c>
      <c r="G113" s="222" t="str">
        <f t="shared" si="73"/>
        <v>32013</v>
      </c>
      <c r="H113" s="222" t="str">
        <f t="shared" si="74"/>
        <v>marzo</v>
      </c>
      <c r="I113" s="126" t="str">
        <f>VLOOKUP(B113,'Base de Datos'!$E$7:$T$271,14,0)</f>
        <v/>
      </c>
      <c r="J113" s="224" t="e">
        <f t="shared" si="75"/>
        <v>#VALUE!</v>
      </c>
      <c r="K113" s="223" t="e">
        <f t="shared" si="76"/>
        <v>#VALUE!</v>
      </c>
      <c r="L113" s="223" t="e">
        <f t="shared" si="77"/>
        <v>#VALUE!</v>
      </c>
      <c r="M113" s="223" t="str">
        <f t="shared" si="78"/>
        <v/>
      </c>
      <c r="N113" s="223" t="e">
        <f t="shared" ca="1" si="79"/>
        <v>#VALUE!</v>
      </c>
      <c r="O113" s="268" t="e">
        <f t="shared" ca="1" si="80"/>
        <v>#VALUE!</v>
      </c>
      <c r="P113" s="268" t="str">
        <f t="shared" si="103"/>
        <v/>
      </c>
      <c r="Q113" s="268" t="str">
        <f t="shared" si="81"/>
        <v/>
      </c>
      <c r="R113" s="268" t="str">
        <f t="shared" si="82"/>
        <v/>
      </c>
      <c r="S113" s="268" t="str">
        <f t="shared" si="83"/>
        <v/>
      </c>
      <c r="T113" s="268" t="str">
        <f t="shared" si="84"/>
        <v/>
      </c>
      <c r="U113" s="268" t="str">
        <f t="shared" si="85"/>
        <v/>
      </c>
      <c r="V113" s="268" t="str">
        <f t="shared" si="105"/>
        <v/>
      </c>
      <c r="W113" s="268" t="str">
        <f t="shared" si="86"/>
        <v/>
      </c>
      <c r="X113" s="268" t="str">
        <f t="shared" si="87"/>
        <v/>
      </c>
      <c r="Y113" s="268" t="str">
        <f t="shared" si="104"/>
        <v/>
      </c>
      <c r="Z113" s="268" t="str">
        <f t="shared" si="88"/>
        <v/>
      </c>
      <c r="AA113" s="268" t="str">
        <f t="shared" si="112"/>
        <v/>
      </c>
      <c r="AB113" s="268" t="str">
        <f t="shared" si="107"/>
        <v/>
      </c>
      <c r="AC113" s="268" t="str">
        <f t="shared" si="110"/>
        <v/>
      </c>
      <c r="AD113" s="268" t="str">
        <f t="shared" si="113"/>
        <v>1</v>
      </c>
      <c r="AE113" s="268" t="str">
        <f t="shared" si="115"/>
        <v>1</v>
      </c>
      <c r="AF113" s="268" t="str">
        <f t="shared" si="129"/>
        <v>1</v>
      </c>
      <c r="AG113" s="268" t="str">
        <f t="shared" si="69"/>
        <v>1</v>
      </c>
      <c r="AH113" s="268" t="str">
        <f t="shared" si="70"/>
        <v>1</v>
      </c>
      <c r="AI113" s="268" t="str">
        <f t="shared" si="114"/>
        <v>1</v>
      </c>
      <c r="AJ113" s="268" t="str">
        <f t="shared" si="117"/>
        <v>1</v>
      </c>
      <c r="AK113" s="268" t="str">
        <f t="shared" si="130"/>
        <v>1</v>
      </c>
      <c r="AL113" s="268" t="str">
        <f t="shared" si="132"/>
        <v>1</v>
      </c>
      <c r="AM113" s="268" t="str">
        <f t="shared" si="111"/>
        <v>1</v>
      </c>
      <c r="AN113" s="223" t="str">
        <f t="shared" si="118"/>
        <v>1</v>
      </c>
      <c r="AO113" s="223" t="str">
        <f t="shared" si="131"/>
        <v>1</v>
      </c>
      <c r="AP113" s="223">
        <v>1</v>
      </c>
      <c r="AQ113" s="223" t="str">
        <f t="shared" si="120"/>
        <v>1</v>
      </c>
      <c r="AR113" s="223" t="str">
        <f t="shared" si="121"/>
        <v>1</v>
      </c>
      <c r="AS113" s="223" t="str">
        <f t="shared" si="122"/>
        <v>1</v>
      </c>
      <c r="AT113" s="223" t="str">
        <f t="shared" si="123"/>
        <v>1</v>
      </c>
      <c r="AU113" s="223" t="str">
        <f t="shared" si="124"/>
        <v>1</v>
      </c>
      <c r="AV113" s="223" t="str">
        <f t="shared" si="125"/>
        <v>1</v>
      </c>
      <c r="AW113" s="223" t="str">
        <f t="shared" si="126"/>
        <v>1</v>
      </c>
      <c r="AX113" s="223" t="str">
        <f t="shared" si="127"/>
        <v>1</v>
      </c>
      <c r="AY113" s="223" t="str">
        <f t="shared" si="128"/>
        <v>1</v>
      </c>
    </row>
    <row r="114" spans="1:51" ht="22.5" x14ac:dyDescent="0.25">
      <c r="A114" s="214">
        <v>112</v>
      </c>
      <c r="B114" s="252" t="s">
        <v>156</v>
      </c>
      <c r="C114" s="132" t="s">
        <v>53</v>
      </c>
      <c r="D114" s="156">
        <v>2013</v>
      </c>
      <c r="E114" s="138">
        <v>41470</v>
      </c>
      <c r="F114" s="222">
        <f t="shared" si="72"/>
        <v>7</v>
      </c>
      <c r="G114" s="222" t="str">
        <f t="shared" si="73"/>
        <v>72013</v>
      </c>
      <c r="H114" s="222" t="str">
        <f t="shared" si="74"/>
        <v>julio</v>
      </c>
      <c r="I114" s="126" t="str">
        <f>VLOOKUP(B114,'Base de Datos'!$E$7:$T$271,14,0)</f>
        <v/>
      </c>
      <c r="J114" s="224" t="e">
        <f t="shared" si="75"/>
        <v>#VALUE!</v>
      </c>
      <c r="K114" s="223" t="e">
        <f t="shared" si="76"/>
        <v>#VALUE!</v>
      </c>
      <c r="L114" s="223" t="e">
        <f t="shared" si="77"/>
        <v>#VALUE!</v>
      </c>
      <c r="M114" s="223" t="str">
        <f t="shared" si="78"/>
        <v/>
      </c>
      <c r="N114" s="223" t="e">
        <f t="shared" ca="1" si="79"/>
        <v>#VALUE!</v>
      </c>
      <c r="O114" s="268" t="e">
        <f t="shared" ca="1" si="80"/>
        <v>#VALUE!</v>
      </c>
      <c r="P114" s="268" t="str">
        <f t="shared" si="103"/>
        <v/>
      </c>
      <c r="Q114" s="268" t="str">
        <f t="shared" si="81"/>
        <v/>
      </c>
      <c r="R114" s="268" t="str">
        <f t="shared" si="82"/>
        <v/>
      </c>
      <c r="S114" s="268" t="str">
        <f t="shared" si="83"/>
        <v/>
      </c>
      <c r="T114" s="268" t="str">
        <f t="shared" si="84"/>
        <v/>
      </c>
      <c r="U114" s="268" t="str">
        <f t="shared" si="85"/>
        <v/>
      </c>
      <c r="V114" s="268" t="str">
        <f t="shared" si="105"/>
        <v/>
      </c>
      <c r="W114" s="268" t="str">
        <f t="shared" si="86"/>
        <v/>
      </c>
      <c r="X114" s="268" t="str">
        <f t="shared" si="87"/>
        <v/>
      </c>
      <c r="Y114" s="268" t="str">
        <f t="shared" si="104"/>
        <v/>
      </c>
      <c r="Z114" s="268" t="str">
        <f t="shared" si="88"/>
        <v/>
      </c>
      <c r="AA114" s="268" t="str">
        <f t="shared" si="112"/>
        <v/>
      </c>
      <c r="AB114" s="268" t="str">
        <f t="shared" si="107"/>
        <v/>
      </c>
      <c r="AC114" s="268" t="str">
        <f t="shared" si="110"/>
        <v/>
      </c>
      <c r="AD114" s="268" t="str">
        <f t="shared" si="113"/>
        <v/>
      </c>
      <c r="AE114" s="268" t="str">
        <f t="shared" si="115"/>
        <v/>
      </c>
      <c r="AF114" s="268" t="str">
        <f t="shared" si="129"/>
        <v/>
      </c>
      <c r="AG114" s="268" t="str">
        <f t="shared" si="69"/>
        <v/>
      </c>
      <c r="AH114" s="268" t="str">
        <f t="shared" si="70"/>
        <v>1</v>
      </c>
      <c r="AI114" s="268" t="str">
        <f t="shared" si="114"/>
        <v>1</v>
      </c>
      <c r="AJ114" s="268" t="str">
        <f t="shared" si="117"/>
        <v>1</v>
      </c>
      <c r="AK114" s="268" t="str">
        <f t="shared" si="130"/>
        <v>1</v>
      </c>
      <c r="AL114" s="268" t="str">
        <f t="shared" si="132"/>
        <v>1</v>
      </c>
      <c r="AM114" s="268" t="str">
        <f t="shared" si="111"/>
        <v>1</v>
      </c>
      <c r="AN114" s="223" t="str">
        <f t="shared" si="118"/>
        <v>1</v>
      </c>
      <c r="AO114" s="223" t="str">
        <f t="shared" si="131"/>
        <v>1</v>
      </c>
      <c r="AP114" s="223">
        <v>1</v>
      </c>
      <c r="AQ114" s="223" t="str">
        <f t="shared" si="120"/>
        <v>1</v>
      </c>
      <c r="AR114" s="223" t="str">
        <f t="shared" si="121"/>
        <v>1</v>
      </c>
      <c r="AS114" s="223" t="str">
        <f t="shared" si="122"/>
        <v>1</v>
      </c>
      <c r="AT114" s="223" t="str">
        <f t="shared" si="123"/>
        <v>1</v>
      </c>
      <c r="AU114" s="223" t="str">
        <f t="shared" si="124"/>
        <v>1</v>
      </c>
      <c r="AV114" s="223" t="str">
        <f t="shared" si="125"/>
        <v>1</v>
      </c>
      <c r="AW114" s="223" t="str">
        <f t="shared" si="126"/>
        <v>1</v>
      </c>
      <c r="AX114" s="223" t="str">
        <f t="shared" si="127"/>
        <v>1</v>
      </c>
      <c r="AY114" s="223" t="str">
        <f t="shared" si="128"/>
        <v>1</v>
      </c>
    </row>
    <row r="115" spans="1:51" ht="22.5" x14ac:dyDescent="0.25">
      <c r="A115" s="214">
        <v>113</v>
      </c>
      <c r="B115" s="250" t="s">
        <v>123</v>
      </c>
      <c r="C115" s="132" t="s">
        <v>124</v>
      </c>
      <c r="D115" s="156">
        <v>2013</v>
      </c>
      <c r="E115" s="136">
        <v>41410</v>
      </c>
      <c r="F115" s="222">
        <f t="shared" si="72"/>
        <v>5</v>
      </c>
      <c r="G115" s="222" t="str">
        <f t="shared" si="73"/>
        <v>52013</v>
      </c>
      <c r="H115" s="222" t="str">
        <f t="shared" si="74"/>
        <v>mayo</v>
      </c>
      <c r="I115" s="126" t="str">
        <f>VLOOKUP(B115,'Base de Datos'!$E$7:$T$271,14,0)</f>
        <v/>
      </c>
      <c r="J115" s="224" t="e">
        <f t="shared" si="75"/>
        <v>#VALUE!</v>
      </c>
      <c r="K115" s="223" t="e">
        <f t="shared" si="76"/>
        <v>#VALUE!</v>
      </c>
      <c r="L115" s="223" t="e">
        <f t="shared" si="77"/>
        <v>#VALUE!</v>
      </c>
      <c r="M115" s="223" t="str">
        <f t="shared" si="78"/>
        <v/>
      </c>
      <c r="N115" s="223" t="e">
        <f t="shared" ca="1" si="79"/>
        <v>#VALUE!</v>
      </c>
      <c r="O115" s="268" t="e">
        <f t="shared" ca="1" si="80"/>
        <v>#VALUE!</v>
      </c>
      <c r="P115" s="268" t="str">
        <f t="shared" si="103"/>
        <v/>
      </c>
      <c r="Q115" s="268" t="str">
        <f t="shared" si="81"/>
        <v/>
      </c>
      <c r="R115" s="268" t="str">
        <f t="shared" si="82"/>
        <v/>
      </c>
      <c r="S115" s="268" t="str">
        <f t="shared" si="83"/>
        <v/>
      </c>
      <c r="T115" s="268" t="str">
        <f t="shared" si="84"/>
        <v/>
      </c>
      <c r="U115" s="268" t="str">
        <f t="shared" si="85"/>
        <v/>
      </c>
      <c r="V115" s="268" t="str">
        <f t="shared" si="105"/>
        <v/>
      </c>
      <c r="W115" s="268" t="str">
        <f t="shared" si="86"/>
        <v/>
      </c>
      <c r="X115" s="268" t="str">
        <f t="shared" si="87"/>
        <v/>
      </c>
      <c r="Y115" s="268" t="str">
        <f t="shared" si="104"/>
        <v/>
      </c>
      <c r="Z115" s="268" t="str">
        <f t="shared" si="88"/>
        <v/>
      </c>
      <c r="AA115" s="268" t="str">
        <f t="shared" si="112"/>
        <v/>
      </c>
      <c r="AB115" s="268" t="str">
        <f t="shared" si="107"/>
        <v/>
      </c>
      <c r="AC115" s="268" t="str">
        <f t="shared" si="110"/>
        <v/>
      </c>
      <c r="AD115" s="268" t="str">
        <f t="shared" si="113"/>
        <v/>
      </c>
      <c r="AE115" s="268" t="str">
        <f t="shared" si="115"/>
        <v/>
      </c>
      <c r="AF115" s="268" t="str">
        <f t="shared" si="129"/>
        <v>1</v>
      </c>
      <c r="AG115" s="268" t="str">
        <f t="shared" si="69"/>
        <v>1</v>
      </c>
      <c r="AH115" s="268" t="str">
        <f t="shared" si="70"/>
        <v>1</v>
      </c>
      <c r="AI115" s="268" t="str">
        <f t="shared" si="114"/>
        <v>1</v>
      </c>
      <c r="AJ115" s="268" t="str">
        <f t="shared" si="117"/>
        <v>1</v>
      </c>
      <c r="AK115" s="268" t="str">
        <f t="shared" si="130"/>
        <v>1</v>
      </c>
      <c r="AL115" s="268" t="str">
        <f t="shared" si="132"/>
        <v>1</v>
      </c>
      <c r="AM115" s="268" t="str">
        <f t="shared" si="111"/>
        <v>1</v>
      </c>
      <c r="AN115" s="223" t="str">
        <f t="shared" si="118"/>
        <v>1</v>
      </c>
      <c r="AO115" s="223" t="str">
        <f t="shared" si="131"/>
        <v>1</v>
      </c>
      <c r="AP115" s="223">
        <v>1</v>
      </c>
      <c r="AQ115" s="223" t="str">
        <f t="shared" si="120"/>
        <v>1</v>
      </c>
      <c r="AR115" s="223" t="str">
        <f t="shared" si="121"/>
        <v>1</v>
      </c>
      <c r="AS115" s="223" t="str">
        <f t="shared" si="122"/>
        <v>1</v>
      </c>
      <c r="AT115" s="223" t="str">
        <f t="shared" si="123"/>
        <v>1</v>
      </c>
      <c r="AU115" s="223" t="str">
        <f t="shared" si="124"/>
        <v>1</v>
      </c>
      <c r="AV115" s="223" t="str">
        <f t="shared" si="125"/>
        <v>1</v>
      </c>
      <c r="AW115" s="223" t="str">
        <f t="shared" si="126"/>
        <v>1</v>
      </c>
      <c r="AX115" s="223" t="str">
        <f t="shared" si="127"/>
        <v>1</v>
      </c>
      <c r="AY115" s="223" t="str">
        <f t="shared" si="128"/>
        <v>1</v>
      </c>
    </row>
    <row r="116" spans="1:51" x14ac:dyDescent="0.25">
      <c r="A116" s="214">
        <v>114</v>
      </c>
      <c r="B116" s="251" t="s">
        <v>236</v>
      </c>
      <c r="C116" s="132" t="s">
        <v>186</v>
      </c>
      <c r="D116" s="157">
        <v>2013</v>
      </c>
      <c r="E116" s="138">
        <v>41655</v>
      </c>
      <c r="F116" s="222">
        <f t="shared" si="72"/>
        <v>1</v>
      </c>
      <c r="G116" s="222" t="str">
        <f t="shared" si="73"/>
        <v>12013</v>
      </c>
      <c r="H116" s="222" t="str">
        <f t="shared" si="74"/>
        <v>enero</v>
      </c>
      <c r="I116" s="126" t="str">
        <f>VLOOKUP(B116,'Base de Datos'!$E$7:$T$271,14,0)</f>
        <v/>
      </c>
      <c r="J116" s="224" t="e">
        <f t="shared" si="75"/>
        <v>#VALUE!</v>
      </c>
      <c r="K116" s="223" t="e">
        <f t="shared" si="76"/>
        <v>#VALUE!</v>
      </c>
      <c r="L116" s="223" t="e">
        <f t="shared" si="77"/>
        <v>#VALUE!</v>
      </c>
      <c r="M116" s="223" t="str">
        <f t="shared" si="78"/>
        <v/>
      </c>
      <c r="N116" s="223" t="e">
        <f t="shared" ca="1" si="79"/>
        <v>#VALUE!</v>
      </c>
      <c r="O116" s="268" t="e">
        <f t="shared" ca="1" si="80"/>
        <v>#VALUE!</v>
      </c>
      <c r="P116" s="268" t="str">
        <f t="shared" si="103"/>
        <v/>
      </c>
      <c r="Q116" s="268" t="str">
        <f t="shared" si="81"/>
        <v/>
      </c>
      <c r="R116" s="268" t="str">
        <f t="shared" si="82"/>
        <v/>
      </c>
      <c r="S116" s="268" t="str">
        <f t="shared" si="83"/>
        <v/>
      </c>
      <c r="T116" s="268" t="str">
        <f t="shared" si="84"/>
        <v/>
      </c>
      <c r="U116" s="268" t="str">
        <f t="shared" si="85"/>
        <v/>
      </c>
      <c r="V116" s="268" t="str">
        <f t="shared" si="105"/>
        <v/>
      </c>
      <c r="W116" s="268" t="str">
        <f t="shared" si="86"/>
        <v/>
      </c>
      <c r="X116" s="268" t="str">
        <f t="shared" si="87"/>
        <v/>
      </c>
      <c r="Y116" s="268" t="str">
        <f t="shared" si="104"/>
        <v/>
      </c>
      <c r="Z116" s="268" t="str">
        <f t="shared" si="88"/>
        <v/>
      </c>
      <c r="AA116" s="268" t="str">
        <f t="shared" si="112"/>
        <v/>
      </c>
      <c r="AB116" s="268" t="str">
        <f t="shared" si="107"/>
        <v/>
      </c>
      <c r="AC116" s="268" t="str">
        <f t="shared" si="110"/>
        <v/>
      </c>
      <c r="AD116" s="268" t="str">
        <f t="shared" si="113"/>
        <v/>
      </c>
      <c r="AE116" s="268" t="str">
        <f t="shared" si="115"/>
        <v/>
      </c>
      <c r="AF116" s="268" t="str">
        <f t="shared" si="129"/>
        <v/>
      </c>
      <c r="AG116" s="268" t="str">
        <f t="shared" si="69"/>
        <v/>
      </c>
      <c r="AH116" s="268" t="str">
        <f t="shared" si="70"/>
        <v/>
      </c>
      <c r="AI116" s="268" t="str">
        <f t="shared" si="114"/>
        <v/>
      </c>
      <c r="AJ116" s="268" t="str">
        <f t="shared" si="117"/>
        <v/>
      </c>
      <c r="AK116" s="268" t="str">
        <f t="shared" si="130"/>
        <v/>
      </c>
      <c r="AL116" s="268" t="str">
        <f t="shared" si="132"/>
        <v/>
      </c>
      <c r="AM116" s="268" t="str">
        <f t="shared" si="111"/>
        <v/>
      </c>
      <c r="AN116" s="223" t="str">
        <f t="shared" si="118"/>
        <v>1</v>
      </c>
      <c r="AO116" s="223" t="str">
        <f t="shared" si="131"/>
        <v>1</v>
      </c>
      <c r="AP116" s="223">
        <v>1</v>
      </c>
      <c r="AQ116" s="223" t="str">
        <f t="shared" si="120"/>
        <v>1</v>
      </c>
      <c r="AR116" s="223" t="str">
        <f t="shared" si="121"/>
        <v>1</v>
      </c>
      <c r="AS116" s="223" t="str">
        <f t="shared" si="122"/>
        <v>1</v>
      </c>
      <c r="AT116" s="223" t="str">
        <f t="shared" si="123"/>
        <v>1</v>
      </c>
      <c r="AU116" s="223" t="str">
        <f t="shared" si="124"/>
        <v>1</v>
      </c>
      <c r="AV116" s="223" t="str">
        <f t="shared" si="125"/>
        <v>1</v>
      </c>
      <c r="AW116" s="223" t="str">
        <f t="shared" si="126"/>
        <v>1</v>
      </c>
      <c r="AX116" s="223" t="str">
        <f t="shared" si="127"/>
        <v>1</v>
      </c>
      <c r="AY116" s="223" t="str">
        <f t="shared" si="128"/>
        <v>1</v>
      </c>
    </row>
    <row r="117" spans="1:51" ht="22.5" x14ac:dyDescent="0.25">
      <c r="A117" s="214">
        <v>115</v>
      </c>
      <c r="B117" s="252" t="s">
        <v>166</v>
      </c>
      <c r="C117" s="132" t="s">
        <v>1025</v>
      </c>
      <c r="D117" s="156">
        <v>2013</v>
      </c>
      <c r="E117" s="138">
        <v>41472</v>
      </c>
      <c r="F117" s="222">
        <f t="shared" si="72"/>
        <v>7</v>
      </c>
      <c r="G117" s="222" t="str">
        <f t="shared" si="73"/>
        <v>72013</v>
      </c>
      <c r="H117" s="222" t="str">
        <f t="shared" si="74"/>
        <v>julio</v>
      </c>
      <c r="I117" s="126" t="str">
        <f>VLOOKUP(B117,'Base de Datos'!$E$7:$T$271,14,0)</f>
        <v>1 mes</v>
      </c>
      <c r="J117" s="224" t="e">
        <f t="shared" si="75"/>
        <v>#VALUE!</v>
      </c>
      <c r="K117" s="223" t="e">
        <f t="shared" si="76"/>
        <v>#VALUE!</v>
      </c>
      <c r="L117" s="223" t="e">
        <f t="shared" si="77"/>
        <v>#VALUE!</v>
      </c>
      <c r="M117" s="223" t="str">
        <f t="shared" si="78"/>
        <v>1 mes</v>
      </c>
      <c r="N117" s="223" t="e">
        <f t="shared" ca="1" si="79"/>
        <v>#VALUE!</v>
      </c>
      <c r="O117" s="268" t="e">
        <f t="shared" ca="1" si="80"/>
        <v>#VALUE!</v>
      </c>
      <c r="P117" s="268" t="str">
        <f t="shared" si="103"/>
        <v/>
      </c>
      <c r="Q117" s="268" t="str">
        <f t="shared" si="81"/>
        <v/>
      </c>
      <c r="R117" s="268" t="str">
        <f t="shared" si="82"/>
        <v/>
      </c>
      <c r="S117" s="268" t="str">
        <f t="shared" si="83"/>
        <v/>
      </c>
      <c r="T117" s="268" t="str">
        <f t="shared" si="84"/>
        <v/>
      </c>
      <c r="U117" s="268" t="str">
        <f t="shared" si="85"/>
        <v/>
      </c>
      <c r="V117" s="268" t="str">
        <f t="shared" si="105"/>
        <v/>
      </c>
      <c r="W117" s="268" t="str">
        <f t="shared" si="86"/>
        <v/>
      </c>
      <c r="X117" s="268" t="str">
        <f t="shared" si="87"/>
        <v/>
      </c>
      <c r="Y117" s="268" t="str">
        <f t="shared" si="104"/>
        <v/>
      </c>
      <c r="Z117" s="268" t="str">
        <f t="shared" si="88"/>
        <v/>
      </c>
      <c r="AA117" s="268" t="str">
        <f t="shared" si="112"/>
        <v/>
      </c>
      <c r="AB117" s="268" t="str">
        <f t="shared" si="107"/>
        <v/>
      </c>
      <c r="AC117" s="268" t="str">
        <f t="shared" si="110"/>
        <v/>
      </c>
      <c r="AD117" s="268" t="str">
        <f t="shared" si="113"/>
        <v/>
      </c>
      <c r="AE117" s="268" t="str">
        <f t="shared" si="115"/>
        <v/>
      </c>
      <c r="AF117" s="268" t="str">
        <f t="shared" si="129"/>
        <v/>
      </c>
      <c r="AG117" s="268" t="str">
        <f t="shared" ref="AG117:AG180" si="133">IF(AND(E117&lt;$AG$2,I117&gt;$AG$2),"1","")</f>
        <v/>
      </c>
      <c r="AH117" s="268" t="str">
        <f t="shared" si="70"/>
        <v>1</v>
      </c>
      <c r="AI117" s="268" t="str">
        <f t="shared" si="114"/>
        <v>1</v>
      </c>
      <c r="AJ117" s="268" t="str">
        <f t="shared" si="117"/>
        <v>1</v>
      </c>
      <c r="AK117" s="268" t="str">
        <f t="shared" si="130"/>
        <v>1</v>
      </c>
      <c r="AL117" s="268" t="str">
        <f t="shared" si="132"/>
        <v>1</v>
      </c>
      <c r="AM117" s="268" t="str">
        <f t="shared" ref="AM117:AM148" si="134">IF(AND(E117&lt;$AM$2,I117&gt;$AM$2),"1","")</f>
        <v>1</v>
      </c>
      <c r="AN117" s="223" t="str">
        <f t="shared" si="118"/>
        <v>1</v>
      </c>
      <c r="AO117" s="223" t="str">
        <f t="shared" si="131"/>
        <v>1</v>
      </c>
      <c r="AP117" s="223">
        <v>1</v>
      </c>
      <c r="AQ117" s="223" t="str">
        <f t="shared" si="120"/>
        <v>1</v>
      </c>
      <c r="AR117" s="223" t="str">
        <f t="shared" si="121"/>
        <v>1</v>
      </c>
      <c r="AS117" s="223" t="str">
        <f t="shared" si="122"/>
        <v>1</v>
      </c>
      <c r="AT117" s="223" t="str">
        <f t="shared" si="123"/>
        <v>1</v>
      </c>
      <c r="AU117" s="223" t="str">
        <f t="shared" si="124"/>
        <v>1</v>
      </c>
      <c r="AV117" s="223" t="str">
        <f t="shared" si="125"/>
        <v>1</v>
      </c>
      <c r="AW117" s="223" t="str">
        <f t="shared" si="126"/>
        <v>1</v>
      </c>
      <c r="AX117" s="223" t="str">
        <f t="shared" si="127"/>
        <v>1</v>
      </c>
      <c r="AY117" s="223" t="str">
        <f t="shared" si="128"/>
        <v>1</v>
      </c>
    </row>
    <row r="118" spans="1:51" ht="22.5" x14ac:dyDescent="0.25">
      <c r="A118" s="214">
        <v>116</v>
      </c>
      <c r="B118" s="250" t="s">
        <v>85</v>
      </c>
      <c r="C118" s="132" t="s">
        <v>86</v>
      </c>
      <c r="D118" s="156">
        <v>2013</v>
      </c>
      <c r="E118" s="136">
        <v>41352</v>
      </c>
      <c r="F118" s="222">
        <f t="shared" si="72"/>
        <v>3</v>
      </c>
      <c r="G118" s="222" t="str">
        <f t="shared" si="73"/>
        <v>32013</v>
      </c>
      <c r="H118" s="222" t="str">
        <f t="shared" si="74"/>
        <v>marzo</v>
      </c>
      <c r="I118" s="126" t="str">
        <f>VLOOKUP(B118,'Base de Datos'!$E$7:$T$271,14,0)</f>
        <v/>
      </c>
      <c r="J118" s="224" t="e">
        <f t="shared" si="75"/>
        <v>#VALUE!</v>
      </c>
      <c r="K118" s="223" t="e">
        <f t="shared" si="76"/>
        <v>#VALUE!</v>
      </c>
      <c r="L118" s="223" t="e">
        <f t="shared" si="77"/>
        <v>#VALUE!</v>
      </c>
      <c r="M118" s="223" t="str">
        <f t="shared" si="78"/>
        <v/>
      </c>
      <c r="N118" s="223" t="e">
        <f t="shared" ca="1" si="79"/>
        <v>#VALUE!</v>
      </c>
      <c r="O118" s="268" t="e">
        <f t="shared" ca="1" si="80"/>
        <v>#VALUE!</v>
      </c>
      <c r="P118" s="268" t="str">
        <f t="shared" si="103"/>
        <v/>
      </c>
      <c r="Q118" s="268" t="str">
        <f t="shared" si="81"/>
        <v/>
      </c>
      <c r="R118" s="268" t="str">
        <f t="shared" si="82"/>
        <v/>
      </c>
      <c r="S118" s="268" t="str">
        <f t="shared" si="83"/>
        <v/>
      </c>
      <c r="T118" s="268" t="str">
        <f t="shared" si="84"/>
        <v/>
      </c>
      <c r="U118" s="268" t="str">
        <f t="shared" si="85"/>
        <v/>
      </c>
      <c r="V118" s="268" t="str">
        <f t="shared" si="105"/>
        <v/>
      </c>
      <c r="W118" s="268" t="str">
        <f t="shared" si="86"/>
        <v/>
      </c>
      <c r="X118" s="268" t="str">
        <f t="shared" si="87"/>
        <v/>
      </c>
      <c r="Y118" s="268" t="str">
        <f t="shared" si="104"/>
        <v/>
      </c>
      <c r="Z118" s="268" t="str">
        <f t="shared" si="88"/>
        <v/>
      </c>
      <c r="AA118" s="268" t="str">
        <f t="shared" si="112"/>
        <v/>
      </c>
      <c r="AB118" s="268" t="str">
        <f t="shared" si="107"/>
        <v/>
      </c>
      <c r="AC118" s="268" t="str">
        <f t="shared" si="110"/>
        <v/>
      </c>
      <c r="AD118" s="268" t="str">
        <f t="shared" si="113"/>
        <v>1</v>
      </c>
      <c r="AE118" s="268" t="str">
        <f t="shared" si="115"/>
        <v>1</v>
      </c>
      <c r="AF118" s="268" t="str">
        <f t="shared" si="129"/>
        <v>1</v>
      </c>
      <c r="AG118" s="268" t="str">
        <f t="shared" si="133"/>
        <v>1</v>
      </c>
      <c r="AH118" s="268" t="str">
        <f t="shared" si="70"/>
        <v>1</v>
      </c>
      <c r="AI118" s="268" t="str">
        <f t="shared" si="114"/>
        <v>1</v>
      </c>
      <c r="AJ118" s="268" t="str">
        <f t="shared" si="117"/>
        <v>1</v>
      </c>
      <c r="AK118" s="268" t="str">
        <f t="shared" si="130"/>
        <v>1</v>
      </c>
      <c r="AL118" s="268" t="str">
        <f t="shared" si="132"/>
        <v>1</v>
      </c>
      <c r="AM118" s="268" t="str">
        <f t="shared" si="134"/>
        <v>1</v>
      </c>
      <c r="AN118" s="223" t="str">
        <f t="shared" si="118"/>
        <v>1</v>
      </c>
      <c r="AO118" s="223" t="str">
        <f t="shared" si="131"/>
        <v>1</v>
      </c>
      <c r="AP118" s="223">
        <v>1</v>
      </c>
      <c r="AQ118" s="223" t="str">
        <f t="shared" si="120"/>
        <v>1</v>
      </c>
      <c r="AR118" s="223" t="str">
        <f t="shared" si="121"/>
        <v>1</v>
      </c>
      <c r="AS118" s="223" t="str">
        <f t="shared" si="122"/>
        <v>1</v>
      </c>
      <c r="AT118" s="223" t="str">
        <f t="shared" si="123"/>
        <v>1</v>
      </c>
      <c r="AU118" s="223" t="str">
        <f t="shared" si="124"/>
        <v>1</v>
      </c>
      <c r="AV118" s="223" t="str">
        <f t="shared" si="125"/>
        <v>1</v>
      </c>
      <c r="AW118" s="223" t="str">
        <f t="shared" si="126"/>
        <v>1</v>
      </c>
      <c r="AX118" s="223" t="str">
        <f t="shared" si="127"/>
        <v>1</v>
      </c>
      <c r="AY118" s="223" t="str">
        <f t="shared" si="128"/>
        <v>1</v>
      </c>
    </row>
    <row r="119" spans="1:51" ht="22.5" x14ac:dyDescent="0.25">
      <c r="A119" s="214">
        <v>117</v>
      </c>
      <c r="B119" s="251" t="s">
        <v>241</v>
      </c>
      <c r="C119" s="132" t="s">
        <v>1044</v>
      </c>
      <c r="D119" s="157">
        <v>2013</v>
      </c>
      <c r="E119" s="138">
        <v>41662</v>
      </c>
      <c r="F119" s="222">
        <f t="shared" si="72"/>
        <v>1</v>
      </c>
      <c r="G119" s="222" t="str">
        <f t="shared" si="73"/>
        <v>12013</v>
      </c>
      <c r="H119" s="222" t="str">
        <f t="shared" si="74"/>
        <v>enero</v>
      </c>
      <c r="I119" s="126" t="str">
        <f>VLOOKUP(B119,'Base de Datos'!$E$7:$T$271,14,0)</f>
        <v/>
      </c>
      <c r="J119" s="224" t="e">
        <f t="shared" si="75"/>
        <v>#VALUE!</v>
      </c>
      <c r="K119" s="223" t="e">
        <f t="shared" si="76"/>
        <v>#VALUE!</v>
      </c>
      <c r="L119" s="223" t="e">
        <f t="shared" si="77"/>
        <v>#VALUE!</v>
      </c>
      <c r="M119" s="223" t="str">
        <f t="shared" si="78"/>
        <v/>
      </c>
      <c r="N119" s="223" t="e">
        <f t="shared" ca="1" si="79"/>
        <v>#VALUE!</v>
      </c>
      <c r="O119" s="268" t="e">
        <f t="shared" ca="1" si="80"/>
        <v>#VALUE!</v>
      </c>
      <c r="P119" s="268" t="str">
        <f t="shared" si="103"/>
        <v/>
      </c>
      <c r="Q119" s="268" t="str">
        <f t="shared" si="81"/>
        <v/>
      </c>
      <c r="R119" s="268" t="str">
        <f t="shared" si="82"/>
        <v/>
      </c>
      <c r="S119" s="268" t="str">
        <f t="shared" si="83"/>
        <v/>
      </c>
      <c r="T119" s="268" t="str">
        <f t="shared" si="84"/>
        <v/>
      </c>
      <c r="U119" s="268" t="str">
        <f t="shared" si="85"/>
        <v/>
      </c>
      <c r="V119" s="268" t="str">
        <f t="shared" si="105"/>
        <v/>
      </c>
      <c r="W119" s="268" t="str">
        <f t="shared" si="86"/>
        <v/>
      </c>
      <c r="X119" s="268" t="str">
        <f t="shared" si="87"/>
        <v/>
      </c>
      <c r="Y119" s="268" t="str">
        <f t="shared" si="104"/>
        <v/>
      </c>
      <c r="Z119" s="268" t="str">
        <f t="shared" si="88"/>
        <v/>
      </c>
      <c r="AA119" s="268" t="str">
        <f t="shared" si="112"/>
        <v/>
      </c>
      <c r="AB119" s="268" t="str">
        <f t="shared" si="107"/>
        <v/>
      </c>
      <c r="AC119" s="268" t="str">
        <f t="shared" si="110"/>
        <v/>
      </c>
      <c r="AD119" s="268" t="str">
        <f t="shared" si="113"/>
        <v/>
      </c>
      <c r="AE119" s="268" t="str">
        <f t="shared" si="115"/>
        <v/>
      </c>
      <c r="AF119" s="268" t="str">
        <f t="shared" si="129"/>
        <v/>
      </c>
      <c r="AG119" s="268" t="str">
        <f t="shared" si="133"/>
        <v/>
      </c>
      <c r="AH119" s="268" t="str">
        <f t="shared" si="70"/>
        <v/>
      </c>
      <c r="AI119" s="268" t="str">
        <f t="shared" si="114"/>
        <v/>
      </c>
      <c r="AJ119" s="268" t="str">
        <f t="shared" si="117"/>
        <v/>
      </c>
      <c r="AK119" s="268" t="str">
        <f t="shared" si="130"/>
        <v/>
      </c>
      <c r="AL119" s="268" t="str">
        <f t="shared" si="132"/>
        <v/>
      </c>
      <c r="AM119" s="268" t="str">
        <f t="shared" si="134"/>
        <v/>
      </c>
      <c r="AN119" s="223" t="str">
        <f t="shared" si="118"/>
        <v>1</v>
      </c>
      <c r="AO119" s="223" t="str">
        <f t="shared" si="131"/>
        <v>1</v>
      </c>
      <c r="AP119" s="223">
        <v>1</v>
      </c>
      <c r="AQ119" s="223" t="str">
        <f t="shared" si="120"/>
        <v>1</v>
      </c>
      <c r="AR119" s="223" t="str">
        <f t="shared" si="121"/>
        <v>1</v>
      </c>
      <c r="AS119" s="223" t="str">
        <f t="shared" si="122"/>
        <v>1</v>
      </c>
      <c r="AT119" s="223" t="str">
        <f t="shared" si="123"/>
        <v>1</v>
      </c>
      <c r="AU119" s="223" t="str">
        <f t="shared" si="124"/>
        <v>1</v>
      </c>
      <c r="AV119" s="223" t="str">
        <f t="shared" si="125"/>
        <v>1</v>
      </c>
      <c r="AW119" s="223" t="str">
        <f t="shared" si="126"/>
        <v>1</v>
      </c>
      <c r="AX119" s="223" t="str">
        <f t="shared" si="127"/>
        <v>1</v>
      </c>
      <c r="AY119" s="223" t="str">
        <f t="shared" si="128"/>
        <v>1</v>
      </c>
    </row>
    <row r="120" spans="1:51" ht="22.5" x14ac:dyDescent="0.25">
      <c r="A120" s="214">
        <v>118</v>
      </c>
      <c r="B120" s="250" t="s">
        <v>83</v>
      </c>
      <c r="C120" s="132" t="s">
        <v>84</v>
      </c>
      <c r="D120" s="156">
        <v>2013</v>
      </c>
      <c r="E120" s="136">
        <v>41367</v>
      </c>
      <c r="F120" s="222">
        <f t="shared" si="72"/>
        <v>4</v>
      </c>
      <c r="G120" s="222" t="str">
        <f t="shared" si="73"/>
        <v>42013</v>
      </c>
      <c r="H120" s="222" t="str">
        <f t="shared" si="74"/>
        <v>abril</v>
      </c>
      <c r="I120" s="126" t="str">
        <f>VLOOKUP(B120,'Base de Datos'!$E$7:$T$271,14,0)</f>
        <v/>
      </c>
      <c r="J120" s="224" t="e">
        <f t="shared" si="75"/>
        <v>#VALUE!</v>
      </c>
      <c r="K120" s="223" t="e">
        <f t="shared" si="76"/>
        <v>#VALUE!</v>
      </c>
      <c r="L120" s="223" t="e">
        <f t="shared" si="77"/>
        <v>#VALUE!</v>
      </c>
      <c r="M120" s="223" t="str">
        <f t="shared" si="78"/>
        <v/>
      </c>
      <c r="N120" s="223" t="e">
        <f t="shared" ca="1" si="79"/>
        <v>#VALUE!</v>
      </c>
      <c r="O120" s="268" t="e">
        <f t="shared" ca="1" si="80"/>
        <v>#VALUE!</v>
      </c>
      <c r="P120" s="268" t="str">
        <f t="shared" si="103"/>
        <v/>
      </c>
      <c r="Q120" s="268" t="str">
        <f t="shared" si="81"/>
        <v/>
      </c>
      <c r="R120" s="268" t="str">
        <f t="shared" si="82"/>
        <v/>
      </c>
      <c r="S120" s="268" t="str">
        <f t="shared" si="83"/>
        <v/>
      </c>
      <c r="T120" s="268" t="str">
        <f t="shared" si="84"/>
        <v/>
      </c>
      <c r="U120" s="268" t="str">
        <f t="shared" si="85"/>
        <v/>
      </c>
      <c r="V120" s="268" t="str">
        <f t="shared" si="105"/>
        <v/>
      </c>
      <c r="W120" s="268" t="str">
        <f t="shared" si="86"/>
        <v/>
      </c>
      <c r="X120" s="268" t="str">
        <f t="shared" si="87"/>
        <v/>
      </c>
      <c r="Y120" s="268" t="str">
        <f t="shared" si="104"/>
        <v/>
      </c>
      <c r="Z120" s="268" t="str">
        <f t="shared" si="88"/>
        <v/>
      </c>
      <c r="AA120" s="268" t="str">
        <f t="shared" si="112"/>
        <v/>
      </c>
      <c r="AB120" s="268" t="str">
        <f t="shared" si="107"/>
        <v/>
      </c>
      <c r="AC120" s="268" t="str">
        <f t="shared" si="110"/>
        <v/>
      </c>
      <c r="AD120" s="268" t="str">
        <f t="shared" si="113"/>
        <v/>
      </c>
      <c r="AE120" s="268" t="str">
        <f t="shared" si="115"/>
        <v>1</v>
      </c>
      <c r="AF120" s="268" t="str">
        <f t="shared" si="129"/>
        <v>1</v>
      </c>
      <c r="AG120" s="268" t="str">
        <f t="shared" si="133"/>
        <v>1</v>
      </c>
      <c r="AH120" s="268" t="str">
        <f t="shared" si="70"/>
        <v>1</v>
      </c>
      <c r="AI120" s="268" t="str">
        <f t="shared" si="114"/>
        <v>1</v>
      </c>
      <c r="AJ120" s="268" t="str">
        <f t="shared" si="117"/>
        <v>1</v>
      </c>
      <c r="AK120" s="268" t="str">
        <f t="shared" si="130"/>
        <v>1</v>
      </c>
      <c r="AL120" s="268" t="str">
        <f t="shared" si="132"/>
        <v>1</v>
      </c>
      <c r="AM120" s="268" t="str">
        <f t="shared" si="134"/>
        <v>1</v>
      </c>
      <c r="AN120" s="223" t="str">
        <f t="shared" si="118"/>
        <v>1</v>
      </c>
      <c r="AO120" s="223" t="str">
        <f t="shared" si="131"/>
        <v>1</v>
      </c>
      <c r="AP120" s="223" t="str">
        <f>IF(AND(E120&lt;$AP$2,I120&gt;$AP$2),"1","")</f>
        <v>1</v>
      </c>
      <c r="AQ120" s="223">
        <v>1</v>
      </c>
      <c r="AR120" s="223" t="str">
        <f t="shared" si="121"/>
        <v>1</v>
      </c>
      <c r="AS120" s="223" t="str">
        <f t="shared" si="122"/>
        <v>1</v>
      </c>
      <c r="AT120" s="223" t="str">
        <f t="shared" si="123"/>
        <v>1</v>
      </c>
      <c r="AU120" s="223" t="str">
        <f t="shared" si="124"/>
        <v>1</v>
      </c>
      <c r="AV120" s="223" t="str">
        <f t="shared" si="125"/>
        <v>1</v>
      </c>
      <c r="AW120" s="223" t="str">
        <f t="shared" si="126"/>
        <v>1</v>
      </c>
      <c r="AX120" s="223" t="str">
        <f t="shared" si="127"/>
        <v>1</v>
      </c>
      <c r="AY120" s="223" t="str">
        <f t="shared" si="128"/>
        <v>1</v>
      </c>
    </row>
    <row r="121" spans="1:51" ht="22.5" x14ac:dyDescent="0.25">
      <c r="A121" s="214">
        <v>119</v>
      </c>
      <c r="B121" s="250" t="s">
        <v>25</v>
      </c>
      <c r="C121" s="132" t="s">
        <v>26</v>
      </c>
      <c r="D121" s="156">
        <v>2012</v>
      </c>
      <c r="E121" s="138">
        <v>41313</v>
      </c>
      <c r="F121" s="222">
        <f t="shared" si="72"/>
        <v>2</v>
      </c>
      <c r="G121" s="222" t="str">
        <f t="shared" si="73"/>
        <v>22012</v>
      </c>
      <c r="H121" s="222" t="str">
        <f t="shared" si="74"/>
        <v>febrero</v>
      </c>
      <c r="I121" s="126" t="str">
        <f>VLOOKUP(B121,'Base de Datos'!$E$7:$T$271,14,0)</f>
        <v>1 mes</v>
      </c>
      <c r="J121" s="224" t="e">
        <f t="shared" si="75"/>
        <v>#VALUE!</v>
      </c>
      <c r="K121" s="223" t="e">
        <f t="shared" si="76"/>
        <v>#VALUE!</v>
      </c>
      <c r="L121" s="223" t="e">
        <f t="shared" si="77"/>
        <v>#VALUE!</v>
      </c>
      <c r="M121" s="223" t="str">
        <f t="shared" si="78"/>
        <v>1 mes</v>
      </c>
      <c r="N121" s="223" t="e">
        <f t="shared" ca="1" si="79"/>
        <v>#VALUE!</v>
      </c>
      <c r="O121" s="268" t="e">
        <f t="shared" ca="1" si="80"/>
        <v>#VALUE!</v>
      </c>
      <c r="P121" s="268" t="str">
        <f t="shared" si="103"/>
        <v/>
      </c>
      <c r="Q121" s="268" t="str">
        <f t="shared" si="81"/>
        <v/>
      </c>
      <c r="R121" s="268" t="str">
        <f t="shared" si="82"/>
        <v/>
      </c>
      <c r="S121" s="268" t="str">
        <f t="shared" si="83"/>
        <v/>
      </c>
      <c r="T121" s="268" t="str">
        <f t="shared" si="84"/>
        <v/>
      </c>
      <c r="U121" s="268" t="str">
        <f t="shared" si="85"/>
        <v/>
      </c>
      <c r="V121" s="268" t="str">
        <f t="shared" si="105"/>
        <v/>
      </c>
      <c r="W121" s="268" t="str">
        <f t="shared" si="86"/>
        <v/>
      </c>
      <c r="X121" s="268" t="str">
        <f t="shared" si="87"/>
        <v/>
      </c>
      <c r="Y121" s="268" t="str">
        <f t="shared" si="104"/>
        <v/>
      </c>
      <c r="Z121" s="268" t="str">
        <f t="shared" si="88"/>
        <v/>
      </c>
      <c r="AA121" s="268" t="str">
        <f t="shared" si="112"/>
        <v/>
      </c>
      <c r="AB121" s="268" t="str">
        <f t="shared" si="107"/>
        <v/>
      </c>
      <c r="AC121" s="268" t="str">
        <f t="shared" si="110"/>
        <v>1</v>
      </c>
      <c r="AD121" s="268" t="str">
        <f t="shared" si="113"/>
        <v>1</v>
      </c>
      <c r="AE121" s="268" t="str">
        <f t="shared" si="115"/>
        <v>1</v>
      </c>
      <c r="AF121" s="268" t="str">
        <f t="shared" si="129"/>
        <v>1</v>
      </c>
      <c r="AG121" s="268" t="str">
        <f t="shared" si="133"/>
        <v>1</v>
      </c>
      <c r="AH121" s="268" t="str">
        <f t="shared" si="70"/>
        <v>1</v>
      </c>
      <c r="AI121" s="268" t="str">
        <f t="shared" si="114"/>
        <v>1</v>
      </c>
      <c r="AJ121" s="268" t="str">
        <f t="shared" si="117"/>
        <v>1</v>
      </c>
      <c r="AK121" s="268" t="str">
        <f t="shared" si="130"/>
        <v>1</v>
      </c>
      <c r="AL121" s="268" t="str">
        <f t="shared" si="132"/>
        <v>1</v>
      </c>
      <c r="AM121" s="268" t="str">
        <f t="shared" si="134"/>
        <v>1</v>
      </c>
      <c r="AN121" s="223" t="str">
        <f t="shared" si="118"/>
        <v>1</v>
      </c>
      <c r="AO121" s="223" t="str">
        <f t="shared" si="131"/>
        <v>1</v>
      </c>
      <c r="AP121" s="223">
        <v>1</v>
      </c>
      <c r="AQ121" s="223" t="str">
        <f>IF(AND(E121&lt;$AQ$2,I121&gt;$AQ$2),"1","")</f>
        <v>1</v>
      </c>
      <c r="AR121" s="223" t="str">
        <f t="shared" si="121"/>
        <v>1</v>
      </c>
      <c r="AS121" s="223" t="str">
        <f t="shared" si="122"/>
        <v>1</v>
      </c>
      <c r="AT121" s="223" t="str">
        <f t="shared" si="123"/>
        <v>1</v>
      </c>
      <c r="AU121" s="223" t="str">
        <f t="shared" si="124"/>
        <v>1</v>
      </c>
      <c r="AV121" s="223" t="str">
        <f t="shared" si="125"/>
        <v>1</v>
      </c>
      <c r="AW121" s="223" t="str">
        <f t="shared" si="126"/>
        <v>1</v>
      </c>
      <c r="AX121" s="223" t="str">
        <f t="shared" si="127"/>
        <v>1</v>
      </c>
      <c r="AY121" s="223" t="str">
        <f t="shared" si="128"/>
        <v>1</v>
      </c>
    </row>
    <row r="122" spans="1:51" ht="22.5" x14ac:dyDescent="0.25">
      <c r="A122" s="214">
        <v>120</v>
      </c>
      <c r="B122" s="255" t="s">
        <v>145</v>
      </c>
      <c r="C122" s="158" t="s">
        <v>43</v>
      </c>
      <c r="D122" s="156">
        <v>2013</v>
      </c>
      <c r="E122" s="159">
        <v>41463</v>
      </c>
      <c r="F122" s="222">
        <f t="shared" si="72"/>
        <v>7</v>
      </c>
      <c r="G122" s="222" t="str">
        <f t="shared" si="73"/>
        <v>72013</v>
      </c>
      <c r="H122" s="222" t="str">
        <f t="shared" si="74"/>
        <v>julio</v>
      </c>
      <c r="I122" s="126" t="str">
        <f>VLOOKUP(B122,'Base de Datos'!$E$7:$T$271,14,0)</f>
        <v>3 meses</v>
      </c>
      <c r="J122" s="224" t="e">
        <f t="shared" si="75"/>
        <v>#VALUE!</v>
      </c>
      <c r="K122" s="223" t="e">
        <f t="shared" si="76"/>
        <v>#VALUE!</v>
      </c>
      <c r="L122" s="223" t="e">
        <f t="shared" si="77"/>
        <v>#VALUE!</v>
      </c>
      <c r="M122" s="223" t="str">
        <f t="shared" si="78"/>
        <v>3 meses</v>
      </c>
      <c r="N122" s="223" t="e">
        <f t="shared" ca="1" si="79"/>
        <v>#VALUE!</v>
      </c>
      <c r="O122" s="268" t="e">
        <f t="shared" ca="1" si="80"/>
        <v>#VALUE!</v>
      </c>
      <c r="P122" s="268" t="str">
        <f t="shared" si="103"/>
        <v/>
      </c>
      <c r="Q122" s="268" t="str">
        <f t="shared" si="81"/>
        <v/>
      </c>
      <c r="R122" s="268" t="str">
        <f t="shared" si="82"/>
        <v/>
      </c>
      <c r="S122" s="268" t="str">
        <f t="shared" si="83"/>
        <v/>
      </c>
      <c r="T122" s="268" t="str">
        <f t="shared" si="84"/>
        <v/>
      </c>
      <c r="U122" s="268" t="str">
        <f t="shared" si="85"/>
        <v/>
      </c>
      <c r="V122" s="268" t="str">
        <f t="shared" si="105"/>
        <v/>
      </c>
      <c r="W122" s="268" t="str">
        <f t="shared" si="86"/>
        <v/>
      </c>
      <c r="X122" s="268" t="str">
        <f t="shared" si="87"/>
        <v/>
      </c>
      <c r="Y122" s="268" t="str">
        <f t="shared" si="104"/>
        <v/>
      </c>
      <c r="Z122" s="268" t="str">
        <f t="shared" si="88"/>
        <v/>
      </c>
      <c r="AA122" s="268" t="str">
        <f t="shared" si="112"/>
        <v/>
      </c>
      <c r="AB122" s="268" t="str">
        <f t="shared" si="107"/>
        <v/>
      </c>
      <c r="AC122" s="268" t="str">
        <f t="shared" si="110"/>
        <v/>
      </c>
      <c r="AD122" s="268" t="str">
        <f t="shared" si="113"/>
        <v/>
      </c>
      <c r="AE122" s="268" t="str">
        <f t="shared" si="115"/>
        <v/>
      </c>
      <c r="AF122" s="268" t="str">
        <f t="shared" si="129"/>
        <v/>
      </c>
      <c r="AG122" s="268" t="str">
        <f t="shared" si="133"/>
        <v/>
      </c>
      <c r="AH122" s="268" t="str">
        <f t="shared" si="70"/>
        <v>1</v>
      </c>
      <c r="AI122" s="268" t="str">
        <f t="shared" si="114"/>
        <v>1</v>
      </c>
      <c r="AJ122" s="268" t="str">
        <f t="shared" si="117"/>
        <v>1</v>
      </c>
      <c r="AK122" s="268" t="str">
        <f t="shared" si="130"/>
        <v>1</v>
      </c>
      <c r="AL122" s="268" t="str">
        <f t="shared" si="132"/>
        <v>1</v>
      </c>
      <c r="AM122" s="268" t="str">
        <f t="shared" si="134"/>
        <v>1</v>
      </c>
      <c r="AN122" s="223" t="str">
        <f t="shared" si="118"/>
        <v>1</v>
      </c>
      <c r="AO122" s="223" t="str">
        <f t="shared" si="131"/>
        <v>1</v>
      </c>
      <c r="AP122" s="223" t="str">
        <f t="shared" ref="AP122:AP153" si="135">IF(AND(E122&lt;$AP$2,I122&gt;$AP$2),"1","")</f>
        <v>1</v>
      </c>
      <c r="AQ122" s="223">
        <v>1</v>
      </c>
      <c r="AR122" s="223" t="str">
        <f t="shared" si="121"/>
        <v>1</v>
      </c>
      <c r="AS122" s="223" t="str">
        <f t="shared" si="122"/>
        <v>1</v>
      </c>
      <c r="AT122" s="223" t="str">
        <f t="shared" si="123"/>
        <v>1</v>
      </c>
      <c r="AU122" s="223" t="str">
        <f t="shared" si="124"/>
        <v>1</v>
      </c>
      <c r="AV122" s="223" t="str">
        <f t="shared" si="125"/>
        <v>1</v>
      </c>
      <c r="AW122" s="223" t="str">
        <f t="shared" si="126"/>
        <v>1</v>
      </c>
      <c r="AX122" s="223" t="str">
        <f t="shared" si="127"/>
        <v>1</v>
      </c>
      <c r="AY122" s="223" t="str">
        <f t="shared" si="128"/>
        <v>1</v>
      </c>
    </row>
    <row r="123" spans="1:51" x14ac:dyDescent="0.25">
      <c r="A123" s="214">
        <v>121</v>
      </c>
      <c r="B123" s="251" t="s">
        <v>237</v>
      </c>
      <c r="C123" s="132" t="s">
        <v>186</v>
      </c>
      <c r="D123" s="157">
        <v>2013</v>
      </c>
      <c r="E123" s="138">
        <v>41662</v>
      </c>
      <c r="F123" s="222">
        <f t="shared" si="72"/>
        <v>1</v>
      </c>
      <c r="G123" s="222" t="str">
        <f t="shared" si="73"/>
        <v>12013</v>
      </c>
      <c r="H123" s="222" t="str">
        <f t="shared" si="74"/>
        <v>enero</v>
      </c>
      <c r="I123" s="126" t="str">
        <f>VLOOKUP(B123,'Base de Datos'!$E$7:$T$271,14,0)</f>
        <v/>
      </c>
      <c r="J123" s="224" t="e">
        <f t="shared" si="75"/>
        <v>#VALUE!</v>
      </c>
      <c r="K123" s="223" t="e">
        <f t="shared" si="76"/>
        <v>#VALUE!</v>
      </c>
      <c r="L123" s="223" t="e">
        <f t="shared" si="77"/>
        <v>#VALUE!</v>
      </c>
      <c r="M123" s="223" t="str">
        <f t="shared" si="78"/>
        <v/>
      </c>
      <c r="N123" s="223" t="e">
        <f t="shared" ca="1" si="79"/>
        <v>#VALUE!</v>
      </c>
      <c r="O123" s="268" t="e">
        <f t="shared" ca="1" si="80"/>
        <v>#VALUE!</v>
      </c>
      <c r="P123" s="268" t="str">
        <f t="shared" si="103"/>
        <v/>
      </c>
      <c r="Q123" s="268" t="str">
        <f t="shared" si="81"/>
        <v/>
      </c>
      <c r="R123" s="268" t="str">
        <f t="shared" si="82"/>
        <v/>
      </c>
      <c r="S123" s="268" t="str">
        <f t="shared" si="83"/>
        <v/>
      </c>
      <c r="T123" s="268" t="str">
        <f t="shared" si="84"/>
        <v/>
      </c>
      <c r="U123" s="268" t="str">
        <f t="shared" si="85"/>
        <v/>
      </c>
      <c r="V123" s="268" t="str">
        <f t="shared" si="105"/>
        <v/>
      </c>
      <c r="W123" s="268" t="str">
        <f t="shared" si="86"/>
        <v/>
      </c>
      <c r="X123" s="268" t="str">
        <f t="shared" si="87"/>
        <v/>
      </c>
      <c r="Y123" s="268" t="str">
        <f t="shared" si="104"/>
        <v/>
      </c>
      <c r="Z123" s="268" t="str">
        <f t="shared" si="88"/>
        <v/>
      </c>
      <c r="AA123" s="268" t="str">
        <f t="shared" si="112"/>
        <v/>
      </c>
      <c r="AB123" s="268" t="str">
        <f t="shared" si="107"/>
        <v/>
      </c>
      <c r="AC123" s="268" t="str">
        <f t="shared" si="110"/>
        <v/>
      </c>
      <c r="AD123" s="268" t="str">
        <f t="shared" si="113"/>
        <v/>
      </c>
      <c r="AE123" s="268" t="str">
        <f t="shared" si="115"/>
        <v/>
      </c>
      <c r="AF123" s="268" t="str">
        <f t="shared" si="129"/>
        <v/>
      </c>
      <c r="AG123" s="268" t="str">
        <f t="shared" si="133"/>
        <v/>
      </c>
      <c r="AH123" s="268" t="str">
        <f t="shared" ref="AH123:AH186" si="136">IF(AND(E123&lt;$AH$2,I123&gt;$AH$2),"1","")</f>
        <v/>
      </c>
      <c r="AI123" s="268" t="str">
        <f t="shared" si="114"/>
        <v/>
      </c>
      <c r="AJ123" s="268" t="str">
        <f t="shared" si="117"/>
        <v/>
      </c>
      <c r="AK123" s="268" t="str">
        <f t="shared" si="130"/>
        <v/>
      </c>
      <c r="AL123" s="268" t="str">
        <f t="shared" si="132"/>
        <v/>
      </c>
      <c r="AM123" s="268" t="str">
        <f t="shared" si="134"/>
        <v/>
      </c>
      <c r="AN123" s="223" t="str">
        <f t="shared" si="118"/>
        <v>1</v>
      </c>
      <c r="AO123" s="223" t="str">
        <f t="shared" si="131"/>
        <v>1</v>
      </c>
      <c r="AP123" s="223" t="str">
        <f t="shared" si="135"/>
        <v>1</v>
      </c>
      <c r="AQ123" s="223">
        <v>1</v>
      </c>
      <c r="AR123" s="223" t="str">
        <f t="shared" si="121"/>
        <v>1</v>
      </c>
      <c r="AS123" s="223" t="str">
        <f t="shared" si="122"/>
        <v>1</v>
      </c>
      <c r="AT123" s="223" t="str">
        <f t="shared" si="123"/>
        <v>1</v>
      </c>
      <c r="AU123" s="223" t="str">
        <f t="shared" si="124"/>
        <v>1</v>
      </c>
      <c r="AV123" s="223" t="str">
        <f t="shared" si="125"/>
        <v>1</v>
      </c>
      <c r="AW123" s="223" t="str">
        <f t="shared" si="126"/>
        <v>1</v>
      </c>
      <c r="AX123" s="223" t="str">
        <f t="shared" si="127"/>
        <v>1</v>
      </c>
      <c r="AY123" s="223" t="str">
        <f t="shared" si="128"/>
        <v>1</v>
      </c>
    </row>
    <row r="124" spans="1:51" x14ac:dyDescent="0.25">
      <c r="A124" s="214">
        <v>122</v>
      </c>
      <c r="B124" s="251" t="s">
        <v>260</v>
      </c>
      <c r="C124" s="132" t="s">
        <v>261</v>
      </c>
      <c r="D124" s="157">
        <v>2014</v>
      </c>
      <c r="E124" s="138">
        <v>41708</v>
      </c>
      <c r="F124" s="222">
        <f t="shared" si="72"/>
        <v>3</v>
      </c>
      <c r="G124" s="222" t="str">
        <f t="shared" si="73"/>
        <v>32014</v>
      </c>
      <c r="H124" s="222" t="str">
        <f t="shared" si="74"/>
        <v>marzo</v>
      </c>
      <c r="I124" s="126" t="str">
        <f>VLOOKUP(B124,'Base de Datos'!$E$7:$T$271,14,0)</f>
        <v/>
      </c>
      <c r="J124" s="224" t="e">
        <f t="shared" si="75"/>
        <v>#VALUE!</v>
      </c>
      <c r="K124" s="223" t="e">
        <f t="shared" si="76"/>
        <v>#VALUE!</v>
      </c>
      <c r="L124" s="223" t="e">
        <f t="shared" si="77"/>
        <v>#VALUE!</v>
      </c>
      <c r="M124" s="223" t="str">
        <f t="shared" si="78"/>
        <v/>
      </c>
      <c r="N124" s="223" t="e">
        <f t="shared" ca="1" si="79"/>
        <v>#VALUE!</v>
      </c>
      <c r="O124" s="268" t="e">
        <f t="shared" ca="1" si="80"/>
        <v>#VALUE!</v>
      </c>
      <c r="P124" s="268" t="str">
        <f t="shared" si="103"/>
        <v/>
      </c>
      <c r="Q124" s="268" t="str">
        <f t="shared" si="81"/>
        <v/>
      </c>
      <c r="R124" s="268" t="str">
        <f t="shared" si="82"/>
        <v/>
      </c>
      <c r="S124" s="268" t="str">
        <f t="shared" si="83"/>
        <v/>
      </c>
      <c r="T124" s="268" t="str">
        <f t="shared" si="84"/>
        <v/>
      </c>
      <c r="U124" s="268" t="str">
        <f t="shared" si="85"/>
        <v/>
      </c>
      <c r="V124" s="268" t="str">
        <f t="shared" si="105"/>
        <v/>
      </c>
      <c r="W124" s="268" t="str">
        <f t="shared" si="86"/>
        <v/>
      </c>
      <c r="X124" s="268" t="str">
        <f t="shared" si="87"/>
        <v/>
      </c>
      <c r="Y124" s="268" t="str">
        <f t="shared" si="104"/>
        <v/>
      </c>
      <c r="Z124" s="268" t="str">
        <f t="shared" si="88"/>
        <v/>
      </c>
      <c r="AA124" s="268" t="str">
        <f t="shared" si="112"/>
        <v/>
      </c>
      <c r="AB124" s="268" t="str">
        <f t="shared" si="107"/>
        <v/>
      </c>
      <c r="AC124" s="268" t="str">
        <f t="shared" si="110"/>
        <v/>
      </c>
      <c r="AD124" s="268" t="str">
        <f t="shared" si="113"/>
        <v/>
      </c>
      <c r="AE124" s="268" t="str">
        <f t="shared" si="115"/>
        <v/>
      </c>
      <c r="AF124" s="268" t="str">
        <f t="shared" si="129"/>
        <v/>
      </c>
      <c r="AG124" s="268" t="str">
        <f t="shared" si="133"/>
        <v/>
      </c>
      <c r="AH124" s="268" t="str">
        <f t="shared" si="136"/>
        <v/>
      </c>
      <c r="AI124" s="268" t="str">
        <f t="shared" si="114"/>
        <v/>
      </c>
      <c r="AJ124" s="268" t="str">
        <f t="shared" si="117"/>
        <v/>
      </c>
      <c r="AK124" s="268" t="str">
        <f t="shared" si="130"/>
        <v/>
      </c>
      <c r="AL124" s="268" t="str">
        <f t="shared" si="132"/>
        <v/>
      </c>
      <c r="AM124" s="268" t="str">
        <f t="shared" si="134"/>
        <v/>
      </c>
      <c r="AN124" s="223" t="str">
        <f t="shared" si="118"/>
        <v/>
      </c>
      <c r="AO124" s="223" t="str">
        <f t="shared" si="131"/>
        <v/>
      </c>
      <c r="AP124" s="223" t="str">
        <f t="shared" si="135"/>
        <v>1</v>
      </c>
      <c r="AQ124" s="223">
        <v>1</v>
      </c>
      <c r="AR124" s="223" t="str">
        <f t="shared" si="121"/>
        <v>1</v>
      </c>
      <c r="AS124" s="223" t="str">
        <f t="shared" si="122"/>
        <v>1</v>
      </c>
      <c r="AT124" s="223" t="str">
        <f t="shared" si="123"/>
        <v>1</v>
      </c>
      <c r="AU124" s="223" t="str">
        <f t="shared" si="124"/>
        <v>1</v>
      </c>
      <c r="AV124" s="223" t="str">
        <f t="shared" si="125"/>
        <v>1</v>
      </c>
      <c r="AW124" s="223" t="str">
        <f t="shared" si="126"/>
        <v>1</v>
      </c>
      <c r="AX124" s="223" t="str">
        <f t="shared" si="127"/>
        <v>1</v>
      </c>
      <c r="AY124" s="223" t="str">
        <f t="shared" si="128"/>
        <v>1</v>
      </c>
    </row>
    <row r="125" spans="1:51" ht="22.5" x14ac:dyDescent="0.25">
      <c r="A125" s="214">
        <v>123</v>
      </c>
      <c r="B125" s="251" t="s">
        <v>234</v>
      </c>
      <c r="C125" s="132" t="s">
        <v>235</v>
      </c>
      <c r="D125" s="157">
        <v>2013</v>
      </c>
      <c r="E125" s="138">
        <v>41659</v>
      </c>
      <c r="F125" s="222">
        <f t="shared" si="72"/>
        <v>1</v>
      </c>
      <c r="G125" s="222" t="str">
        <f t="shared" si="73"/>
        <v>12013</v>
      </c>
      <c r="H125" s="222" t="str">
        <f t="shared" si="74"/>
        <v>enero</v>
      </c>
      <c r="I125" s="126" t="str">
        <f>VLOOKUP(B125,'Base de Datos'!$E$7:$T$271,14,0)</f>
        <v/>
      </c>
      <c r="J125" s="224" t="e">
        <f t="shared" si="75"/>
        <v>#VALUE!</v>
      </c>
      <c r="K125" s="223" t="e">
        <f t="shared" si="76"/>
        <v>#VALUE!</v>
      </c>
      <c r="L125" s="223" t="e">
        <f t="shared" si="77"/>
        <v>#VALUE!</v>
      </c>
      <c r="M125" s="223" t="str">
        <f t="shared" si="78"/>
        <v/>
      </c>
      <c r="N125" s="223" t="e">
        <f t="shared" ca="1" si="79"/>
        <v>#VALUE!</v>
      </c>
      <c r="O125" s="268" t="e">
        <f t="shared" ca="1" si="80"/>
        <v>#VALUE!</v>
      </c>
      <c r="P125" s="268" t="str">
        <f t="shared" si="103"/>
        <v/>
      </c>
      <c r="Q125" s="268" t="str">
        <f t="shared" si="81"/>
        <v/>
      </c>
      <c r="R125" s="268" t="str">
        <f t="shared" si="82"/>
        <v/>
      </c>
      <c r="S125" s="268" t="str">
        <f t="shared" si="83"/>
        <v/>
      </c>
      <c r="T125" s="268" t="str">
        <f t="shared" si="84"/>
        <v/>
      </c>
      <c r="U125" s="268" t="str">
        <f t="shared" si="85"/>
        <v/>
      </c>
      <c r="V125" s="268" t="str">
        <f t="shared" si="105"/>
        <v/>
      </c>
      <c r="W125" s="268" t="str">
        <f t="shared" si="86"/>
        <v/>
      </c>
      <c r="X125" s="268" t="str">
        <f t="shared" si="87"/>
        <v/>
      </c>
      <c r="Y125" s="268" t="str">
        <f t="shared" si="104"/>
        <v/>
      </c>
      <c r="Z125" s="268" t="str">
        <f t="shared" si="88"/>
        <v/>
      </c>
      <c r="AA125" s="268" t="str">
        <f t="shared" si="112"/>
        <v/>
      </c>
      <c r="AB125" s="268" t="str">
        <f t="shared" si="107"/>
        <v/>
      </c>
      <c r="AC125" s="268" t="str">
        <f t="shared" si="110"/>
        <v/>
      </c>
      <c r="AD125" s="268" t="str">
        <f t="shared" si="113"/>
        <v/>
      </c>
      <c r="AE125" s="268" t="str">
        <f t="shared" si="115"/>
        <v/>
      </c>
      <c r="AF125" s="268" t="str">
        <f t="shared" si="129"/>
        <v/>
      </c>
      <c r="AG125" s="268" t="str">
        <f t="shared" si="133"/>
        <v/>
      </c>
      <c r="AH125" s="268" t="str">
        <f t="shared" si="136"/>
        <v/>
      </c>
      <c r="AI125" s="268" t="str">
        <f t="shared" si="114"/>
        <v/>
      </c>
      <c r="AJ125" s="268" t="str">
        <f t="shared" si="117"/>
        <v/>
      </c>
      <c r="AK125" s="268" t="str">
        <f t="shared" si="130"/>
        <v/>
      </c>
      <c r="AL125" s="268" t="str">
        <f t="shared" si="132"/>
        <v/>
      </c>
      <c r="AM125" s="268" t="str">
        <f t="shared" si="134"/>
        <v/>
      </c>
      <c r="AN125" s="223" t="str">
        <f t="shared" si="118"/>
        <v>1</v>
      </c>
      <c r="AO125" s="223" t="str">
        <f t="shared" si="131"/>
        <v>1</v>
      </c>
      <c r="AP125" s="223" t="str">
        <f t="shared" si="135"/>
        <v>1</v>
      </c>
      <c r="AQ125" s="223">
        <v>1</v>
      </c>
      <c r="AR125" s="223" t="str">
        <f t="shared" si="121"/>
        <v>1</v>
      </c>
      <c r="AS125" s="223" t="str">
        <f t="shared" si="122"/>
        <v>1</v>
      </c>
      <c r="AT125" s="223" t="str">
        <f t="shared" si="123"/>
        <v>1</v>
      </c>
      <c r="AU125" s="223" t="str">
        <f t="shared" si="124"/>
        <v>1</v>
      </c>
      <c r="AV125" s="223" t="str">
        <f t="shared" si="125"/>
        <v>1</v>
      </c>
      <c r="AW125" s="223" t="str">
        <f t="shared" si="126"/>
        <v>1</v>
      </c>
      <c r="AX125" s="223" t="str">
        <f t="shared" si="127"/>
        <v>1</v>
      </c>
      <c r="AY125" s="223" t="str">
        <f t="shared" si="128"/>
        <v>1</v>
      </c>
    </row>
    <row r="126" spans="1:51" x14ac:dyDescent="0.25">
      <c r="A126" s="214">
        <v>124</v>
      </c>
      <c r="B126" s="251" t="s">
        <v>264</v>
      </c>
      <c r="C126" s="132" t="s">
        <v>265</v>
      </c>
      <c r="D126" s="157">
        <v>2014</v>
      </c>
      <c r="E126" s="138">
        <v>41704</v>
      </c>
      <c r="F126" s="222">
        <f t="shared" si="72"/>
        <v>3</v>
      </c>
      <c r="G126" s="222" t="str">
        <f t="shared" si="73"/>
        <v>32014</v>
      </c>
      <c r="H126" s="222" t="str">
        <f t="shared" si="74"/>
        <v>marzo</v>
      </c>
      <c r="I126" s="126" t="str">
        <f>VLOOKUP(B126,'Base de Datos'!$E$7:$T$271,14,0)</f>
        <v/>
      </c>
      <c r="J126" s="224" t="e">
        <f t="shared" si="75"/>
        <v>#VALUE!</v>
      </c>
      <c r="K126" s="223" t="e">
        <f t="shared" si="76"/>
        <v>#VALUE!</v>
      </c>
      <c r="L126" s="223" t="e">
        <f t="shared" si="77"/>
        <v>#VALUE!</v>
      </c>
      <c r="M126" s="223" t="str">
        <f t="shared" si="78"/>
        <v/>
      </c>
      <c r="N126" s="223" t="e">
        <f t="shared" ca="1" si="79"/>
        <v>#VALUE!</v>
      </c>
      <c r="O126" s="268" t="e">
        <f t="shared" ca="1" si="80"/>
        <v>#VALUE!</v>
      </c>
      <c r="P126" s="268" t="str">
        <f t="shared" si="103"/>
        <v/>
      </c>
      <c r="Q126" s="268" t="str">
        <f t="shared" si="81"/>
        <v/>
      </c>
      <c r="R126" s="268" t="str">
        <f t="shared" si="82"/>
        <v/>
      </c>
      <c r="S126" s="268" t="str">
        <f t="shared" si="83"/>
        <v/>
      </c>
      <c r="T126" s="268" t="str">
        <f t="shared" si="84"/>
        <v/>
      </c>
      <c r="U126" s="268" t="str">
        <f t="shared" si="85"/>
        <v/>
      </c>
      <c r="V126" s="268" t="str">
        <f t="shared" si="105"/>
        <v/>
      </c>
      <c r="W126" s="268" t="str">
        <f t="shared" si="86"/>
        <v/>
      </c>
      <c r="X126" s="268" t="str">
        <f t="shared" si="87"/>
        <v/>
      </c>
      <c r="Y126" s="268" t="str">
        <f t="shared" si="104"/>
        <v/>
      </c>
      <c r="Z126" s="268" t="str">
        <f t="shared" si="88"/>
        <v/>
      </c>
      <c r="AA126" s="268" t="str">
        <f t="shared" si="112"/>
        <v/>
      </c>
      <c r="AB126" s="268" t="str">
        <f t="shared" si="107"/>
        <v/>
      </c>
      <c r="AC126" s="268" t="str">
        <f t="shared" si="110"/>
        <v/>
      </c>
      <c r="AD126" s="268" t="str">
        <f t="shared" si="113"/>
        <v/>
      </c>
      <c r="AE126" s="268" t="str">
        <f t="shared" si="115"/>
        <v/>
      </c>
      <c r="AF126" s="268" t="str">
        <f t="shared" si="129"/>
        <v/>
      </c>
      <c r="AG126" s="268" t="str">
        <f t="shared" si="133"/>
        <v/>
      </c>
      <c r="AH126" s="268" t="str">
        <f t="shared" si="136"/>
        <v/>
      </c>
      <c r="AI126" s="268" t="str">
        <f t="shared" si="114"/>
        <v/>
      </c>
      <c r="AJ126" s="268" t="str">
        <f t="shared" si="117"/>
        <v/>
      </c>
      <c r="AK126" s="268" t="str">
        <f t="shared" si="130"/>
        <v/>
      </c>
      <c r="AL126" s="268" t="str">
        <f t="shared" si="132"/>
        <v/>
      </c>
      <c r="AM126" s="268" t="str">
        <f t="shared" si="134"/>
        <v/>
      </c>
      <c r="AN126" s="223" t="str">
        <f t="shared" si="118"/>
        <v/>
      </c>
      <c r="AO126" s="223" t="str">
        <f t="shared" si="131"/>
        <v/>
      </c>
      <c r="AP126" s="223" t="str">
        <f t="shared" si="135"/>
        <v>1</v>
      </c>
      <c r="AQ126" s="223">
        <v>1</v>
      </c>
      <c r="AR126" s="223" t="str">
        <f t="shared" si="121"/>
        <v>1</v>
      </c>
      <c r="AS126" s="223" t="str">
        <f t="shared" si="122"/>
        <v>1</v>
      </c>
      <c r="AT126" s="223" t="str">
        <f t="shared" si="123"/>
        <v>1</v>
      </c>
      <c r="AU126" s="223" t="str">
        <f t="shared" si="124"/>
        <v>1</v>
      </c>
      <c r="AV126" s="223" t="str">
        <f t="shared" si="125"/>
        <v>1</v>
      </c>
      <c r="AW126" s="223" t="str">
        <f t="shared" si="126"/>
        <v>1</v>
      </c>
      <c r="AX126" s="223" t="str">
        <f t="shared" si="127"/>
        <v>1</v>
      </c>
      <c r="AY126" s="223" t="str">
        <f t="shared" si="128"/>
        <v>1</v>
      </c>
    </row>
    <row r="127" spans="1:51" ht="22.5" x14ac:dyDescent="0.25">
      <c r="A127" s="214">
        <v>125</v>
      </c>
      <c r="B127" s="251" t="s">
        <v>262</v>
      </c>
      <c r="C127" s="132" t="s">
        <v>263</v>
      </c>
      <c r="D127" s="157">
        <v>2014</v>
      </c>
      <c r="E127" s="138">
        <v>41704</v>
      </c>
      <c r="F127" s="222">
        <f t="shared" si="72"/>
        <v>3</v>
      </c>
      <c r="G127" s="222" t="str">
        <f t="shared" si="73"/>
        <v>32014</v>
      </c>
      <c r="H127" s="222" t="str">
        <f t="shared" si="74"/>
        <v>marzo</v>
      </c>
      <c r="I127" s="126" t="str">
        <f>VLOOKUP(B127,'Base de Datos'!$E$7:$T$271,14,0)</f>
        <v/>
      </c>
      <c r="J127" s="224" t="e">
        <f t="shared" si="75"/>
        <v>#VALUE!</v>
      </c>
      <c r="K127" s="223" t="e">
        <f t="shared" si="76"/>
        <v>#VALUE!</v>
      </c>
      <c r="L127" s="223" t="e">
        <f t="shared" si="77"/>
        <v>#VALUE!</v>
      </c>
      <c r="M127" s="223" t="str">
        <f t="shared" si="78"/>
        <v/>
      </c>
      <c r="N127" s="223" t="e">
        <f t="shared" ca="1" si="79"/>
        <v>#VALUE!</v>
      </c>
      <c r="O127" s="268" t="e">
        <f t="shared" ca="1" si="80"/>
        <v>#VALUE!</v>
      </c>
      <c r="P127" s="268" t="str">
        <f t="shared" si="103"/>
        <v/>
      </c>
      <c r="Q127" s="268" t="str">
        <f t="shared" si="81"/>
        <v/>
      </c>
      <c r="R127" s="268" t="str">
        <f t="shared" si="82"/>
        <v/>
      </c>
      <c r="S127" s="268" t="str">
        <f t="shared" si="83"/>
        <v/>
      </c>
      <c r="T127" s="268" t="str">
        <f t="shared" si="84"/>
        <v/>
      </c>
      <c r="U127" s="268" t="str">
        <f t="shared" si="85"/>
        <v/>
      </c>
      <c r="V127" s="268" t="str">
        <f t="shared" si="105"/>
        <v/>
      </c>
      <c r="W127" s="268" t="str">
        <f t="shared" si="86"/>
        <v/>
      </c>
      <c r="X127" s="268" t="str">
        <f t="shared" si="87"/>
        <v/>
      </c>
      <c r="Y127" s="268" t="str">
        <f t="shared" si="104"/>
        <v/>
      </c>
      <c r="Z127" s="268" t="str">
        <f t="shared" si="88"/>
        <v/>
      </c>
      <c r="AA127" s="268" t="str">
        <f t="shared" si="112"/>
        <v/>
      </c>
      <c r="AB127" s="268" t="str">
        <f t="shared" si="107"/>
        <v/>
      </c>
      <c r="AC127" s="268" t="str">
        <f t="shared" si="110"/>
        <v/>
      </c>
      <c r="AD127" s="268" t="str">
        <f t="shared" si="113"/>
        <v/>
      </c>
      <c r="AE127" s="268" t="str">
        <f t="shared" si="115"/>
        <v/>
      </c>
      <c r="AF127" s="268" t="str">
        <f t="shared" si="129"/>
        <v/>
      </c>
      <c r="AG127" s="268" t="str">
        <f t="shared" si="133"/>
        <v/>
      </c>
      <c r="AH127" s="268" t="str">
        <f t="shared" si="136"/>
        <v/>
      </c>
      <c r="AI127" s="268" t="str">
        <f t="shared" ref="AI127:AI158" si="137">IF(AND(E127&lt;$AI$2,I127&gt;$AI$2),"1","")</f>
        <v/>
      </c>
      <c r="AJ127" s="268" t="str">
        <f t="shared" si="117"/>
        <v/>
      </c>
      <c r="AK127" s="268" t="str">
        <f t="shared" si="130"/>
        <v/>
      </c>
      <c r="AL127" s="268" t="str">
        <f t="shared" si="132"/>
        <v/>
      </c>
      <c r="AM127" s="268" t="str">
        <f t="shared" si="134"/>
        <v/>
      </c>
      <c r="AN127" s="223" t="str">
        <f t="shared" si="118"/>
        <v/>
      </c>
      <c r="AO127" s="223" t="str">
        <f t="shared" si="131"/>
        <v/>
      </c>
      <c r="AP127" s="223" t="str">
        <f t="shared" si="135"/>
        <v>1</v>
      </c>
      <c r="AQ127" s="223">
        <v>1</v>
      </c>
      <c r="AR127" s="223" t="str">
        <f t="shared" si="121"/>
        <v>1</v>
      </c>
      <c r="AS127" s="223" t="str">
        <f t="shared" si="122"/>
        <v>1</v>
      </c>
      <c r="AT127" s="223" t="str">
        <f t="shared" si="123"/>
        <v>1</v>
      </c>
      <c r="AU127" s="223" t="str">
        <f t="shared" si="124"/>
        <v>1</v>
      </c>
      <c r="AV127" s="223" t="str">
        <f t="shared" si="125"/>
        <v>1</v>
      </c>
      <c r="AW127" s="223" t="str">
        <f t="shared" si="126"/>
        <v>1</v>
      </c>
      <c r="AX127" s="223" t="str">
        <f t="shared" si="127"/>
        <v>1</v>
      </c>
      <c r="AY127" s="223" t="str">
        <f t="shared" si="128"/>
        <v>1</v>
      </c>
    </row>
    <row r="128" spans="1:51" ht="22.5" x14ac:dyDescent="0.25">
      <c r="A128" s="214">
        <v>126</v>
      </c>
      <c r="B128" s="251" t="s">
        <v>242</v>
      </c>
      <c r="C128" s="132" t="s">
        <v>235</v>
      </c>
      <c r="D128" s="157">
        <v>2013</v>
      </c>
      <c r="E128" s="138">
        <v>41662</v>
      </c>
      <c r="F128" s="222">
        <f t="shared" si="72"/>
        <v>1</v>
      </c>
      <c r="G128" s="222" t="str">
        <f t="shared" si="73"/>
        <v>12013</v>
      </c>
      <c r="H128" s="222" t="str">
        <f t="shared" si="74"/>
        <v>enero</v>
      </c>
      <c r="I128" s="126" t="str">
        <f>VLOOKUP(B128,'Base de Datos'!$E$7:$T$271,14,0)</f>
        <v/>
      </c>
      <c r="J128" s="224" t="e">
        <f t="shared" si="75"/>
        <v>#VALUE!</v>
      </c>
      <c r="K128" s="223" t="e">
        <f t="shared" si="76"/>
        <v>#VALUE!</v>
      </c>
      <c r="L128" s="223" t="e">
        <f t="shared" si="77"/>
        <v>#VALUE!</v>
      </c>
      <c r="M128" s="223" t="str">
        <f t="shared" si="78"/>
        <v/>
      </c>
      <c r="N128" s="223" t="e">
        <f t="shared" ca="1" si="79"/>
        <v>#VALUE!</v>
      </c>
      <c r="O128" s="268" t="e">
        <f t="shared" ca="1" si="80"/>
        <v>#VALUE!</v>
      </c>
      <c r="P128" s="268" t="str">
        <f t="shared" si="103"/>
        <v/>
      </c>
      <c r="Q128" s="268" t="str">
        <f t="shared" si="81"/>
        <v/>
      </c>
      <c r="R128" s="268" t="str">
        <f t="shared" si="82"/>
        <v/>
      </c>
      <c r="S128" s="268" t="str">
        <f t="shared" si="83"/>
        <v/>
      </c>
      <c r="T128" s="268" t="str">
        <f t="shared" si="84"/>
        <v/>
      </c>
      <c r="U128" s="268" t="str">
        <f t="shared" si="85"/>
        <v/>
      </c>
      <c r="V128" s="268" t="str">
        <f t="shared" si="105"/>
        <v/>
      </c>
      <c r="W128" s="268" t="str">
        <f t="shared" si="86"/>
        <v/>
      </c>
      <c r="X128" s="268" t="str">
        <f t="shared" si="87"/>
        <v/>
      </c>
      <c r="Y128" s="268" t="str">
        <f t="shared" si="104"/>
        <v/>
      </c>
      <c r="Z128" s="268" t="str">
        <f t="shared" si="88"/>
        <v/>
      </c>
      <c r="AA128" s="268" t="str">
        <f t="shared" si="112"/>
        <v/>
      </c>
      <c r="AB128" s="268" t="str">
        <f t="shared" si="107"/>
        <v/>
      </c>
      <c r="AC128" s="268" t="str">
        <f t="shared" si="110"/>
        <v/>
      </c>
      <c r="AD128" s="268" t="str">
        <f t="shared" si="113"/>
        <v/>
      </c>
      <c r="AE128" s="268" t="str">
        <f t="shared" si="115"/>
        <v/>
      </c>
      <c r="AF128" s="268" t="str">
        <f t="shared" si="129"/>
        <v/>
      </c>
      <c r="AG128" s="268" t="str">
        <f t="shared" si="133"/>
        <v/>
      </c>
      <c r="AH128" s="268" t="str">
        <f t="shared" si="136"/>
        <v/>
      </c>
      <c r="AI128" s="268" t="str">
        <f t="shared" si="137"/>
        <v/>
      </c>
      <c r="AJ128" s="268" t="str">
        <f t="shared" si="117"/>
        <v/>
      </c>
      <c r="AK128" s="268" t="str">
        <f t="shared" si="130"/>
        <v/>
      </c>
      <c r="AL128" s="268" t="str">
        <f t="shared" si="132"/>
        <v/>
      </c>
      <c r="AM128" s="268" t="str">
        <f t="shared" si="134"/>
        <v/>
      </c>
      <c r="AN128" s="223" t="str">
        <f t="shared" si="118"/>
        <v>1</v>
      </c>
      <c r="AO128" s="223" t="str">
        <f t="shared" si="131"/>
        <v>1</v>
      </c>
      <c r="AP128" s="223" t="str">
        <f t="shared" si="135"/>
        <v>1</v>
      </c>
      <c r="AQ128" s="223">
        <v>1</v>
      </c>
      <c r="AR128" s="223" t="str">
        <f t="shared" si="121"/>
        <v>1</v>
      </c>
      <c r="AS128" s="223" t="str">
        <f t="shared" si="122"/>
        <v>1</v>
      </c>
      <c r="AT128" s="223" t="str">
        <f t="shared" si="123"/>
        <v>1</v>
      </c>
      <c r="AU128" s="223" t="str">
        <f t="shared" si="124"/>
        <v>1</v>
      </c>
      <c r="AV128" s="223" t="str">
        <f t="shared" si="125"/>
        <v>1</v>
      </c>
      <c r="AW128" s="223" t="str">
        <f t="shared" si="126"/>
        <v>1</v>
      </c>
      <c r="AX128" s="223" t="str">
        <f t="shared" si="127"/>
        <v>1</v>
      </c>
      <c r="AY128" s="223" t="str">
        <f t="shared" si="128"/>
        <v>1</v>
      </c>
    </row>
    <row r="129" spans="1:51" ht="22.5" x14ac:dyDescent="0.25">
      <c r="A129" s="214">
        <v>127</v>
      </c>
      <c r="B129" s="251" t="s">
        <v>239</v>
      </c>
      <c r="C129" s="132" t="s">
        <v>152</v>
      </c>
      <c r="D129" s="157">
        <v>2013</v>
      </c>
      <c r="E129" s="138">
        <v>41662</v>
      </c>
      <c r="F129" s="222">
        <f t="shared" si="72"/>
        <v>1</v>
      </c>
      <c r="G129" s="222" t="str">
        <f t="shared" si="73"/>
        <v>12013</v>
      </c>
      <c r="H129" s="222" t="str">
        <f t="shared" si="74"/>
        <v>enero</v>
      </c>
      <c r="I129" s="126" t="str">
        <f>VLOOKUP(B129,'Base de Datos'!$E$7:$T$271,14,0)</f>
        <v/>
      </c>
      <c r="J129" s="224" t="e">
        <f t="shared" si="75"/>
        <v>#VALUE!</v>
      </c>
      <c r="K129" s="223" t="e">
        <f t="shared" si="76"/>
        <v>#VALUE!</v>
      </c>
      <c r="L129" s="223" t="e">
        <f t="shared" si="77"/>
        <v>#VALUE!</v>
      </c>
      <c r="M129" s="223" t="str">
        <f t="shared" si="78"/>
        <v/>
      </c>
      <c r="N129" s="223" t="e">
        <f t="shared" ca="1" si="79"/>
        <v>#VALUE!</v>
      </c>
      <c r="O129" s="268" t="e">
        <f t="shared" ca="1" si="80"/>
        <v>#VALUE!</v>
      </c>
      <c r="P129" s="268" t="str">
        <f t="shared" si="103"/>
        <v/>
      </c>
      <c r="Q129" s="268" t="str">
        <f t="shared" si="81"/>
        <v/>
      </c>
      <c r="R129" s="268" t="str">
        <f t="shared" si="82"/>
        <v/>
      </c>
      <c r="S129" s="268" t="str">
        <f t="shared" si="83"/>
        <v/>
      </c>
      <c r="T129" s="268" t="str">
        <f t="shared" si="84"/>
        <v/>
      </c>
      <c r="U129" s="268" t="str">
        <f t="shared" si="85"/>
        <v/>
      </c>
      <c r="V129" s="268" t="str">
        <f t="shared" si="105"/>
        <v/>
      </c>
      <c r="W129" s="268" t="str">
        <f t="shared" si="86"/>
        <v/>
      </c>
      <c r="X129" s="268" t="str">
        <f t="shared" si="87"/>
        <v/>
      </c>
      <c r="Y129" s="268" t="str">
        <f t="shared" si="104"/>
        <v/>
      </c>
      <c r="Z129" s="268" t="str">
        <f t="shared" si="88"/>
        <v/>
      </c>
      <c r="AA129" s="268" t="str">
        <f t="shared" si="112"/>
        <v/>
      </c>
      <c r="AB129" s="268" t="str">
        <f t="shared" si="107"/>
        <v/>
      </c>
      <c r="AC129" s="268" t="str">
        <f t="shared" si="110"/>
        <v/>
      </c>
      <c r="AD129" s="268" t="str">
        <f t="shared" si="113"/>
        <v/>
      </c>
      <c r="AE129" s="268" t="str">
        <f t="shared" si="115"/>
        <v/>
      </c>
      <c r="AF129" s="268" t="str">
        <f t="shared" si="129"/>
        <v/>
      </c>
      <c r="AG129" s="268" t="str">
        <f t="shared" si="133"/>
        <v/>
      </c>
      <c r="AH129" s="268" t="str">
        <f t="shared" si="136"/>
        <v/>
      </c>
      <c r="AI129" s="268" t="str">
        <f t="shared" si="137"/>
        <v/>
      </c>
      <c r="AJ129" s="268" t="str">
        <f t="shared" si="117"/>
        <v/>
      </c>
      <c r="AK129" s="268" t="str">
        <f t="shared" si="130"/>
        <v/>
      </c>
      <c r="AL129" s="268" t="str">
        <f t="shared" si="132"/>
        <v/>
      </c>
      <c r="AM129" s="268" t="str">
        <f t="shared" si="134"/>
        <v/>
      </c>
      <c r="AN129" s="223" t="str">
        <f t="shared" si="118"/>
        <v>1</v>
      </c>
      <c r="AO129" s="223" t="str">
        <f t="shared" si="131"/>
        <v>1</v>
      </c>
      <c r="AP129" s="223" t="str">
        <f t="shared" si="135"/>
        <v>1</v>
      </c>
      <c r="AQ129" s="223">
        <v>1</v>
      </c>
      <c r="AR129" s="223" t="str">
        <f t="shared" si="121"/>
        <v>1</v>
      </c>
      <c r="AS129" s="223" t="str">
        <f t="shared" si="122"/>
        <v>1</v>
      </c>
      <c r="AT129" s="223" t="str">
        <f t="shared" si="123"/>
        <v>1</v>
      </c>
      <c r="AU129" s="223" t="str">
        <f t="shared" si="124"/>
        <v>1</v>
      </c>
      <c r="AV129" s="223" t="str">
        <f t="shared" si="125"/>
        <v>1</v>
      </c>
      <c r="AW129" s="223" t="str">
        <f t="shared" si="126"/>
        <v>1</v>
      </c>
      <c r="AX129" s="223" t="str">
        <f t="shared" si="127"/>
        <v>1</v>
      </c>
      <c r="AY129" s="223" t="str">
        <f t="shared" si="128"/>
        <v>1</v>
      </c>
    </row>
    <row r="130" spans="1:51" ht="22.5" x14ac:dyDescent="0.25">
      <c r="A130" s="214">
        <v>128</v>
      </c>
      <c r="B130" s="250" t="s">
        <v>87</v>
      </c>
      <c r="C130" s="132" t="s">
        <v>435</v>
      </c>
      <c r="D130" s="156">
        <v>2013</v>
      </c>
      <c r="E130" s="136">
        <v>41400</v>
      </c>
      <c r="F130" s="222">
        <f t="shared" si="72"/>
        <v>5</v>
      </c>
      <c r="G130" s="222" t="str">
        <f t="shared" si="73"/>
        <v>52013</v>
      </c>
      <c r="H130" s="222" t="str">
        <f t="shared" si="74"/>
        <v>mayo</v>
      </c>
      <c r="I130" s="126" t="str">
        <f>VLOOKUP(B130,'Base de Datos'!$E$7:$T$271,14,0)</f>
        <v/>
      </c>
      <c r="J130" s="224" t="e">
        <f t="shared" si="75"/>
        <v>#VALUE!</v>
      </c>
      <c r="K130" s="223" t="e">
        <f t="shared" si="76"/>
        <v>#VALUE!</v>
      </c>
      <c r="L130" s="223" t="e">
        <f t="shared" si="77"/>
        <v>#VALUE!</v>
      </c>
      <c r="M130" s="223" t="str">
        <f t="shared" si="78"/>
        <v/>
      </c>
      <c r="N130" s="223" t="e">
        <f t="shared" ca="1" si="79"/>
        <v>#VALUE!</v>
      </c>
      <c r="O130" s="268" t="e">
        <f t="shared" ca="1" si="80"/>
        <v>#VALUE!</v>
      </c>
      <c r="P130" s="268" t="str">
        <f t="shared" si="103"/>
        <v/>
      </c>
      <c r="Q130" s="268" t="str">
        <f t="shared" si="81"/>
        <v/>
      </c>
      <c r="R130" s="268" t="str">
        <f t="shared" si="82"/>
        <v/>
      </c>
      <c r="S130" s="268" t="str">
        <f t="shared" si="83"/>
        <v/>
      </c>
      <c r="T130" s="268" t="str">
        <f t="shared" si="84"/>
        <v/>
      </c>
      <c r="U130" s="268" t="str">
        <f t="shared" si="85"/>
        <v/>
      </c>
      <c r="V130" s="268" t="str">
        <f t="shared" si="105"/>
        <v/>
      </c>
      <c r="W130" s="268" t="str">
        <f t="shared" si="86"/>
        <v/>
      </c>
      <c r="X130" s="268" t="str">
        <f t="shared" si="87"/>
        <v/>
      </c>
      <c r="Y130" s="268" t="str">
        <f t="shared" si="104"/>
        <v/>
      </c>
      <c r="Z130" s="268" t="str">
        <f t="shared" si="88"/>
        <v/>
      </c>
      <c r="AA130" s="268" t="str">
        <f t="shared" si="112"/>
        <v/>
      </c>
      <c r="AB130" s="268" t="str">
        <f t="shared" si="107"/>
        <v/>
      </c>
      <c r="AC130" s="268" t="str">
        <f t="shared" si="110"/>
        <v/>
      </c>
      <c r="AD130" s="268" t="str">
        <f t="shared" si="113"/>
        <v/>
      </c>
      <c r="AE130" s="268" t="str">
        <f t="shared" si="115"/>
        <v/>
      </c>
      <c r="AF130" s="268" t="str">
        <f t="shared" si="129"/>
        <v>1</v>
      </c>
      <c r="AG130" s="268" t="str">
        <f t="shared" si="133"/>
        <v>1</v>
      </c>
      <c r="AH130" s="268" t="str">
        <f t="shared" si="136"/>
        <v>1</v>
      </c>
      <c r="AI130" s="268" t="str">
        <f t="shared" si="137"/>
        <v>1</v>
      </c>
      <c r="AJ130" s="268" t="str">
        <f t="shared" si="117"/>
        <v>1</v>
      </c>
      <c r="AK130" s="268" t="str">
        <f t="shared" si="130"/>
        <v>1</v>
      </c>
      <c r="AL130" s="268" t="str">
        <f t="shared" si="132"/>
        <v>1</v>
      </c>
      <c r="AM130" s="268" t="str">
        <f t="shared" si="134"/>
        <v>1</v>
      </c>
      <c r="AN130" s="223" t="str">
        <f t="shared" si="118"/>
        <v>1</v>
      </c>
      <c r="AO130" s="223" t="str">
        <f t="shared" si="131"/>
        <v>1</v>
      </c>
      <c r="AP130" s="223" t="str">
        <f t="shared" si="135"/>
        <v>1</v>
      </c>
      <c r="AQ130" s="223" t="str">
        <f t="shared" ref="AQ130:AQ161" si="138">IF(AND(E130&lt;$AQ$2,I130&gt;$AQ$2),"1","")</f>
        <v>1</v>
      </c>
      <c r="AR130" s="223">
        <v>1</v>
      </c>
      <c r="AS130" s="223" t="str">
        <f t="shared" si="122"/>
        <v>1</v>
      </c>
      <c r="AT130" s="223" t="str">
        <f t="shared" si="123"/>
        <v>1</v>
      </c>
      <c r="AU130" s="223" t="str">
        <f t="shared" si="124"/>
        <v>1</v>
      </c>
      <c r="AV130" s="223" t="str">
        <f t="shared" si="125"/>
        <v>1</v>
      </c>
      <c r="AW130" s="223" t="str">
        <f t="shared" si="126"/>
        <v>1</v>
      </c>
      <c r="AX130" s="223" t="str">
        <f t="shared" si="127"/>
        <v>1</v>
      </c>
      <c r="AY130" s="223" t="str">
        <f t="shared" si="128"/>
        <v>1</v>
      </c>
    </row>
    <row r="131" spans="1:51" ht="22.5" x14ac:dyDescent="0.25">
      <c r="A131" s="214">
        <v>129</v>
      </c>
      <c r="B131" s="250" t="s">
        <v>121</v>
      </c>
      <c r="C131" s="132" t="s">
        <v>15</v>
      </c>
      <c r="D131" s="156">
        <v>2013</v>
      </c>
      <c r="E131" s="138">
        <v>41410</v>
      </c>
      <c r="F131" s="222">
        <f t="shared" ref="F131:F194" si="139">MONTH(E131)</f>
        <v>5</v>
      </c>
      <c r="G131" s="222" t="str">
        <f t="shared" ref="G131:G194" si="140">CONCATENATE(F131,D131)</f>
        <v>52013</v>
      </c>
      <c r="H131" s="222" t="str">
        <f t="shared" ref="H131:H194" si="141">TEXT(E131,"MMMM")</f>
        <v>mayo</v>
      </c>
      <c r="I131" s="126" t="str">
        <f>VLOOKUP(B131,'Base de Datos'!$E$7:$T$271,14,0)</f>
        <v/>
      </c>
      <c r="J131" s="224" t="e">
        <f t="shared" ref="J131:J194" si="142">YEAR(I131)</f>
        <v>#VALUE!</v>
      </c>
      <c r="K131" s="223" t="e">
        <f t="shared" ref="K131:K194" si="143">MONTH(I131)</f>
        <v>#VALUE!</v>
      </c>
      <c r="L131" s="223" t="e">
        <f t="shared" ref="L131:L194" si="144">CONCATENATE(K131,J131)</f>
        <v>#VALUE!</v>
      </c>
      <c r="M131" s="223" t="str">
        <f t="shared" ref="M131:M194" si="145">TEXT(I131,"mmmm")</f>
        <v/>
      </c>
      <c r="N131" s="223" t="e">
        <f t="shared" ref="N131:N194" ca="1" si="146">$O$1-I131</f>
        <v>#VALUE!</v>
      </c>
      <c r="O131" s="268" t="e">
        <f t="shared" ref="O131:O194" ca="1" si="147">IF(N131&gt;0,"SI","NO")</f>
        <v>#VALUE!</v>
      </c>
      <c r="P131" s="268" t="str">
        <f t="shared" si="103"/>
        <v/>
      </c>
      <c r="Q131" s="268" t="str">
        <f t="shared" ref="Q131:Q194" si="148">IF(AND(E131&lt;$Q$2,I131&gt;$Q$2),"1","")</f>
        <v/>
      </c>
      <c r="R131" s="268" t="str">
        <f t="shared" ref="R131:R194" si="149">IF(AND(E131&lt;$R$2,I131&gt;$R$2),"1","")</f>
        <v/>
      </c>
      <c r="S131" s="268" t="str">
        <f t="shared" ref="S131:S194" si="150">IF(AND(E131&lt;$S$2,I131&gt;$S$2),"1","")</f>
        <v/>
      </c>
      <c r="T131" s="268" t="str">
        <f t="shared" ref="T131:T194" si="151">IF(AND(E131&lt;$T$2,I131&gt;$T$2),"1","")</f>
        <v/>
      </c>
      <c r="U131" s="268" t="str">
        <f t="shared" ref="U131:U194" si="152">IF(AND(E131&lt;$U$2,I131&gt;$U$2),"1","")</f>
        <v/>
      </c>
      <c r="V131" s="268" t="str">
        <f t="shared" si="105"/>
        <v/>
      </c>
      <c r="W131" s="268" t="str">
        <f t="shared" ref="W131:W194" si="153">IF(AND(E131&lt;$W$2,I131&gt;$W$2),"1","")</f>
        <v/>
      </c>
      <c r="X131" s="268" t="str">
        <f t="shared" ref="X131:X194" si="154">IF(AND(E131&lt;$X$2,I131&gt;$X$2),"1","")</f>
        <v/>
      </c>
      <c r="Y131" s="268" t="str">
        <f t="shared" si="104"/>
        <v/>
      </c>
      <c r="Z131" s="268" t="str">
        <f t="shared" ref="Z131:Z194" si="155">IF(AND(E131&lt;$Z$2,I131&gt;$Z$2),"1","")</f>
        <v/>
      </c>
      <c r="AA131" s="268" t="str">
        <f t="shared" si="112"/>
        <v/>
      </c>
      <c r="AB131" s="268" t="str">
        <f t="shared" si="107"/>
        <v/>
      </c>
      <c r="AC131" s="268" t="str">
        <f t="shared" si="110"/>
        <v/>
      </c>
      <c r="AD131" s="268" t="str">
        <f t="shared" si="113"/>
        <v/>
      </c>
      <c r="AE131" s="268" t="str">
        <f t="shared" si="115"/>
        <v/>
      </c>
      <c r="AF131" s="268" t="str">
        <f t="shared" si="129"/>
        <v>1</v>
      </c>
      <c r="AG131" s="268" t="str">
        <f t="shared" si="133"/>
        <v>1</v>
      </c>
      <c r="AH131" s="268" t="str">
        <f t="shared" si="136"/>
        <v>1</v>
      </c>
      <c r="AI131" s="268" t="str">
        <f t="shared" si="137"/>
        <v>1</v>
      </c>
      <c r="AJ131" s="268" t="str">
        <f t="shared" si="117"/>
        <v>1</v>
      </c>
      <c r="AK131" s="268" t="str">
        <f t="shared" si="130"/>
        <v>1</v>
      </c>
      <c r="AL131" s="268" t="str">
        <f t="shared" si="132"/>
        <v>1</v>
      </c>
      <c r="AM131" s="268" t="str">
        <f t="shared" si="134"/>
        <v>1</v>
      </c>
      <c r="AN131" s="223" t="str">
        <f t="shared" si="118"/>
        <v>1</v>
      </c>
      <c r="AO131" s="223" t="str">
        <f t="shared" si="131"/>
        <v>1</v>
      </c>
      <c r="AP131" s="223" t="str">
        <f t="shared" si="135"/>
        <v>1</v>
      </c>
      <c r="AQ131" s="223" t="str">
        <f t="shared" si="138"/>
        <v>1</v>
      </c>
      <c r="AR131" s="223">
        <v>1</v>
      </c>
      <c r="AS131" s="223" t="str">
        <f t="shared" si="122"/>
        <v>1</v>
      </c>
      <c r="AT131" s="223" t="str">
        <f t="shared" si="123"/>
        <v>1</v>
      </c>
      <c r="AU131" s="223" t="str">
        <f t="shared" si="124"/>
        <v>1</v>
      </c>
      <c r="AV131" s="223" t="str">
        <f t="shared" si="125"/>
        <v>1</v>
      </c>
      <c r="AW131" s="223" t="str">
        <f t="shared" si="126"/>
        <v>1</v>
      </c>
      <c r="AX131" s="223" t="str">
        <f t="shared" si="127"/>
        <v>1</v>
      </c>
      <c r="AY131" s="223" t="str">
        <f t="shared" si="128"/>
        <v>1</v>
      </c>
    </row>
    <row r="132" spans="1:51" ht="33.75" x14ac:dyDescent="0.25">
      <c r="A132" s="214">
        <v>130</v>
      </c>
      <c r="B132" s="257" t="s">
        <v>195</v>
      </c>
      <c r="C132" s="132" t="s">
        <v>1037</v>
      </c>
      <c r="D132" s="141">
        <v>2013</v>
      </c>
      <c r="E132" s="138">
        <v>41541</v>
      </c>
      <c r="F132" s="222">
        <f t="shared" si="139"/>
        <v>9</v>
      </c>
      <c r="G132" s="222" t="str">
        <f t="shared" si="140"/>
        <v>92013</v>
      </c>
      <c r="H132" s="222" t="str">
        <f t="shared" si="141"/>
        <v>septiembre</v>
      </c>
      <c r="I132" s="126" t="str">
        <f>VLOOKUP(B132,'Base de Datos'!$E$7:$T$271,14,0)</f>
        <v>2 meses</v>
      </c>
      <c r="J132" s="224" t="e">
        <f t="shared" si="142"/>
        <v>#VALUE!</v>
      </c>
      <c r="K132" s="223" t="e">
        <f t="shared" si="143"/>
        <v>#VALUE!</v>
      </c>
      <c r="L132" s="223" t="e">
        <f t="shared" si="144"/>
        <v>#VALUE!</v>
      </c>
      <c r="M132" s="223" t="str">
        <f t="shared" si="145"/>
        <v>2 meses</v>
      </c>
      <c r="N132" s="223" t="e">
        <f t="shared" ca="1" si="146"/>
        <v>#VALUE!</v>
      </c>
      <c r="O132" s="268" t="e">
        <f t="shared" ca="1" si="147"/>
        <v>#VALUE!</v>
      </c>
      <c r="P132" s="268" t="str">
        <f t="shared" ref="P132:P195" si="156">IF(AND(E132&lt;$P$2,I132&gt;$P$2),"1","")</f>
        <v/>
      </c>
      <c r="Q132" s="268" t="str">
        <f t="shared" si="148"/>
        <v/>
      </c>
      <c r="R132" s="268" t="str">
        <f t="shared" si="149"/>
        <v/>
      </c>
      <c r="S132" s="268" t="str">
        <f t="shared" si="150"/>
        <v/>
      </c>
      <c r="T132" s="268" t="str">
        <f t="shared" si="151"/>
        <v/>
      </c>
      <c r="U132" s="268" t="str">
        <f t="shared" si="152"/>
        <v/>
      </c>
      <c r="V132" s="268" t="str">
        <f t="shared" si="105"/>
        <v/>
      </c>
      <c r="W132" s="268" t="str">
        <f t="shared" si="153"/>
        <v/>
      </c>
      <c r="X132" s="268" t="str">
        <f t="shared" si="154"/>
        <v/>
      </c>
      <c r="Y132" s="268" t="str">
        <f t="shared" si="104"/>
        <v/>
      </c>
      <c r="Z132" s="268" t="str">
        <f t="shared" si="155"/>
        <v/>
      </c>
      <c r="AA132" s="268" t="str">
        <f t="shared" si="112"/>
        <v/>
      </c>
      <c r="AB132" s="268" t="str">
        <f t="shared" si="107"/>
        <v/>
      </c>
      <c r="AC132" s="268" t="str">
        <f t="shared" si="110"/>
        <v/>
      </c>
      <c r="AD132" s="268" t="str">
        <f t="shared" si="113"/>
        <v/>
      </c>
      <c r="AE132" s="268" t="str">
        <f t="shared" si="115"/>
        <v/>
      </c>
      <c r="AF132" s="268" t="str">
        <f t="shared" si="129"/>
        <v/>
      </c>
      <c r="AG132" s="268" t="str">
        <f t="shared" si="133"/>
        <v/>
      </c>
      <c r="AH132" s="268" t="str">
        <f t="shared" si="136"/>
        <v/>
      </c>
      <c r="AI132" s="268" t="str">
        <f t="shared" si="137"/>
        <v/>
      </c>
      <c r="AJ132" s="268" t="str">
        <f t="shared" si="117"/>
        <v>1</v>
      </c>
      <c r="AK132" s="268" t="str">
        <f t="shared" si="130"/>
        <v>1</v>
      </c>
      <c r="AL132" s="268" t="str">
        <f t="shared" si="132"/>
        <v>1</v>
      </c>
      <c r="AM132" s="268" t="str">
        <f t="shared" si="134"/>
        <v>1</v>
      </c>
      <c r="AN132" s="223" t="str">
        <f t="shared" si="118"/>
        <v>1</v>
      </c>
      <c r="AO132" s="223" t="str">
        <f t="shared" si="131"/>
        <v>1</v>
      </c>
      <c r="AP132" s="223" t="str">
        <f t="shared" si="135"/>
        <v>1</v>
      </c>
      <c r="AQ132" s="223" t="str">
        <f t="shared" si="138"/>
        <v>1</v>
      </c>
      <c r="AR132" s="223">
        <v>1</v>
      </c>
      <c r="AS132" s="223" t="str">
        <f t="shared" si="122"/>
        <v>1</v>
      </c>
      <c r="AT132" s="223" t="str">
        <f t="shared" si="123"/>
        <v>1</v>
      </c>
      <c r="AU132" s="223" t="str">
        <f t="shared" si="124"/>
        <v>1</v>
      </c>
      <c r="AV132" s="223" t="str">
        <f t="shared" si="125"/>
        <v>1</v>
      </c>
      <c r="AW132" s="223" t="str">
        <f t="shared" si="126"/>
        <v>1</v>
      </c>
      <c r="AX132" s="223" t="str">
        <f t="shared" si="127"/>
        <v>1</v>
      </c>
      <c r="AY132" s="223" t="str">
        <f t="shared" si="128"/>
        <v>1</v>
      </c>
    </row>
    <row r="133" spans="1:51" ht="22.5" x14ac:dyDescent="0.25">
      <c r="A133" s="214">
        <v>131</v>
      </c>
      <c r="B133" s="251" t="s">
        <v>243</v>
      </c>
      <c r="C133" s="132" t="s">
        <v>244</v>
      </c>
      <c r="D133" s="157">
        <v>2013</v>
      </c>
      <c r="E133" s="138">
        <v>41670</v>
      </c>
      <c r="F133" s="222">
        <f t="shared" si="139"/>
        <v>1</v>
      </c>
      <c r="G133" s="222" t="str">
        <f t="shared" si="140"/>
        <v>12013</v>
      </c>
      <c r="H133" s="222" t="str">
        <f t="shared" si="141"/>
        <v>enero</v>
      </c>
      <c r="I133" s="126" t="str">
        <f>VLOOKUP(B133,'Base de Datos'!$E$7:$T$271,14,0)</f>
        <v>30 días</v>
      </c>
      <c r="J133" s="224" t="e">
        <f t="shared" si="142"/>
        <v>#VALUE!</v>
      </c>
      <c r="K133" s="223" t="e">
        <f t="shared" si="143"/>
        <v>#VALUE!</v>
      </c>
      <c r="L133" s="223" t="e">
        <f t="shared" si="144"/>
        <v>#VALUE!</v>
      </c>
      <c r="M133" s="223" t="str">
        <f t="shared" si="145"/>
        <v>30 días</v>
      </c>
      <c r="N133" s="223" t="e">
        <f t="shared" ca="1" si="146"/>
        <v>#VALUE!</v>
      </c>
      <c r="O133" s="268" t="e">
        <f t="shared" ca="1" si="147"/>
        <v>#VALUE!</v>
      </c>
      <c r="P133" s="268" t="str">
        <f t="shared" si="156"/>
        <v/>
      </c>
      <c r="Q133" s="268" t="str">
        <f t="shared" si="148"/>
        <v/>
      </c>
      <c r="R133" s="268" t="str">
        <f t="shared" si="149"/>
        <v/>
      </c>
      <c r="S133" s="268" t="str">
        <f t="shared" si="150"/>
        <v/>
      </c>
      <c r="T133" s="268" t="str">
        <f t="shared" si="151"/>
        <v/>
      </c>
      <c r="U133" s="268" t="str">
        <f t="shared" si="152"/>
        <v/>
      </c>
      <c r="V133" s="268" t="str">
        <f t="shared" si="105"/>
        <v/>
      </c>
      <c r="W133" s="268" t="str">
        <f t="shared" si="153"/>
        <v/>
      </c>
      <c r="X133" s="268" t="str">
        <f t="shared" si="154"/>
        <v/>
      </c>
      <c r="Y133" s="268" t="str">
        <f t="shared" si="104"/>
        <v/>
      </c>
      <c r="Z133" s="268" t="str">
        <f t="shared" si="155"/>
        <v/>
      </c>
      <c r="AA133" s="268" t="str">
        <f t="shared" si="112"/>
        <v/>
      </c>
      <c r="AB133" s="268" t="str">
        <f t="shared" si="107"/>
        <v/>
      </c>
      <c r="AC133" s="268" t="str">
        <f t="shared" si="110"/>
        <v/>
      </c>
      <c r="AD133" s="268" t="str">
        <f t="shared" si="113"/>
        <v/>
      </c>
      <c r="AE133" s="268" t="str">
        <f t="shared" si="115"/>
        <v/>
      </c>
      <c r="AF133" s="268" t="str">
        <f t="shared" si="129"/>
        <v/>
      </c>
      <c r="AG133" s="268" t="str">
        <f t="shared" si="133"/>
        <v/>
      </c>
      <c r="AH133" s="268" t="str">
        <f t="shared" si="136"/>
        <v/>
      </c>
      <c r="AI133" s="268" t="str">
        <f t="shared" si="137"/>
        <v/>
      </c>
      <c r="AJ133" s="268" t="str">
        <f t="shared" si="117"/>
        <v/>
      </c>
      <c r="AK133" s="268" t="str">
        <f t="shared" si="130"/>
        <v/>
      </c>
      <c r="AL133" s="268" t="str">
        <f t="shared" si="132"/>
        <v/>
      </c>
      <c r="AM133" s="268" t="str">
        <f t="shared" si="134"/>
        <v/>
      </c>
      <c r="AN133" s="223" t="str">
        <f t="shared" si="118"/>
        <v/>
      </c>
      <c r="AO133" s="223" t="str">
        <f t="shared" si="131"/>
        <v>1</v>
      </c>
      <c r="AP133" s="223" t="str">
        <f t="shared" si="135"/>
        <v>1</v>
      </c>
      <c r="AQ133" s="223" t="str">
        <f t="shared" si="138"/>
        <v>1</v>
      </c>
      <c r="AR133" s="223">
        <v>1</v>
      </c>
      <c r="AS133" s="223" t="str">
        <f t="shared" si="122"/>
        <v>1</v>
      </c>
      <c r="AT133" s="223" t="str">
        <f t="shared" si="123"/>
        <v>1</v>
      </c>
      <c r="AU133" s="223" t="str">
        <f t="shared" si="124"/>
        <v>1</v>
      </c>
      <c r="AV133" s="223" t="str">
        <f t="shared" si="125"/>
        <v>1</v>
      </c>
      <c r="AW133" s="223" t="str">
        <f t="shared" si="126"/>
        <v>1</v>
      </c>
      <c r="AX133" s="223" t="str">
        <f t="shared" si="127"/>
        <v>1</v>
      </c>
      <c r="AY133" s="223" t="str">
        <f t="shared" si="128"/>
        <v>1</v>
      </c>
    </row>
    <row r="134" spans="1:51" x14ac:dyDescent="0.25">
      <c r="A134" s="214">
        <v>132</v>
      </c>
      <c r="B134" s="251" t="s">
        <v>197</v>
      </c>
      <c r="C134" s="139" t="s">
        <v>198</v>
      </c>
      <c r="D134" s="141">
        <v>2013</v>
      </c>
      <c r="E134" s="138">
        <v>41548</v>
      </c>
      <c r="F134" s="222">
        <f t="shared" si="139"/>
        <v>10</v>
      </c>
      <c r="G134" s="222" t="str">
        <f t="shared" si="140"/>
        <v>102013</v>
      </c>
      <c r="H134" s="222" t="str">
        <f t="shared" si="141"/>
        <v>octubre</v>
      </c>
      <c r="I134" s="126" t="str">
        <f>VLOOKUP(B134,'Base de Datos'!$E$7:$T$271,14,0)</f>
        <v/>
      </c>
      <c r="J134" s="224" t="e">
        <f t="shared" si="142"/>
        <v>#VALUE!</v>
      </c>
      <c r="K134" s="223" t="e">
        <f t="shared" si="143"/>
        <v>#VALUE!</v>
      </c>
      <c r="L134" s="223" t="e">
        <f t="shared" si="144"/>
        <v>#VALUE!</v>
      </c>
      <c r="M134" s="223" t="str">
        <f t="shared" si="145"/>
        <v/>
      </c>
      <c r="N134" s="223" t="e">
        <f t="shared" ca="1" si="146"/>
        <v>#VALUE!</v>
      </c>
      <c r="O134" s="268" t="e">
        <f t="shared" ca="1" si="147"/>
        <v>#VALUE!</v>
      </c>
      <c r="P134" s="268" t="str">
        <f t="shared" si="156"/>
        <v/>
      </c>
      <c r="Q134" s="268" t="str">
        <f t="shared" si="148"/>
        <v/>
      </c>
      <c r="R134" s="268" t="str">
        <f t="shared" si="149"/>
        <v/>
      </c>
      <c r="S134" s="268" t="str">
        <f t="shared" si="150"/>
        <v/>
      </c>
      <c r="T134" s="268" t="str">
        <f t="shared" si="151"/>
        <v/>
      </c>
      <c r="U134" s="268" t="str">
        <f t="shared" si="152"/>
        <v/>
      </c>
      <c r="V134" s="268" t="str">
        <f t="shared" si="105"/>
        <v/>
      </c>
      <c r="W134" s="268" t="str">
        <f t="shared" si="153"/>
        <v/>
      </c>
      <c r="X134" s="268" t="str">
        <f t="shared" si="154"/>
        <v/>
      </c>
      <c r="Y134" s="268" t="str">
        <f t="shared" ref="Y134:Y197" si="157">IF(AND(E134&lt;$Y$2,I134&gt;$Y$2),"1","")</f>
        <v/>
      </c>
      <c r="Z134" s="268" t="str">
        <f t="shared" si="155"/>
        <v/>
      </c>
      <c r="AA134" s="268" t="str">
        <f t="shared" si="112"/>
        <v/>
      </c>
      <c r="AB134" s="268" t="str">
        <f t="shared" si="107"/>
        <v/>
      </c>
      <c r="AC134" s="268" t="str">
        <f t="shared" si="110"/>
        <v/>
      </c>
      <c r="AD134" s="268" t="str">
        <f t="shared" si="113"/>
        <v/>
      </c>
      <c r="AE134" s="268" t="str">
        <f t="shared" si="115"/>
        <v/>
      </c>
      <c r="AF134" s="268" t="str">
        <f t="shared" si="129"/>
        <v/>
      </c>
      <c r="AG134" s="268" t="str">
        <f t="shared" si="133"/>
        <v/>
      </c>
      <c r="AH134" s="268" t="str">
        <f t="shared" si="136"/>
        <v/>
      </c>
      <c r="AI134" s="268" t="str">
        <f t="shared" si="137"/>
        <v/>
      </c>
      <c r="AJ134" s="268" t="str">
        <f t="shared" si="117"/>
        <v/>
      </c>
      <c r="AK134" s="268" t="str">
        <f t="shared" si="130"/>
        <v>1</v>
      </c>
      <c r="AL134" s="268" t="str">
        <f t="shared" si="132"/>
        <v>1</v>
      </c>
      <c r="AM134" s="268" t="str">
        <f t="shared" si="134"/>
        <v>1</v>
      </c>
      <c r="AN134" s="223" t="str">
        <f t="shared" si="118"/>
        <v>1</v>
      </c>
      <c r="AO134" s="223" t="str">
        <f t="shared" si="131"/>
        <v>1</v>
      </c>
      <c r="AP134" s="223" t="str">
        <f t="shared" si="135"/>
        <v>1</v>
      </c>
      <c r="AQ134" s="223" t="str">
        <f t="shared" si="138"/>
        <v>1</v>
      </c>
      <c r="AR134" s="223">
        <v>1</v>
      </c>
      <c r="AS134" s="223" t="str">
        <f t="shared" si="122"/>
        <v>1</v>
      </c>
      <c r="AT134" s="223" t="str">
        <f t="shared" si="123"/>
        <v>1</v>
      </c>
      <c r="AU134" s="223" t="str">
        <f t="shared" si="124"/>
        <v>1</v>
      </c>
      <c r="AV134" s="223" t="str">
        <f t="shared" si="125"/>
        <v>1</v>
      </c>
      <c r="AW134" s="223" t="str">
        <f t="shared" si="126"/>
        <v>1</v>
      </c>
      <c r="AX134" s="223" t="str">
        <f t="shared" si="127"/>
        <v>1</v>
      </c>
      <c r="AY134" s="223" t="str">
        <f t="shared" si="128"/>
        <v>1</v>
      </c>
    </row>
    <row r="135" spans="1:51" ht="22.5" x14ac:dyDescent="0.25">
      <c r="A135" s="214">
        <v>133</v>
      </c>
      <c r="B135" s="251" t="s">
        <v>231</v>
      </c>
      <c r="C135" s="132" t="s">
        <v>1042</v>
      </c>
      <c r="D135" s="157">
        <v>2013</v>
      </c>
      <c r="E135" s="138">
        <v>41647</v>
      </c>
      <c r="F135" s="222">
        <f t="shared" si="139"/>
        <v>1</v>
      </c>
      <c r="G135" s="222" t="str">
        <f t="shared" si="140"/>
        <v>12013</v>
      </c>
      <c r="H135" s="222" t="str">
        <f t="shared" si="141"/>
        <v>enero</v>
      </c>
      <c r="I135" s="126" t="str">
        <f>VLOOKUP(B135,'Base de Datos'!$E$7:$T$271,14,0)</f>
        <v>3 meses</v>
      </c>
      <c r="J135" s="224" t="e">
        <f t="shared" si="142"/>
        <v>#VALUE!</v>
      </c>
      <c r="K135" s="223" t="e">
        <f t="shared" si="143"/>
        <v>#VALUE!</v>
      </c>
      <c r="L135" s="223" t="e">
        <f t="shared" si="144"/>
        <v>#VALUE!</v>
      </c>
      <c r="M135" s="223" t="str">
        <f t="shared" si="145"/>
        <v>3 meses</v>
      </c>
      <c r="N135" s="223" t="e">
        <f t="shared" ca="1" si="146"/>
        <v>#VALUE!</v>
      </c>
      <c r="O135" s="268" t="e">
        <f t="shared" ca="1" si="147"/>
        <v>#VALUE!</v>
      </c>
      <c r="P135" s="268" t="str">
        <f t="shared" si="156"/>
        <v/>
      </c>
      <c r="Q135" s="268" t="str">
        <f t="shared" si="148"/>
        <v/>
      </c>
      <c r="R135" s="268" t="str">
        <f t="shared" si="149"/>
        <v/>
      </c>
      <c r="S135" s="268" t="str">
        <f t="shared" si="150"/>
        <v/>
      </c>
      <c r="T135" s="268" t="str">
        <f t="shared" si="151"/>
        <v/>
      </c>
      <c r="U135" s="268" t="str">
        <f t="shared" si="152"/>
        <v/>
      </c>
      <c r="V135" s="268" t="str">
        <f t="shared" ref="V135:V198" si="158">IF(AND(E135&lt;$V$2,I135&gt;$V$2),"1","")</f>
        <v/>
      </c>
      <c r="W135" s="268" t="str">
        <f t="shared" si="153"/>
        <v/>
      </c>
      <c r="X135" s="268" t="str">
        <f t="shared" si="154"/>
        <v/>
      </c>
      <c r="Y135" s="268" t="str">
        <f t="shared" si="157"/>
        <v/>
      </c>
      <c r="Z135" s="268" t="str">
        <f t="shared" si="155"/>
        <v/>
      </c>
      <c r="AA135" s="268" t="str">
        <f t="shared" si="112"/>
        <v/>
      </c>
      <c r="AB135" s="268" t="str">
        <f t="shared" si="107"/>
        <v/>
      </c>
      <c r="AC135" s="268" t="str">
        <f t="shared" si="110"/>
        <v/>
      </c>
      <c r="AD135" s="268" t="str">
        <f t="shared" si="113"/>
        <v/>
      </c>
      <c r="AE135" s="268" t="str">
        <f t="shared" si="115"/>
        <v/>
      </c>
      <c r="AF135" s="268" t="str">
        <f t="shared" si="129"/>
        <v/>
      </c>
      <c r="AG135" s="268" t="str">
        <f t="shared" si="133"/>
        <v/>
      </c>
      <c r="AH135" s="268" t="str">
        <f t="shared" si="136"/>
        <v/>
      </c>
      <c r="AI135" s="268" t="str">
        <f t="shared" si="137"/>
        <v/>
      </c>
      <c r="AJ135" s="268" t="str">
        <f t="shared" ref="AJ135:AJ166" si="159">IF(AND(E135&lt;$AJ$2,I135&gt;$AJ$2),"1","")</f>
        <v/>
      </c>
      <c r="AK135" s="268" t="str">
        <f t="shared" si="130"/>
        <v/>
      </c>
      <c r="AL135" s="268" t="str">
        <f t="shared" si="132"/>
        <v/>
      </c>
      <c r="AM135" s="268" t="str">
        <f t="shared" si="134"/>
        <v/>
      </c>
      <c r="AN135" s="223" t="str">
        <f t="shared" ref="AN135:AN166" si="160">IF(AND(E135&lt;$AN$2,I135&gt;$AN$2),"1","")</f>
        <v>1</v>
      </c>
      <c r="AO135" s="223" t="str">
        <f t="shared" si="131"/>
        <v>1</v>
      </c>
      <c r="AP135" s="223" t="str">
        <f t="shared" si="135"/>
        <v>1</v>
      </c>
      <c r="AQ135" s="223" t="str">
        <f t="shared" si="138"/>
        <v>1</v>
      </c>
      <c r="AR135" s="223" t="str">
        <f t="shared" ref="AR135:AR166" si="161">IF(AND(E135&lt;$AR$2,I135&gt;$AR$2),"1","")</f>
        <v>1</v>
      </c>
      <c r="AS135" s="223">
        <v>1</v>
      </c>
      <c r="AT135" s="223" t="str">
        <f t="shared" si="123"/>
        <v>1</v>
      </c>
      <c r="AU135" s="223" t="str">
        <f t="shared" si="124"/>
        <v>1</v>
      </c>
      <c r="AV135" s="223" t="str">
        <f t="shared" si="125"/>
        <v>1</v>
      </c>
      <c r="AW135" s="223" t="str">
        <f t="shared" ref="AW135:AW153" si="162">IF(AND(E135&lt;$AW$2,I135&gt;$AW$2),"1","")</f>
        <v>1</v>
      </c>
      <c r="AX135" s="223" t="str">
        <f t="shared" ref="AX135:AX153" si="163">IF(AND(E135&lt;$AX$2,I135&gt;$AX$2),"1","")</f>
        <v>1</v>
      </c>
      <c r="AY135" s="223" t="str">
        <f t="shared" ref="AY135:AY166" si="164">IF(AND(E135&lt;$AY$2,I135&gt;$AY$2),"1","")</f>
        <v>1</v>
      </c>
    </row>
    <row r="136" spans="1:51" ht="22.5" x14ac:dyDescent="0.25">
      <c r="A136" s="214">
        <v>134</v>
      </c>
      <c r="B136" s="252" t="s">
        <v>89</v>
      </c>
      <c r="C136" s="132" t="s">
        <v>90</v>
      </c>
      <c r="D136" s="156">
        <v>2013</v>
      </c>
      <c r="E136" s="136">
        <v>41438</v>
      </c>
      <c r="F136" s="222">
        <f t="shared" si="139"/>
        <v>6</v>
      </c>
      <c r="G136" s="222" t="str">
        <f t="shared" si="140"/>
        <v>62013</v>
      </c>
      <c r="H136" s="222" t="str">
        <f t="shared" si="141"/>
        <v>junio</v>
      </c>
      <c r="I136" s="126" t="str">
        <f>VLOOKUP(B136,'Base de Datos'!$E$7:$T$271,14,0)</f>
        <v/>
      </c>
      <c r="J136" s="224" t="e">
        <f t="shared" si="142"/>
        <v>#VALUE!</v>
      </c>
      <c r="K136" s="223" t="e">
        <f t="shared" si="143"/>
        <v>#VALUE!</v>
      </c>
      <c r="L136" s="223" t="e">
        <f t="shared" si="144"/>
        <v>#VALUE!</v>
      </c>
      <c r="M136" s="223" t="str">
        <f t="shared" si="145"/>
        <v/>
      </c>
      <c r="N136" s="223" t="e">
        <f t="shared" ca="1" si="146"/>
        <v>#VALUE!</v>
      </c>
      <c r="O136" s="268" t="e">
        <f t="shared" ca="1" si="147"/>
        <v>#VALUE!</v>
      </c>
      <c r="P136" s="268" t="str">
        <f t="shared" si="156"/>
        <v/>
      </c>
      <c r="Q136" s="268" t="str">
        <f t="shared" si="148"/>
        <v/>
      </c>
      <c r="R136" s="268" t="str">
        <f t="shared" si="149"/>
        <v/>
      </c>
      <c r="S136" s="268" t="str">
        <f t="shared" si="150"/>
        <v/>
      </c>
      <c r="T136" s="268" t="str">
        <f t="shared" si="151"/>
        <v/>
      </c>
      <c r="U136" s="268" t="str">
        <f t="shared" si="152"/>
        <v/>
      </c>
      <c r="V136" s="268" t="str">
        <f t="shared" si="158"/>
        <v/>
      </c>
      <c r="W136" s="268" t="str">
        <f t="shared" si="153"/>
        <v/>
      </c>
      <c r="X136" s="268" t="str">
        <f t="shared" si="154"/>
        <v/>
      </c>
      <c r="Y136" s="268" t="str">
        <f t="shared" si="157"/>
        <v/>
      </c>
      <c r="Z136" s="268" t="str">
        <f t="shared" si="155"/>
        <v/>
      </c>
      <c r="AA136" s="268" t="str">
        <f t="shared" si="112"/>
        <v/>
      </c>
      <c r="AB136" s="268" t="str">
        <f t="shared" si="107"/>
        <v/>
      </c>
      <c r="AC136" s="268" t="str">
        <f t="shared" si="110"/>
        <v/>
      </c>
      <c r="AD136" s="268" t="str">
        <f t="shared" si="113"/>
        <v/>
      </c>
      <c r="AE136" s="268" t="str">
        <f t="shared" si="115"/>
        <v/>
      </c>
      <c r="AF136" s="268" t="str">
        <f t="shared" si="129"/>
        <v/>
      </c>
      <c r="AG136" s="268" t="str">
        <f t="shared" si="133"/>
        <v>1</v>
      </c>
      <c r="AH136" s="268" t="str">
        <f t="shared" si="136"/>
        <v>1</v>
      </c>
      <c r="AI136" s="268" t="str">
        <f t="shared" si="137"/>
        <v>1</v>
      </c>
      <c r="AJ136" s="268" t="str">
        <f t="shared" si="159"/>
        <v>1</v>
      </c>
      <c r="AK136" s="268" t="str">
        <f t="shared" si="130"/>
        <v>1</v>
      </c>
      <c r="AL136" s="268" t="str">
        <f t="shared" si="132"/>
        <v>1</v>
      </c>
      <c r="AM136" s="268" t="str">
        <f t="shared" si="134"/>
        <v>1</v>
      </c>
      <c r="AN136" s="223" t="str">
        <f t="shared" si="160"/>
        <v>1</v>
      </c>
      <c r="AO136" s="223" t="str">
        <f t="shared" si="131"/>
        <v>1</v>
      </c>
      <c r="AP136" s="223" t="str">
        <f t="shared" si="135"/>
        <v>1</v>
      </c>
      <c r="AQ136" s="223" t="str">
        <f t="shared" si="138"/>
        <v>1</v>
      </c>
      <c r="AR136" s="223" t="str">
        <f t="shared" si="161"/>
        <v>1</v>
      </c>
      <c r="AS136" s="223">
        <v>1</v>
      </c>
      <c r="AT136" s="223" t="str">
        <f t="shared" si="123"/>
        <v>1</v>
      </c>
      <c r="AU136" s="223" t="str">
        <f t="shared" si="124"/>
        <v>1</v>
      </c>
      <c r="AV136" s="223" t="str">
        <f t="shared" si="125"/>
        <v>1</v>
      </c>
      <c r="AW136" s="223" t="str">
        <f t="shared" si="162"/>
        <v>1</v>
      </c>
      <c r="AX136" s="223" t="str">
        <f t="shared" si="163"/>
        <v>1</v>
      </c>
      <c r="AY136" s="223" t="str">
        <f t="shared" si="164"/>
        <v>1</v>
      </c>
    </row>
    <row r="137" spans="1:51" ht="22.5" x14ac:dyDescent="0.25">
      <c r="A137" s="214">
        <v>135</v>
      </c>
      <c r="B137" s="250" t="s">
        <v>129</v>
      </c>
      <c r="C137" s="132" t="s">
        <v>1019</v>
      </c>
      <c r="D137" s="156">
        <v>2013</v>
      </c>
      <c r="E137" s="138">
        <v>41410</v>
      </c>
      <c r="F137" s="222">
        <f t="shared" si="139"/>
        <v>5</v>
      </c>
      <c r="G137" s="222" t="str">
        <f t="shared" si="140"/>
        <v>52013</v>
      </c>
      <c r="H137" s="222" t="str">
        <f t="shared" si="141"/>
        <v>mayo</v>
      </c>
      <c r="I137" s="126" t="str">
        <f>VLOOKUP(B137,'Base de Datos'!$E$7:$T$271,14,0)</f>
        <v xml:space="preserve">6 meses  </v>
      </c>
      <c r="J137" s="224" t="e">
        <f t="shared" si="142"/>
        <v>#VALUE!</v>
      </c>
      <c r="K137" s="223" t="e">
        <f t="shared" si="143"/>
        <v>#VALUE!</v>
      </c>
      <c r="L137" s="223" t="e">
        <f t="shared" si="144"/>
        <v>#VALUE!</v>
      </c>
      <c r="M137" s="223" t="str">
        <f t="shared" si="145"/>
        <v xml:space="preserve">6 meses  </v>
      </c>
      <c r="N137" s="223" t="e">
        <f t="shared" ca="1" si="146"/>
        <v>#VALUE!</v>
      </c>
      <c r="O137" s="268" t="e">
        <f t="shared" ca="1" si="147"/>
        <v>#VALUE!</v>
      </c>
      <c r="P137" s="268" t="str">
        <f t="shared" si="156"/>
        <v/>
      </c>
      <c r="Q137" s="268" t="str">
        <f t="shared" si="148"/>
        <v/>
      </c>
      <c r="R137" s="268" t="str">
        <f t="shared" si="149"/>
        <v/>
      </c>
      <c r="S137" s="268" t="str">
        <f t="shared" si="150"/>
        <v/>
      </c>
      <c r="T137" s="268" t="str">
        <f t="shared" si="151"/>
        <v/>
      </c>
      <c r="U137" s="268" t="str">
        <f t="shared" si="152"/>
        <v/>
      </c>
      <c r="V137" s="268" t="str">
        <f t="shared" si="158"/>
        <v/>
      </c>
      <c r="W137" s="268" t="str">
        <f t="shared" si="153"/>
        <v/>
      </c>
      <c r="X137" s="268" t="str">
        <f t="shared" si="154"/>
        <v/>
      </c>
      <c r="Y137" s="268" t="str">
        <f t="shared" si="157"/>
        <v/>
      </c>
      <c r="Z137" s="268" t="str">
        <f t="shared" si="155"/>
        <v/>
      </c>
      <c r="AA137" s="268" t="str">
        <f t="shared" si="112"/>
        <v/>
      </c>
      <c r="AB137" s="268" t="str">
        <f t="shared" si="107"/>
        <v/>
      </c>
      <c r="AC137" s="268" t="str">
        <f t="shared" si="110"/>
        <v/>
      </c>
      <c r="AD137" s="268" t="str">
        <f t="shared" si="113"/>
        <v/>
      </c>
      <c r="AE137" s="268" t="str">
        <f t="shared" si="115"/>
        <v/>
      </c>
      <c r="AF137" s="268" t="str">
        <f t="shared" si="129"/>
        <v>1</v>
      </c>
      <c r="AG137" s="268" t="str">
        <f t="shared" si="133"/>
        <v>1</v>
      </c>
      <c r="AH137" s="268" t="str">
        <f t="shared" si="136"/>
        <v>1</v>
      </c>
      <c r="AI137" s="268" t="str">
        <f t="shared" si="137"/>
        <v>1</v>
      </c>
      <c r="AJ137" s="268" t="str">
        <f t="shared" si="159"/>
        <v>1</v>
      </c>
      <c r="AK137" s="268" t="str">
        <f t="shared" si="130"/>
        <v>1</v>
      </c>
      <c r="AL137" s="268" t="str">
        <f t="shared" si="132"/>
        <v>1</v>
      </c>
      <c r="AM137" s="268" t="str">
        <f t="shared" si="134"/>
        <v>1</v>
      </c>
      <c r="AN137" s="223" t="str">
        <f t="shared" si="160"/>
        <v>1</v>
      </c>
      <c r="AO137" s="223" t="str">
        <f t="shared" si="131"/>
        <v>1</v>
      </c>
      <c r="AP137" s="223" t="str">
        <f t="shared" si="135"/>
        <v>1</v>
      </c>
      <c r="AQ137" s="223" t="str">
        <f t="shared" si="138"/>
        <v>1</v>
      </c>
      <c r="AR137" s="223" t="str">
        <f t="shared" si="161"/>
        <v>1</v>
      </c>
      <c r="AS137" s="223">
        <v>1</v>
      </c>
      <c r="AT137" s="223" t="str">
        <f t="shared" si="123"/>
        <v>1</v>
      </c>
      <c r="AU137" s="223" t="str">
        <f t="shared" si="124"/>
        <v>1</v>
      </c>
      <c r="AV137" s="223" t="str">
        <f t="shared" si="125"/>
        <v>1</v>
      </c>
      <c r="AW137" s="223" t="str">
        <f t="shared" si="162"/>
        <v>1</v>
      </c>
      <c r="AX137" s="223" t="str">
        <f t="shared" si="163"/>
        <v>1</v>
      </c>
      <c r="AY137" s="223" t="str">
        <f t="shared" si="164"/>
        <v>1</v>
      </c>
    </row>
    <row r="138" spans="1:51" ht="22.5" x14ac:dyDescent="0.25">
      <c r="A138" s="214">
        <v>136</v>
      </c>
      <c r="B138" s="250" t="s">
        <v>146</v>
      </c>
      <c r="C138" s="132" t="s">
        <v>1018</v>
      </c>
      <c r="D138" s="156">
        <v>2013</v>
      </c>
      <c r="E138" s="138">
        <v>41446</v>
      </c>
      <c r="F138" s="222">
        <f t="shared" si="139"/>
        <v>6</v>
      </c>
      <c r="G138" s="222" t="str">
        <f t="shared" si="140"/>
        <v>62013</v>
      </c>
      <c r="H138" s="222" t="str">
        <f t="shared" si="141"/>
        <v>junio</v>
      </c>
      <c r="I138" s="126" t="str">
        <f>VLOOKUP(B138,'Base de Datos'!$E$7:$T$271,14,0)</f>
        <v>3 meses</v>
      </c>
      <c r="J138" s="224" t="e">
        <f t="shared" si="142"/>
        <v>#VALUE!</v>
      </c>
      <c r="K138" s="223" t="e">
        <f t="shared" si="143"/>
        <v>#VALUE!</v>
      </c>
      <c r="L138" s="223" t="e">
        <f t="shared" si="144"/>
        <v>#VALUE!</v>
      </c>
      <c r="M138" s="223" t="str">
        <f t="shared" si="145"/>
        <v>3 meses</v>
      </c>
      <c r="N138" s="223" t="e">
        <f t="shared" ca="1" si="146"/>
        <v>#VALUE!</v>
      </c>
      <c r="O138" s="268" t="e">
        <f t="shared" ca="1" si="147"/>
        <v>#VALUE!</v>
      </c>
      <c r="P138" s="268" t="str">
        <f t="shared" si="156"/>
        <v/>
      </c>
      <c r="Q138" s="268" t="str">
        <f t="shared" si="148"/>
        <v/>
      </c>
      <c r="R138" s="268" t="str">
        <f t="shared" si="149"/>
        <v/>
      </c>
      <c r="S138" s="268" t="str">
        <f t="shared" si="150"/>
        <v/>
      </c>
      <c r="T138" s="268" t="str">
        <f t="shared" si="151"/>
        <v/>
      </c>
      <c r="U138" s="268" t="str">
        <f t="shared" si="152"/>
        <v/>
      </c>
      <c r="V138" s="268" t="str">
        <f t="shared" si="158"/>
        <v/>
      </c>
      <c r="W138" s="268" t="str">
        <f t="shared" si="153"/>
        <v/>
      </c>
      <c r="X138" s="268" t="str">
        <f t="shared" si="154"/>
        <v/>
      </c>
      <c r="Y138" s="268" t="str">
        <f t="shared" si="157"/>
        <v/>
      </c>
      <c r="Z138" s="268" t="str">
        <f t="shared" si="155"/>
        <v/>
      </c>
      <c r="AA138" s="268" t="str">
        <f t="shared" si="112"/>
        <v/>
      </c>
      <c r="AB138" s="268" t="str">
        <f t="shared" ref="AB138:AB201" si="165">IF(AND(E138&lt;$AB$2,I138&gt;$AB$2),"1","")</f>
        <v/>
      </c>
      <c r="AC138" s="268" t="str">
        <f t="shared" si="110"/>
        <v/>
      </c>
      <c r="AD138" s="268" t="str">
        <f t="shared" si="113"/>
        <v/>
      </c>
      <c r="AE138" s="268" t="str">
        <f t="shared" si="115"/>
        <v/>
      </c>
      <c r="AF138" s="268" t="str">
        <f t="shared" si="129"/>
        <v/>
      </c>
      <c r="AG138" s="268" t="str">
        <f t="shared" si="133"/>
        <v>1</v>
      </c>
      <c r="AH138" s="268" t="str">
        <f t="shared" si="136"/>
        <v>1</v>
      </c>
      <c r="AI138" s="268" t="str">
        <f t="shared" si="137"/>
        <v>1</v>
      </c>
      <c r="AJ138" s="268" t="str">
        <f t="shared" si="159"/>
        <v>1</v>
      </c>
      <c r="AK138" s="268" t="str">
        <f t="shared" si="130"/>
        <v>1</v>
      </c>
      <c r="AL138" s="268" t="str">
        <f t="shared" si="132"/>
        <v>1</v>
      </c>
      <c r="AM138" s="268" t="str">
        <f t="shared" si="134"/>
        <v>1</v>
      </c>
      <c r="AN138" s="223" t="str">
        <f t="shared" si="160"/>
        <v>1</v>
      </c>
      <c r="AO138" s="223" t="str">
        <f t="shared" si="131"/>
        <v>1</v>
      </c>
      <c r="AP138" s="223" t="str">
        <f t="shared" si="135"/>
        <v>1</v>
      </c>
      <c r="AQ138" s="223" t="str">
        <f t="shared" si="138"/>
        <v>1</v>
      </c>
      <c r="AR138" s="223" t="str">
        <f t="shared" si="161"/>
        <v>1</v>
      </c>
      <c r="AS138" s="223">
        <v>1</v>
      </c>
      <c r="AT138" s="223" t="str">
        <f t="shared" si="123"/>
        <v>1</v>
      </c>
      <c r="AU138" s="223" t="str">
        <f t="shared" si="124"/>
        <v>1</v>
      </c>
      <c r="AV138" s="223" t="str">
        <f t="shared" si="125"/>
        <v>1</v>
      </c>
      <c r="AW138" s="223" t="str">
        <f t="shared" si="162"/>
        <v>1</v>
      </c>
      <c r="AX138" s="223" t="str">
        <f t="shared" si="163"/>
        <v>1</v>
      </c>
      <c r="AY138" s="223" t="str">
        <f t="shared" si="164"/>
        <v>1</v>
      </c>
    </row>
    <row r="139" spans="1:51" x14ac:dyDescent="0.25">
      <c r="A139" s="214">
        <v>137</v>
      </c>
      <c r="B139" s="251" t="s">
        <v>207</v>
      </c>
      <c r="C139" s="132" t="s">
        <v>208</v>
      </c>
      <c r="D139" s="141">
        <v>2013</v>
      </c>
      <c r="E139" s="138">
        <v>41572</v>
      </c>
      <c r="F139" s="222">
        <f t="shared" si="139"/>
        <v>10</v>
      </c>
      <c r="G139" s="222" t="str">
        <f t="shared" si="140"/>
        <v>102013</v>
      </c>
      <c r="H139" s="222" t="str">
        <f t="shared" si="141"/>
        <v>octubre</v>
      </c>
      <c r="I139" s="126" t="str">
        <f>VLOOKUP(B139,'Base de Datos'!$E$7:$T$271,14,0)</f>
        <v/>
      </c>
      <c r="J139" s="224" t="e">
        <f t="shared" si="142"/>
        <v>#VALUE!</v>
      </c>
      <c r="K139" s="223" t="e">
        <f t="shared" si="143"/>
        <v>#VALUE!</v>
      </c>
      <c r="L139" s="223" t="e">
        <f t="shared" si="144"/>
        <v>#VALUE!</v>
      </c>
      <c r="M139" s="223" t="str">
        <f t="shared" si="145"/>
        <v/>
      </c>
      <c r="N139" s="223" t="e">
        <f t="shared" ca="1" si="146"/>
        <v>#VALUE!</v>
      </c>
      <c r="O139" s="268" t="e">
        <f t="shared" ca="1" si="147"/>
        <v>#VALUE!</v>
      </c>
      <c r="P139" s="268" t="str">
        <f t="shared" si="156"/>
        <v/>
      </c>
      <c r="Q139" s="268" t="str">
        <f t="shared" si="148"/>
        <v/>
      </c>
      <c r="R139" s="268" t="str">
        <f t="shared" si="149"/>
        <v/>
      </c>
      <c r="S139" s="268" t="str">
        <f t="shared" si="150"/>
        <v/>
      </c>
      <c r="T139" s="268" t="str">
        <f t="shared" si="151"/>
        <v/>
      </c>
      <c r="U139" s="268" t="str">
        <f t="shared" si="152"/>
        <v/>
      </c>
      <c r="V139" s="268" t="str">
        <f t="shared" si="158"/>
        <v/>
      </c>
      <c r="W139" s="268" t="str">
        <f t="shared" si="153"/>
        <v/>
      </c>
      <c r="X139" s="268" t="str">
        <f t="shared" si="154"/>
        <v/>
      </c>
      <c r="Y139" s="268" t="str">
        <f t="shared" si="157"/>
        <v/>
      </c>
      <c r="Z139" s="268" t="str">
        <f t="shared" si="155"/>
        <v/>
      </c>
      <c r="AA139" s="268" t="str">
        <f t="shared" si="112"/>
        <v/>
      </c>
      <c r="AB139" s="268" t="str">
        <f t="shared" si="165"/>
        <v/>
      </c>
      <c r="AC139" s="268" t="str">
        <f t="shared" si="110"/>
        <v/>
      </c>
      <c r="AD139" s="268" t="str">
        <f t="shared" si="113"/>
        <v/>
      </c>
      <c r="AE139" s="268" t="str">
        <f t="shared" si="115"/>
        <v/>
      </c>
      <c r="AF139" s="268" t="str">
        <f t="shared" si="129"/>
        <v/>
      </c>
      <c r="AG139" s="268" t="str">
        <f t="shared" si="133"/>
        <v/>
      </c>
      <c r="AH139" s="268" t="str">
        <f t="shared" si="136"/>
        <v/>
      </c>
      <c r="AI139" s="268" t="str">
        <f t="shared" si="137"/>
        <v/>
      </c>
      <c r="AJ139" s="268" t="str">
        <f t="shared" si="159"/>
        <v/>
      </c>
      <c r="AK139" s="268" t="str">
        <f t="shared" si="130"/>
        <v>1</v>
      </c>
      <c r="AL139" s="268" t="str">
        <f t="shared" si="132"/>
        <v>1</v>
      </c>
      <c r="AM139" s="268" t="str">
        <f t="shared" si="134"/>
        <v>1</v>
      </c>
      <c r="AN139" s="223" t="str">
        <f t="shared" si="160"/>
        <v>1</v>
      </c>
      <c r="AO139" s="223" t="str">
        <f t="shared" si="131"/>
        <v>1</v>
      </c>
      <c r="AP139" s="223" t="str">
        <f t="shared" si="135"/>
        <v>1</v>
      </c>
      <c r="AQ139" s="223" t="str">
        <f t="shared" si="138"/>
        <v>1</v>
      </c>
      <c r="AR139" s="223" t="str">
        <f t="shared" si="161"/>
        <v>1</v>
      </c>
      <c r="AS139" s="223">
        <v>1</v>
      </c>
      <c r="AT139" s="223" t="str">
        <f t="shared" si="123"/>
        <v>1</v>
      </c>
      <c r="AU139" s="223" t="str">
        <f t="shared" si="124"/>
        <v>1</v>
      </c>
      <c r="AV139" s="223" t="str">
        <f t="shared" si="125"/>
        <v>1</v>
      </c>
      <c r="AW139" s="223" t="str">
        <f t="shared" si="162"/>
        <v>1</v>
      </c>
      <c r="AX139" s="223" t="str">
        <f t="shared" si="163"/>
        <v>1</v>
      </c>
      <c r="AY139" s="223" t="str">
        <f t="shared" si="164"/>
        <v>1</v>
      </c>
    </row>
    <row r="140" spans="1:51" x14ac:dyDescent="0.25">
      <c r="A140" s="214">
        <v>138</v>
      </c>
      <c r="B140" s="251" t="s">
        <v>280</v>
      </c>
      <c r="C140" s="132" t="s">
        <v>281</v>
      </c>
      <c r="D140" s="157">
        <v>2014</v>
      </c>
      <c r="E140" s="138">
        <v>41757</v>
      </c>
      <c r="F140" s="222">
        <f t="shared" si="139"/>
        <v>4</v>
      </c>
      <c r="G140" s="222" t="str">
        <f t="shared" si="140"/>
        <v>42014</v>
      </c>
      <c r="H140" s="222" t="str">
        <f t="shared" si="141"/>
        <v>abril</v>
      </c>
      <c r="I140" s="126" t="str">
        <f>VLOOKUP(B140,'Base de Datos'!$E$7:$T$271,14,0)</f>
        <v/>
      </c>
      <c r="J140" s="224" t="e">
        <f t="shared" si="142"/>
        <v>#VALUE!</v>
      </c>
      <c r="K140" s="223" t="e">
        <f t="shared" si="143"/>
        <v>#VALUE!</v>
      </c>
      <c r="L140" s="223" t="e">
        <f t="shared" si="144"/>
        <v>#VALUE!</v>
      </c>
      <c r="M140" s="223" t="str">
        <f t="shared" si="145"/>
        <v/>
      </c>
      <c r="N140" s="223" t="e">
        <f t="shared" ca="1" si="146"/>
        <v>#VALUE!</v>
      </c>
      <c r="O140" s="268" t="e">
        <f t="shared" ca="1" si="147"/>
        <v>#VALUE!</v>
      </c>
      <c r="P140" s="268" t="str">
        <f t="shared" si="156"/>
        <v/>
      </c>
      <c r="Q140" s="268" t="str">
        <f t="shared" si="148"/>
        <v/>
      </c>
      <c r="R140" s="268" t="str">
        <f t="shared" si="149"/>
        <v/>
      </c>
      <c r="S140" s="268" t="str">
        <f t="shared" si="150"/>
        <v/>
      </c>
      <c r="T140" s="268" t="str">
        <f t="shared" si="151"/>
        <v/>
      </c>
      <c r="U140" s="268" t="str">
        <f t="shared" si="152"/>
        <v/>
      </c>
      <c r="V140" s="268" t="str">
        <f t="shared" si="158"/>
        <v/>
      </c>
      <c r="W140" s="268" t="str">
        <f t="shared" si="153"/>
        <v/>
      </c>
      <c r="X140" s="268" t="str">
        <f t="shared" si="154"/>
        <v/>
      </c>
      <c r="Y140" s="268" t="str">
        <f t="shared" si="157"/>
        <v/>
      </c>
      <c r="Z140" s="268" t="str">
        <f t="shared" si="155"/>
        <v/>
      </c>
      <c r="AA140" s="268" t="str">
        <f t="shared" si="112"/>
        <v/>
      </c>
      <c r="AB140" s="268" t="str">
        <f t="shared" si="165"/>
        <v/>
      </c>
      <c r="AC140" s="268" t="str">
        <f t="shared" si="110"/>
        <v/>
      </c>
      <c r="AD140" s="268" t="str">
        <f t="shared" si="113"/>
        <v/>
      </c>
      <c r="AE140" s="268" t="str">
        <f t="shared" si="115"/>
        <v/>
      </c>
      <c r="AF140" s="268" t="str">
        <f t="shared" si="129"/>
        <v/>
      </c>
      <c r="AG140" s="268" t="str">
        <f t="shared" si="133"/>
        <v/>
      </c>
      <c r="AH140" s="268" t="str">
        <f t="shared" si="136"/>
        <v/>
      </c>
      <c r="AI140" s="268" t="str">
        <f t="shared" si="137"/>
        <v/>
      </c>
      <c r="AJ140" s="268" t="str">
        <f t="shared" si="159"/>
        <v/>
      </c>
      <c r="AK140" s="268" t="str">
        <f t="shared" si="130"/>
        <v/>
      </c>
      <c r="AL140" s="268" t="str">
        <f t="shared" si="132"/>
        <v/>
      </c>
      <c r="AM140" s="268" t="str">
        <f t="shared" si="134"/>
        <v/>
      </c>
      <c r="AN140" s="223" t="str">
        <f t="shared" si="160"/>
        <v/>
      </c>
      <c r="AO140" s="223" t="str">
        <f t="shared" si="131"/>
        <v/>
      </c>
      <c r="AP140" s="223" t="str">
        <f t="shared" si="135"/>
        <v/>
      </c>
      <c r="AQ140" s="223" t="str">
        <f t="shared" si="138"/>
        <v>1</v>
      </c>
      <c r="AR140" s="223" t="str">
        <f t="shared" si="161"/>
        <v>1</v>
      </c>
      <c r="AS140" s="223">
        <v>1</v>
      </c>
      <c r="AT140" s="223" t="str">
        <f t="shared" si="123"/>
        <v>1</v>
      </c>
      <c r="AU140" s="223" t="str">
        <f t="shared" si="124"/>
        <v>1</v>
      </c>
      <c r="AV140" s="223" t="str">
        <f t="shared" si="125"/>
        <v>1</v>
      </c>
      <c r="AW140" s="223" t="str">
        <f t="shared" si="162"/>
        <v>1</v>
      </c>
      <c r="AX140" s="223" t="str">
        <f t="shared" si="163"/>
        <v>1</v>
      </c>
      <c r="AY140" s="223" t="str">
        <f t="shared" si="164"/>
        <v>1</v>
      </c>
    </row>
    <row r="141" spans="1:51" ht="22.5" x14ac:dyDescent="0.25">
      <c r="A141" s="214">
        <v>139</v>
      </c>
      <c r="B141" s="250" t="s">
        <v>96</v>
      </c>
      <c r="C141" s="132" t="s">
        <v>3</v>
      </c>
      <c r="D141" s="156">
        <v>2013</v>
      </c>
      <c r="E141" s="138">
        <v>41426</v>
      </c>
      <c r="F141" s="222">
        <f t="shared" si="139"/>
        <v>6</v>
      </c>
      <c r="G141" s="222" t="str">
        <f t="shared" si="140"/>
        <v>62013</v>
      </c>
      <c r="H141" s="222" t="str">
        <f t="shared" si="141"/>
        <v>junio</v>
      </c>
      <c r="I141" s="126" t="str">
        <f>VLOOKUP(B141,'Base de Datos'!$E$7:$T$271,14,0)</f>
        <v>5 meses</v>
      </c>
      <c r="J141" s="224" t="e">
        <f t="shared" si="142"/>
        <v>#VALUE!</v>
      </c>
      <c r="K141" s="223" t="e">
        <f t="shared" si="143"/>
        <v>#VALUE!</v>
      </c>
      <c r="L141" s="223" t="e">
        <f t="shared" si="144"/>
        <v>#VALUE!</v>
      </c>
      <c r="M141" s="223" t="str">
        <f t="shared" si="145"/>
        <v>5 meses</v>
      </c>
      <c r="N141" s="223" t="e">
        <f t="shared" ca="1" si="146"/>
        <v>#VALUE!</v>
      </c>
      <c r="O141" s="268" t="e">
        <f t="shared" ca="1" si="147"/>
        <v>#VALUE!</v>
      </c>
      <c r="P141" s="268" t="str">
        <f t="shared" si="156"/>
        <v/>
      </c>
      <c r="Q141" s="268" t="str">
        <f t="shared" si="148"/>
        <v/>
      </c>
      <c r="R141" s="268" t="str">
        <f t="shared" si="149"/>
        <v/>
      </c>
      <c r="S141" s="268" t="str">
        <f t="shared" si="150"/>
        <v/>
      </c>
      <c r="T141" s="268" t="str">
        <f t="shared" si="151"/>
        <v/>
      </c>
      <c r="U141" s="268" t="str">
        <f t="shared" si="152"/>
        <v/>
      </c>
      <c r="V141" s="268" t="str">
        <f t="shared" si="158"/>
        <v/>
      </c>
      <c r="W141" s="268" t="str">
        <f t="shared" si="153"/>
        <v/>
      </c>
      <c r="X141" s="268" t="str">
        <f t="shared" si="154"/>
        <v/>
      </c>
      <c r="Y141" s="268" t="str">
        <f t="shared" si="157"/>
        <v/>
      </c>
      <c r="Z141" s="268" t="str">
        <f t="shared" si="155"/>
        <v/>
      </c>
      <c r="AA141" s="268" t="str">
        <f t="shared" si="112"/>
        <v/>
      </c>
      <c r="AB141" s="268" t="str">
        <f t="shared" si="165"/>
        <v/>
      </c>
      <c r="AC141" s="268" t="str">
        <f t="shared" si="110"/>
        <v/>
      </c>
      <c r="AD141" s="268" t="str">
        <f t="shared" si="113"/>
        <v/>
      </c>
      <c r="AE141" s="268" t="str">
        <f t="shared" si="115"/>
        <v/>
      </c>
      <c r="AF141" s="268" t="str">
        <f t="shared" si="129"/>
        <v/>
      </c>
      <c r="AG141" s="268" t="str">
        <f t="shared" si="133"/>
        <v>1</v>
      </c>
      <c r="AH141" s="268" t="str">
        <f t="shared" si="136"/>
        <v>1</v>
      </c>
      <c r="AI141" s="268" t="str">
        <f t="shared" si="137"/>
        <v>1</v>
      </c>
      <c r="AJ141" s="268" t="str">
        <f t="shared" si="159"/>
        <v>1</v>
      </c>
      <c r="AK141" s="268" t="str">
        <f t="shared" si="130"/>
        <v>1</v>
      </c>
      <c r="AL141" s="268" t="str">
        <f t="shared" si="132"/>
        <v>1</v>
      </c>
      <c r="AM141" s="268" t="str">
        <f t="shared" si="134"/>
        <v>1</v>
      </c>
      <c r="AN141" s="223" t="str">
        <f t="shared" si="160"/>
        <v>1</v>
      </c>
      <c r="AO141" s="223" t="str">
        <f t="shared" si="131"/>
        <v>1</v>
      </c>
      <c r="AP141" s="223" t="str">
        <f t="shared" si="135"/>
        <v>1</v>
      </c>
      <c r="AQ141" s="223" t="str">
        <f t="shared" si="138"/>
        <v>1</v>
      </c>
      <c r="AR141" s="223" t="str">
        <f t="shared" si="161"/>
        <v>1</v>
      </c>
      <c r="AS141" s="223">
        <v>1</v>
      </c>
      <c r="AT141" s="223" t="str">
        <f t="shared" si="123"/>
        <v>1</v>
      </c>
      <c r="AU141" s="223" t="str">
        <f t="shared" si="124"/>
        <v>1</v>
      </c>
      <c r="AV141" s="223" t="str">
        <f t="shared" si="125"/>
        <v>1</v>
      </c>
      <c r="AW141" s="223" t="str">
        <f t="shared" si="162"/>
        <v>1</v>
      </c>
      <c r="AX141" s="223" t="str">
        <f t="shared" si="163"/>
        <v>1</v>
      </c>
      <c r="AY141" s="223" t="str">
        <f t="shared" si="164"/>
        <v>1</v>
      </c>
    </row>
    <row r="142" spans="1:51" ht="22.5" x14ac:dyDescent="0.25">
      <c r="A142" s="214">
        <v>140</v>
      </c>
      <c r="B142" s="250" t="s">
        <v>135</v>
      </c>
      <c r="C142" s="132" t="s">
        <v>38</v>
      </c>
      <c r="D142" s="156">
        <v>2013</v>
      </c>
      <c r="E142" s="138">
        <v>41426</v>
      </c>
      <c r="F142" s="222">
        <f t="shared" si="139"/>
        <v>6</v>
      </c>
      <c r="G142" s="222" t="str">
        <f t="shared" si="140"/>
        <v>62013</v>
      </c>
      <c r="H142" s="222" t="str">
        <f t="shared" si="141"/>
        <v>junio</v>
      </c>
      <c r="I142" s="126" t="str">
        <f>VLOOKUP(B142,'Base de Datos'!$E$7:$T$271,14,0)</f>
        <v>3 meses</v>
      </c>
      <c r="J142" s="224" t="e">
        <f t="shared" si="142"/>
        <v>#VALUE!</v>
      </c>
      <c r="K142" s="223" t="e">
        <f t="shared" si="143"/>
        <v>#VALUE!</v>
      </c>
      <c r="L142" s="223" t="e">
        <f t="shared" si="144"/>
        <v>#VALUE!</v>
      </c>
      <c r="M142" s="223" t="str">
        <f t="shared" si="145"/>
        <v>3 meses</v>
      </c>
      <c r="N142" s="223" t="e">
        <f t="shared" ca="1" si="146"/>
        <v>#VALUE!</v>
      </c>
      <c r="O142" s="268" t="e">
        <f t="shared" ca="1" si="147"/>
        <v>#VALUE!</v>
      </c>
      <c r="P142" s="268" t="str">
        <f t="shared" si="156"/>
        <v/>
      </c>
      <c r="Q142" s="268" t="str">
        <f t="shared" si="148"/>
        <v/>
      </c>
      <c r="R142" s="268" t="str">
        <f t="shared" si="149"/>
        <v/>
      </c>
      <c r="S142" s="268" t="str">
        <f t="shared" si="150"/>
        <v/>
      </c>
      <c r="T142" s="268" t="str">
        <f t="shared" si="151"/>
        <v/>
      </c>
      <c r="U142" s="268" t="str">
        <f t="shared" si="152"/>
        <v/>
      </c>
      <c r="V142" s="268" t="str">
        <f t="shared" si="158"/>
        <v/>
      </c>
      <c r="W142" s="268" t="str">
        <f t="shared" si="153"/>
        <v/>
      </c>
      <c r="X142" s="268" t="str">
        <f t="shared" si="154"/>
        <v/>
      </c>
      <c r="Y142" s="268" t="str">
        <f t="shared" si="157"/>
        <v/>
      </c>
      <c r="Z142" s="268" t="str">
        <f t="shared" si="155"/>
        <v/>
      </c>
      <c r="AA142" s="268" t="str">
        <f t="shared" si="112"/>
        <v/>
      </c>
      <c r="AB142" s="268" t="str">
        <f t="shared" si="165"/>
        <v/>
      </c>
      <c r="AC142" s="268" t="str">
        <f t="shared" si="110"/>
        <v/>
      </c>
      <c r="AD142" s="268" t="str">
        <f t="shared" si="113"/>
        <v/>
      </c>
      <c r="AE142" s="268" t="str">
        <f t="shared" si="115"/>
        <v/>
      </c>
      <c r="AF142" s="268" t="str">
        <f t="shared" si="129"/>
        <v/>
      </c>
      <c r="AG142" s="268" t="str">
        <f t="shared" si="133"/>
        <v>1</v>
      </c>
      <c r="AH142" s="268" t="str">
        <f t="shared" si="136"/>
        <v>1</v>
      </c>
      <c r="AI142" s="268" t="str">
        <f t="shared" si="137"/>
        <v>1</v>
      </c>
      <c r="AJ142" s="268" t="str">
        <f t="shared" si="159"/>
        <v>1</v>
      </c>
      <c r="AK142" s="268" t="str">
        <f t="shared" si="130"/>
        <v>1</v>
      </c>
      <c r="AL142" s="268" t="str">
        <f t="shared" si="132"/>
        <v>1</v>
      </c>
      <c r="AM142" s="268" t="str">
        <f t="shared" si="134"/>
        <v>1</v>
      </c>
      <c r="AN142" s="223" t="str">
        <f t="shared" si="160"/>
        <v>1</v>
      </c>
      <c r="AO142" s="223" t="str">
        <f t="shared" si="131"/>
        <v>1</v>
      </c>
      <c r="AP142" s="223" t="str">
        <f t="shared" si="135"/>
        <v>1</v>
      </c>
      <c r="AQ142" s="223" t="str">
        <f t="shared" si="138"/>
        <v>1</v>
      </c>
      <c r="AR142" s="223" t="str">
        <f t="shared" si="161"/>
        <v>1</v>
      </c>
      <c r="AS142" s="223">
        <v>1</v>
      </c>
      <c r="AT142" s="223" t="str">
        <f t="shared" si="123"/>
        <v>1</v>
      </c>
      <c r="AU142" s="223" t="str">
        <f t="shared" si="124"/>
        <v>1</v>
      </c>
      <c r="AV142" s="223" t="str">
        <f t="shared" si="125"/>
        <v>1</v>
      </c>
      <c r="AW142" s="223" t="str">
        <f t="shared" si="162"/>
        <v>1</v>
      </c>
      <c r="AX142" s="223" t="str">
        <f t="shared" si="163"/>
        <v>1</v>
      </c>
      <c r="AY142" s="223" t="str">
        <f t="shared" si="164"/>
        <v>1</v>
      </c>
    </row>
    <row r="143" spans="1:51" ht="22.5" x14ac:dyDescent="0.25">
      <c r="A143" s="214">
        <v>141</v>
      </c>
      <c r="B143" s="252" t="s">
        <v>164</v>
      </c>
      <c r="C143" s="132" t="s">
        <v>165</v>
      </c>
      <c r="D143" s="156">
        <v>2013</v>
      </c>
      <c r="E143" s="138">
        <v>41464</v>
      </c>
      <c r="F143" s="222">
        <f t="shared" si="139"/>
        <v>7</v>
      </c>
      <c r="G143" s="222" t="str">
        <f t="shared" si="140"/>
        <v>72013</v>
      </c>
      <c r="H143" s="222" t="str">
        <f t="shared" si="141"/>
        <v>julio</v>
      </c>
      <c r="I143" s="126" t="str">
        <f>VLOOKUP(B143,'Base de Datos'!$E$7:$T$271,14,0)</f>
        <v>3 meses y 23 días</v>
      </c>
      <c r="J143" s="224" t="e">
        <f t="shared" si="142"/>
        <v>#VALUE!</v>
      </c>
      <c r="K143" s="223" t="e">
        <f t="shared" si="143"/>
        <v>#VALUE!</v>
      </c>
      <c r="L143" s="223" t="e">
        <f t="shared" si="144"/>
        <v>#VALUE!</v>
      </c>
      <c r="M143" s="223" t="str">
        <f t="shared" si="145"/>
        <v>3 meses y 23 días</v>
      </c>
      <c r="N143" s="223" t="e">
        <f t="shared" ca="1" si="146"/>
        <v>#VALUE!</v>
      </c>
      <c r="O143" s="268" t="e">
        <f t="shared" ca="1" si="147"/>
        <v>#VALUE!</v>
      </c>
      <c r="P143" s="268" t="str">
        <f t="shared" si="156"/>
        <v/>
      </c>
      <c r="Q143" s="268" t="str">
        <f t="shared" si="148"/>
        <v/>
      </c>
      <c r="R143" s="268" t="str">
        <f t="shared" si="149"/>
        <v/>
      </c>
      <c r="S143" s="268" t="str">
        <f t="shared" si="150"/>
        <v/>
      </c>
      <c r="T143" s="268" t="str">
        <f t="shared" si="151"/>
        <v/>
      </c>
      <c r="U143" s="268" t="str">
        <f t="shared" si="152"/>
        <v/>
      </c>
      <c r="V143" s="268" t="str">
        <f t="shared" si="158"/>
        <v/>
      </c>
      <c r="W143" s="268" t="str">
        <f t="shared" si="153"/>
        <v/>
      </c>
      <c r="X143" s="268" t="str">
        <f t="shared" si="154"/>
        <v/>
      </c>
      <c r="Y143" s="268" t="str">
        <f t="shared" si="157"/>
        <v/>
      </c>
      <c r="Z143" s="268" t="str">
        <f t="shared" si="155"/>
        <v/>
      </c>
      <c r="AA143" s="268" t="str">
        <f t="shared" si="112"/>
        <v/>
      </c>
      <c r="AB143" s="268" t="str">
        <f t="shared" si="165"/>
        <v/>
      </c>
      <c r="AC143" s="268" t="str">
        <f t="shared" si="110"/>
        <v/>
      </c>
      <c r="AD143" s="268" t="str">
        <f t="shared" si="113"/>
        <v/>
      </c>
      <c r="AE143" s="268" t="str">
        <f t="shared" si="115"/>
        <v/>
      </c>
      <c r="AF143" s="268" t="str">
        <f t="shared" si="129"/>
        <v/>
      </c>
      <c r="AG143" s="268" t="str">
        <f t="shared" si="133"/>
        <v/>
      </c>
      <c r="AH143" s="268" t="str">
        <f t="shared" si="136"/>
        <v>1</v>
      </c>
      <c r="AI143" s="268" t="str">
        <f t="shared" si="137"/>
        <v>1</v>
      </c>
      <c r="AJ143" s="268" t="str">
        <f t="shared" si="159"/>
        <v>1</v>
      </c>
      <c r="AK143" s="268" t="str">
        <f t="shared" ref="AK143:AK174" si="166">IF(AND(E143&lt;$AK$2,I143&gt;$AK$2),"1","")</f>
        <v>1</v>
      </c>
      <c r="AL143" s="268" t="str">
        <f t="shared" si="132"/>
        <v>1</v>
      </c>
      <c r="AM143" s="268" t="str">
        <f t="shared" si="134"/>
        <v>1</v>
      </c>
      <c r="AN143" s="223" t="str">
        <f t="shared" si="160"/>
        <v>1</v>
      </c>
      <c r="AO143" s="223" t="str">
        <f t="shared" ref="AO143:AO174" si="167">IF(AND(E143&lt;$AO$2,I143&gt;$AO$2),"1","")</f>
        <v>1</v>
      </c>
      <c r="AP143" s="223" t="str">
        <f t="shared" si="135"/>
        <v>1</v>
      </c>
      <c r="AQ143" s="223" t="str">
        <f t="shared" si="138"/>
        <v>1</v>
      </c>
      <c r="AR143" s="223" t="str">
        <f t="shared" si="161"/>
        <v>1</v>
      </c>
      <c r="AS143" s="223">
        <v>1</v>
      </c>
      <c r="AT143" s="223" t="str">
        <f t="shared" si="123"/>
        <v>1</v>
      </c>
      <c r="AU143" s="223" t="str">
        <f t="shared" si="124"/>
        <v>1</v>
      </c>
      <c r="AV143" s="223" t="str">
        <f t="shared" si="125"/>
        <v>1</v>
      </c>
      <c r="AW143" s="223" t="str">
        <f t="shared" si="162"/>
        <v>1</v>
      </c>
      <c r="AX143" s="223" t="str">
        <f t="shared" si="163"/>
        <v>1</v>
      </c>
      <c r="AY143" s="223" t="str">
        <f t="shared" si="164"/>
        <v>1</v>
      </c>
    </row>
    <row r="144" spans="1:51" ht="22.5" x14ac:dyDescent="0.25">
      <c r="A144" s="214">
        <v>142</v>
      </c>
      <c r="B144" s="250" t="s">
        <v>133</v>
      </c>
      <c r="C144" s="132" t="s">
        <v>134</v>
      </c>
      <c r="D144" s="156">
        <v>2013</v>
      </c>
      <c r="E144" s="138">
        <v>41459</v>
      </c>
      <c r="F144" s="222">
        <f t="shared" si="139"/>
        <v>7</v>
      </c>
      <c r="G144" s="222" t="str">
        <f t="shared" si="140"/>
        <v>72013</v>
      </c>
      <c r="H144" s="222" t="str">
        <f t="shared" si="141"/>
        <v>julio</v>
      </c>
      <c r="I144" s="126" t="str">
        <f>VLOOKUP(B144,'Base de Datos'!$E$7:$T$271,14,0)</f>
        <v>4 meses</v>
      </c>
      <c r="J144" s="224" t="e">
        <f t="shared" si="142"/>
        <v>#VALUE!</v>
      </c>
      <c r="K144" s="223" t="e">
        <f t="shared" si="143"/>
        <v>#VALUE!</v>
      </c>
      <c r="L144" s="223" t="e">
        <f t="shared" si="144"/>
        <v>#VALUE!</v>
      </c>
      <c r="M144" s="223" t="str">
        <f t="shared" si="145"/>
        <v>4 meses</v>
      </c>
      <c r="N144" s="223" t="e">
        <f t="shared" ca="1" si="146"/>
        <v>#VALUE!</v>
      </c>
      <c r="O144" s="268" t="e">
        <f t="shared" ca="1" si="147"/>
        <v>#VALUE!</v>
      </c>
      <c r="P144" s="268" t="str">
        <f t="shared" si="156"/>
        <v/>
      </c>
      <c r="Q144" s="268" t="str">
        <f t="shared" si="148"/>
        <v/>
      </c>
      <c r="R144" s="268" t="str">
        <f t="shared" si="149"/>
        <v/>
      </c>
      <c r="S144" s="268" t="str">
        <f t="shared" si="150"/>
        <v/>
      </c>
      <c r="T144" s="268" t="str">
        <f t="shared" si="151"/>
        <v/>
      </c>
      <c r="U144" s="268" t="str">
        <f t="shared" si="152"/>
        <v/>
      </c>
      <c r="V144" s="268" t="str">
        <f t="shared" si="158"/>
        <v/>
      </c>
      <c r="W144" s="268" t="str">
        <f t="shared" si="153"/>
        <v/>
      </c>
      <c r="X144" s="268" t="str">
        <f t="shared" si="154"/>
        <v/>
      </c>
      <c r="Y144" s="268" t="str">
        <f t="shared" si="157"/>
        <v/>
      </c>
      <c r="Z144" s="268" t="str">
        <f t="shared" si="155"/>
        <v/>
      </c>
      <c r="AA144" s="268" t="str">
        <f t="shared" si="112"/>
        <v/>
      </c>
      <c r="AB144" s="268" t="str">
        <f t="shared" si="165"/>
        <v/>
      </c>
      <c r="AC144" s="268" t="str">
        <f t="shared" si="110"/>
        <v/>
      </c>
      <c r="AD144" s="268" t="str">
        <f t="shared" si="113"/>
        <v/>
      </c>
      <c r="AE144" s="268" t="str">
        <f t="shared" si="115"/>
        <v/>
      </c>
      <c r="AF144" s="268" t="str">
        <f t="shared" si="129"/>
        <v/>
      </c>
      <c r="AG144" s="268" t="str">
        <f t="shared" si="133"/>
        <v/>
      </c>
      <c r="AH144" s="268" t="str">
        <f t="shared" si="136"/>
        <v>1</v>
      </c>
      <c r="AI144" s="268" t="str">
        <f t="shared" si="137"/>
        <v>1</v>
      </c>
      <c r="AJ144" s="268" t="str">
        <f t="shared" si="159"/>
        <v>1</v>
      </c>
      <c r="AK144" s="268" t="str">
        <f t="shared" si="166"/>
        <v>1</v>
      </c>
      <c r="AL144" s="268" t="str">
        <f t="shared" ref="AL144:AL175" si="168">IF(AND(E144&lt;$AL$2,I144&gt;$AL$2),"1","")</f>
        <v>1</v>
      </c>
      <c r="AM144" s="268" t="str">
        <f t="shared" si="134"/>
        <v>1</v>
      </c>
      <c r="AN144" s="223" t="str">
        <f t="shared" si="160"/>
        <v>1</v>
      </c>
      <c r="AO144" s="223" t="str">
        <f t="shared" si="167"/>
        <v>1</v>
      </c>
      <c r="AP144" s="223" t="str">
        <f t="shared" si="135"/>
        <v>1</v>
      </c>
      <c r="AQ144" s="223" t="str">
        <f t="shared" si="138"/>
        <v>1</v>
      </c>
      <c r="AR144" s="223" t="str">
        <f t="shared" si="161"/>
        <v>1</v>
      </c>
      <c r="AS144" s="223" t="str">
        <f t="shared" ref="AS144:AS175" si="169">IF(AND(E144&lt;$AS$2,I144&gt;$AS$2),"1","")</f>
        <v>1</v>
      </c>
      <c r="AT144" s="223">
        <v>1</v>
      </c>
      <c r="AU144" s="223" t="str">
        <f t="shared" si="124"/>
        <v>1</v>
      </c>
      <c r="AV144" s="223" t="str">
        <f t="shared" si="125"/>
        <v>1</v>
      </c>
      <c r="AW144" s="223" t="str">
        <f t="shared" si="162"/>
        <v>1</v>
      </c>
      <c r="AX144" s="223" t="str">
        <f t="shared" si="163"/>
        <v>1</v>
      </c>
      <c r="AY144" s="223" t="str">
        <f t="shared" si="164"/>
        <v>1</v>
      </c>
    </row>
    <row r="145" spans="1:51" ht="22.5" x14ac:dyDescent="0.25">
      <c r="A145" s="214">
        <v>143</v>
      </c>
      <c r="B145" s="250" t="s">
        <v>143</v>
      </c>
      <c r="C145" s="132" t="s">
        <v>144</v>
      </c>
      <c r="D145" s="156">
        <v>2013</v>
      </c>
      <c r="E145" s="136">
        <v>41463</v>
      </c>
      <c r="F145" s="222">
        <f t="shared" si="139"/>
        <v>7</v>
      </c>
      <c r="G145" s="222" t="str">
        <f t="shared" si="140"/>
        <v>72013</v>
      </c>
      <c r="H145" s="222" t="str">
        <f t="shared" si="141"/>
        <v>julio</v>
      </c>
      <c r="I145" s="126" t="str">
        <f>VLOOKUP(B145,'Base de Datos'!$E$7:$T$271,14,0)</f>
        <v>2 meses y 22 días</v>
      </c>
      <c r="J145" s="224" t="e">
        <f t="shared" si="142"/>
        <v>#VALUE!</v>
      </c>
      <c r="K145" s="223" t="e">
        <f t="shared" si="143"/>
        <v>#VALUE!</v>
      </c>
      <c r="L145" s="223" t="e">
        <f t="shared" si="144"/>
        <v>#VALUE!</v>
      </c>
      <c r="M145" s="223" t="str">
        <f t="shared" si="145"/>
        <v>2 meses y 22 días</v>
      </c>
      <c r="N145" s="223" t="e">
        <f t="shared" ca="1" si="146"/>
        <v>#VALUE!</v>
      </c>
      <c r="O145" s="268" t="e">
        <f t="shared" ca="1" si="147"/>
        <v>#VALUE!</v>
      </c>
      <c r="P145" s="268" t="str">
        <f t="shared" si="156"/>
        <v/>
      </c>
      <c r="Q145" s="268" t="str">
        <f t="shared" si="148"/>
        <v/>
      </c>
      <c r="R145" s="268" t="str">
        <f t="shared" si="149"/>
        <v/>
      </c>
      <c r="S145" s="268" t="str">
        <f t="shared" si="150"/>
        <v/>
      </c>
      <c r="T145" s="268" t="str">
        <f t="shared" si="151"/>
        <v/>
      </c>
      <c r="U145" s="268" t="str">
        <f t="shared" si="152"/>
        <v/>
      </c>
      <c r="V145" s="268" t="str">
        <f t="shared" si="158"/>
        <v/>
      </c>
      <c r="W145" s="268" t="str">
        <f t="shared" si="153"/>
        <v/>
      </c>
      <c r="X145" s="268" t="str">
        <f t="shared" si="154"/>
        <v/>
      </c>
      <c r="Y145" s="268" t="str">
        <f t="shared" si="157"/>
        <v/>
      </c>
      <c r="Z145" s="268" t="str">
        <f t="shared" si="155"/>
        <v/>
      </c>
      <c r="AA145" s="268" t="str">
        <f t="shared" si="112"/>
        <v/>
      </c>
      <c r="AB145" s="268" t="str">
        <f t="shared" si="165"/>
        <v/>
      </c>
      <c r="AC145" s="268" t="str">
        <f t="shared" si="110"/>
        <v/>
      </c>
      <c r="AD145" s="268" t="str">
        <f t="shared" si="113"/>
        <v/>
      </c>
      <c r="AE145" s="268" t="str">
        <f t="shared" si="115"/>
        <v/>
      </c>
      <c r="AF145" s="268" t="str">
        <f t="shared" si="129"/>
        <v/>
      </c>
      <c r="AG145" s="268" t="str">
        <f t="shared" si="133"/>
        <v/>
      </c>
      <c r="AH145" s="268" t="str">
        <f t="shared" si="136"/>
        <v>1</v>
      </c>
      <c r="AI145" s="268" t="str">
        <f t="shared" si="137"/>
        <v>1</v>
      </c>
      <c r="AJ145" s="268" t="str">
        <f t="shared" si="159"/>
        <v>1</v>
      </c>
      <c r="AK145" s="268" t="str">
        <f t="shared" si="166"/>
        <v>1</v>
      </c>
      <c r="AL145" s="268" t="str">
        <f t="shared" si="168"/>
        <v>1</v>
      </c>
      <c r="AM145" s="268" t="str">
        <f t="shared" si="134"/>
        <v>1</v>
      </c>
      <c r="AN145" s="223" t="str">
        <f t="shared" si="160"/>
        <v>1</v>
      </c>
      <c r="AO145" s="223" t="str">
        <f t="shared" si="167"/>
        <v>1</v>
      </c>
      <c r="AP145" s="223" t="str">
        <f t="shared" si="135"/>
        <v>1</v>
      </c>
      <c r="AQ145" s="223" t="str">
        <f t="shared" si="138"/>
        <v>1</v>
      </c>
      <c r="AR145" s="223" t="str">
        <f t="shared" si="161"/>
        <v>1</v>
      </c>
      <c r="AS145" s="223" t="str">
        <f t="shared" si="169"/>
        <v>1</v>
      </c>
      <c r="AT145" s="223">
        <v>1</v>
      </c>
      <c r="AU145" s="223" t="str">
        <f t="shared" si="124"/>
        <v>1</v>
      </c>
      <c r="AV145" s="223" t="str">
        <f t="shared" si="125"/>
        <v>1</v>
      </c>
      <c r="AW145" s="223" t="str">
        <f t="shared" si="162"/>
        <v>1</v>
      </c>
      <c r="AX145" s="223" t="str">
        <f t="shared" si="163"/>
        <v>1</v>
      </c>
      <c r="AY145" s="223" t="str">
        <f t="shared" si="164"/>
        <v>1</v>
      </c>
    </row>
    <row r="146" spans="1:51" ht="22.5" x14ac:dyDescent="0.25">
      <c r="A146" s="214">
        <v>144</v>
      </c>
      <c r="B146" s="250" t="s">
        <v>147</v>
      </c>
      <c r="C146" s="132" t="s">
        <v>148</v>
      </c>
      <c r="D146" s="156">
        <v>2013</v>
      </c>
      <c r="E146" s="138">
        <v>41464</v>
      </c>
      <c r="F146" s="222">
        <f t="shared" si="139"/>
        <v>7</v>
      </c>
      <c r="G146" s="222" t="str">
        <f t="shared" si="140"/>
        <v>72013</v>
      </c>
      <c r="H146" s="222" t="str">
        <f t="shared" si="141"/>
        <v>julio</v>
      </c>
      <c r="I146" s="126" t="str">
        <f>VLOOKUP(B146,'Base de Datos'!$E$7:$T$271,14,0)</f>
        <v>3 meses y 21 días</v>
      </c>
      <c r="J146" s="224" t="e">
        <f t="shared" si="142"/>
        <v>#VALUE!</v>
      </c>
      <c r="K146" s="223" t="e">
        <f t="shared" si="143"/>
        <v>#VALUE!</v>
      </c>
      <c r="L146" s="223" t="e">
        <f t="shared" si="144"/>
        <v>#VALUE!</v>
      </c>
      <c r="M146" s="223" t="str">
        <f t="shared" si="145"/>
        <v>3 meses y 21 días</v>
      </c>
      <c r="N146" s="223" t="e">
        <f t="shared" ca="1" si="146"/>
        <v>#VALUE!</v>
      </c>
      <c r="O146" s="268" t="e">
        <f t="shared" ca="1" si="147"/>
        <v>#VALUE!</v>
      </c>
      <c r="P146" s="268" t="str">
        <f t="shared" si="156"/>
        <v/>
      </c>
      <c r="Q146" s="268" t="str">
        <f t="shared" si="148"/>
        <v/>
      </c>
      <c r="R146" s="268" t="str">
        <f t="shared" si="149"/>
        <v/>
      </c>
      <c r="S146" s="268" t="str">
        <f t="shared" si="150"/>
        <v/>
      </c>
      <c r="T146" s="268" t="str">
        <f t="shared" si="151"/>
        <v/>
      </c>
      <c r="U146" s="268" t="str">
        <f t="shared" si="152"/>
        <v/>
      </c>
      <c r="V146" s="268" t="str">
        <f t="shared" si="158"/>
        <v/>
      </c>
      <c r="W146" s="268" t="str">
        <f t="shared" si="153"/>
        <v/>
      </c>
      <c r="X146" s="268" t="str">
        <f t="shared" si="154"/>
        <v/>
      </c>
      <c r="Y146" s="268" t="str">
        <f t="shared" si="157"/>
        <v/>
      </c>
      <c r="Z146" s="268" t="str">
        <f t="shared" si="155"/>
        <v/>
      </c>
      <c r="AA146" s="268" t="str">
        <f t="shared" si="112"/>
        <v/>
      </c>
      <c r="AB146" s="268" t="str">
        <f t="shared" si="165"/>
        <v/>
      </c>
      <c r="AC146" s="268" t="str">
        <f t="shared" si="110"/>
        <v/>
      </c>
      <c r="AD146" s="268" t="str">
        <f t="shared" si="113"/>
        <v/>
      </c>
      <c r="AE146" s="268" t="str">
        <f t="shared" si="115"/>
        <v/>
      </c>
      <c r="AF146" s="268" t="str">
        <f t="shared" si="129"/>
        <v/>
      </c>
      <c r="AG146" s="268" t="str">
        <f t="shared" si="133"/>
        <v/>
      </c>
      <c r="AH146" s="268" t="str">
        <f t="shared" si="136"/>
        <v>1</v>
      </c>
      <c r="AI146" s="268" t="str">
        <f t="shared" si="137"/>
        <v>1</v>
      </c>
      <c r="AJ146" s="268" t="str">
        <f t="shared" si="159"/>
        <v>1</v>
      </c>
      <c r="AK146" s="268" t="str">
        <f t="shared" si="166"/>
        <v>1</v>
      </c>
      <c r="AL146" s="268" t="str">
        <f t="shared" si="168"/>
        <v>1</v>
      </c>
      <c r="AM146" s="268" t="str">
        <f t="shared" si="134"/>
        <v>1</v>
      </c>
      <c r="AN146" s="223" t="str">
        <f t="shared" si="160"/>
        <v>1</v>
      </c>
      <c r="AO146" s="223" t="str">
        <f t="shared" si="167"/>
        <v>1</v>
      </c>
      <c r="AP146" s="223" t="str">
        <f t="shared" si="135"/>
        <v>1</v>
      </c>
      <c r="AQ146" s="223" t="str">
        <f t="shared" si="138"/>
        <v>1</v>
      </c>
      <c r="AR146" s="223" t="str">
        <f t="shared" si="161"/>
        <v>1</v>
      </c>
      <c r="AS146" s="223" t="str">
        <f t="shared" si="169"/>
        <v>1</v>
      </c>
      <c r="AT146" s="223">
        <v>1</v>
      </c>
      <c r="AU146" s="223" t="str">
        <f t="shared" si="124"/>
        <v>1</v>
      </c>
      <c r="AV146" s="223" t="str">
        <f t="shared" si="125"/>
        <v>1</v>
      </c>
      <c r="AW146" s="223" t="str">
        <f t="shared" si="162"/>
        <v>1</v>
      </c>
      <c r="AX146" s="223" t="str">
        <f t="shared" si="163"/>
        <v>1</v>
      </c>
      <c r="AY146" s="223" t="str">
        <f t="shared" si="164"/>
        <v>1</v>
      </c>
    </row>
    <row r="147" spans="1:51" x14ac:dyDescent="0.25">
      <c r="A147" s="214">
        <v>145</v>
      </c>
      <c r="B147" s="251" t="s">
        <v>299</v>
      </c>
      <c r="C147" s="132" t="s">
        <v>1049</v>
      </c>
      <c r="D147" s="157">
        <v>2014</v>
      </c>
      <c r="E147" s="138">
        <v>41838</v>
      </c>
      <c r="F147" s="222">
        <f t="shared" si="139"/>
        <v>7</v>
      </c>
      <c r="G147" s="222" t="str">
        <f t="shared" si="140"/>
        <v>72014</v>
      </c>
      <c r="H147" s="222" t="str">
        <f t="shared" si="141"/>
        <v>julio</v>
      </c>
      <c r="I147" s="126" t="str">
        <f>VLOOKUP(B147,'Base de Datos'!$E$7:$T$271,14,0)</f>
        <v/>
      </c>
      <c r="J147" s="224" t="e">
        <f t="shared" si="142"/>
        <v>#VALUE!</v>
      </c>
      <c r="K147" s="223" t="e">
        <f t="shared" si="143"/>
        <v>#VALUE!</v>
      </c>
      <c r="L147" s="223" t="e">
        <f t="shared" si="144"/>
        <v>#VALUE!</v>
      </c>
      <c r="M147" s="223" t="str">
        <f t="shared" si="145"/>
        <v/>
      </c>
      <c r="N147" s="223" t="e">
        <f t="shared" ca="1" si="146"/>
        <v>#VALUE!</v>
      </c>
      <c r="O147" s="268" t="e">
        <f t="shared" ca="1" si="147"/>
        <v>#VALUE!</v>
      </c>
      <c r="P147" s="268" t="str">
        <f t="shared" si="156"/>
        <v/>
      </c>
      <c r="Q147" s="268" t="str">
        <f t="shared" si="148"/>
        <v/>
      </c>
      <c r="R147" s="268" t="str">
        <f t="shared" si="149"/>
        <v/>
      </c>
      <c r="S147" s="268" t="str">
        <f t="shared" si="150"/>
        <v/>
      </c>
      <c r="T147" s="268" t="str">
        <f t="shared" si="151"/>
        <v/>
      </c>
      <c r="U147" s="268" t="str">
        <f t="shared" si="152"/>
        <v/>
      </c>
      <c r="V147" s="268" t="str">
        <f t="shared" si="158"/>
        <v/>
      </c>
      <c r="W147" s="268" t="str">
        <f t="shared" si="153"/>
        <v/>
      </c>
      <c r="X147" s="268" t="str">
        <f t="shared" si="154"/>
        <v/>
      </c>
      <c r="Y147" s="268" t="str">
        <f t="shared" si="157"/>
        <v/>
      </c>
      <c r="Z147" s="268" t="str">
        <f t="shared" si="155"/>
        <v/>
      </c>
      <c r="AA147" s="268" t="str">
        <f t="shared" si="112"/>
        <v/>
      </c>
      <c r="AB147" s="268" t="str">
        <f t="shared" si="165"/>
        <v/>
      </c>
      <c r="AC147" s="268" t="str">
        <f t="shared" si="110"/>
        <v/>
      </c>
      <c r="AD147" s="268" t="str">
        <f t="shared" si="113"/>
        <v/>
      </c>
      <c r="AE147" s="268" t="str">
        <f t="shared" si="115"/>
        <v/>
      </c>
      <c r="AF147" s="268" t="str">
        <f t="shared" si="129"/>
        <v/>
      </c>
      <c r="AG147" s="268" t="str">
        <f t="shared" si="133"/>
        <v/>
      </c>
      <c r="AH147" s="268" t="str">
        <f t="shared" si="136"/>
        <v/>
      </c>
      <c r="AI147" s="268" t="str">
        <f t="shared" si="137"/>
        <v/>
      </c>
      <c r="AJ147" s="268" t="str">
        <f t="shared" si="159"/>
        <v/>
      </c>
      <c r="AK147" s="268" t="str">
        <f t="shared" si="166"/>
        <v/>
      </c>
      <c r="AL147" s="268" t="str">
        <f t="shared" si="168"/>
        <v/>
      </c>
      <c r="AM147" s="268" t="str">
        <f t="shared" si="134"/>
        <v/>
      </c>
      <c r="AN147" s="223" t="str">
        <f t="shared" si="160"/>
        <v/>
      </c>
      <c r="AO147" s="223" t="str">
        <f t="shared" si="167"/>
        <v/>
      </c>
      <c r="AP147" s="223" t="str">
        <f t="shared" si="135"/>
        <v/>
      </c>
      <c r="AQ147" s="223" t="str">
        <f t="shared" si="138"/>
        <v/>
      </c>
      <c r="AR147" s="223" t="str">
        <f t="shared" si="161"/>
        <v/>
      </c>
      <c r="AS147" s="223" t="str">
        <f t="shared" si="169"/>
        <v/>
      </c>
      <c r="AT147" s="223" t="str">
        <f t="shared" ref="AT147:AT178" si="170">IF(AND(E147&lt;$AT$2,I147&gt;$AT$2),"1","")</f>
        <v>1</v>
      </c>
      <c r="AU147" s="223">
        <v>1</v>
      </c>
      <c r="AV147" s="223" t="str">
        <f t="shared" si="125"/>
        <v>1</v>
      </c>
      <c r="AW147" s="223" t="str">
        <f t="shared" si="162"/>
        <v>1</v>
      </c>
      <c r="AX147" s="223" t="str">
        <f t="shared" si="163"/>
        <v>1</v>
      </c>
      <c r="AY147" s="223" t="str">
        <f t="shared" si="164"/>
        <v>1</v>
      </c>
    </row>
    <row r="148" spans="1:51" x14ac:dyDescent="0.25">
      <c r="A148" s="214">
        <v>146</v>
      </c>
      <c r="B148" s="251" t="s">
        <v>289</v>
      </c>
      <c r="C148" s="132" t="s">
        <v>290</v>
      </c>
      <c r="D148" s="157">
        <v>2014</v>
      </c>
      <c r="E148" s="138">
        <v>41794</v>
      </c>
      <c r="F148" s="222">
        <f t="shared" si="139"/>
        <v>6</v>
      </c>
      <c r="G148" s="222" t="str">
        <f t="shared" si="140"/>
        <v>62014</v>
      </c>
      <c r="H148" s="222" t="str">
        <f t="shared" si="141"/>
        <v>junio</v>
      </c>
      <c r="I148" s="126" t="str">
        <f>VLOOKUP(B148,'Base de Datos'!$E$7:$T$271,14,0)</f>
        <v/>
      </c>
      <c r="J148" s="224" t="e">
        <f t="shared" si="142"/>
        <v>#VALUE!</v>
      </c>
      <c r="K148" s="223" t="e">
        <f t="shared" si="143"/>
        <v>#VALUE!</v>
      </c>
      <c r="L148" s="223" t="e">
        <f t="shared" si="144"/>
        <v>#VALUE!</v>
      </c>
      <c r="M148" s="223" t="str">
        <f t="shared" si="145"/>
        <v/>
      </c>
      <c r="N148" s="223" t="e">
        <f t="shared" ca="1" si="146"/>
        <v>#VALUE!</v>
      </c>
      <c r="O148" s="268" t="e">
        <f t="shared" ca="1" si="147"/>
        <v>#VALUE!</v>
      </c>
      <c r="P148" s="268" t="str">
        <f t="shared" si="156"/>
        <v/>
      </c>
      <c r="Q148" s="268" t="str">
        <f t="shared" si="148"/>
        <v/>
      </c>
      <c r="R148" s="268" t="str">
        <f t="shared" si="149"/>
        <v/>
      </c>
      <c r="S148" s="268" t="str">
        <f t="shared" si="150"/>
        <v/>
      </c>
      <c r="T148" s="268" t="str">
        <f t="shared" si="151"/>
        <v/>
      </c>
      <c r="U148" s="268" t="str">
        <f t="shared" si="152"/>
        <v/>
      </c>
      <c r="V148" s="268" t="str">
        <f t="shared" si="158"/>
        <v/>
      </c>
      <c r="W148" s="268" t="str">
        <f t="shared" si="153"/>
        <v/>
      </c>
      <c r="X148" s="268" t="str">
        <f t="shared" si="154"/>
        <v/>
      </c>
      <c r="Y148" s="268" t="str">
        <f t="shared" si="157"/>
        <v/>
      </c>
      <c r="Z148" s="268" t="str">
        <f t="shared" si="155"/>
        <v/>
      </c>
      <c r="AA148" s="268" t="str">
        <f t="shared" si="112"/>
        <v/>
      </c>
      <c r="AB148" s="268" t="str">
        <f t="shared" si="165"/>
        <v/>
      </c>
      <c r="AC148" s="268" t="str">
        <f t="shared" ref="AC148:AC211" si="171">IF(AND(E148&lt;$AC$2,I148&gt;$AC$2),"1","")</f>
        <v/>
      </c>
      <c r="AD148" s="268" t="str">
        <f t="shared" si="113"/>
        <v/>
      </c>
      <c r="AE148" s="268" t="str">
        <f t="shared" si="115"/>
        <v/>
      </c>
      <c r="AF148" s="268" t="str">
        <f t="shared" si="129"/>
        <v/>
      </c>
      <c r="AG148" s="268" t="str">
        <f t="shared" si="133"/>
        <v/>
      </c>
      <c r="AH148" s="268" t="str">
        <f t="shared" si="136"/>
        <v/>
      </c>
      <c r="AI148" s="268" t="str">
        <f t="shared" si="137"/>
        <v/>
      </c>
      <c r="AJ148" s="268" t="str">
        <f t="shared" si="159"/>
        <v/>
      </c>
      <c r="AK148" s="268" t="str">
        <f t="shared" si="166"/>
        <v/>
      </c>
      <c r="AL148" s="268" t="str">
        <f t="shared" si="168"/>
        <v/>
      </c>
      <c r="AM148" s="268" t="str">
        <f t="shared" si="134"/>
        <v/>
      </c>
      <c r="AN148" s="223" t="str">
        <f t="shared" si="160"/>
        <v/>
      </c>
      <c r="AO148" s="223" t="str">
        <f t="shared" si="167"/>
        <v/>
      </c>
      <c r="AP148" s="223" t="str">
        <f t="shared" si="135"/>
        <v/>
      </c>
      <c r="AQ148" s="223" t="str">
        <f t="shared" si="138"/>
        <v/>
      </c>
      <c r="AR148" s="223" t="str">
        <f t="shared" si="161"/>
        <v/>
      </c>
      <c r="AS148" s="223" t="str">
        <f t="shared" si="169"/>
        <v>1</v>
      </c>
      <c r="AT148" s="223" t="str">
        <f t="shared" si="170"/>
        <v>1</v>
      </c>
      <c r="AU148" s="223">
        <v>1</v>
      </c>
      <c r="AV148" s="223" t="str">
        <f t="shared" si="125"/>
        <v>1</v>
      </c>
      <c r="AW148" s="223" t="str">
        <f t="shared" si="162"/>
        <v>1</v>
      </c>
      <c r="AX148" s="223" t="str">
        <f t="shared" si="163"/>
        <v>1</v>
      </c>
      <c r="AY148" s="223" t="str">
        <f t="shared" si="164"/>
        <v>1</v>
      </c>
    </row>
    <row r="149" spans="1:51" ht="22.5" x14ac:dyDescent="0.25">
      <c r="A149" s="214">
        <v>147</v>
      </c>
      <c r="B149" s="252" t="s">
        <v>168</v>
      </c>
      <c r="C149" s="132" t="s">
        <v>169</v>
      </c>
      <c r="D149" s="156">
        <v>2013</v>
      </c>
      <c r="E149" s="138">
        <v>41494</v>
      </c>
      <c r="F149" s="222">
        <f t="shared" si="139"/>
        <v>8</v>
      </c>
      <c r="G149" s="222" t="str">
        <f t="shared" si="140"/>
        <v>82013</v>
      </c>
      <c r="H149" s="222" t="str">
        <f t="shared" si="141"/>
        <v>agosto</v>
      </c>
      <c r="I149" s="126" t="str">
        <f>VLOOKUP(B149,'Base de Datos'!$E$7:$T$271,14,0)</f>
        <v>3 meses</v>
      </c>
      <c r="J149" s="224" t="e">
        <f t="shared" si="142"/>
        <v>#VALUE!</v>
      </c>
      <c r="K149" s="223" t="e">
        <f t="shared" si="143"/>
        <v>#VALUE!</v>
      </c>
      <c r="L149" s="223" t="e">
        <f t="shared" si="144"/>
        <v>#VALUE!</v>
      </c>
      <c r="M149" s="223" t="str">
        <f t="shared" si="145"/>
        <v>3 meses</v>
      </c>
      <c r="N149" s="223" t="e">
        <f t="shared" ca="1" si="146"/>
        <v>#VALUE!</v>
      </c>
      <c r="O149" s="268" t="e">
        <f t="shared" ca="1" si="147"/>
        <v>#VALUE!</v>
      </c>
      <c r="P149" s="268" t="str">
        <f t="shared" si="156"/>
        <v/>
      </c>
      <c r="Q149" s="268" t="str">
        <f t="shared" si="148"/>
        <v/>
      </c>
      <c r="R149" s="268" t="str">
        <f t="shared" si="149"/>
        <v/>
      </c>
      <c r="S149" s="268" t="str">
        <f t="shared" si="150"/>
        <v/>
      </c>
      <c r="T149" s="268" t="str">
        <f t="shared" si="151"/>
        <v/>
      </c>
      <c r="U149" s="268" t="str">
        <f t="shared" si="152"/>
        <v/>
      </c>
      <c r="V149" s="268" t="str">
        <f t="shared" si="158"/>
        <v/>
      </c>
      <c r="W149" s="268" t="str">
        <f t="shared" si="153"/>
        <v/>
      </c>
      <c r="X149" s="268" t="str">
        <f t="shared" si="154"/>
        <v/>
      </c>
      <c r="Y149" s="268" t="str">
        <f t="shared" si="157"/>
        <v/>
      </c>
      <c r="Z149" s="268" t="str">
        <f t="shared" si="155"/>
        <v/>
      </c>
      <c r="AA149" s="268" t="str">
        <f t="shared" si="112"/>
        <v/>
      </c>
      <c r="AB149" s="268" t="str">
        <f t="shared" si="165"/>
        <v/>
      </c>
      <c r="AC149" s="268" t="str">
        <f t="shared" si="171"/>
        <v/>
      </c>
      <c r="AD149" s="268" t="str">
        <f t="shared" si="113"/>
        <v/>
      </c>
      <c r="AE149" s="268" t="str">
        <f t="shared" si="115"/>
        <v/>
      </c>
      <c r="AF149" s="268" t="str">
        <f t="shared" si="129"/>
        <v/>
      </c>
      <c r="AG149" s="268" t="str">
        <f t="shared" si="133"/>
        <v/>
      </c>
      <c r="AH149" s="268" t="str">
        <f t="shared" si="136"/>
        <v/>
      </c>
      <c r="AI149" s="268" t="str">
        <f t="shared" si="137"/>
        <v>1</v>
      </c>
      <c r="AJ149" s="268" t="str">
        <f t="shared" si="159"/>
        <v>1</v>
      </c>
      <c r="AK149" s="268" t="str">
        <f t="shared" si="166"/>
        <v>1</v>
      </c>
      <c r="AL149" s="268" t="str">
        <f t="shared" si="168"/>
        <v>1</v>
      </c>
      <c r="AM149" s="268" t="str">
        <f t="shared" ref="AM149:AM180" si="172">IF(AND(E149&lt;$AM$2,I149&gt;$AM$2),"1","")</f>
        <v>1</v>
      </c>
      <c r="AN149" s="223" t="str">
        <f t="shared" si="160"/>
        <v>1</v>
      </c>
      <c r="AO149" s="223" t="str">
        <f t="shared" si="167"/>
        <v>1</v>
      </c>
      <c r="AP149" s="223" t="str">
        <f t="shared" si="135"/>
        <v>1</v>
      </c>
      <c r="AQ149" s="223" t="str">
        <f t="shared" si="138"/>
        <v>1</v>
      </c>
      <c r="AR149" s="223" t="str">
        <f t="shared" si="161"/>
        <v>1</v>
      </c>
      <c r="AS149" s="223" t="str">
        <f t="shared" si="169"/>
        <v>1</v>
      </c>
      <c r="AT149" s="223" t="str">
        <f t="shared" si="170"/>
        <v>1</v>
      </c>
      <c r="AU149" s="223">
        <v>1</v>
      </c>
      <c r="AV149" s="223" t="str">
        <f t="shared" si="125"/>
        <v>1</v>
      </c>
      <c r="AW149" s="223" t="str">
        <f t="shared" si="162"/>
        <v>1</v>
      </c>
      <c r="AX149" s="223" t="str">
        <f t="shared" si="163"/>
        <v>1</v>
      </c>
      <c r="AY149" s="223" t="str">
        <f t="shared" si="164"/>
        <v>1</v>
      </c>
    </row>
    <row r="150" spans="1:51" ht="22.5" x14ac:dyDescent="0.25">
      <c r="A150" s="214">
        <v>148</v>
      </c>
      <c r="B150" s="251" t="s">
        <v>172</v>
      </c>
      <c r="C150" s="132" t="s">
        <v>152</v>
      </c>
      <c r="D150" s="157">
        <v>2013</v>
      </c>
      <c r="E150" s="138">
        <v>41500</v>
      </c>
      <c r="F150" s="222">
        <f t="shared" si="139"/>
        <v>8</v>
      </c>
      <c r="G150" s="222" t="str">
        <f t="shared" si="140"/>
        <v>82013</v>
      </c>
      <c r="H150" s="222" t="str">
        <f t="shared" si="141"/>
        <v>agosto</v>
      </c>
      <c r="I150" s="126" t="str">
        <f>VLOOKUP(B150,'Base de Datos'!$E$7:$T$271,14,0)</f>
        <v>2 meses</v>
      </c>
      <c r="J150" s="224" t="e">
        <f t="shared" si="142"/>
        <v>#VALUE!</v>
      </c>
      <c r="K150" s="223" t="e">
        <f t="shared" si="143"/>
        <v>#VALUE!</v>
      </c>
      <c r="L150" s="223" t="e">
        <f t="shared" si="144"/>
        <v>#VALUE!</v>
      </c>
      <c r="M150" s="223" t="str">
        <f t="shared" si="145"/>
        <v>2 meses</v>
      </c>
      <c r="N150" s="223" t="e">
        <f t="shared" ca="1" si="146"/>
        <v>#VALUE!</v>
      </c>
      <c r="O150" s="268" t="e">
        <f t="shared" ca="1" si="147"/>
        <v>#VALUE!</v>
      </c>
      <c r="P150" s="268" t="str">
        <f t="shared" si="156"/>
        <v/>
      </c>
      <c r="Q150" s="268" t="str">
        <f t="shared" si="148"/>
        <v/>
      </c>
      <c r="R150" s="268" t="str">
        <f t="shared" si="149"/>
        <v/>
      </c>
      <c r="S150" s="268" t="str">
        <f t="shared" si="150"/>
        <v/>
      </c>
      <c r="T150" s="268" t="str">
        <f t="shared" si="151"/>
        <v/>
      </c>
      <c r="U150" s="268" t="str">
        <f t="shared" si="152"/>
        <v/>
      </c>
      <c r="V150" s="268" t="str">
        <f t="shared" si="158"/>
        <v/>
      </c>
      <c r="W150" s="268" t="str">
        <f t="shared" si="153"/>
        <v/>
      </c>
      <c r="X150" s="268" t="str">
        <f t="shared" si="154"/>
        <v/>
      </c>
      <c r="Y150" s="268" t="str">
        <f t="shared" si="157"/>
        <v/>
      </c>
      <c r="Z150" s="268" t="str">
        <f t="shared" si="155"/>
        <v/>
      </c>
      <c r="AA150" s="268" t="str">
        <f t="shared" ref="AA150:AA213" si="173">IF(AND(E150&lt;$AA$2,I150&gt;$AA$2),"1","")</f>
        <v/>
      </c>
      <c r="AB150" s="268" t="str">
        <f t="shared" si="165"/>
        <v/>
      </c>
      <c r="AC150" s="268" t="str">
        <f t="shared" si="171"/>
        <v/>
      </c>
      <c r="AD150" s="268" t="str">
        <f t="shared" si="113"/>
        <v/>
      </c>
      <c r="AE150" s="268" t="str">
        <f t="shared" si="115"/>
        <v/>
      </c>
      <c r="AF150" s="268" t="str">
        <f t="shared" si="129"/>
        <v/>
      </c>
      <c r="AG150" s="268" t="str">
        <f t="shared" si="133"/>
        <v/>
      </c>
      <c r="AH150" s="268" t="str">
        <f t="shared" si="136"/>
        <v/>
      </c>
      <c r="AI150" s="268" t="str">
        <f t="shared" si="137"/>
        <v>1</v>
      </c>
      <c r="AJ150" s="268" t="str">
        <f t="shared" si="159"/>
        <v>1</v>
      </c>
      <c r="AK150" s="268" t="str">
        <f t="shared" si="166"/>
        <v>1</v>
      </c>
      <c r="AL150" s="268" t="str">
        <f t="shared" si="168"/>
        <v>1</v>
      </c>
      <c r="AM150" s="268" t="str">
        <f t="shared" si="172"/>
        <v>1</v>
      </c>
      <c r="AN150" s="223" t="str">
        <f t="shared" si="160"/>
        <v>1</v>
      </c>
      <c r="AO150" s="223" t="str">
        <f t="shared" si="167"/>
        <v>1</v>
      </c>
      <c r="AP150" s="223" t="str">
        <f t="shared" si="135"/>
        <v>1</v>
      </c>
      <c r="AQ150" s="223" t="str">
        <f t="shared" si="138"/>
        <v>1</v>
      </c>
      <c r="AR150" s="223" t="str">
        <f t="shared" si="161"/>
        <v>1</v>
      </c>
      <c r="AS150" s="223" t="str">
        <f t="shared" si="169"/>
        <v>1</v>
      </c>
      <c r="AT150" s="223" t="str">
        <f t="shared" si="170"/>
        <v>1</v>
      </c>
      <c r="AU150" s="223">
        <v>1</v>
      </c>
      <c r="AV150" s="223" t="str">
        <f t="shared" si="125"/>
        <v>1</v>
      </c>
      <c r="AW150" s="223" t="str">
        <f t="shared" si="162"/>
        <v>1</v>
      </c>
      <c r="AX150" s="223" t="str">
        <f t="shared" si="163"/>
        <v>1</v>
      </c>
      <c r="AY150" s="223" t="str">
        <f t="shared" si="164"/>
        <v>1</v>
      </c>
    </row>
    <row r="151" spans="1:51" x14ac:dyDescent="0.25">
      <c r="A151" s="214">
        <v>149</v>
      </c>
      <c r="B151" s="251" t="s">
        <v>296</v>
      </c>
      <c r="C151" s="132" t="s">
        <v>1039</v>
      </c>
      <c r="D151" s="157">
        <v>2014</v>
      </c>
      <c r="E151" s="138">
        <v>41807</v>
      </c>
      <c r="F151" s="222">
        <f t="shared" si="139"/>
        <v>6</v>
      </c>
      <c r="G151" s="222" t="str">
        <f t="shared" si="140"/>
        <v>62014</v>
      </c>
      <c r="H151" s="222" t="str">
        <f t="shared" si="141"/>
        <v>junio</v>
      </c>
      <c r="I151" s="126" t="str">
        <f>VLOOKUP(B151,'Base de Datos'!$E$7:$T$271,14,0)</f>
        <v/>
      </c>
      <c r="J151" s="224" t="e">
        <f t="shared" si="142"/>
        <v>#VALUE!</v>
      </c>
      <c r="K151" s="223" t="e">
        <f t="shared" si="143"/>
        <v>#VALUE!</v>
      </c>
      <c r="L151" s="223" t="e">
        <f t="shared" si="144"/>
        <v>#VALUE!</v>
      </c>
      <c r="M151" s="223" t="str">
        <f t="shared" si="145"/>
        <v/>
      </c>
      <c r="N151" s="223" t="e">
        <f t="shared" ca="1" si="146"/>
        <v>#VALUE!</v>
      </c>
      <c r="O151" s="268" t="e">
        <f t="shared" ca="1" si="147"/>
        <v>#VALUE!</v>
      </c>
      <c r="P151" s="268" t="str">
        <f t="shared" si="156"/>
        <v/>
      </c>
      <c r="Q151" s="268" t="str">
        <f t="shared" si="148"/>
        <v/>
      </c>
      <c r="R151" s="268" t="str">
        <f t="shared" si="149"/>
        <v/>
      </c>
      <c r="S151" s="268" t="str">
        <f t="shared" si="150"/>
        <v/>
      </c>
      <c r="T151" s="268" t="str">
        <f t="shared" si="151"/>
        <v/>
      </c>
      <c r="U151" s="268" t="str">
        <f t="shared" si="152"/>
        <v/>
      </c>
      <c r="V151" s="268" t="str">
        <f t="shared" si="158"/>
        <v/>
      </c>
      <c r="W151" s="268" t="str">
        <f t="shared" si="153"/>
        <v/>
      </c>
      <c r="X151" s="268" t="str">
        <f t="shared" si="154"/>
        <v/>
      </c>
      <c r="Y151" s="268" t="str">
        <f t="shared" si="157"/>
        <v/>
      </c>
      <c r="Z151" s="268" t="str">
        <f t="shared" si="155"/>
        <v/>
      </c>
      <c r="AA151" s="268" t="str">
        <f t="shared" si="173"/>
        <v/>
      </c>
      <c r="AB151" s="268" t="str">
        <f t="shared" si="165"/>
        <v/>
      </c>
      <c r="AC151" s="268" t="str">
        <f t="shared" si="171"/>
        <v/>
      </c>
      <c r="AD151" s="268" t="str">
        <f t="shared" si="113"/>
        <v/>
      </c>
      <c r="AE151" s="268" t="str">
        <f t="shared" si="115"/>
        <v/>
      </c>
      <c r="AF151" s="268" t="str">
        <f t="shared" si="129"/>
        <v/>
      </c>
      <c r="AG151" s="268" t="str">
        <f t="shared" si="133"/>
        <v/>
      </c>
      <c r="AH151" s="268" t="str">
        <f t="shared" si="136"/>
        <v/>
      </c>
      <c r="AI151" s="268" t="str">
        <f t="shared" si="137"/>
        <v/>
      </c>
      <c r="AJ151" s="268" t="str">
        <f t="shared" si="159"/>
        <v/>
      </c>
      <c r="AK151" s="268" t="str">
        <f t="shared" si="166"/>
        <v/>
      </c>
      <c r="AL151" s="268" t="str">
        <f t="shared" si="168"/>
        <v/>
      </c>
      <c r="AM151" s="268" t="str">
        <f t="shared" si="172"/>
        <v/>
      </c>
      <c r="AN151" s="223" t="str">
        <f t="shared" si="160"/>
        <v/>
      </c>
      <c r="AO151" s="223" t="str">
        <f t="shared" si="167"/>
        <v/>
      </c>
      <c r="AP151" s="223" t="str">
        <f t="shared" si="135"/>
        <v/>
      </c>
      <c r="AQ151" s="223" t="str">
        <f t="shared" si="138"/>
        <v/>
      </c>
      <c r="AR151" s="223" t="str">
        <f t="shared" si="161"/>
        <v/>
      </c>
      <c r="AS151" s="223" t="str">
        <f t="shared" si="169"/>
        <v>1</v>
      </c>
      <c r="AT151" s="223" t="str">
        <f t="shared" si="170"/>
        <v>1</v>
      </c>
      <c r="AU151" s="223">
        <v>1</v>
      </c>
      <c r="AV151" s="223">
        <v>1</v>
      </c>
      <c r="AW151" s="223" t="str">
        <f t="shared" si="162"/>
        <v>1</v>
      </c>
      <c r="AX151" s="223" t="str">
        <f t="shared" si="163"/>
        <v>1</v>
      </c>
      <c r="AY151" s="223" t="str">
        <f t="shared" si="164"/>
        <v>1</v>
      </c>
    </row>
    <row r="152" spans="1:51" x14ac:dyDescent="0.25">
      <c r="A152" s="214">
        <v>150</v>
      </c>
      <c r="B152" s="251" t="s">
        <v>305</v>
      </c>
      <c r="C152" s="132" t="s">
        <v>306</v>
      </c>
      <c r="D152" s="157">
        <v>2014</v>
      </c>
      <c r="E152" s="138">
        <v>41841</v>
      </c>
      <c r="F152" s="222">
        <f t="shared" si="139"/>
        <v>7</v>
      </c>
      <c r="G152" s="222" t="str">
        <f t="shared" si="140"/>
        <v>72014</v>
      </c>
      <c r="H152" s="222" t="str">
        <f t="shared" si="141"/>
        <v>julio</v>
      </c>
      <c r="I152" s="126" t="str">
        <f>VLOOKUP(B152,'Base de Datos'!$E$7:$T$271,14,0)</f>
        <v/>
      </c>
      <c r="J152" s="224" t="e">
        <f t="shared" si="142"/>
        <v>#VALUE!</v>
      </c>
      <c r="K152" s="223" t="e">
        <f t="shared" si="143"/>
        <v>#VALUE!</v>
      </c>
      <c r="L152" s="223" t="e">
        <f t="shared" si="144"/>
        <v>#VALUE!</v>
      </c>
      <c r="M152" s="223" t="str">
        <f t="shared" si="145"/>
        <v/>
      </c>
      <c r="N152" s="223" t="e">
        <f t="shared" ca="1" si="146"/>
        <v>#VALUE!</v>
      </c>
      <c r="O152" s="268" t="e">
        <f t="shared" ca="1" si="147"/>
        <v>#VALUE!</v>
      </c>
      <c r="P152" s="268" t="str">
        <f t="shared" si="156"/>
        <v/>
      </c>
      <c r="Q152" s="268" t="str">
        <f t="shared" si="148"/>
        <v/>
      </c>
      <c r="R152" s="268" t="str">
        <f t="shared" si="149"/>
        <v/>
      </c>
      <c r="S152" s="268" t="str">
        <f t="shared" si="150"/>
        <v/>
      </c>
      <c r="T152" s="268" t="str">
        <f t="shared" si="151"/>
        <v/>
      </c>
      <c r="U152" s="268" t="str">
        <f t="shared" si="152"/>
        <v/>
      </c>
      <c r="V152" s="268" t="str">
        <f t="shared" si="158"/>
        <v/>
      </c>
      <c r="W152" s="268" t="str">
        <f t="shared" si="153"/>
        <v/>
      </c>
      <c r="X152" s="268" t="str">
        <f t="shared" si="154"/>
        <v/>
      </c>
      <c r="Y152" s="268" t="str">
        <f t="shared" si="157"/>
        <v/>
      </c>
      <c r="Z152" s="268" t="str">
        <f t="shared" si="155"/>
        <v/>
      </c>
      <c r="AA152" s="268" t="str">
        <f t="shared" si="173"/>
        <v/>
      </c>
      <c r="AB152" s="268" t="str">
        <f t="shared" si="165"/>
        <v/>
      </c>
      <c r="AC152" s="268" t="str">
        <f t="shared" si="171"/>
        <v/>
      </c>
      <c r="AD152" s="268" t="str">
        <f t="shared" si="113"/>
        <v/>
      </c>
      <c r="AE152" s="268" t="str">
        <f t="shared" si="115"/>
        <v/>
      </c>
      <c r="AF152" s="268" t="str">
        <f t="shared" si="129"/>
        <v/>
      </c>
      <c r="AG152" s="268" t="str">
        <f t="shared" si="133"/>
        <v/>
      </c>
      <c r="AH152" s="268" t="str">
        <f t="shared" si="136"/>
        <v/>
      </c>
      <c r="AI152" s="268" t="str">
        <f t="shared" si="137"/>
        <v/>
      </c>
      <c r="AJ152" s="268" t="str">
        <f t="shared" si="159"/>
        <v/>
      </c>
      <c r="AK152" s="268" t="str">
        <f t="shared" si="166"/>
        <v/>
      </c>
      <c r="AL152" s="268" t="str">
        <f t="shared" si="168"/>
        <v/>
      </c>
      <c r="AM152" s="268" t="str">
        <f t="shared" si="172"/>
        <v/>
      </c>
      <c r="AN152" s="223" t="str">
        <f t="shared" si="160"/>
        <v/>
      </c>
      <c r="AO152" s="223" t="str">
        <f t="shared" si="167"/>
        <v/>
      </c>
      <c r="AP152" s="223" t="str">
        <f t="shared" si="135"/>
        <v/>
      </c>
      <c r="AQ152" s="223" t="str">
        <f t="shared" si="138"/>
        <v/>
      </c>
      <c r="AR152" s="223" t="str">
        <f t="shared" si="161"/>
        <v/>
      </c>
      <c r="AS152" s="223" t="str">
        <f t="shared" si="169"/>
        <v/>
      </c>
      <c r="AT152" s="223" t="str">
        <f t="shared" si="170"/>
        <v>1</v>
      </c>
      <c r="AU152" s="223">
        <v>1</v>
      </c>
      <c r="AV152" s="223" t="str">
        <f>IF(AND(E152&lt;$AV$2,I152&gt;$AV$2),"1","")</f>
        <v>1</v>
      </c>
      <c r="AW152" s="223" t="str">
        <f t="shared" si="162"/>
        <v>1</v>
      </c>
      <c r="AX152" s="223" t="str">
        <f t="shared" si="163"/>
        <v>1</v>
      </c>
      <c r="AY152" s="223" t="str">
        <f t="shared" si="164"/>
        <v>1</v>
      </c>
    </row>
    <row r="153" spans="1:51" ht="22.5" x14ac:dyDescent="0.25">
      <c r="A153" s="214">
        <v>151</v>
      </c>
      <c r="B153" s="251" t="s">
        <v>173</v>
      </c>
      <c r="C153" s="132" t="s">
        <v>174</v>
      </c>
      <c r="D153" s="141">
        <v>2013</v>
      </c>
      <c r="E153" s="138">
        <v>41512</v>
      </c>
      <c r="F153" s="222">
        <f t="shared" si="139"/>
        <v>8</v>
      </c>
      <c r="G153" s="222" t="str">
        <f t="shared" si="140"/>
        <v>82013</v>
      </c>
      <c r="H153" s="222" t="str">
        <f t="shared" si="141"/>
        <v>agosto</v>
      </c>
      <c r="I153" s="126" t="str">
        <f>VLOOKUP(B153,'Base de Datos'!$E$7:$T$271,14,0)</f>
        <v>3 meses</v>
      </c>
      <c r="J153" s="224" t="e">
        <f t="shared" si="142"/>
        <v>#VALUE!</v>
      </c>
      <c r="K153" s="223" t="e">
        <f t="shared" si="143"/>
        <v>#VALUE!</v>
      </c>
      <c r="L153" s="223" t="e">
        <f t="shared" si="144"/>
        <v>#VALUE!</v>
      </c>
      <c r="M153" s="223" t="str">
        <f t="shared" si="145"/>
        <v>3 meses</v>
      </c>
      <c r="N153" s="223" t="e">
        <f t="shared" ca="1" si="146"/>
        <v>#VALUE!</v>
      </c>
      <c r="O153" s="268" t="e">
        <f t="shared" ca="1" si="147"/>
        <v>#VALUE!</v>
      </c>
      <c r="P153" s="268" t="str">
        <f t="shared" si="156"/>
        <v/>
      </c>
      <c r="Q153" s="268" t="str">
        <f t="shared" si="148"/>
        <v/>
      </c>
      <c r="R153" s="268" t="str">
        <f t="shared" si="149"/>
        <v/>
      </c>
      <c r="S153" s="268" t="str">
        <f t="shared" si="150"/>
        <v/>
      </c>
      <c r="T153" s="268" t="str">
        <f t="shared" si="151"/>
        <v/>
      </c>
      <c r="U153" s="268" t="str">
        <f t="shared" si="152"/>
        <v/>
      </c>
      <c r="V153" s="268" t="str">
        <f t="shared" si="158"/>
        <v/>
      </c>
      <c r="W153" s="268" t="str">
        <f t="shared" si="153"/>
        <v/>
      </c>
      <c r="X153" s="268" t="str">
        <f t="shared" si="154"/>
        <v/>
      </c>
      <c r="Y153" s="268" t="str">
        <f t="shared" si="157"/>
        <v/>
      </c>
      <c r="Z153" s="268" t="str">
        <f t="shared" si="155"/>
        <v/>
      </c>
      <c r="AA153" s="268" t="str">
        <f t="shared" si="173"/>
        <v/>
      </c>
      <c r="AB153" s="268" t="str">
        <f t="shared" si="165"/>
        <v/>
      </c>
      <c r="AC153" s="268" t="str">
        <f t="shared" si="171"/>
        <v/>
      </c>
      <c r="AD153" s="268" t="str">
        <f t="shared" si="113"/>
        <v/>
      </c>
      <c r="AE153" s="268" t="str">
        <f t="shared" si="115"/>
        <v/>
      </c>
      <c r="AF153" s="268" t="str">
        <f t="shared" si="129"/>
        <v/>
      </c>
      <c r="AG153" s="268" t="str">
        <f t="shared" si="133"/>
        <v/>
      </c>
      <c r="AH153" s="268" t="str">
        <f t="shared" si="136"/>
        <v/>
      </c>
      <c r="AI153" s="268" t="str">
        <f t="shared" si="137"/>
        <v>1</v>
      </c>
      <c r="AJ153" s="268" t="str">
        <f t="shared" si="159"/>
        <v>1</v>
      </c>
      <c r="AK153" s="268" t="str">
        <f t="shared" si="166"/>
        <v>1</v>
      </c>
      <c r="AL153" s="268" t="str">
        <f t="shared" si="168"/>
        <v>1</v>
      </c>
      <c r="AM153" s="268" t="str">
        <f t="shared" si="172"/>
        <v>1</v>
      </c>
      <c r="AN153" s="223" t="str">
        <f t="shared" si="160"/>
        <v>1</v>
      </c>
      <c r="AO153" s="223" t="str">
        <f t="shared" si="167"/>
        <v>1</v>
      </c>
      <c r="AP153" s="223" t="str">
        <f t="shared" si="135"/>
        <v>1</v>
      </c>
      <c r="AQ153" s="223" t="str">
        <f t="shared" si="138"/>
        <v>1</v>
      </c>
      <c r="AR153" s="223" t="str">
        <f t="shared" si="161"/>
        <v>1</v>
      </c>
      <c r="AS153" s="223" t="str">
        <f t="shared" si="169"/>
        <v>1</v>
      </c>
      <c r="AT153" s="223" t="str">
        <f t="shared" si="170"/>
        <v>1</v>
      </c>
      <c r="AU153" s="223">
        <v>1</v>
      </c>
      <c r="AV153" s="223" t="str">
        <f>IF(AND(E153&lt;$AV$2,I153&gt;$AV$2),"1","")</f>
        <v>1</v>
      </c>
      <c r="AW153" s="223" t="str">
        <f t="shared" si="162"/>
        <v>1</v>
      </c>
      <c r="AX153" s="223" t="str">
        <f t="shared" si="163"/>
        <v>1</v>
      </c>
      <c r="AY153" s="223" t="str">
        <f t="shared" si="164"/>
        <v>1</v>
      </c>
    </row>
    <row r="154" spans="1:51" ht="22.5" x14ac:dyDescent="0.25">
      <c r="A154" s="214">
        <v>152</v>
      </c>
      <c r="B154" s="258" t="s">
        <v>255</v>
      </c>
      <c r="C154" s="145" t="s">
        <v>1032</v>
      </c>
      <c r="D154" s="157">
        <v>2014</v>
      </c>
      <c r="E154" s="149">
        <v>41694</v>
      </c>
      <c r="F154" s="222">
        <f t="shared" si="139"/>
        <v>2</v>
      </c>
      <c r="G154" s="222" t="str">
        <f t="shared" si="140"/>
        <v>22014</v>
      </c>
      <c r="H154" s="222" t="str">
        <f t="shared" si="141"/>
        <v>febrero</v>
      </c>
      <c r="I154" s="126" t="str">
        <f>VLOOKUP(B154,'Base de Datos'!$E$7:$T$271,14,0)</f>
        <v/>
      </c>
      <c r="J154" s="224" t="e">
        <f t="shared" si="142"/>
        <v>#VALUE!</v>
      </c>
      <c r="K154" s="223" t="e">
        <f t="shared" si="143"/>
        <v>#VALUE!</v>
      </c>
      <c r="L154" s="223" t="e">
        <f t="shared" si="144"/>
        <v>#VALUE!</v>
      </c>
      <c r="M154" s="223" t="str">
        <f t="shared" si="145"/>
        <v/>
      </c>
      <c r="N154" s="223" t="e">
        <f t="shared" ca="1" si="146"/>
        <v>#VALUE!</v>
      </c>
      <c r="O154" s="268" t="e">
        <f t="shared" ca="1" si="147"/>
        <v>#VALUE!</v>
      </c>
      <c r="P154" s="268" t="str">
        <f t="shared" si="156"/>
        <v/>
      </c>
      <c r="Q154" s="268" t="str">
        <f t="shared" si="148"/>
        <v/>
      </c>
      <c r="R154" s="268" t="str">
        <f t="shared" si="149"/>
        <v/>
      </c>
      <c r="S154" s="268" t="str">
        <f t="shared" si="150"/>
        <v/>
      </c>
      <c r="T154" s="268" t="str">
        <f t="shared" si="151"/>
        <v/>
      </c>
      <c r="U154" s="268" t="str">
        <f t="shared" si="152"/>
        <v/>
      </c>
      <c r="V154" s="268" t="str">
        <f t="shared" si="158"/>
        <v/>
      </c>
      <c r="W154" s="268" t="str">
        <f t="shared" si="153"/>
        <v/>
      </c>
      <c r="X154" s="268" t="str">
        <f t="shared" si="154"/>
        <v/>
      </c>
      <c r="Y154" s="268" t="str">
        <f t="shared" si="157"/>
        <v/>
      </c>
      <c r="Z154" s="268" t="str">
        <f t="shared" si="155"/>
        <v/>
      </c>
      <c r="AA154" s="268" t="str">
        <f t="shared" si="173"/>
        <v/>
      </c>
      <c r="AB154" s="268" t="str">
        <f t="shared" si="165"/>
        <v/>
      </c>
      <c r="AC154" s="268" t="str">
        <f t="shared" si="171"/>
        <v/>
      </c>
      <c r="AD154" s="268" t="str">
        <f t="shared" si="113"/>
        <v/>
      </c>
      <c r="AE154" s="268" t="str">
        <f t="shared" si="115"/>
        <v/>
      </c>
      <c r="AF154" s="268" t="str">
        <f t="shared" si="129"/>
        <v/>
      </c>
      <c r="AG154" s="268" t="str">
        <f t="shared" si="133"/>
        <v/>
      </c>
      <c r="AH154" s="268" t="str">
        <f t="shared" si="136"/>
        <v/>
      </c>
      <c r="AI154" s="268" t="str">
        <f t="shared" si="137"/>
        <v/>
      </c>
      <c r="AJ154" s="268" t="str">
        <f t="shared" si="159"/>
        <v/>
      </c>
      <c r="AK154" s="268" t="str">
        <f t="shared" si="166"/>
        <v/>
      </c>
      <c r="AL154" s="268" t="str">
        <f t="shared" si="168"/>
        <v/>
      </c>
      <c r="AM154" s="268" t="str">
        <f t="shared" si="172"/>
        <v/>
      </c>
      <c r="AN154" s="223" t="str">
        <f t="shared" si="160"/>
        <v/>
      </c>
      <c r="AO154" s="223" t="str">
        <f t="shared" si="167"/>
        <v>1</v>
      </c>
      <c r="AP154" s="223" t="str">
        <f t="shared" ref="AP154:AP185" si="174">IF(AND(E154&lt;$AP$2,I154&gt;$AP$2),"1","")</f>
        <v>1</v>
      </c>
      <c r="AQ154" s="223" t="str">
        <f t="shared" si="138"/>
        <v>1</v>
      </c>
      <c r="AR154" s="223" t="str">
        <f t="shared" si="161"/>
        <v>1</v>
      </c>
      <c r="AS154" s="223" t="str">
        <f t="shared" si="169"/>
        <v>1</v>
      </c>
      <c r="AT154" s="223" t="str">
        <f t="shared" si="170"/>
        <v>1</v>
      </c>
      <c r="AU154" s="223" t="str">
        <f t="shared" ref="AU154:AU185" si="175">IF(AND(E154&lt;$AU$2,I154&gt;$AU$2),"1","")</f>
        <v>1</v>
      </c>
      <c r="AV154" s="223" t="str">
        <f>IF(AND(E154&lt;$AV$2,I154&gt;$AV$2),"1","")</f>
        <v>1</v>
      </c>
      <c r="AW154" s="223"/>
      <c r="AX154" s="223"/>
      <c r="AY154" s="223" t="str">
        <f t="shared" si="164"/>
        <v>1</v>
      </c>
    </row>
    <row r="155" spans="1:51" ht="22.5" x14ac:dyDescent="0.25">
      <c r="A155" s="214">
        <v>153</v>
      </c>
      <c r="B155" s="250" t="s">
        <v>95</v>
      </c>
      <c r="C155" s="132" t="s">
        <v>41</v>
      </c>
      <c r="D155" s="156">
        <v>2013</v>
      </c>
      <c r="E155" s="138">
        <v>41403</v>
      </c>
      <c r="F155" s="222">
        <f t="shared" si="139"/>
        <v>5</v>
      </c>
      <c r="G155" s="222" t="str">
        <f t="shared" si="140"/>
        <v>52013</v>
      </c>
      <c r="H155" s="222" t="str">
        <f t="shared" si="141"/>
        <v>mayo</v>
      </c>
      <c r="I155" s="126" t="str">
        <f>VLOOKUP(B155,'Base de Datos'!$E$7:$T$271,14,0)</f>
        <v>7 meses</v>
      </c>
      <c r="J155" s="224" t="e">
        <f t="shared" si="142"/>
        <v>#VALUE!</v>
      </c>
      <c r="K155" s="223" t="e">
        <f t="shared" si="143"/>
        <v>#VALUE!</v>
      </c>
      <c r="L155" s="223" t="e">
        <f t="shared" si="144"/>
        <v>#VALUE!</v>
      </c>
      <c r="M155" s="223" t="str">
        <f t="shared" si="145"/>
        <v>7 meses</v>
      </c>
      <c r="N155" s="223" t="e">
        <f t="shared" ca="1" si="146"/>
        <v>#VALUE!</v>
      </c>
      <c r="O155" s="268" t="e">
        <f t="shared" ca="1" si="147"/>
        <v>#VALUE!</v>
      </c>
      <c r="P155" s="268" t="str">
        <f t="shared" si="156"/>
        <v/>
      </c>
      <c r="Q155" s="268" t="str">
        <f t="shared" si="148"/>
        <v/>
      </c>
      <c r="R155" s="268" t="str">
        <f t="shared" si="149"/>
        <v/>
      </c>
      <c r="S155" s="268" t="str">
        <f t="shared" si="150"/>
        <v/>
      </c>
      <c r="T155" s="268" t="str">
        <f t="shared" si="151"/>
        <v/>
      </c>
      <c r="U155" s="268" t="str">
        <f t="shared" si="152"/>
        <v/>
      </c>
      <c r="V155" s="268" t="str">
        <f t="shared" si="158"/>
        <v/>
      </c>
      <c r="W155" s="268" t="str">
        <f t="shared" si="153"/>
        <v/>
      </c>
      <c r="X155" s="268" t="str">
        <f t="shared" si="154"/>
        <v/>
      </c>
      <c r="Y155" s="268" t="str">
        <f t="shared" si="157"/>
        <v/>
      </c>
      <c r="Z155" s="268" t="str">
        <f t="shared" si="155"/>
        <v/>
      </c>
      <c r="AA155" s="268" t="str">
        <f t="shared" si="173"/>
        <v/>
      </c>
      <c r="AB155" s="268" t="str">
        <f t="shared" si="165"/>
        <v/>
      </c>
      <c r="AC155" s="268" t="str">
        <f t="shared" si="171"/>
        <v/>
      </c>
      <c r="AD155" s="268" t="str">
        <f t="shared" si="113"/>
        <v/>
      </c>
      <c r="AE155" s="268" t="str">
        <f t="shared" si="115"/>
        <v/>
      </c>
      <c r="AF155" s="268" t="str">
        <f t="shared" si="129"/>
        <v>1</v>
      </c>
      <c r="AG155" s="268" t="str">
        <f t="shared" si="133"/>
        <v>1</v>
      </c>
      <c r="AH155" s="268" t="str">
        <f t="shared" si="136"/>
        <v>1</v>
      </c>
      <c r="AI155" s="268" t="str">
        <f t="shared" si="137"/>
        <v>1</v>
      </c>
      <c r="AJ155" s="268" t="str">
        <f t="shared" si="159"/>
        <v>1</v>
      </c>
      <c r="AK155" s="268" t="str">
        <f t="shared" si="166"/>
        <v>1</v>
      </c>
      <c r="AL155" s="268" t="str">
        <f t="shared" si="168"/>
        <v>1</v>
      </c>
      <c r="AM155" s="268" t="str">
        <f t="shared" si="172"/>
        <v>1</v>
      </c>
      <c r="AN155" s="223" t="str">
        <f t="shared" si="160"/>
        <v>1</v>
      </c>
      <c r="AO155" s="223" t="str">
        <f t="shared" si="167"/>
        <v>1</v>
      </c>
      <c r="AP155" s="223" t="str">
        <f t="shared" si="174"/>
        <v>1</v>
      </c>
      <c r="AQ155" s="223" t="str">
        <f t="shared" si="138"/>
        <v>1</v>
      </c>
      <c r="AR155" s="223" t="str">
        <f t="shared" si="161"/>
        <v>1</v>
      </c>
      <c r="AS155" s="223" t="str">
        <f t="shared" si="169"/>
        <v>1</v>
      </c>
      <c r="AT155" s="223" t="str">
        <f t="shared" si="170"/>
        <v>1</v>
      </c>
      <c r="AU155" s="223" t="str">
        <f t="shared" si="175"/>
        <v>1</v>
      </c>
      <c r="AV155" s="223">
        <v>1</v>
      </c>
      <c r="AW155" s="223" t="str">
        <f t="shared" ref="AW155:AW163" si="176">IF(AND(E155&lt;$AW$2,I155&gt;$AW$2),"1","")</f>
        <v>1</v>
      </c>
      <c r="AX155" s="223" t="str">
        <f t="shared" ref="AX155:AX168" si="177">IF(AND(E155&lt;$AX$2,I155&gt;$AX$2),"1","")</f>
        <v>1</v>
      </c>
      <c r="AY155" s="223" t="str">
        <f t="shared" si="164"/>
        <v>1</v>
      </c>
    </row>
    <row r="156" spans="1:51" ht="22.5" x14ac:dyDescent="0.25">
      <c r="A156" s="214">
        <v>154</v>
      </c>
      <c r="B156" s="251" t="s">
        <v>199</v>
      </c>
      <c r="C156" s="132" t="s">
        <v>1038</v>
      </c>
      <c r="D156" s="141">
        <v>2013</v>
      </c>
      <c r="E156" s="138">
        <v>41556</v>
      </c>
      <c r="F156" s="222">
        <f t="shared" si="139"/>
        <v>10</v>
      </c>
      <c r="G156" s="222" t="str">
        <f t="shared" si="140"/>
        <v>102013</v>
      </c>
      <c r="H156" s="222" t="str">
        <f t="shared" si="141"/>
        <v>octubre</v>
      </c>
      <c r="I156" s="126" t="str">
        <f>VLOOKUP(B156,'Base de Datos'!$E$7:$T$271,14,0)</f>
        <v>3 meses</v>
      </c>
      <c r="J156" s="224" t="e">
        <f t="shared" si="142"/>
        <v>#VALUE!</v>
      </c>
      <c r="K156" s="223" t="e">
        <f t="shared" si="143"/>
        <v>#VALUE!</v>
      </c>
      <c r="L156" s="223" t="e">
        <f t="shared" si="144"/>
        <v>#VALUE!</v>
      </c>
      <c r="M156" s="223" t="str">
        <f t="shared" si="145"/>
        <v>3 meses</v>
      </c>
      <c r="N156" s="223" t="e">
        <f t="shared" ca="1" si="146"/>
        <v>#VALUE!</v>
      </c>
      <c r="O156" s="268" t="e">
        <f t="shared" ca="1" si="147"/>
        <v>#VALUE!</v>
      </c>
      <c r="P156" s="268" t="str">
        <f t="shared" si="156"/>
        <v/>
      </c>
      <c r="Q156" s="268" t="str">
        <f t="shared" si="148"/>
        <v/>
      </c>
      <c r="R156" s="268" t="str">
        <f t="shared" si="149"/>
        <v/>
      </c>
      <c r="S156" s="268" t="str">
        <f t="shared" si="150"/>
        <v/>
      </c>
      <c r="T156" s="268" t="str">
        <f t="shared" si="151"/>
        <v/>
      </c>
      <c r="U156" s="268" t="str">
        <f t="shared" si="152"/>
        <v/>
      </c>
      <c r="V156" s="268" t="str">
        <f t="shared" si="158"/>
        <v/>
      </c>
      <c r="W156" s="268" t="str">
        <f t="shared" si="153"/>
        <v/>
      </c>
      <c r="X156" s="268" t="str">
        <f t="shared" si="154"/>
        <v/>
      </c>
      <c r="Y156" s="268" t="str">
        <f t="shared" si="157"/>
        <v/>
      </c>
      <c r="Z156" s="268" t="str">
        <f t="shared" si="155"/>
        <v/>
      </c>
      <c r="AA156" s="268" t="str">
        <f t="shared" si="173"/>
        <v/>
      </c>
      <c r="AB156" s="268" t="str">
        <f t="shared" si="165"/>
        <v/>
      </c>
      <c r="AC156" s="268" t="str">
        <f t="shared" si="171"/>
        <v/>
      </c>
      <c r="AD156" s="268" t="str">
        <f t="shared" si="113"/>
        <v/>
      </c>
      <c r="AE156" s="268" t="str">
        <f t="shared" si="115"/>
        <v/>
      </c>
      <c r="AF156" s="268" t="str">
        <f t="shared" si="129"/>
        <v/>
      </c>
      <c r="AG156" s="268" t="str">
        <f t="shared" si="133"/>
        <v/>
      </c>
      <c r="AH156" s="268" t="str">
        <f t="shared" si="136"/>
        <v/>
      </c>
      <c r="AI156" s="268" t="str">
        <f t="shared" si="137"/>
        <v/>
      </c>
      <c r="AJ156" s="268" t="str">
        <f t="shared" si="159"/>
        <v/>
      </c>
      <c r="AK156" s="268" t="str">
        <f t="shared" si="166"/>
        <v>1</v>
      </c>
      <c r="AL156" s="268" t="str">
        <f t="shared" si="168"/>
        <v>1</v>
      </c>
      <c r="AM156" s="268" t="str">
        <f t="shared" si="172"/>
        <v>1</v>
      </c>
      <c r="AN156" s="223" t="str">
        <f t="shared" si="160"/>
        <v>1</v>
      </c>
      <c r="AO156" s="223" t="str">
        <f t="shared" si="167"/>
        <v>1</v>
      </c>
      <c r="AP156" s="223" t="str">
        <f t="shared" si="174"/>
        <v>1</v>
      </c>
      <c r="AQ156" s="223" t="str">
        <f t="shared" si="138"/>
        <v>1</v>
      </c>
      <c r="AR156" s="223" t="str">
        <f t="shared" si="161"/>
        <v>1</v>
      </c>
      <c r="AS156" s="223" t="str">
        <f t="shared" si="169"/>
        <v>1</v>
      </c>
      <c r="AT156" s="223" t="str">
        <f t="shared" si="170"/>
        <v>1</v>
      </c>
      <c r="AU156" s="223" t="str">
        <f t="shared" si="175"/>
        <v>1</v>
      </c>
      <c r="AV156" s="223">
        <v>1</v>
      </c>
      <c r="AW156" s="223" t="str">
        <f t="shared" si="176"/>
        <v>1</v>
      </c>
      <c r="AX156" s="223" t="str">
        <f t="shared" si="177"/>
        <v>1</v>
      </c>
      <c r="AY156" s="223" t="str">
        <f t="shared" si="164"/>
        <v>1</v>
      </c>
    </row>
    <row r="157" spans="1:51" ht="33.75" x14ac:dyDescent="0.25">
      <c r="A157" s="214">
        <v>155</v>
      </c>
      <c r="B157" s="258" t="s">
        <v>270</v>
      </c>
      <c r="C157" s="145" t="s">
        <v>1046</v>
      </c>
      <c r="D157" s="157">
        <v>2014</v>
      </c>
      <c r="E157" s="149">
        <v>41739</v>
      </c>
      <c r="F157" s="222">
        <f t="shared" si="139"/>
        <v>4</v>
      </c>
      <c r="G157" s="222" t="str">
        <f t="shared" si="140"/>
        <v>42014</v>
      </c>
      <c r="H157" s="222" t="str">
        <f t="shared" si="141"/>
        <v>abril</v>
      </c>
      <c r="I157" s="126" t="str">
        <f>VLOOKUP(B157,'Base de Datos'!$E$7:$T$271,14,0)</f>
        <v/>
      </c>
      <c r="J157" s="224" t="e">
        <f t="shared" si="142"/>
        <v>#VALUE!</v>
      </c>
      <c r="K157" s="223" t="e">
        <f t="shared" si="143"/>
        <v>#VALUE!</v>
      </c>
      <c r="L157" s="223" t="e">
        <f t="shared" si="144"/>
        <v>#VALUE!</v>
      </c>
      <c r="M157" s="223" t="str">
        <f t="shared" si="145"/>
        <v/>
      </c>
      <c r="N157" s="223" t="e">
        <f t="shared" ca="1" si="146"/>
        <v>#VALUE!</v>
      </c>
      <c r="O157" s="268" t="e">
        <f t="shared" ca="1" si="147"/>
        <v>#VALUE!</v>
      </c>
      <c r="P157" s="268" t="str">
        <f t="shared" si="156"/>
        <v/>
      </c>
      <c r="Q157" s="268" t="str">
        <f t="shared" si="148"/>
        <v/>
      </c>
      <c r="R157" s="268" t="str">
        <f t="shared" si="149"/>
        <v/>
      </c>
      <c r="S157" s="268" t="str">
        <f t="shared" si="150"/>
        <v/>
      </c>
      <c r="T157" s="268" t="str">
        <f t="shared" si="151"/>
        <v/>
      </c>
      <c r="U157" s="268" t="str">
        <f t="shared" si="152"/>
        <v/>
      </c>
      <c r="V157" s="268" t="str">
        <f t="shared" si="158"/>
        <v/>
      </c>
      <c r="W157" s="268" t="str">
        <f t="shared" si="153"/>
        <v/>
      </c>
      <c r="X157" s="268" t="str">
        <f t="shared" si="154"/>
        <v/>
      </c>
      <c r="Y157" s="268" t="str">
        <f t="shared" si="157"/>
        <v/>
      </c>
      <c r="Z157" s="268" t="str">
        <f t="shared" si="155"/>
        <v/>
      </c>
      <c r="AA157" s="268" t="str">
        <f t="shared" si="173"/>
        <v/>
      </c>
      <c r="AB157" s="268" t="str">
        <f t="shared" si="165"/>
        <v/>
      </c>
      <c r="AC157" s="268" t="str">
        <f t="shared" si="171"/>
        <v/>
      </c>
      <c r="AD157" s="268" t="str">
        <f t="shared" si="113"/>
        <v/>
      </c>
      <c r="AE157" s="268" t="str">
        <f t="shared" si="115"/>
        <v/>
      </c>
      <c r="AF157" s="268" t="str">
        <f t="shared" si="129"/>
        <v/>
      </c>
      <c r="AG157" s="268" t="str">
        <f t="shared" si="133"/>
        <v/>
      </c>
      <c r="AH157" s="268" t="str">
        <f t="shared" si="136"/>
        <v/>
      </c>
      <c r="AI157" s="268" t="str">
        <f t="shared" si="137"/>
        <v/>
      </c>
      <c r="AJ157" s="268" t="str">
        <f t="shared" si="159"/>
        <v/>
      </c>
      <c r="AK157" s="268" t="str">
        <f t="shared" si="166"/>
        <v/>
      </c>
      <c r="AL157" s="268" t="str">
        <f t="shared" si="168"/>
        <v/>
      </c>
      <c r="AM157" s="268" t="str">
        <f t="shared" si="172"/>
        <v/>
      </c>
      <c r="AN157" s="223" t="str">
        <f t="shared" si="160"/>
        <v/>
      </c>
      <c r="AO157" s="223" t="str">
        <f t="shared" si="167"/>
        <v/>
      </c>
      <c r="AP157" s="223" t="str">
        <f t="shared" si="174"/>
        <v/>
      </c>
      <c r="AQ157" s="223" t="str">
        <f t="shared" si="138"/>
        <v>1</v>
      </c>
      <c r="AR157" s="223" t="str">
        <f t="shared" si="161"/>
        <v>1</v>
      </c>
      <c r="AS157" s="223" t="str">
        <f t="shared" si="169"/>
        <v>1</v>
      </c>
      <c r="AT157" s="223" t="str">
        <f t="shared" si="170"/>
        <v>1</v>
      </c>
      <c r="AU157" s="223" t="str">
        <f t="shared" si="175"/>
        <v>1</v>
      </c>
      <c r="AV157" s="223">
        <v>1</v>
      </c>
      <c r="AW157" s="223" t="str">
        <f t="shared" si="176"/>
        <v>1</v>
      </c>
      <c r="AX157" s="223" t="str">
        <f t="shared" si="177"/>
        <v>1</v>
      </c>
      <c r="AY157" s="223" t="str">
        <f t="shared" si="164"/>
        <v>1</v>
      </c>
    </row>
    <row r="158" spans="1:51" x14ac:dyDescent="0.25">
      <c r="A158" s="214">
        <v>156</v>
      </c>
      <c r="B158" s="251" t="s">
        <v>189</v>
      </c>
      <c r="C158" s="132" t="s">
        <v>13</v>
      </c>
      <c r="D158" s="141">
        <v>2013</v>
      </c>
      <c r="E158" s="138">
        <v>41528</v>
      </c>
      <c r="F158" s="222">
        <f t="shared" si="139"/>
        <v>9</v>
      </c>
      <c r="G158" s="222" t="str">
        <f t="shared" si="140"/>
        <v>92013</v>
      </c>
      <c r="H158" s="222" t="str">
        <f t="shared" si="141"/>
        <v>septiembre</v>
      </c>
      <c r="I158" s="126" t="str">
        <f>VLOOKUP(B158,'Base de Datos'!$E$7:$T$271,14,0)</f>
        <v/>
      </c>
      <c r="J158" s="224" t="e">
        <f t="shared" si="142"/>
        <v>#VALUE!</v>
      </c>
      <c r="K158" s="223" t="e">
        <f t="shared" si="143"/>
        <v>#VALUE!</v>
      </c>
      <c r="L158" s="223" t="e">
        <f t="shared" si="144"/>
        <v>#VALUE!</v>
      </c>
      <c r="M158" s="223" t="str">
        <f t="shared" si="145"/>
        <v/>
      </c>
      <c r="N158" s="223" t="e">
        <f t="shared" ca="1" si="146"/>
        <v>#VALUE!</v>
      </c>
      <c r="O158" s="268" t="e">
        <f t="shared" ca="1" si="147"/>
        <v>#VALUE!</v>
      </c>
      <c r="P158" s="268" t="str">
        <f t="shared" si="156"/>
        <v/>
      </c>
      <c r="Q158" s="268" t="str">
        <f t="shared" si="148"/>
        <v/>
      </c>
      <c r="R158" s="268" t="str">
        <f t="shared" si="149"/>
        <v/>
      </c>
      <c r="S158" s="268" t="str">
        <f t="shared" si="150"/>
        <v/>
      </c>
      <c r="T158" s="268" t="str">
        <f t="shared" si="151"/>
        <v/>
      </c>
      <c r="U158" s="268" t="str">
        <f t="shared" si="152"/>
        <v/>
      </c>
      <c r="V158" s="268" t="str">
        <f t="shared" si="158"/>
        <v/>
      </c>
      <c r="W158" s="268" t="str">
        <f t="shared" si="153"/>
        <v/>
      </c>
      <c r="X158" s="268" t="str">
        <f t="shared" si="154"/>
        <v/>
      </c>
      <c r="Y158" s="268" t="str">
        <f t="shared" si="157"/>
        <v/>
      </c>
      <c r="Z158" s="268" t="str">
        <f t="shared" si="155"/>
        <v/>
      </c>
      <c r="AA158" s="268" t="str">
        <f t="shared" si="173"/>
        <v/>
      </c>
      <c r="AB158" s="268" t="str">
        <f t="shared" si="165"/>
        <v/>
      </c>
      <c r="AC158" s="268" t="str">
        <f t="shared" si="171"/>
        <v/>
      </c>
      <c r="AD158" s="268" t="str">
        <f t="shared" ref="AD158:AD221" si="178">IF(AND(E158&lt;$AD$2,I158&gt;$AD$2),"1","")</f>
        <v/>
      </c>
      <c r="AE158" s="268" t="str">
        <f t="shared" si="115"/>
        <v/>
      </c>
      <c r="AF158" s="268" t="str">
        <f t="shared" si="129"/>
        <v/>
      </c>
      <c r="AG158" s="268" t="str">
        <f t="shared" si="133"/>
        <v/>
      </c>
      <c r="AH158" s="268" t="str">
        <f t="shared" si="136"/>
        <v/>
      </c>
      <c r="AI158" s="268" t="str">
        <f t="shared" si="137"/>
        <v/>
      </c>
      <c r="AJ158" s="268" t="str">
        <f t="shared" si="159"/>
        <v>1</v>
      </c>
      <c r="AK158" s="268" t="str">
        <f t="shared" si="166"/>
        <v>1</v>
      </c>
      <c r="AL158" s="268" t="str">
        <f t="shared" si="168"/>
        <v>1</v>
      </c>
      <c r="AM158" s="268" t="str">
        <f t="shared" si="172"/>
        <v>1</v>
      </c>
      <c r="AN158" s="223" t="str">
        <f t="shared" si="160"/>
        <v>1</v>
      </c>
      <c r="AO158" s="223" t="str">
        <f t="shared" si="167"/>
        <v>1</v>
      </c>
      <c r="AP158" s="223" t="str">
        <f t="shared" si="174"/>
        <v>1</v>
      </c>
      <c r="AQ158" s="223" t="str">
        <f t="shared" si="138"/>
        <v>1</v>
      </c>
      <c r="AR158" s="223" t="str">
        <f t="shared" si="161"/>
        <v>1</v>
      </c>
      <c r="AS158" s="223" t="str">
        <f t="shared" si="169"/>
        <v>1</v>
      </c>
      <c r="AT158" s="223" t="str">
        <f t="shared" si="170"/>
        <v>1</v>
      </c>
      <c r="AU158" s="223" t="str">
        <f t="shared" si="175"/>
        <v>1</v>
      </c>
      <c r="AV158" s="223">
        <v>1</v>
      </c>
      <c r="AW158" s="223" t="str">
        <f t="shared" si="176"/>
        <v>1</v>
      </c>
      <c r="AX158" s="223" t="str">
        <f t="shared" si="177"/>
        <v>1</v>
      </c>
      <c r="AY158" s="223" t="str">
        <f t="shared" si="164"/>
        <v>1</v>
      </c>
    </row>
    <row r="159" spans="1:51" x14ac:dyDescent="0.25">
      <c r="A159" s="214">
        <v>157</v>
      </c>
      <c r="B159" s="251" t="s">
        <v>190</v>
      </c>
      <c r="C159" s="132" t="s">
        <v>29</v>
      </c>
      <c r="D159" s="141">
        <v>2013</v>
      </c>
      <c r="E159" s="138">
        <v>41531</v>
      </c>
      <c r="F159" s="222">
        <f t="shared" si="139"/>
        <v>9</v>
      </c>
      <c r="G159" s="222" t="str">
        <f t="shared" si="140"/>
        <v>92013</v>
      </c>
      <c r="H159" s="222" t="str">
        <f t="shared" si="141"/>
        <v>septiembre</v>
      </c>
      <c r="I159" s="126" t="str">
        <f>VLOOKUP(B159,'Base de Datos'!$E$7:$T$271,14,0)</f>
        <v/>
      </c>
      <c r="J159" s="224" t="e">
        <f t="shared" si="142"/>
        <v>#VALUE!</v>
      </c>
      <c r="K159" s="223" t="e">
        <f t="shared" si="143"/>
        <v>#VALUE!</v>
      </c>
      <c r="L159" s="223" t="e">
        <f t="shared" si="144"/>
        <v>#VALUE!</v>
      </c>
      <c r="M159" s="223" t="str">
        <f t="shared" si="145"/>
        <v/>
      </c>
      <c r="N159" s="223" t="e">
        <f t="shared" ca="1" si="146"/>
        <v>#VALUE!</v>
      </c>
      <c r="O159" s="268" t="e">
        <f t="shared" ca="1" si="147"/>
        <v>#VALUE!</v>
      </c>
      <c r="P159" s="268" t="str">
        <f t="shared" si="156"/>
        <v/>
      </c>
      <c r="Q159" s="268" t="str">
        <f t="shared" si="148"/>
        <v/>
      </c>
      <c r="R159" s="268" t="str">
        <f t="shared" si="149"/>
        <v/>
      </c>
      <c r="S159" s="268" t="str">
        <f t="shared" si="150"/>
        <v/>
      </c>
      <c r="T159" s="268" t="str">
        <f t="shared" si="151"/>
        <v/>
      </c>
      <c r="U159" s="268" t="str">
        <f t="shared" si="152"/>
        <v/>
      </c>
      <c r="V159" s="268" t="str">
        <f t="shared" si="158"/>
        <v/>
      </c>
      <c r="W159" s="268" t="str">
        <f t="shared" si="153"/>
        <v/>
      </c>
      <c r="X159" s="268" t="str">
        <f t="shared" si="154"/>
        <v/>
      </c>
      <c r="Y159" s="268" t="str">
        <f t="shared" si="157"/>
        <v/>
      </c>
      <c r="Z159" s="268" t="str">
        <f t="shared" si="155"/>
        <v/>
      </c>
      <c r="AA159" s="268" t="str">
        <f t="shared" si="173"/>
        <v/>
      </c>
      <c r="AB159" s="268" t="str">
        <f t="shared" si="165"/>
        <v/>
      </c>
      <c r="AC159" s="268" t="str">
        <f t="shared" si="171"/>
        <v/>
      </c>
      <c r="AD159" s="268" t="str">
        <f t="shared" si="178"/>
        <v/>
      </c>
      <c r="AE159" s="268" t="str">
        <f t="shared" si="115"/>
        <v/>
      </c>
      <c r="AF159" s="268" t="str">
        <f t="shared" si="129"/>
        <v/>
      </c>
      <c r="AG159" s="268" t="str">
        <f t="shared" si="133"/>
        <v/>
      </c>
      <c r="AH159" s="268" t="str">
        <f t="shared" si="136"/>
        <v/>
      </c>
      <c r="AI159" s="268" t="str">
        <f t="shared" ref="AI159:AI190" si="179">IF(AND(E159&lt;$AI$2,I159&gt;$AI$2),"1","")</f>
        <v/>
      </c>
      <c r="AJ159" s="268" t="str">
        <f t="shared" si="159"/>
        <v>1</v>
      </c>
      <c r="AK159" s="268" t="str">
        <f t="shared" si="166"/>
        <v>1</v>
      </c>
      <c r="AL159" s="268" t="str">
        <f t="shared" si="168"/>
        <v>1</v>
      </c>
      <c r="AM159" s="268" t="str">
        <f t="shared" si="172"/>
        <v>1</v>
      </c>
      <c r="AN159" s="223" t="str">
        <f t="shared" si="160"/>
        <v>1</v>
      </c>
      <c r="AO159" s="223" t="str">
        <f t="shared" si="167"/>
        <v>1</v>
      </c>
      <c r="AP159" s="223" t="str">
        <f t="shared" si="174"/>
        <v>1</v>
      </c>
      <c r="AQ159" s="223" t="str">
        <f t="shared" si="138"/>
        <v>1</v>
      </c>
      <c r="AR159" s="223" t="str">
        <f t="shared" si="161"/>
        <v>1</v>
      </c>
      <c r="AS159" s="223" t="str">
        <f t="shared" si="169"/>
        <v>1</v>
      </c>
      <c r="AT159" s="223" t="str">
        <f t="shared" si="170"/>
        <v>1</v>
      </c>
      <c r="AU159" s="223" t="str">
        <f t="shared" si="175"/>
        <v>1</v>
      </c>
      <c r="AV159" s="223">
        <v>1</v>
      </c>
      <c r="AW159" s="223" t="str">
        <f t="shared" si="176"/>
        <v>1</v>
      </c>
      <c r="AX159" s="223" t="str">
        <f t="shared" si="177"/>
        <v>1</v>
      </c>
      <c r="AY159" s="223" t="str">
        <f t="shared" si="164"/>
        <v>1</v>
      </c>
    </row>
    <row r="160" spans="1:51" ht="22.5" x14ac:dyDescent="0.25">
      <c r="A160" s="214">
        <v>158</v>
      </c>
      <c r="B160" s="252" t="s">
        <v>130</v>
      </c>
      <c r="C160" s="132" t="s">
        <v>131</v>
      </c>
      <c r="D160" s="156">
        <v>2013</v>
      </c>
      <c r="E160" s="136">
        <v>41421</v>
      </c>
      <c r="F160" s="222">
        <f t="shared" si="139"/>
        <v>5</v>
      </c>
      <c r="G160" s="222" t="str">
        <f t="shared" si="140"/>
        <v>52013</v>
      </c>
      <c r="H160" s="222" t="str">
        <f t="shared" si="141"/>
        <v>mayo</v>
      </c>
      <c r="I160" s="126" t="str">
        <f>VLOOKUP(B160,'Base de Datos'!$E$7:$T$271,14,0)</f>
        <v>3 meses y 20 días</v>
      </c>
      <c r="J160" s="224" t="e">
        <f t="shared" si="142"/>
        <v>#VALUE!</v>
      </c>
      <c r="K160" s="223" t="e">
        <f t="shared" si="143"/>
        <v>#VALUE!</v>
      </c>
      <c r="L160" s="223" t="e">
        <f t="shared" si="144"/>
        <v>#VALUE!</v>
      </c>
      <c r="M160" s="223" t="str">
        <f t="shared" si="145"/>
        <v>3 meses y 20 días</v>
      </c>
      <c r="N160" s="223" t="e">
        <f t="shared" ca="1" si="146"/>
        <v>#VALUE!</v>
      </c>
      <c r="O160" s="268" t="e">
        <f t="shared" ca="1" si="147"/>
        <v>#VALUE!</v>
      </c>
      <c r="P160" s="268" t="str">
        <f t="shared" si="156"/>
        <v/>
      </c>
      <c r="Q160" s="268" t="str">
        <f t="shared" si="148"/>
        <v/>
      </c>
      <c r="R160" s="268" t="str">
        <f t="shared" si="149"/>
        <v/>
      </c>
      <c r="S160" s="268" t="str">
        <f t="shared" si="150"/>
        <v/>
      </c>
      <c r="T160" s="268" t="str">
        <f t="shared" si="151"/>
        <v/>
      </c>
      <c r="U160" s="268" t="str">
        <f t="shared" si="152"/>
        <v/>
      </c>
      <c r="V160" s="268" t="str">
        <f t="shared" si="158"/>
        <v/>
      </c>
      <c r="W160" s="268" t="str">
        <f t="shared" si="153"/>
        <v/>
      </c>
      <c r="X160" s="268" t="str">
        <f t="shared" si="154"/>
        <v/>
      </c>
      <c r="Y160" s="268" t="str">
        <f t="shared" si="157"/>
        <v/>
      </c>
      <c r="Z160" s="268" t="str">
        <f t="shared" si="155"/>
        <v/>
      </c>
      <c r="AA160" s="268" t="str">
        <f t="shared" si="173"/>
        <v/>
      </c>
      <c r="AB160" s="268" t="str">
        <f t="shared" si="165"/>
        <v/>
      </c>
      <c r="AC160" s="268" t="str">
        <f t="shared" si="171"/>
        <v/>
      </c>
      <c r="AD160" s="268" t="str">
        <f t="shared" si="178"/>
        <v/>
      </c>
      <c r="AE160" s="268" t="str">
        <f t="shared" si="115"/>
        <v/>
      </c>
      <c r="AF160" s="268" t="str">
        <f t="shared" si="129"/>
        <v>1</v>
      </c>
      <c r="AG160" s="268" t="str">
        <f t="shared" si="133"/>
        <v>1</v>
      </c>
      <c r="AH160" s="268" t="str">
        <f t="shared" si="136"/>
        <v>1</v>
      </c>
      <c r="AI160" s="268" t="str">
        <f t="shared" si="179"/>
        <v>1</v>
      </c>
      <c r="AJ160" s="268" t="str">
        <f t="shared" si="159"/>
        <v>1</v>
      </c>
      <c r="AK160" s="268" t="str">
        <f t="shared" si="166"/>
        <v>1</v>
      </c>
      <c r="AL160" s="268" t="str">
        <f t="shared" si="168"/>
        <v>1</v>
      </c>
      <c r="AM160" s="268" t="str">
        <f t="shared" si="172"/>
        <v>1</v>
      </c>
      <c r="AN160" s="223" t="str">
        <f t="shared" si="160"/>
        <v>1</v>
      </c>
      <c r="AO160" s="223" t="str">
        <f t="shared" si="167"/>
        <v>1</v>
      </c>
      <c r="AP160" s="223" t="str">
        <f t="shared" si="174"/>
        <v>1</v>
      </c>
      <c r="AQ160" s="223" t="str">
        <f t="shared" si="138"/>
        <v>1</v>
      </c>
      <c r="AR160" s="223" t="str">
        <f t="shared" si="161"/>
        <v>1</v>
      </c>
      <c r="AS160" s="223" t="str">
        <f t="shared" si="169"/>
        <v>1</v>
      </c>
      <c r="AT160" s="223" t="str">
        <f t="shared" si="170"/>
        <v>1</v>
      </c>
      <c r="AU160" s="223" t="str">
        <f t="shared" si="175"/>
        <v>1</v>
      </c>
      <c r="AV160" s="223">
        <v>1</v>
      </c>
      <c r="AW160" s="223" t="str">
        <f t="shared" si="176"/>
        <v>1</v>
      </c>
      <c r="AX160" s="223" t="str">
        <f t="shared" si="177"/>
        <v>1</v>
      </c>
      <c r="AY160" s="223" t="str">
        <f t="shared" si="164"/>
        <v>1</v>
      </c>
    </row>
    <row r="161" spans="1:51" x14ac:dyDescent="0.25">
      <c r="A161" s="214">
        <v>159</v>
      </c>
      <c r="B161" s="251" t="s">
        <v>185</v>
      </c>
      <c r="C161" s="132" t="s">
        <v>186</v>
      </c>
      <c r="D161" s="141">
        <v>2013</v>
      </c>
      <c r="E161" s="138">
        <v>41533</v>
      </c>
      <c r="F161" s="222">
        <f t="shared" si="139"/>
        <v>9</v>
      </c>
      <c r="G161" s="222" t="str">
        <f t="shared" si="140"/>
        <v>92013</v>
      </c>
      <c r="H161" s="222" t="str">
        <f t="shared" si="141"/>
        <v>septiembre</v>
      </c>
      <c r="I161" s="126" t="str">
        <f>VLOOKUP(B161,'Base de Datos'!$E$7:$T$271,14,0)</f>
        <v/>
      </c>
      <c r="J161" s="224" t="e">
        <f t="shared" si="142"/>
        <v>#VALUE!</v>
      </c>
      <c r="K161" s="223" t="e">
        <f t="shared" si="143"/>
        <v>#VALUE!</v>
      </c>
      <c r="L161" s="223" t="e">
        <f t="shared" si="144"/>
        <v>#VALUE!</v>
      </c>
      <c r="M161" s="223" t="str">
        <f t="shared" si="145"/>
        <v/>
      </c>
      <c r="N161" s="223" t="e">
        <f t="shared" ca="1" si="146"/>
        <v>#VALUE!</v>
      </c>
      <c r="O161" s="268" t="e">
        <f t="shared" ca="1" si="147"/>
        <v>#VALUE!</v>
      </c>
      <c r="P161" s="268" t="str">
        <f t="shared" si="156"/>
        <v/>
      </c>
      <c r="Q161" s="268" t="str">
        <f t="shared" si="148"/>
        <v/>
      </c>
      <c r="R161" s="268" t="str">
        <f t="shared" si="149"/>
        <v/>
      </c>
      <c r="S161" s="268" t="str">
        <f t="shared" si="150"/>
        <v/>
      </c>
      <c r="T161" s="268" t="str">
        <f t="shared" si="151"/>
        <v/>
      </c>
      <c r="U161" s="268" t="str">
        <f t="shared" si="152"/>
        <v/>
      </c>
      <c r="V161" s="268" t="str">
        <f t="shared" si="158"/>
        <v/>
      </c>
      <c r="W161" s="268" t="str">
        <f t="shared" si="153"/>
        <v/>
      </c>
      <c r="X161" s="268" t="str">
        <f t="shared" si="154"/>
        <v/>
      </c>
      <c r="Y161" s="268" t="str">
        <f t="shared" si="157"/>
        <v/>
      </c>
      <c r="Z161" s="268" t="str">
        <f t="shared" si="155"/>
        <v/>
      </c>
      <c r="AA161" s="268" t="str">
        <f t="shared" si="173"/>
        <v/>
      </c>
      <c r="AB161" s="268" t="str">
        <f t="shared" si="165"/>
        <v/>
      </c>
      <c r="AC161" s="268" t="str">
        <f t="shared" si="171"/>
        <v/>
      </c>
      <c r="AD161" s="268" t="str">
        <f t="shared" si="178"/>
        <v/>
      </c>
      <c r="AE161" s="268" t="str">
        <f t="shared" si="115"/>
        <v/>
      </c>
      <c r="AF161" s="268" t="str">
        <f t="shared" si="129"/>
        <v/>
      </c>
      <c r="AG161" s="268" t="str">
        <f t="shared" si="133"/>
        <v/>
      </c>
      <c r="AH161" s="268" t="str">
        <f t="shared" si="136"/>
        <v/>
      </c>
      <c r="AI161" s="268" t="str">
        <f t="shared" si="179"/>
        <v/>
      </c>
      <c r="AJ161" s="268" t="str">
        <f t="shared" si="159"/>
        <v>1</v>
      </c>
      <c r="AK161" s="268" t="str">
        <f t="shared" si="166"/>
        <v>1</v>
      </c>
      <c r="AL161" s="268" t="str">
        <f t="shared" si="168"/>
        <v>1</v>
      </c>
      <c r="AM161" s="268" t="str">
        <f t="shared" si="172"/>
        <v>1</v>
      </c>
      <c r="AN161" s="223" t="str">
        <f t="shared" si="160"/>
        <v>1</v>
      </c>
      <c r="AO161" s="223" t="str">
        <f t="shared" si="167"/>
        <v>1</v>
      </c>
      <c r="AP161" s="223" t="str">
        <f t="shared" si="174"/>
        <v>1</v>
      </c>
      <c r="AQ161" s="223" t="str">
        <f t="shared" si="138"/>
        <v>1</v>
      </c>
      <c r="AR161" s="223" t="str">
        <f t="shared" si="161"/>
        <v>1</v>
      </c>
      <c r="AS161" s="223" t="str">
        <f t="shared" si="169"/>
        <v>1</v>
      </c>
      <c r="AT161" s="223" t="str">
        <f t="shared" si="170"/>
        <v>1</v>
      </c>
      <c r="AU161" s="223" t="str">
        <f t="shared" si="175"/>
        <v>1</v>
      </c>
      <c r="AV161" s="223">
        <v>1</v>
      </c>
      <c r="AW161" s="223" t="str">
        <f t="shared" si="176"/>
        <v>1</v>
      </c>
      <c r="AX161" s="223" t="str">
        <f t="shared" si="177"/>
        <v>1</v>
      </c>
      <c r="AY161" s="223" t="str">
        <f t="shared" si="164"/>
        <v>1</v>
      </c>
    </row>
    <row r="162" spans="1:51" x14ac:dyDescent="0.25">
      <c r="A162" s="214">
        <v>160</v>
      </c>
      <c r="B162" s="251" t="s">
        <v>282</v>
      </c>
      <c r="C162" s="132" t="s">
        <v>117</v>
      </c>
      <c r="D162" s="157">
        <v>2014</v>
      </c>
      <c r="E162" s="138">
        <v>41764</v>
      </c>
      <c r="F162" s="222">
        <f t="shared" si="139"/>
        <v>5</v>
      </c>
      <c r="G162" s="222" t="str">
        <f t="shared" si="140"/>
        <v>52014</v>
      </c>
      <c r="H162" s="222" t="str">
        <f t="shared" si="141"/>
        <v>mayo</v>
      </c>
      <c r="I162" s="126" t="str">
        <f>VLOOKUP(B162,'Base de Datos'!$E$7:$T$271,14,0)</f>
        <v>1 mes y 15 días</v>
      </c>
      <c r="J162" s="224" t="e">
        <f t="shared" si="142"/>
        <v>#VALUE!</v>
      </c>
      <c r="K162" s="223" t="e">
        <f t="shared" si="143"/>
        <v>#VALUE!</v>
      </c>
      <c r="L162" s="223" t="e">
        <f t="shared" si="144"/>
        <v>#VALUE!</v>
      </c>
      <c r="M162" s="223" t="str">
        <f t="shared" si="145"/>
        <v>1 mes y 15 días</v>
      </c>
      <c r="N162" s="223" t="e">
        <f t="shared" ca="1" si="146"/>
        <v>#VALUE!</v>
      </c>
      <c r="O162" s="268" t="e">
        <f t="shared" ca="1" si="147"/>
        <v>#VALUE!</v>
      </c>
      <c r="P162" s="268" t="str">
        <f t="shared" si="156"/>
        <v/>
      </c>
      <c r="Q162" s="268" t="str">
        <f t="shared" si="148"/>
        <v/>
      </c>
      <c r="R162" s="268" t="str">
        <f t="shared" si="149"/>
        <v/>
      </c>
      <c r="S162" s="268" t="str">
        <f t="shared" si="150"/>
        <v/>
      </c>
      <c r="T162" s="268" t="str">
        <f t="shared" si="151"/>
        <v/>
      </c>
      <c r="U162" s="268" t="str">
        <f t="shared" si="152"/>
        <v/>
      </c>
      <c r="V162" s="268" t="str">
        <f t="shared" si="158"/>
        <v/>
      </c>
      <c r="W162" s="268" t="str">
        <f t="shared" si="153"/>
        <v/>
      </c>
      <c r="X162" s="268" t="str">
        <f t="shared" si="154"/>
        <v/>
      </c>
      <c r="Y162" s="268" t="str">
        <f t="shared" si="157"/>
        <v/>
      </c>
      <c r="Z162" s="268" t="str">
        <f t="shared" si="155"/>
        <v/>
      </c>
      <c r="AA162" s="268" t="str">
        <f t="shared" si="173"/>
        <v/>
      </c>
      <c r="AB162" s="268" t="str">
        <f t="shared" si="165"/>
        <v/>
      </c>
      <c r="AC162" s="268" t="str">
        <f t="shared" si="171"/>
        <v/>
      </c>
      <c r="AD162" s="268" t="str">
        <f t="shared" si="178"/>
        <v/>
      </c>
      <c r="AE162" s="268" t="str">
        <f t="shared" si="115"/>
        <v/>
      </c>
      <c r="AF162" s="268" t="str">
        <f t="shared" si="129"/>
        <v/>
      </c>
      <c r="AG162" s="268" t="str">
        <f t="shared" si="133"/>
        <v/>
      </c>
      <c r="AH162" s="268" t="str">
        <f t="shared" si="136"/>
        <v/>
      </c>
      <c r="AI162" s="268" t="str">
        <f t="shared" si="179"/>
        <v/>
      </c>
      <c r="AJ162" s="268" t="str">
        <f t="shared" si="159"/>
        <v/>
      </c>
      <c r="AK162" s="268" t="str">
        <f t="shared" si="166"/>
        <v/>
      </c>
      <c r="AL162" s="268" t="str">
        <f t="shared" si="168"/>
        <v/>
      </c>
      <c r="AM162" s="268" t="str">
        <f t="shared" si="172"/>
        <v/>
      </c>
      <c r="AN162" s="223" t="str">
        <f t="shared" si="160"/>
        <v/>
      </c>
      <c r="AO162" s="223" t="str">
        <f t="shared" si="167"/>
        <v/>
      </c>
      <c r="AP162" s="223" t="str">
        <f t="shared" si="174"/>
        <v/>
      </c>
      <c r="AQ162" s="223" t="str">
        <f t="shared" ref="AQ162:AQ193" si="180">IF(AND(E162&lt;$AQ$2,I162&gt;$AQ$2),"1","")</f>
        <v/>
      </c>
      <c r="AR162" s="223" t="str">
        <f t="shared" si="161"/>
        <v>1</v>
      </c>
      <c r="AS162" s="223" t="str">
        <f t="shared" si="169"/>
        <v>1</v>
      </c>
      <c r="AT162" s="223" t="str">
        <f t="shared" si="170"/>
        <v>1</v>
      </c>
      <c r="AU162" s="223" t="str">
        <f t="shared" si="175"/>
        <v>1</v>
      </c>
      <c r="AV162" s="223">
        <v>1</v>
      </c>
      <c r="AW162" s="223" t="str">
        <f t="shared" si="176"/>
        <v>1</v>
      </c>
      <c r="AX162" s="223" t="str">
        <f t="shared" si="177"/>
        <v>1</v>
      </c>
      <c r="AY162" s="223" t="str">
        <f t="shared" si="164"/>
        <v>1</v>
      </c>
    </row>
    <row r="163" spans="1:51" x14ac:dyDescent="0.25">
      <c r="A163" s="214">
        <v>161</v>
      </c>
      <c r="B163" s="251" t="s">
        <v>178</v>
      </c>
      <c r="C163" s="132" t="s">
        <v>33</v>
      </c>
      <c r="D163" s="141">
        <v>2013</v>
      </c>
      <c r="E163" s="138">
        <v>41547</v>
      </c>
      <c r="F163" s="222">
        <f t="shared" si="139"/>
        <v>9</v>
      </c>
      <c r="G163" s="222" t="str">
        <f t="shared" si="140"/>
        <v>92013</v>
      </c>
      <c r="H163" s="222" t="str">
        <f t="shared" si="141"/>
        <v>septiembre</v>
      </c>
      <c r="I163" s="126" t="str">
        <f>VLOOKUP(B163,'Base de Datos'!$E$7:$T$271,14,0)</f>
        <v/>
      </c>
      <c r="J163" s="224" t="e">
        <f t="shared" si="142"/>
        <v>#VALUE!</v>
      </c>
      <c r="K163" s="223" t="e">
        <f t="shared" si="143"/>
        <v>#VALUE!</v>
      </c>
      <c r="L163" s="223" t="e">
        <f t="shared" si="144"/>
        <v>#VALUE!</v>
      </c>
      <c r="M163" s="223" t="str">
        <f t="shared" si="145"/>
        <v/>
      </c>
      <c r="N163" s="223" t="e">
        <f t="shared" ca="1" si="146"/>
        <v>#VALUE!</v>
      </c>
      <c r="O163" s="268" t="e">
        <f t="shared" ca="1" si="147"/>
        <v>#VALUE!</v>
      </c>
      <c r="P163" s="268" t="str">
        <f t="shared" si="156"/>
        <v/>
      </c>
      <c r="Q163" s="268" t="str">
        <f t="shared" si="148"/>
        <v/>
      </c>
      <c r="R163" s="268" t="str">
        <f t="shared" si="149"/>
        <v/>
      </c>
      <c r="S163" s="268" t="str">
        <f t="shared" si="150"/>
        <v/>
      </c>
      <c r="T163" s="268" t="str">
        <f t="shared" si="151"/>
        <v/>
      </c>
      <c r="U163" s="268" t="str">
        <f t="shared" si="152"/>
        <v/>
      </c>
      <c r="V163" s="268" t="str">
        <f t="shared" si="158"/>
        <v/>
      </c>
      <c r="W163" s="268" t="str">
        <f t="shared" si="153"/>
        <v/>
      </c>
      <c r="X163" s="268" t="str">
        <f t="shared" si="154"/>
        <v/>
      </c>
      <c r="Y163" s="268" t="str">
        <f t="shared" si="157"/>
        <v/>
      </c>
      <c r="Z163" s="268" t="str">
        <f t="shared" si="155"/>
        <v/>
      </c>
      <c r="AA163" s="268" t="str">
        <f t="shared" si="173"/>
        <v/>
      </c>
      <c r="AB163" s="268" t="str">
        <f t="shared" si="165"/>
        <v/>
      </c>
      <c r="AC163" s="268" t="str">
        <f t="shared" si="171"/>
        <v/>
      </c>
      <c r="AD163" s="268" t="str">
        <f t="shared" si="178"/>
        <v/>
      </c>
      <c r="AE163" s="268" t="str">
        <f t="shared" ref="AE163:AE226" si="181">IF(AND(E163&lt;$AE$2,I163&gt;$AE$2),"1","")</f>
        <v/>
      </c>
      <c r="AF163" s="268" t="str">
        <f t="shared" si="129"/>
        <v/>
      </c>
      <c r="AG163" s="268" t="str">
        <f t="shared" si="133"/>
        <v/>
      </c>
      <c r="AH163" s="268" t="str">
        <f t="shared" si="136"/>
        <v/>
      </c>
      <c r="AI163" s="268" t="str">
        <f t="shared" si="179"/>
        <v/>
      </c>
      <c r="AJ163" s="268" t="str">
        <f t="shared" si="159"/>
        <v/>
      </c>
      <c r="AK163" s="268" t="str">
        <f t="shared" si="166"/>
        <v>1</v>
      </c>
      <c r="AL163" s="268" t="str">
        <f t="shared" si="168"/>
        <v>1</v>
      </c>
      <c r="AM163" s="268" t="str">
        <f t="shared" si="172"/>
        <v>1</v>
      </c>
      <c r="AN163" s="223" t="str">
        <f t="shared" si="160"/>
        <v>1</v>
      </c>
      <c r="AO163" s="223" t="str">
        <f t="shared" si="167"/>
        <v>1</v>
      </c>
      <c r="AP163" s="223" t="str">
        <f t="shared" si="174"/>
        <v>1</v>
      </c>
      <c r="AQ163" s="223" t="str">
        <f t="shared" si="180"/>
        <v>1</v>
      </c>
      <c r="AR163" s="223" t="str">
        <f t="shared" si="161"/>
        <v>1</v>
      </c>
      <c r="AS163" s="223" t="str">
        <f t="shared" si="169"/>
        <v>1</v>
      </c>
      <c r="AT163" s="223" t="str">
        <f t="shared" si="170"/>
        <v>1</v>
      </c>
      <c r="AU163" s="223" t="str">
        <f t="shared" si="175"/>
        <v>1</v>
      </c>
      <c r="AV163" s="223">
        <v>1</v>
      </c>
      <c r="AW163" s="223" t="str">
        <f t="shared" si="176"/>
        <v>1</v>
      </c>
      <c r="AX163" s="223" t="str">
        <f t="shared" si="177"/>
        <v>1</v>
      </c>
      <c r="AY163" s="223" t="str">
        <f t="shared" si="164"/>
        <v>1</v>
      </c>
    </row>
    <row r="164" spans="1:51" ht="22.5" x14ac:dyDescent="0.25">
      <c r="A164" s="214">
        <v>162</v>
      </c>
      <c r="B164" s="251" t="s">
        <v>308</v>
      </c>
      <c r="C164" s="132" t="s">
        <v>1050</v>
      </c>
      <c r="D164" s="157">
        <v>2014</v>
      </c>
      <c r="E164" s="138">
        <v>41862</v>
      </c>
      <c r="F164" s="222">
        <f t="shared" si="139"/>
        <v>8</v>
      </c>
      <c r="G164" s="222" t="str">
        <f t="shared" si="140"/>
        <v>82014</v>
      </c>
      <c r="H164" s="222" t="str">
        <f t="shared" si="141"/>
        <v>agosto</v>
      </c>
      <c r="I164" s="126" t="str">
        <f>VLOOKUP(B164,'Base de Datos'!$E$7:$T$271,14,0)</f>
        <v/>
      </c>
      <c r="J164" s="224" t="e">
        <f t="shared" si="142"/>
        <v>#VALUE!</v>
      </c>
      <c r="K164" s="223" t="e">
        <f t="shared" si="143"/>
        <v>#VALUE!</v>
      </c>
      <c r="L164" s="223" t="e">
        <f t="shared" si="144"/>
        <v>#VALUE!</v>
      </c>
      <c r="M164" s="223" t="str">
        <f t="shared" si="145"/>
        <v/>
      </c>
      <c r="N164" s="223" t="e">
        <f t="shared" ca="1" si="146"/>
        <v>#VALUE!</v>
      </c>
      <c r="O164" s="268" t="e">
        <f t="shared" ca="1" si="147"/>
        <v>#VALUE!</v>
      </c>
      <c r="P164" s="268" t="str">
        <f t="shared" si="156"/>
        <v/>
      </c>
      <c r="Q164" s="268" t="str">
        <f t="shared" si="148"/>
        <v/>
      </c>
      <c r="R164" s="268" t="str">
        <f t="shared" si="149"/>
        <v/>
      </c>
      <c r="S164" s="268" t="str">
        <f t="shared" si="150"/>
        <v/>
      </c>
      <c r="T164" s="268" t="str">
        <f t="shared" si="151"/>
        <v/>
      </c>
      <c r="U164" s="268" t="str">
        <f t="shared" si="152"/>
        <v/>
      </c>
      <c r="V164" s="268" t="str">
        <f t="shared" si="158"/>
        <v/>
      </c>
      <c r="W164" s="268" t="str">
        <f t="shared" si="153"/>
        <v/>
      </c>
      <c r="X164" s="268" t="str">
        <f t="shared" si="154"/>
        <v/>
      </c>
      <c r="Y164" s="268" t="str">
        <f t="shared" si="157"/>
        <v/>
      </c>
      <c r="Z164" s="268" t="str">
        <f t="shared" si="155"/>
        <v/>
      </c>
      <c r="AA164" s="268" t="str">
        <f t="shared" si="173"/>
        <v/>
      </c>
      <c r="AB164" s="268" t="str">
        <f t="shared" si="165"/>
        <v/>
      </c>
      <c r="AC164" s="268" t="str">
        <f t="shared" si="171"/>
        <v/>
      </c>
      <c r="AD164" s="268" t="str">
        <f t="shared" si="178"/>
        <v/>
      </c>
      <c r="AE164" s="268" t="str">
        <f t="shared" si="181"/>
        <v/>
      </c>
      <c r="AF164" s="268" t="str">
        <f t="shared" si="129"/>
        <v/>
      </c>
      <c r="AG164" s="268" t="str">
        <f t="shared" si="133"/>
        <v/>
      </c>
      <c r="AH164" s="268" t="str">
        <f t="shared" si="136"/>
        <v/>
      </c>
      <c r="AI164" s="268" t="str">
        <f t="shared" si="179"/>
        <v/>
      </c>
      <c r="AJ164" s="268" t="str">
        <f t="shared" si="159"/>
        <v/>
      </c>
      <c r="AK164" s="268" t="str">
        <f t="shared" si="166"/>
        <v/>
      </c>
      <c r="AL164" s="268" t="str">
        <f t="shared" si="168"/>
        <v/>
      </c>
      <c r="AM164" s="268" t="str">
        <f t="shared" si="172"/>
        <v/>
      </c>
      <c r="AN164" s="223" t="str">
        <f t="shared" si="160"/>
        <v/>
      </c>
      <c r="AO164" s="223" t="str">
        <f t="shared" si="167"/>
        <v/>
      </c>
      <c r="AP164" s="223" t="str">
        <f t="shared" si="174"/>
        <v/>
      </c>
      <c r="AQ164" s="223" t="str">
        <f t="shared" si="180"/>
        <v/>
      </c>
      <c r="AR164" s="223" t="str">
        <f t="shared" si="161"/>
        <v/>
      </c>
      <c r="AS164" s="223" t="str">
        <f t="shared" si="169"/>
        <v/>
      </c>
      <c r="AT164" s="223" t="str">
        <f t="shared" si="170"/>
        <v/>
      </c>
      <c r="AU164" s="223" t="str">
        <f t="shared" si="175"/>
        <v>1</v>
      </c>
      <c r="AV164" s="223" t="str">
        <f t="shared" ref="AV164:AV195" si="182">IF(AND(E164&lt;$AV$2,I164&gt;$AV$2),"1","")</f>
        <v>1</v>
      </c>
      <c r="AW164" s="223">
        <v>1</v>
      </c>
      <c r="AX164" s="223" t="str">
        <f t="shared" si="177"/>
        <v>1</v>
      </c>
      <c r="AY164" s="223" t="str">
        <f t="shared" si="164"/>
        <v>1</v>
      </c>
    </row>
    <row r="165" spans="1:51" x14ac:dyDescent="0.25">
      <c r="A165" s="214">
        <v>163</v>
      </c>
      <c r="B165" s="251" t="s">
        <v>196</v>
      </c>
      <c r="C165" s="139" t="s">
        <v>22</v>
      </c>
      <c r="D165" s="141">
        <v>2013</v>
      </c>
      <c r="E165" s="138">
        <v>41562</v>
      </c>
      <c r="F165" s="222">
        <f t="shared" si="139"/>
        <v>10</v>
      </c>
      <c r="G165" s="222" t="str">
        <f t="shared" si="140"/>
        <v>102013</v>
      </c>
      <c r="H165" s="222" t="str">
        <f t="shared" si="141"/>
        <v>octubre</v>
      </c>
      <c r="I165" s="126" t="str">
        <f>VLOOKUP(B165,'Base de Datos'!$E$7:$T$271,14,0)</f>
        <v/>
      </c>
      <c r="J165" s="224" t="e">
        <f t="shared" si="142"/>
        <v>#VALUE!</v>
      </c>
      <c r="K165" s="223" t="e">
        <f t="shared" si="143"/>
        <v>#VALUE!</v>
      </c>
      <c r="L165" s="223" t="e">
        <f t="shared" si="144"/>
        <v>#VALUE!</v>
      </c>
      <c r="M165" s="223" t="str">
        <f t="shared" si="145"/>
        <v/>
      </c>
      <c r="N165" s="223" t="e">
        <f t="shared" ca="1" si="146"/>
        <v>#VALUE!</v>
      </c>
      <c r="O165" s="268" t="e">
        <f t="shared" ca="1" si="147"/>
        <v>#VALUE!</v>
      </c>
      <c r="P165" s="268" t="str">
        <f t="shared" si="156"/>
        <v/>
      </c>
      <c r="Q165" s="268" t="str">
        <f t="shared" si="148"/>
        <v/>
      </c>
      <c r="R165" s="268" t="str">
        <f t="shared" si="149"/>
        <v/>
      </c>
      <c r="S165" s="268" t="str">
        <f t="shared" si="150"/>
        <v/>
      </c>
      <c r="T165" s="268" t="str">
        <f t="shared" si="151"/>
        <v/>
      </c>
      <c r="U165" s="268" t="str">
        <f t="shared" si="152"/>
        <v/>
      </c>
      <c r="V165" s="268" t="str">
        <f t="shared" si="158"/>
        <v/>
      </c>
      <c r="W165" s="268" t="str">
        <f t="shared" si="153"/>
        <v/>
      </c>
      <c r="X165" s="268" t="str">
        <f t="shared" si="154"/>
        <v/>
      </c>
      <c r="Y165" s="268" t="str">
        <f t="shared" si="157"/>
        <v/>
      </c>
      <c r="Z165" s="268" t="str">
        <f t="shared" si="155"/>
        <v/>
      </c>
      <c r="AA165" s="268" t="str">
        <f t="shared" si="173"/>
        <v/>
      </c>
      <c r="AB165" s="268" t="str">
        <f t="shared" si="165"/>
        <v/>
      </c>
      <c r="AC165" s="268" t="str">
        <f t="shared" si="171"/>
        <v/>
      </c>
      <c r="AD165" s="268" t="str">
        <f t="shared" si="178"/>
        <v/>
      </c>
      <c r="AE165" s="268" t="str">
        <f t="shared" si="181"/>
        <v/>
      </c>
      <c r="AF165" s="268" t="str">
        <f t="shared" si="129"/>
        <v/>
      </c>
      <c r="AG165" s="268" t="str">
        <f t="shared" si="133"/>
        <v/>
      </c>
      <c r="AH165" s="268" t="str">
        <f t="shared" si="136"/>
        <v/>
      </c>
      <c r="AI165" s="268" t="str">
        <f t="shared" si="179"/>
        <v/>
      </c>
      <c r="AJ165" s="268" t="str">
        <f t="shared" si="159"/>
        <v/>
      </c>
      <c r="AK165" s="268" t="str">
        <f t="shared" si="166"/>
        <v>1</v>
      </c>
      <c r="AL165" s="268" t="str">
        <f t="shared" si="168"/>
        <v>1</v>
      </c>
      <c r="AM165" s="268" t="str">
        <f t="shared" si="172"/>
        <v>1</v>
      </c>
      <c r="AN165" s="223" t="str">
        <f t="shared" si="160"/>
        <v>1</v>
      </c>
      <c r="AO165" s="223" t="str">
        <f t="shared" si="167"/>
        <v>1</v>
      </c>
      <c r="AP165" s="223" t="str">
        <f t="shared" si="174"/>
        <v>1</v>
      </c>
      <c r="AQ165" s="223" t="str">
        <f t="shared" si="180"/>
        <v>1</v>
      </c>
      <c r="AR165" s="223" t="str">
        <f t="shared" si="161"/>
        <v>1</v>
      </c>
      <c r="AS165" s="223" t="str">
        <f t="shared" si="169"/>
        <v>1</v>
      </c>
      <c r="AT165" s="223" t="str">
        <f t="shared" si="170"/>
        <v>1</v>
      </c>
      <c r="AU165" s="223" t="str">
        <f t="shared" si="175"/>
        <v>1</v>
      </c>
      <c r="AV165" s="223" t="str">
        <f t="shared" si="182"/>
        <v>1</v>
      </c>
      <c r="AW165" s="223">
        <v>1</v>
      </c>
      <c r="AX165" s="223" t="str">
        <f t="shared" si="177"/>
        <v>1</v>
      </c>
      <c r="AY165" s="223" t="str">
        <f t="shared" si="164"/>
        <v>1</v>
      </c>
    </row>
    <row r="166" spans="1:51" x14ac:dyDescent="0.25">
      <c r="A166" s="214">
        <v>164</v>
      </c>
      <c r="B166" s="251" t="s">
        <v>546</v>
      </c>
      <c r="C166" s="132" t="s">
        <v>310</v>
      </c>
      <c r="D166" s="157">
        <v>2014</v>
      </c>
      <c r="E166" s="138">
        <v>41871</v>
      </c>
      <c r="F166" s="222">
        <f t="shared" si="139"/>
        <v>8</v>
      </c>
      <c r="G166" s="222" t="str">
        <f t="shared" si="140"/>
        <v>82014</v>
      </c>
      <c r="H166" s="222" t="str">
        <f t="shared" si="141"/>
        <v>agosto</v>
      </c>
      <c r="I166" s="126" t="str">
        <f>VLOOKUP(B166,'Base de Datos'!$E$7:$T$271,14,0)</f>
        <v/>
      </c>
      <c r="J166" s="224" t="e">
        <f t="shared" si="142"/>
        <v>#VALUE!</v>
      </c>
      <c r="K166" s="223" t="e">
        <f t="shared" si="143"/>
        <v>#VALUE!</v>
      </c>
      <c r="L166" s="223" t="e">
        <f t="shared" si="144"/>
        <v>#VALUE!</v>
      </c>
      <c r="M166" s="223" t="str">
        <f t="shared" si="145"/>
        <v/>
      </c>
      <c r="N166" s="223" t="e">
        <f t="shared" ca="1" si="146"/>
        <v>#VALUE!</v>
      </c>
      <c r="O166" s="268" t="e">
        <f t="shared" ca="1" si="147"/>
        <v>#VALUE!</v>
      </c>
      <c r="P166" s="268" t="str">
        <f t="shared" si="156"/>
        <v/>
      </c>
      <c r="Q166" s="268" t="str">
        <f t="shared" si="148"/>
        <v/>
      </c>
      <c r="R166" s="268" t="str">
        <f t="shared" si="149"/>
        <v/>
      </c>
      <c r="S166" s="268" t="str">
        <f t="shared" si="150"/>
        <v/>
      </c>
      <c r="T166" s="268" t="str">
        <f t="shared" si="151"/>
        <v/>
      </c>
      <c r="U166" s="268" t="str">
        <f t="shared" si="152"/>
        <v/>
      </c>
      <c r="V166" s="268" t="str">
        <f t="shared" si="158"/>
        <v/>
      </c>
      <c r="W166" s="268" t="str">
        <f t="shared" si="153"/>
        <v/>
      </c>
      <c r="X166" s="268" t="str">
        <f t="shared" si="154"/>
        <v/>
      </c>
      <c r="Y166" s="268" t="str">
        <f t="shared" si="157"/>
        <v/>
      </c>
      <c r="Z166" s="268" t="str">
        <f t="shared" si="155"/>
        <v/>
      </c>
      <c r="AA166" s="268" t="str">
        <f t="shared" si="173"/>
        <v/>
      </c>
      <c r="AB166" s="268" t="str">
        <f t="shared" si="165"/>
        <v/>
      </c>
      <c r="AC166" s="268" t="str">
        <f t="shared" si="171"/>
        <v/>
      </c>
      <c r="AD166" s="268" t="str">
        <f t="shared" si="178"/>
        <v/>
      </c>
      <c r="AE166" s="268" t="str">
        <f t="shared" si="181"/>
        <v/>
      </c>
      <c r="AF166" s="268" t="str">
        <f t="shared" si="129"/>
        <v/>
      </c>
      <c r="AG166" s="268" t="str">
        <f t="shared" si="133"/>
        <v/>
      </c>
      <c r="AH166" s="268" t="str">
        <f t="shared" si="136"/>
        <v/>
      </c>
      <c r="AI166" s="268" t="str">
        <f t="shared" si="179"/>
        <v/>
      </c>
      <c r="AJ166" s="268" t="str">
        <f t="shared" si="159"/>
        <v/>
      </c>
      <c r="AK166" s="268" t="str">
        <f t="shared" si="166"/>
        <v/>
      </c>
      <c r="AL166" s="268" t="str">
        <f t="shared" si="168"/>
        <v/>
      </c>
      <c r="AM166" s="268" t="str">
        <f t="shared" si="172"/>
        <v/>
      </c>
      <c r="AN166" s="223" t="str">
        <f t="shared" si="160"/>
        <v/>
      </c>
      <c r="AO166" s="223" t="str">
        <f t="shared" si="167"/>
        <v/>
      </c>
      <c r="AP166" s="223" t="str">
        <f t="shared" si="174"/>
        <v/>
      </c>
      <c r="AQ166" s="223" t="str">
        <f t="shared" si="180"/>
        <v/>
      </c>
      <c r="AR166" s="223" t="str">
        <f t="shared" si="161"/>
        <v/>
      </c>
      <c r="AS166" s="223" t="str">
        <f t="shared" si="169"/>
        <v/>
      </c>
      <c r="AT166" s="223" t="str">
        <f t="shared" si="170"/>
        <v/>
      </c>
      <c r="AU166" s="223" t="str">
        <f t="shared" si="175"/>
        <v>1</v>
      </c>
      <c r="AV166" s="223" t="str">
        <f t="shared" si="182"/>
        <v>1</v>
      </c>
      <c r="AW166" s="223">
        <v>1</v>
      </c>
      <c r="AX166" s="223" t="str">
        <f t="shared" si="177"/>
        <v>1</v>
      </c>
      <c r="AY166" s="223" t="str">
        <f t="shared" si="164"/>
        <v>1</v>
      </c>
    </row>
    <row r="167" spans="1:51" x14ac:dyDescent="0.25">
      <c r="A167" s="214">
        <v>165</v>
      </c>
      <c r="B167" s="251" t="s">
        <v>193</v>
      </c>
      <c r="C167" s="132" t="s">
        <v>194</v>
      </c>
      <c r="D167" s="141">
        <v>2013</v>
      </c>
      <c r="E167" s="138">
        <v>41555</v>
      </c>
      <c r="F167" s="222">
        <f t="shared" si="139"/>
        <v>10</v>
      </c>
      <c r="G167" s="222" t="str">
        <f t="shared" si="140"/>
        <v>102013</v>
      </c>
      <c r="H167" s="222" t="str">
        <f t="shared" si="141"/>
        <v>octubre</v>
      </c>
      <c r="I167" s="126" t="str">
        <f>VLOOKUP(B167,'Base de Datos'!$E$7:$T$271,14,0)</f>
        <v/>
      </c>
      <c r="J167" s="224" t="e">
        <f t="shared" si="142"/>
        <v>#VALUE!</v>
      </c>
      <c r="K167" s="223" t="e">
        <f t="shared" si="143"/>
        <v>#VALUE!</v>
      </c>
      <c r="L167" s="223" t="e">
        <f t="shared" si="144"/>
        <v>#VALUE!</v>
      </c>
      <c r="M167" s="223" t="str">
        <f t="shared" si="145"/>
        <v/>
      </c>
      <c r="N167" s="223" t="e">
        <f t="shared" ca="1" si="146"/>
        <v>#VALUE!</v>
      </c>
      <c r="O167" s="268" t="e">
        <f t="shared" ca="1" si="147"/>
        <v>#VALUE!</v>
      </c>
      <c r="P167" s="268" t="str">
        <f t="shared" si="156"/>
        <v/>
      </c>
      <c r="Q167" s="268" t="str">
        <f t="shared" si="148"/>
        <v/>
      </c>
      <c r="R167" s="268" t="str">
        <f t="shared" si="149"/>
        <v/>
      </c>
      <c r="S167" s="268" t="str">
        <f t="shared" si="150"/>
        <v/>
      </c>
      <c r="T167" s="268" t="str">
        <f t="shared" si="151"/>
        <v/>
      </c>
      <c r="U167" s="268" t="str">
        <f t="shared" si="152"/>
        <v/>
      </c>
      <c r="V167" s="268" t="str">
        <f t="shared" si="158"/>
        <v/>
      </c>
      <c r="W167" s="268" t="str">
        <f t="shared" si="153"/>
        <v/>
      </c>
      <c r="X167" s="268" t="str">
        <f t="shared" si="154"/>
        <v/>
      </c>
      <c r="Y167" s="268" t="str">
        <f t="shared" si="157"/>
        <v/>
      </c>
      <c r="Z167" s="268" t="str">
        <f t="shared" si="155"/>
        <v/>
      </c>
      <c r="AA167" s="268" t="str">
        <f t="shared" si="173"/>
        <v/>
      </c>
      <c r="AB167" s="268" t="str">
        <f t="shared" si="165"/>
        <v/>
      </c>
      <c r="AC167" s="268" t="str">
        <f t="shared" si="171"/>
        <v/>
      </c>
      <c r="AD167" s="268" t="str">
        <f t="shared" si="178"/>
        <v/>
      </c>
      <c r="AE167" s="268" t="str">
        <f t="shared" si="181"/>
        <v/>
      </c>
      <c r="AF167" s="268" t="str">
        <f t="shared" si="129"/>
        <v/>
      </c>
      <c r="AG167" s="268" t="str">
        <f t="shared" si="133"/>
        <v/>
      </c>
      <c r="AH167" s="268" t="str">
        <f t="shared" si="136"/>
        <v/>
      </c>
      <c r="AI167" s="268" t="str">
        <f t="shared" si="179"/>
        <v/>
      </c>
      <c r="AJ167" s="268" t="str">
        <f t="shared" ref="AJ167:AJ198" si="183">IF(AND(E167&lt;$AJ$2,I167&gt;$AJ$2),"1","")</f>
        <v/>
      </c>
      <c r="AK167" s="268" t="str">
        <f t="shared" si="166"/>
        <v>1</v>
      </c>
      <c r="AL167" s="268" t="str">
        <f t="shared" si="168"/>
        <v>1</v>
      </c>
      <c r="AM167" s="268" t="str">
        <f t="shared" si="172"/>
        <v>1</v>
      </c>
      <c r="AN167" s="223" t="str">
        <f t="shared" ref="AN167:AN198" si="184">IF(AND(E167&lt;$AN$2,I167&gt;$AN$2),"1","")</f>
        <v>1</v>
      </c>
      <c r="AO167" s="223" t="str">
        <f t="shared" si="167"/>
        <v>1</v>
      </c>
      <c r="AP167" s="223" t="str">
        <f t="shared" si="174"/>
        <v>1</v>
      </c>
      <c r="AQ167" s="223" t="str">
        <f t="shared" si="180"/>
        <v>1</v>
      </c>
      <c r="AR167" s="223" t="str">
        <f t="shared" ref="AR167:AR198" si="185">IF(AND(E167&lt;$AR$2,I167&gt;$AR$2),"1","")</f>
        <v>1</v>
      </c>
      <c r="AS167" s="223" t="str">
        <f t="shared" si="169"/>
        <v>1</v>
      </c>
      <c r="AT167" s="223" t="str">
        <f t="shared" si="170"/>
        <v>1</v>
      </c>
      <c r="AU167" s="223" t="str">
        <f t="shared" si="175"/>
        <v>1</v>
      </c>
      <c r="AV167" s="223" t="str">
        <f t="shared" si="182"/>
        <v>1</v>
      </c>
      <c r="AW167" s="223">
        <v>1</v>
      </c>
      <c r="AX167" s="223" t="str">
        <f t="shared" si="177"/>
        <v>1</v>
      </c>
      <c r="AY167" s="223" t="str">
        <f t="shared" ref="AY167:AY174" si="186">IF(AND(E167&lt;$AY$2,I167&gt;$AY$2),"1","")</f>
        <v>1</v>
      </c>
    </row>
    <row r="168" spans="1:51" ht="22.5" x14ac:dyDescent="0.25">
      <c r="A168" s="214">
        <v>166</v>
      </c>
      <c r="B168" s="251" t="s">
        <v>206</v>
      </c>
      <c r="C168" s="132" t="s">
        <v>1020</v>
      </c>
      <c r="D168" s="141">
        <v>2013</v>
      </c>
      <c r="E168" s="138">
        <v>41575</v>
      </c>
      <c r="F168" s="222">
        <f t="shared" si="139"/>
        <v>10</v>
      </c>
      <c r="G168" s="222" t="str">
        <f t="shared" si="140"/>
        <v>102013</v>
      </c>
      <c r="H168" s="222" t="str">
        <f t="shared" si="141"/>
        <v>octubre</v>
      </c>
      <c r="I168" s="126" t="str">
        <f>VLOOKUP(B168,'Base de Datos'!$E$7:$T$271,14,0)</f>
        <v/>
      </c>
      <c r="J168" s="224" t="e">
        <f t="shared" si="142"/>
        <v>#VALUE!</v>
      </c>
      <c r="K168" s="223" t="e">
        <f t="shared" si="143"/>
        <v>#VALUE!</v>
      </c>
      <c r="L168" s="223" t="e">
        <f t="shared" si="144"/>
        <v>#VALUE!</v>
      </c>
      <c r="M168" s="223" t="str">
        <f t="shared" si="145"/>
        <v/>
      </c>
      <c r="N168" s="223" t="e">
        <f t="shared" ca="1" si="146"/>
        <v>#VALUE!</v>
      </c>
      <c r="O168" s="268" t="e">
        <f t="shared" ca="1" si="147"/>
        <v>#VALUE!</v>
      </c>
      <c r="P168" s="268" t="str">
        <f t="shared" si="156"/>
        <v/>
      </c>
      <c r="Q168" s="268" t="str">
        <f t="shared" si="148"/>
        <v/>
      </c>
      <c r="R168" s="268" t="str">
        <f t="shared" si="149"/>
        <v/>
      </c>
      <c r="S168" s="268" t="str">
        <f t="shared" si="150"/>
        <v/>
      </c>
      <c r="T168" s="268" t="str">
        <f t="shared" si="151"/>
        <v/>
      </c>
      <c r="U168" s="268" t="str">
        <f t="shared" si="152"/>
        <v/>
      </c>
      <c r="V168" s="268" t="str">
        <f t="shared" si="158"/>
        <v/>
      </c>
      <c r="W168" s="268" t="str">
        <f t="shared" si="153"/>
        <v/>
      </c>
      <c r="X168" s="268" t="str">
        <f t="shared" si="154"/>
        <v/>
      </c>
      <c r="Y168" s="268" t="str">
        <f t="shared" si="157"/>
        <v/>
      </c>
      <c r="Z168" s="268" t="str">
        <f t="shared" si="155"/>
        <v/>
      </c>
      <c r="AA168" s="268" t="str">
        <f t="shared" si="173"/>
        <v/>
      </c>
      <c r="AB168" s="268" t="str">
        <f t="shared" si="165"/>
        <v/>
      </c>
      <c r="AC168" s="268" t="str">
        <f t="shared" si="171"/>
        <v/>
      </c>
      <c r="AD168" s="268" t="str">
        <f t="shared" si="178"/>
        <v/>
      </c>
      <c r="AE168" s="268" t="str">
        <f t="shared" si="181"/>
        <v/>
      </c>
      <c r="AF168" s="268" t="str">
        <f t="shared" si="129"/>
        <v/>
      </c>
      <c r="AG168" s="268" t="str">
        <f t="shared" si="133"/>
        <v/>
      </c>
      <c r="AH168" s="268" t="str">
        <f t="shared" si="136"/>
        <v/>
      </c>
      <c r="AI168" s="268" t="str">
        <f t="shared" si="179"/>
        <v/>
      </c>
      <c r="AJ168" s="268" t="str">
        <f t="shared" si="183"/>
        <v/>
      </c>
      <c r="AK168" s="268" t="str">
        <f t="shared" si="166"/>
        <v>1</v>
      </c>
      <c r="AL168" s="268" t="str">
        <f t="shared" si="168"/>
        <v>1</v>
      </c>
      <c r="AM168" s="268" t="str">
        <f t="shared" si="172"/>
        <v>1</v>
      </c>
      <c r="AN168" s="223" t="str">
        <f t="shared" si="184"/>
        <v>1</v>
      </c>
      <c r="AO168" s="223" t="str">
        <f t="shared" si="167"/>
        <v>1</v>
      </c>
      <c r="AP168" s="223" t="str">
        <f t="shared" si="174"/>
        <v>1</v>
      </c>
      <c r="AQ168" s="223" t="str">
        <f t="shared" si="180"/>
        <v>1</v>
      </c>
      <c r="AR168" s="223" t="str">
        <f t="shared" si="185"/>
        <v>1</v>
      </c>
      <c r="AS168" s="223" t="str">
        <f t="shared" si="169"/>
        <v>1</v>
      </c>
      <c r="AT168" s="223" t="str">
        <f t="shared" si="170"/>
        <v>1</v>
      </c>
      <c r="AU168" s="223" t="str">
        <f t="shared" si="175"/>
        <v>1</v>
      </c>
      <c r="AV168" s="223" t="str">
        <f t="shared" si="182"/>
        <v>1</v>
      </c>
      <c r="AW168" s="223">
        <v>1</v>
      </c>
      <c r="AX168" s="223" t="str">
        <f t="shared" si="177"/>
        <v>1</v>
      </c>
      <c r="AY168" s="223" t="str">
        <f t="shared" si="186"/>
        <v>1</v>
      </c>
    </row>
    <row r="169" spans="1:51" x14ac:dyDescent="0.25">
      <c r="A169" s="214">
        <v>167</v>
      </c>
      <c r="B169" s="251" t="s">
        <v>271</v>
      </c>
      <c r="C169" s="132" t="s">
        <v>272</v>
      </c>
      <c r="D169" s="157">
        <v>2014</v>
      </c>
      <c r="E169" s="138">
        <v>41738</v>
      </c>
      <c r="F169" s="222">
        <f t="shared" si="139"/>
        <v>4</v>
      </c>
      <c r="G169" s="222" t="str">
        <f t="shared" si="140"/>
        <v>42014</v>
      </c>
      <c r="H169" s="222" t="str">
        <f t="shared" si="141"/>
        <v>abril</v>
      </c>
      <c r="I169" s="126" t="str">
        <f>VLOOKUP(B169,'Base de Datos'!$E$7:$T$271,14,0)</f>
        <v/>
      </c>
      <c r="J169" s="224" t="e">
        <f t="shared" si="142"/>
        <v>#VALUE!</v>
      </c>
      <c r="K169" s="223" t="e">
        <f t="shared" si="143"/>
        <v>#VALUE!</v>
      </c>
      <c r="L169" s="223" t="e">
        <f t="shared" si="144"/>
        <v>#VALUE!</v>
      </c>
      <c r="M169" s="223" t="str">
        <f t="shared" si="145"/>
        <v/>
      </c>
      <c r="N169" s="223" t="e">
        <f t="shared" ca="1" si="146"/>
        <v>#VALUE!</v>
      </c>
      <c r="O169" s="268" t="e">
        <f t="shared" ca="1" si="147"/>
        <v>#VALUE!</v>
      </c>
      <c r="P169" s="268" t="str">
        <f t="shared" si="156"/>
        <v/>
      </c>
      <c r="Q169" s="268" t="str">
        <f t="shared" si="148"/>
        <v/>
      </c>
      <c r="R169" s="268" t="str">
        <f t="shared" si="149"/>
        <v/>
      </c>
      <c r="S169" s="268" t="str">
        <f t="shared" si="150"/>
        <v/>
      </c>
      <c r="T169" s="268" t="str">
        <f t="shared" si="151"/>
        <v/>
      </c>
      <c r="U169" s="268" t="str">
        <f t="shared" si="152"/>
        <v/>
      </c>
      <c r="V169" s="268" t="str">
        <f t="shared" si="158"/>
        <v/>
      </c>
      <c r="W169" s="268" t="str">
        <f t="shared" si="153"/>
        <v/>
      </c>
      <c r="X169" s="268" t="str">
        <f t="shared" si="154"/>
        <v/>
      </c>
      <c r="Y169" s="268" t="str">
        <f t="shared" si="157"/>
        <v/>
      </c>
      <c r="Z169" s="268" t="str">
        <f t="shared" si="155"/>
        <v/>
      </c>
      <c r="AA169" s="268" t="str">
        <f t="shared" si="173"/>
        <v/>
      </c>
      <c r="AB169" s="268" t="str">
        <f t="shared" si="165"/>
        <v/>
      </c>
      <c r="AC169" s="268" t="str">
        <f t="shared" si="171"/>
        <v/>
      </c>
      <c r="AD169" s="268" t="str">
        <f t="shared" si="178"/>
        <v/>
      </c>
      <c r="AE169" s="268" t="str">
        <f t="shared" si="181"/>
        <v/>
      </c>
      <c r="AF169" s="268" t="str">
        <f t="shared" si="129"/>
        <v/>
      </c>
      <c r="AG169" s="268" t="str">
        <f t="shared" si="133"/>
        <v/>
      </c>
      <c r="AH169" s="268" t="str">
        <f t="shared" si="136"/>
        <v/>
      </c>
      <c r="AI169" s="268" t="str">
        <f t="shared" si="179"/>
        <v/>
      </c>
      <c r="AJ169" s="268" t="str">
        <f t="shared" si="183"/>
        <v/>
      </c>
      <c r="AK169" s="268" t="str">
        <f t="shared" si="166"/>
        <v/>
      </c>
      <c r="AL169" s="268" t="str">
        <f t="shared" si="168"/>
        <v/>
      </c>
      <c r="AM169" s="268" t="str">
        <f t="shared" si="172"/>
        <v/>
      </c>
      <c r="AN169" s="223" t="str">
        <f t="shared" si="184"/>
        <v/>
      </c>
      <c r="AO169" s="223" t="str">
        <f t="shared" si="167"/>
        <v/>
      </c>
      <c r="AP169" s="223" t="str">
        <f t="shared" si="174"/>
        <v/>
      </c>
      <c r="AQ169" s="223" t="str">
        <f t="shared" si="180"/>
        <v>1</v>
      </c>
      <c r="AR169" s="223" t="str">
        <f t="shared" si="185"/>
        <v>1</v>
      </c>
      <c r="AS169" s="223" t="str">
        <f t="shared" si="169"/>
        <v>1</v>
      </c>
      <c r="AT169" s="223" t="str">
        <f t="shared" si="170"/>
        <v>1</v>
      </c>
      <c r="AU169" s="223" t="str">
        <f t="shared" si="175"/>
        <v>1</v>
      </c>
      <c r="AV169" s="223" t="str">
        <f t="shared" si="182"/>
        <v>1</v>
      </c>
      <c r="AW169" s="223" t="str">
        <f t="shared" ref="AW169:AW200" si="187">IF(AND(E169&lt;$AW$2,I169&gt;$AW$2),"1","")</f>
        <v>1</v>
      </c>
      <c r="AX169" s="223">
        <v>1</v>
      </c>
      <c r="AY169" s="223" t="str">
        <f t="shared" si="186"/>
        <v>1</v>
      </c>
    </row>
    <row r="170" spans="1:51" x14ac:dyDescent="0.25">
      <c r="A170" s="214">
        <v>168</v>
      </c>
      <c r="B170" s="251" t="s">
        <v>285</v>
      </c>
      <c r="C170" s="132" t="s">
        <v>286</v>
      </c>
      <c r="D170" s="157">
        <v>2014</v>
      </c>
      <c r="E170" s="138">
        <v>41806</v>
      </c>
      <c r="F170" s="222">
        <f t="shared" si="139"/>
        <v>6</v>
      </c>
      <c r="G170" s="222" t="str">
        <f t="shared" si="140"/>
        <v>62014</v>
      </c>
      <c r="H170" s="222" t="str">
        <f t="shared" si="141"/>
        <v>junio</v>
      </c>
      <c r="I170" s="126" t="str">
        <f>VLOOKUP(B170,'Base de Datos'!$E$7:$T$271,14,0)</f>
        <v/>
      </c>
      <c r="J170" s="224" t="e">
        <f t="shared" si="142"/>
        <v>#VALUE!</v>
      </c>
      <c r="K170" s="223" t="e">
        <f t="shared" si="143"/>
        <v>#VALUE!</v>
      </c>
      <c r="L170" s="223" t="e">
        <f t="shared" si="144"/>
        <v>#VALUE!</v>
      </c>
      <c r="M170" s="223" t="str">
        <f t="shared" si="145"/>
        <v/>
      </c>
      <c r="N170" s="223" t="e">
        <f t="shared" ca="1" si="146"/>
        <v>#VALUE!</v>
      </c>
      <c r="O170" s="268" t="e">
        <f t="shared" ca="1" si="147"/>
        <v>#VALUE!</v>
      </c>
      <c r="P170" s="268" t="str">
        <f t="shared" si="156"/>
        <v/>
      </c>
      <c r="Q170" s="268" t="str">
        <f t="shared" si="148"/>
        <v/>
      </c>
      <c r="R170" s="268" t="str">
        <f t="shared" si="149"/>
        <v/>
      </c>
      <c r="S170" s="268" t="str">
        <f t="shared" si="150"/>
        <v/>
      </c>
      <c r="T170" s="268" t="str">
        <f t="shared" si="151"/>
        <v/>
      </c>
      <c r="U170" s="268" t="str">
        <f t="shared" si="152"/>
        <v/>
      </c>
      <c r="V170" s="268" t="str">
        <f t="shared" si="158"/>
        <v/>
      </c>
      <c r="W170" s="268" t="str">
        <f t="shared" si="153"/>
        <v/>
      </c>
      <c r="X170" s="268" t="str">
        <f t="shared" si="154"/>
        <v/>
      </c>
      <c r="Y170" s="268" t="str">
        <f t="shared" si="157"/>
        <v/>
      </c>
      <c r="Z170" s="268" t="str">
        <f t="shared" si="155"/>
        <v/>
      </c>
      <c r="AA170" s="268" t="str">
        <f t="shared" si="173"/>
        <v/>
      </c>
      <c r="AB170" s="268" t="str">
        <f t="shared" si="165"/>
        <v/>
      </c>
      <c r="AC170" s="268" t="str">
        <f t="shared" si="171"/>
        <v/>
      </c>
      <c r="AD170" s="268" t="str">
        <f t="shared" si="178"/>
        <v/>
      </c>
      <c r="AE170" s="268" t="str">
        <f t="shared" si="181"/>
        <v/>
      </c>
      <c r="AF170" s="268" t="str">
        <f t="shared" si="129"/>
        <v/>
      </c>
      <c r="AG170" s="268" t="str">
        <f t="shared" si="133"/>
        <v/>
      </c>
      <c r="AH170" s="268" t="str">
        <f t="shared" si="136"/>
        <v/>
      </c>
      <c r="AI170" s="268" t="str">
        <f t="shared" si="179"/>
        <v/>
      </c>
      <c r="AJ170" s="268" t="str">
        <f t="shared" si="183"/>
        <v/>
      </c>
      <c r="AK170" s="268" t="str">
        <f t="shared" si="166"/>
        <v/>
      </c>
      <c r="AL170" s="268" t="str">
        <f t="shared" si="168"/>
        <v/>
      </c>
      <c r="AM170" s="268" t="str">
        <f t="shared" si="172"/>
        <v/>
      </c>
      <c r="AN170" s="223" t="str">
        <f t="shared" si="184"/>
        <v/>
      </c>
      <c r="AO170" s="223" t="str">
        <f t="shared" si="167"/>
        <v/>
      </c>
      <c r="AP170" s="223" t="str">
        <f t="shared" si="174"/>
        <v/>
      </c>
      <c r="AQ170" s="223" t="str">
        <f t="shared" si="180"/>
        <v/>
      </c>
      <c r="AR170" s="223" t="str">
        <f t="shared" si="185"/>
        <v/>
      </c>
      <c r="AS170" s="223" t="str">
        <f t="shared" si="169"/>
        <v>1</v>
      </c>
      <c r="AT170" s="223" t="str">
        <f t="shared" si="170"/>
        <v>1</v>
      </c>
      <c r="AU170" s="223" t="str">
        <f t="shared" si="175"/>
        <v>1</v>
      </c>
      <c r="AV170" s="223" t="str">
        <f t="shared" si="182"/>
        <v>1</v>
      </c>
      <c r="AW170" s="223" t="str">
        <f t="shared" si="187"/>
        <v>1</v>
      </c>
      <c r="AX170" s="223">
        <v>1</v>
      </c>
      <c r="AY170" s="223" t="str">
        <f t="shared" si="186"/>
        <v>1</v>
      </c>
    </row>
    <row r="171" spans="1:51" ht="22.5" x14ac:dyDescent="0.25">
      <c r="A171" s="214">
        <v>169</v>
      </c>
      <c r="B171" s="251" t="s">
        <v>304</v>
      </c>
      <c r="C171" s="132" t="s">
        <v>1006</v>
      </c>
      <c r="D171" s="157">
        <v>2014</v>
      </c>
      <c r="E171" s="138">
        <v>41842</v>
      </c>
      <c r="F171" s="222">
        <f t="shared" si="139"/>
        <v>7</v>
      </c>
      <c r="G171" s="222" t="str">
        <f t="shared" si="140"/>
        <v>72014</v>
      </c>
      <c r="H171" s="222" t="str">
        <f t="shared" si="141"/>
        <v>julio</v>
      </c>
      <c r="I171" s="126" t="str">
        <f>VLOOKUP(B171,'Base de Datos'!$E$7:$T$271,14,0)</f>
        <v/>
      </c>
      <c r="J171" s="224" t="e">
        <f t="shared" si="142"/>
        <v>#VALUE!</v>
      </c>
      <c r="K171" s="223" t="e">
        <f t="shared" si="143"/>
        <v>#VALUE!</v>
      </c>
      <c r="L171" s="223" t="e">
        <f t="shared" si="144"/>
        <v>#VALUE!</v>
      </c>
      <c r="M171" s="223" t="str">
        <f t="shared" si="145"/>
        <v/>
      </c>
      <c r="N171" s="223" t="e">
        <f t="shared" ca="1" si="146"/>
        <v>#VALUE!</v>
      </c>
      <c r="O171" s="268" t="e">
        <f t="shared" ca="1" si="147"/>
        <v>#VALUE!</v>
      </c>
      <c r="P171" s="268" t="str">
        <f t="shared" si="156"/>
        <v/>
      </c>
      <c r="Q171" s="268" t="str">
        <f t="shared" si="148"/>
        <v/>
      </c>
      <c r="R171" s="268" t="str">
        <f t="shared" si="149"/>
        <v/>
      </c>
      <c r="S171" s="268" t="str">
        <f t="shared" si="150"/>
        <v/>
      </c>
      <c r="T171" s="268" t="str">
        <f t="shared" si="151"/>
        <v/>
      </c>
      <c r="U171" s="268" t="str">
        <f t="shared" si="152"/>
        <v/>
      </c>
      <c r="V171" s="268" t="str">
        <f t="shared" si="158"/>
        <v/>
      </c>
      <c r="W171" s="268" t="str">
        <f t="shared" si="153"/>
        <v/>
      </c>
      <c r="X171" s="268" t="str">
        <f t="shared" si="154"/>
        <v/>
      </c>
      <c r="Y171" s="268" t="str">
        <f t="shared" si="157"/>
        <v/>
      </c>
      <c r="Z171" s="268" t="str">
        <f t="shared" si="155"/>
        <v/>
      </c>
      <c r="AA171" s="268" t="str">
        <f t="shared" si="173"/>
        <v/>
      </c>
      <c r="AB171" s="268" t="str">
        <f t="shared" si="165"/>
        <v/>
      </c>
      <c r="AC171" s="268" t="str">
        <f t="shared" si="171"/>
        <v/>
      </c>
      <c r="AD171" s="268" t="str">
        <f t="shared" si="178"/>
        <v/>
      </c>
      <c r="AE171" s="268" t="str">
        <f t="shared" si="181"/>
        <v/>
      </c>
      <c r="AF171" s="268" t="str">
        <f t="shared" ref="AF171:AF234" si="188">IF(AND(E171&lt;$AF$2,I171&gt;$AF$2),"1","")</f>
        <v/>
      </c>
      <c r="AG171" s="268" t="str">
        <f t="shared" si="133"/>
        <v/>
      </c>
      <c r="AH171" s="268" t="str">
        <f t="shared" si="136"/>
        <v/>
      </c>
      <c r="AI171" s="268" t="str">
        <f t="shared" si="179"/>
        <v/>
      </c>
      <c r="AJ171" s="268" t="str">
        <f t="shared" si="183"/>
        <v/>
      </c>
      <c r="AK171" s="268" t="str">
        <f t="shared" si="166"/>
        <v/>
      </c>
      <c r="AL171" s="268" t="str">
        <f t="shared" si="168"/>
        <v/>
      </c>
      <c r="AM171" s="268" t="str">
        <f t="shared" si="172"/>
        <v/>
      </c>
      <c r="AN171" s="223" t="str">
        <f t="shared" si="184"/>
        <v/>
      </c>
      <c r="AO171" s="223" t="str">
        <f t="shared" si="167"/>
        <v/>
      </c>
      <c r="AP171" s="223" t="str">
        <f t="shared" si="174"/>
        <v/>
      </c>
      <c r="AQ171" s="223" t="str">
        <f t="shared" si="180"/>
        <v/>
      </c>
      <c r="AR171" s="223" t="str">
        <f t="shared" si="185"/>
        <v/>
      </c>
      <c r="AS171" s="223" t="str">
        <f t="shared" si="169"/>
        <v/>
      </c>
      <c r="AT171" s="223" t="str">
        <f t="shared" si="170"/>
        <v>1</v>
      </c>
      <c r="AU171" s="223" t="str">
        <f t="shared" si="175"/>
        <v>1</v>
      </c>
      <c r="AV171" s="223" t="str">
        <f t="shared" si="182"/>
        <v>1</v>
      </c>
      <c r="AW171" s="223" t="str">
        <f t="shared" si="187"/>
        <v>1</v>
      </c>
      <c r="AX171" s="223">
        <v>1</v>
      </c>
      <c r="AY171" s="223" t="str">
        <f t="shared" si="186"/>
        <v>1</v>
      </c>
    </row>
    <row r="172" spans="1:51" ht="22.5" x14ac:dyDescent="0.25">
      <c r="A172" s="214">
        <v>170</v>
      </c>
      <c r="B172" s="250" t="s">
        <v>132</v>
      </c>
      <c r="C172" s="132" t="s">
        <v>27</v>
      </c>
      <c r="D172" s="156">
        <v>2013</v>
      </c>
      <c r="E172" s="138">
        <v>41421</v>
      </c>
      <c r="F172" s="222">
        <f t="shared" si="139"/>
        <v>5</v>
      </c>
      <c r="G172" s="222" t="str">
        <f t="shared" si="140"/>
        <v>52013</v>
      </c>
      <c r="H172" s="222" t="str">
        <f t="shared" si="141"/>
        <v>mayo</v>
      </c>
      <c r="I172" s="126" t="str">
        <f>VLOOKUP(B172,'Base de Datos'!$E$7:$T$271,14,0)</f>
        <v/>
      </c>
      <c r="J172" s="224" t="e">
        <f t="shared" si="142"/>
        <v>#VALUE!</v>
      </c>
      <c r="K172" s="223" t="e">
        <f t="shared" si="143"/>
        <v>#VALUE!</v>
      </c>
      <c r="L172" s="223" t="e">
        <f t="shared" si="144"/>
        <v>#VALUE!</v>
      </c>
      <c r="M172" s="223" t="str">
        <f t="shared" si="145"/>
        <v/>
      </c>
      <c r="N172" s="223" t="e">
        <f t="shared" ca="1" si="146"/>
        <v>#VALUE!</v>
      </c>
      <c r="O172" s="268" t="e">
        <f t="shared" ca="1" si="147"/>
        <v>#VALUE!</v>
      </c>
      <c r="P172" s="268" t="str">
        <f t="shared" si="156"/>
        <v/>
      </c>
      <c r="Q172" s="268" t="str">
        <f t="shared" si="148"/>
        <v/>
      </c>
      <c r="R172" s="268" t="str">
        <f t="shared" si="149"/>
        <v/>
      </c>
      <c r="S172" s="268" t="str">
        <f t="shared" si="150"/>
        <v/>
      </c>
      <c r="T172" s="268" t="str">
        <f t="shared" si="151"/>
        <v/>
      </c>
      <c r="U172" s="268" t="str">
        <f t="shared" si="152"/>
        <v/>
      </c>
      <c r="V172" s="268" t="str">
        <f t="shared" si="158"/>
        <v/>
      </c>
      <c r="W172" s="268" t="str">
        <f t="shared" si="153"/>
        <v/>
      </c>
      <c r="X172" s="268" t="str">
        <f t="shared" si="154"/>
        <v/>
      </c>
      <c r="Y172" s="268" t="str">
        <f t="shared" si="157"/>
        <v/>
      </c>
      <c r="Z172" s="268" t="str">
        <f t="shared" si="155"/>
        <v/>
      </c>
      <c r="AA172" s="268" t="str">
        <f t="shared" si="173"/>
        <v/>
      </c>
      <c r="AB172" s="268" t="str">
        <f t="shared" si="165"/>
        <v/>
      </c>
      <c r="AC172" s="268" t="str">
        <f t="shared" si="171"/>
        <v/>
      </c>
      <c r="AD172" s="268" t="str">
        <f t="shared" si="178"/>
        <v/>
      </c>
      <c r="AE172" s="268" t="str">
        <f t="shared" si="181"/>
        <v/>
      </c>
      <c r="AF172" s="268" t="str">
        <f t="shared" si="188"/>
        <v>1</v>
      </c>
      <c r="AG172" s="268" t="str">
        <f t="shared" si="133"/>
        <v>1</v>
      </c>
      <c r="AH172" s="268" t="str">
        <f t="shared" si="136"/>
        <v>1</v>
      </c>
      <c r="AI172" s="268" t="str">
        <f t="shared" si="179"/>
        <v>1</v>
      </c>
      <c r="AJ172" s="268" t="str">
        <f t="shared" si="183"/>
        <v>1</v>
      </c>
      <c r="AK172" s="268" t="str">
        <f t="shared" si="166"/>
        <v>1</v>
      </c>
      <c r="AL172" s="268" t="str">
        <f t="shared" si="168"/>
        <v>1</v>
      </c>
      <c r="AM172" s="268" t="str">
        <f t="shared" si="172"/>
        <v>1</v>
      </c>
      <c r="AN172" s="223" t="str">
        <f t="shared" si="184"/>
        <v>1</v>
      </c>
      <c r="AO172" s="223" t="str">
        <f t="shared" si="167"/>
        <v>1</v>
      </c>
      <c r="AP172" s="223" t="str">
        <f t="shared" si="174"/>
        <v>1</v>
      </c>
      <c r="AQ172" s="223" t="str">
        <f t="shared" si="180"/>
        <v>1</v>
      </c>
      <c r="AR172" s="223" t="str">
        <f t="shared" si="185"/>
        <v>1</v>
      </c>
      <c r="AS172" s="223" t="str">
        <f t="shared" si="169"/>
        <v>1</v>
      </c>
      <c r="AT172" s="223" t="str">
        <f t="shared" si="170"/>
        <v>1</v>
      </c>
      <c r="AU172" s="223" t="str">
        <f t="shared" si="175"/>
        <v>1</v>
      </c>
      <c r="AV172" s="223" t="str">
        <f t="shared" si="182"/>
        <v>1</v>
      </c>
      <c r="AW172" s="223" t="str">
        <f t="shared" si="187"/>
        <v>1</v>
      </c>
      <c r="AX172" s="223">
        <v>1</v>
      </c>
      <c r="AY172" s="223" t="str">
        <f t="shared" si="186"/>
        <v>1</v>
      </c>
    </row>
    <row r="173" spans="1:51" x14ac:dyDescent="0.25">
      <c r="A173" s="214">
        <v>171</v>
      </c>
      <c r="B173" s="251" t="s">
        <v>266</v>
      </c>
      <c r="C173" s="132" t="s">
        <v>1030</v>
      </c>
      <c r="D173" s="157">
        <v>2014</v>
      </c>
      <c r="E173" s="138">
        <v>41725</v>
      </c>
      <c r="F173" s="222">
        <f t="shared" si="139"/>
        <v>3</v>
      </c>
      <c r="G173" s="222" t="str">
        <f t="shared" si="140"/>
        <v>32014</v>
      </c>
      <c r="H173" s="222" t="str">
        <f t="shared" si="141"/>
        <v>marzo</v>
      </c>
      <c r="I173" s="126" t="str">
        <f>VLOOKUP(B173,'Base de Datos'!$E$7:$T$271,14,0)</f>
        <v/>
      </c>
      <c r="J173" s="224" t="e">
        <f t="shared" si="142"/>
        <v>#VALUE!</v>
      </c>
      <c r="K173" s="223" t="e">
        <f t="shared" si="143"/>
        <v>#VALUE!</v>
      </c>
      <c r="L173" s="223" t="e">
        <f t="shared" si="144"/>
        <v>#VALUE!</v>
      </c>
      <c r="M173" s="223" t="str">
        <f t="shared" si="145"/>
        <v/>
      </c>
      <c r="N173" s="223" t="e">
        <f t="shared" ca="1" si="146"/>
        <v>#VALUE!</v>
      </c>
      <c r="O173" s="268" t="e">
        <f t="shared" ca="1" si="147"/>
        <v>#VALUE!</v>
      </c>
      <c r="P173" s="268" t="str">
        <f t="shared" si="156"/>
        <v/>
      </c>
      <c r="Q173" s="268" t="str">
        <f t="shared" si="148"/>
        <v/>
      </c>
      <c r="R173" s="268" t="str">
        <f t="shared" si="149"/>
        <v/>
      </c>
      <c r="S173" s="268" t="str">
        <f t="shared" si="150"/>
        <v/>
      </c>
      <c r="T173" s="268" t="str">
        <f t="shared" si="151"/>
        <v/>
      </c>
      <c r="U173" s="268" t="str">
        <f t="shared" si="152"/>
        <v/>
      </c>
      <c r="V173" s="268" t="str">
        <f t="shared" si="158"/>
        <v/>
      </c>
      <c r="W173" s="268" t="str">
        <f t="shared" si="153"/>
        <v/>
      </c>
      <c r="X173" s="268" t="str">
        <f t="shared" si="154"/>
        <v/>
      </c>
      <c r="Y173" s="268" t="str">
        <f t="shared" si="157"/>
        <v/>
      </c>
      <c r="Z173" s="268" t="str">
        <f t="shared" si="155"/>
        <v/>
      </c>
      <c r="AA173" s="268" t="str">
        <f t="shared" si="173"/>
        <v/>
      </c>
      <c r="AB173" s="268" t="str">
        <f t="shared" si="165"/>
        <v/>
      </c>
      <c r="AC173" s="268" t="str">
        <f t="shared" si="171"/>
        <v/>
      </c>
      <c r="AD173" s="268" t="str">
        <f t="shared" si="178"/>
        <v/>
      </c>
      <c r="AE173" s="268" t="str">
        <f t="shared" si="181"/>
        <v/>
      </c>
      <c r="AF173" s="268" t="str">
        <f t="shared" si="188"/>
        <v/>
      </c>
      <c r="AG173" s="268" t="str">
        <f t="shared" si="133"/>
        <v/>
      </c>
      <c r="AH173" s="268" t="str">
        <f t="shared" si="136"/>
        <v/>
      </c>
      <c r="AI173" s="268" t="str">
        <f t="shared" si="179"/>
        <v/>
      </c>
      <c r="AJ173" s="268" t="str">
        <f t="shared" si="183"/>
        <v/>
      </c>
      <c r="AK173" s="268" t="str">
        <f t="shared" si="166"/>
        <v/>
      </c>
      <c r="AL173" s="268" t="str">
        <f t="shared" si="168"/>
        <v/>
      </c>
      <c r="AM173" s="268" t="str">
        <f t="shared" si="172"/>
        <v/>
      </c>
      <c r="AN173" s="223" t="str">
        <f t="shared" si="184"/>
        <v/>
      </c>
      <c r="AO173" s="223" t="str">
        <f t="shared" si="167"/>
        <v/>
      </c>
      <c r="AP173" s="223" t="str">
        <f t="shared" si="174"/>
        <v>1</v>
      </c>
      <c r="AQ173" s="223" t="str">
        <f t="shared" si="180"/>
        <v>1</v>
      </c>
      <c r="AR173" s="223" t="str">
        <f t="shared" si="185"/>
        <v>1</v>
      </c>
      <c r="AS173" s="223" t="str">
        <f t="shared" si="169"/>
        <v>1</v>
      </c>
      <c r="AT173" s="223" t="str">
        <f t="shared" si="170"/>
        <v>1</v>
      </c>
      <c r="AU173" s="223" t="str">
        <f t="shared" si="175"/>
        <v>1</v>
      </c>
      <c r="AV173" s="223" t="str">
        <f t="shared" si="182"/>
        <v>1</v>
      </c>
      <c r="AW173" s="223" t="str">
        <f t="shared" si="187"/>
        <v>1</v>
      </c>
      <c r="AX173" s="223">
        <v>1</v>
      </c>
      <c r="AY173" s="223" t="str">
        <f t="shared" si="186"/>
        <v>1</v>
      </c>
    </row>
    <row r="174" spans="1:51" x14ac:dyDescent="0.25">
      <c r="A174" s="214">
        <v>172</v>
      </c>
      <c r="B174" s="262" t="str">
        <f>+'Base de Datos'!E248</f>
        <v>140330-0-2014</v>
      </c>
      <c r="C174" s="238" t="str">
        <f>+'Base de Datos'!F248</f>
        <v>SOLUCIONES INTEGRALES DE OFICINAS      SAS</v>
      </c>
      <c r="D174" s="238">
        <f>YEAR(E174)</f>
        <v>2014</v>
      </c>
      <c r="E174" s="239">
        <f>+'Base de Datos'!M248</f>
        <v>41939</v>
      </c>
      <c r="F174" s="222">
        <f t="shared" si="139"/>
        <v>10</v>
      </c>
      <c r="G174" s="222" t="str">
        <f t="shared" si="140"/>
        <v>102014</v>
      </c>
      <c r="H174" s="222" t="str">
        <f t="shared" si="141"/>
        <v>octubre</v>
      </c>
      <c r="I174" s="126" t="str">
        <f>VLOOKUP(B174,'Base de Datos'!$E$7:$T$271,14,0)</f>
        <v/>
      </c>
      <c r="J174" s="224" t="e">
        <f t="shared" si="142"/>
        <v>#VALUE!</v>
      </c>
      <c r="K174" s="223" t="e">
        <f t="shared" si="143"/>
        <v>#VALUE!</v>
      </c>
      <c r="L174" s="223" t="e">
        <f t="shared" si="144"/>
        <v>#VALUE!</v>
      </c>
      <c r="M174" s="223" t="str">
        <f t="shared" si="145"/>
        <v/>
      </c>
      <c r="N174" s="223" t="e">
        <f t="shared" ca="1" si="146"/>
        <v>#VALUE!</v>
      </c>
      <c r="O174" s="268" t="e">
        <f t="shared" ca="1" si="147"/>
        <v>#VALUE!</v>
      </c>
      <c r="P174" s="268" t="str">
        <f t="shared" si="156"/>
        <v/>
      </c>
      <c r="Q174" s="268" t="str">
        <f t="shared" si="148"/>
        <v/>
      </c>
      <c r="R174" s="268" t="str">
        <f t="shared" si="149"/>
        <v/>
      </c>
      <c r="S174" s="268" t="str">
        <f t="shared" si="150"/>
        <v/>
      </c>
      <c r="T174" s="268" t="str">
        <f t="shared" si="151"/>
        <v/>
      </c>
      <c r="U174" s="268" t="str">
        <f t="shared" si="152"/>
        <v/>
      </c>
      <c r="V174" s="268" t="str">
        <f t="shared" si="158"/>
        <v/>
      </c>
      <c r="W174" s="268" t="str">
        <f t="shared" si="153"/>
        <v/>
      </c>
      <c r="X174" s="268" t="str">
        <f t="shared" si="154"/>
        <v/>
      </c>
      <c r="Y174" s="268" t="str">
        <f t="shared" si="157"/>
        <v/>
      </c>
      <c r="Z174" s="268" t="str">
        <f t="shared" si="155"/>
        <v/>
      </c>
      <c r="AA174" s="268" t="str">
        <f t="shared" si="173"/>
        <v/>
      </c>
      <c r="AB174" s="268" t="str">
        <f t="shared" si="165"/>
        <v/>
      </c>
      <c r="AC174" s="268" t="str">
        <f t="shared" si="171"/>
        <v/>
      </c>
      <c r="AD174" s="268" t="str">
        <f t="shared" si="178"/>
        <v/>
      </c>
      <c r="AE174" s="268" t="str">
        <f t="shared" si="181"/>
        <v/>
      </c>
      <c r="AF174" s="268" t="str">
        <f t="shared" si="188"/>
        <v/>
      </c>
      <c r="AG174" s="268" t="str">
        <f t="shared" si="133"/>
        <v/>
      </c>
      <c r="AH174" s="268" t="str">
        <f t="shared" si="136"/>
        <v/>
      </c>
      <c r="AI174" s="268" t="str">
        <f t="shared" si="179"/>
        <v/>
      </c>
      <c r="AJ174" s="268" t="str">
        <f t="shared" si="183"/>
        <v/>
      </c>
      <c r="AK174" s="268" t="str">
        <f t="shared" si="166"/>
        <v/>
      </c>
      <c r="AL174" s="268" t="str">
        <f t="shared" si="168"/>
        <v/>
      </c>
      <c r="AM174" s="268" t="str">
        <f t="shared" si="172"/>
        <v/>
      </c>
      <c r="AN174" s="223" t="str">
        <f t="shared" si="184"/>
        <v/>
      </c>
      <c r="AO174" s="223" t="str">
        <f t="shared" si="167"/>
        <v/>
      </c>
      <c r="AP174" s="223" t="str">
        <f t="shared" si="174"/>
        <v/>
      </c>
      <c r="AQ174" s="223" t="str">
        <f t="shared" si="180"/>
        <v/>
      </c>
      <c r="AR174" s="223" t="str">
        <f t="shared" si="185"/>
        <v/>
      </c>
      <c r="AS174" s="223" t="str">
        <f t="shared" si="169"/>
        <v/>
      </c>
      <c r="AT174" s="223" t="str">
        <f t="shared" si="170"/>
        <v/>
      </c>
      <c r="AU174" s="223" t="str">
        <f t="shared" si="175"/>
        <v/>
      </c>
      <c r="AV174" s="223" t="str">
        <f t="shared" si="182"/>
        <v/>
      </c>
      <c r="AW174" s="223" t="str">
        <f t="shared" si="187"/>
        <v>1</v>
      </c>
      <c r="AX174" s="223">
        <v>1</v>
      </c>
      <c r="AY174" s="223" t="str">
        <f t="shared" si="186"/>
        <v>1</v>
      </c>
    </row>
    <row r="175" spans="1:51" ht="33.75" x14ac:dyDescent="0.25">
      <c r="A175" s="214">
        <v>173</v>
      </c>
      <c r="B175" s="251" t="s">
        <v>213</v>
      </c>
      <c r="C175" s="132" t="s">
        <v>1040</v>
      </c>
      <c r="D175" s="141">
        <v>2013</v>
      </c>
      <c r="E175" s="138">
        <v>41580</v>
      </c>
      <c r="F175" s="222">
        <f t="shared" si="139"/>
        <v>11</v>
      </c>
      <c r="G175" s="222" t="str">
        <f t="shared" si="140"/>
        <v>112013</v>
      </c>
      <c r="H175" s="222" t="str">
        <f t="shared" si="141"/>
        <v>noviembre</v>
      </c>
      <c r="I175" s="126" t="str">
        <f>VLOOKUP(B175,'Base de Datos'!$E$7:$T$271,14,0)</f>
        <v>1 mes</v>
      </c>
      <c r="J175" s="224" t="e">
        <f t="shared" si="142"/>
        <v>#VALUE!</v>
      </c>
      <c r="K175" s="223" t="e">
        <f t="shared" si="143"/>
        <v>#VALUE!</v>
      </c>
      <c r="L175" s="223" t="e">
        <f t="shared" si="144"/>
        <v>#VALUE!</v>
      </c>
      <c r="M175" s="223" t="str">
        <f t="shared" si="145"/>
        <v>1 mes</v>
      </c>
      <c r="N175" s="223" t="e">
        <f t="shared" ca="1" si="146"/>
        <v>#VALUE!</v>
      </c>
      <c r="O175" s="268" t="e">
        <f t="shared" ca="1" si="147"/>
        <v>#VALUE!</v>
      </c>
      <c r="P175" s="268" t="str">
        <f t="shared" si="156"/>
        <v/>
      </c>
      <c r="Q175" s="268" t="str">
        <f t="shared" si="148"/>
        <v/>
      </c>
      <c r="R175" s="268" t="str">
        <f t="shared" si="149"/>
        <v/>
      </c>
      <c r="S175" s="268" t="str">
        <f t="shared" si="150"/>
        <v/>
      </c>
      <c r="T175" s="268" t="str">
        <f t="shared" si="151"/>
        <v/>
      </c>
      <c r="U175" s="268" t="str">
        <f t="shared" si="152"/>
        <v/>
      </c>
      <c r="V175" s="268" t="str">
        <f t="shared" si="158"/>
        <v/>
      </c>
      <c r="W175" s="268" t="str">
        <f t="shared" si="153"/>
        <v/>
      </c>
      <c r="X175" s="268" t="str">
        <f t="shared" si="154"/>
        <v/>
      </c>
      <c r="Y175" s="268" t="str">
        <f t="shared" si="157"/>
        <v/>
      </c>
      <c r="Z175" s="268" t="str">
        <f t="shared" si="155"/>
        <v/>
      </c>
      <c r="AA175" s="268" t="str">
        <f t="shared" si="173"/>
        <v/>
      </c>
      <c r="AB175" s="268" t="str">
        <f t="shared" si="165"/>
        <v/>
      </c>
      <c r="AC175" s="268" t="str">
        <f t="shared" si="171"/>
        <v/>
      </c>
      <c r="AD175" s="268" t="str">
        <f t="shared" si="178"/>
        <v/>
      </c>
      <c r="AE175" s="268" t="str">
        <f t="shared" si="181"/>
        <v/>
      </c>
      <c r="AF175" s="268" t="str">
        <f t="shared" si="188"/>
        <v/>
      </c>
      <c r="AG175" s="268" t="str">
        <f t="shared" si="133"/>
        <v/>
      </c>
      <c r="AH175" s="268" t="str">
        <f t="shared" si="136"/>
        <v/>
      </c>
      <c r="AI175" s="268" t="str">
        <f t="shared" si="179"/>
        <v/>
      </c>
      <c r="AJ175" s="268" t="str">
        <f t="shared" si="183"/>
        <v/>
      </c>
      <c r="AK175" s="268" t="str">
        <f t="shared" ref="AK175:AK206" si="189">IF(AND(E175&lt;$AK$2,I175&gt;$AK$2),"1","")</f>
        <v/>
      </c>
      <c r="AL175" s="268" t="str">
        <f t="shared" si="168"/>
        <v>1</v>
      </c>
      <c r="AM175" s="268" t="str">
        <f t="shared" si="172"/>
        <v>1</v>
      </c>
      <c r="AN175" s="223" t="str">
        <f t="shared" si="184"/>
        <v>1</v>
      </c>
      <c r="AO175" s="223" t="str">
        <f t="shared" ref="AO175:AO206" si="190">IF(AND(E175&lt;$AO$2,I175&gt;$AO$2),"1","")</f>
        <v>1</v>
      </c>
      <c r="AP175" s="223" t="str">
        <f t="shared" si="174"/>
        <v>1</v>
      </c>
      <c r="AQ175" s="223" t="str">
        <f t="shared" si="180"/>
        <v>1</v>
      </c>
      <c r="AR175" s="223" t="str">
        <f t="shared" si="185"/>
        <v>1</v>
      </c>
      <c r="AS175" s="223" t="str">
        <f t="shared" si="169"/>
        <v>1</v>
      </c>
      <c r="AT175" s="223" t="str">
        <f t="shared" si="170"/>
        <v>1</v>
      </c>
      <c r="AU175" s="223" t="str">
        <f t="shared" si="175"/>
        <v>1</v>
      </c>
      <c r="AV175" s="223" t="str">
        <f t="shared" si="182"/>
        <v>1</v>
      </c>
      <c r="AW175" s="223" t="str">
        <f t="shared" si="187"/>
        <v>1</v>
      </c>
      <c r="AX175" s="223" t="str">
        <f t="shared" ref="AX175:AX206" si="191">IF(AND(E175&lt;$AX$2,I175&gt;$AX$2),"1","")</f>
        <v>1</v>
      </c>
      <c r="AY175" s="223">
        <v>1</v>
      </c>
    </row>
    <row r="176" spans="1:51" ht="22.5" x14ac:dyDescent="0.25">
      <c r="A176" s="214">
        <v>174</v>
      </c>
      <c r="B176" s="251" t="s">
        <v>218</v>
      </c>
      <c r="C176" s="132" t="s">
        <v>219</v>
      </c>
      <c r="D176" s="141">
        <v>2013</v>
      </c>
      <c r="E176" s="138">
        <v>41621</v>
      </c>
      <c r="F176" s="222">
        <f t="shared" si="139"/>
        <v>12</v>
      </c>
      <c r="G176" s="222" t="str">
        <f t="shared" si="140"/>
        <v>122013</v>
      </c>
      <c r="H176" s="222" t="str">
        <f t="shared" si="141"/>
        <v>diciembre</v>
      </c>
      <c r="I176" s="126" t="str">
        <f>VLOOKUP(B176,'Base de Datos'!$E$7:$T$271,14,0)</f>
        <v>3 meses</v>
      </c>
      <c r="J176" s="224" t="e">
        <f t="shared" si="142"/>
        <v>#VALUE!</v>
      </c>
      <c r="K176" s="223" t="e">
        <f t="shared" si="143"/>
        <v>#VALUE!</v>
      </c>
      <c r="L176" s="223" t="e">
        <f t="shared" si="144"/>
        <v>#VALUE!</v>
      </c>
      <c r="M176" s="223" t="str">
        <f t="shared" si="145"/>
        <v>3 meses</v>
      </c>
      <c r="N176" s="223" t="e">
        <f t="shared" ca="1" si="146"/>
        <v>#VALUE!</v>
      </c>
      <c r="O176" s="268" t="e">
        <f t="shared" ca="1" si="147"/>
        <v>#VALUE!</v>
      </c>
      <c r="P176" s="268" t="str">
        <f t="shared" si="156"/>
        <v/>
      </c>
      <c r="Q176" s="268" t="str">
        <f t="shared" si="148"/>
        <v/>
      </c>
      <c r="R176" s="268" t="str">
        <f t="shared" si="149"/>
        <v/>
      </c>
      <c r="S176" s="268" t="str">
        <f t="shared" si="150"/>
        <v/>
      </c>
      <c r="T176" s="268" t="str">
        <f t="shared" si="151"/>
        <v/>
      </c>
      <c r="U176" s="268" t="str">
        <f t="shared" si="152"/>
        <v/>
      </c>
      <c r="V176" s="268" t="str">
        <f t="shared" si="158"/>
        <v/>
      </c>
      <c r="W176" s="268" t="str">
        <f t="shared" si="153"/>
        <v/>
      </c>
      <c r="X176" s="268" t="str">
        <f t="shared" si="154"/>
        <v/>
      </c>
      <c r="Y176" s="268" t="str">
        <f t="shared" si="157"/>
        <v/>
      </c>
      <c r="Z176" s="268" t="str">
        <f t="shared" si="155"/>
        <v/>
      </c>
      <c r="AA176" s="268" t="str">
        <f t="shared" si="173"/>
        <v/>
      </c>
      <c r="AB176" s="268" t="str">
        <f t="shared" si="165"/>
        <v/>
      </c>
      <c r="AC176" s="268" t="str">
        <f t="shared" si="171"/>
        <v/>
      </c>
      <c r="AD176" s="268" t="str">
        <f t="shared" si="178"/>
        <v/>
      </c>
      <c r="AE176" s="268" t="str">
        <f t="shared" si="181"/>
        <v/>
      </c>
      <c r="AF176" s="268" t="str">
        <f t="shared" si="188"/>
        <v/>
      </c>
      <c r="AG176" s="268" t="str">
        <f t="shared" si="133"/>
        <v/>
      </c>
      <c r="AH176" s="268" t="str">
        <f t="shared" si="136"/>
        <v/>
      </c>
      <c r="AI176" s="268" t="str">
        <f t="shared" si="179"/>
        <v/>
      </c>
      <c r="AJ176" s="268" t="str">
        <f t="shared" si="183"/>
        <v/>
      </c>
      <c r="AK176" s="268" t="str">
        <f t="shared" si="189"/>
        <v/>
      </c>
      <c r="AL176" s="268" t="str">
        <f t="shared" ref="AL176:AL207" si="192">IF(AND(E176&lt;$AL$2,I176&gt;$AL$2),"1","")</f>
        <v/>
      </c>
      <c r="AM176" s="268" t="str">
        <f t="shared" si="172"/>
        <v>1</v>
      </c>
      <c r="AN176" s="223" t="str">
        <f t="shared" si="184"/>
        <v>1</v>
      </c>
      <c r="AO176" s="223" t="str">
        <f t="shared" si="190"/>
        <v>1</v>
      </c>
      <c r="AP176" s="223" t="str">
        <f t="shared" si="174"/>
        <v>1</v>
      </c>
      <c r="AQ176" s="223" t="str">
        <f t="shared" si="180"/>
        <v>1</v>
      </c>
      <c r="AR176" s="223" t="str">
        <f t="shared" si="185"/>
        <v>1</v>
      </c>
      <c r="AS176" s="223" t="str">
        <f t="shared" ref="AS176:AS207" si="193">IF(AND(E176&lt;$AS$2,I176&gt;$AS$2),"1","")</f>
        <v>1</v>
      </c>
      <c r="AT176" s="223" t="str">
        <f t="shared" si="170"/>
        <v>1</v>
      </c>
      <c r="AU176" s="223" t="str">
        <f t="shared" si="175"/>
        <v>1</v>
      </c>
      <c r="AV176" s="223" t="str">
        <f t="shared" si="182"/>
        <v>1</v>
      </c>
      <c r="AW176" s="223" t="str">
        <f t="shared" si="187"/>
        <v>1</v>
      </c>
      <c r="AX176" s="223" t="str">
        <f t="shared" si="191"/>
        <v>1</v>
      </c>
      <c r="AY176" s="223" t="str">
        <f>IF(AND(E176&lt;$AY$2,I176&gt;$AY$2),"1","")</f>
        <v>1</v>
      </c>
    </row>
    <row r="177" spans="1:51" x14ac:dyDescent="0.25">
      <c r="A177" s="214">
        <v>175</v>
      </c>
      <c r="B177" s="251" t="s">
        <v>216</v>
      </c>
      <c r="C177" s="132" t="s">
        <v>217</v>
      </c>
      <c r="D177" s="141">
        <v>2013</v>
      </c>
      <c r="E177" s="138">
        <v>41621</v>
      </c>
      <c r="F177" s="222">
        <f t="shared" si="139"/>
        <v>12</v>
      </c>
      <c r="G177" s="222" t="str">
        <f t="shared" si="140"/>
        <v>122013</v>
      </c>
      <c r="H177" s="222" t="str">
        <f t="shared" si="141"/>
        <v>diciembre</v>
      </c>
      <c r="I177" s="126" t="str">
        <f>VLOOKUP(B177,'Base de Datos'!$E$7:$T$271,14,0)</f>
        <v/>
      </c>
      <c r="J177" s="224" t="e">
        <f t="shared" si="142"/>
        <v>#VALUE!</v>
      </c>
      <c r="K177" s="223" t="e">
        <f t="shared" si="143"/>
        <v>#VALUE!</v>
      </c>
      <c r="L177" s="223" t="e">
        <f t="shared" si="144"/>
        <v>#VALUE!</v>
      </c>
      <c r="M177" s="223" t="str">
        <f t="shared" si="145"/>
        <v/>
      </c>
      <c r="N177" s="223" t="e">
        <f t="shared" ca="1" si="146"/>
        <v>#VALUE!</v>
      </c>
      <c r="O177" s="268" t="e">
        <f t="shared" ca="1" si="147"/>
        <v>#VALUE!</v>
      </c>
      <c r="P177" s="268" t="str">
        <f t="shared" si="156"/>
        <v/>
      </c>
      <c r="Q177" s="268" t="str">
        <f t="shared" si="148"/>
        <v/>
      </c>
      <c r="R177" s="268" t="str">
        <f t="shared" si="149"/>
        <v/>
      </c>
      <c r="S177" s="268" t="str">
        <f t="shared" si="150"/>
        <v/>
      </c>
      <c r="T177" s="268" t="str">
        <f t="shared" si="151"/>
        <v/>
      </c>
      <c r="U177" s="268" t="str">
        <f t="shared" si="152"/>
        <v/>
      </c>
      <c r="V177" s="268" t="str">
        <f t="shared" si="158"/>
        <v/>
      </c>
      <c r="W177" s="268" t="str">
        <f t="shared" si="153"/>
        <v/>
      </c>
      <c r="X177" s="268" t="str">
        <f t="shared" si="154"/>
        <v/>
      </c>
      <c r="Y177" s="268" t="str">
        <f t="shared" si="157"/>
        <v/>
      </c>
      <c r="Z177" s="268" t="str">
        <f t="shared" si="155"/>
        <v/>
      </c>
      <c r="AA177" s="268" t="str">
        <f t="shared" si="173"/>
        <v/>
      </c>
      <c r="AB177" s="268" t="str">
        <f t="shared" si="165"/>
        <v/>
      </c>
      <c r="AC177" s="268" t="str">
        <f t="shared" si="171"/>
        <v/>
      </c>
      <c r="AD177" s="268" t="str">
        <f t="shared" si="178"/>
        <v/>
      </c>
      <c r="AE177" s="268" t="str">
        <f t="shared" si="181"/>
        <v/>
      </c>
      <c r="AF177" s="268" t="str">
        <f t="shared" si="188"/>
        <v/>
      </c>
      <c r="AG177" s="268" t="str">
        <f t="shared" si="133"/>
        <v/>
      </c>
      <c r="AH177" s="268" t="str">
        <f t="shared" si="136"/>
        <v/>
      </c>
      <c r="AI177" s="268" t="str">
        <f t="shared" si="179"/>
        <v/>
      </c>
      <c r="AJ177" s="268" t="str">
        <f t="shared" si="183"/>
        <v/>
      </c>
      <c r="AK177" s="268" t="str">
        <f t="shared" si="189"/>
        <v/>
      </c>
      <c r="AL177" s="268" t="str">
        <f t="shared" si="192"/>
        <v/>
      </c>
      <c r="AM177" s="268" t="str">
        <f t="shared" si="172"/>
        <v>1</v>
      </c>
      <c r="AN177" s="223" t="str">
        <f t="shared" si="184"/>
        <v>1</v>
      </c>
      <c r="AO177" s="223" t="str">
        <f t="shared" si="190"/>
        <v>1</v>
      </c>
      <c r="AP177" s="223" t="str">
        <f t="shared" si="174"/>
        <v>1</v>
      </c>
      <c r="AQ177" s="223" t="str">
        <f t="shared" si="180"/>
        <v>1</v>
      </c>
      <c r="AR177" s="223" t="str">
        <f t="shared" si="185"/>
        <v>1</v>
      </c>
      <c r="AS177" s="223" t="str">
        <f t="shared" si="193"/>
        <v>1</v>
      </c>
      <c r="AT177" s="223" t="str">
        <f t="shared" si="170"/>
        <v>1</v>
      </c>
      <c r="AU177" s="223" t="str">
        <f t="shared" si="175"/>
        <v>1</v>
      </c>
      <c r="AV177" s="223" t="str">
        <f t="shared" si="182"/>
        <v>1</v>
      </c>
      <c r="AW177" s="223" t="str">
        <f t="shared" si="187"/>
        <v>1</v>
      </c>
      <c r="AX177" s="223" t="str">
        <f t="shared" si="191"/>
        <v>1</v>
      </c>
      <c r="AY177" s="223" t="str">
        <f>IF(AND(E177&lt;$AY$2,I177&gt;$AY$2),"1","")</f>
        <v>1</v>
      </c>
    </row>
    <row r="178" spans="1:51" x14ac:dyDescent="0.25">
      <c r="A178" s="214">
        <v>176</v>
      </c>
      <c r="B178" s="251" t="s">
        <v>1157</v>
      </c>
      <c r="C178" s="132" t="s">
        <v>186</v>
      </c>
      <c r="D178" s="157">
        <v>2014</v>
      </c>
      <c r="E178" s="138">
        <v>41907</v>
      </c>
      <c r="F178" s="222">
        <f t="shared" si="139"/>
        <v>9</v>
      </c>
      <c r="G178" s="222" t="str">
        <f t="shared" si="140"/>
        <v>92014</v>
      </c>
      <c r="H178" s="222" t="str">
        <f t="shared" si="141"/>
        <v>septiembre</v>
      </c>
      <c r="I178" s="126" t="str">
        <f>VLOOKUP(B178,'Base de Datos'!$E$7:$T$271,14,0)</f>
        <v/>
      </c>
      <c r="J178" s="224" t="e">
        <f t="shared" si="142"/>
        <v>#VALUE!</v>
      </c>
      <c r="K178" s="223" t="e">
        <f t="shared" si="143"/>
        <v>#VALUE!</v>
      </c>
      <c r="L178" s="223" t="e">
        <f t="shared" si="144"/>
        <v>#VALUE!</v>
      </c>
      <c r="M178" s="223" t="str">
        <f t="shared" si="145"/>
        <v/>
      </c>
      <c r="N178" s="223" t="e">
        <f t="shared" ca="1" si="146"/>
        <v>#VALUE!</v>
      </c>
      <c r="O178" s="268" t="e">
        <f t="shared" ca="1" si="147"/>
        <v>#VALUE!</v>
      </c>
      <c r="P178" s="268" t="str">
        <f t="shared" si="156"/>
        <v/>
      </c>
      <c r="Q178" s="268" t="str">
        <f t="shared" si="148"/>
        <v/>
      </c>
      <c r="R178" s="268" t="str">
        <f t="shared" si="149"/>
        <v/>
      </c>
      <c r="S178" s="268" t="str">
        <f t="shared" si="150"/>
        <v/>
      </c>
      <c r="T178" s="268" t="str">
        <f t="shared" si="151"/>
        <v/>
      </c>
      <c r="U178" s="268" t="str">
        <f t="shared" si="152"/>
        <v/>
      </c>
      <c r="V178" s="268" t="str">
        <f t="shared" si="158"/>
        <v/>
      </c>
      <c r="W178" s="268" t="str">
        <f t="shared" si="153"/>
        <v/>
      </c>
      <c r="X178" s="268" t="str">
        <f t="shared" si="154"/>
        <v/>
      </c>
      <c r="Y178" s="268" t="str">
        <f t="shared" si="157"/>
        <v/>
      </c>
      <c r="Z178" s="268" t="str">
        <f t="shared" si="155"/>
        <v/>
      </c>
      <c r="AA178" s="268" t="str">
        <f t="shared" si="173"/>
        <v/>
      </c>
      <c r="AB178" s="268" t="str">
        <f t="shared" si="165"/>
        <v/>
      </c>
      <c r="AC178" s="268" t="str">
        <f t="shared" si="171"/>
        <v/>
      </c>
      <c r="AD178" s="268" t="str">
        <f t="shared" si="178"/>
        <v/>
      </c>
      <c r="AE178" s="268" t="str">
        <f t="shared" si="181"/>
        <v/>
      </c>
      <c r="AF178" s="268" t="str">
        <f t="shared" si="188"/>
        <v/>
      </c>
      <c r="AG178" s="268" t="str">
        <f t="shared" si="133"/>
        <v/>
      </c>
      <c r="AH178" s="268" t="str">
        <f t="shared" si="136"/>
        <v/>
      </c>
      <c r="AI178" s="268" t="str">
        <f t="shared" si="179"/>
        <v/>
      </c>
      <c r="AJ178" s="268" t="str">
        <f t="shared" si="183"/>
        <v/>
      </c>
      <c r="AK178" s="268" t="str">
        <f t="shared" si="189"/>
        <v/>
      </c>
      <c r="AL178" s="268" t="str">
        <f t="shared" si="192"/>
        <v/>
      </c>
      <c r="AM178" s="268" t="str">
        <f t="shared" si="172"/>
        <v/>
      </c>
      <c r="AN178" s="223" t="str">
        <f t="shared" si="184"/>
        <v/>
      </c>
      <c r="AO178" s="223" t="str">
        <f t="shared" si="190"/>
        <v/>
      </c>
      <c r="AP178" s="223" t="str">
        <f t="shared" si="174"/>
        <v/>
      </c>
      <c r="AQ178" s="223" t="str">
        <f t="shared" si="180"/>
        <v/>
      </c>
      <c r="AR178" s="223" t="str">
        <f t="shared" si="185"/>
        <v/>
      </c>
      <c r="AS178" s="223" t="str">
        <f t="shared" si="193"/>
        <v/>
      </c>
      <c r="AT178" s="223" t="str">
        <f t="shared" si="170"/>
        <v/>
      </c>
      <c r="AU178" s="223" t="str">
        <f t="shared" si="175"/>
        <v/>
      </c>
      <c r="AV178" s="223" t="str">
        <f t="shared" si="182"/>
        <v>1</v>
      </c>
      <c r="AW178" s="223" t="str">
        <f t="shared" si="187"/>
        <v>1</v>
      </c>
      <c r="AX178" s="223" t="str">
        <f t="shared" si="191"/>
        <v>1</v>
      </c>
      <c r="AY178" s="223">
        <v>1</v>
      </c>
    </row>
    <row r="179" spans="1:51" ht="22.5" x14ac:dyDescent="0.25">
      <c r="A179" s="214">
        <v>177</v>
      </c>
      <c r="B179" s="260" t="s">
        <v>1119</v>
      </c>
      <c r="C179" s="207" t="s">
        <v>1120</v>
      </c>
      <c r="D179" s="157">
        <v>2014</v>
      </c>
      <c r="E179" s="26">
        <v>41928</v>
      </c>
      <c r="F179" s="222">
        <f t="shared" si="139"/>
        <v>10</v>
      </c>
      <c r="G179" s="222" t="str">
        <f t="shared" si="140"/>
        <v>102014</v>
      </c>
      <c r="H179" s="222" t="str">
        <f t="shared" si="141"/>
        <v>octubre</v>
      </c>
      <c r="I179" s="126" t="str">
        <f>VLOOKUP(B179,'Base de Datos'!$E$7:$T$271,14,0)</f>
        <v/>
      </c>
      <c r="J179" s="224" t="e">
        <f t="shared" si="142"/>
        <v>#VALUE!</v>
      </c>
      <c r="K179" s="223" t="e">
        <f t="shared" si="143"/>
        <v>#VALUE!</v>
      </c>
      <c r="L179" s="223" t="e">
        <f t="shared" si="144"/>
        <v>#VALUE!</v>
      </c>
      <c r="M179" s="223" t="str">
        <f t="shared" si="145"/>
        <v/>
      </c>
      <c r="N179" s="223" t="e">
        <f t="shared" ca="1" si="146"/>
        <v>#VALUE!</v>
      </c>
      <c r="O179" s="268" t="e">
        <f t="shared" ca="1" si="147"/>
        <v>#VALUE!</v>
      </c>
      <c r="P179" s="268" t="str">
        <f t="shared" si="156"/>
        <v/>
      </c>
      <c r="Q179" s="268" t="str">
        <f t="shared" si="148"/>
        <v/>
      </c>
      <c r="R179" s="268" t="str">
        <f t="shared" si="149"/>
        <v/>
      </c>
      <c r="S179" s="268" t="str">
        <f t="shared" si="150"/>
        <v/>
      </c>
      <c r="T179" s="268" t="str">
        <f t="shared" si="151"/>
        <v/>
      </c>
      <c r="U179" s="268" t="str">
        <f t="shared" si="152"/>
        <v/>
      </c>
      <c r="V179" s="268" t="str">
        <f t="shared" si="158"/>
        <v/>
      </c>
      <c r="W179" s="268" t="str">
        <f t="shared" si="153"/>
        <v/>
      </c>
      <c r="X179" s="268" t="str">
        <f t="shared" si="154"/>
        <v/>
      </c>
      <c r="Y179" s="268" t="str">
        <f t="shared" si="157"/>
        <v/>
      </c>
      <c r="Z179" s="268" t="str">
        <f t="shared" si="155"/>
        <v/>
      </c>
      <c r="AA179" s="268" t="str">
        <f t="shared" si="173"/>
        <v/>
      </c>
      <c r="AB179" s="268" t="str">
        <f t="shared" si="165"/>
        <v/>
      </c>
      <c r="AC179" s="268" t="str">
        <f t="shared" si="171"/>
        <v/>
      </c>
      <c r="AD179" s="268" t="str">
        <f t="shared" si="178"/>
        <v/>
      </c>
      <c r="AE179" s="268" t="str">
        <f t="shared" si="181"/>
        <v/>
      </c>
      <c r="AF179" s="268" t="str">
        <f t="shared" si="188"/>
        <v/>
      </c>
      <c r="AG179" s="268" t="str">
        <f t="shared" si="133"/>
        <v/>
      </c>
      <c r="AH179" s="268" t="str">
        <f t="shared" si="136"/>
        <v/>
      </c>
      <c r="AI179" s="268" t="str">
        <f t="shared" si="179"/>
        <v/>
      </c>
      <c r="AJ179" s="268" t="str">
        <f t="shared" si="183"/>
        <v/>
      </c>
      <c r="AK179" s="268" t="str">
        <f t="shared" si="189"/>
        <v/>
      </c>
      <c r="AL179" s="268" t="str">
        <f t="shared" si="192"/>
        <v/>
      </c>
      <c r="AM179" s="268" t="str">
        <f t="shared" si="172"/>
        <v/>
      </c>
      <c r="AN179" s="223" t="str">
        <f t="shared" si="184"/>
        <v/>
      </c>
      <c r="AO179" s="223" t="str">
        <f t="shared" si="190"/>
        <v/>
      </c>
      <c r="AP179" s="223" t="str">
        <f t="shared" si="174"/>
        <v/>
      </c>
      <c r="AQ179" s="223" t="str">
        <f t="shared" si="180"/>
        <v/>
      </c>
      <c r="AR179" s="223" t="str">
        <f t="shared" si="185"/>
        <v/>
      </c>
      <c r="AS179" s="223" t="str">
        <f t="shared" si="193"/>
        <v/>
      </c>
      <c r="AT179" s="223" t="str">
        <f t="shared" ref="AT179:AT210" si="194">IF(AND(E179&lt;$AT$2,I179&gt;$AT$2),"1","")</f>
        <v/>
      </c>
      <c r="AU179" s="223" t="str">
        <f t="shared" si="175"/>
        <v/>
      </c>
      <c r="AV179" s="223" t="str">
        <f t="shared" si="182"/>
        <v/>
      </c>
      <c r="AW179" s="223" t="str">
        <f t="shared" si="187"/>
        <v>1</v>
      </c>
      <c r="AX179" s="223" t="str">
        <f t="shared" si="191"/>
        <v>1</v>
      </c>
      <c r="AY179" s="223">
        <v>1</v>
      </c>
    </row>
    <row r="180" spans="1:51" x14ac:dyDescent="0.25">
      <c r="A180" s="214">
        <v>178</v>
      </c>
      <c r="B180" s="251" t="s">
        <v>232</v>
      </c>
      <c r="C180" s="132" t="s">
        <v>233</v>
      </c>
      <c r="D180" s="157">
        <v>2013</v>
      </c>
      <c r="E180" s="138">
        <v>41641</v>
      </c>
      <c r="F180" s="222">
        <f t="shared" si="139"/>
        <v>1</v>
      </c>
      <c r="G180" s="222" t="str">
        <f t="shared" si="140"/>
        <v>12013</v>
      </c>
      <c r="H180" s="222" t="str">
        <f t="shared" si="141"/>
        <v>enero</v>
      </c>
      <c r="I180" s="126" t="str">
        <f>VLOOKUP(B180,'Base de Datos'!$E$7:$T$271,14,0)</f>
        <v/>
      </c>
      <c r="J180" s="224" t="e">
        <f t="shared" si="142"/>
        <v>#VALUE!</v>
      </c>
      <c r="K180" s="223" t="e">
        <f t="shared" si="143"/>
        <v>#VALUE!</v>
      </c>
      <c r="L180" s="223" t="e">
        <f t="shared" si="144"/>
        <v>#VALUE!</v>
      </c>
      <c r="M180" s="223" t="str">
        <f t="shared" si="145"/>
        <v/>
      </c>
      <c r="N180" s="223" t="e">
        <f t="shared" ca="1" si="146"/>
        <v>#VALUE!</v>
      </c>
      <c r="O180" s="268" t="e">
        <f t="shared" ca="1" si="147"/>
        <v>#VALUE!</v>
      </c>
      <c r="P180" s="268" t="str">
        <f t="shared" si="156"/>
        <v/>
      </c>
      <c r="Q180" s="268" t="str">
        <f t="shared" si="148"/>
        <v/>
      </c>
      <c r="R180" s="268" t="str">
        <f t="shared" si="149"/>
        <v/>
      </c>
      <c r="S180" s="268" t="str">
        <f t="shared" si="150"/>
        <v/>
      </c>
      <c r="T180" s="268" t="str">
        <f t="shared" si="151"/>
        <v/>
      </c>
      <c r="U180" s="268" t="str">
        <f t="shared" si="152"/>
        <v/>
      </c>
      <c r="V180" s="268" t="str">
        <f t="shared" si="158"/>
        <v/>
      </c>
      <c r="W180" s="268" t="str">
        <f t="shared" si="153"/>
        <v/>
      </c>
      <c r="X180" s="268" t="str">
        <f t="shared" si="154"/>
        <v/>
      </c>
      <c r="Y180" s="268" t="str">
        <f t="shared" si="157"/>
        <v/>
      </c>
      <c r="Z180" s="268" t="str">
        <f t="shared" si="155"/>
        <v/>
      </c>
      <c r="AA180" s="268" t="str">
        <f t="shared" si="173"/>
        <v/>
      </c>
      <c r="AB180" s="268" t="str">
        <f t="shared" si="165"/>
        <v/>
      </c>
      <c r="AC180" s="268" t="str">
        <f t="shared" si="171"/>
        <v/>
      </c>
      <c r="AD180" s="268" t="str">
        <f t="shared" si="178"/>
        <v/>
      </c>
      <c r="AE180" s="268" t="str">
        <f t="shared" si="181"/>
        <v/>
      </c>
      <c r="AF180" s="268" t="str">
        <f t="shared" si="188"/>
        <v/>
      </c>
      <c r="AG180" s="268" t="str">
        <f t="shared" si="133"/>
        <v/>
      </c>
      <c r="AH180" s="268" t="str">
        <f t="shared" si="136"/>
        <v/>
      </c>
      <c r="AI180" s="268" t="str">
        <f t="shared" si="179"/>
        <v/>
      </c>
      <c r="AJ180" s="268" t="str">
        <f t="shared" si="183"/>
        <v/>
      </c>
      <c r="AK180" s="268" t="str">
        <f t="shared" si="189"/>
        <v/>
      </c>
      <c r="AL180" s="268" t="str">
        <f t="shared" si="192"/>
        <v/>
      </c>
      <c r="AM180" s="268" t="str">
        <f t="shared" si="172"/>
        <v/>
      </c>
      <c r="AN180" s="223" t="str">
        <f t="shared" si="184"/>
        <v>1</v>
      </c>
      <c r="AO180" s="223" t="str">
        <f t="shared" si="190"/>
        <v>1</v>
      </c>
      <c r="AP180" s="223" t="str">
        <f t="shared" si="174"/>
        <v>1</v>
      </c>
      <c r="AQ180" s="223" t="str">
        <f t="shared" si="180"/>
        <v>1</v>
      </c>
      <c r="AR180" s="223" t="str">
        <f t="shared" si="185"/>
        <v>1</v>
      </c>
      <c r="AS180" s="223" t="str">
        <f t="shared" si="193"/>
        <v>1</v>
      </c>
      <c r="AT180" s="223" t="str">
        <f t="shared" si="194"/>
        <v>1</v>
      </c>
      <c r="AU180" s="223" t="str">
        <f t="shared" si="175"/>
        <v>1</v>
      </c>
      <c r="AV180" s="223" t="str">
        <f t="shared" si="182"/>
        <v>1</v>
      </c>
      <c r="AW180" s="223" t="str">
        <f t="shared" si="187"/>
        <v>1</v>
      </c>
      <c r="AX180" s="223" t="str">
        <f t="shared" si="191"/>
        <v>1</v>
      </c>
      <c r="AY180" s="223" t="str">
        <f>IF(AND(E180&lt;$AY$2,I180&gt;$AY$2),"1","")</f>
        <v>1</v>
      </c>
    </row>
    <row r="181" spans="1:51" ht="22.5" x14ac:dyDescent="0.25">
      <c r="A181" s="214">
        <v>179</v>
      </c>
      <c r="B181" s="258" t="s">
        <v>254</v>
      </c>
      <c r="C181" s="145" t="s">
        <v>1033</v>
      </c>
      <c r="D181" s="157">
        <v>2014</v>
      </c>
      <c r="E181" s="149">
        <v>41701</v>
      </c>
      <c r="F181" s="222">
        <f t="shared" si="139"/>
        <v>3</v>
      </c>
      <c r="G181" s="222" t="str">
        <f t="shared" si="140"/>
        <v>32014</v>
      </c>
      <c r="H181" s="222" t="str">
        <f t="shared" si="141"/>
        <v>marzo</v>
      </c>
      <c r="I181" s="126" t="str">
        <f>VLOOKUP(B181,'Base de Datos'!$E$7:$T$271,14,0)</f>
        <v/>
      </c>
      <c r="J181" s="224" t="e">
        <f t="shared" si="142"/>
        <v>#VALUE!</v>
      </c>
      <c r="K181" s="223" t="e">
        <f t="shared" si="143"/>
        <v>#VALUE!</v>
      </c>
      <c r="L181" s="223" t="e">
        <f t="shared" si="144"/>
        <v>#VALUE!</v>
      </c>
      <c r="M181" s="223" t="str">
        <f t="shared" si="145"/>
        <v/>
      </c>
      <c r="N181" s="223" t="e">
        <f t="shared" ca="1" si="146"/>
        <v>#VALUE!</v>
      </c>
      <c r="O181" s="268" t="e">
        <f t="shared" ca="1" si="147"/>
        <v>#VALUE!</v>
      </c>
      <c r="P181" s="268" t="str">
        <f t="shared" si="156"/>
        <v/>
      </c>
      <c r="Q181" s="268" t="str">
        <f t="shared" si="148"/>
        <v/>
      </c>
      <c r="R181" s="268" t="str">
        <f t="shared" si="149"/>
        <v/>
      </c>
      <c r="S181" s="268" t="str">
        <f t="shared" si="150"/>
        <v/>
      </c>
      <c r="T181" s="268" t="str">
        <f t="shared" si="151"/>
        <v/>
      </c>
      <c r="U181" s="268" t="str">
        <f t="shared" si="152"/>
        <v/>
      </c>
      <c r="V181" s="268" t="str">
        <f t="shared" si="158"/>
        <v/>
      </c>
      <c r="W181" s="268" t="str">
        <f t="shared" si="153"/>
        <v/>
      </c>
      <c r="X181" s="268" t="str">
        <f t="shared" si="154"/>
        <v/>
      </c>
      <c r="Y181" s="268" t="str">
        <f t="shared" si="157"/>
        <v/>
      </c>
      <c r="Z181" s="268" t="str">
        <f t="shared" si="155"/>
        <v/>
      </c>
      <c r="AA181" s="268" t="str">
        <f t="shared" si="173"/>
        <v/>
      </c>
      <c r="AB181" s="268" t="str">
        <f t="shared" si="165"/>
        <v/>
      </c>
      <c r="AC181" s="268" t="str">
        <f t="shared" si="171"/>
        <v/>
      </c>
      <c r="AD181" s="268" t="str">
        <f t="shared" si="178"/>
        <v/>
      </c>
      <c r="AE181" s="268" t="str">
        <f t="shared" si="181"/>
        <v/>
      </c>
      <c r="AF181" s="268" t="str">
        <f t="shared" si="188"/>
        <v/>
      </c>
      <c r="AG181" s="268" t="str">
        <f t="shared" ref="AG181:AG244" si="195">IF(AND(E181&lt;$AG$2,I181&gt;$AG$2),"1","")</f>
        <v/>
      </c>
      <c r="AH181" s="268" t="str">
        <f t="shared" si="136"/>
        <v/>
      </c>
      <c r="AI181" s="268" t="str">
        <f t="shared" si="179"/>
        <v/>
      </c>
      <c r="AJ181" s="268" t="str">
        <f t="shared" si="183"/>
        <v/>
      </c>
      <c r="AK181" s="268" t="str">
        <f t="shared" si="189"/>
        <v/>
      </c>
      <c r="AL181" s="268" t="str">
        <f t="shared" si="192"/>
        <v/>
      </c>
      <c r="AM181" s="268" t="str">
        <f t="shared" ref="AM181:AM212" si="196">IF(AND(E181&lt;$AM$2,I181&gt;$AM$2),"1","")</f>
        <v/>
      </c>
      <c r="AN181" s="223" t="str">
        <f t="shared" si="184"/>
        <v/>
      </c>
      <c r="AO181" s="223" t="str">
        <f t="shared" si="190"/>
        <v/>
      </c>
      <c r="AP181" s="223" t="str">
        <f t="shared" si="174"/>
        <v>1</v>
      </c>
      <c r="AQ181" s="223" t="str">
        <f t="shared" si="180"/>
        <v>1</v>
      </c>
      <c r="AR181" s="223" t="str">
        <f t="shared" si="185"/>
        <v>1</v>
      </c>
      <c r="AS181" s="223" t="str">
        <f t="shared" si="193"/>
        <v>1</v>
      </c>
      <c r="AT181" s="223" t="str">
        <f t="shared" si="194"/>
        <v>1</v>
      </c>
      <c r="AU181" s="223" t="str">
        <f t="shared" si="175"/>
        <v>1</v>
      </c>
      <c r="AV181" s="223" t="str">
        <f t="shared" si="182"/>
        <v>1</v>
      </c>
      <c r="AW181" s="223" t="str">
        <f t="shared" si="187"/>
        <v>1</v>
      </c>
      <c r="AX181" s="223" t="str">
        <f t="shared" si="191"/>
        <v>1</v>
      </c>
      <c r="AY181" s="223" t="str">
        <f>IF(AND(E181&lt;$AY$2,I181&gt;$AY$2),"1","")</f>
        <v>1</v>
      </c>
    </row>
    <row r="182" spans="1:51" ht="22.5" x14ac:dyDescent="0.25">
      <c r="A182" s="214">
        <v>180</v>
      </c>
      <c r="B182" s="258" t="s">
        <v>256</v>
      </c>
      <c r="C182" s="145" t="s">
        <v>1164</v>
      </c>
      <c r="D182" s="157">
        <v>2014</v>
      </c>
      <c r="E182" s="149">
        <v>41677</v>
      </c>
      <c r="F182" s="222">
        <f t="shared" si="139"/>
        <v>2</v>
      </c>
      <c r="G182" s="222" t="str">
        <f t="shared" si="140"/>
        <v>22014</v>
      </c>
      <c r="H182" s="222" t="str">
        <f t="shared" si="141"/>
        <v>febrero</v>
      </c>
      <c r="I182" s="126" t="str">
        <f>VLOOKUP(B182,'Base de Datos'!$E$7:$T$271,14,0)</f>
        <v>2 meses</v>
      </c>
      <c r="J182" s="224" t="e">
        <f t="shared" si="142"/>
        <v>#VALUE!</v>
      </c>
      <c r="K182" s="223" t="e">
        <f t="shared" si="143"/>
        <v>#VALUE!</v>
      </c>
      <c r="L182" s="223" t="e">
        <f t="shared" si="144"/>
        <v>#VALUE!</v>
      </c>
      <c r="M182" s="223" t="str">
        <f t="shared" si="145"/>
        <v>2 meses</v>
      </c>
      <c r="N182" s="223" t="e">
        <f t="shared" ca="1" si="146"/>
        <v>#VALUE!</v>
      </c>
      <c r="O182" s="268" t="e">
        <f t="shared" ca="1" si="147"/>
        <v>#VALUE!</v>
      </c>
      <c r="P182" s="268" t="str">
        <f t="shared" si="156"/>
        <v/>
      </c>
      <c r="Q182" s="268" t="str">
        <f t="shared" si="148"/>
        <v/>
      </c>
      <c r="R182" s="268" t="str">
        <f t="shared" si="149"/>
        <v/>
      </c>
      <c r="S182" s="268" t="str">
        <f t="shared" si="150"/>
        <v/>
      </c>
      <c r="T182" s="268" t="str">
        <f t="shared" si="151"/>
        <v/>
      </c>
      <c r="U182" s="268" t="str">
        <f t="shared" si="152"/>
        <v/>
      </c>
      <c r="V182" s="268" t="str">
        <f t="shared" si="158"/>
        <v/>
      </c>
      <c r="W182" s="268" t="str">
        <f t="shared" si="153"/>
        <v/>
      </c>
      <c r="X182" s="268" t="str">
        <f t="shared" si="154"/>
        <v/>
      </c>
      <c r="Y182" s="268" t="str">
        <f t="shared" si="157"/>
        <v/>
      </c>
      <c r="Z182" s="268" t="str">
        <f t="shared" si="155"/>
        <v/>
      </c>
      <c r="AA182" s="268" t="str">
        <f t="shared" si="173"/>
        <v/>
      </c>
      <c r="AB182" s="268" t="str">
        <f t="shared" si="165"/>
        <v/>
      </c>
      <c r="AC182" s="268" t="str">
        <f t="shared" si="171"/>
        <v/>
      </c>
      <c r="AD182" s="268" t="str">
        <f t="shared" si="178"/>
        <v/>
      </c>
      <c r="AE182" s="268" t="str">
        <f t="shared" si="181"/>
        <v/>
      </c>
      <c r="AF182" s="268" t="str">
        <f t="shared" si="188"/>
        <v/>
      </c>
      <c r="AG182" s="268" t="str">
        <f t="shared" si="195"/>
        <v/>
      </c>
      <c r="AH182" s="268" t="str">
        <f t="shared" si="136"/>
        <v/>
      </c>
      <c r="AI182" s="268" t="str">
        <f t="shared" si="179"/>
        <v/>
      </c>
      <c r="AJ182" s="268" t="str">
        <f t="shared" si="183"/>
        <v/>
      </c>
      <c r="AK182" s="268" t="str">
        <f t="shared" si="189"/>
        <v/>
      </c>
      <c r="AL182" s="268" t="str">
        <f t="shared" si="192"/>
        <v/>
      </c>
      <c r="AM182" s="268" t="str">
        <f t="shared" si="196"/>
        <v/>
      </c>
      <c r="AN182" s="223" t="str">
        <f t="shared" si="184"/>
        <v/>
      </c>
      <c r="AO182" s="223" t="str">
        <f t="shared" si="190"/>
        <v>1</v>
      </c>
      <c r="AP182" s="223" t="str">
        <f t="shared" si="174"/>
        <v>1</v>
      </c>
      <c r="AQ182" s="223" t="str">
        <f t="shared" si="180"/>
        <v>1</v>
      </c>
      <c r="AR182" s="223" t="str">
        <f t="shared" si="185"/>
        <v>1</v>
      </c>
      <c r="AS182" s="223" t="str">
        <f t="shared" si="193"/>
        <v>1</v>
      </c>
      <c r="AT182" s="223" t="str">
        <f t="shared" si="194"/>
        <v>1</v>
      </c>
      <c r="AU182" s="223" t="str">
        <f t="shared" si="175"/>
        <v>1</v>
      </c>
      <c r="AV182" s="223" t="str">
        <f t="shared" si="182"/>
        <v>1</v>
      </c>
      <c r="AW182" s="223" t="str">
        <f t="shared" si="187"/>
        <v>1</v>
      </c>
      <c r="AX182" s="223" t="str">
        <f t="shared" si="191"/>
        <v>1</v>
      </c>
      <c r="AY182" s="223" t="str">
        <f>IF(AND(E182&lt;$AY$2,I182&gt;$AY$2),"1","")</f>
        <v>1</v>
      </c>
    </row>
    <row r="183" spans="1:51" x14ac:dyDescent="0.25">
      <c r="A183" s="214">
        <v>181</v>
      </c>
      <c r="B183" s="258" t="s">
        <v>256</v>
      </c>
      <c r="C183" s="203" t="s">
        <v>1096</v>
      </c>
      <c r="D183" s="157">
        <v>2014</v>
      </c>
      <c r="E183" s="149">
        <v>41885</v>
      </c>
      <c r="F183" s="222">
        <f t="shared" si="139"/>
        <v>9</v>
      </c>
      <c r="G183" s="222" t="str">
        <f t="shared" si="140"/>
        <v>92014</v>
      </c>
      <c r="H183" s="222" t="str">
        <f t="shared" si="141"/>
        <v>septiembre</v>
      </c>
      <c r="I183" s="126" t="str">
        <f>VLOOKUP(B183,'Base de Datos'!$E$7:$T$271,14,0)</f>
        <v>2 meses</v>
      </c>
      <c r="J183" s="224" t="e">
        <f t="shared" si="142"/>
        <v>#VALUE!</v>
      </c>
      <c r="K183" s="223" t="e">
        <f t="shared" si="143"/>
        <v>#VALUE!</v>
      </c>
      <c r="L183" s="223" t="e">
        <f t="shared" si="144"/>
        <v>#VALUE!</v>
      </c>
      <c r="M183" s="223" t="str">
        <f t="shared" si="145"/>
        <v>2 meses</v>
      </c>
      <c r="N183" s="223" t="e">
        <f t="shared" ca="1" si="146"/>
        <v>#VALUE!</v>
      </c>
      <c r="O183" s="268" t="e">
        <f t="shared" ca="1" si="147"/>
        <v>#VALUE!</v>
      </c>
      <c r="P183" s="268" t="str">
        <f t="shared" si="156"/>
        <v/>
      </c>
      <c r="Q183" s="268" t="str">
        <f t="shared" si="148"/>
        <v/>
      </c>
      <c r="R183" s="268" t="str">
        <f t="shared" si="149"/>
        <v/>
      </c>
      <c r="S183" s="268" t="str">
        <f t="shared" si="150"/>
        <v/>
      </c>
      <c r="T183" s="268" t="str">
        <f t="shared" si="151"/>
        <v/>
      </c>
      <c r="U183" s="268" t="str">
        <f t="shared" si="152"/>
        <v/>
      </c>
      <c r="V183" s="268" t="str">
        <f t="shared" si="158"/>
        <v/>
      </c>
      <c r="W183" s="268" t="str">
        <f t="shared" si="153"/>
        <v/>
      </c>
      <c r="X183" s="268" t="str">
        <f t="shared" si="154"/>
        <v/>
      </c>
      <c r="Y183" s="268" t="str">
        <f t="shared" si="157"/>
        <v/>
      </c>
      <c r="Z183" s="268" t="str">
        <f t="shared" si="155"/>
        <v/>
      </c>
      <c r="AA183" s="268" t="str">
        <f t="shared" si="173"/>
        <v/>
      </c>
      <c r="AB183" s="268" t="str">
        <f t="shared" si="165"/>
        <v/>
      </c>
      <c r="AC183" s="268" t="str">
        <f t="shared" si="171"/>
        <v/>
      </c>
      <c r="AD183" s="268" t="str">
        <f t="shared" si="178"/>
        <v/>
      </c>
      <c r="AE183" s="268" t="str">
        <f t="shared" si="181"/>
        <v/>
      </c>
      <c r="AF183" s="268" t="str">
        <f t="shared" si="188"/>
        <v/>
      </c>
      <c r="AG183" s="268" t="str">
        <f t="shared" si="195"/>
        <v/>
      </c>
      <c r="AH183" s="268" t="str">
        <f t="shared" si="136"/>
        <v/>
      </c>
      <c r="AI183" s="268" t="str">
        <f t="shared" si="179"/>
        <v/>
      </c>
      <c r="AJ183" s="268" t="str">
        <f t="shared" si="183"/>
        <v/>
      </c>
      <c r="AK183" s="268" t="str">
        <f t="shared" si="189"/>
        <v/>
      </c>
      <c r="AL183" s="268" t="str">
        <f t="shared" si="192"/>
        <v/>
      </c>
      <c r="AM183" s="268" t="str">
        <f t="shared" si="196"/>
        <v/>
      </c>
      <c r="AN183" s="223" t="str">
        <f t="shared" si="184"/>
        <v/>
      </c>
      <c r="AO183" s="223" t="str">
        <f t="shared" si="190"/>
        <v/>
      </c>
      <c r="AP183" s="223" t="str">
        <f t="shared" si="174"/>
        <v/>
      </c>
      <c r="AQ183" s="223" t="str">
        <f t="shared" si="180"/>
        <v/>
      </c>
      <c r="AR183" s="223" t="str">
        <f t="shared" si="185"/>
        <v/>
      </c>
      <c r="AS183" s="223" t="str">
        <f t="shared" si="193"/>
        <v/>
      </c>
      <c r="AT183" s="223" t="str">
        <f t="shared" si="194"/>
        <v/>
      </c>
      <c r="AU183" s="223" t="str">
        <f t="shared" si="175"/>
        <v/>
      </c>
      <c r="AV183" s="223" t="str">
        <f t="shared" si="182"/>
        <v>1</v>
      </c>
      <c r="AW183" s="223" t="str">
        <f t="shared" si="187"/>
        <v>1</v>
      </c>
      <c r="AX183" s="223" t="str">
        <f t="shared" si="191"/>
        <v>1</v>
      </c>
      <c r="AY183" s="223">
        <v>1</v>
      </c>
    </row>
    <row r="184" spans="1:51" ht="22.5" x14ac:dyDescent="0.25">
      <c r="A184" s="214">
        <v>182</v>
      </c>
      <c r="B184" s="251" t="s">
        <v>171</v>
      </c>
      <c r="C184" s="132" t="s">
        <v>1034</v>
      </c>
      <c r="D184" s="157">
        <v>2014</v>
      </c>
      <c r="E184" s="138">
        <v>41675</v>
      </c>
      <c r="F184" s="222">
        <f t="shared" si="139"/>
        <v>2</v>
      </c>
      <c r="G184" s="222" t="str">
        <f t="shared" si="140"/>
        <v>22014</v>
      </c>
      <c r="H184" s="222" t="str">
        <f t="shared" si="141"/>
        <v>febrero</v>
      </c>
      <c r="I184" s="126" t="str">
        <f>VLOOKUP(B184,'Base de Datos'!$E$7:$T$271,14,0)</f>
        <v/>
      </c>
      <c r="J184" s="224" t="e">
        <f t="shared" si="142"/>
        <v>#VALUE!</v>
      </c>
      <c r="K184" s="223" t="e">
        <f t="shared" si="143"/>
        <v>#VALUE!</v>
      </c>
      <c r="L184" s="223" t="e">
        <f t="shared" si="144"/>
        <v>#VALUE!</v>
      </c>
      <c r="M184" s="223" t="str">
        <f t="shared" si="145"/>
        <v/>
      </c>
      <c r="N184" s="223" t="e">
        <f t="shared" ca="1" si="146"/>
        <v>#VALUE!</v>
      </c>
      <c r="O184" s="268" t="e">
        <f t="shared" ca="1" si="147"/>
        <v>#VALUE!</v>
      </c>
      <c r="P184" s="268" t="str">
        <f t="shared" si="156"/>
        <v/>
      </c>
      <c r="Q184" s="268" t="str">
        <f t="shared" si="148"/>
        <v/>
      </c>
      <c r="R184" s="268" t="str">
        <f t="shared" si="149"/>
        <v/>
      </c>
      <c r="S184" s="268" t="str">
        <f t="shared" si="150"/>
        <v/>
      </c>
      <c r="T184" s="268" t="str">
        <f t="shared" si="151"/>
        <v/>
      </c>
      <c r="U184" s="268" t="str">
        <f t="shared" si="152"/>
        <v/>
      </c>
      <c r="V184" s="268" t="str">
        <f t="shared" si="158"/>
        <v/>
      </c>
      <c r="W184" s="268" t="str">
        <f t="shared" si="153"/>
        <v/>
      </c>
      <c r="X184" s="268" t="str">
        <f t="shared" si="154"/>
        <v/>
      </c>
      <c r="Y184" s="268" t="str">
        <f t="shared" si="157"/>
        <v/>
      </c>
      <c r="Z184" s="268" t="str">
        <f t="shared" si="155"/>
        <v/>
      </c>
      <c r="AA184" s="268" t="str">
        <f t="shared" si="173"/>
        <v/>
      </c>
      <c r="AB184" s="268" t="str">
        <f t="shared" si="165"/>
        <v/>
      </c>
      <c r="AC184" s="268" t="str">
        <f t="shared" si="171"/>
        <v/>
      </c>
      <c r="AD184" s="268" t="str">
        <f t="shared" si="178"/>
        <v/>
      </c>
      <c r="AE184" s="268" t="str">
        <f t="shared" si="181"/>
        <v/>
      </c>
      <c r="AF184" s="268" t="str">
        <f t="shared" si="188"/>
        <v/>
      </c>
      <c r="AG184" s="268" t="str">
        <f t="shared" si="195"/>
        <v/>
      </c>
      <c r="AH184" s="268" t="str">
        <f t="shared" si="136"/>
        <v/>
      </c>
      <c r="AI184" s="268" t="str">
        <f t="shared" si="179"/>
        <v/>
      </c>
      <c r="AJ184" s="268" t="str">
        <f t="shared" si="183"/>
        <v/>
      </c>
      <c r="AK184" s="268" t="str">
        <f t="shared" si="189"/>
        <v/>
      </c>
      <c r="AL184" s="268" t="str">
        <f t="shared" si="192"/>
        <v/>
      </c>
      <c r="AM184" s="268" t="str">
        <f t="shared" si="196"/>
        <v/>
      </c>
      <c r="AN184" s="223" t="str">
        <f t="shared" si="184"/>
        <v/>
      </c>
      <c r="AO184" s="223" t="str">
        <f t="shared" si="190"/>
        <v>1</v>
      </c>
      <c r="AP184" s="223" t="str">
        <f t="shared" si="174"/>
        <v>1</v>
      </c>
      <c r="AQ184" s="223" t="str">
        <f t="shared" si="180"/>
        <v>1</v>
      </c>
      <c r="AR184" s="223" t="str">
        <f t="shared" si="185"/>
        <v>1</v>
      </c>
      <c r="AS184" s="223" t="str">
        <f t="shared" si="193"/>
        <v>1</v>
      </c>
      <c r="AT184" s="223" t="str">
        <f t="shared" si="194"/>
        <v>1</v>
      </c>
      <c r="AU184" s="223" t="str">
        <f t="shared" si="175"/>
        <v>1</v>
      </c>
      <c r="AV184" s="223" t="str">
        <f t="shared" si="182"/>
        <v>1</v>
      </c>
      <c r="AW184" s="223" t="str">
        <f t="shared" si="187"/>
        <v>1</v>
      </c>
      <c r="AX184" s="223" t="str">
        <f t="shared" si="191"/>
        <v>1</v>
      </c>
      <c r="AY184" s="223" t="str">
        <f t="shared" ref="AY184:AY215" si="197">IF(AND(E184&lt;$AY$2,I184&gt;$AY$2),"1","")</f>
        <v>1</v>
      </c>
    </row>
    <row r="185" spans="1:51" x14ac:dyDescent="0.25">
      <c r="A185" s="214">
        <v>183</v>
      </c>
      <c r="B185" s="258" t="s">
        <v>257</v>
      </c>
      <c r="C185" s="145" t="s">
        <v>1035</v>
      </c>
      <c r="D185" s="157">
        <v>2014</v>
      </c>
      <c r="E185" s="149">
        <v>41675</v>
      </c>
      <c r="F185" s="222">
        <f t="shared" si="139"/>
        <v>2</v>
      </c>
      <c r="G185" s="222" t="str">
        <f t="shared" si="140"/>
        <v>22014</v>
      </c>
      <c r="H185" s="222" t="str">
        <f t="shared" si="141"/>
        <v>febrero</v>
      </c>
      <c r="I185" s="126" t="str">
        <f>VLOOKUP(B185,'Base de Datos'!$E$7:$T$271,14,0)</f>
        <v/>
      </c>
      <c r="J185" s="224" t="e">
        <f t="shared" si="142"/>
        <v>#VALUE!</v>
      </c>
      <c r="K185" s="223" t="e">
        <f t="shared" si="143"/>
        <v>#VALUE!</v>
      </c>
      <c r="L185" s="223" t="e">
        <f t="shared" si="144"/>
        <v>#VALUE!</v>
      </c>
      <c r="M185" s="223" t="str">
        <f t="shared" si="145"/>
        <v/>
      </c>
      <c r="N185" s="223" t="e">
        <f t="shared" ca="1" si="146"/>
        <v>#VALUE!</v>
      </c>
      <c r="O185" s="268" t="e">
        <f t="shared" ca="1" si="147"/>
        <v>#VALUE!</v>
      </c>
      <c r="P185" s="268" t="str">
        <f t="shared" si="156"/>
        <v/>
      </c>
      <c r="Q185" s="268" t="str">
        <f t="shared" si="148"/>
        <v/>
      </c>
      <c r="R185" s="268" t="str">
        <f t="shared" si="149"/>
        <v/>
      </c>
      <c r="S185" s="268" t="str">
        <f t="shared" si="150"/>
        <v/>
      </c>
      <c r="T185" s="268" t="str">
        <f t="shared" si="151"/>
        <v/>
      </c>
      <c r="U185" s="268" t="str">
        <f t="shared" si="152"/>
        <v/>
      </c>
      <c r="V185" s="268" t="str">
        <f t="shared" si="158"/>
        <v/>
      </c>
      <c r="W185" s="268" t="str">
        <f t="shared" si="153"/>
        <v/>
      </c>
      <c r="X185" s="268" t="str">
        <f t="shared" si="154"/>
        <v/>
      </c>
      <c r="Y185" s="268" t="str">
        <f t="shared" si="157"/>
        <v/>
      </c>
      <c r="Z185" s="268" t="str">
        <f t="shared" si="155"/>
        <v/>
      </c>
      <c r="AA185" s="268" t="str">
        <f t="shared" si="173"/>
        <v/>
      </c>
      <c r="AB185" s="268" t="str">
        <f t="shared" si="165"/>
        <v/>
      </c>
      <c r="AC185" s="268" t="str">
        <f t="shared" si="171"/>
        <v/>
      </c>
      <c r="AD185" s="268" t="str">
        <f t="shared" si="178"/>
        <v/>
      </c>
      <c r="AE185" s="268" t="str">
        <f t="shared" si="181"/>
        <v/>
      </c>
      <c r="AF185" s="268" t="str">
        <f t="shared" si="188"/>
        <v/>
      </c>
      <c r="AG185" s="268" t="str">
        <f t="shared" si="195"/>
        <v/>
      </c>
      <c r="AH185" s="268" t="str">
        <f t="shared" si="136"/>
        <v/>
      </c>
      <c r="AI185" s="268" t="str">
        <f t="shared" si="179"/>
        <v/>
      </c>
      <c r="AJ185" s="268" t="str">
        <f t="shared" si="183"/>
        <v/>
      </c>
      <c r="AK185" s="268" t="str">
        <f t="shared" si="189"/>
        <v/>
      </c>
      <c r="AL185" s="268" t="str">
        <f t="shared" si="192"/>
        <v/>
      </c>
      <c r="AM185" s="268" t="str">
        <f t="shared" si="196"/>
        <v/>
      </c>
      <c r="AN185" s="223" t="str">
        <f t="shared" si="184"/>
        <v/>
      </c>
      <c r="AO185" s="223" t="str">
        <f t="shared" si="190"/>
        <v>1</v>
      </c>
      <c r="AP185" s="223" t="str">
        <f t="shared" si="174"/>
        <v>1</v>
      </c>
      <c r="AQ185" s="223" t="str">
        <f t="shared" si="180"/>
        <v>1</v>
      </c>
      <c r="AR185" s="223" t="str">
        <f t="shared" si="185"/>
        <v>1</v>
      </c>
      <c r="AS185" s="223" t="str">
        <f t="shared" si="193"/>
        <v>1</v>
      </c>
      <c r="AT185" s="223" t="str">
        <f t="shared" si="194"/>
        <v>1</v>
      </c>
      <c r="AU185" s="223" t="str">
        <f t="shared" si="175"/>
        <v>1</v>
      </c>
      <c r="AV185" s="223" t="str">
        <f t="shared" si="182"/>
        <v>1</v>
      </c>
      <c r="AW185" s="223" t="str">
        <f t="shared" si="187"/>
        <v>1</v>
      </c>
      <c r="AX185" s="223" t="str">
        <f t="shared" si="191"/>
        <v>1</v>
      </c>
      <c r="AY185" s="223" t="str">
        <f t="shared" si="197"/>
        <v>1</v>
      </c>
    </row>
    <row r="186" spans="1:51" ht="22.5" x14ac:dyDescent="0.25">
      <c r="A186" s="214">
        <v>184</v>
      </c>
      <c r="B186" s="251" t="s">
        <v>245</v>
      </c>
      <c r="C186" s="132" t="s">
        <v>226</v>
      </c>
      <c r="D186" s="157">
        <v>2014</v>
      </c>
      <c r="E186" s="138">
        <v>41675</v>
      </c>
      <c r="F186" s="222">
        <f t="shared" si="139"/>
        <v>2</v>
      </c>
      <c r="G186" s="222" t="str">
        <f t="shared" si="140"/>
        <v>22014</v>
      </c>
      <c r="H186" s="222" t="str">
        <f t="shared" si="141"/>
        <v>febrero</v>
      </c>
      <c r="I186" s="126" t="str">
        <f>VLOOKUP(B186,'Base de Datos'!$E$7:$T$271,14,0)</f>
        <v/>
      </c>
      <c r="J186" s="224" t="e">
        <f t="shared" si="142"/>
        <v>#VALUE!</v>
      </c>
      <c r="K186" s="223" t="e">
        <f t="shared" si="143"/>
        <v>#VALUE!</v>
      </c>
      <c r="L186" s="223" t="e">
        <f t="shared" si="144"/>
        <v>#VALUE!</v>
      </c>
      <c r="M186" s="223" t="str">
        <f t="shared" si="145"/>
        <v/>
      </c>
      <c r="N186" s="223" t="e">
        <f t="shared" ca="1" si="146"/>
        <v>#VALUE!</v>
      </c>
      <c r="O186" s="268" t="e">
        <f t="shared" ca="1" si="147"/>
        <v>#VALUE!</v>
      </c>
      <c r="P186" s="268" t="str">
        <f t="shared" si="156"/>
        <v/>
      </c>
      <c r="Q186" s="268" t="str">
        <f t="shared" si="148"/>
        <v/>
      </c>
      <c r="R186" s="268" t="str">
        <f t="shared" si="149"/>
        <v/>
      </c>
      <c r="S186" s="268" t="str">
        <f t="shared" si="150"/>
        <v/>
      </c>
      <c r="T186" s="268" t="str">
        <f t="shared" si="151"/>
        <v/>
      </c>
      <c r="U186" s="268" t="str">
        <f t="shared" si="152"/>
        <v/>
      </c>
      <c r="V186" s="268" t="str">
        <f t="shared" si="158"/>
        <v/>
      </c>
      <c r="W186" s="268" t="str">
        <f t="shared" si="153"/>
        <v/>
      </c>
      <c r="X186" s="268" t="str">
        <f t="shared" si="154"/>
        <v/>
      </c>
      <c r="Y186" s="268" t="str">
        <f t="shared" si="157"/>
        <v/>
      </c>
      <c r="Z186" s="268" t="str">
        <f t="shared" si="155"/>
        <v/>
      </c>
      <c r="AA186" s="268" t="str">
        <f t="shared" si="173"/>
        <v/>
      </c>
      <c r="AB186" s="268" t="str">
        <f t="shared" si="165"/>
        <v/>
      </c>
      <c r="AC186" s="268" t="str">
        <f t="shared" si="171"/>
        <v/>
      </c>
      <c r="AD186" s="268" t="str">
        <f t="shared" si="178"/>
        <v/>
      </c>
      <c r="AE186" s="268" t="str">
        <f t="shared" si="181"/>
        <v/>
      </c>
      <c r="AF186" s="268" t="str">
        <f t="shared" si="188"/>
        <v/>
      </c>
      <c r="AG186" s="268" t="str">
        <f t="shared" si="195"/>
        <v/>
      </c>
      <c r="AH186" s="268" t="str">
        <f t="shared" si="136"/>
        <v/>
      </c>
      <c r="AI186" s="268" t="str">
        <f t="shared" si="179"/>
        <v/>
      </c>
      <c r="AJ186" s="268" t="str">
        <f t="shared" si="183"/>
        <v/>
      </c>
      <c r="AK186" s="268" t="str">
        <f t="shared" si="189"/>
        <v/>
      </c>
      <c r="AL186" s="268" t="str">
        <f t="shared" si="192"/>
        <v/>
      </c>
      <c r="AM186" s="268" t="str">
        <f t="shared" si="196"/>
        <v/>
      </c>
      <c r="AN186" s="223" t="str">
        <f t="shared" si="184"/>
        <v/>
      </c>
      <c r="AO186" s="223" t="str">
        <f t="shared" si="190"/>
        <v>1</v>
      </c>
      <c r="AP186" s="223" t="str">
        <f t="shared" ref="AP186:AP217" si="198">IF(AND(E186&lt;$AP$2,I186&gt;$AP$2),"1","")</f>
        <v>1</v>
      </c>
      <c r="AQ186" s="223" t="str">
        <f t="shared" si="180"/>
        <v>1</v>
      </c>
      <c r="AR186" s="223" t="str">
        <f t="shared" si="185"/>
        <v>1</v>
      </c>
      <c r="AS186" s="223" t="str">
        <f t="shared" si="193"/>
        <v>1</v>
      </c>
      <c r="AT186" s="223" t="str">
        <f t="shared" si="194"/>
        <v>1</v>
      </c>
      <c r="AU186" s="223" t="str">
        <f t="shared" ref="AU186:AU217" si="199">IF(AND(E186&lt;$AU$2,I186&gt;$AU$2),"1","")</f>
        <v>1</v>
      </c>
      <c r="AV186" s="223" t="str">
        <f t="shared" si="182"/>
        <v>1</v>
      </c>
      <c r="AW186" s="223" t="str">
        <f t="shared" si="187"/>
        <v>1</v>
      </c>
      <c r="AX186" s="223" t="str">
        <f t="shared" si="191"/>
        <v>1</v>
      </c>
      <c r="AY186" s="223" t="str">
        <f t="shared" si="197"/>
        <v>1</v>
      </c>
    </row>
    <row r="187" spans="1:51" ht="22.5" x14ac:dyDescent="0.25">
      <c r="A187" s="214">
        <v>185</v>
      </c>
      <c r="B187" s="251" t="s">
        <v>1108</v>
      </c>
      <c r="C187" s="132" t="s">
        <v>222</v>
      </c>
      <c r="D187" s="157">
        <v>2014</v>
      </c>
      <c r="E187" s="138">
        <v>41675</v>
      </c>
      <c r="F187" s="222">
        <f t="shared" si="139"/>
        <v>2</v>
      </c>
      <c r="G187" s="222" t="str">
        <f t="shared" si="140"/>
        <v>22014</v>
      </c>
      <c r="H187" s="222" t="str">
        <f t="shared" si="141"/>
        <v>febrero</v>
      </c>
      <c r="I187" s="126" t="str">
        <f>VLOOKUP(B187,'Base de Datos'!$E$7:$T$271,14,0)</f>
        <v/>
      </c>
      <c r="J187" s="224" t="e">
        <f t="shared" si="142"/>
        <v>#VALUE!</v>
      </c>
      <c r="K187" s="223" t="e">
        <f t="shared" si="143"/>
        <v>#VALUE!</v>
      </c>
      <c r="L187" s="223" t="e">
        <f t="shared" si="144"/>
        <v>#VALUE!</v>
      </c>
      <c r="M187" s="223" t="str">
        <f t="shared" si="145"/>
        <v/>
      </c>
      <c r="N187" s="223" t="e">
        <f t="shared" ca="1" si="146"/>
        <v>#VALUE!</v>
      </c>
      <c r="O187" s="268" t="e">
        <f t="shared" ca="1" si="147"/>
        <v>#VALUE!</v>
      </c>
      <c r="P187" s="268" t="str">
        <f t="shared" si="156"/>
        <v/>
      </c>
      <c r="Q187" s="268" t="str">
        <f t="shared" si="148"/>
        <v/>
      </c>
      <c r="R187" s="268" t="str">
        <f t="shared" si="149"/>
        <v/>
      </c>
      <c r="S187" s="268" t="str">
        <f t="shared" si="150"/>
        <v/>
      </c>
      <c r="T187" s="268" t="str">
        <f t="shared" si="151"/>
        <v/>
      </c>
      <c r="U187" s="268" t="str">
        <f t="shared" si="152"/>
        <v/>
      </c>
      <c r="V187" s="268" t="str">
        <f t="shared" si="158"/>
        <v/>
      </c>
      <c r="W187" s="268" t="str">
        <f t="shared" si="153"/>
        <v/>
      </c>
      <c r="X187" s="268" t="str">
        <f t="shared" si="154"/>
        <v/>
      </c>
      <c r="Y187" s="268" t="str">
        <f t="shared" si="157"/>
        <v/>
      </c>
      <c r="Z187" s="268" t="str">
        <f t="shared" si="155"/>
        <v/>
      </c>
      <c r="AA187" s="268" t="str">
        <f t="shared" si="173"/>
        <v/>
      </c>
      <c r="AB187" s="268" t="str">
        <f t="shared" si="165"/>
        <v/>
      </c>
      <c r="AC187" s="268" t="str">
        <f t="shared" si="171"/>
        <v/>
      </c>
      <c r="AD187" s="268" t="str">
        <f t="shared" si="178"/>
        <v/>
      </c>
      <c r="AE187" s="268" t="str">
        <f t="shared" si="181"/>
        <v/>
      </c>
      <c r="AF187" s="268" t="str">
        <f t="shared" si="188"/>
        <v/>
      </c>
      <c r="AG187" s="268" t="str">
        <f t="shared" si="195"/>
        <v/>
      </c>
      <c r="AH187" s="268" t="str">
        <f t="shared" ref="AH187:AH250" si="200">IF(AND(E187&lt;$AH$2,I187&gt;$AH$2),"1","")</f>
        <v/>
      </c>
      <c r="AI187" s="268" t="str">
        <f t="shared" si="179"/>
        <v/>
      </c>
      <c r="AJ187" s="268" t="str">
        <f t="shared" si="183"/>
        <v/>
      </c>
      <c r="AK187" s="268" t="str">
        <f t="shared" si="189"/>
        <v/>
      </c>
      <c r="AL187" s="268" t="str">
        <f t="shared" si="192"/>
        <v/>
      </c>
      <c r="AM187" s="268" t="str">
        <f t="shared" si="196"/>
        <v/>
      </c>
      <c r="AN187" s="223" t="str">
        <f t="shared" si="184"/>
        <v/>
      </c>
      <c r="AO187" s="223" t="str">
        <f t="shared" si="190"/>
        <v>1</v>
      </c>
      <c r="AP187" s="223" t="str">
        <f t="shared" si="198"/>
        <v>1</v>
      </c>
      <c r="AQ187" s="223" t="str">
        <f t="shared" si="180"/>
        <v>1</v>
      </c>
      <c r="AR187" s="223" t="str">
        <f t="shared" si="185"/>
        <v>1</v>
      </c>
      <c r="AS187" s="223" t="str">
        <f t="shared" si="193"/>
        <v>1</v>
      </c>
      <c r="AT187" s="223" t="str">
        <f t="shared" si="194"/>
        <v>1</v>
      </c>
      <c r="AU187" s="223" t="str">
        <f t="shared" si="199"/>
        <v>1</v>
      </c>
      <c r="AV187" s="223" t="str">
        <f t="shared" si="182"/>
        <v>1</v>
      </c>
      <c r="AW187" s="223" t="str">
        <f t="shared" si="187"/>
        <v>1</v>
      </c>
      <c r="AX187" s="223" t="str">
        <f t="shared" si="191"/>
        <v>1</v>
      </c>
      <c r="AY187" s="223" t="str">
        <f t="shared" si="197"/>
        <v>1</v>
      </c>
    </row>
    <row r="188" spans="1:51" ht="22.5" x14ac:dyDescent="0.25">
      <c r="A188" s="214">
        <v>186</v>
      </c>
      <c r="B188" s="251" t="s">
        <v>247</v>
      </c>
      <c r="C188" s="132" t="s">
        <v>1043</v>
      </c>
      <c r="D188" s="157">
        <v>2014</v>
      </c>
      <c r="E188" s="138">
        <v>41675</v>
      </c>
      <c r="F188" s="222">
        <f t="shared" si="139"/>
        <v>2</v>
      </c>
      <c r="G188" s="222" t="str">
        <f t="shared" si="140"/>
        <v>22014</v>
      </c>
      <c r="H188" s="222" t="str">
        <f t="shared" si="141"/>
        <v>febrero</v>
      </c>
      <c r="I188" s="126" t="str">
        <f>VLOOKUP(B188,'Base de Datos'!$E$7:$T$271,14,0)</f>
        <v/>
      </c>
      <c r="J188" s="224" t="e">
        <f t="shared" si="142"/>
        <v>#VALUE!</v>
      </c>
      <c r="K188" s="223" t="e">
        <f t="shared" si="143"/>
        <v>#VALUE!</v>
      </c>
      <c r="L188" s="223" t="e">
        <f t="shared" si="144"/>
        <v>#VALUE!</v>
      </c>
      <c r="M188" s="223" t="str">
        <f t="shared" si="145"/>
        <v/>
      </c>
      <c r="N188" s="223" t="e">
        <f t="shared" ca="1" si="146"/>
        <v>#VALUE!</v>
      </c>
      <c r="O188" s="268" t="e">
        <f t="shared" ca="1" si="147"/>
        <v>#VALUE!</v>
      </c>
      <c r="P188" s="268" t="str">
        <f t="shared" si="156"/>
        <v/>
      </c>
      <c r="Q188" s="268" t="str">
        <f t="shared" si="148"/>
        <v/>
      </c>
      <c r="R188" s="268" t="str">
        <f t="shared" si="149"/>
        <v/>
      </c>
      <c r="S188" s="268" t="str">
        <f t="shared" si="150"/>
        <v/>
      </c>
      <c r="T188" s="268" t="str">
        <f t="shared" si="151"/>
        <v/>
      </c>
      <c r="U188" s="268" t="str">
        <f t="shared" si="152"/>
        <v/>
      </c>
      <c r="V188" s="268" t="str">
        <f t="shared" si="158"/>
        <v/>
      </c>
      <c r="W188" s="268" t="str">
        <f t="shared" si="153"/>
        <v/>
      </c>
      <c r="X188" s="268" t="str">
        <f t="shared" si="154"/>
        <v/>
      </c>
      <c r="Y188" s="268" t="str">
        <f t="shared" si="157"/>
        <v/>
      </c>
      <c r="Z188" s="268" t="str">
        <f t="shared" si="155"/>
        <v/>
      </c>
      <c r="AA188" s="268" t="str">
        <f t="shared" si="173"/>
        <v/>
      </c>
      <c r="AB188" s="268" t="str">
        <f t="shared" si="165"/>
        <v/>
      </c>
      <c r="AC188" s="268" t="str">
        <f t="shared" si="171"/>
        <v/>
      </c>
      <c r="AD188" s="268" t="str">
        <f t="shared" si="178"/>
        <v/>
      </c>
      <c r="AE188" s="268" t="str">
        <f t="shared" si="181"/>
        <v/>
      </c>
      <c r="AF188" s="268" t="str">
        <f t="shared" si="188"/>
        <v/>
      </c>
      <c r="AG188" s="268" t="str">
        <f t="shared" si="195"/>
        <v/>
      </c>
      <c r="AH188" s="268" t="str">
        <f t="shared" si="200"/>
        <v/>
      </c>
      <c r="AI188" s="268" t="str">
        <f t="shared" si="179"/>
        <v/>
      </c>
      <c r="AJ188" s="268" t="str">
        <f t="shared" si="183"/>
        <v/>
      </c>
      <c r="AK188" s="268" t="str">
        <f t="shared" si="189"/>
        <v/>
      </c>
      <c r="AL188" s="268" t="str">
        <f t="shared" si="192"/>
        <v/>
      </c>
      <c r="AM188" s="268" t="str">
        <f t="shared" si="196"/>
        <v/>
      </c>
      <c r="AN188" s="223" t="str">
        <f t="shared" si="184"/>
        <v/>
      </c>
      <c r="AO188" s="223" t="str">
        <f t="shared" si="190"/>
        <v>1</v>
      </c>
      <c r="AP188" s="223" t="str">
        <f t="shared" si="198"/>
        <v>1</v>
      </c>
      <c r="AQ188" s="223" t="str">
        <f t="shared" si="180"/>
        <v>1</v>
      </c>
      <c r="AR188" s="223" t="str">
        <f t="shared" si="185"/>
        <v>1</v>
      </c>
      <c r="AS188" s="223" t="str">
        <f t="shared" si="193"/>
        <v>1</v>
      </c>
      <c r="AT188" s="223" t="str">
        <f t="shared" si="194"/>
        <v>1</v>
      </c>
      <c r="AU188" s="223" t="str">
        <f t="shared" si="199"/>
        <v>1</v>
      </c>
      <c r="AV188" s="223" t="str">
        <f t="shared" si="182"/>
        <v>1</v>
      </c>
      <c r="AW188" s="223" t="str">
        <f t="shared" si="187"/>
        <v>1</v>
      </c>
      <c r="AX188" s="223" t="str">
        <f t="shared" si="191"/>
        <v>1</v>
      </c>
      <c r="AY188" s="223" t="str">
        <f t="shared" si="197"/>
        <v>1</v>
      </c>
    </row>
    <row r="189" spans="1:51" ht="22.5" x14ac:dyDescent="0.25">
      <c r="A189" s="214">
        <v>187</v>
      </c>
      <c r="B189" s="139" t="s">
        <v>249</v>
      </c>
      <c r="C189" s="132" t="s">
        <v>1045</v>
      </c>
      <c r="D189" s="157">
        <v>2014</v>
      </c>
      <c r="E189" s="138">
        <v>41675</v>
      </c>
      <c r="F189" s="222">
        <f t="shared" si="139"/>
        <v>2</v>
      </c>
      <c r="G189" s="222" t="str">
        <f t="shared" si="140"/>
        <v>22014</v>
      </c>
      <c r="H189" s="222" t="str">
        <f t="shared" si="141"/>
        <v>febrero</v>
      </c>
      <c r="I189" s="126" t="str">
        <f>VLOOKUP(B189,'Base de Datos'!$E$7:$T$271,14,0)</f>
        <v/>
      </c>
      <c r="J189" s="224" t="e">
        <f t="shared" si="142"/>
        <v>#VALUE!</v>
      </c>
      <c r="K189" s="223" t="e">
        <f t="shared" si="143"/>
        <v>#VALUE!</v>
      </c>
      <c r="L189" s="223" t="e">
        <f t="shared" si="144"/>
        <v>#VALUE!</v>
      </c>
      <c r="M189" s="223" t="str">
        <f t="shared" si="145"/>
        <v/>
      </c>
      <c r="N189" s="223" t="e">
        <f t="shared" ca="1" si="146"/>
        <v>#VALUE!</v>
      </c>
      <c r="O189" s="268" t="e">
        <f t="shared" ca="1" si="147"/>
        <v>#VALUE!</v>
      </c>
      <c r="P189" s="268" t="str">
        <f t="shared" si="156"/>
        <v/>
      </c>
      <c r="Q189" s="268" t="str">
        <f t="shared" si="148"/>
        <v/>
      </c>
      <c r="R189" s="268" t="str">
        <f t="shared" si="149"/>
        <v/>
      </c>
      <c r="S189" s="268" t="str">
        <f t="shared" si="150"/>
        <v/>
      </c>
      <c r="T189" s="268" t="str">
        <f t="shared" si="151"/>
        <v/>
      </c>
      <c r="U189" s="268" t="str">
        <f t="shared" si="152"/>
        <v/>
      </c>
      <c r="V189" s="268" t="str">
        <f t="shared" si="158"/>
        <v/>
      </c>
      <c r="W189" s="268" t="str">
        <f t="shared" si="153"/>
        <v/>
      </c>
      <c r="X189" s="268" t="str">
        <f t="shared" si="154"/>
        <v/>
      </c>
      <c r="Y189" s="268" t="str">
        <f t="shared" si="157"/>
        <v/>
      </c>
      <c r="Z189" s="268" t="str">
        <f t="shared" si="155"/>
        <v/>
      </c>
      <c r="AA189" s="268" t="str">
        <f t="shared" si="173"/>
        <v/>
      </c>
      <c r="AB189" s="268" t="str">
        <f t="shared" si="165"/>
        <v/>
      </c>
      <c r="AC189" s="268" t="str">
        <f t="shared" si="171"/>
        <v/>
      </c>
      <c r="AD189" s="268" t="str">
        <f t="shared" si="178"/>
        <v/>
      </c>
      <c r="AE189" s="268" t="str">
        <f t="shared" si="181"/>
        <v/>
      </c>
      <c r="AF189" s="268" t="str">
        <f t="shared" si="188"/>
        <v/>
      </c>
      <c r="AG189" s="268" t="str">
        <f t="shared" si="195"/>
        <v/>
      </c>
      <c r="AH189" s="268" t="str">
        <f t="shared" si="200"/>
        <v/>
      </c>
      <c r="AI189" s="268" t="str">
        <f t="shared" si="179"/>
        <v/>
      </c>
      <c r="AJ189" s="268" t="str">
        <f t="shared" si="183"/>
        <v/>
      </c>
      <c r="AK189" s="268" t="str">
        <f t="shared" si="189"/>
        <v/>
      </c>
      <c r="AL189" s="268" t="str">
        <f t="shared" si="192"/>
        <v/>
      </c>
      <c r="AM189" s="268" t="str">
        <f t="shared" si="196"/>
        <v/>
      </c>
      <c r="AN189" s="223" t="str">
        <f t="shared" si="184"/>
        <v/>
      </c>
      <c r="AO189" s="223" t="str">
        <f t="shared" si="190"/>
        <v>1</v>
      </c>
      <c r="AP189" s="223" t="str">
        <f t="shared" si="198"/>
        <v>1</v>
      </c>
      <c r="AQ189" s="223" t="str">
        <f t="shared" si="180"/>
        <v>1</v>
      </c>
      <c r="AR189" s="223" t="str">
        <f t="shared" si="185"/>
        <v>1</v>
      </c>
      <c r="AS189" s="223" t="str">
        <f t="shared" si="193"/>
        <v>1</v>
      </c>
      <c r="AT189" s="223" t="str">
        <f t="shared" si="194"/>
        <v>1</v>
      </c>
      <c r="AU189" s="223" t="str">
        <f t="shared" si="199"/>
        <v>1</v>
      </c>
      <c r="AV189" s="223" t="str">
        <f t="shared" si="182"/>
        <v>1</v>
      </c>
      <c r="AW189" s="223" t="str">
        <f t="shared" si="187"/>
        <v>1</v>
      </c>
      <c r="AX189" s="223" t="str">
        <f t="shared" si="191"/>
        <v>1</v>
      </c>
      <c r="AY189" s="223" t="str">
        <f t="shared" si="197"/>
        <v>1</v>
      </c>
    </row>
    <row r="190" spans="1:51" ht="22.5" x14ac:dyDescent="0.25">
      <c r="A190" s="214">
        <v>188</v>
      </c>
      <c r="B190" s="251" t="s">
        <v>246</v>
      </c>
      <c r="C190" s="132" t="s">
        <v>228</v>
      </c>
      <c r="D190" s="157">
        <v>2014</v>
      </c>
      <c r="E190" s="138">
        <v>41675</v>
      </c>
      <c r="F190" s="222">
        <f t="shared" si="139"/>
        <v>2</v>
      </c>
      <c r="G190" s="222" t="str">
        <f t="shared" si="140"/>
        <v>22014</v>
      </c>
      <c r="H190" s="222" t="str">
        <f t="shared" si="141"/>
        <v>febrero</v>
      </c>
      <c r="I190" s="126" t="str">
        <f>VLOOKUP(B190,'Base de Datos'!$E$7:$T$271,14,0)</f>
        <v/>
      </c>
      <c r="J190" s="224" t="e">
        <f t="shared" si="142"/>
        <v>#VALUE!</v>
      </c>
      <c r="K190" s="223" t="e">
        <f t="shared" si="143"/>
        <v>#VALUE!</v>
      </c>
      <c r="L190" s="223" t="e">
        <f t="shared" si="144"/>
        <v>#VALUE!</v>
      </c>
      <c r="M190" s="223" t="str">
        <f t="shared" si="145"/>
        <v/>
      </c>
      <c r="N190" s="223" t="e">
        <f t="shared" ca="1" si="146"/>
        <v>#VALUE!</v>
      </c>
      <c r="O190" s="268" t="e">
        <f t="shared" ca="1" si="147"/>
        <v>#VALUE!</v>
      </c>
      <c r="P190" s="268" t="str">
        <f t="shared" si="156"/>
        <v/>
      </c>
      <c r="Q190" s="268" t="str">
        <f t="shared" si="148"/>
        <v/>
      </c>
      <c r="R190" s="268" t="str">
        <f t="shared" si="149"/>
        <v/>
      </c>
      <c r="S190" s="268" t="str">
        <f t="shared" si="150"/>
        <v/>
      </c>
      <c r="T190" s="268" t="str">
        <f t="shared" si="151"/>
        <v/>
      </c>
      <c r="U190" s="268" t="str">
        <f t="shared" si="152"/>
        <v/>
      </c>
      <c r="V190" s="268" t="str">
        <f t="shared" si="158"/>
        <v/>
      </c>
      <c r="W190" s="268" t="str">
        <f t="shared" si="153"/>
        <v/>
      </c>
      <c r="X190" s="268" t="str">
        <f t="shared" si="154"/>
        <v/>
      </c>
      <c r="Y190" s="268" t="str">
        <f t="shared" si="157"/>
        <v/>
      </c>
      <c r="Z190" s="268" t="str">
        <f t="shared" si="155"/>
        <v/>
      </c>
      <c r="AA190" s="268" t="str">
        <f t="shared" si="173"/>
        <v/>
      </c>
      <c r="AB190" s="268" t="str">
        <f t="shared" si="165"/>
        <v/>
      </c>
      <c r="AC190" s="268" t="str">
        <f t="shared" si="171"/>
        <v/>
      </c>
      <c r="AD190" s="268" t="str">
        <f t="shared" si="178"/>
        <v/>
      </c>
      <c r="AE190" s="268" t="str">
        <f t="shared" si="181"/>
        <v/>
      </c>
      <c r="AF190" s="268" t="str">
        <f t="shared" si="188"/>
        <v/>
      </c>
      <c r="AG190" s="268" t="str">
        <f t="shared" si="195"/>
        <v/>
      </c>
      <c r="AH190" s="268" t="str">
        <f t="shared" si="200"/>
        <v/>
      </c>
      <c r="AI190" s="268" t="str">
        <f t="shared" si="179"/>
        <v/>
      </c>
      <c r="AJ190" s="268" t="str">
        <f t="shared" si="183"/>
        <v/>
      </c>
      <c r="AK190" s="268" t="str">
        <f t="shared" si="189"/>
        <v/>
      </c>
      <c r="AL190" s="268" t="str">
        <f t="shared" si="192"/>
        <v/>
      </c>
      <c r="AM190" s="268" t="str">
        <f t="shared" si="196"/>
        <v/>
      </c>
      <c r="AN190" s="223" t="str">
        <f t="shared" si="184"/>
        <v/>
      </c>
      <c r="AO190" s="223" t="str">
        <f t="shared" si="190"/>
        <v>1</v>
      </c>
      <c r="AP190" s="223" t="str">
        <f t="shared" si="198"/>
        <v>1</v>
      </c>
      <c r="AQ190" s="223" t="str">
        <f t="shared" si="180"/>
        <v>1</v>
      </c>
      <c r="AR190" s="223" t="str">
        <f t="shared" si="185"/>
        <v>1</v>
      </c>
      <c r="AS190" s="223" t="str">
        <f t="shared" si="193"/>
        <v>1</v>
      </c>
      <c r="AT190" s="223" t="str">
        <f t="shared" si="194"/>
        <v>1</v>
      </c>
      <c r="AU190" s="223" t="str">
        <f t="shared" si="199"/>
        <v>1</v>
      </c>
      <c r="AV190" s="223" t="str">
        <f t="shared" si="182"/>
        <v>1</v>
      </c>
      <c r="AW190" s="223" t="str">
        <f t="shared" si="187"/>
        <v>1</v>
      </c>
      <c r="AX190" s="223" t="str">
        <f t="shared" si="191"/>
        <v>1</v>
      </c>
      <c r="AY190" s="223" t="str">
        <f t="shared" si="197"/>
        <v>1</v>
      </c>
    </row>
    <row r="191" spans="1:51" ht="22.5" x14ac:dyDescent="0.25">
      <c r="A191" s="214">
        <v>189</v>
      </c>
      <c r="B191" s="251" t="s">
        <v>248</v>
      </c>
      <c r="C191" s="132" t="s">
        <v>224</v>
      </c>
      <c r="D191" s="157">
        <v>2014</v>
      </c>
      <c r="E191" s="138">
        <v>41675</v>
      </c>
      <c r="F191" s="222">
        <f t="shared" si="139"/>
        <v>2</v>
      </c>
      <c r="G191" s="222" t="str">
        <f t="shared" si="140"/>
        <v>22014</v>
      </c>
      <c r="H191" s="222" t="str">
        <f t="shared" si="141"/>
        <v>febrero</v>
      </c>
      <c r="I191" s="126" t="str">
        <f>VLOOKUP(B191,'Base de Datos'!$E$7:$T$271,14,0)</f>
        <v/>
      </c>
      <c r="J191" s="224" t="e">
        <f t="shared" si="142"/>
        <v>#VALUE!</v>
      </c>
      <c r="K191" s="223" t="e">
        <f t="shared" si="143"/>
        <v>#VALUE!</v>
      </c>
      <c r="L191" s="223" t="e">
        <f t="shared" si="144"/>
        <v>#VALUE!</v>
      </c>
      <c r="M191" s="223" t="str">
        <f t="shared" si="145"/>
        <v/>
      </c>
      <c r="N191" s="223" t="e">
        <f t="shared" ca="1" si="146"/>
        <v>#VALUE!</v>
      </c>
      <c r="O191" s="268" t="e">
        <f t="shared" ca="1" si="147"/>
        <v>#VALUE!</v>
      </c>
      <c r="P191" s="268" t="str">
        <f t="shared" si="156"/>
        <v/>
      </c>
      <c r="Q191" s="268" t="str">
        <f t="shared" si="148"/>
        <v/>
      </c>
      <c r="R191" s="268" t="str">
        <f t="shared" si="149"/>
        <v/>
      </c>
      <c r="S191" s="268" t="str">
        <f t="shared" si="150"/>
        <v/>
      </c>
      <c r="T191" s="268" t="str">
        <f t="shared" si="151"/>
        <v/>
      </c>
      <c r="U191" s="268" t="str">
        <f t="shared" si="152"/>
        <v/>
      </c>
      <c r="V191" s="268" t="str">
        <f t="shared" si="158"/>
        <v/>
      </c>
      <c r="W191" s="268" t="str">
        <f t="shared" si="153"/>
        <v/>
      </c>
      <c r="X191" s="268" t="str">
        <f t="shared" si="154"/>
        <v/>
      </c>
      <c r="Y191" s="268" t="str">
        <f t="shared" si="157"/>
        <v/>
      </c>
      <c r="Z191" s="268" t="str">
        <f t="shared" si="155"/>
        <v/>
      </c>
      <c r="AA191" s="268" t="str">
        <f t="shared" si="173"/>
        <v/>
      </c>
      <c r="AB191" s="268" t="str">
        <f t="shared" si="165"/>
        <v/>
      </c>
      <c r="AC191" s="268" t="str">
        <f t="shared" si="171"/>
        <v/>
      </c>
      <c r="AD191" s="268" t="str">
        <f t="shared" si="178"/>
        <v/>
      </c>
      <c r="AE191" s="268" t="str">
        <f t="shared" si="181"/>
        <v/>
      </c>
      <c r="AF191" s="268" t="str">
        <f t="shared" si="188"/>
        <v/>
      </c>
      <c r="AG191" s="268" t="str">
        <f t="shared" si="195"/>
        <v/>
      </c>
      <c r="AH191" s="268" t="str">
        <f t="shared" si="200"/>
        <v/>
      </c>
      <c r="AI191" s="268" t="str">
        <f t="shared" ref="AI191:AI222" si="201">IF(AND(E191&lt;$AI$2,I191&gt;$AI$2),"1","")</f>
        <v/>
      </c>
      <c r="AJ191" s="268" t="str">
        <f t="shared" si="183"/>
        <v/>
      </c>
      <c r="AK191" s="268" t="str">
        <f t="shared" si="189"/>
        <v/>
      </c>
      <c r="AL191" s="268" t="str">
        <f t="shared" si="192"/>
        <v/>
      </c>
      <c r="AM191" s="268" t="str">
        <f t="shared" si="196"/>
        <v/>
      </c>
      <c r="AN191" s="223" t="str">
        <f t="shared" si="184"/>
        <v/>
      </c>
      <c r="AO191" s="223" t="str">
        <f t="shared" si="190"/>
        <v>1</v>
      </c>
      <c r="AP191" s="223" t="str">
        <f t="shared" si="198"/>
        <v>1</v>
      </c>
      <c r="AQ191" s="223" t="str">
        <f t="shared" si="180"/>
        <v>1</v>
      </c>
      <c r="AR191" s="223" t="str">
        <f t="shared" si="185"/>
        <v>1</v>
      </c>
      <c r="AS191" s="223" t="str">
        <f t="shared" si="193"/>
        <v>1</v>
      </c>
      <c r="AT191" s="223" t="str">
        <f t="shared" si="194"/>
        <v>1</v>
      </c>
      <c r="AU191" s="223" t="str">
        <f t="shared" si="199"/>
        <v>1</v>
      </c>
      <c r="AV191" s="223" t="str">
        <f t="shared" si="182"/>
        <v>1</v>
      </c>
      <c r="AW191" s="223" t="str">
        <f t="shared" si="187"/>
        <v>1</v>
      </c>
      <c r="AX191" s="223" t="str">
        <f t="shared" si="191"/>
        <v>1</v>
      </c>
      <c r="AY191" s="223" t="str">
        <f t="shared" si="197"/>
        <v>1</v>
      </c>
    </row>
    <row r="192" spans="1:51" x14ac:dyDescent="0.25">
      <c r="A192" s="214">
        <v>190</v>
      </c>
      <c r="B192" s="258" t="s">
        <v>253</v>
      </c>
      <c r="C192" s="145" t="s">
        <v>140</v>
      </c>
      <c r="D192" s="157">
        <v>2014</v>
      </c>
      <c r="E192" s="149">
        <v>41675</v>
      </c>
      <c r="F192" s="222">
        <f t="shared" si="139"/>
        <v>2</v>
      </c>
      <c r="G192" s="222" t="str">
        <f t="shared" si="140"/>
        <v>22014</v>
      </c>
      <c r="H192" s="222" t="str">
        <f t="shared" si="141"/>
        <v>febrero</v>
      </c>
      <c r="I192" s="126" t="str">
        <f>VLOOKUP(B192,'Base de Datos'!$E$7:$T$271,14,0)</f>
        <v/>
      </c>
      <c r="J192" s="224" t="e">
        <f t="shared" si="142"/>
        <v>#VALUE!</v>
      </c>
      <c r="K192" s="223" t="e">
        <f t="shared" si="143"/>
        <v>#VALUE!</v>
      </c>
      <c r="L192" s="223" t="e">
        <f t="shared" si="144"/>
        <v>#VALUE!</v>
      </c>
      <c r="M192" s="223" t="str">
        <f t="shared" si="145"/>
        <v/>
      </c>
      <c r="N192" s="223" t="e">
        <f t="shared" ca="1" si="146"/>
        <v>#VALUE!</v>
      </c>
      <c r="O192" s="268" t="e">
        <f t="shared" ca="1" si="147"/>
        <v>#VALUE!</v>
      </c>
      <c r="P192" s="268" t="str">
        <f t="shared" si="156"/>
        <v/>
      </c>
      <c r="Q192" s="268" t="str">
        <f t="shared" si="148"/>
        <v/>
      </c>
      <c r="R192" s="268" t="str">
        <f t="shared" si="149"/>
        <v/>
      </c>
      <c r="S192" s="268" t="str">
        <f t="shared" si="150"/>
        <v/>
      </c>
      <c r="T192" s="268" t="str">
        <f t="shared" si="151"/>
        <v/>
      </c>
      <c r="U192" s="268" t="str">
        <f t="shared" si="152"/>
        <v/>
      </c>
      <c r="V192" s="268" t="str">
        <f t="shared" si="158"/>
        <v/>
      </c>
      <c r="W192" s="268" t="str">
        <f t="shared" si="153"/>
        <v/>
      </c>
      <c r="X192" s="268" t="str">
        <f t="shared" si="154"/>
        <v/>
      </c>
      <c r="Y192" s="268" t="str">
        <f t="shared" si="157"/>
        <v/>
      </c>
      <c r="Z192" s="268" t="str">
        <f t="shared" si="155"/>
        <v/>
      </c>
      <c r="AA192" s="268" t="str">
        <f t="shared" si="173"/>
        <v/>
      </c>
      <c r="AB192" s="268" t="str">
        <f t="shared" si="165"/>
        <v/>
      </c>
      <c r="AC192" s="268" t="str">
        <f t="shared" si="171"/>
        <v/>
      </c>
      <c r="AD192" s="268" t="str">
        <f t="shared" si="178"/>
        <v/>
      </c>
      <c r="AE192" s="268" t="str">
        <f t="shared" si="181"/>
        <v/>
      </c>
      <c r="AF192" s="268" t="str">
        <f t="shared" si="188"/>
        <v/>
      </c>
      <c r="AG192" s="268" t="str">
        <f t="shared" si="195"/>
        <v/>
      </c>
      <c r="AH192" s="268" t="str">
        <f t="shared" si="200"/>
        <v/>
      </c>
      <c r="AI192" s="268" t="str">
        <f t="shared" si="201"/>
        <v/>
      </c>
      <c r="AJ192" s="268" t="str">
        <f t="shared" si="183"/>
        <v/>
      </c>
      <c r="AK192" s="268" t="str">
        <f t="shared" si="189"/>
        <v/>
      </c>
      <c r="AL192" s="268" t="str">
        <f t="shared" si="192"/>
        <v/>
      </c>
      <c r="AM192" s="268" t="str">
        <f t="shared" si="196"/>
        <v/>
      </c>
      <c r="AN192" s="223" t="str">
        <f t="shared" si="184"/>
        <v/>
      </c>
      <c r="AO192" s="223" t="str">
        <f t="shared" si="190"/>
        <v>1</v>
      </c>
      <c r="AP192" s="223" t="str">
        <f t="shared" si="198"/>
        <v>1</v>
      </c>
      <c r="AQ192" s="223" t="str">
        <f t="shared" si="180"/>
        <v>1</v>
      </c>
      <c r="AR192" s="223" t="str">
        <f t="shared" si="185"/>
        <v>1</v>
      </c>
      <c r="AS192" s="223" t="str">
        <f t="shared" si="193"/>
        <v>1</v>
      </c>
      <c r="AT192" s="223" t="str">
        <f t="shared" si="194"/>
        <v>1</v>
      </c>
      <c r="AU192" s="223" t="str">
        <f t="shared" si="199"/>
        <v>1</v>
      </c>
      <c r="AV192" s="223" t="str">
        <f t="shared" si="182"/>
        <v>1</v>
      </c>
      <c r="AW192" s="223" t="str">
        <f t="shared" si="187"/>
        <v>1</v>
      </c>
      <c r="AX192" s="223" t="str">
        <f t="shared" si="191"/>
        <v>1</v>
      </c>
      <c r="AY192" s="223" t="str">
        <f t="shared" si="197"/>
        <v>1</v>
      </c>
    </row>
    <row r="193" spans="1:51" x14ac:dyDescent="0.25">
      <c r="A193" s="214">
        <v>191</v>
      </c>
      <c r="B193" s="251" t="s">
        <v>250</v>
      </c>
      <c r="C193" s="132" t="s">
        <v>251</v>
      </c>
      <c r="D193" s="157">
        <v>2014</v>
      </c>
      <c r="E193" s="138">
        <v>41675</v>
      </c>
      <c r="F193" s="222">
        <f t="shared" si="139"/>
        <v>2</v>
      </c>
      <c r="G193" s="222" t="str">
        <f t="shared" si="140"/>
        <v>22014</v>
      </c>
      <c r="H193" s="222" t="str">
        <f t="shared" si="141"/>
        <v>febrero</v>
      </c>
      <c r="I193" s="126" t="str">
        <f>VLOOKUP(B193,'Base de Datos'!$E$7:$T$271,14,0)</f>
        <v/>
      </c>
      <c r="J193" s="224" t="e">
        <f t="shared" si="142"/>
        <v>#VALUE!</v>
      </c>
      <c r="K193" s="223" t="e">
        <f t="shared" si="143"/>
        <v>#VALUE!</v>
      </c>
      <c r="L193" s="223" t="e">
        <f t="shared" si="144"/>
        <v>#VALUE!</v>
      </c>
      <c r="M193" s="223" t="str">
        <f t="shared" si="145"/>
        <v/>
      </c>
      <c r="N193" s="223" t="e">
        <f t="shared" ca="1" si="146"/>
        <v>#VALUE!</v>
      </c>
      <c r="O193" s="268" t="e">
        <f t="shared" ca="1" si="147"/>
        <v>#VALUE!</v>
      </c>
      <c r="P193" s="268" t="str">
        <f t="shared" si="156"/>
        <v/>
      </c>
      <c r="Q193" s="268" t="str">
        <f t="shared" si="148"/>
        <v/>
      </c>
      <c r="R193" s="268" t="str">
        <f t="shared" si="149"/>
        <v/>
      </c>
      <c r="S193" s="268" t="str">
        <f t="shared" si="150"/>
        <v/>
      </c>
      <c r="T193" s="268" t="str">
        <f t="shared" si="151"/>
        <v/>
      </c>
      <c r="U193" s="268" t="str">
        <f t="shared" si="152"/>
        <v/>
      </c>
      <c r="V193" s="268" t="str">
        <f t="shared" si="158"/>
        <v/>
      </c>
      <c r="W193" s="268" t="str">
        <f t="shared" si="153"/>
        <v/>
      </c>
      <c r="X193" s="268" t="str">
        <f t="shared" si="154"/>
        <v/>
      </c>
      <c r="Y193" s="268" t="str">
        <f t="shared" si="157"/>
        <v/>
      </c>
      <c r="Z193" s="268" t="str">
        <f t="shared" si="155"/>
        <v/>
      </c>
      <c r="AA193" s="268" t="str">
        <f t="shared" si="173"/>
        <v/>
      </c>
      <c r="AB193" s="268" t="str">
        <f t="shared" si="165"/>
        <v/>
      </c>
      <c r="AC193" s="268" t="str">
        <f t="shared" si="171"/>
        <v/>
      </c>
      <c r="AD193" s="268" t="str">
        <f t="shared" si="178"/>
        <v/>
      </c>
      <c r="AE193" s="268" t="str">
        <f t="shared" si="181"/>
        <v/>
      </c>
      <c r="AF193" s="268" t="str">
        <f t="shared" si="188"/>
        <v/>
      </c>
      <c r="AG193" s="268" t="str">
        <f t="shared" si="195"/>
        <v/>
      </c>
      <c r="AH193" s="268" t="str">
        <f t="shared" si="200"/>
        <v/>
      </c>
      <c r="AI193" s="268" t="str">
        <f t="shared" si="201"/>
        <v/>
      </c>
      <c r="AJ193" s="268" t="str">
        <f t="shared" si="183"/>
        <v/>
      </c>
      <c r="AK193" s="268" t="str">
        <f t="shared" si="189"/>
        <v/>
      </c>
      <c r="AL193" s="268" t="str">
        <f t="shared" si="192"/>
        <v/>
      </c>
      <c r="AM193" s="268" t="str">
        <f t="shared" si="196"/>
        <v/>
      </c>
      <c r="AN193" s="223" t="str">
        <f t="shared" si="184"/>
        <v/>
      </c>
      <c r="AO193" s="223" t="str">
        <f t="shared" si="190"/>
        <v>1</v>
      </c>
      <c r="AP193" s="223" t="str">
        <f t="shared" si="198"/>
        <v>1</v>
      </c>
      <c r="AQ193" s="223" t="str">
        <f t="shared" si="180"/>
        <v>1</v>
      </c>
      <c r="AR193" s="223" t="str">
        <f t="shared" si="185"/>
        <v>1</v>
      </c>
      <c r="AS193" s="223" t="str">
        <f t="shared" si="193"/>
        <v>1</v>
      </c>
      <c r="AT193" s="223" t="str">
        <f t="shared" si="194"/>
        <v>1</v>
      </c>
      <c r="AU193" s="223" t="str">
        <f t="shared" si="199"/>
        <v>1</v>
      </c>
      <c r="AV193" s="223" t="str">
        <f t="shared" si="182"/>
        <v>1</v>
      </c>
      <c r="AW193" s="223" t="str">
        <f t="shared" si="187"/>
        <v>1</v>
      </c>
      <c r="AX193" s="223" t="str">
        <f t="shared" si="191"/>
        <v>1</v>
      </c>
      <c r="AY193" s="223" t="str">
        <f t="shared" si="197"/>
        <v>1</v>
      </c>
    </row>
    <row r="194" spans="1:51" ht="22.5" x14ac:dyDescent="0.25">
      <c r="A194" s="214">
        <v>192</v>
      </c>
      <c r="B194" s="251" t="s">
        <v>553</v>
      </c>
      <c r="C194" s="132" t="s">
        <v>554</v>
      </c>
      <c r="D194" s="157">
        <v>2014</v>
      </c>
      <c r="E194" s="138">
        <v>41887</v>
      </c>
      <c r="F194" s="222">
        <f t="shared" si="139"/>
        <v>9</v>
      </c>
      <c r="G194" s="222" t="str">
        <f t="shared" si="140"/>
        <v>92014</v>
      </c>
      <c r="H194" s="222" t="str">
        <f t="shared" si="141"/>
        <v>septiembre</v>
      </c>
      <c r="I194" s="126" t="str">
        <f>VLOOKUP(B194,'Base de Datos'!$E$7:$T$271,14,0)</f>
        <v/>
      </c>
      <c r="J194" s="224" t="e">
        <f t="shared" si="142"/>
        <v>#VALUE!</v>
      </c>
      <c r="K194" s="223" t="e">
        <f t="shared" si="143"/>
        <v>#VALUE!</v>
      </c>
      <c r="L194" s="223" t="e">
        <f t="shared" si="144"/>
        <v>#VALUE!</v>
      </c>
      <c r="M194" s="223" t="str">
        <f t="shared" si="145"/>
        <v/>
      </c>
      <c r="N194" s="223" t="e">
        <f t="shared" ca="1" si="146"/>
        <v>#VALUE!</v>
      </c>
      <c r="O194" s="268" t="e">
        <f t="shared" ca="1" si="147"/>
        <v>#VALUE!</v>
      </c>
      <c r="P194" s="268" t="str">
        <f t="shared" si="156"/>
        <v/>
      </c>
      <c r="Q194" s="268" t="str">
        <f t="shared" si="148"/>
        <v/>
      </c>
      <c r="R194" s="268" t="str">
        <f t="shared" si="149"/>
        <v/>
      </c>
      <c r="S194" s="268" t="str">
        <f t="shared" si="150"/>
        <v/>
      </c>
      <c r="T194" s="268" t="str">
        <f t="shared" si="151"/>
        <v/>
      </c>
      <c r="U194" s="268" t="str">
        <f t="shared" si="152"/>
        <v/>
      </c>
      <c r="V194" s="268" t="str">
        <f t="shared" si="158"/>
        <v/>
      </c>
      <c r="W194" s="268" t="str">
        <f t="shared" si="153"/>
        <v/>
      </c>
      <c r="X194" s="268" t="str">
        <f t="shared" si="154"/>
        <v/>
      </c>
      <c r="Y194" s="268" t="str">
        <f t="shared" si="157"/>
        <v/>
      </c>
      <c r="Z194" s="268" t="str">
        <f t="shared" si="155"/>
        <v/>
      </c>
      <c r="AA194" s="268" t="str">
        <f t="shared" si="173"/>
        <v/>
      </c>
      <c r="AB194" s="268" t="str">
        <f t="shared" si="165"/>
        <v/>
      </c>
      <c r="AC194" s="268" t="str">
        <f t="shared" si="171"/>
        <v/>
      </c>
      <c r="AD194" s="268" t="str">
        <f t="shared" si="178"/>
        <v/>
      </c>
      <c r="AE194" s="268" t="str">
        <f t="shared" si="181"/>
        <v/>
      </c>
      <c r="AF194" s="268" t="str">
        <f t="shared" si="188"/>
        <v/>
      </c>
      <c r="AG194" s="268" t="str">
        <f t="shared" si="195"/>
        <v/>
      </c>
      <c r="AH194" s="268" t="str">
        <f t="shared" si="200"/>
        <v/>
      </c>
      <c r="AI194" s="268" t="str">
        <f t="shared" si="201"/>
        <v/>
      </c>
      <c r="AJ194" s="268" t="str">
        <f t="shared" si="183"/>
        <v/>
      </c>
      <c r="AK194" s="268" t="str">
        <f t="shared" si="189"/>
        <v/>
      </c>
      <c r="AL194" s="268" t="str">
        <f t="shared" si="192"/>
        <v/>
      </c>
      <c r="AM194" s="268" t="str">
        <f t="shared" si="196"/>
        <v/>
      </c>
      <c r="AN194" s="223" t="str">
        <f t="shared" si="184"/>
        <v/>
      </c>
      <c r="AO194" s="223" t="str">
        <f t="shared" si="190"/>
        <v/>
      </c>
      <c r="AP194" s="223" t="str">
        <f t="shared" si="198"/>
        <v/>
      </c>
      <c r="AQ194" s="223" t="str">
        <f t="shared" ref="AQ194:AQ225" si="202">IF(AND(E194&lt;$AQ$2,I194&gt;$AQ$2),"1","")</f>
        <v/>
      </c>
      <c r="AR194" s="223" t="str">
        <f t="shared" si="185"/>
        <v/>
      </c>
      <c r="AS194" s="223" t="str">
        <f t="shared" si="193"/>
        <v/>
      </c>
      <c r="AT194" s="223" t="str">
        <f t="shared" si="194"/>
        <v/>
      </c>
      <c r="AU194" s="223" t="str">
        <f t="shared" si="199"/>
        <v/>
      </c>
      <c r="AV194" s="223" t="str">
        <f t="shared" si="182"/>
        <v>1</v>
      </c>
      <c r="AW194" s="223" t="str">
        <f t="shared" si="187"/>
        <v>1</v>
      </c>
      <c r="AX194" s="223" t="str">
        <f t="shared" si="191"/>
        <v>1</v>
      </c>
      <c r="AY194" s="223" t="str">
        <f t="shared" si="197"/>
        <v>1</v>
      </c>
    </row>
    <row r="195" spans="1:51" x14ac:dyDescent="0.25">
      <c r="A195" s="214">
        <v>193</v>
      </c>
      <c r="B195" s="251" t="s">
        <v>273</v>
      </c>
      <c r="C195" s="132" t="s">
        <v>126</v>
      </c>
      <c r="D195" s="157">
        <v>2014</v>
      </c>
      <c r="E195" s="138">
        <v>41738</v>
      </c>
      <c r="F195" s="222">
        <f t="shared" ref="F195:F258" si="203">MONTH(E195)</f>
        <v>4</v>
      </c>
      <c r="G195" s="222" t="str">
        <f t="shared" ref="G195:G258" si="204">CONCATENATE(F195,D195)</f>
        <v>42014</v>
      </c>
      <c r="H195" s="222" t="str">
        <f t="shared" ref="H195:H261" si="205">TEXT(E195,"MMMM")</f>
        <v>abril</v>
      </c>
      <c r="I195" s="126" t="str">
        <f>VLOOKUP(B195,'Base de Datos'!$E$7:$T$271,14,0)</f>
        <v/>
      </c>
      <c r="J195" s="224" t="e">
        <f t="shared" ref="J195:J258" si="206">YEAR(I195)</f>
        <v>#VALUE!</v>
      </c>
      <c r="K195" s="223" t="e">
        <f t="shared" ref="K195:K261" si="207">MONTH(I195)</f>
        <v>#VALUE!</v>
      </c>
      <c r="L195" s="223" t="e">
        <f t="shared" ref="L195:L258" si="208">CONCATENATE(K195,J195)</f>
        <v>#VALUE!</v>
      </c>
      <c r="M195" s="223" t="str">
        <f t="shared" ref="M195:M261" si="209">TEXT(I195,"mmmm")</f>
        <v/>
      </c>
      <c r="N195" s="223" t="e">
        <f t="shared" ref="N195:N261" ca="1" si="210">$O$1-I195</f>
        <v>#VALUE!</v>
      </c>
      <c r="O195" s="268" t="e">
        <f t="shared" ref="O195:O258" ca="1" si="211">IF(N195&gt;0,"SI","NO")</f>
        <v>#VALUE!</v>
      </c>
      <c r="P195" s="268" t="str">
        <f t="shared" si="156"/>
        <v/>
      </c>
      <c r="Q195" s="268" t="str">
        <f t="shared" ref="Q195:Q261" si="212">IF(AND(E195&lt;$Q$2,I195&gt;$Q$2),"1","")</f>
        <v/>
      </c>
      <c r="R195" s="268" t="str">
        <f t="shared" ref="R195:R261" si="213">IF(AND(E195&lt;$R$2,I195&gt;$R$2),"1","")</f>
        <v/>
      </c>
      <c r="S195" s="268" t="str">
        <f t="shared" ref="S195:S261" si="214">IF(AND(E195&lt;$S$2,I195&gt;$S$2),"1","")</f>
        <v/>
      </c>
      <c r="T195" s="268" t="str">
        <f t="shared" ref="T195:T261" si="215">IF(AND(E195&lt;$T$2,I195&gt;$T$2),"1","")</f>
        <v/>
      </c>
      <c r="U195" s="268" t="str">
        <f t="shared" ref="U195:U261" si="216">IF(AND(E195&lt;$U$2,I195&gt;$U$2),"1","")</f>
        <v/>
      </c>
      <c r="V195" s="268" t="str">
        <f t="shared" si="158"/>
        <v/>
      </c>
      <c r="W195" s="268" t="str">
        <f t="shared" ref="W195:W261" si="217">IF(AND(E195&lt;$W$2,I195&gt;$W$2),"1","")</f>
        <v/>
      </c>
      <c r="X195" s="268" t="str">
        <f t="shared" ref="X195:X261" si="218">IF(AND(E195&lt;$X$2,I195&gt;$X$2),"1","")</f>
        <v/>
      </c>
      <c r="Y195" s="268" t="str">
        <f t="shared" si="157"/>
        <v/>
      </c>
      <c r="Z195" s="268" t="str">
        <f t="shared" ref="Z195:Z261" si="219">IF(AND(E195&lt;$Z$2,I195&gt;$Z$2),"1","")</f>
        <v/>
      </c>
      <c r="AA195" s="268" t="str">
        <f t="shared" si="173"/>
        <v/>
      </c>
      <c r="AB195" s="268" t="str">
        <f t="shared" si="165"/>
        <v/>
      </c>
      <c r="AC195" s="268" t="str">
        <f t="shared" si="171"/>
        <v/>
      </c>
      <c r="AD195" s="268" t="str">
        <f t="shared" si="178"/>
        <v/>
      </c>
      <c r="AE195" s="268" t="str">
        <f t="shared" si="181"/>
        <v/>
      </c>
      <c r="AF195" s="268" t="str">
        <f t="shared" si="188"/>
        <v/>
      </c>
      <c r="AG195" s="268" t="str">
        <f t="shared" si="195"/>
        <v/>
      </c>
      <c r="AH195" s="268" t="str">
        <f t="shared" si="200"/>
        <v/>
      </c>
      <c r="AI195" s="268" t="str">
        <f t="shared" si="201"/>
        <v/>
      </c>
      <c r="AJ195" s="268" t="str">
        <f t="shared" si="183"/>
        <v/>
      </c>
      <c r="AK195" s="268" t="str">
        <f t="shared" si="189"/>
        <v/>
      </c>
      <c r="AL195" s="268" t="str">
        <f t="shared" si="192"/>
        <v/>
      </c>
      <c r="AM195" s="268" t="str">
        <f t="shared" si="196"/>
        <v/>
      </c>
      <c r="AN195" s="223" t="str">
        <f t="shared" si="184"/>
        <v/>
      </c>
      <c r="AO195" s="223" t="str">
        <f t="shared" si="190"/>
        <v/>
      </c>
      <c r="AP195" s="223" t="str">
        <f t="shared" si="198"/>
        <v/>
      </c>
      <c r="AQ195" s="223" t="str">
        <f t="shared" si="202"/>
        <v>1</v>
      </c>
      <c r="AR195" s="223" t="str">
        <f t="shared" si="185"/>
        <v>1</v>
      </c>
      <c r="AS195" s="223" t="str">
        <f t="shared" si="193"/>
        <v>1</v>
      </c>
      <c r="AT195" s="223" t="str">
        <f t="shared" si="194"/>
        <v>1</v>
      </c>
      <c r="AU195" s="223" t="str">
        <f t="shared" si="199"/>
        <v>1</v>
      </c>
      <c r="AV195" s="223" t="str">
        <f t="shared" si="182"/>
        <v>1</v>
      </c>
      <c r="AW195" s="223" t="str">
        <f t="shared" si="187"/>
        <v>1</v>
      </c>
      <c r="AX195" s="223" t="str">
        <f t="shared" si="191"/>
        <v>1</v>
      </c>
      <c r="AY195" s="223" t="str">
        <f t="shared" si="197"/>
        <v>1</v>
      </c>
    </row>
    <row r="196" spans="1:51" ht="22.5" x14ac:dyDescent="0.25">
      <c r="A196" s="214">
        <v>194</v>
      </c>
      <c r="B196" s="251" t="s">
        <v>267</v>
      </c>
      <c r="C196" s="132" t="s">
        <v>1036</v>
      </c>
      <c r="D196" s="157">
        <v>2014</v>
      </c>
      <c r="E196" s="138">
        <v>41708</v>
      </c>
      <c r="F196" s="222">
        <f t="shared" si="203"/>
        <v>3</v>
      </c>
      <c r="G196" s="222" t="str">
        <f t="shared" si="204"/>
        <v>32014</v>
      </c>
      <c r="H196" s="222" t="str">
        <f t="shared" si="205"/>
        <v>marzo</v>
      </c>
      <c r="I196" s="126" t="str">
        <f>VLOOKUP(B196,'Base de Datos'!$E$7:$T$271,14,0)</f>
        <v/>
      </c>
      <c r="J196" s="224" t="e">
        <f t="shared" si="206"/>
        <v>#VALUE!</v>
      </c>
      <c r="K196" s="223" t="e">
        <f t="shared" si="207"/>
        <v>#VALUE!</v>
      </c>
      <c r="L196" s="223" t="e">
        <f t="shared" si="208"/>
        <v>#VALUE!</v>
      </c>
      <c r="M196" s="223" t="str">
        <f t="shared" si="209"/>
        <v/>
      </c>
      <c r="N196" s="223" t="e">
        <f t="shared" ca="1" si="210"/>
        <v>#VALUE!</v>
      </c>
      <c r="O196" s="268" t="e">
        <f t="shared" ca="1" si="211"/>
        <v>#VALUE!</v>
      </c>
      <c r="P196" s="268" t="str">
        <f t="shared" ref="P196:P261" si="220">IF(AND(E196&lt;$P$2,I196&gt;$P$2),"1","")</f>
        <v/>
      </c>
      <c r="Q196" s="268" t="str">
        <f t="shared" si="212"/>
        <v/>
      </c>
      <c r="R196" s="268" t="str">
        <f t="shared" si="213"/>
        <v/>
      </c>
      <c r="S196" s="268" t="str">
        <f t="shared" si="214"/>
        <v/>
      </c>
      <c r="T196" s="268" t="str">
        <f t="shared" si="215"/>
        <v/>
      </c>
      <c r="U196" s="268" t="str">
        <f t="shared" si="216"/>
        <v/>
      </c>
      <c r="V196" s="268" t="str">
        <f t="shared" si="158"/>
        <v/>
      </c>
      <c r="W196" s="268" t="str">
        <f t="shared" si="217"/>
        <v/>
      </c>
      <c r="X196" s="268" t="str">
        <f t="shared" si="218"/>
        <v/>
      </c>
      <c r="Y196" s="268" t="str">
        <f t="shared" si="157"/>
        <v/>
      </c>
      <c r="Z196" s="268" t="str">
        <f t="shared" si="219"/>
        <v/>
      </c>
      <c r="AA196" s="268" t="str">
        <f t="shared" si="173"/>
        <v/>
      </c>
      <c r="AB196" s="268" t="str">
        <f t="shared" si="165"/>
        <v/>
      </c>
      <c r="AC196" s="268" t="str">
        <f t="shared" si="171"/>
        <v/>
      </c>
      <c r="AD196" s="268" t="str">
        <f t="shared" si="178"/>
        <v/>
      </c>
      <c r="AE196" s="268" t="str">
        <f t="shared" si="181"/>
        <v/>
      </c>
      <c r="AF196" s="268" t="str">
        <f t="shared" si="188"/>
        <v/>
      </c>
      <c r="AG196" s="268" t="str">
        <f t="shared" si="195"/>
        <v/>
      </c>
      <c r="AH196" s="268" t="str">
        <f t="shared" si="200"/>
        <v/>
      </c>
      <c r="AI196" s="268" t="str">
        <f t="shared" si="201"/>
        <v/>
      </c>
      <c r="AJ196" s="268" t="str">
        <f t="shared" si="183"/>
        <v/>
      </c>
      <c r="AK196" s="268" t="str">
        <f t="shared" si="189"/>
        <v/>
      </c>
      <c r="AL196" s="268" t="str">
        <f t="shared" si="192"/>
        <v/>
      </c>
      <c r="AM196" s="268" t="str">
        <f t="shared" si="196"/>
        <v/>
      </c>
      <c r="AN196" s="223" t="str">
        <f t="shared" si="184"/>
        <v/>
      </c>
      <c r="AO196" s="223" t="str">
        <f t="shared" si="190"/>
        <v/>
      </c>
      <c r="AP196" s="223" t="str">
        <f t="shared" si="198"/>
        <v>1</v>
      </c>
      <c r="AQ196" s="223" t="str">
        <f t="shared" si="202"/>
        <v>1</v>
      </c>
      <c r="AR196" s="223" t="str">
        <f t="shared" si="185"/>
        <v>1</v>
      </c>
      <c r="AS196" s="223" t="str">
        <f t="shared" si="193"/>
        <v>1</v>
      </c>
      <c r="AT196" s="223" t="str">
        <f t="shared" si="194"/>
        <v>1</v>
      </c>
      <c r="AU196" s="223" t="str">
        <f t="shared" si="199"/>
        <v>1</v>
      </c>
      <c r="AV196" s="223" t="str">
        <f t="shared" ref="AV196:AV227" si="221">IF(AND(E196&lt;$AV$2,I196&gt;$AV$2),"1","")</f>
        <v>1</v>
      </c>
      <c r="AW196" s="223" t="str">
        <f t="shared" si="187"/>
        <v>1</v>
      </c>
      <c r="AX196" s="223" t="str">
        <f t="shared" si="191"/>
        <v>1</v>
      </c>
      <c r="AY196" s="223" t="str">
        <f t="shared" si="197"/>
        <v>1</v>
      </c>
    </row>
    <row r="197" spans="1:51" x14ac:dyDescent="0.25">
      <c r="A197" s="214">
        <v>195</v>
      </c>
      <c r="B197" s="251" t="s">
        <v>555</v>
      </c>
      <c r="C197" s="132" t="s">
        <v>1067</v>
      </c>
      <c r="D197" s="157">
        <v>2014</v>
      </c>
      <c r="E197" s="138">
        <v>41891</v>
      </c>
      <c r="F197" s="222">
        <f t="shared" si="203"/>
        <v>9</v>
      </c>
      <c r="G197" s="222" t="str">
        <f t="shared" si="204"/>
        <v>92014</v>
      </c>
      <c r="H197" s="222" t="str">
        <f t="shared" si="205"/>
        <v>septiembre</v>
      </c>
      <c r="I197" s="126" t="str">
        <f>VLOOKUP(B197,'Base de Datos'!$E$7:$T$271,14,0)</f>
        <v/>
      </c>
      <c r="J197" s="224" t="e">
        <f t="shared" si="206"/>
        <v>#VALUE!</v>
      </c>
      <c r="K197" s="223" t="e">
        <f t="shared" si="207"/>
        <v>#VALUE!</v>
      </c>
      <c r="L197" s="223" t="e">
        <f t="shared" si="208"/>
        <v>#VALUE!</v>
      </c>
      <c r="M197" s="223" t="str">
        <f t="shared" si="209"/>
        <v/>
      </c>
      <c r="N197" s="223" t="e">
        <f t="shared" ca="1" si="210"/>
        <v>#VALUE!</v>
      </c>
      <c r="O197" s="268" t="e">
        <f t="shared" ca="1" si="211"/>
        <v>#VALUE!</v>
      </c>
      <c r="P197" s="268" t="str">
        <f t="shared" si="220"/>
        <v/>
      </c>
      <c r="Q197" s="268" t="str">
        <f t="shared" si="212"/>
        <v/>
      </c>
      <c r="R197" s="268" t="str">
        <f t="shared" si="213"/>
        <v/>
      </c>
      <c r="S197" s="268" t="str">
        <f t="shared" si="214"/>
        <v/>
      </c>
      <c r="T197" s="268" t="str">
        <f t="shared" si="215"/>
        <v/>
      </c>
      <c r="U197" s="268" t="str">
        <f t="shared" si="216"/>
        <v/>
      </c>
      <c r="V197" s="268" t="str">
        <f t="shared" si="158"/>
        <v/>
      </c>
      <c r="W197" s="268" t="str">
        <f t="shared" si="217"/>
        <v/>
      </c>
      <c r="X197" s="268" t="str">
        <f t="shared" si="218"/>
        <v/>
      </c>
      <c r="Y197" s="268" t="str">
        <f t="shared" si="157"/>
        <v/>
      </c>
      <c r="Z197" s="268" t="str">
        <f t="shared" si="219"/>
        <v/>
      </c>
      <c r="AA197" s="268" t="str">
        <f t="shared" si="173"/>
        <v/>
      </c>
      <c r="AB197" s="268" t="str">
        <f t="shared" si="165"/>
        <v/>
      </c>
      <c r="AC197" s="268" t="str">
        <f t="shared" si="171"/>
        <v/>
      </c>
      <c r="AD197" s="268" t="str">
        <f t="shared" si="178"/>
        <v/>
      </c>
      <c r="AE197" s="268" t="str">
        <f t="shared" si="181"/>
        <v/>
      </c>
      <c r="AF197" s="268" t="str">
        <f t="shared" si="188"/>
        <v/>
      </c>
      <c r="AG197" s="268" t="str">
        <f t="shared" si="195"/>
        <v/>
      </c>
      <c r="AH197" s="268" t="str">
        <f t="shared" si="200"/>
        <v/>
      </c>
      <c r="AI197" s="268" t="str">
        <f t="shared" si="201"/>
        <v/>
      </c>
      <c r="AJ197" s="268" t="str">
        <f t="shared" si="183"/>
        <v/>
      </c>
      <c r="AK197" s="268" t="str">
        <f t="shared" si="189"/>
        <v/>
      </c>
      <c r="AL197" s="268" t="str">
        <f t="shared" si="192"/>
        <v/>
      </c>
      <c r="AM197" s="268" t="str">
        <f t="shared" si="196"/>
        <v/>
      </c>
      <c r="AN197" s="223" t="str">
        <f t="shared" si="184"/>
        <v/>
      </c>
      <c r="AO197" s="223" t="str">
        <f t="shared" si="190"/>
        <v/>
      </c>
      <c r="AP197" s="223" t="str">
        <f t="shared" si="198"/>
        <v/>
      </c>
      <c r="AQ197" s="223" t="str">
        <f t="shared" si="202"/>
        <v/>
      </c>
      <c r="AR197" s="223" t="str">
        <f t="shared" si="185"/>
        <v/>
      </c>
      <c r="AS197" s="223" t="str">
        <f t="shared" si="193"/>
        <v/>
      </c>
      <c r="AT197" s="223" t="str">
        <f t="shared" si="194"/>
        <v/>
      </c>
      <c r="AU197" s="223" t="str">
        <f t="shared" si="199"/>
        <v/>
      </c>
      <c r="AV197" s="223" t="str">
        <f t="shared" si="221"/>
        <v>1</v>
      </c>
      <c r="AW197" s="223" t="str">
        <f t="shared" si="187"/>
        <v>1</v>
      </c>
      <c r="AX197" s="223" t="str">
        <f t="shared" si="191"/>
        <v>1</v>
      </c>
      <c r="AY197" s="223" t="str">
        <f t="shared" si="197"/>
        <v>1</v>
      </c>
    </row>
    <row r="198" spans="1:51" x14ac:dyDescent="0.25">
      <c r="A198" s="214">
        <v>196</v>
      </c>
      <c r="B198" s="262" t="str">
        <f>+'Base de Datos'!E262</f>
        <v>140372-0-2014</v>
      </c>
      <c r="C198" s="238" t="str">
        <f>+'Base de Datos'!F262</f>
        <v>CAJA COLOMBIANA DE SUBSIDIO FAMILIAR – COLSUBSIDIO</v>
      </c>
      <c r="D198" s="238">
        <f>YEAR(E198)</f>
        <v>2014</v>
      </c>
      <c r="E198" s="239">
        <f>+'Base de Datos'!M262</f>
        <v>41982</v>
      </c>
      <c r="F198" s="222">
        <f t="shared" si="203"/>
        <v>12</v>
      </c>
      <c r="G198" s="222" t="str">
        <f t="shared" si="204"/>
        <v>122014</v>
      </c>
      <c r="H198" s="222" t="str">
        <f t="shared" si="205"/>
        <v>diciembre</v>
      </c>
      <c r="I198" s="126" t="str">
        <f>VLOOKUP(B198,'Base de Datos'!$E$7:$T$271,14,0)</f>
        <v/>
      </c>
      <c r="J198" s="224" t="e">
        <f t="shared" si="206"/>
        <v>#VALUE!</v>
      </c>
      <c r="K198" s="223" t="e">
        <f t="shared" si="207"/>
        <v>#VALUE!</v>
      </c>
      <c r="L198" s="223" t="e">
        <f t="shared" si="208"/>
        <v>#VALUE!</v>
      </c>
      <c r="M198" s="223" t="str">
        <f t="shared" si="209"/>
        <v/>
      </c>
      <c r="N198" s="223" t="e">
        <f t="shared" ca="1" si="210"/>
        <v>#VALUE!</v>
      </c>
      <c r="O198" s="268" t="e">
        <f t="shared" ca="1" si="211"/>
        <v>#VALUE!</v>
      </c>
      <c r="P198" s="268" t="str">
        <f t="shared" si="220"/>
        <v/>
      </c>
      <c r="Q198" s="268" t="str">
        <f t="shared" si="212"/>
        <v/>
      </c>
      <c r="R198" s="268" t="str">
        <f t="shared" si="213"/>
        <v/>
      </c>
      <c r="S198" s="268" t="str">
        <f t="shared" si="214"/>
        <v/>
      </c>
      <c r="T198" s="268" t="str">
        <f t="shared" si="215"/>
        <v/>
      </c>
      <c r="U198" s="268" t="str">
        <f t="shared" si="216"/>
        <v/>
      </c>
      <c r="V198" s="268" t="str">
        <f t="shared" si="158"/>
        <v/>
      </c>
      <c r="W198" s="268" t="str">
        <f t="shared" si="217"/>
        <v/>
      </c>
      <c r="X198" s="268" t="str">
        <f t="shared" si="218"/>
        <v/>
      </c>
      <c r="Y198" s="268" t="str">
        <f t="shared" ref="Y198:Y261" si="222">IF(AND(E198&lt;$Y$2,I198&gt;$Y$2),"1","")</f>
        <v/>
      </c>
      <c r="Z198" s="268" t="str">
        <f t="shared" si="219"/>
        <v/>
      </c>
      <c r="AA198" s="268" t="str">
        <f t="shared" si="173"/>
        <v/>
      </c>
      <c r="AB198" s="268" t="str">
        <f t="shared" si="165"/>
        <v/>
      </c>
      <c r="AC198" s="268" t="str">
        <f t="shared" si="171"/>
        <v/>
      </c>
      <c r="AD198" s="268" t="str">
        <f t="shared" si="178"/>
        <v/>
      </c>
      <c r="AE198" s="268" t="str">
        <f t="shared" si="181"/>
        <v/>
      </c>
      <c r="AF198" s="268" t="str">
        <f t="shared" si="188"/>
        <v/>
      </c>
      <c r="AG198" s="268" t="str">
        <f t="shared" si="195"/>
        <v/>
      </c>
      <c r="AH198" s="268" t="str">
        <f t="shared" si="200"/>
        <v/>
      </c>
      <c r="AI198" s="268" t="str">
        <f t="shared" si="201"/>
        <v/>
      </c>
      <c r="AJ198" s="268" t="str">
        <f t="shared" si="183"/>
        <v/>
      </c>
      <c r="AK198" s="268" t="str">
        <f t="shared" si="189"/>
        <v/>
      </c>
      <c r="AL198" s="268" t="str">
        <f t="shared" si="192"/>
        <v/>
      </c>
      <c r="AM198" s="268" t="str">
        <f t="shared" si="196"/>
        <v/>
      </c>
      <c r="AN198" s="223" t="str">
        <f t="shared" si="184"/>
        <v/>
      </c>
      <c r="AO198" s="223" t="str">
        <f t="shared" si="190"/>
        <v/>
      </c>
      <c r="AP198" s="223" t="str">
        <f t="shared" si="198"/>
        <v/>
      </c>
      <c r="AQ198" s="223" t="str">
        <f t="shared" si="202"/>
        <v/>
      </c>
      <c r="AR198" s="223" t="str">
        <f t="shared" si="185"/>
        <v/>
      </c>
      <c r="AS198" s="223" t="str">
        <f t="shared" si="193"/>
        <v/>
      </c>
      <c r="AT198" s="223" t="str">
        <f t="shared" si="194"/>
        <v/>
      </c>
      <c r="AU198" s="223" t="str">
        <f t="shared" si="199"/>
        <v/>
      </c>
      <c r="AV198" s="223" t="str">
        <f t="shared" si="221"/>
        <v/>
      </c>
      <c r="AW198" s="223" t="str">
        <f t="shared" si="187"/>
        <v/>
      </c>
      <c r="AX198" s="223" t="str">
        <f t="shared" si="191"/>
        <v/>
      </c>
      <c r="AY198" s="223" t="str">
        <f t="shared" si="197"/>
        <v>1</v>
      </c>
    </row>
    <row r="199" spans="1:51" x14ac:dyDescent="0.25">
      <c r="A199" s="214">
        <v>197</v>
      </c>
      <c r="B199" s="251" t="s">
        <v>240</v>
      </c>
      <c r="C199" s="132" t="s">
        <v>290</v>
      </c>
      <c r="D199" s="157">
        <v>2013</v>
      </c>
      <c r="E199" s="138">
        <v>41655</v>
      </c>
      <c r="F199" s="222">
        <f t="shared" si="203"/>
        <v>1</v>
      </c>
      <c r="G199" s="222" t="str">
        <f t="shared" si="204"/>
        <v>12013</v>
      </c>
      <c r="H199" s="222" t="str">
        <f t="shared" si="205"/>
        <v>enero</v>
      </c>
      <c r="I199" s="126" t="str">
        <f>VLOOKUP(B199,'Base de Datos'!$E$7:$T$271,14,0)</f>
        <v/>
      </c>
      <c r="J199" s="224" t="e">
        <f t="shared" si="206"/>
        <v>#VALUE!</v>
      </c>
      <c r="K199" s="223" t="e">
        <f t="shared" si="207"/>
        <v>#VALUE!</v>
      </c>
      <c r="L199" s="223" t="e">
        <f t="shared" si="208"/>
        <v>#VALUE!</v>
      </c>
      <c r="M199" s="223" t="str">
        <f t="shared" si="209"/>
        <v/>
      </c>
      <c r="N199" s="223" t="e">
        <f t="shared" ca="1" si="210"/>
        <v>#VALUE!</v>
      </c>
      <c r="O199" s="268" t="e">
        <f t="shared" ca="1" si="211"/>
        <v>#VALUE!</v>
      </c>
      <c r="P199" s="268" t="str">
        <f t="shared" si="220"/>
        <v/>
      </c>
      <c r="Q199" s="268" t="str">
        <f t="shared" si="212"/>
        <v/>
      </c>
      <c r="R199" s="268" t="str">
        <f t="shared" si="213"/>
        <v/>
      </c>
      <c r="S199" s="268" t="str">
        <f t="shared" si="214"/>
        <v/>
      </c>
      <c r="T199" s="268" t="str">
        <f t="shared" si="215"/>
        <v/>
      </c>
      <c r="U199" s="268" t="str">
        <f t="shared" si="216"/>
        <v/>
      </c>
      <c r="V199" s="268" t="str">
        <f t="shared" ref="V199:V261" si="223">IF(AND(E199&lt;$V$2,I199&gt;$V$2),"1","")</f>
        <v/>
      </c>
      <c r="W199" s="268" t="str">
        <f t="shared" si="217"/>
        <v/>
      </c>
      <c r="X199" s="268" t="str">
        <f t="shared" si="218"/>
        <v/>
      </c>
      <c r="Y199" s="268" t="str">
        <f t="shared" si="222"/>
        <v/>
      </c>
      <c r="Z199" s="268" t="str">
        <f t="shared" si="219"/>
        <v/>
      </c>
      <c r="AA199" s="268" t="str">
        <f t="shared" si="173"/>
        <v/>
      </c>
      <c r="AB199" s="268" t="str">
        <f t="shared" si="165"/>
        <v/>
      </c>
      <c r="AC199" s="268" t="str">
        <f t="shared" si="171"/>
        <v/>
      </c>
      <c r="AD199" s="268" t="str">
        <f t="shared" si="178"/>
        <v/>
      </c>
      <c r="AE199" s="268" t="str">
        <f t="shared" si="181"/>
        <v/>
      </c>
      <c r="AF199" s="268" t="str">
        <f t="shared" si="188"/>
        <v/>
      </c>
      <c r="AG199" s="268" t="str">
        <f t="shared" si="195"/>
        <v/>
      </c>
      <c r="AH199" s="268" t="str">
        <f t="shared" si="200"/>
        <v/>
      </c>
      <c r="AI199" s="268" t="str">
        <f t="shared" si="201"/>
        <v/>
      </c>
      <c r="AJ199" s="268" t="str">
        <f t="shared" ref="AJ199:AJ230" si="224">IF(AND(E199&lt;$AJ$2,I199&gt;$AJ$2),"1","")</f>
        <v/>
      </c>
      <c r="AK199" s="268" t="str">
        <f t="shared" si="189"/>
        <v/>
      </c>
      <c r="AL199" s="268" t="str">
        <f t="shared" si="192"/>
        <v/>
      </c>
      <c r="AM199" s="268" t="str">
        <f t="shared" si="196"/>
        <v/>
      </c>
      <c r="AN199" s="223" t="str">
        <f t="shared" ref="AN199:AN230" si="225">IF(AND(E199&lt;$AN$2,I199&gt;$AN$2),"1","")</f>
        <v>1</v>
      </c>
      <c r="AO199" s="223" t="str">
        <f t="shared" si="190"/>
        <v>1</v>
      </c>
      <c r="AP199" s="223" t="str">
        <f t="shared" si="198"/>
        <v>1</v>
      </c>
      <c r="AQ199" s="223" t="str">
        <f t="shared" si="202"/>
        <v>1</v>
      </c>
      <c r="AR199" s="223" t="str">
        <f t="shared" ref="AR199:AR230" si="226">IF(AND(E199&lt;$AR$2,I199&gt;$AR$2),"1","")</f>
        <v>1</v>
      </c>
      <c r="AS199" s="223" t="str">
        <f t="shared" si="193"/>
        <v>1</v>
      </c>
      <c r="AT199" s="223" t="str">
        <f t="shared" si="194"/>
        <v>1</v>
      </c>
      <c r="AU199" s="223" t="str">
        <f t="shared" si="199"/>
        <v>1</v>
      </c>
      <c r="AV199" s="223" t="str">
        <f t="shared" si="221"/>
        <v>1</v>
      </c>
      <c r="AW199" s="223" t="str">
        <f t="shared" si="187"/>
        <v>1</v>
      </c>
      <c r="AX199" s="223" t="str">
        <f t="shared" si="191"/>
        <v>1</v>
      </c>
      <c r="AY199" s="223" t="str">
        <f t="shared" si="197"/>
        <v>1</v>
      </c>
    </row>
    <row r="200" spans="1:51" x14ac:dyDescent="0.25">
      <c r="A200" s="214">
        <v>198</v>
      </c>
      <c r="B200" s="257" t="s">
        <v>1113</v>
      </c>
      <c r="C200" s="132" t="s">
        <v>1114</v>
      </c>
      <c r="D200" s="157">
        <v>2014</v>
      </c>
      <c r="E200" s="138">
        <v>41929</v>
      </c>
      <c r="F200" s="222">
        <f t="shared" si="203"/>
        <v>10</v>
      </c>
      <c r="G200" s="222" t="str">
        <f t="shared" si="204"/>
        <v>102014</v>
      </c>
      <c r="H200" s="222" t="str">
        <f t="shared" si="205"/>
        <v>octubre</v>
      </c>
      <c r="I200" s="126" t="str">
        <f>VLOOKUP(B200,'Base de Datos'!$E$7:$T$271,14,0)</f>
        <v/>
      </c>
      <c r="J200" s="224" t="e">
        <f t="shared" si="206"/>
        <v>#VALUE!</v>
      </c>
      <c r="K200" s="223" t="e">
        <f t="shared" si="207"/>
        <v>#VALUE!</v>
      </c>
      <c r="L200" s="223" t="e">
        <f t="shared" si="208"/>
        <v>#VALUE!</v>
      </c>
      <c r="M200" s="223" t="str">
        <f t="shared" si="209"/>
        <v/>
      </c>
      <c r="N200" s="223" t="e">
        <f t="shared" ca="1" si="210"/>
        <v>#VALUE!</v>
      </c>
      <c r="O200" s="268" t="e">
        <f t="shared" ca="1" si="211"/>
        <v>#VALUE!</v>
      </c>
      <c r="P200" s="268" t="str">
        <f t="shared" si="220"/>
        <v/>
      </c>
      <c r="Q200" s="268" t="str">
        <f t="shared" si="212"/>
        <v/>
      </c>
      <c r="R200" s="268" t="str">
        <f t="shared" si="213"/>
        <v/>
      </c>
      <c r="S200" s="268" t="str">
        <f t="shared" si="214"/>
        <v/>
      </c>
      <c r="T200" s="268" t="str">
        <f t="shared" si="215"/>
        <v/>
      </c>
      <c r="U200" s="268" t="str">
        <f t="shared" si="216"/>
        <v/>
      </c>
      <c r="V200" s="268" t="str">
        <f t="shared" si="223"/>
        <v/>
      </c>
      <c r="W200" s="268" t="str">
        <f t="shared" si="217"/>
        <v/>
      </c>
      <c r="X200" s="268" t="str">
        <f t="shared" si="218"/>
        <v/>
      </c>
      <c r="Y200" s="268" t="str">
        <f t="shared" si="222"/>
        <v/>
      </c>
      <c r="Z200" s="268" t="str">
        <f t="shared" si="219"/>
        <v/>
      </c>
      <c r="AA200" s="268" t="str">
        <f t="shared" si="173"/>
        <v/>
      </c>
      <c r="AB200" s="268" t="str">
        <f t="shared" si="165"/>
        <v/>
      </c>
      <c r="AC200" s="268" t="str">
        <f t="shared" si="171"/>
        <v/>
      </c>
      <c r="AD200" s="268" t="str">
        <f t="shared" si="178"/>
        <v/>
      </c>
      <c r="AE200" s="268" t="str">
        <f t="shared" si="181"/>
        <v/>
      </c>
      <c r="AF200" s="268" t="str">
        <f t="shared" si="188"/>
        <v/>
      </c>
      <c r="AG200" s="268" t="str">
        <f t="shared" si="195"/>
        <v/>
      </c>
      <c r="AH200" s="268" t="str">
        <f t="shared" si="200"/>
        <v/>
      </c>
      <c r="AI200" s="268" t="str">
        <f t="shared" si="201"/>
        <v/>
      </c>
      <c r="AJ200" s="268" t="str">
        <f t="shared" si="224"/>
        <v/>
      </c>
      <c r="AK200" s="268" t="str">
        <f t="shared" si="189"/>
        <v/>
      </c>
      <c r="AL200" s="268" t="str">
        <f t="shared" si="192"/>
        <v/>
      </c>
      <c r="AM200" s="268" t="str">
        <f t="shared" si="196"/>
        <v/>
      </c>
      <c r="AN200" s="223" t="str">
        <f t="shared" si="225"/>
        <v/>
      </c>
      <c r="AO200" s="223" t="str">
        <f t="shared" si="190"/>
        <v/>
      </c>
      <c r="AP200" s="223" t="str">
        <f t="shared" si="198"/>
        <v/>
      </c>
      <c r="AQ200" s="223" t="str">
        <f t="shared" si="202"/>
        <v/>
      </c>
      <c r="AR200" s="223" t="str">
        <f t="shared" si="226"/>
        <v/>
      </c>
      <c r="AS200" s="223" t="str">
        <f t="shared" si="193"/>
        <v/>
      </c>
      <c r="AT200" s="223" t="str">
        <f t="shared" si="194"/>
        <v/>
      </c>
      <c r="AU200" s="223" t="str">
        <f t="shared" si="199"/>
        <v/>
      </c>
      <c r="AV200" s="223" t="str">
        <f t="shared" si="221"/>
        <v/>
      </c>
      <c r="AW200" s="223" t="str">
        <f t="shared" si="187"/>
        <v>1</v>
      </c>
      <c r="AX200" s="223" t="str">
        <f t="shared" si="191"/>
        <v>1</v>
      </c>
      <c r="AY200" s="223" t="str">
        <f t="shared" si="197"/>
        <v>1</v>
      </c>
    </row>
    <row r="201" spans="1:51" ht="22.5" x14ac:dyDescent="0.25">
      <c r="A201" s="214">
        <v>199</v>
      </c>
      <c r="B201" s="251" t="s">
        <v>405</v>
      </c>
      <c r="C201" s="132" t="s">
        <v>238</v>
      </c>
      <c r="D201" s="157">
        <v>2013</v>
      </c>
      <c r="E201" s="138">
        <v>41662</v>
      </c>
      <c r="F201" s="222">
        <f t="shared" si="203"/>
        <v>1</v>
      </c>
      <c r="G201" s="222" t="str">
        <f t="shared" si="204"/>
        <v>12013</v>
      </c>
      <c r="H201" s="222" t="str">
        <f t="shared" si="205"/>
        <v>enero</v>
      </c>
      <c r="I201" s="126" t="str">
        <f>VLOOKUP(B201,'Base de Datos'!$E$7:$T$271,14,0)</f>
        <v/>
      </c>
      <c r="J201" s="224" t="e">
        <f t="shared" si="206"/>
        <v>#VALUE!</v>
      </c>
      <c r="K201" s="223" t="e">
        <f t="shared" si="207"/>
        <v>#VALUE!</v>
      </c>
      <c r="L201" s="223" t="e">
        <f t="shared" si="208"/>
        <v>#VALUE!</v>
      </c>
      <c r="M201" s="223" t="str">
        <f t="shared" si="209"/>
        <v/>
      </c>
      <c r="N201" s="223" t="e">
        <f t="shared" ca="1" si="210"/>
        <v>#VALUE!</v>
      </c>
      <c r="O201" s="268" t="e">
        <f t="shared" ca="1" si="211"/>
        <v>#VALUE!</v>
      </c>
      <c r="P201" s="268" t="str">
        <f t="shared" si="220"/>
        <v/>
      </c>
      <c r="Q201" s="268" t="str">
        <f t="shared" si="212"/>
        <v/>
      </c>
      <c r="R201" s="268" t="str">
        <f t="shared" si="213"/>
        <v/>
      </c>
      <c r="S201" s="268" t="str">
        <f t="shared" si="214"/>
        <v/>
      </c>
      <c r="T201" s="268" t="str">
        <f t="shared" si="215"/>
        <v/>
      </c>
      <c r="U201" s="268" t="str">
        <f t="shared" si="216"/>
        <v/>
      </c>
      <c r="V201" s="268" t="str">
        <f t="shared" si="223"/>
        <v/>
      </c>
      <c r="W201" s="268" t="str">
        <f t="shared" si="217"/>
        <v/>
      </c>
      <c r="X201" s="268" t="str">
        <f t="shared" si="218"/>
        <v/>
      </c>
      <c r="Y201" s="268" t="str">
        <f t="shared" si="222"/>
        <v/>
      </c>
      <c r="Z201" s="268" t="str">
        <f t="shared" si="219"/>
        <v/>
      </c>
      <c r="AA201" s="268" t="str">
        <f t="shared" si="173"/>
        <v/>
      </c>
      <c r="AB201" s="268" t="str">
        <f t="shared" si="165"/>
        <v/>
      </c>
      <c r="AC201" s="268" t="str">
        <f t="shared" si="171"/>
        <v/>
      </c>
      <c r="AD201" s="268" t="str">
        <f t="shared" si="178"/>
        <v/>
      </c>
      <c r="AE201" s="268" t="str">
        <f t="shared" si="181"/>
        <v/>
      </c>
      <c r="AF201" s="268" t="str">
        <f t="shared" si="188"/>
        <v/>
      </c>
      <c r="AG201" s="268" t="str">
        <f t="shared" si="195"/>
        <v/>
      </c>
      <c r="AH201" s="268" t="str">
        <f t="shared" si="200"/>
        <v/>
      </c>
      <c r="AI201" s="268" t="str">
        <f t="shared" si="201"/>
        <v/>
      </c>
      <c r="AJ201" s="268" t="str">
        <f t="shared" si="224"/>
        <v/>
      </c>
      <c r="AK201" s="268" t="str">
        <f t="shared" si="189"/>
        <v/>
      </c>
      <c r="AL201" s="268" t="str">
        <f t="shared" si="192"/>
        <v/>
      </c>
      <c r="AM201" s="268" t="str">
        <f t="shared" si="196"/>
        <v/>
      </c>
      <c r="AN201" s="223" t="str">
        <f t="shared" si="225"/>
        <v>1</v>
      </c>
      <c r="AO201" s="223" t="str">
        <f t="shared" si="190"/>
        <v>1</v>
      </c>
      <c r="AP201" s="223" t="str">
        <f t="shared" si="198"/>
        <v>1</v>
      </c>
      <c r="AQ201" s="223" t="str">
        <f t="shared" si="202"/>
        <v>1</v>
      </c>
      <c r="AR201" s="223" t="str">
        <f t="shared" si="226"/>
        <v>1</v>
      </c>
      <c r="AS201" s="223" t="str">
        <f t="shared" si="193"/>
        <v>1</v>
      </c>
      <c r="AT201" s="223" t="str">
        <f t="shared" si="194"/>
        <v>1</v>
      </c>
      <c r="AU201" s="223" t="str">
        <f t="shared" si="199"/>
        <v>1</v>
      </c>
      <c r="AV201" s="223" t="str">
        <f t="shared" si="221"/>
        <v>1</v>
      </c>
      <c r="AW201" s="223" t="str">
        <f t="shared" ref="AW201:AW232" si="227">IF(AND(E201&lt;$AW$2,I201&gt;$AW$2),"1","")</f>
        <v>1</v>
      </c>
      <c r="AX201" s="223" t="str">
        <f t="shared" si="191"/>
        <v>1</v>
      </c>
      <c r="AY201" s="223" t="str">
        <f t="shared" si="197"/>
        <v>1</v>
      </c>
    </row>
    <row r="202" spans="1:51" ht="22.5" x14ac:dyDescent="0.25">
      <c r="A202" s="214">
        <v>200</v>
      </c>
      <c r="B202" s="251" t="s">
        <v>1071</v>
      </c>
      <c r="C202" s="169" t="s">
        <v>1072</v>
      </c>
      <c r="D202" s="157">
        <v>2014</v>
      </c>
      <c r="E202" s="138">
        <v>41911</v>
      </c>
      <c r="F202" s="222">
        <f t="shared" si="203"/>
        <v>9</v>
      </c>
      <c r="G202" s="222" t="str">
        <f t="shared" si="204"/>
        <v>92014</v>
      </c>
      <c r="H202" s="222" t="str">
        <f t="shared" si="205"/>
        <v>septiembre</v>
      </c>
      <c r="I202" s="126" t="str">
        <f>VLOOKUP(B202,'Base de Datos'!$E$7:$T$271,14,0)</f>
        <v/>
      </c>
      <c r="J202" s="224" t="e">
        <f t="shared" si="206"/>
        <v>#VALUE!</v>
      </c>
      <c r="K202" s="223" t="e">
        <f t="shared" si="207"/>
        <v>#VALUE!</v>
      </c>
      <c r="L202" s="223" t="e">
        <f t="shared" si="208"/>
        <v>#VALUE!</v>
      </c>
      <c r="M202" s="223" t="str">
        <f t="shared" si="209"/>
        <v/>
      </c>
      <c r="N202" s="223" t="e">
        <f t="shared" ca="1" si="210"/>
        <v>#VALUE!</v>
      </c>
      <c r="O202" s="268" t="e">
        <f t="shared" ca="1" si="211"/>
        <v>#VALUE!</v>
      </c>
      <c r="P202" s="268" t="str">
        <f t="shared" si="220"/>
        <v/>
      </c>
      <c r="Q202" s="268" t="str">
        <f t="shared" si="212"/>
        <v/>
      </c>
      <c r="R202" s="268" t="str">
        <f t="shared" si="213"/>
        <v/>
      </c>
      <c r="S202" s="268" t="str">
        <f t="shared" si="214"/>
        <v/>
      </c>
      <c r="T202" s="268" t="str">
        <f t="shared" si="215"/>
        <v/>
      </c>
      <c r="U202" s="268" t="str">
        <f t="shared" si="216"/>
        <v/>
      </c>
      <c r="V202" s="268" t="str">
        <f t="shared" si="223"/>
        <v/>
      </c>
      <c r="W202" s="268" t="str">
        <f t="shared" si="217"/>
        <v/>
      </c>
      <c r="X202" s="268" t="str">
        <f t="shared" si="218"/>
        <v/>
      </c>
      <c r="Y202" s="268" t="str">
        <f t="shared" si="222"/>
        <v/>
      </c>
      <c r="Z202" s="268" t="str">
        <f t="shared" si="219"/>
        <v/>
      </c>
      <c r="AA202" s="268" t="str">
        <f t="shared" si="173"/>
        <v/>
      </c>
      <c r="AB202" s="268" t="str">
        <f t="shared" ref="AB202:AB261" si="228">IF(AND(E202&lt;$AB$2,I202&gt;$AB$2),"1","")</f>
        <v/>
      </c>
      <c r="AC202" s="268" t="str">
        <f t="shared" si="171"/>
        <v/>
      </c>
      <c r="AD202" s="268" t="str">
        <f t="shared" si="178"/>
        <v/>
      </c>
      <c r="AE202" s="268" t="str">
        <f t="shared" si="181"/>
        <v/>
      </c>
      <c r="AF202" s="268" t="str">
        <f t="shared" si="188"/>
        <v/>
      </c>
      <c r="AG202" s="268" t="str">
        <f t="shared" si="195"/>
        <v/>
      </c>
      <c r="AH202" s="268" t="str">
        <f t="shared" si="200"/>
        <v/>
      </c>
      <c r="AI202" s="268" t="str">
        <f t="shared" si="201"/>
        <v/>
      </c>
      <c r="AJ202" s="268" t="str">
        <f t="shared" si="224"/>
        <v/>
      </c>
      <c r="AK202" s="268" t="str">
        <f t="shared" si="189"/>
        <v/>
      </c>
      <c r="AL202" s="268" t="str">
        <f t="shared" si="192"/>
        <v/>
      </c>
      <c r="AM202" s="268" t="str">
        <f t="shared" si="196"/>
        <v/>
      </c>
      <c r="AN202" s="223" t="str">
        <f t="shared" si="225"/>
        <v/>
      </c>
      <c r="AO202" s="223" t="str">
        <f t="shared" si="190"/>
        <v/>
      </c>
      <c r="AP202" s="223" t="str">
        <f t="shared" si="198"/>
        <v/>
      </c>
      <c r="AQ202" s="223" t="str">
        <f t="shared" si="202"/>
        <v/>
      </c>
      <c r="AR202" s="223" t="str">
        <f t="shared" si="226"/>
        <v/>
      </c>
      <c r="AS202" s="223" t="str">
        <f t="shared" si="193"/>
        <v/>
      </c>
      <c r="AT202" s="223" t="str">
        <f t="shared" si="194"/>
        <v/>
      </c>
      <c r="AU202" s="223" t="str">
        <f t="shared" si="199"/>
        <v/>
      </c>
      <c r="AV202" s="223" t="str">
        <f t="shared" si="221"/>
        <v>1</v>
      </c>
      <c r="AW202" s="223" t="str">
        <f t="shared" si="227"/>
        <v>1</v>
      </c>
      <c r="AX202" s="223" t="str">
        <f t="shared" si="191"/>
        <v>1</v>
      </c>
      <c r="AY202" s="223" t="str">
        <f t="shared" si="197"/>
        <v>1</v>
      </c>
    </row>
    <row r="203" spans="1:51" x14ac:dyDescent="0.25">
      <c r="A203" s="214">
        <v>201</v>
      </c>
      <c r="B203" s="262" t="str">
        <f>+'Base de Datos'!E261</f>
        <v>140370-0-2014</v>
      </c>
      <c r="C203" s="238" t="str">
        <f>+'Base de Datos'!F261</f>
        <v>RIGOBERTO GÓMEZ JAIMES</v>
      </c>
      <c r="D203" s="238">
        <f>YEAR(E203)</f>
        <v>2014</v>
      </c>
      <c r="E203" s="239">
        <f>+'Base de Datos'!M261</f>
        <v>41982</v>
      </c>
      <c r="F203" s="222">
        <f t="shared" si="203"/>
        <v>12</v>
      </c>
      <c r="G203" s="222" t="str">
        <f t="shared" si="204"/>
        <v>122014</v>
      </c>
      <c r="H203" s="222" t="str">
        <f t="shared" si="205"/>
        <v>diciembre</v>
      </c>
      <c r="I203" s="126" t="str">
        <f>VLOOKUP(B203,'Base de Datos'!$E$7:$T$271,14,0)</f>
        <v/>
      </c>
      <c r="J203" s="224" t="e">
        <f t="shared" si="206"/>
        <v>#VALUE!</v>
      </c>
      <c r="K203" s="223" t="e">
        <f t="shared" si="207"/>
        <v>#VALUE!</v>
      </c>
      <c r="L203" s="223" t="e">
        <f t="shared" si="208"/>
        <v>#VALUE!</v>
      </c>
      <c r="M203" s="223" t="str">
        <f t="shared" si="209"/>
        <v/>
      </c>
      <c r="N203" s="223" t="e">
        <f t="shared" ca="1" si="210"/>
        <v>#VALUE!</v>
      </c>
      <c r="O203" s="268" t="e">
        <f t="shared" ca="1" si="211"/>
        <v>#VALUE!</v>
      </c>
      <c r="P203" s="268" t="str">
        <f t="shared" si="220"/>
        <v/>
      </c>
      <c r="Q203" s="268" t="str">
        <f t="shared" si="212"/>
        <v/>
      </c>
      <c r="R203" s="268" t="str">
        <f t="shared" si="213"/>
        <v/>
      </c>
      <c r="S203" s="268" t="str">
        <f t="shared" si="214"/>
        <v/>
      </c>
      <c r="T203" s="268" t="str">
        <f t="shared" si="215"/>
        <v/>
      </c>
      <c r="U203" s="268" t="str">
        <f t="shared" si="216"/>
        <v/>
      </c>
      <c r="V203" s="268" t="str">
        <f t="shared" si="223"/>
        <v/>
      </c>
      <c r="W203" s="268" t="str">
        <f t="shared" si="217"/>
        <v/>
      </c>
      <c r="X203" s="268" t="str">
        <f t="shared" si="218"/>
        <v/>
      </c>
      <c r="Y203" s="268" t="str">
        <f t="shared" si="222"/>
        <v/>
      </c>
      <c r="Z203" s="268" t="str">
        <f t="shared" si="219"/>
        <v/>
      </c>
      <c r="AA203" s="268" t="str">
        <f t="shared" si="173"/>
        <v/>
      </c>
      <c r="AB203" s="268" t="str">
        <f t="shared" si="228"/>
        <v/>
      </c>
      <c r="AC203" s="268" t="str">
        <f t="shared" si="171"/>
        <v/>
      </c>
      <c r="AD203" s="268" t="str">
        <f t="shared" si="178"/>
        <v/>
      </c>
      <c r="AE203" s="268" t="str">
        <f t="shared" si="181"/>
        <v/>
      </c>
      <c r="AF203" s="268" t="str">
        <f t="shared" si="188"/>
        <v/>
      </c>
      <c r="AG203" s="268" t="str">
        <f t="shared" si="195"/>
        <v/>
      </c>
      <c r="AH203" s="268" t="str">
        <f t="shared" si="200"/>
        <v/>
      </c>
      <c r="AI203" s="268" t="str">
        <f t="shared" si="201"/>
        <v/>
      </c>
      <c r="AJ203" s="268" t="str">
        <f t="shared" si="224"/>
        <v/>
      </c>
      <c r="AK203" s="268" t="str">
        <f t="shared" si="189"/>
        <v/>
      </c>
      <c r="AL203" s="268" t="str">
        <f t="shared" si="192"/>
        <v/>
      </c>
      <c r="AM203" s="268" t="str">
        <f t="shared" si="196"/>
        <v/>
      </c>
      <c r="AN203" s="223" t="str">
        <f t="shared" si="225"/>
        <v/>
      </c>
      <c r="AO203" s="223" t="str">
        <f t="shared" si="190"/>
        <v/>
      </c>
      <c r="AP203" s="223" t="str">
        <f t="shared" si="198"/>
        <v/>
      </c>
      <c r="AQ203" s="223" t="str">
        <f t="shared" si="202"/>
        <v/>
      </c>
      <c r="AR203" s="223" t="str">
        <f t="shared" si="226"/>
        <v/>
      </c>
      <c r="AS203" s="223" t="str">
        <f t="shared" si="193"/>
        <v/>
      </c>
      <c r="AT203" s="223" t="str">
        <f t="shared" si="194"/>
        <v/>
      </c>
      <c r="AU203" s="223" t="str">
        <f t="shared" si="199"/>
        <v/>
      </c>
      <c r="AV203" s="223" t="str">
        <f t="shared" si="221"/>
        <v/>
      </c>
      <c r="AW203" s="223" t="str">
        <f t="shared" si="227"/>
        <v/>
      </c>
      <c r="AX203" s="223" t="str">
        <f t="shared" si="191"/>
        <v/>
      </c>
      <c r="AY203" s="223" t="str">
        <f t="shared" si="197"/>
        <v>1</v>
      </c>
    </row>
    <row r="204" spans="1:51" x14ac:dyDescent="0.25">
      <c r="A204" s="214">
        <v>202</v>
      </c>
      <c r="B204" s="251" t="s">
        <v>556</v>
      </c>
      <c r="C204" s="132" t="s">
        <v>1004</v>
      </c>
      <c r="D204" s="157">
        <v>2014</v>
      </c>
      <c r="E204" s="138">
        <v>41893</v>
      </c>
      <c r="F204" s="222">
        <f t="shared" si="203"/>
        <v>9</v>
      </c>
      <c r="G204" s="222" t="str">
        <f t="shared" si="204"/>
        <v>92014</v>
      </c>
      <c r="H204" s="222" t="str">
        <f t="shared" si="205"/>
        <v>septiembre</v>
      </c>
      <c r="I204" s="126" t="str">
        <f>VLOOKUP(B204,'Base de Datos'!$E$7:$T$271,14,0)</f>
        <v/>
      </c>
      <c r="J204" s="224" t="e">
        <f t="shared" si="206"/>
        <v>#VALUE!</v>
      </c>
      <c r="K204" s="223" t="e">
        <f t="shared" si="207"/>
        <v>#VALUE!</v>
      </c>
      <c r="L204" s="223" t="e">
        <f t="shared" si="208"/>
        <v>#VALUE!</v>
      </c>
      <c r="M204" s="223" t="str">
        <f t="shared" si="209"/>
        <v/>
      </c>
      <c r="N204" s="223" t="e">
        <f t="shared" ca="1" si="210"/>
        <v>#VALUE!</v>
      </c>
      <c r="O204" s="268" t="e">
        <f t="shared" ca="1" si="211"/>
        <v>#VALUE!</v>
      </c>
      <c r="P204" s="268" t="str">
        <f t="shared" si="220"/>
        <v/>
      </c>
      <c r="Q204" s="268" t="str">
        <f t="shared" si="212"/>
        <v/>
      </c>
      <c r="R204" s="268" t="str">
        <f t="shared" si="213"/>
        <v/>
      </c>
      <c r="S204" s="268" t="str">
        <f t="shared" si="214"/>
        <v/>
      </c>
      <c r="T204" s="268" t="str">
        <f t="shared" si="215"/>
        <v/>
      </c>
      <c r="U204" s="268" t="str">
        <f t="shared" si="216"/>
        <v/>
      </c>
      <c r="V204" s="268" t="str">
        <f t="shared" si="223"/>
        <v/>
      </c>
      <c r="W204" s="268" t="str">
        <f t="shared" si="217"/>
        <v/>
      </c>
      <c r="X204" s="268" t="str">
        <f t="shared" si="218"/>
        <v/>
      </c>
      <c r="Y204" s="268" t="str">
        <f t="shared" si="222"/>
        <v/>
      </c>
      <c r="Z204" s="268" t="str">
        <f t="shared" si="219"/>
        <v/>
      </c>
      <c r="AA204" s="268" t="str">
        <f t="shared" si="173"/>
        <v/>
      </c>
      <c r="AB204" s="268" t="str">
        <f t="shared" si="228"/>
        <v/>
      </c>
      <c r="AC204" s="268" t="str">
        <f t="shared" si="171"/>
        <v/>
      </c>
      <c r="AD204" s="268" t="str">
        <f t="shared" si="178"/>
        <v/>
      </c>
      <c r="AE204" s="268" t="str">
        <f t="shared" si="181"/>
        <v/>
      </c>
      <c r="AF204" s="268" t="str">
        <f t="shared" si="188"/>
        <v/>
      </c>
      <c r="AG204" s="268" t="str">
        <f t="shared" si="195"/>
        <v/>
      </c>
      <c r="AH204" s="268" t="str">
        <f t="shared" si="200"/>
        <v/>
      </c>
      <c r="AI204" s="268" t="str">
        <f t="shared" si="201"/>
        <v/>
      </c>
      <c r="AJ204" s="268" t="str">
        <f t="shared" si="224"/>
        <v/>
      </c>
      <c r="AK204" s="268" t="str">
        <f t="shared" si="189"/>
        <v/>
      </c>
      <c r="AL204" s="268" t="str">
        <f t="shared" si="192"/>
        <v/>
      </c>
      <c r="AM204" s="268" t="str">
        <f t="shared" si="196"/>
        <v/>
      </c>
      <c r="AN204" s="223" t="str">
        <f t="shared" si="225"/>
        <v/>
      </c>
      <c r="AO204" s="223" t="str">
        <f t="shared" si="190"/>
        <v/>
      </c>
      <c r="AP204" s="223" t="str">
        <f t="shared" si="198"/>
        <v/>
      </c>
      <c r="AQ204" s="223" t="str">
        <f t="shared" si="202"/>
        <v/>
      </c>
      <c r="AR204" s="223" t="str">
        <f t="shared" si="226"/>
        <v/>
      </c>
      <c r="AS204" s="223" t="str">
        <f t="shared" si="193"/>
        <v/>
      </c>
      <c r="AT204" s="223" t="str">
        <f t="shared" si="194"/>
        <v/>
      </c>
      <c r="AU204" s="223" t="str">
        <f t="shared" si="199"/>
        <v/>
      </c>
      <c r="AV204" s="223" t="str">
        <f t="shared" si="221"/>
        <v>1</v>
      </c>
      <c r="AW204" s="223" t="str">
        <f t="shared" si="227"/>
        <v>1</v>
      </c>
      <c r="AX204" s="223" t="str">
        <f t="shared" si="191"/>
        <v>1</v>
      </c>
      <c r="AY204" s="223" t="str">
        <f t="shared" si="197"/>
        <v>1</v>
      </c>
    </row>
    <row r="205" spans="1:51" x14ac:dyDescent="0.25">
      <c r="A205" s="214">
        <v>203</v>
      </c>
      <c r="B205" s="251" t="s">
        <v>302</v>
      </c>
      <c r="C205" s="132" t="s">
        <v>303</v>
      </c>
      <c r="D205" s="157">
        <v>2014</v>
      </c>
      <c r="E205" s="138">
        <v>41835</v>
      </c>
      <c r="F205" s="222">
        <f t="shared" si="203"/>
        <v>7</v>
      </c>
      <c r="G205" s="222" t="str">
        <f t="shared" si="204"/>
        <v>72014</v>
      </c>
      <c r="H205" s="222" t="str">
        <f t="shared" si="205"/>
        <v>julio</v>
      </c>
      <c r="I205" s="126" t="str">
        <f>VLOOKUP(B205,'Base de Datos'!$E$7:$T$271,14,0)</f>
        <v/>
      </c>
      <c r="J205" s="224" t="e">
        <f t="shared" si="206"/>
        <v>#VALUE!</v>
      </c>
      <c r="K205" s="223" t="e">
        <f t="shared" si="207"/>
        <v>#VALUE!</v>
      </c>
      <c r="L205" s="223" t="e">
        <f t="shared" si="208"/>
        <v>#VALUE!</v>
      </c>
      <c r="M205" s="223" t="str">
        <f t="shared" si="209"/>
        <v/>
      </c>
      <c r="N205" s="223" t="e">
        <f t="shared" ca="1" si="210"/>
        <v>#VALUE!</v>
      </c>
      <c r="O205" s="268" t="e">
        <f t="shared" ca="1" si="211"/>
        <v>#VALUE!</v>
      </c>
      <c r="P205" s="268" t="str">
        <f t="shared" si="220"/>
        <v/>
      </c>
      <c r="Q205" s="268" t="str">
        <f t="shared" si="212"/>
        <v/>
      </c>
      <c r="R205" s="268" t="str">
        <f t="shared" si="213"/>
        <v/>
      </c>
      <c r="S205" s="268" t="str">
        <f t="shared" si="214"/>
        <v/>
      </c>
      <c r="T205" s="268" t="str">
        <f t="shared" si="215"/>
        <v/>
      </c>
      <c r="U205" s="268" t="str">
        <f t="shared" si="216"/>
        <v/>
      </c>
      <c r="V205" s="268" t="str">
        <f t="shared" si="223"/>
        <v/>
      </c>
      <c r="W205" s="268" t="str">
        <f t="shared" si="217"/>
        <v/>
      </c>
      <c r="X205" s="268" t="str">
        <f t="shared" si="218"/>
        <v/>
      </c>
      <c r="Y205" s="268" t="str">
        <f t="shared" si="222"/>
        <v/>
      </c>
      <c r="Z205" s="268" t="str">
        <f t="shared" si="219"/>
        <v/>
      </c>
      <c r="AA205" s="268" t="str">
        <f t="shared" si="173"/>
        <v/>
      </c>
      <c r="AB205" s="268" t="str">
        <f t="shared" si="228"/>
        <v/>
      </c>
      <c r="AC205" s="268" t="str">
        <f t="shared" si="171"/>
        <v/>
      </c>
      <c r="AD205" s="268" t="str">
        <f t="shared" si="178"/>
        <v/>
      </c>
      <c r="AE205" s="268" t="str">
        <f t="shared" si="181"/>
        <v/>
      </c>
      <c r="AF205" s="268" t="str">
        <f t="shared" si="188"/>
        <v/>
      </c>
      <c r="AG205" s="268" t="str">
        <f t="shared" si="195"/>
        <v/>
      </c>
      <c r="AH205" s="268" t="str">
        <f t="shared" si="200"/>
        <v/>
      </c>
      <c r="AI205" s="268" t="str">
        <f t="shared" si="201"/>
        <v/>
      </c>
      <c r="AJ205" s="268" t="str">
        <f t="shared" si="224"/>
        <v/>
      </c>
      <c r="AK205" s="268" t="str">
        <f t="shared" si="189"/>
        <v/>
      </c>
      <c r="AL205" s="268" t="str">
        <f t="shared" si="192"/>
        <v/>
      </c>
      <c r="AM205" s="268" t="str">
        <f t="shared" si="196"/>
        <v/>
      </c>
      <c r="AN205" s="223" t="str">
        <f t="shared" si="225"/>
        <v/>
      </c>
      <c r="AO205" s="223" t="str">
        <f t="shared" si="190"/>
        <v/>
      </c>
      <c r="AP205" s="223" t="str">
        <f t="shared" si="198"/>
        <v/>
      </c>
      <c r="AQ205" s="223" t="str">
        <f t="shared" si="202"/>
        <v/>
      </c>
      <c r="AR205" s="223" t="str">
        <f t="shared" si="226"/>
        <v/>
      </c>
      <c r="AS205" s="223" t="str">
        <f t="shared" si="193"/>
        <v/>
      </c>
      <c r="AT205" s="223" t="str">
        <f t="shared" si="194"/>
        <v>1</v>
      </c>
      <c r="AU205" s="223" t="str">
        <f t="shared" si="199"/>
        <v>1</v>
      </c>
      <c r="AV205" s="223" t="str">
        <f t="shared" si="221"/>
        <v>1</v>
      </c>
      <c r="AW205" s="223" t="str">
        <f t="shared" si="227"/>
        <v>1</v>
      </c>
      <c r="AX205" s="223" t="str">
        <f t="shared" si="191"/>
        <v>1</v>
      </c>
      <c r="AY205" s="223" t="str">
        <f t="shared" si="197"/>
        <v>1</v>
      </c>
    </row>
    <row r="206" spans="1:51" x14ac:dyDescent="0.25">
      <c r="A206" s="214">
        <v>204</v>
      </c>
      <c r="B206" s="257" t="s">
        <v>1069</v>
      </c>
      <c r="C206" s="132" t="s">
        <v>1070</v>
      </c>
      <c r="D206" s="157">
        <v>2014</v>
      </c>
      <c r="E206" s="138">
        <v>41900</v>
      </c>
      <c r="F206" s="222">
        <f t="shared" si="203"/>
        <v>9</v>
      </c>
      <c r="G206" s="222" t="str">
        <f t="shared" si="204"/>
        <v>92014</v>
      </c>
      <c r="H206" s="222" t="str">
        <f t="shared" si="205"/>
        <v>septiembre</v>
      </c>
      <c r="I206" s="126" t="str">
        <f>VLOOKUP(B206,'Base de Datos'!$E$7:$T$271,14,0)</f>
        <v/>
      </c>
      <c r="J206" s="224" t="e">
        <f t="shared" si="206"/>
        <v>#VALUE!</v>
      </c>
      <c r="K206" s="223" t="e">
        <f t="shared" si="207"/>
        <v>#VALUE!</v>
      </c>
      <c r="L206" s="223" t="e">
        <f t="shared" si="208"/>
        <v>#VALUE!</v>
      </c>
      <c r="M206" s="223" t="str">
        <f t="shared" si="209"/>
        <v/>
      </c>
      <c r="N206" s="223" t="e">
        <f t="shared" ca="1" si="210"/>
        <v>#VALUE!</v>
      </c>
      <c r="O206" s="268" t="e">
        <f t="shared" ca="1" si="211"/>
        <v>#VALUE!</v>
      </c>
      <c r="P206" s="268" t="str">
        <f t="shared" si="220"/>
        <v/>
      </c>
      <c r="Q206" s="268" t="str">
        <f t="shared" si="212"/>
        <v/>
      </c>
      <c r="R206" s="268" t="str">
        <f t="shared" si="213"/>
        <v/>
      </c>
      <c r="S206" s="268" t="str">
        <f t="shared" si="214"/>
        <v/>
      </c>
      <c r="T206" s="268" t="str">
        <f t="shared" si="215"/>
        <v/>
      </c>
      <c r="U206" s="268" t="str">
        <f t="shared" si="216"/>
        <v/>
      </c>
      <c r="V206" s="268" t="str">
        <f t="shared" si="223"/>
        <v/>
      </c>
      <c r="W206" s="268" t="str">
        <f t="shared" si="217"/>
        <v/>
      </c>
      <c r="X206" s="268" t="str">
        <f t="shared" si="218"/>
        <v/>
      </c>
      <c r="Y206" s="268" t="str">
        <f t="shared" si="222"/>
        <v/>
      </c>
      <c r="Z206" s="268" t="str">
        <f t="shared" si="219"/>
        <v/>
      </c>
      <c r="AA206" s="268" t="str">
        <f t="shared" si="173"/>
        <v/>
      </c>
      <c r="AB206" s="268" t="str">
        <f t="shared" si="228"/>
        <v/>
      </c>
      <c r="AC206" s="268" t="str">
        <f t="shared" si="171"/>
        <v/>
      </c>
      <c r="AD206" s="268" t="str">
        <f t="shared" si="178"/>
        <v/>
      </c>
      <c r="AE206" s="268" t="str">
        <f t="shared" si="181"/>
        <v/>
      </c>
      <c r="AF206" s="268" t="str">
        <f t="shared" si="188"/>
        <v/>
      </c>
      <c r="AG206" s="268" t="str">
        <f t="shared" si="195"/>
        <v/>
      </c>
      <c r="AH206" s="268" t="str">
        <f t="shared" si="200"/>
        <v/>
      </c>
      <c r="AI206" s="268" t="str">
        <f t="shared" si="201"/>
        <v/>
      </c>
      <c r="AJ206" s="268" t="str">
        <f t="shared" si="224"/>
        <v/>
      </c>
      <c r="AK206" s="268" t="str">
        <f t="shared" si="189"/>
        <v/>
      </c>
      <c r="AL206" s="268" t="str">
        <f t="shared" si="192"/>
        <v/>
      </c>
      <c r="AM206" s="268" t="str">
        <f t="shared" si="196"/>
        <v/>
      </c>
      <c r="AN206" s="223" t="str">
        <f t="shared" si="225"/>
        <v/>
      </c>
      <c r="AO206" s="223" t="str">
        <f t="shared" si="190"/>
        <v/>
      </c>
      <c r="AP206" s="223" t="str">
        <f t="shared" si="198"/>
        <v/>
      </c>
      <c r="AQ206" s="223" t="str">
        <f t="shared" si="202"/>
        <v/>
      </c>
      <c r="AR206" s="223" t="str">
        <f t="shared" si="226"/>
        <v/>
      </c>
      <c r="AS206" s="223" t="str">
        <f t="shared" si="193"/>
        <v/>
      </c>
      <c r="AT206" s="223" t="str">
        <f t="shared" si="194"/>
        <v/>
      </c>
      <c r="AU206" s="223" t="str">
        <f t="shared" si="199"/>
        <v/>
      </c>
      <c r="AV206" s="223" t="str">
        <f t="shared" si="221"/>
        <v>1</v>
      </c>
      <c r="AW206" s="223" t="str">
        <f t="shared" si="227"/>
        <v>1</v>
      </c>
      <c r="AX206" s="223" t="str">
        <f t="shared" si="191"/>
        <v>1</v>
      </c>
      <c r="AY206" s="223" t="str">
        <f t="shared" si="197"/>
        <v>1</v>
      </c>
    </row>
    <row r="207" spans="1:51" x14ac:dyDescent="0.25">
      <c r="A207" s="214">
        <v>205</v>
      </c>
      <c r="B207" s="251" t="s">
        <v>183</v>
      </c>
      <c r="C207" s="132" t="s">
        <v>184</v>
      </c>
      <c r="D207" s="141">
        <v>2013</v>
      </c>
      <c r="E207" s="138">
        <v>41506</v>
      </c>
      <c r="F207" s="222">
        <f t="shared" si="203"/>
        <v>8</v>
      </c>
      <c r="G207" s="222" t="str">
        <f t="shared" si="204"/>
        <v>82013</v>
      </c>
      <c r="H207" s="222" t="str">
        <f t="shared" si="205"/>
        <v>agosto</v>
      </c>
      <c r="I207" s="126" t="str">
        <f>VLOOKUP(B207,'Base de Datos'!$E$7:$T$271,14,0)</f>
        <v>5 meses</v>
      </c>
      <c r="J207" s="224" t="e">
        <f t="shared" si="206"/>
        <v>#VALUE!</v>
      </c>
      <c r="K207" s="223" t="e">
        <f t="shared" si="207"/>
        <v>#VALUE!</v>
      </c>
      <c r="L207" s="223" t="e">
        <f t="shared" si="208"/>
        <v>#VALUE!</v>
      </c>
      <c r="M207" s="223" t="str">
        <f t="shared" si="209"/>
        <v>5 meses</v>
      </c>
      <c r="N207" s="223" t="e">
        <f t="shared" ca="1" si="210"/>
        <v>#VALUE!</v>
      </c>
      <c r="O207" s="268" t="e">
        <f t="shared" ca="1" si="211"/>
        <v>#VALUE!</v>
      </c>
      <c r="P207" s="268" t="str">
        <f t="shared" si="220"/>
        <v/>
      </c>
      <c r="Q207" s="268" t="str">
        <f t="shared" si="212"/>
        <v/>
      </c>
      <c r="R207" s="268" t="str">
        <f t="shared" si="213"/>
        <v/>
      </c>
      <c r="S207" s="268" t="str">
        <f t="shared" si="214"/>
        <v/>
      </c>
      <c r="T207" s="268" t="str">
        <f t="shared" si="215"/>
        <v/>
      </c>
      <c r="U207" s="268" t="str">
        <f t="shared" si="216"/>
        <v/>
      </c>
      <c r="V207" s="268" t="str">
        <f t="shared" si="223"/>
        <v/>
      </c>
      <c r="W207" s="268" t="str">
        <f t="shared" si="217"/>
        <v/>
      </c>
      <c r="X207" s="268" t="str">
        <f t="shared" si="218"/>
        <v/>
      </c>
      <c r="Y207" s="268" t="str">
        <f t="shared" si="222"/>
        <v/>
      </c>
      <c r="Z207" s="268" t="str">
        <f t="shared" si="219"/>
        <v/>
      </c>
      <c r="AA207" s="268" t="str">
        <f t="shared" si="173"/>
        <v/>
      </c>
      <c r="AB207" s="268" t="str">
        <f t="shared" si="228"/>
        <v/>
      </c>
      <c r="AC207" s="268" t="str">
        <f t="shared" si="171"/>
        <v/>
      </c>
      <c r="AD207" s="268" t="str">
        <f t="shared" si="178"/>
        <v/>
      </c>
      <c r="AE207" s="268" t="str">
        <f t="shared" si="181"/>
        <v/>
      </c>
      <c r="AF207" s="268" t="str">
        <f t="shared" si="188"/>
        <v/>
      </c>
      <c r="AG207" s="268" t="str">
        <f t="shared" si="195"/>
        <v/>
      </c>
      <c r="AH207" s="268" t="str">
        <f t="shared" si="200"/>
        <v/>
      </c>
      <c r="AI207" s="268" t="str">
        <f t="shared" si="201"/>
        <v>1</v>
      </c>
      <c r="AJ207" s="268" t="str">
        <f t="shared" si="224"/>
        <v>1</v>
      </c>
      <c r="AK207" s="268" t="str">
        <f t="shared" ref="AK207:AK238" si="229">IF(AND(E207&lt;$AK$2,I207&gt;$AK$2),"1","")</f>
        <v>1</v>
      </c>
      <c r="AL207" s="268" t="str">
        <f t="shared" si="192"/>
        <v>1</v>
      </c>
      <c r="AM207" s="268" t="str">
        <f t="shared" si="196"/>
        <v>1</v>
      </c>
      <c r="AN207" s="223" t="str">
        <f t="shared" si="225"/>
        <v>1</v>
      </c>
      <c r="AO207" s="223" t="str">
        <f t="shared" ref="AO207:AO238" si="230">IF(AND(E207&lt;$AO$2,I207&gt;$AO$2),"1","")</f>
        <v>1</v>
      </c>
      <c r="AP207" s="223" t="str">
        <f t="shared" si="198"/>
        <v>1</v>
      </c>
      <c r="AQ207" s="223" t="str">
        <f t="shared" si="202"/>
        <v>1</v>
      </c>
      <c r="AR207" s="223" t="str">
        <f t="shared" si="226"/>
        <v>1</v>
      </c>
      <c r="AS207" s="223" t="str">
        <f t="shared" si="193"/>
        <v>1</v>
      </c>
      <c r="AT207" s="223" t="str">
        <f t="shared" si="194"/>
        <v>1</v>
      </c>
      <c r="AU207" s="223" t="str">
        <f t="shared" si="199"/>
        <v>1</v>
      </c>
      <c r="AV207" s="223" t="str">
        <f t="shared" si="221"/>
        <v>1</v>
      </c>
      <c r="AW207" s="223" t="str">
        <f t="shared" si="227"/>
        <v>1</v>
      </c>
      <c r="AX207" s="223" t="str">
        <f t="shared" ref="AX207:AX238" si="231">IF(AND(E207&lt;$AX$2,I207&gt;$AX$2),"1","")</f>
        <v>1</v>
      </c>
      <c r="AY207" s="223" t="str">
        <f t="shared" si="197"/>
        <v>1</v>
      </c>
    </row>
    <row r="208" spans="1:51" x14ac:dyDescent="0.25">
      <c r="A208" s="214">
        <v>206</v>
      </c>
      <c r="B208" s="262" t="str">
        <f>+'Base de Datos'!E257</f>
        <v>140356-0-2014</v>
      </c>
      <c r="C208" s="238" t="str">
        <f>+'Base de Datos'!F257</f>
        <v>S.O.S. SOLUCIONES DE OFICINA &amp; SUMINISTROS S.A.S.</v>
      </c>
      <c r="D208" s="238">
        <f>YEAR(E208)</f>
        <v>2014</v>
      </c>
      <c r="E208" s="239">
        <f>+'Base de Datos'!M257</f>
        <v>41968</v>
      </c>
      <c r="F208" s="222">
        <f t="shared" si="203"/>
        <v>11</v>
      </c>
      <c r="G208" s="222" t="str">
        <f t="shared" si="204"/>
        <v>112014</v>
      </c>
      <c r="H208" s="222" t="str">
        <f t="shared" si="205"/>
        <v>noviembre</v>
      </c>
      <c r="I208" s="126" t="str">
        <f>VLOOKUP(B208,'Base de Datos'!$E$7:$T$271,14,0)</f>
        <v/>
      </c>
      <c r="J208" s="224" t="e">
        <f t="shared" si="206"/>
        <v>#VALUE!</v>
      </c>
      <c r="K208" s="223" t="e">
        <f t="shared" si="207"/>
        <v>#VALUE!</v>
      </c>
      <c r="L208" s="223" t="e">
        <f t="shared" si="208"/>
        <v>#VALUE!</v>
      </c>
      <c r="M208" s="223" t="str">
        <f t="shared" si="209"/>
        <v/>
      </c>
      <c r="N208" s="223" t="e">
        <f t="shared" ca="1" si="210"/>
        <v>#VALUE!</v>
      </c>
      <c r="O208" s="268" t="e">
        <f t="shared" ca="1" si="211"/>
        <v>#VALUE!</v>
      </c>
      <c r="P208" s="268" t="str">
        <f t="shared" si="220"/>
        <v/>
      </c>
      <c r="Q208" s="268" t="str">
        <f t="shared" si="212"/>
        <v/>
      </c>
      <c r="R208" s="268" t="str">
        <f t="shared" si="213"/>
        <v/>
      </c>
      <c r="S208" s="268" t="str">
        <f t="shared" si="214"/>
        <v/>
      </c>
      <c r="T208" s="268" t="str">
        <f t="shared" si="215"/>
        <v/>
      </c>
      <c r="U208" s="268" t="str">
        <f t="shared" si="216"/>
        <v/>
      </c>
      <c r="V208" s="268" t="str">
        <f t="shared" si="223"/>
        <v/>
      </c>
      <c r="W208" s="268" t="str">
        <f t="shared" si="217"/>
        <v/>
      </c>
      <c r="X208" s="268" t="str">
        <f t="shared" si="218"/>
        <v/>
      </c>
      <c r="Y208" s="268" t="str">
        <f t="shared" si="222"/>
        <v/>
      </c>
      <c r="Z208" s="268" t="str">
        <f t="shared" si="219"/>
        <v/>
      </c>
      <c r="AA208" s="268" t="str">
        <f t="shared" si="173"/>
        <v/>
      </c>
      <c r="AB208" s="268" t="str">
        <f t="shared" si="228"/>
        <v/>
      </c>
      <c r="AC208" s="268" t="str">
        <f t="shared" si="171"/>
        <v/>
      </c>
      <c r="AD208" s="268" t="str">
        <f t="shared" si="178"/>
        <v/>
      </c>
      <c r="AE208" s="268" t="str">
        <f t="shared" si="181"/>
        <v/>
      </c>
      <c r="AF208" s="268" t="str">
        <f t="shared" si="188"/>
        <v/>
      </c>
      <c r="AG208" s="268" t="str">
        <f t="shared" si="195"/>
        <v/>
      </c>
      <c r="AH208" s="268" t="str">
        <f t="shared" si="200"/>
        <v/>
      </c>
      <c r="AI208" s="268" t="str">
        <f t="shared" si="201"/>
        <v/>
      </c>
      <c r="AJ208" s="268" t="str">
        <f t="shared" si="224"/>
        <v/>
      </c>
      <c r="AK208" s="268" t="str">
        <f t="shared" si="229"/>
        <v/>
      </c>
      <c r="AL208" s="268" t="str">
        <f t="shared" ref="AL208:AL239" si="232">IF(AND(E208&lt;$AL$2,I208&gt;$AL$2),"1","")</f>
        <v/>
      </c>
      <c r="AM208" s="268" t="str">
        <f t="shared" si="196"/>
        <v/>
      </c>
      <c r="AN208" s="223" t="str">
        <f t="shared" si="225"/>
        <v/>
      </c>
      <c r="AO208" s="223" t="str">
        <f t="shared" si="230"/>
        <v/>
      </c>
      <c r="AP208" s="223" t="str">
        <f t="shared" si="198"/>
        <v/>
      </c>
      <c r="AQ208" s="223" t="str">
        <f t="shared" si="202"/>
        <v/>
      </c>
      <c r="AR208" s="223" t="str">
        <f t="shared" si="226"/>
        <v/>
      </c>
      <c r="AS208" s="223" t="str">
        <f t="shared" ref="AS208:AS239" si="233">IF(AND(E208&lt;$AS$2,I208&gt;$AS$2),"1","")</f>
        <v/>
      </c>
      <c r="AT208" s="223" t="str">
        <f t="shared" si="194"/>
        <v/>
      </c>
      <c r="AU208" s="223" t="str">
        <f t="shared" si="199"/>
        <v/>
      </c>
      <c r="AV208" s="223" t="str">
        <f t="shared" si="221"/>
        <v/>
      </c>
      <c r="AW208" s="223" t="str">
        <f t="shared" si="227"/>
        <v/>
      </c>
      <c r="AX208" s="223" t="str">
        <f t="shared" si="231"/>
        <v>1</v>
      </c>
      <c r="AY208" s="223" t="str">
        <f t="shared" si="197"/>
        <v>1</v>
      </c>
    </row>
    <row r="209" spans="1:51" x14ac:dyDescent="0.25">
      <c r="A209" s="214">
        <v>207</v>
      </c>
      <c r="B209" s="262" t="str">
        <f>+'Base de Datos'!E256</f>
        <v>140345-0-2014</v>
      </c>
      <c r="C209" s="238" t="str">
        <f>+'Base de Datos'!F256</f>
        <v>JOHN KENNEDY LEON CASTIBLANCO</v>
      </c>
      <c r="D209" s="238">
        <f>YEAR(E209)</f>
        <v>2014</v>
      </c>
      <c r="E209" s="239">
        <f>+'Base de Datos'!M256</f>
        <v>41956</v>
      </c>
      <c r="F209" s="222">
        <f t="shared" si="203"/>
        <v>11</v>
      </c>
      <c r="G209" s="222" t="str">
        <f t="shared" si="204"/>
        <v>112014</v>
      </c>
      <c r="H209" s="222" t="str">
        <f t="shared" si="205"/>
        <v>noviembre</v>
      </c>
      <c r="I209" s="126" t="str">
        <f>VLOOKUP(B209,'Base de Datos'!$E$7:$T$271,14,0)</f>
        <v/>
      </c>
      <c r="J209" s="224" t="e">
        <f t="shared" si="206"/>
        <v>#VALUE!</v>
      </c>
      <c r="K209" s="223" t="e">
        <f t="shared" si="207"/>
        <v>#VALUE!</v>
      </c>
      <c r="L209" s="223" t="e">
        <f t="shared" si="208"/>
        <v>#VALUE!</v>
      </c>
      <c r="M209" s="223" t="str">
        <f t="shared" si="209"/>
        <v/>
      </c>
      <c r="N209" s="223" t="e">
        <f t="shared" ca="1" si="210"/>
        <v>#VALUE!</v>
      </c>
      <c r="O209" s="268" t="e">
        <f t="shared" ca="1" si="211"/>
        <v>#VALUE!</v>
      </c>
      <c r="P209" s="268" t="str">
        <f t="shared" si="220"/>
        <v/>
      </c>
      <c r="Q209" s="268" t="str">
        <f t="shared" si="212"/>
        <v/>
      </c>
      <c r="R209" s="268" t="str">
        <f t="shared" si="213"/>
        <v/>
      </c>
      <c r="S209" s="268" t="str">
        <f t="shared" si="214"/>
        <v/>
      </c>
      <c r="T209" s="268" t="str">
        <f t="shared" si="215"/>
        <v/>
      </c>
      <c r="U209" s="268" t="str">
        <f t="shared" si="216"/>
        <v/>
      </c>
      <c r="V209" s="268" t="str">
        <f t="shared" si="223"/>
        <v/>
      </c>
      <c r="W209" s="268" t="str">
        <f t="shared" si="217"/>
        <v/>
      </c>
      <c r="X209" s="268" t="str">
        <f t="shared" si="218"/>
        <v/>
      </c>
      <c r="Y209" s="268" t="str">
        <f t="shared" si="222"/>
        <v/>
      </c>
      <c r="Z209" s="268" t="str">
        <f t="shared" si="219"/>
        <v/>
      </c>
      <c r="AA209" s="268" t="str">
        <f t="shared" si="173"/>
        <v/>
      </c>
      <c r="AB209" s="268" t="str">
        <f t="shared" si="228"/>
        <v/>
      </c>
      <c r="AC209" s="268" t="str">
        <f t="shared" si="171"/>
        <v/>
      </c>
      <c r="AD209" s="268" t="str">
        <f t="shared" si="178"/>
        <v/>
      </c>
      <c r="AE209" s="268" t="str">
        <f t="shared" si="181"/>
        <v/>
      </c>
      <c r="AF209" s="268" t="str">
        <f t="shared" si="188"/>
        <v/>
      </c>
      <c r="AG209" s="268" t="str">
        <f t="shared" si="195"/>
        <v/>
      </c>
      <c r="AH209" s="268" t="str">
        <f t="shared" si="200"/>
        <v/>
      </c>
      <c r="AI209" s="268" t="str">
        <f t="shared" si="201"/>
        <v/>
      </c>
      <c r="AJ209" s="268" t="str">
        <f t="shared" si="224"/>
        <v/>
      </c>
      <c r="AK209" s="268" t="str">
        <f t="shared" si="229"/>
        <v/>
      </c>
      <c r="AL209" s="268" t="str">
        <f t="shared" si="232"/>
        <v/>
      </c>
      <c r="AM209" s="268" t="str">
        <f t="shared" si="196"/>
        <v/>
      </c>
      <c r="AN209" s="223" t="str">
        <f t="shared" si="225"/>
        <v/>
      </c>
      <c r="AO209" s="223" t="str">
        <f t="shared" si="230"/>
        <v/>
      </c>
      <c r="AP209" s="223" t="str">
        <f t="shared" si="198"/>
        <v/>
      </c>
      <c r="AQ209" s="223" t="str">
        <f t="shared" si="202"/>
        <v/>
      </c>
      <c r="AR209" s="223" t="str">
        <f t="shared" si="226"/>
        <v/>
      </c>
      <c r="AS209" s="223" t="str">
        <f t="shared" si="233"/>
        <v/>
      </c>
      <c r="AT209" s="223" t="str">
        <f t="shared" si="194"/>
        <v/>
      </c>
      <c r="AU209" s="223" t="str">
        <f t="shared" si="199"/>
        <v/>
      </c>
      <c r="AV209" s="223" t="str">
        <f t="shared" si="221"/>
        <v/>
      </c>
      <c r="AW209" s="223" t="str">
        <f t="shared" si="227"/>
        <v/>
      </c>
      <c r="AX209" s="223" t="str">
        <f t="shared" si="231"/>
        <v>1</v>
      </c>
      <c r="AY209" s="223" t="str">
        <f t="shared" si="197"/>
        <v>1</v>
      </c>
    </row>
    <row r="210" spans="1:51" x14ac:dyDescent="0.25">
      <c r="A210" s="214">
        <v>208</v>
      </c>
      <c r="B210" s="262" t="str">
        <f>+'Base de Datos'!E260</f>
        <v>140358-0-2014</v>
      </c>
      <c r="C210" s="238" t="str">
        <f>+'Base de Datos'!F260</f>
        <v>ORGANIZACIÓN TERPEL S.A.</v>
      </c>
      <c r="D210" s="238">
        <f>YEAR(E210)</f>
        <v>2014</v>
      </c>
      <c r="E210" s="239">
        <f>+'Base de Datos'!M260</f>
        <v>41961</v>
      </c>
      <c r="F210" s="222">
        <f t="shared" si="203"/>
        <v>11</v>
      </c>
      <c r="G210" s="222" t="str">
        <f t="shared" si="204"/>
        <v>112014</v>
      </c>
      <c r="H210" s="222" t="str">
        <f t="shared" si="205"/>
        <v>noviembre</v>
      </c>
      <c r="I210" s="126" t="str">
        <f>VLOOKUP(B210,'Base de Datos'!$E$7:$T$271,14,0)</f>
        <v/>
      </c>
      <c r="J210" s="224" t="e">
        <f t="shared" si="206"/>
        <v>#VALUE!</v>
      </c>
      <c r="K210" s="223" t="e">
        <f t="shared" si="207"/>
        <v>#VALUE!</v>
      </c>
      <c r="L210" s="223" t="e">
        <f t="shared" si="208"/>
        <v>#VALUE!</v>
      </c>
      <c r="M210" s="223" t="str">
        <f t="shared" si="209"/>
        <v/>
      </c>
      <c r="N210" s="223" t="e">
        <f t="shared" ca="1" si="210"/>
        <v>#VALUE!</v>
      </c>
      <c r="O210" s="268" t="e">
        <f t="shared" ca="1" si="211"/>
        <v>#VALUE!</v>
      </c>
      <c r="P210" s="268" t="str">
        <f t="shared" si="220"/>
        <v/>
      </c>
      <c r="Q210" s="268" t="str">
        <f t="shared" si="212"/>
        <v/>
      </c>
      <c r="R210" s="268" t="str">
        <f t="shared" si="213"/>
        <v/>
      </c>
      <c r="S210" s="268" t="str">
        <f t="shared" si="214"/>
        <v/>
      </c>
      <c r="T210" s="268" t="str">
        <f t="shared" si="215"/>
        <v/>
      </c>
      <c r="U210" s="268" t="str">
        <f t="shared" si="216"/>
        <v/>
      </c>
      <c r="V210" s="268" t="str">
        <f t="shared" si="223"/>
        <v/>
      </c>
      <c r="W210" s="268" t="str">
        <f t="shared" si="217"/>
        <v/>
      </c>
      <c r="X210" s="268" t="str">
        <f t="shared" si="218"/>
        <v/>
      </c>
      <c r="Y210" s="268" t="str">
        <f t="shared" si="222"/>
        <v/>
      </c>
      <c r="Z210" s="268" t="str">
        <f t="shared" si="219"/>
        <v/>
      </c>
      <c r="AA210" s="268" t="str">
        <f t="shared" si="173"/>
        <v/>
      </c>
      <c r="AB210" s="268" t="str">
        <f t="shared" si="228"/>
        <v/>
      </c>
      <c r="AC210" s="268" t="str">
        <f t="shared" si="171"/>
        <v/>
      </c>
      <c r="AD210" s="268" t="str">
        <f t="shared" si="178"/>
        <v/>
      </c>
      <c r="AE210" s="268" t="str">
        <f t="shared" si="181"/>
        <v/>
      </c>
      <c r="AF210" s="268" t="str">
        <f t="shared" si="188"/>
        <v/>
      </c>
      <c r="AG210" s="268" t="str">
        <f t="shared" si="195"/>
        <v/>
      </c>
      <c r="AH210" s="268" t="str">
        <f t="shared" si="200"/>
        <v/>
      </c>
      <c r="AI210" s="268" t="str">
        <f t="shared" si="201"/>
        <v/>
      </c>
      <c r="AJ210" s="268" t="str">
        <f t="shared" si="224"/>
        <v/>
      </c>
      <c r="AK210" s="268" t="str">
        <f t="shared" si="229"/>
        <v/>
      </c>
      <c r="AL210" s="268" t="str">
        <f t="shared" si="232"/>
        <v/>
      </c>
      <c r="AM210" s="268" t="str">
        <f t="shared" si="196"/>
        <v/>
      </c>
      <c r="AN210" s="223" t="str">
        <f t="shared" si="225"/>
        <v/>
      </c>
      <c r="AO210" s="223" t="str">
        <f t="shared" si="230"/>
        <v/>
      </c>
      <c r="AP210" s="223" t="str">
        <f t="shared" si="198"/>
        <v/>
      </c>
      <c r="AQ210" s="223" t="str">
        <f t="shared" si="202"/>
        <v/>
      </c>
      <c r="AR210" s="223" t="str">
        <f t="shared" si="226"/>
        <v/>
      </c>
      <c r="AS210" s="223" t="str">
        <f t="shared" si="233"/>
        <v/>
      </c>
      <c r="AT210" s="223" t="str">
        <f t="shared" si="194"/>
        <v/>
      </c>
      <c r="AU210" s="223" t="str">
        <f t="shared" si="199"/>
        <v/>
      </c>
      <c r="AV210" s="223" t="str">
        <f t="shared" si="221"/>
        <v/>
      </c>
      <c r="AW210" s="223" t="str">
        <f t="shared" si="227"/>
        <v/>
      </c>
      <c r="AX210" s="223" t="str">
        <f t="shared" si="231"/>
        <v>1</v>
      </c>
      <c r="AY210" s="223" t="str">
        <f t="shared" si="197"/>
        <v>1</v>
      </c>
    </row>
    <row r="211" spans="1:51" x14ac:dyDescent="0.25">
      <c r="A211" s="214">
        <v>209</v>
      </c>
      <c r="B211" s="262" t="str">
        <f>+'Base de Datos'!E250</f>
        <v>140344-0-2014</v>
      </c>
      <c r="C211" s="238" t="str">
        <f>+'Base de Datos'!F250</f>
        <v>GUSTAVO ADOLFO BARRETO CASANOVA</v>
      </c>
      <c r="D211" s="238">
        <f>YEAR(E211)</f>
        <v>2014</v>
      </c>
      <c r="E211" s="239">
        <f>+'Base de Datos'!M250</f>
        <v>41957</v>
      </c>
      <c r="F211" s="222">
        <f t="shared" si="203"/>
        <v>11</v>
      </c>
      <c r="G211" s="222" t="str">
        <f t="shared" si="204"/>
        <v>112014</v>
      </c>
      <c r="H211" s="222" t="str">
        <f t="shared" si="205"/>
        <v>noviembre</v>
      </c>
      <c r="I211" s="126" t="str">
        <f>VLOOKUP(B211,'Base de Datos'!$E$7:$T$271,14,0)</f>
        <v/>
      </c>
      <c r="J211" s="224" t="e">
        <f t="shared" si="206"/>
        <v>#VALUE!</v>
      </c>
      <c r="K211" s="223" t="e">
        <f t="shared" si="207"/>
        <v>#VALUE!</v>
      </c>
      <c r="L211" s="223" t="e">
        <f t="shared" si="208"/>
        <v>#VALUE!</v>
      </c>
      <c r="M211" s="223" t="str">
        <f t="shared" si="209"/>
        <v/>
      </c>
      <c r="N211" s="223" t="e">
        <f t="shared" ca="1" si="210"/>
        <v>#VALUE!</v>
      </c>
      <c r="O211" s="268" t="e">
        <f t="shared" ca="1" si="211"/>
        <v>#VALUE!</v>
      </c>
      <c r="P211" s="268" t="str">
        <f t="shared" si="220"/>
        <v/>
      </c>
      <c r="Q211" s="268" t="str">
        <f t="shared" si="212"/>
        <v/>
      </c>
      <c r="R211" s="268" t="str">
        <f t="shared" si="213"/>
        <v/>
      </c>
      <c r="S211" s="268" t="str">
        <f t="shared" si="214"/>
        <v/>
      </c>
      <c r="T211" s="268" t="str">
        <f t="shared" si="215"/>
        <v/>
      </c>
      <c r="U211" s="268" t="str">
        <f t="shared" si="216"/>
        <v/>
      </c>
      <c r="V211" s="268" t="str">
        <f t="shared" si="223"/>
        <v/>
      </c>
      <c r="W211" s="268" t="str">
        <f t="shared" si="217"/>
        <v/>
      </c>
      <c r="X211" s="268" t="str">
        <f t="shared" si="218"/>
        <v/>
      </c>
      <c r="Y211" s="268" t="str">
        <f t="shared" si="222"/>
        <v/>
      </c>
      <c r="Z211" s="268" t="str">
        <f t="shared" si="219"/>
        <v/>
      </c>
      <c r="AA211" s="268" t="str">
        <f t="shared" si="173"/>
        <v/>
      </c>
      <c r="AB211" s="268" t="str">
        <f t="shared" si="228"/>
        <v/>
      </c>
      <c r="AC211" s="268" t="str">
        <f t="shared" si="171"/>
        <v/>
      </c>
      <c r="AD211" s="268" t="str">
        <f t="shared" si="178"/>
        <v/>
      </c>
      <c r="AE211" s="268" t="str">
        <f t="shared" si="181"/>
        <v/>
      </c>
      <c r="AF211" s="268" t="str">
        <f t="shared" si="188"/>
        <v/>
      </c>
      <c r="AG211" s="268" t="str">
        <f t="shared" si="195"/>
        <v/>
      </c>
      <c r="AH211" s="268" t="str">
        <f t="shared" si="200"/>
        <v/>
      </c>
      <c r="AI211" s="268" t="str">
        <f t="shared" si="201"/>
        <v/>
      </c>
      <c r="AJ211" s="268" t="str">
        <f t="shared" si="224"/>
        <v/>
      </c>
      <c r="AK211" s="268" t="str">
        <f t="shared" si="229"/>
        <v/>
      </c>
      <c r="AL211" s="268" t="str">
        <f t="shared" si="232"/>
        <v/>
      </c>
      <c r="AM211" s="268" t="str">
        <f t="shared" si="196"/>
        <v/>
      </c>
      <c r="AN211" s="223" t="str">
        <f t="shared" si="225"/>
        <v/>
      </c>
      <c r="AO211" s="223" t="str">
        <f t="shared" si="230"/>
        <v/>
      </c>
      <c r="AP211" s="223" t="str">
        <f t="shared" si="198"/>
        <v/>
      </c>
      <c r="AQ211" s="223" t="str">
        <f t="shared" si="202"/>
        <v/>
      </c>
      <c r="AR211" s="223" t="str">
        <f t="shared" si="226"/>
        <v/>
      </c>
      <c r="AS211" s="223" t="str">
        <f t="shared" si="233"/>
        <v/>
      </c>
      <c r="AT211" s="223" t="str">
        <f t="shared" ref="AT211:AT242" si="234">IF(AND(E211&lt;$AT$2,I211&gt;$AT$2),"1","")</f>
        <v/>
      </c>
      <c r="AU211" s="223" t="str">
        <f t="shared" si="199"/>
        <v/>
      </c>
      <c r="AV211" s="223" t="str">
        <f t="shared" si="221"/>
        <v/>
      </c>
      <c r="AW211" s="223" t="str">
        <f t="shared" si="227"/>
        <v/>
      </c>
      <c r="AX211" s="223" t="str">
        <f t="shared" si="231"/>
        <v>1</v>
      </c>
      <c r="AY211" s="223" t="str">
        <f t="shared" si="197"/>
        <v>1</v>
      </c>
    </row>
    <row r="212" spans="1:51" ht="22.5" x14ac:dyDescent="0.25">
      <c r="A212" s="214">
        <v>210</v>
      </c>
      <c r="B212" s="251" t="s">
        <v>252</v>
      </c>
      <c r="C212" s="132" t="s">
        <v>86</v>
      </c>
      <c r="D212" s="157">
        <v>2014</v>
      </c>
      <c r="E212" s="138">
        <v>41717</v>
      </c>
      <c r="F212" s="222">
        <f t="shared" si="203"/>
        <v>3</v>
      </c>
      <c r="G212" s="222" t="str">
        <f t="shared" si="204"/>
        <v>32014</v>
      </c>
      <c r="H212" s="222" t="str">
        <f t="shared" si="205"/>
        <v>marzo</v>
      </c>
      <c r="I212" s="126" t="str">
        <f>VLOOKUP(B212,'Base de Datos'!$E$7:$T$271,14,0)</f>
        <v/>
      </c>
      <c r="J212" s="224" t="e">
        <f t="shared" si="206"/>
        <v>#VALUE!</v>
      </c>
      <c r="K212" s="223" t="e">
        <f t="shared" si="207"/>
        <v>#VALUE!</v>
      </c>
      <c r="L212" s="223" t="e">
        <f t="shared" si="208"/>
        <v>#VALUE!</v>
      </c>
      <c r="M212" s="223" t="str">
        <f t="shared" si="209"/>
        <v/>
      </c>
      <c r="N212" s="223" t="e">
        <f t="shared" ca="1" si="210"/>
        <v>#VALUE!</v>
      </c>
      <c r="O212" s="268" t="e">
        <f t="shared" ca="1" si="211"/>
        <v>#VALUE!</v>
      </c>
      <c r="P212" s="268" t="str">
        <f t="shared" si="220"/>
        <v/>
      </c>
      <c r="Q212" s="268" t="str">
        <f t="shared" si="212"/>
        <v/>
      </c>
      <c r="R212" s="268" t="str">
        <f t="shared" si="213"/>
        <v/>
      </c>
      <c r="S212" s="268" t="str">
        <f t="shared" si="214"/>
        <v/>
      </c>
      <c r="T212" s="268" t="str">
        <f t="shared" si="215"/>
        <v/>
      </c>
      <c r="U212" s="268" t="str">
        <f t="shared" si="216"/>
        <v/>
      </c>
      <c r="V212" s="268" t="str">
        <f t="shared" si="223"/>
        <v/>
      </c>
      <c r="W212" s="268" t="str">
        <f t="shared" si="217"/>
        <v/>
      </c>
      <c r="X212" s="268" t="str">
        <f t="shared" si="218"/>
        <v/>
      </c>
      <c r="Y212" s="268" t="str">
        <f t="shared" si="222"/>
        <v/>
      </c>
      <c r="Z212" s="268" t="str">
        <f t="shared" si="219"/>
        <v/>
      </c>
      <c r="AA212" s="268" t="str">
        <f t="shared" si="173"/>
        <v/>
      </c>
      <c r="AB212" s="268" t="str">
        <f t="shared" si="228"/>
        <v/>
      </c>
      <c r="AC212" s="268" t="str">
        <f t="shared" ref="AC212:AC261" si="235">IF(AND(E212&lt;$AC$2,I212&gt;$AC$2),"1","")</f>
        <v/>
      </c>
      <c r="AD212" s="268" t="str">
        <f t="shared" si="178"/>
        <v/>
      </c>
      <c r="AE212" s="268" t="str">
        <f t="shared" si="181"/>
        <v/>
      </c>
      <c r="AF212" s="268" t="str">
        <f t="shared" si="188"/>
        <v/>
      </c>
      <c r="AG212" s="268" t="str">
        <f t="shared" si="195"/>
        <v/>
      </c>
      <c r="AH212" s="268" t="str">
        <f t="shared" si="200"/>
        <v/>
      </c>
      <c r="AI212" s="268" t="str">
        <f t="shared" si="201"/>
        <v/>
      </c>
      <c r="AJ212" s="268" t="str">
        <f t="shared" si="224"/>
        <v/>
      </c>
      <c r="AK212" s="268" t="str">
        <f t="shared" si="229"/>
        <v/>
      </c>
      <c r="AL212" s="268" t="str">
        <f t="shared" si="232"/>
        <v/>
      </c>
      <c r="AM212" s="268" t="str">
        <f t="shared" si="196"/>
        <v/>
      </c>
      <c r="AN212" s="223" t="str">
        <f t="shared" si="225"/>
        <v/>
      </c>
      <c r="AO212" s="223" t="str">
        <f t="shared" si="230"/>
        <v/>
      </c>
      <c r="AP212" s="223" t="str">
        <f t="shared" si="198"/>
        <v>1</v>
      </c>
      <c r="AQ212" s="223" t="str">
        <f t="shared" si="202"/>
        <v>1</v>
      </c>
      <c r="AR212" s="223" t="str">
        <f t="shared" si="226"/>
        <v>1</v>
      </c>
      <c r="AS212" s="223" t="str">
        <f t="shared" si="233"/>
        <v>1</v>
      </c>
      <c r="AT212" s="223" t="str">
        <f t="shared" si="234"/>
        <v>1</v>
      </c>
      <c r="AU212" s="223" t="str">
        <f t="shared" si="199"/>
        <v>1</v>
      </c>
      <c r="AV212" s="223" t="str">
        <f t="shared" si="221"/>
        <v>1</v>
      </c>
      <c r="AW212" s="223" t="str">
        <f t="shared" si="227"/>
        <v>1</v>
      </c>
      <c r="AX212" s="223" t="str">
        <f t="shared" si="231"/>
        <v>1</v>
      </c>
      <c r="AY212" s="223" t="str">
        <f t="shared" si="197"/>
        <v>1</v>
      </c>
    </row>
    <row r="213" spans="1:51" ht="22.5" x14ac:dyDescent="0.25">
      <c r="A213" s="214">
        <v>211</v>
      </c>
      <c r="B213" s="256" t="s">
        <v>175</v>
      </c>
      <c r="C213" s="132" t="s">
        <v>176</v>
      </c>
      <c r="D213" s="141">
        <v>2013</v>
      </c>
      <c r="E213" s="138">
        <v>41472</v>
      </c>
      <c r="F213" s="222">
        <f t="shared" si="203"/>
        <v>7</v>
      </c>
      <c r="G213" s="222" t="str">
        <f t="shared" si="204"/>
        <v>72013</v>
      </c>
      <c r="H213" s="222" t="str">
        <f t="shared" si="205"/>
        <v>julio</v>
      </c>
      <c r="I213" s="126" t="str">
        <f>VLOOKUP(B213,'Base de Datos'!$E$7:$T$271,14,0)</f>
        <v>1 mes</v>
      </c>
      <c r="J213" s="224" t="e">
        <f t="shared" si="206"/>
        <v>#VALUE!</v>
      </c>
      <c r="K213" s="223" t="e">
        <f t="shared" si="207"/>
        <v>#VALUE!</v>
      </c>
      <c r="L213" s="223" t="e">
        <f t="shared" si="208"/>
        <v>#VALUE!</v>
      </c>
      <c r="M213" s="223" t="str">
        <f t="shared" si="209"/>
        <v>1 mes</v>
      </c>
      <c r="N213" s="223" t="e">
        <f t="shared" ca="1" si="210"/>
        <v>#VALUE!</v>
      </c>
      <c r="O213" s="268" t="e">
        <f t="shared" ca="1" si="211"/>
        <v>#VALUE!</v>
      </c>
      <c r="P213" s="268" t="str">
        <f t="shared" si="220"/>
        <v/>
      </c>
      <c r="Q213" s="268" t="str">
        <f t="shared" si="212"/>
        <v/>
      </c>
      <c r="R213" s="268" t="str">
        <f t="shared" si="213"/>
        <v/>
      </c>
      <c r="S213" s="268" t="str">
        <f t="shared" si="214"/>
        <v/>
      </c>
      <c r="T213" s="268" t="str">
        <f t="shared" si="215"/>
        <v/>
      </c>
      <c r="U213" s="268" t="str">
        <f t="shared" si="216"/>
        <v/>
      </c>
      <c r="V213" s="268" t="str">
        <f t="shared" si="223"/>
        <v/>
      </c>
      <c r="W213" s="268" t="str">
        <f t="shared" si="217"/>
        <v/>
      </c>
      <c r="X213" s="268" t="str">
        <f t="shared" si="218"/>
        <v/>
      </c>
      <c r="Y213" s="268" t="str">
        <f t="shared" si="222"/>
        <v/>
      </c>
      <c r="Z213" s="268" t="str">
        <f t="shared" si="219"/>
        <v/>
      </c>
      <c r="AA213" s="268" t="str">
        <f t="shared" si="173"/>
        <v/>
      </c>
      <c r="AB213" s="268" t="str">
        <f t="shared" si="228"/>
        <v/>
      </c>
      <c r="AC213" s="268" t="str">
        <f t="shared" si="235"/>
        <v/>
      </c>
      <c r="AD213" s="268" t="str">
        <f t="shared" si="178"/>
        <v/>
      </c>
      <c r="AE213" s="268" t="str">
        <f t="shared" si="181"/>
        <v/>
      </c>
      <c r="AF213" s="268" t="str">
        <f t="shared" si="188"/>
        <v/>
      </c>
      <c r="AG213" s="268" t="str">
        <f t="shared" si="195"/>
        <v/>
      </c>
      <c r="AH213" s="268" t="str">
        <f t="shared" si="200"/>
        <v>1</v>
      </c>
      <c r="AI213" s="268" t="str">
        <f t="shared" si="201"/>
        <v>1</v>
      </c>
      <c r="AJ213" s="268" t="str">
        <f t="shared" si="224"/>
        <v>1</v>
      </c>
      <c r="AK213" s="268" t="str">
        <f t="shared" si="229"/>
        <v>1</v>
      </c>
      <c r="AL213" s="268" t="str">
        <f t="shared" si="232"/>
        <v>1</v>
      </c>
      <c r="AM213" s="268" t="str">
        <f t="shared" ref="AM213:AM244" si="236">IF(AND(E213&lt;$AM$2,I213&gt;$AM$2),"1","")</f>
        <v>1</v>
      </c>
      <c r="AN213" s="223" t="str">
        <f t="shared" si="225"/>
        <v>1</v>
      </c>
      <c r="AO213" s="223" t="str">
        <f t="shared" si="230"/>
        <v>1</v>
      </c>
      <c r="AP213" s="223" t="str">
        <f t="shared" si="198"/>
        <v>1</v>
      </c>
      <c r="AQ213" s="223" t="str">
        <f t="shared" si="202"/>
        <v>1</v>
      </c>
      <c r="AR213" s="223" t="str">
        <f t="shared" si="226"/>
        <v>1</v>
      </c>
      <c r="AS213" s="223" t="str">
        <f t="shared" si="233"/>
        <v>1</v>
      </c>
      <c r="AT213" s="223" t="str">
        <f t="shared" si="234"/>
        <v>1</v>
      </c>
      <c r="AU213" s="223" t="str">
        <f t="shared" si="199"/>
        <v>1</v>
      </c>
      <c r="AV213" s="223" t="str">
        <f t="shared" si="221"/>
        <v>1</v>
      </c>
      <c r="AW213" s="223" t="str">
        <f t="shared" si="227"/>
        <v>1</v>
      </c>
      <c r="AX213" s="223" t="str">
        <f t="shared" si="231"/>
        <v>1</v>
      </c>
      <c r="AY213" s="223" t="str">
        <f t="shared" si="197"/>
        <v>1</v>
      </c>
    </row>
    <row r="214" spans="1:51" x14ac:dyDescent="0.25">
      <c r="A214" s="214">
        <v>212</v>
      </c>
      <c r="B214" s="251" t="s">
        <v>279</v>
      </c>
      <c r="C214" s="132" t="s">
        <v>53</v>
      </c>
      <c r="D214" s="157">
        <v>2014</v>
      </c>
      <c r="E214" s="138">
        <v>41757</v>
      </c>
      <c r="F214" s="222">
        <f t="shared" si="203"/>
        <v>4</v>
      </c>
      <c r="G214" s="222" t="str">
        <f t="shared" si="204"/>
        <v>42014</v>
      </c>
      <c r="H214" s="222" t="str">
        <f t="shared" si="205"/>
        <v>abril</v>
      </c>
      <c r="I214" s="126" t="str">
        <f>VLOOKUP(B214,'Base de Datos'!$E$7:$T$271,14,0)</f>
        <v xml:space="preserve">1 mes   </v>
      </c>
      <c r="J214" s="224" t="e">
        <f t="shared" si="206"/>
        <v>#VALUE!</v>
      </c>
      <c r="K214" s="223" t="e">
        <f t="shared" si="207"/>
        <v>#VALUE!</v>
      </c>
      <c r="L214" s="223" t="e">
        <f t="shared" si="208"/>
        <v>#VALUE!</v>
      </c>
      <c r="M214" s="223" t="str">
        <f t="shared" si="209"/>
        <v xml:space="preserve">1 mes   </v>
      </c>
      <c r="N214" s="223" t="e">
        <f t="shared" ca="1" si="210"/>
        <v>#VALUE!</v>
      </c>
      <c r="O214" s="268" t="e">
        <f t="shared" ca="1" si="211"/>
        <v>#VALUE!</v>
      </c>
      <c r="P214" s="268" t="str">
        <f t="shared" si="220"/>
        <v/>
      </c>
      <c r="Q214" s="268" t="str">
        <f t="shared" si="212"/>
        <v/>
      </c>
      <c r="R214" s="268" t="str">
        <f t="shared" si="213"/>
        <v/>
      </c>
      <c r="S214" s="268" t="str">
        <f t="shared" si="214"/>
        <v/>
      </c>
      <c r="T214" s="268" t="str">
        <f t="shared" si="215"/>
        <v/>
      </c>
      <c r="U214" s="268" t="str">
        <f t="shared" si="216"/>
        <v/>
      </c>
      <c r="V214" s="268" t="str">
        <f t="shared" si="223"/>
        <v/>
      </c>
      <c r="W214" s="268" t="str">
        <f t="shared" si="217"/>
        <v/>
      </c>
      <c r="X214" s="268" t="str">
        <f t="shared" si="218"/>
        <v/>
      </c>
      <c r="Y214" s="268" t="str">
        <f t="shared" si="222"/>
        <v/>
      </c>
      <c r="Z214" s="268" t="str">
        <f t="shared" si="219"/>
        <v/>
      </c>
      <c r="AA214" s="268" t="str">
        <f t="shared" ref="AA214:AA261" si="237">IF(AND(E214&lt;$AA$2,I214&gt;$AA$2),"1","")</f>
        <v/>
      </c>
      <c r="AB214" s="268" t="str">
        <f t="shared" si="228"/>
        <v/>
      </c>
      <c r="AC214" s="268" t="str">
        <f t="shared" si="235"/>
        <v/>
      </c>
      <c r="AD214" s="268" t="str">
        <f t="shared" si="178"/>
        <v/>
      </c>
      <c r="AE214" s="268" t="str">
        <f t="shared" si="181"/>
        <v/>
      </c>
      <c r="AF214" s="268" t="str">
        <f t="shared" si="188"/>
        <v/>
      </c>
      <c r="AG214" s="268" t="str">
        <f t="shared" si="195"/>
        <v/>
      </c>
      <c r="AH214" s="268" t="str">
        <f t="shared" si="200"/>
        <v/>
      </c>
      <c r="AI214" s="268" t="str">
        <f t="shared" si="201"/>
        <v/>
      </c>
      <c r="AJ214" s="268" t="str">
        <f t="shared" si="224"/>
        <v/>
      </c>
      <c r="AK214" s="268" t="str">
        <f t="shared" si="229"/>
        <v/>
      </c>
      <c r="AL214" s="268" t="str">
        <f t="shared" si="232"/>
        <v/>
      </c>
      <c r="AM214" s="268" t="str">
        <f t="shared" si="236"/>
        <v/>
      </c>
      <c r="AN214" s="223" t="str">
        <f t="shared" si="225"/>
        <v/>
      </c>
      <c r="AO214" s="223" t="str">
        <f t="shared" si="230"/>
        <v/>
      </c>
      <c r="AP214" s="223" t="str">
        <f t="shared" si="198"/>
        <v/>
      </c>
      <c r="AQ214" s="223" t="str">
        <f t="shared" si="202"/>
        <v>1</v>
      </c>
      <c r="AR214" s="223" t="str">
        <f t="shared" si="226"/>
        <v>1</v>
      </c>
      <c r="AS214" s="223" t="str">
        <f t="shared" si="233"/>
        <v>1</v>
      </c>
      <c r="AT214" s="223" t="str">
        <f t="shared" si="234"/>
        <v>1</v>
      </c>
      <c r="AU214" s="223" t="str">
        <f t="shared" si="199"/>
        <v>1</v>
      </c>
      <c r="AV214" s="223" t="str">
        <f t="shared" si="221"/>
        <v>1</v>
      </c>
      <c r="AW214" s="223" t="str">
        <f t="shared" si="227"/>
        <v>1</v>
      </c>
      <c r="AX214" s="223" t="str">
        <f t="shared" si="231"/>
        <v>1</v>
      </c>
      <c r="AY214" s="223" t="str">
        <f t="shared" si="197"/>
        <v>1</v>
      </c>
    </row>
    <row r="215" spans="1:51" x14ac:dyDescent="0.25">
      <c r="A215" s="214">
        <v>213</v>
      </c>
      <c r="B215" s="262" t="str">
        <f>+'Base de Datos'!E251</f>
        <v>140315-0-2014</v>
      </c>
      <c r="C215" s="238" t="str">
        <f>+'Base de Datos'!F251</f>
        <v>PROSEGUR TECNOLOGÍA S.A.S.</v>
      </c>
      <c r="D215" s="238">
        <f>YEAR(E215)</f>
        <v>2014</v>
      </c>
      <c r="E215" s="239">
        <f>+'Base de Datos'!M251</f>
        <v>41941</v>
      </c>
      <c r="F215" s="222">
        <f t="shared" si="203"/>
        <v>10</v>
      </c>
      <c r="G215" s="222" t="str">
        <f t="shared" si="204"/>
        <v>102014</v>
      </c>
      <c r="H215" s="222" t="str">
        <f t="shared" si="205"/>
        <v>octubre</v>
      </c>
      <c r="I215" s="126" t="str">
        <f>VLOOKUP(B215,'Base de Datos'!$E$7:$T$271,14,0)</f>
        <v>5 meses</v>
      </c>
      <c r="J215" s="224" t="e">
        <f t="shared" si="206"/>
        <v>#VALUE!</v>
      </c>
      <c r="K215" s="223" t="e">
        <f t="shared" si="207"/>
        <v>#VALUE!</v>
      </c>
      <c r="L215" s="223" t="e">
        <f t="shared" si="208"/>
        <v>#VALUE!</v>
      </c>
      <c r="M215" s="223" t="str">
        <f t="shared" si="209"/>
        <v>5 meses</v>
      </c>
      <c r="N215" s="223" t="e">
        <f t="shared" ca="1" si="210"/>
        <v>#VALUE!</v>
      </c>
      <c r="O215" s="268" t="e">
        <f t="shared" ca="1" si="211"/>
        <v>#VALUE!</v>
      </c>
      <c r="P215" s="268" t="str">
        <f t="shared" si="220"/>
        <v/>
      </c>
      <c r="Q215" s="268" t="str">
        <f t="shared" si="212"/>
        <v/>
      </c>
      <c r="R215" s="268" t="str">
        <f t="shared" si="213"/>
        <v/>
      </c>
      <c r="S215" s="268" t="str">
        <f t="shared" si="214"/>
        <v/>
      </c>
      <c r="T215" s="268" t="str">
        <f t="shared" si="215"/>
        <v/>
      </c>
      <c r="U215" s="268" t="str">
        <f t="shared" si="216"/>
        <v/>
      </c>
      <c r="V215" s="268" t="str">
        <f t="shared" si="223"/>
        <v/>
      </c>
      <c r="W215" s="268" t="str">
        <f t="shared" si="217"/>
        <v/>
      </c>
      <c r="X215" s="268" t="str">
        <f t="shared" si="218"/>
        <v/>
      </c>
      <c r="Y215" s="268" t="str">
        <f t="shared" si="222"/>
        <v/>
      </c>
      <c r="Z215" s="268" t="str">
        <f t="shared" si="219"/>
        <v/>
      </c>
      <c r="AA215" s="268" t="str">
        <f t="shared" si="237"/>
        <v/>
      </c>
      <c r="AB215" s="268" t="str">
        <f t="shared" si="228"/>
        <v/>
      </c>
      <c r="AC215" s="268" t="str">
        <f t="shared" si="235"/>
        <v/>
      </c>
      <c r="AD215" s="268" t="str">
        <f t="shared" si="178"/>
        <v/>
      </c>
      <c r="AE215" s="268" t="str">
        <f t="shared" si="181"/>
        <v/>
      </c>
      <c r="AF215" s="268" t="str">
        <f t="shared" si="188"/>
        <v/>
      </c>
      <c r="AG215" s="268" t="str">
        <f t="shared" si="195"/>
        <v/>
      </c>
      <c r="AH215" s="268" t="str">
        <f t="shared" si="200"/>
        <v/>
      </c>
      <c r="AI215" s="268" t="str">
        <f t="shared" si="201"/>
        <v/>
      </c>
      <c r="AJ215" s="268" t="str">
        <f t="shared" si="224"/>
        <v/>
      </c>
      <c r="AK215" s="268" t="str">
        <f t="shared" si="229"/>
        <v/>
      </c>
      <c r="AL215" s="268" t="str">
        <f t="shared" si="232"/>
        <v/>
      </c>
      <c r="AM215" s="268" t="str">
        <f t="shared" si="236"/>
        <v/>
      </c>
      <c r="AN215" s="223" t="str">
        <f t="shared" si="225"/>
        <v/>
      </c>
      <c r="AO215" s="223" t="str">
        <f t="shared" si="230"/>
        <v/>
      </c>
      <c r="AP215" s="223" t="str">
        <f t="shared" si="198"/>
        <v/>
      </c>
      <c r="AQ215" s="223" t="str">
        <f t="shared" si="202"/>
        <v/>
      </c>
      <c r="AR215" s="223" t="str">
        <f t="shared" si="226"/>
        <v/>
      </c>
      <c r="AS215" s="223" t="str">
        <f t="shared" si="233"/>
        <v/>
      </c>
      <c r="AT215" s="223" t="str">
        <f t="shared" si="234"/>
        <v/>
      </c>
      <c r="AU215" s="223" t="str">
        <f t="shared" si="199"/>
        <v/>
      </c>
      <c r="AV215" s="223" t="str">
        <f t="shared" si="221"/>
        <v/>
      </c>
      <c r="AW215" s="223" t="str">
        <f t="shared" si="227"/>
        <v>1</v>
      </c>
      <c r="AX215" s="223" t="str">
        <f t="shared" si="231"/>
        <v>1</v>
      </c>
      <c r="AY215" s="223" t="str">
        <f t="shared" si="197"/>
        <v>1</v>
      </c>
    </row>
    <row r="216" spans="1:51" x14ac:dyDescent="0.25">
      <c r="A216" s="214">
        <v>214</v>
      </c>
      <c r="B216" s="251" t="s">
        <v>294</v>
      </c>
      <c r="C216" s="132" t="s">
        <v>295</v>
      </c>
      <c r="D216" s="157">
        <v>2014</v>
      </c>
      <c r="E216" s="138">
        <v>41821</v>
      </c>
      <c r="F216" s="222">
        <f t="shared" si="203"/>
        <v>7</v>
      </c>
      <c r="G216" s="222" t="str">
        <f t="shared" si="204"/>
        <v>72014</v>
      </c>
      <c r="H216" s="222" t="str">
        <f t="shared" si="205"/>
        <v>julio</v>
      </c>
      <c r="I216" s="126" t="str">
        <f>VLOOKUP(B216,'Base de Datos'!$E$7:$T$271,14,0)</f>
        <v>3 meses</v>
      </c>
      <c r="J216" s="224" t="e">
        <f t="shared" si="206"/>
        <v>#VALUE!</v>
      </c>
      <c r="K216" s="223" t="e">
        <f t="shared" si="207"/>
        <v>#VALUE!</v>
      </c>
      <c r="L216" s="223" t="e">
        <f t="shared" si="208"/>
        <v>#VALUE!</v>
      </c>
      <c r="M216" s="223" t="str">
        <f t="shared" si="209"/>
        <v>3 meses</v>
      </c>
      <c r="N216" s="223" t="e">
        <f t="shared" ca="1" si="210"/>
        <v>#VALUE!</v>
      </c>
      <c r="O216" s="268" t="e">
        <f t="shared" ca="1" si="211"/>
        <v>#VALUE!</v>
      </c>
      <c r="P216" s="268" t="str">
        <f t="shared" si="220"/>
        <v/>
      </c>
      <c r="Q216" s="268" t="str">
        <f t="shared" si="212"/>
        <v/>
      </c>
      <c r="R216" s="268" t="str">
        <f t="shared" si="213"/>
        <v/>
      </c>
      <c r="S216" s="268" t="str">
        <f t="shared" si="214"/>
        <v/>
      </c>
      <c r="T216" s="268" t="str">
        <f t="shared" si="215"/>
        <v/>
      </c>
      <c r="U216" s="268" t="str">
        <f t="shared" si="216"/>
        <v/>
      </c>
      <c r="V216" s="268" t="str">
        <f t="shared" si="223"/>
        <v/>
      </c>
      <c r="W216" s="268" t="str">
        <f t="shared" si="217"/>
        <v/>
      </c>
      <c r="X216" s="268" t="str">
        <f t="shared" si="218"/>
        <v/>
      </c>
      <c r="Y216" s="268" t="str">
        <f t="shared" si="222"/>
        <v/>
      </c>
      <c r="Z216" s="268" t="str">
        <f t="shared" si="219"/>
        <v/>
      </c>
      <c r="AA216" s="268" t="str">
        <f t="shared" si="237"/>
        <v/>
      </c>
      <c r="AB216" s="268" t="str">
        <f t="shared" si="228"/>
        <v/>
      </c>
      <c r="AC216" s="268" t="str">
        <f t="shared" si="235"/>
        <v/>
      </c>
      <c r="AD216" s="268" t="str">
        <f t="shared" si="178"/>
        <v/>
      </c>
      <c r="AE216" s="268" t="str">
        <f t="shared" si="181"/>
        <v/>
      </c>
      <c r="AF216" s="268" t="str">
        <f t="shared" si="188"/>
        <v/>
      </c>
      <c r="AG216" s="268" t="str">
        <f t="shared" si="195"/>
        <v/>
      </c>
      <c r="AH216" s="268" t="str">
        <f t="shared" si="200"/>
        <v/>
      </c>
      <c r="AI216" s="268" t="str">
        <f t="shared" si="201"/>
        <v/>
      </c>
      <c r="AJ216" s="268" t="str">
        <f t="shared" si="224"/>
        <v/>
      </c>
      <c r="AK216" s="268" t="str">
        <f t="shared" si="229"/>
        <v/>
      </c>
      <c r="AL216" s="268" t="str">
        <f t="shared" si="232"/>
        <v/>
      </c>
      <c r="AM216" s="268" t="str">
        <f t="shared" si="236"/>
        <v/>
      </c>
      <c r="AN216" s="223" t="str">
        <f t="shared" si="225"/>
        <v/>
      </c>
      <c r="AO216" s="223" t="str">
        <f t="shared" si="230"/>
        <v/>
      </c>
      <c r="AP216" s="223" t="str">
        <f t="shared" si="198"/>
        <v/>
      </c>
      <c r="AQ216" s="223" t="str">
        <f t="shared" si="202"/>
        <v/>
      </c>
      <c r="AR216" s="223" t="str">
        <f t="shared" si="226"/>
        <v/>
      </c>
      <c r="AS216" s="223" t="str">
        <f t="shared" si="233"/>
        <v/>
      </c>
      <c r="AT216" s="223" t="str">
        <f t="shared" si="234"/>
        <v>1</v>
      </c>
      <c r="AU216" s="223" t="str">
        <f t="shared" si="199"/>
        <v>1</v>
      </c>
      <c r="AV216" s="223" t="str">
        <f t="shared" si="221"/>
        <v>1</v>
      </c>
      <c r="AW216" s="223" t="str">
        <f t="shared" si="227"/>
        <v>1</v>
      </c>
      <c r="AX216" s="223" t="str">
        <f t="shared" si="231"/>
        <v>1</v>
      </c>
      <c r="AY216" s="223" t="str">
        <f t="shared" ref="AY216:AY247" si="238">IF(AND(E216&lt;$AY$2,I216&gt;$AY$2),"1","")</f>
        <v>1</v>
      </c>
    </row>
    <row r="217" spans="1:51" ht="22.5" x14ac:dyDescent="0.25">
      <c r="A217" s="214">
        <v>215</v>
      </c>
      <c r="B217" s="251" t="s">
        <v>268</v>
      </c>
      <c r="C217" s="132" t="s">
        <v>269</v>
      </c>
      <c r="D217" s="157">
        <v>2014</v>
      </c>
      <c r="E217" s="138">
        <v>41732</v>
      </c>
      <c r="F217" s="222">
        <f t="shared" si="203"/>
        <v>4</v>
      </c>
      <c r="G217" s="222" t="str">
        <f t="shared" si="204"/>
        <v>42014</v>
      </c>
      <c r="H217" s="222" t="str">
        <f t="shared" si="205"/>
        <v>abril</v>
      </c>
      <c r="I217" s="126" t="str">
        <f>VLOOKUP(B217,'Base de Datos'!$E$7:$T$271,14,0)</f>
        <v/>
      </c>
      <c r="J217" s="224" t="e">
        <f t="shared" si="206"/>
        <v>#VALUE!</v>
      </c>
      <c r="K217" s="223" t="e">
        <f t="shared" si="207"/>
        <v>#VALUE!</v>
      </c>
      <c r="L217" s="223" t="e">
        <f t="shared" si="208"/>
        <v>#VALUE!</v>
      </c>
      <c r="M217" s="223" t="str">
        <f t="shared" si="209"/>
        <v/>
      </c>
      <c r="N217" s="223" t="e">
        <f t="shared" ca="1" si="210"/>
        <v>#VALUE!</v>
      </c>
      <c r="O217" s="268" t="e">
        <f t="shared" ca="1" si="211"/>
        <v>#VALUE!</v>
      </c>
      <c r="P217" s="268" t="str">
        <f t="shared" si="220"/>
        <v/>
      </c>
      <c r="Q217" s="268" t="str">
        <f t="shared" si="212"/>
        <v/>
      </c>
      <c r="R217" s="268" t="str">
        <f t="shared" si="213"/>
        <v/>
      </c>
      <c r="S217" s="268" t="str">
        <f t="shared" si="214"/>
        <v/>
      </c>
      <c r="T217" s="268" t="str">
        <f t="shared" si="215"/>
        <v/>
      </c>
      <c r="U217" s="268" t="str">
        <f t="shared" si="216"/>
        <v/>
      </c>
      <c r="V217" s="268" t="str">
        <f t="shared" si="223"/>
        <v/>
      </c>
      <c r="W217" s="268" t="str">
        <f t="shared" si="217"/>
        <v/>
      </c>
      <c r="X217" s="268" t="str">
        <f t="shared" si="218"/>
        <v/>
      </c>
      <c r="Y217" s="268" t="str">
        <f t="shared" si="222"/>
        <v/>
      </c>
      <c r="Z217" s="268" t="str">
        <f t="shared" si="219"/>
        <v/>
      </c>
      <c r="AA217" s="268" t="str">
        <f t="shared" si="237"/>
        <v/>
      </c>
      <c r="AB217" s="268" t="str">
        <f t="shared" si="228"/>
        <v/>
      </c>
      <c r="AC217" s="268" t="str">
        <f t="shared" si="235"/>
        <v/>
      </c>
      <c r="AD217" s="268" t="str">
        <f t="shared" si="178"/>
        <v/>
      </c>
      <c r="AE217" s="268" t="str">
        <f t="shared" si="181"/>
        <v/>
      </c>
      <c r="AF217" s="268" t="str">
        <f t="shared" si="188"/>
        <v/>
      </c>
      <c r="AG217" s="268" t="str">
        <f t="shared" si="195"/>
        <v/>
      </c>
      <c r="AH217" s="268" t="str">
        <f t="shared" si="200"/>
        <v/>
      </c>
      <c r="AI217" s="268" t="str">
        <f t="shared" si="201"/>
        <v/>
      </c>
      <c r="AJ217" s="268" t="str">
        <f t="shared" si="224"/>
        <v/>
      </c>
      <c r="AK217" s="268" t="str">
        <f t="shared" si="229"/>
        <v/>
      </c>
      <c r="AL217" s="268" t="str">
        <f t="shared" si="232"/>
        <v/>
      </c>
      <c r="AM217" s="268" t="str">
        <f t="shared" si="236"/>
        <v/>
      </c>
      <c r="AN217" s="223" t="str">
        <f t="shared" si="225"/>
        <v/>
      </c>
      <c r="AO217" s="223" t="str">
        <f t="shared" si="230"/>
        <v/>
      </c>
      <c r="AP217" s="223" t="str">
        <f t="shared" si="198"/>
        <v/>
      </c>
      <c r="AQ217" s="223" t="str">
        <f t="shared" si="202"/>
        <v>1</v>
      </c>
      <c r="AR217" s="223" t="str">
        <f t="shared" si="226"/>
        <v>1</v>
      </c>
      <c r="AS217" s="223" t="str">
        <f t="shared" si="233"/>
        <v>1</v>
      </c>
      <c r="AT217" s="223" t="str">
        <f t="shared" si="234"/>
        <v>1</v>
      </c>
      <c r="AU217" s="223" t="str">
        <f t="shared" si="199"/>
        <v>1</v>
      </c>
      <c r="AV217" s="223" t="str">
        <f t="shared" si="221"/>
        <v>1</v>
      </c>
      <c r="AW217" s="223" t="str">
        <f t="shared" si="227"/>
        <v>1</v>
      </c>
      <c r="AX217" s="223" t="str">
        <f t="shared" si="231"/>
        <v>1</v>
      </c>
      <c r="AY217" s="223" t="str">
        <f t="shared" si="238"/>
        <v>1</v>
      </c>
    </row>
    <row r="218" spans="1:51" x14ac:dyDescent="0.25">
      <c r="A218" s="214">
        <v>216</v>
      </c>
      <c r="B218" s="251" t="s">
        <v>400</v>
      </c>
      <c r="C218" s="132" t="s">
        <v>198</v>
      </c>
      <c r="D218" s="157">
        <v>2014</v>
      </c>
      <c r="E218" s="138">
        <v>41793</v>
      </c>
      <c r="F218" s="222">
        <f t="shared" si="203"/>
        <v>6</v>
      </c>
      <c r="G218" s="222" t="str">
        <f t="shared" si="204"/>
        <v>62014</v>
      </c>
      <c r="H218" s="222" t="str">
        <f t="shared" si="205"/>
        <v>junio</v>
      </c>
      <c r="I218" s="126" t="str">
        <f>VLOOKUP(B218,'Base de Datos'!$E$7:$T$271,14,0)</f>
        <v/>
      </c>
      <c r="J218" s="224" t="e">
        <f t="shared" si="206"/>
        <v>#VALUE!</v>
      </c>
      <c r="K218" s="223" t="e">
        <f t="shared" si="207"/>
        <v>#VALUE!</v>
      </c>
      <c r="L218" s="223" t="e">
        <f t="shared" si="208"/>
        <v>#VALUE!</v>
      </c>
      <c r="M218" s="223" t="str">
        <f t="shared" si="209"/>
        <v/>
      </c>
      <c r="N218" s="223" t="e">
        <f t="shared" ca="1" si="210"/>
        <v>#VALUE!</v>
      </c>
      <c r="O218" s="268" t="e">
        <f t="shared" ca="1" si="211"/>
        <v>#VALUE!</v>
      </c>
      <c r="P218" s="268" t="str">
        <f t="shared" si="220"/>
        <v/>
      </c>
      <c r="Q218" s="268" t="str">
        <f t="shared" si="212"/>
        <v/>
      </c>
      <c r="R218" s="268" t="str">
        <f t="shared" si="213"/>
        <v/>
      </c>
      <c r="S218" s="268" t="str">
        <f t="shared" si="214"/>
        <v/>
      </c>
      <c r="T218" s="268" t="str">
        <f t="shared" si="215"/>
        <v/>
      </c>
      <c r="U218" s="268" t="str">
        <f t="shared" si="216"/>
        <v/>
      </c>
      <c r="V218" s="268" t="str">
        <f t="shared" si="223"/>
        <v/>
      </c>
      <c r="W218" s="268" t="str">
        <f t="shared" si="217"/>
        <v/>
      </c>
      <c r="X218" s="268" t="str">
        <f t="shared" si="218"/>
        <v/>
      </c>
      <c r="Y218" s="268" t="str">
        <f t="shared" si="222"/>
        <v/>
      </c>
      <c r="Z218" s="268" t="str">
        <f t="shared" si="219"/>
        <v/>
      </c>
      <c r="AA218" s="268" t="str">
        <f t="shared" si="237"/>
        <v/>
      </c>
      <c r="AB218" s="268" t="str">
        <f t="shared" si="228"/>
        <v/>
      </c>
      <c r="AC218" s="268" t="str">
        <f t="shared" si="235"/>
        <v/>
      </c>
      <c r="AD218" s="268" t="str">
        <f t="shared" si="178"/>
        <v/>
      </c>
      <c r="AE218" s="268" t="str">
        <f t="shared" si="181"/>
        <v/>
      </c>
      <c r="AF218" s="268" t="str">
        <f t="shared" si="188"/>
        <v/>
      </c>
      <c r="AG218" s="268" t="str">
        <f t="shared" si="195"/>
        <v/>
      </c>
      <c r="AH218" s="268" t="str">
        <f t="shared" si="200"/>
        <v/>
      </c>
      <c r="AI218" s="268" t="str">
        <f t="shared" si="201"/>
        <v/>
      </c>
      <c r="AJ218" s="268" t="str">
        <f t="shared" si="224"/>
        <v/>
      </c>
      <c r="AK218" s="268" t="str">
        <f t="shared" si="229"/>
        <v/>
      </c>
      <c r="AL218" s="268" t="str">
        <f t="shared" si="232"/>
        <v/>
      </c>
      <c r="AM218" s="268" t="str">
        <f t="shared" si="236"/>
        <v/>
      </c>
      <c r="AN218" s="223" t="str">
        <f t="shared" si="225"/>
        <v/>
      </c>
      <c r="AO218" s="223" t="str">
        <f t="shared" si="230"/>
        <v/>
      </c>
      <c r="AP218" s="223" t="str">
        <f t="shared" ref="AP218:AP249" si="239">IF(AND(E218&lt;$AP$2,I218&gt;$AP$2),"1","")</f>
        <v/>
      </c>
      <c r="AQ218" s="223" t="str">
        <f t="shared" si="202"/>
        <v/>
      </c>
      <c r="AR218" s="223" t="str">
        <f t="shared" si="226"/>
        <v/>
      </c>
      <c r="AS218" s="223" t="str">
        <f t="shared" si="233"/>
        <v>1</v>
      </c>
      <c r="AT218" s="223" t="str">
        <f t="shared" si="234"/>
        <v>1</v>
      </c>
      <c r="AU218" s="223" t="str">
        <f t="shared" ref="AU218:AU249" si="240">IF(AND(E218&lt;$AU$2,I218&gt;$AU$2),"1","")</f>
        <v>1</v>
      </c>
      <c r="AV218" s="223" t="str">
        <f t="shared" si="221"/>
        <v>1</v>
      </c>
      <c r="AW218" s="223" t="str">
        <f t="shared" si="227"/>
        <v>1</v>
      </c>
      <c r="AX218" s="223" t="str">
        <f t="shared" si="231"/>
        <v>1</v>
      </c>
      <c r="AY218" s="223" t="str">
        <f t="shared" si="238"/>
        <v>1</v>
      </c>
    </row>
    <row r="219" spans="1:51" ht="22.5" x14ac:dyDescent="0.25">
      <c r="A219" s="214">
        <v>217</v>
      </c>
      <c r="B219" s="251" t="s">
        <v>187</v>
      </c>
      <c r="C219" s="132" t="s">
        <v>188</v>
      </c>
      <c r="D219" s="141">
        <v>2013</v>
      </c>
      <c r="E219" s="138">
        <v>41523</v>
      </c>
      <c r="F219" s="222">
        <f t="shared" si="203"/>
        <v>9</v>
      </c>
      <c r="G219" s="222" t="str">
        <f t="shared" si="204"/>
        <v>92013</v>
      </c>
      <c r="H219" s="222" t="str">
        <f t="shared" si="205"/>
        <v>septiembre</v>
      </c>
      <c r="I219" s="126" t="str">
        <f>VLOOKUP(B219,'Base de Datos'!$E$7:$T$271,14,0)</f>
        <v>11 meses</v>
      </c>
      <c r="J219" s="224" t="e">
        <f t="shared" si="206"/>
        <v>#VALUE!</v>
      </c>
      <c r="K219" s="223" t="e">
        <f t="shared" si="207"/>
        <v>#VALUE!</v>
      </c>
      <c r="L219" s="223" t="e">
        <f t="shared" si="208"/>
        <v>#VALUE!</v>
      </c>
      <c r="M219" s="223" t="str">
        <f t="shared" si="209"/>
        <v>11 meses</v>
      </c>
      <c r="N219" s="223" t="e">
        <f t="shared" ca="1" si="210"/>
        <v>#VALUE!</v>
      </c>
      <c r="O219" s="268" t="e">
        <f t="shared" ca="1" si="211"/>
        <v>#VALUE!</v>
      </c>
      <c r="P219" s="268" t="str">
        <f t="shared" si="220"/>
        <v/>
      </c>
      <c r="Q219" s="268" t="str">
        <f t="shared" si="212"/>
        <v/>
      </c>
      <c r="R219" s="268" t="str">
        <f t="shared" si="213"/>
        <v/>
      </c>
      <c r="S219" s="268" t="str">
        <f t="shared" si="214"/>
        <v/>
      </c>
      <c r="T219" s="268" t="str">
        <f t="shared" si="215"/>
        <v/>
      </c>
      <c r="U219" s="268" t="str">
        <f t="shared" si="216"/>
        <v/>
      </c>
      <c r="V219" s="268" t="str">
        <f t="shared" si="223"/>
        <v/>
      </c>
      <c r="W219" s="268" t="str">
        <f t="shared" si="217"/>
        <v/>
      </c>
      <c r="X219" s="268" t="str">
        <f t="shared" si="218"/>
        <v/>
      </c>
      <c r="Y219" s="268" t="str">
        <f t="shared" si="222"/>
        <v/>
      </c>
      <c r="Z219" s="268" t="str">
        <f t="shared" si="219"/>
        <v/>
      </c>
      <c r="AA219" s="268" t="str">
        <f t="shared" si="237"/>
        <v/>
      </c>
      <c r="AB219" s="268" t="str">
        <f t="shared" si="228"/>
        <v/>
      </c>
      <c r="AC219" s="268" t="str">
        <f t="shared" si="235"/>
        <v/>
      </c>
      <c r="AD219" s="268" t="str">
        <f t="shared" si="178"/>
        <v/>
      </c>
      <c r="AE219" s="268" t="str">
        <f t="shared" si="181"/>
        <v/>
      </c>
      <c r="AF219" s="268" t="str">
        <f t="shared" si="188"/>
        <v/>
      </c>
      <c r="AG219" s="268" t="str">
        <f t="shared" si="195"/>
        <v/>
      </c>
      <c r="AH219" s="268" t="str">
        <f t="shared" si="200"/>
        <v/>
      </c>
      <c r="AI219" s="268" t="str">
        <f t="shared" si="201"/>
        <v/>
      </c>
      <c r="AJ219" s="268" t="str">
        <f t="shared" si="224"/>
        <v>1</v>
      </c>
      <c r="AK219" s="268" t="str">
        <f t="shared" si="229"/>
        <v>1</v>
      </c>
      <c r="AL219" s="268" t="str">
        <f t="shared" si="232"/>
        <v>1</v>
      </c>
      <c r="AM219" s="268" t="str">
        <f t="shared" si="236"/>
        <v>1</v>
      </c>
      <c r="AN219" s="223" t="str">
        <f t="shared" si="225"/>
        <v>1</v>
      </c>
      <c r="AO219" s="223" t="str">
        <f t="shared" si="230"/>
        <v>1</v>
      </c>
      <c r="AP219" s="223" t="str">
        <f t="shared" si="239"/>
        <v>1</v>
      </c>
      <c r="AQ219" s="223" t="str">
        <f t="shared" si="202"/>
        <v>1</v>
      </c>
      <c r="AR219" s="223" t="str">
        <f t="shared" si="226"/>
        <v>1</v>
      </c>
      <c r="AS219" s="223" t="str">
        <f t="shared" si="233"/>
        <v>1</v>
      </c>
      <c r="AT219" s="223" t="str">
        <f t="shared" si="234"/>
        <v>1</v>
      </c>
      <c r="AU219" s="223" t="str">
        <f t="shared" si="240"/>
        <v>1</v>
      </c>
      <c r="AV219" s="223" t="str">
        <f t="shared" si="221"/>
        <v>1</v>
      </c>
      <c r="AW219" s="223" t="str">
        <f t="shared" si="227"/>
        <v>1</v>
      </c>
      <c r="AX219" s="223" t="str">
        <f t="shared" si="231"/>
        <v>1</v>
      </c>
      <c r="AY219" s="223" t="str">
        <f t="shared" si="238"/>
        <v>1</v>
      </c>
    </row>
    <row r="220" spans="1:51" x14ac:dyDescent="0.25">
      <c r="A220" s="214">
        <v>218</v>
      </c>
      <c r="B220" s="259" t="s">
        <v>288</v>
      </c>
      <c r="C220" s="164" t="s">
        <v>12</v>
      </c>
      <c r="D220" s="167">
        <v>2014</v>
      </c>
      <c r="E220" s="168">
        <v>41738</v>
      </c>
      <c r="F220" s="222">
        <f t="shared" si="203"/>
        <v>4</v>
      </c>
      <c r="G220" s="222" t="str">
        <f t="shared" si="204"/>
        <v>42014</v>
      </c>
      <c r="H220" s="222" t="str">
        <f t="shared" si="205"/>
        <v>abril</v>
      </c>
      <c r="I220" s="126" t="str">
        <f>VLOOKUP(B220,'Base de Datos'!$E$7:$T$271,14,0)</f>
        <v/>
      </c>
      <c r="J220" s="224" t="e">
        <f t="shared" si="206"/>
        <v>#VALUE!</v>
      </c>
      <c r="K220" s="223" t="e">
        <f t="shared" si="207"/>
        <v>#VALUE!</v>
      </c>
      <c r="L220" s="223" t="e">
        <f t="shared" si="208"/>
        <v>#VALUE!</v>
      </c>
      <c r="M220" s="223" t="str">
        <f t="shared" si="209"/>
        <v/>
      </c>
      <c r="N220" s="223" t="e">
        <f t="shared" ca="1" si="210"/>
        <v>#VALUE!</v>
      </c>
      <c r="O220" s="268" t="e">
        <f t="shared" ca="1" si="211"/>
        <v>#VALUE!</v>
      </c>
      <c r="P220" s="268" t="str">
        <f t="shared" si="220"/>
        <v/>
      </c>
      <c r="Q220" s="268" t="str">
        <f t="shared" si="212"/>
        <v/>
      </c>
      <c r="R220" s="268" t="str">
        <f t="shared" si="213"/>
        <v/>
      </c>
      <c r="S220" s="268" t="str">
        <f t="shared" si="214"/>
        <v/>
      </c>
      <c r="T220" s="268" t="str">
        <f t="shared" si="215"/>
        <v/>
      </c>
      <c r="U220" s="268" t="str">
        <f t="shared" si="216"/>
        <v/>
      </c>
      <c r="V220" s="268" t="str">
        <f t="shared" si="223"/>
        <v/>
      </c>
      <c r="W220" s="268" t="str">
        <f t="shared" si="217"/>
        <v/>
      </c>
      <c r="X220" s="268" t="str">
        <f t="shared" si="218"/>
        <v/>
      </c>
      <c r="Y220" s="268" t="str">
        <f t="shared" si="222"/>
        <v/>
      </c>
      <c r="Z220" s="268" t="str">
        <f t="shared" si="219"/>
        <v/>
      </c>
      <c r="AA220" s="268" t="str">
        <f t="shared" si="237"/>
        <v/>
      </c>
      <c r="AB220" s="268" t="str">
        <f t="shared" si="228"/>
        <v/>
      </c>
      <c r="AC220" s="268" t="str">
        <f t="shared" si="235"/>
        <v/>
      </c>
      <c r="AD220" s="268" t="str">
        <f t="shared" si="178"/>
        <v/>
      </c>
      <c r="AE220" s="268" t="str">
        <f t="shared" si="181"/>
        <v/>
      </c>
      <c r="AF220" s="268" t="str">
        <f t="shared" si="188"/>
        <v/>
      </c>
      <c r="AG220" s="268" t="str">
        <f t="shared" si="195"/>
        <v/>
      </c>
      <c r="AH220" s="268" t="str">
        <f t="shared" si="200"/>
        <v/>
      </c>
      <c r="AI220" s="268" t="str">
        <f t="shared" si="201"/>
        <v/>
      </c>
      <c r="AJ220" s="268" t="str">
        <f t="shared" si="224"/>
        <v/>
      </c>
      <c r="AK220" s="268" t="str">
        <f t="shared" si="229"/>
        <v/>
      </c>
      <c r="AL220" s="268" t="str">
        <f t="shared" si="232"/>
        <v/>
      </c>
      <c r="AM220" s="268" t="str">
        <f t="shared" si="236"/>
        <v/>
      </c>
      <c r="AN220" s="223" t="str">
        <f t="shared" si="225"/>
        <v/>
      </c>
      <c r="AO220" s="223" t="str">
        <f t="shared" si="230"/>
        <v/>
      </c>
      <c r="AP220" s="223" t="str">
        <f t="shared" si="239"/>
        <v/>
      </c>
      <c r="AQ220" s="223" t="str">
        <f t="shared" si="202"/>
        <v>1</v>
      </c>
      <c r="AR220" s="223" t="str">
        <f t="shared" si="226"/>
        <v>1</v>
      </c>
      <c r="AS220" s="223" t="str">
        <f t="shared" si="233"/>
        <v>1</v>
      </c>
      <c r="AT220" s="223" t="str">
        <f t="shared" si="234"/>
        <v>1</v>
      </c>
      <c r="AU220" s="223" t="str">
        <f t="shared" si="240"/>
        <v>1</v>
      </c>
      <c r="AV220" s="223" t="str">
        <f t="shared" si="221"/>
        <v>1</v>
      </c>
      <c r="AW220" s="223" t="str">
        <f t="shared" si="227"/>
        <v>1</v>
      </c>
      <c r="AX220" s="223" t="str">
        <f t="shared" si="231"/>
        <v>1</v>
      </c>
      <c r="AY220" s="223" t="str">
        <f t="shared" si="238"/>
        <v>1</v>
      </c>
    </row>
    <row r="221" spans="1:51" ht="33.75" x14ac:dyDescent="0.25">
      <c r="A221" s="214">
        <v>219</v>
      </c>
      <c r="B221" s="403" t="s">
        <v>1110</v>
      </c>
      <c r="C221" s="407" t="s">
        <v>1111</v>
      </c>
      <c r="D221" s="167">
        <v>2014</v>
      </c>
      <c r="E221" s="411">
        <v>41921</v>
      </c>
      <c r="F221" s="222">
        <f t="shared" si="203"/>
        <v>10</v>
      </c>
      <c r="G221" s="222" t="str">
        <f t="shared" si="204"/>
        <v>102014</v>
      </c>
      <c r="H221" s="222" t="str">
        <f t="shared" si="205"/>
        <v>octubre</v>
      </c>
      <c r="I221" s="126" t="str">
        <f>VLOOKUP(B221,'Base de Datos'!$E$7:$T$271,14,0)</f>
        <v>13 días</v>
      </c>
      <c r="J221" s="224" t="e">
        <f t="shared" si="206"/>
        <v>#VALUE!</v>
      </c>
      <c r="K221" s="223" t="e">
        <f t="shared" si="207"/>
        <v>#VALUE!</v>
      </c>
      <c r="L221" s="223" t="e">
        <f t="shared" si="208"/>
        <v>#VALUE!</v>
      </c>
      <c r="M221" s="223" t="str">
        <f t="shared" si="209"/>
        <v>13 días</v>
      </c>
      <c r="N221" s="223" t="e">
        <f t="shared" ca="1" si="210"/>
        <v>#VALUE!</v>
      </c>
      <c r="O221" s="268" t="e">
        <f t="shared" ca="1" si="211"/>
        <v>#VALUE!</v>
      </c>
      <c r="P221" s="268" t="str">
        <f t="shared" si="220"/>
        <v/>
      </c>
      <c r="Q221" s="268" t="str">
        <f t="shared" si="212"/>
        <v/>
      </c>
      <c r="R221" s="268" t="str">
        <f t="shared" si="213"/>
        <v/>
      </c>
      <c r="S221" s="268" t="str">
        <f t="shared" si="214"/>
        <v/>
      </c>
      <c r="T221" s="268" t="str">
        <f t="shared" si="215"/>
        <v/>
      </c>
      <c r="U221" s="268" t="str">
        <f t="shared" si="216"/>
        <v/>
      </c>
      <c r="V221" s="268" t="str">
        <f t="shared" si="223"/>
        <v/>
      </c>
      <c r="W221" s="268" t="str">
        <f t="shared" si="217"/>
        <v/>
      </c>
      <c r="X221" s="268" t="str">
        <f t="shared" si="218"/>
        <v/>
      </c>
      <c r="Y221" s="268" t="str">
        <f t="shared" si="222"/>
        <v/>
      </c>
      <c r="Z221" s="268" t="str">
        <f t="shared" si="219"/>
        <v/>
      </c>
      <c r="AA221" s="268" t="str">
        <f t="shared" si="237"/>
        <v/>
      </c>
      <c r="AB221" s="268" t="str">
        <f t="shared" si="228"/>
        <v/>
      </c>
      <c r="AC221" s="268" t="str">
        <f t="shared" si="235"/>
        <v/>
      </c>
      <c r="AD221" s="268" t="str">
        <f t="shared" si="178"/>
        <v/>
      </c>
      <c r="AE221" s="268" t="str">
        <f t="shared" si="181"/>
        <v/>
      </c>
      <c r="AF221" s="268" t="str">
        <f t="shared" si="188"/>
        <v/>
      </c>
      <c r="AG221" s="268" t="str">
        <f t="shared" si="195"/>
        <v/>
      </c>
      <c r="AH221" s="268" t="str">
        <f t="shared" si="200"/>
        <v/>
      </c>
      <c r="AI221" s="268" t="str">
        <f t="shared" si="201"/>
        <v/>
      </c>
      <c r="AJ221" s="268" t="str">
        <f t="shared" si="224"/>
        <v/>
      </c>
      <c r="AK221" s="268" t="str">
        <f t="shared" si="229"/>
        <v/>
      </c>
      <c r="AL221" s="268" t="str">
        <f t="shared" si="232"/>
        <v/>
      </c>
      <c r="AM221" s="268" t="str">
        <f t="shared" si="236"/>
        <v/>
      </c>
      <c r="AN221" s="223" t="str">
        <f t="shared" si="225"/>
        <v/>
      </c>
      <c r="AO221" s="223" t="str">
        <f t="shared" si="230"/>
        <v/>
      </c>
      <c r="AP221" s="223" t="str">
        <f t="shared" si="239"/>
        <v/>
      </c>
      <c r="AQ221" s="223" t="str">
        <f t="shared" si="202"/>
        <v/>
      </c>
      <c r="AR221" s="223" t="str">
        <f t="shared" si="226"/>
        <v/>
      </c>
      <c r="AS221" s="223" t="str">
        <f t="shared" si="233"/>
        <v/>
      </c>
      <c r="AT221" s="223" t="str">
        <f t="shared" si="234"/>
        <v/>
      </c>
      <c r="AU221" s="223" t="str">
        <f t="shared" si="240"/>
        <v/>
      </c>
      <c r="AV221" s="223" t="str">
        <f t="shared" si="221"/>
        <v/>
      </c>
      <c r="AW221" s="223" t="str">
        <f t="shared" si="227"/>
        <v>1</v>
      </c>
      <c r="AX221" s="223" t="str">
        <f t="shared" si="231"/>
        <v>1</v>
      </c>
      <c r="AY221" s="223" t="str">
        <f t="shared" si="238"/>
        <v>1</v>
      </c>
    </row>
    <row r="222" spans="1:51" x14ac:dyDescent="0.25">
      <c r="A222" s="214">
        <v>220</v>
      </c>
      <c r="B222" s="404" t="str">
        <f>+'Base de Datos'!E263</f>
        <v>140377-0-2014</v>
      </c>
      <c r="C222" s="408" t="str">
        <f>+'Base de Datos'!F263</f>
        <v>GAMMA INGENIEROS S A</v>
      </c>
      <c r="D222" s="408">
        <f>YEAR(E222)</f>
        <v>2015</v>
      </c>
      <c r="E222" s="412">
        <f>+'Base de Datos'!M263</f>
        <v>42023</v>
      </c>
      <c r="F222" s="222">
        <f t="shared" si="203"/>
        <v>1</v>
      </c>
      <c r="G222" s="222" t="str">
        <f t="shared" si="204"/>
        <v>12015</v>
      </c>
      <c r="H222" s="222" t="str">
        <f t="shared" si="205"/>
        <v>enero</v>
      </c>
      <c r="I222" s="126" t="str">
        <f>VLOOKUP(B222,'Base de Datos'!$E$7:$T$271,14,0)</f>
        <v/>
      </c>
      <c r="J222" s="224" t="e">
        <f t="shared" si="206"/>
        <v>#VALUE!</v>
      </c>
      <c r="K222" s="223" t="e">
        <f t="shared" si="207"/>
        <v>#VALUE!</v>
      </c>
      <c r="L222" s="223" t="e">
        <f t="shared" si="208"/>
        <v>#VALUE!</v>
      </c>
      <c r="M222" s="223" t="str">
        <f t="shared" si="209"/>
        <v/>
      </c>
      <c r="N222" s="223" t="e">
        <f t="shared" ca="1" si="210"/>
        <v>#VALUE!</v>
      </c>
      <c r="O222" s="268" t="e">
        <f t="shared" ca="1" si="211"/>
        <v>#VALUE!</v>
      </c>
      <c r="P222" s="268" t="str">
        <f t="shared" si="220"/>
        <v/>
      </c>
      <c r="Q222" s="268" t="str">
        <f t="shared" si="212"/>
        <v/>
      </c>
      <c r="R222" s="268" t="str">
        <f t="shared" si="213"/>
        <v/>
      </c>
      <c r="S222" s="268" t="str">
        <f t="shared" si="214"/>
        <v/>
      </c>
      <c r="T222" s="268" t="str">
        <f t="shared" si="215"/>
        <v/>
      </c>
      <c r="U222" s="268" t="str">
        <f t="shared" si="216"/>
        <v/>
      </c>
      <c r="V222" s="268" t="str">
        <f t="shared" si="223"/>
        <v/>
      </c>
      <c r="W222" s="268" t="str">
        <f t="shared" si="217"/>
        <v/>
      </c>
      <c r="X222" s="268" t="str">
        <f t="shared" si="218"/>
        <v/>
      </c>
      <c r="Y222" s="268" t="str">
        <f t="shared" si="222"/>
        <v/>
      </c>
      <c r="Z222" s="268" t="str">
        <f t="shared" si="219"/>
        <v/>
      </c>
      <c r="AA222" s="268" t="str">
        <f t="shared" si="237"/>
        <v/>
      </c>
      <c r="AB222" s="268" t="str">
        <f t="shared" si="228"/>
        <v/>
      </c>
      <c r="AC222" s="268" t="str">
        <f t="shared" si="235"/>
        <v/>
      </c>
      <c r="AD222" s="268" t="str">
        <f t="shared" ref="AD222:AD261" si="241">IF(AND(E222&lt;$AD$2,I222&gt;$AD$2),"1","")</f>
        <v/>
      </c>
      <c r="AE222" s="268" t="str">
        <f t="shared" si="181"/>
        <v/>
      </c>
      <c r="AF222" s="268" t="str">
        <f t="shared" si="188"/>
        <v/>
      </c>
      <c r="AG222" s="268" t="str">
        <f t="shared" si="195"/>
        <v/>
      </c>
      <c r="AH222" s="268" t="str">
        <f t="shared" si="200"/>
        <v/>
      </c>
      <c r="AI222" s="268" t="str">
        <f t="shared" si="201"/>
        <v/>
      </c>
      <c r="AJ222" s="268" t="str">
        <f t="shared" si="224"/>
        <v/>
      </c>
      <c r="AK222" s="268" t="str">
        <f t="shared" si="229"/>
        <v/>
      </c>
      <c r="AL222" s="268" t="str">
        <f t="shared" si="232"/>
        <v/>
      </c>
      <c r="AM222" s="268" t="str">
        <f t="shared" si="236"/>
        <v/>
      </c>
      <c r="AN222" s="223" t="str">
        <f t="shared" si="225"/>
        <v/>
      </c>
      <c r="AO222" s="223" t="str">
        <f t="shared" si="230"/>
        <v/>
      </c>
      <c r="AP222" s="223" t="str">
        <f t="shared" si="239"/>
        <v/>
      </c>
      <c r="AQ222" s="223" t="str">
        <f t="shared" si="202"/>
        <v/>
      </c>
      <c r="AR222" s="223" t="str">
        <f t="shared" si="226"/>
        <v/>
      </c>
      <c r="AS222" s="223" t="str">
        <f t="shared" si="233"/>
        <v/>
      </c>
      <c r="AT222" s="223" t="str">
        <f t="shared" si="234"/>
        <v/>
      </c>
      <c r="AU222" s="223" t="str">
        <f t="shared" si="240"/>
        <v/>
      </c>
      <c r="AV222" s="223" t="str">
        <f t="shared" si="221"/>
        <v/>
      </c>
      <c r="AW222" s="223" t="str">
        <f t="shared" si="227"/>
        <v/>
      </c>
      <c r="AX222" s="223" t="str">
        <f t="shared" si="231"/>
        <v/>
      </c>
      <c r="AY222" s="223" t="str">
        <f t="shared" si="238"/>
        <v/>
      </c>
    </row>
    <row r="223" spans="1:51" ht="22.5" x14ac:dyDescent="0.25">
      <c r="A223" s="225">
        <v>221</v>
      </c>
      <c r="B223" s="259" t="s">
        <v>309</v>
      </c>
      <c r="C223" s="164" t="s">
        <v>70</v>
      </c>
      <c r="D223" s="167">
        <v>2013</v>
      </c>
      <c r="E223" s="168">
        <v>41864</v>
      </c>
      <c r="F223" s="222">
        <f t="shared" si="203"/>
        <v>8</v>
      </c>
      <c r="G223" s="222" t="str">
        <f t="shared" si="204"/>
        <v>82013</v>
      </c>
      <c r="H223" s="222" t="str">
        <f t="shared" si="205"/>
        <v>agosto</v>
      </c>
      <c r="I223" s="126" t="str">
        <f>VLOOKUP(B223,'Base de Datos'!$E$7:$T$271,14,0)</f>
        <v>7 meses</v>
      </c>
      <c r="J223" s="224" t="e">
        <f t="shared" si="206"/>
        <v>#VALUE!</v>
      </c>
      <c r="K223" s="223" t="e">
        <f t="shared" si="207"/>
        <v>#VALUE!</v>
      </c>
      <c r="L223" s="223" t="e">
        <f t="shared" si="208"/>
        <v>#VALUE!</v>
      </c>
      <c r="M223" s="223" t="str">
        <f t="shared" si="209"/>
        <v>7 meses</v>
      </c>
      <c r="N223" s="223" t="e">
        <f t="shared" ca="1" si="210"/>
        <v>#VALUE!</v>
      </c>
      <c r="O223" s="268" t="e">
        <f t="shared" ca="1" si="211"/>
        <v>#VALUE!</v>
      </c>
      <c r="P223" s="268" t="str">
        <f t="shared" si="220"/>
        <v/>
      </c>
      <c r="Q223" s="268" t="str">
        <f t="shared" si="212"/>
        <v/>
      </c>
      <c r="R223" s="268" t="str">
        <f t="shared" si="213"/>
        <v/>
      </c>
      <c r="S223" s="268" t="str">
        <f t="shared" si="214"/>
        <v/>
      </c>
      <c r="T223" s="268" t="str">
        <f t="shared" si="215"/>
        <v/>
      </c>
      <c r="U223" s="268" t="str">
        <f t="shared" si="216"/>
        <v/>
      </c>
      <c r="V223" s="268" t="str">
        <f t="shared" si="223"/>
        <v/>
      </c>
      <c r="W223" s="268" t="str">
        <f t="shared" si="217"/>
        <v/>
      </c>
      <c r="X223" s="268" t="str">
        <f t="shared" si="218"/>
        <v/>
      </c>
      <c r="Y223" s="268" t="str">
        <f t="shared" si="222"/>
        <v/>
      </c>
      <c r="Z223" s="268" t="str">
        <f t="shared" si="219"/>
        <v/>
      </c>
      <c r="AA223" s="268" t="str">
        <f t="shared" si="237"/>
        <v/>
      </c>
      <c r="AB223" s="268" t="str">
        <f t="shared" si="228"/>
        <v/>
      </c>
      <c r="AC223" s="268" t="str">
        <f t="shared" si="235"/>
        <v/>
      </c>
      <c r="AD223" s="268" t="str">
        <f t="shared" si="241"/>
        <v/>
      </c>
      <c r="AE223" s="268" t="str">
        <f t="shared" si="181"/>
        <v/>
      </c>
      <c r="AF223" s="268" t="str">
        <f t="shared" si="188"/>
        <v/>
      </c>
      <c r="AG223" s="268" t="str">
        <f t="shared" si="195"/>
        <v/>
      </c>
      <c r="AH223" s="268" t="str">
        <f t="shared" si="200"/>
        <v/>
      </c>
      <c r="AI223" s="268" t="str">
        <f t="shared" ref="AI223:AI254" si="242">IF(AND(E223&lt;$AI$2,I223&gt;$AI$2),"1","")</f>
        <v/>
      </c>
      <c r="AJ223" s="268" t="str">
        <f t="shared" si="224"/>
        <v/>
      </c>
      <c r="AK223" s="268" t="str">
        <f t="shared" si="229"/>
        <v/>
      </c>
      <c r="AL223" s="268" t="str">
        <f t="shared" si="232"/>
        <v/>
      </c>
      <c r="AM223" s="268" t="str">
        <f t="shared" si="236"/>
        <v/>
      </c>
      <c r="AN223" s="223" t="str">
        <f t="shared" si="225"/>
        <v/>
      </c>
      <c r="AO223" s="223" t="str">
        <f t="shared" si="230"/>
        <v/>
      </c>
      <c r="AP223" s="223" t="str">
        <f t="shared" si="239"/>
        <v/>
      </c>
      <c r="AQ223" s="223" t="str">
        <f t="shared" si="202"/>
        <v/>
      </c>
      <c r="AR223" s="223" t="str">
        <f t="shared" si="226"/>
        <v/>
      </c>
      <c r="AS223" s="223" t="str">
        <f t="shared" si="233"/>
        <v/>
      </c>
      <c r="AT223" s="223" t="str">
        <f t="shared" si="234"/>
        <v/>
      </c>
      <c r="AU223" s="223" t="str">
        <f t="shared" si="240"/>
        <v>1</v>
      </c>
      <c r="AV223" s="223" t="str">
        <f t="shared" si="221"/>
        <v>1</v>
      </c>
      <c r="AW223" s="223" t="str">
        <f t="shared" si="227"/>
        <v>1</v>
      </c>
      <c r="AX223" s="223" t="str">
        <f t="shared" si="231"/>
        <v>1</v>
      </c>
      <c r="AY223" s="223" t="str">
        <f t="shared" si="238"/>
        <v>1</v>
      </c>
    </row>
    <row r="224" spans="1:51" x14ac:dyDescent="0.25">
      <c r="A224" s="225">
        <v>222</v>
      </c>
      <c r="B224" s="259" t="s">
        <v>307</v>
      </c>
      <c r="C224" s="164" t="s">
        <v>144</v>
      </c>
      <c r="D224" s="167">
        <v>2014</v>
      </c>
      <c r="E224" s="168">
        <v>41850</v>
      </c>
      <c r="F224" s="222">
        <f t="shared" si="203"/>
        <v>7</v>
      </c>
      <c r="G224" s="222" t="str">
        <f t="shared" si="204"/>
        <v>72014</v>
      </c>
      <c r="H224" s="222" t="str">
        <f t="shared" si="205"/>
        <v>julio</v>
      </c>
      <c r="I224" s="126" t="str">
        <f>VLOOKUP(B224,'Base de Datos'!$E$7:$T$271,14,0)</f>
        <v>2 meses y 15 días</v>
      </c>
      <c r="J224" s="224" t="e">
        <f t="shared" si="206"/>
        <v>#VALUE!</v>
      </c>
      <c r="K224" s="223" t="e">
        <f t="shared" si="207"/>
        <v>#VALUE!</v>
      </c>
      <c r="L224" s="223" t="e">
        <f t="shared" si="208"/>
        <v>#VALUE!</v>
      </c>
      <c r="M224" s="223" t="str">
        <f t="shared" si="209"/>
        <v>2 meses y 15 días</v>
      </c>
      <c r="N224" s="223" t="e">
        <f t="shared" ca="1" si="210"/>
        <v>#VALUE!</v>
      </c>
      <c r="O224" s="268" t="e">
        <f t="shared" ca="1" si="211"/>
        <v>#VALUE!</v>
      </c>
      <c r="P224" s="268" t="str">
        <f t="shared" si="220"/>
        <v/>
      </c>
      <c r="Q224" s="268" t="str">
        <f t="shared" si="212"/>
        <v/>
      </c>
      <c r="R224" s="268" t="str">
        <f t="shared" si="213"/>
        <v/>
      </c>
      <c r="S224" s="268" t="str">
        <f t="shared" si="214"/>
        <v/>
      </c>
      <c r="T224" s="268" t="str">
        <f t="shared" si="215"/>
        <v/>
      </c>
      <c r="U224" s="268" t="str">
        <f t="shared" si="216"/>
        <v/>
      </c>
      <c r="V224" s="268" t="str">
        <f t="shared" si="223"/>
        <v/>
      </c>
      <c r="W224" s="268" t="str">
        <f t="shared" si="217"/>
        <v/>
      </c>
      <c r="X224" s="268" t="str">
        <f t="shared" si="218"/>
        <v/>
      </c>
      <c r="Y224" s="268" t="str">
        <f t="shared" si="222"/>
        <v/>
      </c>
      <c r="Z224" s="268" t="str">
        <f t="shared" si="219"/>
        <v/>
      </c>
      <c r="AA224" s="268" t="str">
        <f t="shared" si="237"/>
        <v/>
      </c>
      <c r="AB224" s="268" t="str">
        <f t="shared" si="228"/>
        <v/>
      </c>
      <c r="AC224" s="268" t="str">
        <f t="shared" si="235"/>
        <v/>
      </c>
      <c r="AD224" s="268" t="str">
        <f t="shared" si="241"/>
        <v/>
      </c>
      <c r="AE224" s="268" t="str">
        <f t="shared" si="181"/>
        <v/>
      </c>
      <c r="AF224" s="268" t="str">
        <f t="shared" si="188"/>
        <v/>
      </c>
      <c r="AG224" s="268" t="str">
        <f t="shared" si="195"/>
        <v/>
      </c>
      <c r="AH224" s="268" t="str">
        <f t="shared" si="200"/>
        <v/>
      </c>
      <c r="AI224" s="268" t="str">
        <f t="shared" si="242"/>
        <v/>
      </c>
      <c r="AJ224" s="268" t="str">
        <f t="shared" si="224"/>
        <v/>
      </c>
      <c r="AK224" s="268" t="str">
        <f t="shared" si="229"/>
        <v/>
      </c>
      <c r="AL224" s="268" t="str">
        <f t="shared" si="232"/>
        <v/>
      </c>
      <c r="AM224" s="268" t="str">
        <f t="shared" si="236"/>
        <v/>
      </c>
      <c r="AN224" s="223" t="str">
        <f t="shared" si="225"/>
        <v/>
      </c>
      <c r="AO224" s="223" t="str">
        <f t="shared" si="230"/>
        <v/>
      </c>
      <c r="AP224" s="223" t="str">
        <f t="shared" si="239"/>
        <v/>
      </c>
      <c r="AQ224" s="223" t="str">
        <f t="shared" si="202"/>
        <v/>
      </c>
      <c r="AR224" s="223" t="str">
        <f t="shared" si="226"/>
        <v/>
      </c>
      <c r="AS224" s="223" t="str">
        <f t="shared" si="233"/>
        <v/>
      </c>
      <c r="AT224" s="223" t="str">
        <f t="shared" si="234"/>
        <v>1</v>
      </c>
      <c r="AU224" s="223" t="str">
        <f t="shared" si="240"/>
        <v>1</v>
      </c>
      <c r="AV224" s="223" t="str">
        <f t="shared" si="221"/>
        <v>1</v>
      </c>
      <c r="AW224" s="223" t="str">
        <f t="shared" si="227"/>
        <v>1</v>
      </c>
      <c r="AX224" s="223" t="str">
        <f t="shared" si="231"/>
        <v>1</v>
      </c>
      <c r="AY224" s="223" t="str">
        <f t="shared" si="238"/>
        <v>1</v>
      </c>
    </row>
    <row r="225" spans="1:51" x14ac:dyDescent="0.25">
      <c r="A225" s="225">
        <v>223</v>
      </c>
      <c r="B225" s="404" t="str">
        <f>+'Base de Datos'!E265</f>
        <v>140385-0-2014</v>
      </c>
      <c r="C225" s="408" t="str">
        <f>+'Base de Datos'!F265</f>
        <v>S.O.S. SOLUCIONES DE OFICINA &amp; SUMINISTROS S.A.S.</v>
      </c>
      <c r="D225" s="408">
        <f>YEAR(E225)</f>
        <v>2014</v>
      </c>
      <c r="E225" s="412">
        <f>+'Base de Datos'!M265</f>
        <v>41988</v>
      </c>
      <c r="F225" s="222">
        <f t="shared" si="203"/>
        <v>12</v>
      </c>
      <c r="G225" s="222" t="str">
        <f t="shared" si="204"/>
        <v>122014</v>
      </c>
      <c r="H225" s="222" t="str">
        <f t="shared" si="205"/>
        <v>diciembre</v>
      </c>
      <c r="I225" s="126" t="str">
        <f>VLOOKUP(B225,'Base de Datos'!$E$7:$T$271,14,0)</f>
        <v/>
      </c>
      <c r="J225" s="224" t="e">
        <f t="shared" si="206"/>
        <v>#VALUE!</v>
      </c>
      <c r="K225" s="223" t="e">
        <f t="shared" si="207"/>
        <v>#VALUE!</v>
      </c>
      <c r="L225" s="223" t="e">
        <f t="shared" si="208"/>
        <v>#VALUE!</v>
      </c>
      <c r="M225" s="223" t="str">
        <f t="shared" si="209"/>
        <v/>
      </c>
      <c r="N225" s="223" t="e">
        <f t="shared" ca="1" si="210"/>
        <v>#VALUE!</v>
      </c>
      <c r="O225" s="268" t="e">
        <f t="shared" ca="1" si="211"/>
        <v>#VALUE!</v>
      </c>
      <c r="P225" s="268" t="str">
        <f t="shared" si="220"/>
        <v/>
      </c>
      <c r="Q225" s="268" t="str">
        <f t="shared" si="212"/>
        <v/>
      </c>
      <c r="R225" s="268" t="str">
        <f t="shared" si="213"/>
        <v/>
      </c>
      <c r="S225" s="268" t="str">
        <f t="shared" si="214"/>
        <v/>
      </c>
      <c r="T225" s="268" t="str">
        <f t="shared" si="215"/>
        <v/>
      </c>
      <c r="U225" s="268" t="str">
        <f t="shared" si="216"/>
        <v/>
      </c>
      <c r="V225" s="268" t="str">
        <f t="shared" si="223"/>
        <v/>
      </c>
      <c r="W225" s="268" t="str">
        <f t="shared" si="217"/>
        <v/>
      </c>
      <c r="X225" s="268" t="str">
        <f t="shared" si="218"/>
        <v/>
      </c>
      <c r="Y225" s="268" t="str">
        <f t="shared" si="222"/>
        <v/>
      </c>
      <c r="Z225" s="268" t="str">
        <f t="shared" si="219"/>
        <v/>
      </c>
      <c r="AA225" s="268" t="str">
        <f t="shared" si="237"/>
        <v/>
      </c>
      <c r="AB225" s="268" t="str">
        <f t="shared" si="228"/>
        <v/>
      </c>
      <c r="AC225" s="268" t="str">
        <f t="shared" si="235"/>
        <v/>
      </c>
      <c r="AD225" s="268" t="str">
        <f t="shared" si="241"/>
        <v/>
      </c>
      <c r="AE225" s="268" t="str">
        <f t="shared" si="181"/>
        <v/>
      </c>
      <c r="AF225" s="268" t="str">
        <f t="shared" si="188"/>
        <v/>
      </c>
      <c r="AG225" s="268" t="str">
        <f t="shared" si="195"/>
        <v/>
      </c>
      <c r="AH225" s="268" t="str">
        <f t="shared" si="200"/>
        <v/>
      </c>
      <c r="AI225" s="268" t="str">
        <f t="shared" si="242"/>
        <v/>
      </c>
      <c r="AJ225" s="268" t="str">
        <f t="shared" si="224"/>
        <v/>
      </c>
      <c r="AK225" s="268" t="str">
        <f t="shared" si="229"/>
        <v/>
      </c>
      <c r="AL225" s="268" t="str">
        <f t="shared" si="232"/>
        <v/>
      </c>
      <c r="AM225" s="268" t="str">
        <f t="shared" si="236"/>
        <v/>
      </c>
      <c r="AN225" s="223" t="str">
        <f t="shared" si="225"/>
        <v/>
      </c>
      <c r="AO225" s="223" t="str">
        <f t="shared" si="230"/>
        <v/>
      </c>
      <c r="AP225" s="223" t="str">
        <f t="shared" si="239"/>
        <v/>
      </c>
      <c r="AQ225" s="223" t="str">
        <f t="shared" si="202"/>
        <v/>
      </c>
      <c r="AR225" s="223" t="str">
        <f t="shared" si="226"/>
        <v/>
      </c>
      <c r="AS225" s="223" t="str">
        <f t="shared" si="233"/>
        <v/>
      </c>
      <c r="AT225" s="223" t="str">
        <f t="shared" si="234"/>
        <v/>
      </c>
      <c r="AU225" s="223" t="str">
        <f t="shared" si="240"/>
        <v/>
      </c>
      <c r="AV225" s="223" t="str">
        <f t="shared" si="221"/>
        <v/>
      </c>
      <c r="AW225" s="223" t="str">
        <f t="shared" si="227"/>
        <v/>
      </c>
      <c r="AX225" s="223" t="str">
        <f t="shared" si="231"/>
        <v/>
      </c>
      <c r="AY225" s="223" t="str">
        <f t="shared" si="238"/>
        <v>1</v>
      </c>
    </row>
    <row r="226" spans="1:51" x14ac:dyDescent="0.25">
      <c r="A226" s="225">
        <v>224</v>
      </c>
      <c r="B226" s="259" t="s">
        <v>283</v>
      </c>
      <c r="C226" s="164" t="s">
        <v>284</v>
      </c>
      <c r="D226" s="167">
        <v>2014</v>
      </c>
      <c r="E226" s="168">
        <v>41807</v>
      </c>
      <c r="F226" s="222">
        <f t="shared" si="203"/>
        <v>6</v>
      </c>
      <c r="G226" s="222" t="str">
        <f t="shared" si="204"/>
        <v>62014</v>
      </c>
      <c r="H226" s="222" t="str">
        <f t="shared" si="205"/>
        <v>junio</v>
      </c>
      <c r="I226" s="126" t="str">
        <f>VLOOKUP(B226,'Base de Datos'!$E$7:$T$271,14,0)</f>
        <v>2 meses y 18 días</v>
      </c>
      <c r="J226" s="224" t="e">
        <f t="shared" si="206"/>
        <v>#VALUE!</v>
      </c>
      <c r="K226" s="223" t="e">
        <f t="shared" si="207"/>
        <v>#VALUE!</v>
      </c>
      <c r="L226" s="223" t="e">
        <f t="shared" si="208"/>
        <v>#VALUE!</v>
      </c>
      <c r="M226" s="223" t="str">
        <f t="shared" si="209"/>
        <v>2 meses y 18 días</v>
      </c>
      <c r="N226" s="223" t="e">
        <f t="shared" ca="1" si="210"/>
        <v>#VALUE!</v>
      </c>
      <c r="O226" s="268" t="e">
        <f t="shared" ca="1" si="211"/>
        <v>#VALUE!</v>
      </c>
      <c r="P226" s="268" t="str">
        <f t="shared" si="220"/>
        <v/>
      </c>
      <c r="Q226" s="268" t="str">
        <f t="shared" si="212"/>
        <v/>
      </c>
      <c r="R226" s="268" t="str">
        <f t="shared" si="213"/>
        <v/>
      </c>
      <c r="S226" s="268" t="str">
        <f t="shared" si="214"/>
        <v/>
      </c>
      <c r="T226" s="268" t="str">
        <f t="shared" si="215"/>
        <v/>
      </c>
      <c r="U226" s="268" t="str">
        <f t="shared" si="216"/>
        <v/>
      </c>
      <c r="V226" s="268" t="str">
        <f t="shared" si="223"/>
        <v/>
      </c>
      <c r="W226" s="268" t="str">
        <f t="shared" si="217"/>
        <v/>
      </c>
      <c r="X226" s="268" t="str">
        <f t="shared" si="218"/>
        <v/>
      </c>
      <c r="Y226" s="268" t="str">
        <f t="shared" si="222"/>
        <v/>
      </c>
      <c r="Z226" s="268" t="str">
        <f t="shared" si="219"/>
        <v/>
      </c>
      <c r="AA226" s="268" t="str">
        <f t="shared" si="237"/>
        <v/>
      </c>
      <c r="AB226" s="268" t="str">
        <f t="shared" si="228"/>
        <v/>
      </c>
      <c r="AC226" s="268" t="str">
        <f t="shared" si="235"/>
        <v/>
      </c>
      <c r="AD226" s="268" t="str">
        <f t="shared" si="241"/>
        <v/>
      </c>
      <c r="AE226" s="268" t="str">
        <f t="shared" si="181"/>
        <v/>
      </c>
      <c r="AF226" s="268" t="str">
        <f t="shared" si="188"/>
        <v/>
      </c>
      <c r="AG226" s="268" t="str">
        <f t="shared" si="195"/>
        <v/>
      </c>
      <c r="AH226" s="268" t="str">
        <f t="shared" si="200"/>
        <v/>
      </c>
      <c r="AI226" s="268" t="str">
        <f t="shared" si="242"/>
        <v/>
      </c>
      <c r="AJ226" s="268" t="str">
        <f t="shared" si="224"/>
        <v/>
      </c>
      <c r="AK226" s="268" t="str">
        <f t="shared" si="229"/>
        <v/>
      </c>
      <c r="AL226" s="268" t="str">
        <f t="shared" si="232"/>
        <v/>
      </c>
      <c r="AM226" s="268" t="str">
        <f t="shared" si="236"/>
        <v/>
      </c>
      <c r="AN226" s="223" t="str">
        <f t="shared" si="225"/>
        <v/>
      </c>
      <c r="AO226" s="223" t="str">
        <f t="shared" si="230"/>
        <v/>
      </c>
      <c r="AP226" s="223" t="str">
        <f t="shared" si="239"/>
        <v/>
      </c>
      <c r="AQ226" s="223" t="str">
        <f t="shared" ref="AQ226:AQ261" si="243">IF(AND(E226&lt;$AQ$2,I226&gt;$AQ$2),"1","")</f>
        <v/>
      </c>
      <c r="AR226" s="223" t="str">
        <f t="shared" si="226"/>
        <v/>
      </c>
      <c r="AS226" s="223" t="str">
        <f t="shared" si="233"/>
        <v>1</v>
      </c>
      <c r="AT226" s="223" t="str">
        <f t="shared" si="234"/>
        <v>1</v>
      </c>
      <c r="AU226" s="223" t="str">
        <f t="shared" si="240"/>
        <v>1</v>
      </c>
      <c r="AV226" s="223" t="str">
        <f t="shared" si="221"/>
        <v>1</v>
      </c>
      <c r="AW226" s="223" t="str">
        <f t="shared" si="227"/>
        <v>1</v>
      </c>
      <c r="AX226" s="223" t="str">
        <f t="shared" si="231"/>
        <v>1</v>
      </c>
      <c r="AY226" s="223" t="str">
        <f t="shared" si="238"/>
        <v>1</v>
      </c>
    </row>
    <row r="227" spans="1:51" ht="22.5" x14ac:dyDescent="0.25">
      <c r="A227" s="225">
        <v>225</v>
      </c>
      <c r="B227" s="259" t="s">
        <v>291</v>
      </c>
      <c r="C227" s="164" t="s">
        <v>1048</v>
      </c>
      <c r="D227" s="167">
        <v>2014</v>
      </c>
      <c r="E227" s="168">
        <v>41808</v>
      </c>
      <c r="F227" s="222">
        <f t="shared" si="203"/>
        <v>6</v>
      </c>
      <c r="G227" s="222" t="str">
        <f t="shared" si="204"/>
        <v>62014</v>
      </c>
      <c r="H227" s="222" t="str">
        <f t="shared" si="205"/>
        <v>junio</v>
      </c>
      <c r="I227" s="126" t="str">
        <f>VLOOKUP(B227,'Base de Datos'!$E$7:$T$271,14,0)</f>
        <v>3 meses y 5 días</v>
      </c>
      <c r="J227" s="224" t="e">
        <f t="shared" si="206"/>
        <v>#VALUE!</v>
      </c>
      <c r="K227" s="223" t="e">
        <f t="shared" si="207"/>
        <v>#VALUE!</v>
      </c>
      <c r="L227" s="223" t="e">
        <f t="shared" si="208"/>
        <v>#VALUE!</v>
      </c>
      <c r="M227" s="223" t="str">
        <f t="shared" si="209"/>
        <v>3 meses y 5 días</v>
      </c>
      <c r="N227" s="223" t="e">
        <f t="shared" ca="1" si="210"/>
        <v>#VALUE!</v>
      </c>
      <c r="O227" s="268" t="e">
        <f t="shared" ca="1" si="211"/>
        <v>#VALUE!</v>
      </c>
      <c r="P227" s="268" t="str">
        <f t="shared" si="220"/>
        <v/>
      </c>
      <c r="Q227" s="268" t="str">
        <f t="shared" si="212"/>
        <v/>
      </c>
      <c r="R227" s="268" t="str">
        <f t="shared" si="213"/>
        <v/>
      </c>
      <c r="S227" s="268" t="str">
        <f t="shared" si="214"/>
        <v/>
      </c>
      <c r="T227" s="268" t="str">
        <f t="shared" si="215"/>
        <v/>
      </c>
      <c r="U227" s="268" t="str">
        <f t="shared" si="216"/>
        <v/>
      </c>
      <c r="V227" s="268" t="str">
        <f t="shared" si="223"/>
        <v/>
      </c>
      <c r="W227" s="268" t="str">
        <f t="shared" si="217"/>
        <v/>
      </c>
      <c r="X227" s="268" t="str">
        <f t="shared" si="218"/>
        <v/>
      </c>
      <c r="Y227" s="268" t="str">
        <f t="shared" si="222"/>
        <v/>
      </c>
      <c r="Z227" s="268" t="str">
        <f t="shared" si="219"/>
        <v/>
      </c>
      <c r="AA227" s="268" t="str">
        <f t="shared" si="237"/>
        <v/>
      </c>
      <c r="AB227" s="268" t="str">
        <f t="shared" si="228"/>
        <v/>
      </c>
      <c r="AC227" s="268" t="str">
        <f t="shared" si="235"/>
        <v/>
      </c>
      <c r="AD227" s="268" t="str">
        <f t="shared" si="241"/>
        <v/>
      </c>
      <c r="AE227" s="268" t="str">
        <f t="shared" ref="AE227:AE261" si="244">IF(AND(E227&lt;$AE$2,I227&gt;$AE$2),"1","")</f>
        <v/>
      </c>
      <c r="AF227" s="268" t="str">
        <f t="shared" si="188"/>
        <v/>
      </c>
      <c r="AG227" s="268" t="str">
        <f t="shared" si="195"/>
        <v/>
      </c>
      <c r="AH227" s="268" t="str">
        <f t="shared" si="200"/>
        <v/>
      </c>
      <c r="AI227" s="268" t="str">
        <f t="shared" si="242"/>
        <v/>
      </c>
      <c r="AJ227" s="268" t="str">
        <f t="shared" si="224"/>
        <v/>
      </c>
      <c r="AK227" s="268" t="str">
        <f t="shared" si="229"/>
        <v/>
      </c>
      <c r="AL227" s="268" t="str">
        <f t="shared" si="232"/>
        <v/>
      </c>
      <c r="AM227" s="268" t="str">
        <f t="shared" si="236"/>
        <v/>
      </c>
      <c r="AN227" s="223" t="str">
        <f t="shared" si="225"/>
        <v/>
      </c>
      <c r="AO227" s="223" t="str">
        <f t="shared" si="230"/>
        <v/>
      </c>
      <c r="AP227" s="223" t="str">
        <f t="shared" si="239"/>
        <v/>
      </c>
      <c r="AQ227" s="223" t="str">
        <f t="shared" si="243"/>
        <v/>
      </c>
      <c r="AR227" s="223" t="str">
        <f t="shared" si="226"/>
        <v/>
      </c>
      <c r="AS227" s="223" t="str">
        <f t="shared" si="233"/>
        <v>1</v>
      </c>
      <c r="AT227" s="223" t="str">
        <f t="shared" si="234"/>
        <v>1</v>
      </c>
      <c r="AU227" s="223" t="str">
        <f t="shared" si="240"/>
        <v>1</v>
      </c>
      <c r="AV227" s="223" t="str">
        <f t="shared" si="221"/>
        <v>1</v>
      </c>
      <c r="AW227" s="223" t="str">
        <f t="shared" si="227"/>
        <v>1</v>
      </c>
      <c r="AX227" s="223" t="str">
        <f t="shared" si="231"/>
        <v>1</v>
      </c>
      <c r="AY227" s="223" t="str">
        <f t="shared" si="238"/>
        <v>1</v>
      </c>
    </row>
    <row r="228" spans="1:51" x14ac:dyDescent="0.25">
      <c r="A228" s="225">
        <v>226</v>
      </c>
      <c r="B228" s="259" t="s">
        <v>274</v>
      </c>
      <c r="C228" s="164" t="s">
        <v>275</v>
      </c>
      <c r="D228" s="167">
        <v>2014</v>
      </c>
      <c r="E228" s="168">
        <v>41752</v>
      </c>
      <c r="F228" s="222">
        <f t="shared" si="203"/>
        <v>4</v>
      </c>
      <c r="G228" s="222" t="str">
        <f t="shared" si="204"/>
        <v>42014</v>
      </c>
      <c r="H228" s="222" t="str">
        <f t="shared" si="205"/>
        <v>abril</v>
      </c>
      <c r="I228" s="126" t="str">
        <f>VLOOKUP(B228,'Base de Datos'!$E$7:$T$271,14,0)</f>
        <v/>
      </c>
      <c r="J228" s="224" t="e">
        <f t="shared" si="206"/>
        <v>#VALUE!</v>
      </c>
      <c r="K228" s="223" t="e">
        <f t="shared" si="207"/>
        <v>#VALUE!</v>
      </c>
      <c r="L228" s="223" t="e">
        <f t="shared" si="208"/>
        <v>#VALUE!</v>
      </c>
      <c r="M228" s="223" t="str">
        <f t="shared" si="209"/>
        <v/>
      </c>
      <c r="N228" s="223" t="e">
        <f t="shared" ca="1" si="210"/>
        <v>#VALUE!</v>
      </c>
      <c r="O228" s="268" t="e">
        <f t="shared" ca="1" si="211"/>
        <v>#VALUE!</v>
      </c>
      <c r="P228" s="268" t="str">
        <f t="shared" si="220"/>
        <v/>
      </c>
      <c r="Q228" s="268" t="str">
        <f t="shared" si="212"/>
        <v/>
      </c>
      <c r="R228" s="268" t="str">
        <f t="shared" si="213"/>
        <v/>
      </c>
      <c r="S228" s="268" t="str">
        <f t="shared" si="214"/>
        <v/>
      </c>
      <c r="T228" s="268" t="str">
        <f t="shared" si="215"/>
        <v/>
      </c>
      <c r="U228" s="268" t="str">
        <f t="shared" si="216"/>
        <v/>
      </c>
      <c r="V228" s="268" t="str">
        <f t="shared" si="223"/>
        <v/>
      </c>
      <c r="W228" s="268" t="str">
        <f t="shared" si="217"/>
        <v/>
      </c>
      <c r="X228" s="268" t="str">
        <f t="shared" si="218"/>
        <v/>
      </c>
      <c r="Y228" s="268" t="str">
        <f t="shared" si="222"/>
        <v/>
      </c>
      <c r="Z228" s="268" t="str">
        <f t="shared" si="219"/>
        <v/>
      </c>
      <c r="AA228" s="268" t="str">
        <f t="shared" si="237"/>
        <v/>
      </c>
      <c r="AB228" s="268" t="str">
        <f t="shared" si="228"/>
        <v/>
      </c>
      <c r="AC228" s="268" t="str">
        <f t="shared" si="235"/>
        <v/>
      </c>
      <c r="AD228" s="268" t="str">
        <f t="shared" si="241"/>
        <v/>
      </c>
      <c r="AE228" s="268" t="str">
        <f t="shared" si="244"/>
        <v/>
      </c>
      <c r="AF228" s="268" t="str">
        <f t="shared" si="188"/>
        <v/>
      </c>
      <c r="AG228" s="268" t="str">
        <f t="shared" si="195"/>
        <v/>
      </c>
      <c r="AH228" s="268" t="str">
        <f t="shared" si="200"/>
        <v/>
      </c>
      <c r="AI228" s="268" t="str">
        <f t="shared" si="242"/>
        <v/>
      </c>
      <c r="AJ228" s="268" t="str">
        <f t="shared" si="224"/>
        <v/>
      </c>
      <c r="AK228" s="268" t="str">
        <f t="shared" si="229"/>
        <v/>
      </c>
      <c r="AL228" s="268" t="str">
        <f t="shared" si="232"/>
        <v/>
      </c>
      <c r="AM228" s="268" t="str">
        <f t="shared" si="236"/>
        <v/>
      </c>
      <c r="AN228" s="223" t="str">
        <f t="shared" si="225"/>
        <v/>
      </c>
      <c r="AO228" s="223" t="str">
        <f t="shared" si="230"/>
        <v/>
      </c>
      <c r="AP228" s="223" t="str">
        <f t="shared" si="239"/>
        <v/>
      </c>
      <c r="AQ228" s="223" t="str">
        <f t="shared" si="243"/>
        <v>1</v>
      </c>
      <c r="AR228" s="223" t="str">
        <f t="shared" si="226"/>
        <v>1</v>
      </c>
      <c r="AS228" s="223" t="str">
        <f t="shared" si="233"/>
        <v>1</v>
      </c>
      <c r="AT228" s="223" t="str">
        <f t="shared" si="234"/>
        <v>1</v>
      </c>
      <c r="AU228" s="223" t="str">
        <f t="shared" si="240"/>
        <v>1</v>
      </c>
      <c r="AV228" s="223" t="str">
        <f t="shared" ref="AV228:AV261" si="245">IF(AND(E228&lt;$AV$2,I228&gt;$AV$2),"1","")</f>
        <v>1</v>
      </c>
      <c r="AW228" s="223" t="str">
        <f t="shared" si="227"/>
        <v>1</v>
      </c>
      <c r="AX228" s="223" t="str">
        <f t="shared" si="231"/>
        <v>1</v>
      </c>
      <c r="AY228" s="223" t="str">
        <f t="shared" si="238"/>
        <v>1</v>
      </c>
    </row>
    <row r="229" spans="1:51" ht="22.5" x14ac:dyDescent="0.25">
      <c r="A229" s="225">
        <v>227</v>
      </c>
      <c r="B229" s="259" t="s">
        <v>276</v>
      </c>
      <c r="C229" s="164" t="s">
        <v>277</v>
      </c>
      <c r="D229" s="167">
        <v>2014</v>
      </c>
      <c r="E229" s="168">
        <v>41753</v>
      </c>
      <c r="F229" s="222">
        <f t="shared" si="203"/>
        <v>4</v>
      </c>
      <c r="G229" s="222" t="str">
        <f t="shared" si="204"/>
        <v>42014</v>
      </c>
      <c r="H229" s="222" t="str">
        <f t="shared" si="205"/>
        <v>abril</v>
      </c>
      <c r="I229" s="126" t="str">
        <f>VLOOKUP(B229,'Base de Datos'!$E$7:$T$271,14,0)</f>
        <v/>
      </c>
      <c r="J229" s="224" t="e">
        <f t="shared" si="206"/>
        <v>#VALUE!</v>
      </c>
      <c r="K229" s="223" t="e">
        <f t="shared" si="207"/>
        <v>#VALUE!</v>
      </c>
      <c r="L229" s="223" t="e">
        <f t="shared" si="208"/>
        <v>#VALUE!</v>
      </c>
      <c r="M229" s="223" t="str">
        <f t="shared" si="209"/>
        <v/>
      </c>
      <c r="N229" s="223" t="e">
        <f t="shared" ca="1" si="210"/>
        <v>#VALUE!</v>
      </c>
      <c r="O229" s="268" t="e">
        <f t="shared" ca="1" si="211"/>
        <v>#VALUE!</v>
      </c>
      <c r="P229" s="268" t="str">
        <f t="shared" si="220"/>
        <v/>
      </c>
      <c r="Q229" s="268" t="str">
        <f t="shared" si="212"/>
        <v/>
      </c>
      <c r="R229" s="268" t="str">
        <f t="shared" si="213"/>
        <v/>
      </c>
      <c r="S229" s="268" t="str">
        <f t="shared" si="214"/>
        <v/>
      </c>
      <c r="T229" s="268" t="str">
        <f t="shared" si="215"/>
        <v/>
      </c>
      <c r="U229" s="268" t="str">
        <f t="shared" si="216"/>
        <v/>
      </c>
      <c r="V229" s="268" t="str">
        <f t="shared" si="223"/>
        <v/>
      </c>
      <c r="W229" s="268" t="str">
        <f t="shared" si="217"/>
        <v/>
      </c>
      <c r="X229" s="268" t="str">
        <f t="shared" si="218"/>
        <v/>
      </c>
      <c r="Y229" s="268" t="str">
        <f t="shared" si="222"/>
        <v/>
      </c>
      <c r="Z229" s="268" t="str">
        <f t="shared" si="219"/>
        <v/>
      </c>
      <c r="AA229" s="268" t="str">
        <f t="shared" si="237"/>
        <v/>
      </c>
      <c r="AB229" s="268" t="str">
        <f t="shared" si="228"/>
        <v/>
      </c>
      <c r="AC229" s="268" t="str">
        <f t="shared" si="235"/>
        <v/>
      </c>
      <c r="AD229" s="268" t="str">
        <f t="shared" si="241"/>
        <v/>
      </c>
      <c r="AE229" s="268" t="str">
        <f t="shared" si="244"/>
        <v/>
      </c>
      <c r="AF229" s="268" t="str">
        <f t="shared" si="188"/>
        <v/>
      </c>
      <c r="AG229" s="268" t="str">
        <f t="shared" si="195"/>
        <v/>
      </c>
      <c r="AH229" s="268" t="str">
        <f t="shared" si="200"/>
        <v/>
      </c>
      <c r="AI229" s="268" t="str">
        <f t="shared" si="242"/>
        <v/>
      </c>
      <c r="AJ229" s="268" t="str">
        <f t="shared" si="224"/>
        <v/>
      </c>
      <c r="AK229" s="268" t="str">
        <f t="shared" si="229"/>
        <v/>
      </c>
      <c r="AL229" s="268" t="str">
        <f t="shared" si="232"/>
        <v/>
      </c>
      <c r="AM229" s="268" t="str">
        <f t="shared" si="236"/>
        <v/>
      </c>
      <c r="AN229" s="223" t="str">
        <f t="shared" si="225"/>
        <v/>
      </c>
      <c r="AO229" s="223" t="str">
        <f t="shared" si="230"/>
        <v/>
      </c>
      <c r="AP229" s="223" t="str">
        <f t="shared" si="239"/>
        <v/>
      </c>
      <c r="AQ229" s="223" t="str">
        <f t="shared" si="243"/>
        <v>1</v>
      </c>
      <c r="AR229" s="223" t="str">
        <f t="shared" si="226"/>
        <v>1</v>
      </c>
      <c r="AS229" s="223" t="str">
        <f t="shared" si="233"/>
        <v>1</v>
      </c>
      <c r="AT229" s="223" t="str">
        <f t="shared" si="234"/>
        <v>1</v>
      </c>
      <c r="AU229" s="223" t="str">
        <f t="shared" si="240"/>
        <v>1</v>
      </c>
      <c r="AV229" s="223" t="str">
        <f t="shared" si="245"/>
        <v>1</v>
      </c>
      <c r="AW229" s="223" t="str">
        <f t="shared" si="227"/>
        <v>1</v>
      </c>
      <c r="AX229" s="223" t="str">
        <f t="shared" si="231"/>
        <v>1</v>
      </c>
      <c r="AY229" s="223" t="str">
        <f t="shared" si="238"/>
        <v>1</v>
      </c>
    </row>
    <row r="230" spans="1:51" x14ac:dyDescent="0.25">
      <c r="A230" s="225">
        <v>228</v>
      </c>
      <c r="B230" s="404" t="str">
        <f>+'Base de Datos'!E253</f>
        <v>140310-0-2014</v>
      </c>
      <c r="C230" s="408" t="str">
        <f>+'Base de Datos'!F253</f>
        <v>TECOLSOF SAS</v>
      </c>
      <c r="D230" s="408">
        <f>YEAR(E230)</f>
        <v>2014</v>
      </c>
      <c r="E230" s="412">
        <f>+'Base de Datos'!M253</f>
        <v>41935</v>
      </c>
      <c r="F230" s="222">
        <f t="shared" si="203"/>
        <v>10</v>
      </c>
      <c r="G230" s="222" t="str">
        <f t="shared" si="204"/>
        <v>102014</v>
      </c>
      <c r="H230" s="222" t="str">
        <f t="shared" si="205"/>
        <v>octubre</v>
      </c>
      <c r="I230" s="126" t="str">
        <f>VLOOKUP(B230,'Base de Datos'!$E$7:$T$271,14,0)</f>
        <v>3 meses</v>
      </c>
      <c r="J230" s="224" t="e">
        <f t="shared" si="206"/>
        <v>#VALUE!</v>
      </c>
      <c r="K230" s="223" t="e">
        <f t="shared" si="207"/>
        <v>#VALUE!</v>
      </c>
      <c r="L230" s="223" t="e">
        <f t="shared" si="208"/>
        <v>#VALUE!</v>
      </c>
      <c r="M230" s="223" t="str">
        <f t="shared" si="209"/>
        <v>3 meses</v>
      </c>
      <c r="N230" s="223" t="e">
        <f t="shared" ca="1" si="210"/>
        <v>#VALUE!</v>
      </c>
      <c r="O230" s="268" t="e">
        <f t="shared" ca="1" si="211"/>
        <v>#VALUE!</v>
      </c>
      <c r="P230" s="268" t="str">
        <f t="shared" si="220"/>
        <v/>
      </c>
      <c r="Q230" s="268" t="str">
        <f t="shared" si="212"/>
        <v/>
      </c>
      <c r="R230" s="268" t="str">
        <f t="shared" si="213"/>
        <v/>
      </c>
      <c r="S230" s="268" t="str">
        <f t="shared" si="214"/>
        <v/>
      </c>
      <c r="T230" s="268" t="str">
        <f t="shared" si="215"/>
        <v/>
      </c>
      <c r="U230" s="268" t="str">
        <f t="shared" si="216"/>
        <v/>
      </c>
      <c r="V230" s="268" t="str">
        <f t="shared" si="223"/>
        <v/>
      </c>
      <c r="W230" s="268" t="str">
        <f t="shared" si="217"/>
        <v/>
      </c>
      <c r="X230" s="268" t="str">
        <f t="shared" si="218"/>
        <v/>
      </c>
      <c r="Y230" s="268" t="str">
        <f t="shared" si="222"/>
        <v/>
      </c>
      <c r="Z230" s="268" t="str">
        <f t="shared" si="219"/>
        <v/>
      </c>
      <c r="AA230" s="268" t="str">
        <f t="shared" si="237"/>
        <v/>
      </c>
      <c r="AB230" s="268" t="str">
        <f t="shared" si="228"/>
        <v/>
      </c>
      <c r="AC230" s="268" t="str">
        <f t="shared" si="235"/>
        <v/>
      </c>
      <c r="AD230" s="268" t="str">
        <f t="shared" si="241"/>
        <v/>
      </c>
      <c r="AE230" s="268" t="str">
        <f t="shared" si="244"/>
        <v/>
      </c>
      <c r="AF230" s="268" t="str">
        <f t="shared" si="188"/>
        <v/>
      </c>
      <c r="AG230" s="268" t="str">
        <f t="shared" si="195"/>
        <v/>
      </c>
      <c r="AH230" s="268" t="str">
        <f t="shared" si="200"/>
        <v/>
      </c>
      <c r="AI230" s="268" t="str">
        <f t="shared" si="242"/>
        <v/>
      </c>
      <c r="AJ230" s="268" t="str">
        <f t="shared" si="224"/>
        <v/>
      </c>
      <c r="AK230" s="268" t="str">
        <f t="shared" si="229"/>
        <v/>
      </c>
      <c r="AL230" s="268" t="str">
        <f t="shared" si="232"/>
        <v/>
      </c>
      <c r="AM230" s="268" t="str">
        <f t="shared" si="236"/>
        <v/>
      </c>
      <c r="AN230" s="223" t="str">
        <f t="shared" si="225"/>
        <v/>
      </c>
      <c r="AO230" s="223" t="str">
        <f t="shared" si="230"/>
        <v/>
      </c>
      <c r="AP230" s="223" t="str">
        <f t="shared" si="239"/>
        <v/>
      </c>
      <c r="AQ230" s="223" t="str">
        <f t="shared" si="243"/>
        <v/>
      </c>
      <c r="AR230" s="223" t="str">
        <f t="shared" si="226"/>
        <v/>
      </c>
      <c r="AS230" s="223" t="str">
        <f t="shared" si="233"/>
        <v/>
      </c>
      <c r="AT230" s="223" t="str">
        <f t="shared" si="234"/>
        <v/>
      </c>
      <c r="AU230" s="223" t="str">
        <f t="shared" si="240"/>
        <v/>
      </c>
      <c r="AV230" s="223" t="str">
        <f t="shared" si="245"/>
        <v/>
      </c>
      <c r="AW230" s="223" t="str">
        <f t="shared" si="227"/>
        <v>1</v>
      </c>
      <c r="AX230" s="223" t="str">
        <f t="shared" si="231"/>
        <v>1</v>
      </c>
      <c r="AY230" s="223" t="str">
        <f t="shared" si="238"/>
        <v>1</v>
      </c>
    </row>
    <row r="231" spans="1:51" x14ac:dyDescent="0.25">
      <c r="A231" s="225">
        <v>229</v>
      </c>
      <c r="B231" s="259" t="s">
        <v>300</v>
      </c>
      <c r="C231" s="164" t="s">
        <v>301</v>
      </c>
      <c r="D231" s="167">
        <v>2014</v>
      </c>
      <c r="E231" s="168">
        <v>41824</v>
      </c>
      <c r="F231" s="222">
        <f t="shared" si="203"/>
        <v>7</v>
      </c>
      <c r="G231" s="222" t="str">
        <f t="shared" si="204"/>
        <v>72014</v>
      </c>
      <c r="H231" s="222" t="str">
        <f t="shared" si="205"/>
        <v>julio</v>
      </c>
      <c r="I231" s="126" t="str">
        <f>VLOOKUP(B231,'Base de Datos'!$E$7:$T$271,14,0)</f>
        <v>8 meses</v>
      </c>
      <c r="J231" s="224" t="e">
        <f t="shared" si="206"/>
        <v>#VALUE!</v>
      </c>
      <c r="K231" s="223" t="e">
        <f t="shared" si="207"/>
        <v>#VALUE!</v>
      </c>
      <c r="L231" s="223" t="e">
        <f t="shared" si="208"/>
        <v>#VALUE!</v>
      </c>
      <c r="M231" s="223" t="str">
        <f t="shared" si="209"/>
        <v>8 meses</v>
      </c>
      <c r="N231" s="223" t="e">
        <f t="shared" ca="1" si="210"/>
        <v>#VALUE!</v>
      </c>
      <c r="O231" s="268" t="e">
        <f t="shared" ca="1" si="211"/>
        <v>#VALUE!</v>
      </c>
      <c r="P231" s="268" t="str">
        <f t="shared" si="220"/>
        <v/>
      </c>
      <c r="Q231" s="268" t="str">
        <f t="shared" si="212"/>
        <v/>
      </c>
      <c r="R231" s="268" t="str">
        <f t="shared" si="213"/>
        <v/>
      </c>
      <c r="S231" s="268" t="str">
        <f t="shared" si="214"/>
        <v/>
      </c>
      <c r="T231" s="268" t="str">
        <f t="shared" si="215"/>
        <v/>
      </c>
      <c r="U231" s="268" t="str">
        <f t="shared" si="216"/>
        <v/>
      </c>
      <c r="V231" s="268" t="str">
        <f t="shared" si="223"/>
        <v/>
      </c>
      <c r="W231" s="268" t="str">
        <f t="shared" si="217"/>
        <v/>
      </c>
      <c r="X231" s="268" t="str">
        <f t="shared" si="218"/>
        <v/>
      </c>
      <c r="Y231" s="268" t="str">
        <f t="shared" si="222"/>
        <v/>
      </c>
      <c r="Z231" s="268" t="str">
        <f t="shared" si="219"/>
        <v/>
      </c>
      <c r="AA231" s="268" t="str">
        <f t="shared" si="237"/>
        <v/>
      </c>
      <c r="AB231" s="268" t="str">
        <f t="shared" si="228"/>
        <v/>
      </c>
      <c r="AC231" s="268" t="str">
        <f t="shared" si="235"/>
        <v/>
      </c>
      <c r="AD231" s="268" t="str">
        <f t="shared" si="241"/>
        <v/>
      </c>
      <c r="AE231" s="268" t="str">
        <f t="shared" si="244"/>
        <v/>
      </c>
      <c r="AF231" s="268" t="str">
        <f t="shared" si="188"/>
        <v/>
      </c>
      <c r="AG231" s="268" t="str">
        <f t="shared" si="195"/>
        <v/>
      </c>
      <c r="AH231" s="268" t="str">
        <f t="shared" si="200"/>
        <v/>
      </c>
      <c r="AI231" s="268" t="str">
        <f t="shared" si="242"/>
        <v/>
      </c>
      <c r="AJ231" s="268" t="str">
        <f t="shared" ref="AJ231:AJ261" si="246">IF(AND(E231&lt;$AJ$2,I231&gt;$AJ$2),"1","")</f>
        <v/>
      </c>
      <c r="AK231" s="268" t="str">
        <f t="shared" si="229"/>
        <v/>
      </c>
      <c r="AL231" s="268" t="str">
        <f t="shared" si="232"/>
        <v/>
      </c>
      <c r="AM231" s="268" t="str">
        <f t="shared" si="236"/>
        <v/>
      </c>
      <c r="AN231" s="223" t="str">
        <f t="shared" ref="AN231:AN261" si="247">IF(AND(E231&lt;$AN$2,I231&gt;$AN$2),"1","")</f>
        <v/>
      </c>
      <c r="AO231" s="223" t="str">
        <f t="shared" si="230"/>
        <v/>
      </c>
      <c r="AP231" s="223" t="str">
        <f t="shared" si="239"/>
        <v/>
      </c>
      <c r="AQ231" s="223" t="str">
        <f t="shared" si="243"/>
        <v/>
      </c>
      <c r="AR231" s="223" t="str">
        <f t="shared" ref="AR231:AR261" si="248">IF(AND(E231&lt;$AR$2,I231&gt;$AR$2),"1","")</f>
        <v/>
      </c>
      <c r="AS231" s="223" t="str">
        <f t="shared" si="233"/>
        <v/>
      </c>
      <c r="AT231" s="223" t="str">
        <f t="shared" si="234"/>
        <v>1</v>
      </c>
      <c r="AU231" s="223" t="str">
        <f t="shared" si="240"/>
        <v>1</v>
      </c>
      <c r="AV231" s="223" t="str">
        <f t="shared" si="245"/>
        <v>1</v>
      </c>
      <c r="AW231" s="223" t="str">
        <f t="shared" si="227"/>
        <v>1</v>
      </c>
      <c r="AX231" s="223" t="str">
        <f t="shared" si="231"/>
        <v>1</v>
      </c>
      <c r="AY231" s="223" t="str">
        <f t="shared" si="238"/>
        <v>1</v>
      </c>
    </row>
    <row r="232" spans="1:51" ht="22.5" x14ac:dyDescent="0.25">
      <c r="A232" s="225">
        <v>230</v>
      </c>
      <c r="B232" s="251" t="s">
        <v>1106</v>
      </c>
      <c r="C232" s="132" t="s">
        <v>100</v>
      </c>
      <c r="D232" s="167">
        <v>2014</v>
      </c>
      <c r="E232" s="138">
        <v>41703</v>
      </c>
      <c r="F232" s="222">
        <f t="shared" si="203"/>
        <v>3</v>
      </c>
      <c r="G232" s="222" t="str">
        <f t="shared" si="204"/>
        <v>32014</v>
      </c>
      <c r="H232" s="222" t="str">
        <f t="shared" si="205"/>
        <v>marzo</v>
      </c>
      <c r="I232" s="126" t="str">
        <f>VLOOKUP(B232,'Base de Datos'!$E$7:$T$271,14,0)</f>
        <v>2 meses</v>
      </c>
      <c r="J232" s="224" t="e">
        <f t="shared" si="206"/>
        <v>#VALUE!</v>
      </c>
      <c r="K232" s="223" t="e">
        <f t="shared" si="207"/>
        <v>#VALUE!</v>
      </c>
      <c r="L232" s="223" t="e">
        <f t="shared" si="208"/>
        <v>#VALUE!</v>
      </c>
      <c r="M232" s="223" t="str">
        <f t="shared" si="209"/>
        <v>2 meses</v>
      </c>
      <c r="N232" s="223" t="e">
        <f t="shared" ca="1" si="210"/>
        <v>#VALUE!</v>
      </c>
      <c r="O232" s="268" t="e">
        <f t="shared" ca="1" si="211"/>
        <v>#VALUE!</v>
      </c>
      <c r="P232" s="268" t="str">
        <f t="shared" si="220"/>
        <v/>
      </c>
      <c r="Q232" s="268" t="str">
        <f t="shared" si="212"/>
        <v/>
      </c>
      <c r="R232" s="268" t="str">
        <f t="shared" si="213"/>
        <v/>
      </c>
      <c r="S232" s="268" t="str">
        <f t="shared" si="214"/>
        <v/>
      </c>
      <c r="T232" s="268" t="str">
        <f t="shared" si="215"/>
        <v/>
      </c>
      <c r="U232" s="268" t="str">
        <f t="shared" si="216"/>
        <v/>
      </c>
      <c r="V232" s="268" t="str">
        <f t="shared" si="223"/>
        <v/>
      </c>
      <c r="W232" s="268" t="str">
        <f t="shared" si="217"/>
        <v/>
      </c>
      <c r="X232" s="268" t="str">
        <f t="shared" si="218"/>
        <v/>
      </c>
      <c r="Y232" s="268" t="str">
        <f t="shared" si="222"/>
        <v/>
      </c>
      <c r="Z232" s="268" t="str">
        <f t="shared" si="219"/>
        <v/>
      </c>
      <c r="AA232" s="268" t="str">
        <f t="shared" si="237"/>
        <v/>
      </c>
      <c r="AB232" s="268" t="str">
        <f t="shared" si="228"/>
        <v/>
      </c>
      <c r="AC232" s="268" t="str">
        <f t="shared" si="235"/>
        <v/>
      </c>
      <c r="AD232" s="268" t="str">
        <f t="shared" si="241"/>
        <v/>
      </c>
      <c r="AE232" s="268" t="str">
        <f t="shared" si="244"/>
        <v/>
      </c>
      <c r="AF232" s="268" t="str">
        <f t="shared" si="188"/>
        <v/>
      </c>
      <c r="AG232" s="268" t="str">
        <f t="shared" si="195"/>
        <v/>
      </c>
      <c r="AH232" s="268" t="str">
        <f t="shared" si="200"/>
        <v/>
      </c>
      <c r="AI232" s="268" t="str">
        <f t="shared" si="242"/>
        <v/>
      </c>
      <c r="AJ232" s="268" t="str">
        <f t="shared" si="246"/>
        <v/>
      </c>
      <c r="AK232" s="268" t="str">
        <f t="shared" si="229"/>
        <v/>
      </c>
      <c r="AL232" s="268" t="str">
        <f t="shared" si="232"/>
        <v/>
      </c>
      <c r="AM232" s="268" t="str">
        <f t="shared" si="236"/>
        <v/>
      </c>
      <c r="AN232" s="223" t="str">
        <f t="shared" si="247"/>
        <v/>
      </c>
      <c r="AO232" s="223" t="str">
        <f t="shared" si="230"/>
        <v/>
      </c>
      <c r="AP232" s="223" t="str">
        <f t="shared" si="239"/>
        <v>1</v>
      </c>
      <c r="AQ232" s="223" t="str">
        <f t="shared" si="243"/>
        <v>1</v>
      </c>
      <c r="AR232" s="223" t="str">
        <f t="shared" si="248"/>
        <v>1</v>
      </c>
      <c r="AS232" s="223" t="str">
        <f t="shared" si="233"/>
        <v>1</v>
      </c>
      <c r="AT232" s="223" t="str">
        <f t="shared" si="234"/>
        <v>1</v>
      </c>
      <c r="AU232" s="223" t="str">
        <f t="shared" si="240"/>
        <v>1</v>
      </c>
      <c r="AV232" s="223" t="str">
        <f t="shared" si="245"/>
        <v>1</v>
      </c>
      <c r="AW232" s="223" t="str">
        <f t="shared" si="227"/>
        <v>1</v>
      </c>
      <c r="AX232" s="223" t="str">
        <f t="shared" si="231"/>
        <v>1</v>
      </c>
      <c r="AY232" s="223" t="str">
        <f t="shared" si="238"/>
        <v>1</v>
      </c>
    </row>
    <row r="233" spans="1:51" ht="22.5" x14ac:dyDescent="0.25">
      <c r="A233" s="225">
        <v>231</v>
      </c>
      <c r="B233" s="251" t="s">
        <v>287</v>
      </c>
      <c r="C233" s="132" t="s">
        <v>1047</v>
      </c>
      <c r="D233" s="167">
        <v>2014</v>
      </c>
      <c r="E233" s="138">
        <v>41811</v>
      </c>
      <c r="F233" s="222">
        <f t="shared" si="203"/>
        <v>6</v>
      </c>
      <c r="G233" s="222" t="str">
        <f t="shared" si="204"/>
        <v>62014</v>
      </c>
      <c r="H233" s="222" t="str">
        <f t="shared" si="205"/>
        <v>junio</v>
      </c>
      <c r="I233" s="126" t="str">
        <f>VLOOKUP(B233,'Base de Datos'!$E$7:$T$271,14,0)</f>
        <v>1 mes y 25 días</v>
      </c>
      <c r="J233" s="224" t="e">
        <f t="shared" si="206"/>
        <v>#VALUE!</v>
      </c>
      <c r="K233" s="223" t="e">
        <f t="shared" si="207"/>
        <v>#VALUE!</v>
      </c>
      <c r="L233" s="223" t="e">
        <f t="shared" si="208"/>
        <v>#VALUE!</v>
      </c>
      <c r="M233" s="223" t="str">
        <f t="shared" si="209"/>
        <v>1 mes y 25 días</v>
      </c>
      <c r="N233" s="223" t="e">
        <f t="shared" ca="1" si="210"/>
        <v>#VALUE!</v>
      </c>
      <c r="O233" s="268" t="e">
        <f t="shared" ca="1" si="211"/>
        <v>#VALUE!</v>
      </c>
      <c r="P233" s="268" t="str">
        <f t="shared" si="220"/>
        <v/>
      </c>
      <c r="Q233" s="268" t="str">
        <f t="shared" si="212"/>
        <v/>
      </c>
      <c r="R233" s="268" t="str">
        <f t="shared" si="213"/>
        <v/>
      </c>
      <c r="S233" s="268" t="str">
        <f t="shared" si="214"/>
        <v/>
      </c>
      <c r="T233" s="268" t="str">
        <f t="shared" si="215"/>
        <v/>
      </c>
      <c r="U233" s="268" t="str">
        <f t="shared" si="216"/>
        <v/>
      </c>
      <c r="V233" s="268" t="str">
        <f t="shared" si="223"/>
        <v/>
      </c>
      <c r="W233" s="268" t="str">
        <f t="shared" si="217"/>
        <v/>
      </c>
      <c r="X233" s="268" t="str">
        <f t="shared" si="218"/>
        <v/>
      </c>
      <c r="Y233" s="268" t="str">
        <f t="shared" si="222"/>
        <v/>
      </c>
      <c r="Z233" s="268" t="str">
        <f t="shared" si="219"/>
        <v/>
      </c>
      <c r="AA233" s="268" t="str">
        <f t="shared" si="237"/>
        <v/>
      </c>
      <c r="AB233" s="268" t="str">
        <f t="shared" si="228"/>
        <v/>
      </c>
      <c r="AC233" s="268" t="str">
        <f t="shared" si="235"/>
        <v/>
      </c>
      <c r="AD233" s="268" t="str">
        <f t="shared" si="241"/>
        <v/>
      </c>
      <c r="AE233" s="268" t="str">
        <f t="shared" si="244"/>
        <v/>
      </c>
      <c r="AF233" s="268" t="str">
        <f t="shared" si="188"/>
        <v/>
      </c>
      <c r="AG233" s="268" t="str">
        <f t="shared" si="195"/>
        <v/>
      </c>
      <c r="AH233" s="268" t="str">
        <f t="shared" si="200"/>
        <v/>
      </c>
      <c r="AI233" s="268" t="str">
        <f t="shared" si="242"/>
        <v/>
      </c>
      <c r="AJ233" s="268" t="str">
        <f t="shared" si="246"/>
        <v/>
      </c>
      <c r="AK233" s="268" t="str">
        <f t="shared" si="229"/>
        <v/>
      </c>
      <c r="AL233" s="268" t="str">
        <f t="shared" si="232"/>
        <v/>
      </c>
      <c r="AM233" s="268" t="str">
        <f t="shared" si="236"/>
        <v/>
      </c>
      <c r="AN233" s="223" t="str">
        <f t="shared" si="247"/>
        <v/>
      </c>
      <c r="AO233" s="223" t="str">
        <f t="shared" si="230"/>
        <v/>
      </c>
      <c r="AP233" s="223" t="str">
        <f t="shared" si="239"/>
        <v/>
      </c>
      <c r="AQ233" s="223" t="str">
        <f t="shared" si="243"/>
        <v/>
      </c>
      <c r="AR233" s="223" t="str">
        <f t="shared" si="248"/>
        <v/>
      </c>
      <c r="AS233" s="223" t="str">
        <f t="shared" si="233"/>
        <v>1</v>
      </c>
      <c r="AT233" s="223" t="str">
        <f t="shared" si="234"/>
        <v>1</v>
      </c>
      <c r="AU233" s="223" t="str">
        <f t="shared" si="240"/>
        <v>1</v>
      </c>
      <c r="AV233" s="223" t="str">
        <f t="shared" si="245"/>
        <v>1</v>
      </c>
      <c r="AW233" s="223" t="str">
        <f t="shared" ref="AW233:AW261" si="249">IF(AND(E233&lt;$AW$2,I233&gt;$AW$2),"1","")</f>
        <v>1</v>
      </c>
      <c r="AX233" s="223" t="str">
        <f t="shared" si="231"/>
        <v>1</v>
      </c>
      <c r="AY233" s="223" t="str">
        <f t="shared" si="238"/>
        <v>1</v>
      </c>
    </row>
    <row r="234" spans="1:51" ht="33.75" x14ac:dyDescent="0.25">
      <c r="A234" s="225">
        <v>232</v>
      </c>
      <c r="B234" s="251" t="s">
        <v>1160</v>
      </c>
      <c r="C234" s="132" t="s">
        <v>1161</v>
      </c>
      <c r="D234" s="167">
        <v>2014</v>
      </c>
      <c r="E234" s="138">
        <v>41926</v>
      </c>
      <c r="F234" s="222">
        <f t="shared" si="203"/>
        <v>10</v>
      </c>
      <c r="G234" s="222" t="str">
        <f t="shared" si="204"/>
        <v>102014</v>
      </c>
      <c r="H234" s="222" t="str">
        <f t="shared" si="205"/>
        <v>octubre</v>
      </c>
      <c r="I234" s="126" t="str">
        <f>VLOOKUP(B234,'Base de Datos'!$E$7:$T$271,14,0)</f>
        <v/>
      </c>
      <c r="J234" s="224" t="e">
        <f t="shared" si="206"/>
        <v>#VALUE!</v>
      </c>
      <c r="K234" s="223" t="e">
        <f t="shared" si="207"/>
        <v>#VALUE!</v>
      </c>
      <c r="L234" s="223" t="e">
        <f t="shared" si="208"/>
        <v>#VALUE!</v>
      </c>
      <c r="M234" s="223" t="str">
        <f t="shared" si="209"/>
        <v/>
      </c>
      <c r="N234" s="223" t="e">
        <f t="shared" ca="1" si="210"/>
        <v>#VALUE!</v>
      </c>
      <c r="O234" s="268" t="e">
        <f t="shared" ca="1" si="211"/>
        <v>#VALUE!</v>
      </c>
      <c r="P234" s="268" t="str">
        <f t="shared" si="220"/>
        <v/>
      </c>
      <c r="Q234" s="268" t="str">
        <f t="shared" si="212"/>
        <v/>
      </c>
      <c r="R234" s="268" t="str">
        <f t="shared" si="213"/>
        <v/>
      </c>
      <c r="S234" s="268" t="str">
        <f t="shared" si="214"/>
        <v/>
      </c>
      <c r="T234" s="268" t="str">
        <f t="shared" si="215"/>
        <v/>
      </c>
      <c r="U234" s="268" t="str">
        <f t="shared" si="216"/>
        <v/>
      </c>
      <c r="V234" s="268" t="str">
        <f t="shared" si="223"/>
        <v/>
      </c>
      <c r="W234" s="268" t="str">
        <f t="shared" si="217"/>
        <v/>
      </c>
      <c r="X234" s="268" t="str">
        <f t="shared" si="218"/>
        <v/>
      </c>
      <c r="Y234" s="268" t="str">
        <f t="shared" si="222"/>
        <v/>
      </c>
      <c r="Z234" s="268" t="str">
        <f t="shared" si="219"/>
        <v/>
      </c>
      <c r="AA234" s="268" t="str">
        <f t="shared" si="237"/>
        <v/>
      </c>
      <c r="AB234" s="268" t="str">
        <f t="shared" si="228"/>
        <v/>
      </c>
      <c r="AC234" s="268" t="str">
        <f t="shared" si="235"/>
        <v/>
      </c>
      <c r="AD234" s="268" t="str">
        <f t="shared" si="241"/>
        <v/>
      </c>
      <c r="AE234" s="268" t="str">
        <f t="shared" si="244"/>
        <v/>
      </c>
      <c r="AF234" s="268" t="str">
        <f t="shared" si="188"/>
        <v/>
      </c>
      <c r="AG234" s="268" t="str">
        <f t="shared" si="195"/>
        <v/>
      </c>
      <c r="AH234" s="268" t="str">
        <f t="shared" si="200"/>
        <v/>
      </c>
      <c r="AI234" s="268" t="str">
        <f t="shared" si="242"/>
        <v/>
      </c>
      <c r="AJ234" s="268" t="str">
        <f t="shared" si="246"/>
        <v/>
      </c>
      <c r="AK234" s="268" t="str">
        <f t="shared" si="229"/>
        <v/>
      </c>
      <c r="AL234" s="268" t="str">
        <f t="shared" si="232"/>
        <v/>
      </c>
      <c r="AM234" s="268" t="str">
        <f t="shared" si="236"/>
        <v/>
      </c>
      <c r="AN234" s="223" t="str">
        <f t="shared" si="247"/>
        <v/>
      </c>
      <c r="AO234" s="223" t="str">
        <f t="shared" si="230"/>
        <v/>
      </c>
      <c r="AP234" s="223" t="str">
        <f t="shared" si="239"/>
        <v/>
      </c>
      <c r="AQ234" s="223" t="str">
        <f t="shared" si="243"/>
        <v/>
      </c>
      <c r="AR234" s="223" t="str">
        <f t="shared" si="248"/>
        <v/>
      </c>
      <c r="AS234" s="223" t="str">
        <f t="shared" si="233"/>
        <v/>
      </c>
      <c r="AT234" s="223" t="str">
        <f t="shared" si="234"/>
        <v/>
      </c>
      <c r="AU234" s="223" t="str">
        <f t="shared" si="240"/>
        <v/>
      </c>
      <c r="AV234" s="223" t="str">
        <f t="shared" si="245"/>
        <v/>
      </c>
      <c r="AW234" s="223" t="str">
        <f t="shared" si="249"/>
        <v>1</v>
      </c>
      <c r="AX234" s="223" t="str">
        <f t="shared" si="231"/>
        <v>1</v>
      </c>
      <c r="AY234" s="223" t="str">
        <f t="shared" si="238"/>
        <v>1</v>
      </c>
    </row>
    <row r="235" spans="1:51" ht="22.5" x14ac:dyDescent="0.25">
      <c r="A235" s="225">
        <v>233</v>
      </c>
      <c r="B235" s="251" t="s">
        <v>278</v>
      </c>
      <c r="C235" s="132" t="s">
        <v>15</v>
      </c>
      <c r="D235" s="167">
        <v>2014</v>
      </c>
      <c r="E235" s="138">
        <v>41775</v>
      </c>
      <c r="F235" s="222">
        <f t="shared" si="203"/>
        <v>5</v>
      </c>
      <c r="G235" s="222" t="str">
        <f t="shared" si="204"/>
        <v>52014</v>
      </c>
      <c r="H235" s="222" t="str">
        <f t="shared" si="205"/>
        <v>mayo</v>
      </c>
      <c r="I235" s="126" t="str">
        <f>VLOOKUP(B235,'Base de Datos'!$E$7:$T$271,14,0)</f>
        <v/>
      </c>
      <c r="J235" s="224" t="e">
        <f t="shared" si="206"/>
        <v>#VALUE!</v>
      </c>
      <c r="K235" s="223" t="e">
        <f t="shared" si="207"/>
        <v>#VALUE!</v>
      </c>
      <c r="L235" s="223" t="e">
        <f t="shared" si="208"/>
        <v>#VALUE!</v>
      </c>
      <c r="M235" s="223" t="str">
        <f t="shared" si="209"/>
        <v/>
      </c>
      <c r="N235" s="223" t="e">
        <f t="shared" ca="1" si="210"/>
        <v>#VALUE!</v>
      </c>
      <c r="O235" s="268" t="e">
        <f t="shared" ca="1" si="211"/>
        <v>#VALUE!</v>
      </c>
      <c r="P235" s="268" t="str">
        <f t="shared" si="220"/>
        <v/>
      </c>
      <c r="Q235" s="268" t="str">
        <f t="shared" si="212"/>
        <v/>
      </c>
      <c r="R235" s="268" t="str">
        <f t="shared" si="213"/>
        <v/>
      </c>
      <c r="S235" s="268" t="str">
        <f t="shared" si="214"/>
        <v/>
      </c>
      <c r="T235" s="268" t="str">
        <f t="shared" si="215"/>
        <v/>
      </c>
      <c r="U235" s="268" t="str">
        <f t="shared" si="216"/>
        <v/>
      </c>
      <c r="V235" s="268" t="str">
        <f t="shared" si="223"/>
        <v/>
      </c>
      <c r="W235" s="268" t="str">
        <f t="shared" si="217"/>
        <v/>
      </c>
      <c r="X235" s="268" t="str">
        <f t="shared" si="218"/>
        <v/>
      </c>
      <c r="Y235" s="268" t="str">
        <f t="shared" si="222"/>
        <v/>
      </c>
      <c r="Z235" s="268" t="str">
        <f t="shared" si="219"/>
        <v/>
      </c>
      <c r="AA235" s="268" t="str">
        <f t="shared" si="237"/>
        <v/>
      </c>
      <c r="AB235" s="268" t="str">
        <f t="shared" si="228"/>
        <v/>
      </c>
      <c r="AC235" s="268" t="str">
        <f t="shared" si="235"/>
        <v/>
      </c>
      <c r="AD235" s="268" t="str">
        <f t="shared" si="241"/>
        <v/>
      </c>
      <c r="AE235" s="268" t="str">
        <f t="shared" si="244"/>
        <v/>
      </c>
      <c r="AF235" s="268" t="str">
        <f t="shared" ref="AF235:AF261" si="250">IF(AND(E235&lt;$AF$2,I235&gt;$AF$2),"1","")</f>
        <v/>
      </c>
      <c r="AG235" s="268" t="str">
        <f t="shared" si="195"/>
        <v/>
      </c>
      <c r="AH235" s="268" t="str">
        <f t="shared" si="200"/>
        <v/>
      </c>
      <c r="AI235" s="268" t="str">
        <f t="shared" si="242"/>
        <v/>
      </c>
      <c r="AJ235" s="268" t="str">
        <f t="shared" si="246"/>
        <v/>
      </c>
      <c r="AK235" s="268" t="str">
        <f t="shared" si="229"/>
        <v/>
      </c>
      <c r="AL235" s="268" t="str">
        <f t="shared" si="232"/>
        <v/>
      </c>
      <c r="AM235" s="268" t="str">
        <f t="shared" si="236"/>
        <v/>
      </c>
      <c r="AN235" s="223" t="str">
        <f t="shared" si="247"/>
        <v/>
      </c>
      <c r="AO235" s="223" t="str">
        <f t="shared" si="230"/>
        <v/>
      </c>
      <c r="AP235" s="223" t="str">
        <f t="shared" si="239"/>
        <v/>
      </c>
      <c r="AQ235" s="223" t="str">
        <f t="shared" si="243"/>
        <v/>
      </c>
      <c r="AR235" s="223" t="str">
        <f t="shared" si="248"/>
        <v>1</v>
      </c>
      <c r="AS235" s="223" t="str">
        <f t="shared" si="233"/>
        <v>1</v>
      </c>
      <c r="AT235" s="223" t="str">
        <f t="shared" si="234"/>
        <v>1</v>
      </c>
      <c r="AU235" s="223" t="str">
        <f t="shared" si="240"/>
        <v>1</v>
      </c>
      <c r="AV235" s="223" t="str">
        <f t="shared" si="245"/>
        <v>1</v>
      </c>
      <c r="AW235" s="223" t="str">
        <f t="shared" si="249"/>
        <v>1</v>
      </c>
      <c r="AX235" s="223" t="str">
        <f t="shared" si="231"/>
        <v>1</v>
      </c>
      <c r="AY235" s="223" t="str">
        <f t="shared" si="238"/>
        <v>1</v>
      </c>
    </row>
    <row r="236" spans="1:51" x14ac:dyDescent="0.25">
      <c r="B236" s="251" t="s">
        <v>297</v>
      </c>
      <c r="C236" s="132" t="s">
        <v>999</v>
      </c>
      <c r="D236" s="167">
        <v>2014</v>
      </c>
      <c r="E236" s="138">
        <v>41835</v>
      </c>
      <c r="F236" s="222">
        <f t="shared" si="203"/>
        <v>7</v>
      </c>
      <c r="G236" s="222" t="str">
        <f t="shared" si="204"/>
        <v>72014</v>
      </c>
      <c r="H236" s="222" t="str">
        <f t="shared" si="205"/>
        <v>julio</v>
      </c>
      <c r="I236" s="126" t="str">
        <f>VLOOKUP(B236,'Base de Datos'!$E$7:$T$271,14,0)</f>
        <v>2 meses</v>
      </c>
      <c r="J236" s="224" t="e">
        <f t="shared" si="206"/>
        <v>#VALUE!</v>
      </c>
      <c r="K236" s="223" t="e">
        <f t="shared" si="207"/>
        <v>#VALUE!</v>
      </c>
      <c r="L236" s="223" t="e">
        <f t="shared" si="208"/>
        <v>#VALUE!</v>
      </c>
      <c r="M236" s="223" t="str">
        <f t="shared" si="209"/>
        <v>2 meses</v>
      </c>
      <c r="N236" s="223" t="e">
        <f t="shared" ca="1" si="210"/>
        <v>#VALUE!</v>
      </c>
      <c r="O236" s="268" t="e">
        <f t="shared" ca="1" si="211"/>
        <v>#VALUE!</v>
      </c>
      <c r="P236" s="268" t="str">
        <f t="shared" si="220"/>
        <v/>
      </c>
      <c r="Q236" s="268" t="str">
        <f t="shared" si="212"/>
        <v/>
      </c>
      <c r="R236" s="268" t="str">
        <f t="shared" si="213"/>
        <v/>
      </c>
      <c r="S236" s="268" t="str">
        <f t="shared" si="214"/>
        <v/>
      </c>
      <c r="T236" s="268" t="str">
        <f t="shared" si="215"/>
        <v/>
      </c>
      <c r="U236" s="268" t="str">
        <f t="shared" si="216"/>
        <v/>
      </c>
      <c r="V236" s="268" t="str">
        <f t="shared" si="223"/>
        <v/>
      </c>
      <c r="W236" s="268" t="str">
        <f t="shared" si="217"/>
        <v/>
      </c>
      <c r="X236" s="268" t="str">
        <f t="shared" si="218"/>
        <v/>
      </c>
      <c r="Y236" s="268" t="str">
        <f t="shared" si="222"/>
        <v/>
      </c>
      <c r="Z236" s="268" t="str">
        <f t="shared" si="219"/>
        <v/>
      </c>
      <c r="AA236" s="268" t="str">
        <f t="shared" si="237"/>
        <v/>
      </c>
      <c r="AB236" s="268" t="str">
        <f t="shared" si="228"/>
        <v/>
      </c>
      <c r="AC236" s="268" t="str">
        <f t="shared" si="235"/>
        <v/>
      </c>
      <c r="AD236" s="268" t="str">
        <f t="shared" si="241"/>
        <v/>
      </c>
      <c r="AE236" s="268" t="str">
        <f t="shared" si="244"/>
        <v/>
      </c>
      <c r="AF236" s="268" t="str">
        <f t="shared" si="250"/>
        <v/>
      </c>
      <c r="AG236" s="268" t="str">
        <f t="shared" si="195"/>
        <v/>
      </c>
      <c r="AH236" s="268" t="str">
        <f t="shared" si="200"/>
        <v/>
      </c>
      <c r="AI236" s="268" t="str">
        <f t="shared" si="242"/>
        <v/>
      </c>
      <c r="AJ236" s="268" t="str">
        <f t="shared" si="246"/>
        <v/>
      </c>
      <c r="AK236" s="268" t="str">
        <f t="shared" si="229"/>
        <v/>
      </c>
      <c r="AL236" s="268" t="str">
        <f t="shared" si="232"/>
        <v/>
      </c>
      <c r="AM236" s="268" t="str">
        <f t="shared" si="236"/>
        <v/>
      </c>
      <c r="AN236" s="223" t="str">
        <f t="shared" si="247"/>
        <v/>
      </c>
      <c r="AO236" s="223" t="str">
        <f t="shared" si="230"/>
        <v/>
      </c>
      <c r="AP236" s="223" t="str">
        <f t="shared" si="239"/>
        <v/>
      </c>
      <c r="AQ236" s="223" t="str">
        <f t="shared" si="243"/>
        <v/>
      </c>
      <c r="AR236" s="223" t="str">
        <f t="shared" si="248"/>
        <v/>
      </c>
      <c r="AS236" s="223" t="str">
        <f t="shared" si="233"/>
        <v/>
      </c>
      <c r="AT236" s="223" t="str">
        <f t="shared" si="234"/>
        <v>1</v>
      </c>
      <c r="AU236" s="223" t="str">
        <f t="shared" si="240"/>
        <v>1</v>
      </c>
      <c r="AV236" s="223" t="str">
        <f t="shared" si="245"/>
        <v>1</v>
      </c>
      <c r="AW236" s="223" t="str">
        <f t="shared" si="249"/>
        <v>1</v>
      </c>
      <c r="AX236" s="223" t="str">
        <f t="shared" si="231"/>
        <v>1</v>
      </c>
      <c r="AY236" s="223" t="str">
        <f t="shared" si="238"/>
        <v>1</v>
      </c>
    </row>
    <row r="237" spans="1:51" x14ac:dyDescent="0.25">
      <c r="B237" s="262" t="str">
        <f>+'Base de Datos'!E264</f>
        <v>140382-0-2014</v>
      </c>
      <c r="C237" s="238" t="str">
        <f>+'Base de Datos'!F264</f>
        <v>VIGILANCIA ACOSTA LIMITADA</v>
      </c>
      <c r="D237" s="408">
        <f>YEAR(E237)</f>
        <v>2014</v>
      </c>
      <c r="E237" s="239">
        <f>+'Base de Datos'!M264</f>
        <v>41989</v>
      </c>
      <c r="F237" s="222">
        <f t="shared" si="203"/>
        <v>12</v>
      </c>
      <c r="G237" s="222" t="str">
        <f t="shared" si="204"/>
        <v>122014</v>
      </c>
      <c r="H237" s="222" t="str">
        <f t="shared" si="205"/>
        <v>diciembre</v>
      </c>
      <c r="I237" s="126" t="str">
        <f>VLOOKUP(B237,'Base de Datos'!$E$7:$T$271,14,0)</f>
        <v/>
      </c>
      <c r="J237" s="224" t="e">
        <f t="shared" si="206"/>
        <v>#VALUE!</v>
      </c>
      <c r="K237" s="223" t="e">
        <f t="shared" si="207"/>
        <v>#VALUE!</v>
      </c>
      <c r="L237" s="223" t="e">
        <f t="shared" si="208"/>
        <v>#VALUE!</v>
      </c>
      <c r="M237" s="223" t="str">
        <f t="shared" si="209"/>
        <v/>
      </c>
      <c r="N237" s="223" t="e">
        <f t="shared" ca="1" si="210"/>
        <v>#VALUE!</v>
      </c>
      <c r="O237" s="268" t="e">
        <f t="shared" ca="1" si="211"/>
        <v>#VALUE!</v>
      </c>
      <c r="P237" s="268" t="str">
        <f t="shared" si="220"/>
        <v/>
      </c>
      <c r="Q237" s="268" t="str">
        <f t="shared" si="212"/>
        <v/>
      </c>
      <c r="R237" s="268" t="str">
        <f t="shared" si="213"/>
        <v/>
      </c>
      <c r="S237" s="268" t="str">
        <f t="shared" si="214"/>
        <v/>
      </c>
      <c r="T237" s="268" t="str">
        <f t="shared" si="215"/>
        <v/>
      </c>
      <c r="U237" s="268" t="str">
        <f t="shared" si="216"/>
        <v/>
      </c>
      <c r="V237" s="268" t="str">
        <f t="shared" si="223"/>
        <v/>
      </c>
      <c r="W237" s="268" t="str">
        <f t="shared" si="217"/>
        <v/>
      </c>
      <c r="X237" s="268" t="str">
        <f t="shared" si="218"/>
        <v/>
      </c>
      <c r="Y237" s="268" t="str">
        <f t="shared" si="222"/>
        <v/>
      </c>
      <c r="Z237" s="268" t="str">
        <f t="shared" si="219"/>
        <v/>
      </c>
      <c r="AA237" s="268" t="str">
        <f t="shared" si="237"/>
        <v/>
      </c>
      <c r="AB237" s="268" t="str">
        <f t="shared" si="228"/>
        <v/>
      </c>
      <c r="AC237" s="268" t="str">
        <f t="shared" si="235"/>
        <v/>
      </c>
      <c r="AD237" s="268" t="str">
        <f t="shared" si="241"/>
        <v/>
      </c>
      <c r="AE237" s="268" t="str">
        <f t="shared" si="244"/>
        <v/>
      </c>
      <c r="AF237" s="268" t="str">
        <f t="shared" si="250"/>
        <v/>
      </c>
      <c r="AG237" s="268" t="str">
        <f t="shared" si="195"/>
        <v/>
      </c>
      <c r="AH237" s="268" t="str">
        <f t="shared" si="200"/>
        <v/>
      </c>
      <c r="AI237" s="268" t="str">
        <f t="shared" si="242"/>
        <v/>
      </c>
      <c r="AJ237" s="268" t="str">
        <f t="shared" si="246"/>
        <v/>
      </c>
      <c r="AK237" s="268" t="str">
        <f t="shared" si="229"/>
        <v/>
      </c>
      <c r="AL237" s="268" t="str">
        <f t="shared" si="232"/>
        <v/>
      </c>
      <c r="AM237" s="268" t="str">
        <f t="shared" si="236"/>
        <v/>
      </c>
      <c r="AN237" s="223" t="str">
        <f t="shared" si="247"/>
        <v/>
      </c>
      <c r="AO237" s="223" t="str">
        <f t="shared" si="230"/>
        <v/>
      </c>
      <c r="AP237" s="223" t="str">
        <f t="shared" si="239"/>
        <v/>
      </c>
      <c r="AQ237" s="223" t="str">
        <f t="shared" si="243"/>
        <v/>
      </c>
      <c r="AR237" s="223" t="str">
        <f t="shared" si="248"/>
        <v/>
      </c>
      <c r="AS237" s="223" t="str">
        <f t="shared" si="233"/>
        <v/>
      </c>
      <c r="AT237" s="223" t="str">
        <f t="shared" si="234"/>
        <v/>
      </c>
      <c r="AU237" s="223" t="str">
        <f t="shared" si="240"/>
        <v/>
      </c>
      <c r="AV237" s="223" t="str">
        <f t="shared" si="245"/>
        <v/>
      </c>
      <c r="AW237" s="223" t="str">
        <f t="shared" si="249"/>
        <v/>
      </c>
      <c r="AX237" s="223" t="str">
        <f t="shared" si="231"/>
        <v/>
      </c>
      <c r="AY237" s="223" t="str">
        <f t="shared" si="238"/>
        <v>1</v>
      </c>
    </row>
    <row r="238" spans="1:51" x14ac:dyDescent="0.25">
      <c r="B238" s="262" t="str">
        <f>+'Base de Datos'!E267</f>
        <v>140396-0-2014</v>
      </c>
      <c r="C238" s="238" t="str">
        <f>+'Base de Datos'!F267</f>
        <v>KAWAK SAS</v>
      </c>
      <c r="D238" s="238">
        <f>YEAR(E238)</f>
        <v>2015</v>
      </c>
      <c r="E238" s="239">
        <f>+'Base de Datos'!M267</f>
        <v>42045</v>
      </c>
      <c r="F238" s="222">
        <f t="shared" si="203"/>
        <v>2</v>
      </c>
      <c r="G238" s="222" t="str">
        <f t="shared" si="204"/>
        <v>22015</v>
      </c>
      <c r="H238" s="222" t="str">
        <f t="shared" si="205"/>
        <v>febrero</v>
      </c>
      <c r="I238" s="126" t="str">
        <f>VLOOKUP(B238,'Base de Datos'!$E$7:$T$271,14,0)</f>
        <v>6 meses</v>
      </c>
      <c r="J238" s="224" t="e">
        <f t="shared" si="206"/>
        <v>#VALUE!</v>
      </c>
      <c r="K238" s="223" t="e">
        <f t="shared" si="207"/>
        <v>#VALUE!</v>
      </c>
      <c r="L238" s="223" t="e">
        <f t="shared" si="208"/>
        <v>#VALUE!</v>
      </c>
      <c r="M238" s="223" t="str">
        <f t="shared" si="209"/>
        <v>6 meses</v>
      </c>
      <c r="N238" s="223" t="e">
        <f t="shared" ca="1" si="210"/>
        <v>#VALUE!</v>
      </c>
      <c r="O238" s="268" t="e">
        <f t="shared" ca="1" si="211"/>
        <v>#VALUE!</v>
      </c>
      <c r="P238" s="268" t="str">
        <f t="shared" si="220"/>
        <v/>
      </c>
      <c r="Q238" s="268" t="str">
        <f t="shared" si="212"/>
        <v/>
      </c>
      <c r="R238" s="268" t="str">
        <f t="shared" si="213"/>
        <v/>
      </c>
      <c r="S238" s="268" t="str">
        <f t="shared" si="214"/>
        <v/>
      </c>
      <c r="T238" s="268" t="str">
        <f t="shared" si="215"/>
        <v/>
      </c>
      <c r="U238" s="268" t="str">
        <f t="shared" si="216"/>
        <v/>
      </c>
      <c r="V238" s="268" t="str">
        <f t="shared" si="223"/>
        <v/>
      </c>
      <c r="W238" s="268" t="str">
        <f t="shared" si="217"/>
        <v/>
      </c>
      <c r="X238" s="268" t="str">
        <f t="shared" si="218"/>
        <v/>
      </c>
      <c r="Y238" s="268" t="str">
        <f t="shared" si="222"/>
        <v/>
      </c>
      <c r="Z238" s="268" t="str">
        <f t="shared" si="219"/>
        <v/>
      </c>
      <c r="AA238" s="268" t="str">
        <f t="shared" si="237"/>
        <v/>
      </c>
      <c r="AB238" s="268" t="str">
        <f t="shared" si="228"/>
        <v/>
      </c>
      <c r="AC238" s="268" t="str">
        <f t="shared" si="235"/>
        <v/>
      </c>
      <c r="AD238" s="268" t="str">
        <f t="shared" si="241"/>
        <v/>
      </c>
      <c r="AE238" s="268" t="str">
        <f t="shared" si="244"/>
        <v/>
      </c>
      <c r="AF238" s="268" t="str">
        <f t="shared" si="250"/>
        <v/>
      </c>
      <c r="AG238" s="268" t="str">
        <f t="shared" si="195"/>
        <v/>
      </c>
      <c r="AH238" s="268" t="str">
        <f t="shared" si="200"/>
        <v/>
      </c>
      <c r="AI238" s="268" t="str">
        <f t="shared" si="242"/>
        <v/>
      </c>
      <c r="AJ238" s="268" t="str">
        <f t="shared" si="246"/>
        <v/>
      </c>
      <c r="AK238" s="268" t="str">
        <f t="shared" si="229"/>
        <v/>
      </c>
      <c r="AL238" s="268" t="str">
        <f t="shared" si="232"/>
        <v/>
      </c>
      <c r="AM238" s="268" t="str">
        <f t="shared" si="236"/>
        <v/>
      </c>
      <c r="AN238" s="223" t="str">
        <f t="shared" si="247"/>
        <v/>
      </c>
      <c r="AO238" s="223" t="str">
        <f t="shared" si="230"/>
        <v/>
      </c>
      <c r="AP238" s="223" t="str">
        <f t="shared" si="239"/>
        <v/>
      </c>
      <c r="AQ238" s="223" t="str">
        <f t="shared" si="243"/>
        <v/>
      </c>
      <c r="AR238" s="223" t="str">
        <f t="shared" si="248"/>
        <v/>
      </c>
      <c r="AS238" s="223" t="str">
        <f t="shared" si="233"/>
        <v/>
      </c>
      <c r="AT238" s="223" t="str">
        <f t="shared" si="234"/>
        <v/>
      </c>
      <c r="AU238" s="223" t="str">
        <f t="shared" si="240"/>
        <v/>
      </c>
      <c r="AV238" s="223" t="str">
        <f t="shared" si="245"/>
        <v/>
      </c>
      <c r="AW238" s="223" t="str">
        <f t="shared" si="249"/>
        <v/>
      </c>
      <c r="AX238" s="223" t="str">
        <f t="shared" si="231"/>
        <v/>
      </c>
      <c r="AY238" s="223" t="str">
        <f t="shared" si="238"/>
        <v/>
      </c>
    </row>
    <row r="239" spans="1:51" x14ac:dyDescent="0.25">
      <c r="B239" s="251" t="s">
        <v>401</v>
      </c>
      <c r="C239" s="132" t="s">
        <v>547</v>
      </c>
      <c r="D239" s="157">
        <v>2014</v>
      </c>
      <c r="E239" s="138">
        <v>41837</v>
      </c>
      <c r="F239" s="222">
        <f t="shared" si="203"/>
        <v>7</v>
      </c>
      <c r="G239" s="222" t="str">
        <f t="shared" si="204"/>
        <v>72014</v>
      </c>
      <c r="H239" s="222" t="str">
        <f t="shared" si="205"/>
        <v>julio</v>
      </c>
      <c r="I239" s="126" t="str">
        <f>VLOOKUP(B239,'Base de Datos'!$E$7:$T$271,14,0)</f>
        <v>1 mes y 14 días</v>
      </c>
      <c r="J239" s="224" t="e">
        <f t="shared" si="206"/>
        <v>#VALUE!</v>
      </c>
      <c r="K239" s="223" t="e">
        <f t="shared" si="207"/>
        <v>#VALUE!</v>
      </c>
      <c r="L239" s="223" t="e">
        <f t="shared" si="208"/>
        <v>#VALUE!</v>
      </c>
      <c r="M239" s="223" t="str">
        <f t="shared" si="209"/>
        <v>1 mes y 14 días</v>
      </c>
      <c r="N239" s="223" t="e">
        <f t="shared" ca="1" si="210"/>
        <v>#VALUE!</v>
      </c>
      <c r="O239" s="268" t="e">
        <f t="shared" ca="1" si="211"/>
        <v>#VALUE!</v>
      </c>
      <c r="P239" s="268" t="str">
        <f t="shared" si="220"/>
        <v/>
      </c>
      <c r="Q239" s="268" t="str">
        <f t="shared" si="212"/>
        <v/>
      </c>
      <c r="R239" s="268" t="str">
        <f t="shared" si="213"/>
        <v/>
      </c>
      <c r="S239" s="268" t="str">
        <f t="shared" si="214"/>
        <v/>
      </c>
      <c r="T239" s="268" t="str">
        <f t="shared" si="215"/>
        <v/>
      </c>
      <c r="U239" s="268" t="str">
        <f t="shared" si="216"/>
        <v/>
      </c>
      <c r="V239" s="268" t="str">
        <f t="shared" si="223"/>
        <v/>
      </c>
      <c r="W239" s="268" t="str">
        <f t="shared" si="217"/>
        <v/>
      </c>
      <c r="X239" s="268" t="str">
        <f t="shared" si="218"/>
        <v/>
      </c>
      <c r="Y239" s="268" t="str">
        <f t="shared" si="222"/>
        <v/>
      </c>
      <c r="Z239" s="268" t="str">
        <f t="shared" si="219"/>
        <v/>
      </c>
      <c r="AA239" s="268" t="str">
        <f t="shared" si="237"/>
        <v/>
      </c>
      <c r="AB239" s="268" t="str">
        <f t="shared" si="228"/>
        <v/>
      </c>
      <c r="AC239" s="268" t="str">
        <f t="shared" si="235"/>
        <v/>
      </c>
      <c r="AD239" s="268" t="str">
        <f t="shared" si="241"/>
        <v/>
      </c>
      <c r="AE239" s="268" t="str">
        <f t="shared" si="244"/>
        <v/>
      </c>
      <c r="AF239" s="268" t="str">
        <f t="shared" si="250"/>
        <v/>
      </c>
      <c r="AG239" s="268" t="str">
        <f t="shared" si="195"/>
        <v/>
      </c>
      <c r="AH239" s="268" t="str">
        <f t="shared" si="200"/>
        <v/>
      </c>
      <c r="AI239" s="268" t="str">
        <f t="shared" si="242"/>
        <v/>
      </c>
      <c r="AJ239" s="268" t="str">
        <f t="shared" si="246"/>
        <v/>
      </c>
      <c r="AK239" s="268" t="str">
        <f t="shared" ref="AK239:AK261" si="251">IF(AND(E239&lt;$AK$2,I239&gt;$AK$2),"1","")</f>
        <v/>
      </c>
      <c r="AL239" s="268" t="str">
        <f t="shared" si="232"/>
        <v/>
      </c>
      <c r="AM239" s="268" t="str">
        <f t="shared" si="236"/>
        <v/>
      </c>
      <c r="AN239" s="223" t="str">
        <f t="shared" si="247"/>
        <v/>
      </c>
      <c r="AO239" s="223" t="str">
        <f t="shared" ref="AO239:AO261" si="252">IF(AND(E239&lt;$AO$2,I239&gt;$AO$2),"1","")</f>
        <v/>
      </c>
      <c r="AP239" s="223" t="str">
        <f t="shared" si="239"/>
        <v/>
      </c>
      <c r="AQ239" s="223" t="str">
        <f t="shared" si="243"/>
        <v/>
      </c>
      <c r="AR239" s="223" t="str">
        <f t="shared" si="248"/>
        <v/>
      </c>
      <c r="AS239" s="223" t="str">
        <f t="shared" si="233"/>
        <v/>
      </c>
      <c r="AT239" s="223" t="str">
        <f t="shared" si="234"/>
        <v>1</v>
      </c>
      <c r="AU239" s="223" t="str">
        <f t="shared" si="240"/>
        <v>1</v>
      </c>
      <c r="AV239" s="223" t="str">
        <f t="shared" si="245"/>
        <v>1</v>
      </c>
      <c r="AW239" s="223" t="str">
        <f t="shared" si="249"/>
        <v>1</v>
      </c>
      <c r="AX239" s="223" t="str">
        <f t="shared" ref="AX239:AX261" si="253">IF(AND(E239&lt;$AX$2,I239&gt;$AX$2),"1","")</f>
        <v>1</v>
      </c>
      <c r="AY239" s="223" t="str">
        <f t="shared" si="238"/>
        <v>1</v>
      </c>
    </row>
    <row r="240" spans="1:51" ht="22.5" x14ac:dyDescent="0.25">
      <c r="B240" s="251" t="s">
        <v>292</v>
      </c>
      <c r="C240" s="132" t="s">
        <v>293</v>
      </c>
      <c r="D240" s="157">
        <v>2014</v>
      </c>
      <c r="E240" s="138">
        <v>41799</v>
      </c>
      <c r="F240" s="222">
        <f t="shared" si="203"/>
        <v>6</v>
      </c>
      <c r="G240" s="222" t="str">
        <f t="shared" si="204"/>
        <v>62014</v>
      </c>
      <c r="H240" s="222" t="str">
        <f t="shared" si="205"/>
        <v>junio</v>
      </c>
      <c r="I240" s="126" t="str">
        <f>VLOOKUP(B240,'Base de Datos'!$E$7:$T$271,14,0)</f>
        <v>1 mes y 22 días</v>
      </c>
      <c r="J240" s="224" t="e">
        <f t="shared" si="206"/>
        <v>#VALUE!</v>
      </c>
      <c r="K240" s="223" t="e">
        <f t="shared" si="207"/>
        <v>#VALUE!</v>
      </c>
      <c r="L240" s="223" t="e">
        <f t="shared" si="208"/>
        <v>#VALUE!</v>
      </c>
      <c r="M240" s="223" t="str">
        <f t="shared" si="209"/>
        <v>1 mes y 22 días</v>
      </c>
      <c r="N240" s="223" t="e">
        <f t="shared" ca="1" si="210"/>
        <v>#VALUE!</v>
      </c>
      <c r="O240" s="268" t="e">
        <f t="shared" ca="1" si="211"/>
        <v>#VALUE!</v>
      </c>
      <c r="P240" s="268" t="str">
        <f t="shared" si="220"/>
        <v/>
      </c>
      <c r="Q240" s="268" t="str">
        <f t="shared" si="212"/>
        <v/>
      </c>
      <c r="R240" s="268" t="str">
        <f t="shared" si="213"/>
        <v/>
      </c>
      <c r="S240" s="268" t="str">
        <f t="shared" si="214"/>
        <v/>
      </c>
      <c r="T240" s="268" t="str">
        <f t="shared" si="215"/>
        <v/>
      </c>
      <c r="U240" s="268" t="str">
        <f t="shared" si="216"/>
        <v/>
      </c>
      <c r="V240" s="268" t="str">
        <f t="shared" si="223"/>
        <v/>
      </c>
      <c r="W240" s="268" t="str">
        <f t="shared" si="217"/>
        <v/>
      </c>
      <c r="X240" s="268" t="str">
        <f t="shared" si="218"/>
        <v/>
      </c>
      <c r="Y240" s="268" t="str">
        <f t="shared" si="222"/>
        <v/>
      </c>
      <c r="Z240" s="268" t="str">
        <f t="shared" si="219"/>
        <v/>
      </c>
      <c r="AA240" s="268" t="str">
        <f t="shared" si="237"/>
        <v/>
      </c>
      <c r="AB240" s="268" t="str">
        <f t="shared" si="228"/>
        <v/>
      </c>
      <c r="AC240" s="268" t="str">
        <f t="shared" si="235"/>
        <v/>
      </c>
      <c r="AD240" s="268" t="str">
        <f t="shared" si="241"/>
        <v/>
      </c>
      <c r="AE240" s="268" t="str">
        <f t="shared" si="244"/>
        <v/>
      </c>
      <c r="AF240" s="268" t="str">
        <f t="shared" si="250"/>
        <v/>
      </c>
      <c r="AG240" s="268" t="str">
        <f t="shared" si="195"/>
        <v/>
      </c>
      <c r="AH240" s="268" t="str">
        <f t="shared" si="200"/>
        <v/>
      </c>
      <c r="AI240" s="268" t="str">
        <f t="shared" si="242"/>
        <v/>
      </c>
      <c r="AJ240" s="268" t="str">
        <f t="shared" si="246"/>
        <v/>
      </c>
      <c r="AK240" s="268" t="str">
        <f t="shared" si="251"/>
        <v/>
      </c>
      <c r="AL240" s="268" t="str">
        <f t="shared" ref="AL240:AL261" si="254">IF(AND(E240&lt;$AL$2,I240&gt;$AL$2),"1","")</f>
        <v/>
      </c>
      <c r="AM240" s="268" t="str">
        <f t="shared" si="236"/>
        <v/>
      </c>
      <c r="AN240" s="223" t="str">
        <f t="shared" si="247"/>
        <v/>
      </c>
      <c r="AO240" s="223" t="str">
        <f t="shared" si="252"/>
        <v/>
      </c>
      <c r="AP240" s="223" t="str">
        <f t="shared" si="239"/>
        <v/>
      </c>
      <c r="AQ240" s="223" t="str">
        <f t="shared" si="243"/>
        <v/>
      </c>
      <c r="AR240" s="223" t="str">
        <f t="shared" si="248"/>
        <v/>
      </c>
      <c r="AS240" s="223" t="str">
        <f t="shared" ref="AS240:AS261" si="255">IF(AND(E240&lt;$AS$2,I240&gt;$AS$2),"1","")</f>
        <v>1</v>
      </c>
      <c r="AT240" s="223" t="str">
        <f t="shared" si="234"/>
        <v>1</v>
      </c>
      <c r="AU240" s="223" t="str">
        <f t="shared" si="240"/>
        <v>1</v>
      </c>
      <c r="AV240" s="223" t="str">
        <f t="shared" si="245"/>
        <v>1</v>
      </c>
      <c r="AW240" s="223" t="str">
        <f t="shared" si="249"/>
        <v>1</v>
      </c>
      <c r="AX240" s="223" t="str">
        <f t="shared" si="253"/>
        <v>1</v>
      </c>
      <c r="AY240" s="223" t="str">
        <f t="shared" si="238"/>
        <v>1</v>
      </c>
    </row>
    <row r="241" spans="2:51" x14ac:dyDescent="0.25">
      <c r="B241" s="262" t="str">
        <f>+'Base de Datos'!E270</f>
        <v>140418-0-2014</v>
      </c>
      <c r="C241" s="238" t="str">
        <f>+'Base de Datos'!F270</f>
        <v>CENTURY MEDIA SAS</v>
      </c>
      <c r="D241" s="238">
        <f>YEAR(E241)</f>
        <v>2015</v>
      </c>
      <c r="E241" s="239">
        <f>+'Base de Datos'!M270</f>
        <v>42017</v>
      </c>
      <c r="F241" s="222">
        <f t="shared" si="203"/>
        <v>1</v>
      </c>
      <c r="G241" s="222" t="str">
        <f t="shared" si="204"/>
        <v>12015</v>
      </c>
      <c r="H241" s="222" t="str">
        <f t="shared" si="205"/>
        <v>enero</v>
      </c>
      <c r="I241" s="126" t="str">
        <f>VLOOKUP(B241,'Base de Datos'!$E$7:$T$271,14,0)</f>
        <v>4 meses y 18 días</v>
      </c>
      <c r="J241" s="224" t="e">
        <f t="shared" si="206"/>
        <v>#VALUE!</v>
      </c>
      <c r="K241" s="401" t="e">
        <f t="shared" si="207"/>
        <v>#VALUE!</v>
      </c>
      <c r="L241" s="401" t="e">
        <f t="shared" si="208"/>
        <v>#VALUE!</v>
      </c>
      <c r="M241" s="401" t="str">
        <f t="shared" si="209"/>
        <v>4 meses y 18 días</v>
      </c>
      <c r="N241" s="401" t="e">
        <f t="shared" ca="1" si="210"/>
        <v>#VALUE!</v>
      </c>
      <c r="O241" s="268" t="e">
        <f t="shared" ca="1" si="211"/>
        <v>#VALUE!</v>
      </c>
      <c r="P241" s="268" t="str">
        <f t="shared" si="220"/>
        <v/>
      </c>
      <c r="Q241" s="268" t="str">
        <f t="shared" si="212"/>
        <v/>
      </c>
      <c r="R241" s="268" t="str">
        <f t="shared" si="213"/>
        <v/>
      </c>
      <c r="S241" s="268" t="str">
        <f t="shared" si="214"/>
        <v/>
      </c>
      <c r="T241" s="268" t="str">
        <f t="shared" si="215"/>
        <v/>
      </c>
      <c r="U241" s="268" t="str">
        <f t="shared" si="216"/>
        <v/>
      </c>
      <c r="V241" s="268" t="str">
        <f t="shared" si="223"/>
        <v/>
      </c>
      <c r="W241" s="268" t="str">
        <f t="shared" si="217"/>
        <v/>
      </c>
      <c r="X241" s="268" t="str">
        <f t="shared" si="218"/>
        <v/>
      </c>
      <c r="Y241" s="268" t="str">
        <f t="shared" si="222"/>
        <v/>
      </c>
      <c r="Z241" s="268" t="str">
        <f t="shared" si="219"/>
        <v/>
      </c>
      <c r="AA241" s="268" t="str">
        <f t="shared" si="237"/>
        <v/>
      </c>
      <c r="AB241" s="268" t="str">
        <f t="shared" si="228"/>
        <v/>
      </c>
      <c r="AC241" s="268" t="str">
        <f t="shared" si="235"/>
        <v/>
      </c>
      <c r="AD241" s="268" t="str">
        <f t="shared" si="241"/>
        <v/>
      </c>
      <c r="AE241" s="268" t="str">
        <f t="shared" si="244"/>
        <v/>
      </c>
      <c r="AF241" s="268" t="str">
        <f t="shared" si="250"/>
        <v/>
      </c>
      <c r="AG241" s="268" t="str">
        <f t="shared" si="195"/>
        <v/>
      </c>
      <c r="AH241" s="268" t="str">
        <f t="shared" si="200"/>
        <v/>
      </c>
      <c r="AI241" s="268" t="str">
        <f t="shared" si="242"/>
        <v/>
      </c>
      <c r="AJ241" s="268" t="str">
        <f t="shared" si="246"/>
        <v/>
      </c>
      <c r="AK241" s="268" t="str">
        <f t="shared" si="251"/>
        <v/>
      </c>
      <c r="AL241" s="268" t="str">
        <f t="shared" si="254"/>
        <v/>
      </c>
      <c r="AM241" s="268" t="str">
        <f t="shared" si="236"/>
        <v/>
      </c>
      <c r="AN241" s="223" t="str">
        <f t="shared" si="247"/>
        <v/>
      </c>
      <c r="AO241" s="223" t="str">
        <f t="shared" si="252"/>
        <v/>
      </c>
      <c r="AP241" s="223" t="str">
        <f t="shared" si="239"/>
        <v/>
      </c>
      <c r="AQ241" s="223" t="str">
        <f t="shared" si="243"/>
        <v/>
      </c>
      <c r="AR241" s="223" t="str">
        <f t="shared" si="248"/>
        <v/>
      </c>
      <c r="AS241" s="223" t="str">
        <f t="shared" si="255"/>
        <v/>
      </c>
      <c r="AT241" s="223" t="str">
        <f t="shared" si="234"/>
        <v/>
      </c>
      <c r="AU241" s="223" t="str">
        <f t="shared" si="240"/>
        <v/>
      </c>
      <c r="AV241" s="223" t="str">
        <f t="shared" si="245"/>
        <v/>
      </c>
      <c r="AW241" s="223" t="str">
        <f t="shared" si="249"/>
        <v/>
      </c>
      <c r="AX241" s="223" t="str">
        <f t="shared" si="253"/>
        <v/>
      </c>
      <c r="AY241" s="223" t="str">
        <f t="shared" si="238"/>
        <v/>
      </c>
    </row>
    <row r="242" spans="2:51" ht="22.5" x14ac:dyDescent="0.25">
      <c r="B242" s="251" t="s">
        <v>298</v>
      </c>
      <c r="C242" s="132" t="s">
        <v>90</v>
      </c>
      <c r="D242" s="157">
        <v>2014</v>
      </c>
      <c r="E242" s="138">
        <v>41838</v>
      </c>
      <c r="F242" s="222">
        <f t="shared" si="203"/>
        <v>7</v>
      </c>
      <c r="G242" s="222" t="str">
        <f t="shared" si="204"/>
        <v>72014</v>
      </c>
      <c r="H242" s="222" t="str">
        <f t="shared" si="205"/>
        <v>julio</v>
      </c>
      <c r="I242" s="126" t="str">
        <f>VLOOKUP(B242,'Base de Datos'!$E$7:$T$271,14,0)</f>
        <v/>
      </c>
      <c r="J242" s="224" t="e">
        <f t="shared" si="206"/>
        <v>#VALUE!</v>
      </c>
      <c r="K242" s="223" t="e">
        <f t="shared" si="207"/>
        <v>#VALUE!</v>
      </c>
      <c r="L242" s="223" t="e">
        <f t="shared" si="208"/>
        <v>#VALUE!</v>
      </c>
      <c r="M242" s="223" t="str">
        <f t="shared" si="209"/>
        <v/>
      </c>
      <c r="N242" s="223" t="e">
        <f t="shared" ca="1" si="210"/>
        <v>#VALUE!</v>
      </c>
      <c r="O242" s="268" t="e">
        <f t="shared" ca="1" si="211"/>
        <v>#VALUE!</v>
      </c>
      <c r="P242" s="268" t="str">
        <f t="shared" si="220"/>
        <v/>
      </c>
      <c r="Q242" s="268" t="str">
        <f t="shared" si="212"/>
        <v/>
      </c>
      <c r="R242" s="268" t="str">
        <f t="shared" si="213"/>
        <v/>
      </c>
      <c r="S242" s="268" t="str">
        <f t="shared" si="214"/>
        <v/>
      </c>
      <c r="T242" s="268" t="str">
        <f t="shared" si="215"/>
        <v/>
      </c>
      <c r="U242" s="268" t="str">
        <f t="shared" si="216"/>
        <v/>
      </c>
      <c r="V242" s="268" t="str">
        <f t="shared" si="223"/>
        <v/>
      </c>
      <c r="W242" s="268" t="str">
        <f t="shared" si="217"/>
        <v/>
      </c>
      <c r="X242" s="268" t="str">
        <f t="shared" si="218"/>
        <v/>
      </c>
      <c r="Y242" s="268" t="str">
        <f t="shared" si="222"/>
        <v/>
      </c>
      <c r="Z242" s="268" t="str">
        <f t="shared" si="219"/>
        <v/>
      </c>
      <c r="AA242" s="268" t="str">
        <f t="shared" si="237"/>
        <v/>
      </c>
      <c r="AB242" s="268" t="str">
        <f t="shared" si="228"/>
        <v/>
      </c>
      <c r="AC242" s="268" t="str">
        <f t="shared" si="235"/>
        <v/>
      </c>
      <c r="AD242" s="268" t="str">
        <f t="shared" si="241"/>
        <v/>
      </c>
      <c r="AE242" s="268" t="str">
        <f t="shared" si="244"/>
        <v/>
      </c>
      <c r="AF242" s="268" t="str">
        <f t="shared" si="250"/>
        <v/>
      </c>
      <c r="AG242" s="268" t="str">
        <f t="shared" si="195"/>
        <v/>
      </c>
      <c r="AH242" s="268" t="str">
        <f t="shared" si="200"/>
        <v/>
      </c>
      <c r="AI242" s="268" t="str">
        <f t="shared" si="242"/>
        <v/>
      </c>
      <c r="AJ242" s="268" t="str">
        <f t="shared" si="246"/>
        <v/>
      </c>
      <c r="AK242" s="268" t="str">
        <f t="shared" si="251"/>
        <v/>
      </c>
      <c r="AL242" s="268" t="str">
        <f t="shared" si="254"/>
        <v/>
      </c>
      <c r="AM242" s="268" t="str">
        <f t="shared" si="236"/>
        <v/>
      </c>
      <c r="AN242" s="223" t="str">
        <f t="shared" si="247"/>
        <v/>
      </c>
      <c r="AO242" s="223" t="str">
        <f t="shared" si="252"/>
        <v/>
      </c>
      <c r="AP242" s="223" t="str">
        <f t="shared" si="239"/>
        <v/>
      </c>
      <c r="AQ242" s="223" t="str">
        <f t="shared" si="243"/>
        <v/>
      </c>
      <c r="AR242" s="223" t="str">
        <f t="shared" si="248"/>
        <v/>
      </c>
      <c r="AS242" s="223" t="str">
        <f t="shared" si="255"/>
        <v/>
      </c>
      <c r="AT242" s="223" t="str">
        <f t="shared" si="234"/>
        <v>1</v>
      </c>
      <c r="AU242" s="223" t="str">
        <f t="shared" si="240"/>
        <v>1</v>
      </c>
      <c r="AV242" s="223" t="str">
        <f t="shared" si="245"/>
        <v>1</v>
      </c>
      <c r="AW242" s="223" t="str">
        <f t="shared" si="249"/>
        <v>1</v>
      </c>
      <c r="AX242" s="223" t="str">
        <f t="shared" si="253"/>
        <v>1</v>
      </c>
      <c r="AY242" s="223" t="str">
        <f t="shared" si="238"/>
        <v>1</v>
      </c>
    </row>
    <row r="243" spans="2:51" x14ac:dyDescent="0.25">
      <c r="B243" s="262" t="str">
        <f>+'Base de Datos'!E258</f>
        <v>140351-0-2014</v>
      </c>
      <c r="C243" s="238" t="str">
        <f>+'Base de Datos'!F258</f>
        <v>J.A. ZABALA &amp; CONSULTORES ASOCIADOS LTDA.</v>
      </c>
      <c r="D243" s="238">
        <f>YEAR(E243)</f>
        <v>2014</v>
      </c>
      <c r="E243" s="239">
        <f>+'Base de Datos'!M258</f>
        <v>41963</v>
      </c>
      <c r="F243" s="222">
        <f t="shared" si="203"/>
        <v>11</v>
      </c>
      <c r="G243" s="222" t="str">
        <f t="shared" si="204"/>
        <v>112014</v>
      </c>
      <c r="H243" s="222" t="str">
        <f t="shared" si="205"/>
        <v>noviembre</v>
      </c>
      <c r="I243" s="126" t="str">
        <f>VLOOKUP(B243,'Base de Datos'!$E$7:$T$271,14,0)</f>
        <v/>
      </c>
      <c r="J243" s="224" t="e">
        <f t="shared" si="206"/>
        <v>#VALUE!</v>
      </c>
      <c r="K243" s="223" t="e">
        <f t="shared" si="207"/>
        <v>#VALUE!</v>
      </c>
      <c r="L243" s="223" t="e">
        <f t="shared" si="208"/>
        <v>#VALUE!</v>
      </c>
      <c r="M243" s="223" t="str">
        <f t="shared" si="209"/>
        <v/>
      </c>
      <c r="N243" s="223" t="e">
        <f t="shared" ca="1" si="210"/>
        <v>#VALUE!</v>
      </c>
      <c r="O243" s="268" t="e">
        <f t="shared" ca="1" si="211"/>
        <v>#VALUE!</v>
      </c>
      <c r="P243" s="268" t="str">
        <f t="shared" si="220"/>
        <v/>
      </c>
      <c r="Q243" s="268" t="str">
        <f t="shared" si="212"/>
        <v/>
      </c>
      <c r="R243" s="268" t="str">
        <f t="shared" si="213"/>
        <v/>
      </c>
      <c r="S243" s="268" t="str">
        <f t="shared" si="214"/>
        <v/>
      </c>
      <c r="T243" s="268" t="str">
        <f t="shared" si="215"/>
        <v/>
      </c>
      <c r="U243" s="268" t="str">
        <f t="shared" si="216"/>
        <v/>
      </c>
      <c r="V243" s="268" t="str">
        <f t="shared" si="223"/>
        <v/>
      </c>
      <c r="W243" s="268" t="str">
        <f t="shared" si="217"/>
        <v/>
      </c>
      <c r="X243" s="268" t="str">
        <f t="shared" si="218"/>
        <v/>
      </c>
      <c r="Y243" s="268" t="str">
        <f t="shared" si="222"/>
        <v/>
      </c>
      <c r="Z243" s="268" t="str">
        <f t="shared" si="219"/>
        <v/>
      </c>
      <c r="AA243" s="268" t="str">
        <f t="shared" si="237"/>
        <v/>
      </c>
      <c r="AB243" s="268" t="str">
        <f t="shared" si="228"/>
        <v/>
      </c>
      <c r="AC243" s="268" t="str">
        <f t="shared" si="235"/>
        <v/>
      </c>
      <c r="AD243" s="268" t="str">
        <f t="shared" si="241"/>
        <v/>
      </c>
      <c r="AE243" s="268" t="str">
        <f t="shared" si="244"/>
        <v/>
      </c>
      <c r="AF243" s="268" t="str">
        <f t="shared" si="250"/>
        <v/>
      </c>
      <c r="AG243" s="268" t="str">
        <f t="shared" si="195"/>
        <v/>
      </c>
      <c r="AH243" s="268" t="str">
        <f t="shared" si="200"/>
        <v/>
      </c>
      <c r="AI243" s="268" t="str">
        <f t="shared" si="242"/>
        <v/>
      </c>
      <c r="AJ243" s="268" t="str">
        <f t="shared" si="246"/>
        <v/>
      </c>
      <c r="AK243" s="268" t="str">
        <f t="shared" si="251"/>
        <v/>
      </c>
      <c r="AL243" s="268" t="str">
        <f t="shared" si="254"/>
        <v/>
      </c>
      <c r="AM243" s="268" t="str">
        <f t="shared" si="236"/>
        <v/>
      </c>
      <c r="AN243" s="223" t="str">
        <f t="shared" si="247"/>
        <v/>
      </c>
      <c r="AO243" s="223" t="str">
        <f t="shared" si="252"/>
        <v/>
      </c>
      <c r="AP243" s="223" t="str">
        <f t="shared" si="239"/>
        <v/>
      </c>
      <c r="AQ243" s="223" t="str">
        <f t="shared" si="243"/>
        <v/>
      </c>
      <c r="AR243" s="223" t="str">
        <f t="shared" si="248"/>
        <v/>
      </c>
      <c r="AS243" s="223" t="str">
        <f t="shared" si="255"/>
        <v/>
      </c>
      <c r="AT243" s="223" t="str">
        <f t="shared" ref="AT243:AT261" si="256">IF(AND(E243&lt;$AT$2,I243&gt;$AT$2),"1","")</f>
        <v/>
      </c>
      <c r="AU243" s="223" t="str">
        <f t="shared" si="240"/>
        <v/>
      </c>
      <c r="AV243" s="223" t="str">
        <f t="shared" si="245"/>
        <v/>
      </c>
      <c r="AW243" s="223" t="str">
        <f t="shared" si="249"/>
        <v/>
      </c>
      <c r="AX243" s="223" t="str">
        <f t="shared" si="253"/>
        <v>1</v>
      </c>
      <c r="AY243" s="223" t="str">
        <f t="shared" si="238"/>
        <v>1</v>
      </c>
    </row>
    <row r="244" spans="2:51" ht="22.5" x14ac:dyDescent="0.25">
      <c r="B244" s="251" t="s">
        <v>1101</v>
      </c>
      <c r="C244" s="132" t="s">
        <v>1102</v>
      </c>
      <c r="D244" s="157">
        <v>2014</v>
      </c>
      <c r="E244" s="138">
        <v>41842</v>
      </c>
      <c r="F244" s="222">
        <f t="shared" si="203"/>
        <v>7</v>
      </c>
      <c r="G244" s="222" t="str">
        <f t="shared" si="204"/>
        <v>72014</v>
      </c>
      <c r="H244" s="222" t="str">
        <f t="shared" si="205"/>
        <v>julio</v>
      </c>
      <c r="I244" s="126" t="str">
        <f>VLOOKUP(B244,'Base de Datos'!$E$7:$T$271,14,0)</f>
        <v/>
      </c>
      <c r="J244" s="224" t="e">
        <f t="shared" si="206"/>
        <v>#VALUE!</v>
      </c>
      <c r="K244" s="223" t="e">
        <f t="shared" si="207"/>
        <v>#VALUE!</v>
      </c>
      <c r="L244" s="223" t="e">
        <f t="shared" si="208"/>
        <v>#VALUE!</v>
      </c>
      <c r="M244" s="223" t="str">
        <f t="shared" si="209"/>
        <v/>
      </c>
      <c r="N244" s="223" t="e">
        <f t="shared" ca="1" si="210"/>
        <v>#VALUE!</v>
      </c>
      <c r="O244" s="268" t="e">
        <f t="shared" ca="1" si="211"/>
        <v>#VALUE!</v>
      </c>
      <c r="P244" s="268" t="str">
        <f t="shared" si="220"/>
        <v/>
      </c>
      <c r="Q244" s="268" t="str">
        <f t="shared" si="212"/>
        <v/>
      </c>
      <c r="R244" s="268" t="str">
        <f t="shared" si="213"/>
        <v/>
      </c>
      <c r="S244" s="268" t="str">
        <f t="shared" si="214"/>
        <v/>
      </c>
      <c r="T244" s="268" t="str">
        <f t="shared" si="215"/>
        <v/>
      </c>
      <c r="U244" s="268" t="str">
        <f t="shared" si="216"/>
        <v/>
      </c>
      <c r="V244" s="268" t="str">
        <f t="shared" si="223"/>
        <v/>
      </c>
      <c r="W244" s="268" t="str">
        <f t="shared" si="217"/>
        <v/>
      </c>
      <c r="X244" s="268" t="str">
        <f t="shared" si="218"/>
        <v/>
      </c>
      <c r="Y244" s="268" t="str">
        <f t="shared" si="222"/>
        <v/>
      </c>
      <c r="Z244" s="268" t="str">
        <f t="shared" si="219"/>
        <v/>
      </c>
      <c r="AA244" s="268" t="str">
        <f t="shared" si="237"/>
        <v/>
      </c>
      <c r="AB244" s="268" t="str">
        <f t="shared" si="228"/>
        <v/>
      </c>
      <c r="AC244" s="268" t="str">
        <f t="shared" si="235"/>
        <v/>
      </c>
      <c r="AD244" s="268" t="str">
        <f t="shared" si="241"/>
        <v/>
      </c>
      <c r="AE244" s="268" t="str">
        <f t="shared" si="244"/>
        <v/>
      </c>
      <c r="AF244" s="268" t="str">
        <f t="shared" si="250"/>
        <v/>
      </c>
      <c r="AG244" s="268" t="str">
        <f t="shared" si="195"/>
        <v/>
      </c>
      <c r="AH244" s="268" t="str">
        <f t="shared" si="200"/>
        <v/>
      </c>
      <c r="AI244" s="268" t="str">
        <f t="shared" si="242"/>
        <v/>
      </c>
      <c r="AJ244" s="268" t="str">
        <f t="shared" si="246"/>
        <v/>
      </c>
      <c r="AK244" s="268" t="str">
        <f t="shared" si="251"/>
        <v/>
      </c>
      <c r="AL244" s="268" t="str">
        <f t="shared" si="254"/>
        <v/>
      </c>
      <c r="AM244" s="268" t="str">
        <f t="shared" si="236"/>
        <v/>
      </c>
      <c r="AN244" s="223" t="str">
        <f t="shared" si="247"/>
        <v/>
      </c>
      <c r="AO244" s="223" t="str">
        <f t="shared" si="252"/>
        <v/>
      </c>
      <c r="AP244" s="223" t="str">
        <f t="shared" si="239"/>
        <v/>
      </c>
      <c r="AQ244" s="223" t="str">
        <f t="shared" si="243"/>
        <v/>
      </c>
      <c r="AR244" s="223" t="str">
        <f t="shared" si="248"/>
        <v/>
      </c>
      <c r="AS244" s="223" t="str">
        <f t="shared" si="255"/>
        <v/>
      </c>
      <c r="AT244" s="223" t="str">
        <f t="shared" si="256"/>
        <v>1</v>
      </c>
      <c r="AU244" s="223" t="str">
        <f t="shared" si="240"/>
        <v>1</v>
      </c>
      <c r="AV244" s="223" t="str">
        <f t="shared" si="245"/>
        <v>1</v>
      </c>
      <c r="AW244" s="223" t="str">
        <f t="shared" si="249"/>
        <v>1</v>
      </c>
      <c r="AX244" s="223" t="str">
        <f t="shared" si="253"/>
        <v>1</v>
      </c>
      <c r="AY244" s="223" t="str">
        <f t="shared" si="238"/>
        <v>1</v>
      </c>
    </row>
    <row r="245" spans="2:51" x14ac:dyDescent="0.25">
      <c r="B245" s="262" t="str">
        <f>+'Base de Datos'!E249</f>
        <v>140342-0-2014</v>
      </c>
      <c r="C245" s="238" t="str">
        <f>+'Base de Datos'!F249</f>
        <v>EDITORES CONARTE SAS</v>
      </c>
      <c r="D245" s="238">
        <f>YEAR(E245)</f>
        <v>2014</v>
      </c>
      <c r="E245" s="239">
        <f>+'Base de Datos'!M249</f>
        <v>41968</v>
      </c>
      <c r="F245" s="222">
        <f t="shared" si="203"/>
        <v>11</v>
      </c>
      <c r="G245" s="222" t="str">
        <f t="shared" si="204"/>
        <v>112014</v>
      </c>
      <c r="H245" s="222" t="str">
        <f t="shared" si="205"/>
        <v>noviembre</v>
      </c>
      <c r="I245" s="126" t="str">
        <f>VLOOKUP(B245,'Base de Datos'!$E$7:$T$271,14,0)</f>
        <v/>
      </c>
      <c r="J245" s="224" t="e">
        <f t="shared" si="206"/>
        <v>#VALUE!</v>
      </c>
      <c r="K245" s="223" t="e">
        <f t="shared" si="207"/>
        <v>#VALUE!</v>
      </c>
      <c r="L245" s="223" t="e">
        <f t="shared" si="208"/>
        <v>#VALUE!</v>
      </c>
      <c r="M245" s="223" t="str">
        <f t="shared" si="209"/>
        <v/>
      </c>
      <c r="N245" s="223" t="e">
        <f t="shared" ca="1" si="210"/>
        <v>#VALUE!</v>
      </c>
      <c r="O245" s="268" t="e">
        <f t="shared" ca="1" si="211"/>
        <v>#VALUE!</v>
      </c>
      <c r="P245" s="268" t="str">
        <f t="shared" si="220"/>
        <v/>
      </c>
      <c r="Q245" s="268" t="str">
        <f t="shared" si="212"/>
        <v/>
      </c>
      <c r="R245" s="268" t="str">
        <f t="shared" si="213"/>
        <v/>
      </c>
      <c r="S245" s="268" t="str">
        <f t="shared" si="214"/>
        <v/>
      </c>
      <c r="T245" s="268" t="str">
        <f t="shared" si="215"/>
        <v/>
      </c>
      <c r="U245" s="268" t="str">
        <f t="shared" si="216"/>
        <v/>
      </c>
      <c r="V245" s="268" t="str">
        <f t="shared" si="223"/>
        <v/>
      </c>
      <c r="W245" s="268" t="str">
        <f t="shared" si="217"/>
        <v/>
      </c>
      <c r="X245" s="268" t="str">
        <f t="shared" si="218"/>
        <v/>
      </c>
      <c r="Y245" s="268" t="str">
        <f t="shared" si="222"/>
        <v/>
      </c>
      <c r="Z245" s="268" t="str">
        <f t="shared" si="219"/>
        <v/>
      </c>
      <c r="AA245" s="268" t="str">
        <f t="shared" si="237"/>
        <v/>
      </c>
      <c r="AB245" s="268" t="str">
        <f t="shared" si="228"/>
        <v/>
      </c>
      <c r="AC245" s="268" t="str">
        <f t="shared" si="235"/>
        <v/>
      </c>
      <c r="AD245" s="268" t="str">
        <f t="shared" si="241"/>
        <v/>
      </c>
      <c r="AE245" s="268" t="str">
        <f t="shared" si="244"/>
        <v/>
      </c>
      <c r="AF245" s="268" t="str">
        <f t="shared" si="250"/>
        <v/>
      </c>
      <c r="AG245" s="268" t="str">
        <f t="shared" ref="AG245:AG261" si="257">IF(AND(E245&lt;$AG$2,I245&gt;$AG$2),"1","")</f>
        <v/>
      </c>
      <c r="AH245" s="268" t="str">
        <f t="shared" si="200"/>
        <v/>
      </c>
      <c r="AI245" s="268" t="str">
        <f t="shared" si="242"/>
        <v/>
      </c>
      <c r="AJ245" s="268" t="str">
        <f t="shared" si="246"/>
        <v/>
      </c>
      <c r="AK245" s="268" t="str">
        <f t="shared" si="251"/>
        <v/>
      </c>
      <c r="AL245" s="268" t="str">
        <f t="shared" si="254"/>
        <v/>
      </c>
      <c r="AM245" s="268" t="str">
        <f t="shared" ref="AM245:AM261" si="258">IF(AND(E245&lt;$AM$2,I245&gt;$AM$2),"1","")</f>
        <v/>
      </c>
      <c r="AN245" s="223" t="str">
        <f t="shared" si="247"/>
        <v/>
      </c>
      <c r="AO245" s="223" t="str">
        <f t="shared" si="252"/>
        <v/>
      </c>
      <c r="AP245" s="223" t="str">
        <f t="shared" si="239"/>
        <v/>
      </c>
      <c r="AQ245" s="223" t="str">
        <f t="shared" si="243"/>
        <v/>
      </c>
      <c r="AR245" s="223" t="str">
        <f t="shared" si="248"/>
        <v/>
      </c>
      <c r="AS245" s="223" t="str">
        <f t="shared" si="255"/>
        <v/>
      </c>
      <c r="AT245" s="223" t="str">
        <f t="shared" si="256"/>
        <v/>
      </c>
      <c r="AU245" s="223" t="str">
        <f t="shared" si="240"/>
        <v/>
      </c>
      <c r="AV245" s="223" t="str">
        <f t="shared" si="245"/>
        <v/>
      </c>
      <c r="AW245" s="223" t="str">
        <f t="shared" si="249"/>
        <v/>
      </c>
      <c r="AX245" s="223" t="str">
        <f t="shared" si="253"/>
        <v>1</v>
      </c>
      <c r="AY245" s="223" t="str">
        <f t="shared" si="238"/>
        <v>1</v>
      </c>
    </row>
    <row r="246" spans="2:51" x14ac:dyDescent="0.25">
      <c r="B246" s="406" t="s">
        <v>548</v>
      </c>
      <c r="C246" s="206" t="s">
        <v>549</v>
      </c>
      <c r="D246" s="157">
        <v>2014</v>
      </c>
      <c r="E246" s="138">
        <v>41893</v>
      </c>
      <c r="F246" s="222">
        <f t="shared" si="203"/>
        <v>9</v>
      </c>
      <c r="G246" s="222" t="str">
        <f t="shared" si="204"/>
        <v>92014</v>
      </c>
      <c r="H246" s="222" t="str">
        <f t="shared" si="205"/>
        <v>septiembre</v>
      </c>
      <c r="I246" s="126" t="str">
        <f>VLOOKUP(B246,'Base de Datos'!$E$7:$T$271,14,0)</f>
        <v/>
      </c>
      <c r="J246" s="224" t="e">
        <f t="shared" si="206"/>
        <v>#VALUE!</v>
      </c>
      <c r="K246" s="223" t="e">
        <f t="shared" si="207"/>
        <v>#VALUE!</v>
      </c>
      <c r="L246" s="223" t="e">
        <f t="shared" si="208"/>
        <v>#VALUE!</v>
      </c>
      <c r="M246" s="223" t="str">
        <f t="shared" si="209"/>
        <v/>
      </c>
      <c r="N246" s="223" t="e">
        <f t="shared" ca="1" si="210"/>
        <v>#VALUE!</v>
      </c>
      <c r="O246" s="268" t="e">
        <f t="shared" ca="1" si="211"/>
        <v>#VALUE!</v>
      </c>
      <c r="P246" s="268" t="str">
        <f t="shared" si="220"/>
        <v/>
      </c>
      <c r="Q246" s="268" t="str">
        <f t="shared" si="212"/>
        <v/>
      </c>
      <c r="R246" s="268" t="str">
        <f t="shared" si="213"/>
        <v/>
      </c>
      <c r="S246" s="268" t="str">
        <f t="shared" si="214"/>
        <v/>
      </c>
      <c r="T246" s="268" t="str">
        <f t="shared" si="215"/>
        <v/>
      </c>
      <c r="U246" s="268" t="str">
        <f t="shared" si="216"/>
        <v/>
      </c>
      <c r="V246" s="268" t="str">
        <f t="shared" si="223"/>
        <v/>
      </c>
      <c r="W246" s="268" t="str">
        <f t="shared" si="217"/>
        <v/>
      </c>
      <c r="X246" s="268" t="str">
        <f t="shared" si="218"/>
        <v/>
      </c>
      <c r="Y246" s="268" t="str">
        <f t="shared" si="222"/>
        <v/>
      </c>
      <c r="Z246" s="268" t="str">
        <f t="shared" si="219"/>
        <v/>
      </c>
      <c r="AA246" s="268" t="str">
        <f t="shared" si="237"/>
        <v/>
      </c>
      <c r="AB246" s="268" t="str">
        <f t="shared" si="228"/>
        <v/>
      </c>
      <c r="AC246" s="268" t="str">
        <f t="shared" si="235"/>
        <v/>
      </c>
      <c r="AD246" s="268" t="str">
        <f t="shared" si="241"/>
        <v/>
      </c>
      <c r="AE246" s="268" t="str">
        <f t="shared" si="244"/>
        <v/>
      </c>
      <c r="AF246" s="268" t="str">
        <f t="shared" si="250"/>
        <v/>
      </c>
      <c r="AG246" s="268" t="str">
        <f t="shared" si="257"/>
        <v/>
      </c>
      <c r="AH246" s="268" t="str">
        <f t="shared" si="200"/>
        <v/>
      </c>
      <c r="AI246" s="268" t="str">
        <f t="shared" si="242"/>
        <v/>
      </c>
      <c r="AJ246" s="268" t="str">
        <f t="shared" si="246"/>
        <v/>
      </c>
      <c r="AK246" s="268" t="str">
        <f t="shared" si="251"/>
        <v/>
      </c>
      <c r="AL246" s="268" t="str">
        <f t="shared" si="254"/>
        <v/>
      </c>
      <c r="AM246" s="268" t="str">
        <f t="shared" si="258"/>
        <v/>
      </c>
      <c r="AN246" s="223" t="str">
        <f t="shared" si="247"/>
        <v/>
      </c>
      <c r="AO246" s="223" t="str">
        <f t="shared" si="252"/>
        <v/>
      </c>
      <c r="AP246" s="223" t="str">
        <f t="shared" si="239"/>
        <v/>
      </c>
      <c r="AQ246" s="223" t="str">
        <f t="shared" si="243"/>
        <v/>
      </c>
      <c r="AR246" s="223" t="str">
        <f t="shared" si="248"/>
        <v/>
      </c>
      <c r="AS246" s="223" t="str">
        <f t="shared" si="255"/>
        <v/>
      </c>
      <c r="AT246" s="223" t="str">
        <f t="shared" si="256"/>
        <v/>
      </c>
      <c r="AU246" s="223" t="str">
        <f t="shared" si="240"/>
        <v/>
      </c>
      <c r="AV246" s="223" t="str">
        <f t="shared" si="245"/>
        <v>1</v>
      </c>
      <c r="AW246" s="223" t="str">
        <f t="shared" si="249"/>
        <v>1</v>
      </c>
      <c r="AX246" s="223" t="str">
        <f t="shared" si="253"/>
        <v>1</v>
      </c>
      <c r="AY246" s="223" t="str">
        <f t="shared" si="238"/>
        <v>1</v>
      </c>
    </row>
    <row r="247" spans="2:51" x14ac:dyDescent="0.25">
      <c r="B247" s="251" t="s">
        <v>551</v>
      </c>
      <c r="C247" s="132" t="s">
        <v>552</v>
      </c>
      <c r="D247" s="157">
        <v>2014</v>
      </c>
      <c r="E247" s="138">
        <v>41896</v>
      </c>
      <c r="F247" s="222">
        <f t="shared" si="203"/>
        <v>9</v>
      </c>
      <c r="G247" s="222" t="str">
        <f t="shared" si="204"/>
        <v>92014</v>
      </c>
      <c r="H247" s="222" t="str">
        <f t="shared" si="205"/>
        <v>septiembre</v>
      </c>
      <c r="I247" s="126" t="str">
        <f>VLOOKUP(B247,'Base de Datos'!$E$7:$T$271,14,0)</f>
        <v/>
      </c>
      <c r="J247" s="224" t="e">
        <f t="shared" si="206"/>
        <v>#VALUE!</v>
      </c>
      <c r="K247" s="223" t="e">
        <f t="shared" si="207"/>
        <v>#VALUE!</v>
      </c>
      <c r="L247" s="223" t="e">
        <f t="shared" si="208"/>
        <v>#VALUE!</v>
      </c>
      <c r="M247" s="223" t="str">
        <f t="shared" si="209"/>
        <v/>
      </c>
      <c r="N247" s="223" t="e">
        <f t="shared" ca="1" si="210"/>
        <v>#VALUE!</v>
      </c>
      <c r="O247" s="268" t="e">
        <f t="shared" ca="1" si="211"/>
        <v>#VALUE!</v>
      </c>
      <c r="P247" s="268" t="str">
        <f t="shared" si="220"/>
        <v/>
      </c>
      <c r="Q247" s="268" t="str">
        <f t="shared" si="212"/>
        <v/>
      </c>
      <c r="R247" s="268" t="str">
        <f t="shared" si="213"/>
        <v/>
      </c>
      <c r="S247" s="268" t="str">
        <f t="shared" si="214"/>
        <v/>
      </c>
      <c r="T247" s="268" t="str">
        <f t="shared" si="215"/>
        <v/>
      </c>
      <c r="U247" s="268" t="str">
        <f t="shared" si="216"/>
        <v/>
      </c>
      <c r="V247" s="268" t="str">
        <f t="shared" si="223"/>
        <v/>
      </c>
      <c r="W247" s="268" t="str">
        <f t="shared" si="217"/>
        <v/>
      </c>
      <c r="X247" s="268" t="str">
        <f t="shared" si="218"/>
        <v/>
      </c>
      <c r="Y247" s="268" t="str">
        <f t="shared" si="222"/>
        <v/>
      </c>
      <c r="Z247" s="268" t="str">
        <f t="shared" si="219"/>
        <v/>
      </c>
      <c r="AA247" s="268" t="str">
        <f t="shared" si="237"/>
        <v/>
      </c>
      <c r="AB247" s="268" t="str">
        <f t="shared" si="228"/>
        <v/>
      </c>
      <c r="AC247" s="268" t="str">
        <f t="shared" si="235"/>
        <v/>
      </c>
      <c r="AD247" s="268" t="str">
        <f t="shared" si="241"/>
        <v/>
      </c>
      <c r="AE247" s="268" t="str">
        <f t="shared" si="244"/>
        <v/>
      </c>
      <c r="AF247" s="268" t="str">
        <f t="shared" si="250"/>
        <v/>
      </c>
      <c r="AG247" s="268" t="str">
        <f t="shared" si="257"/>
        <v/>
      </c>
      <c r="AH247" s="268" t="str">
        <f t="shared" si="200"/>
        <v/>
      </c>
      <c r="AI247" s="268" t="str">
        <f t="shared" si="242"/>
        <v/>
      </c>
      <c r="AJ247" s="268" t="str">
        <f t="shared" si="246"/>
        <v/>
      </c>
      <c r="AK247" s="268" t="str">
        <f t="shared" si="251"/>
        <v/>
      </c>
      <c r="AL247" s="268" t="str">
        <f t="shared" si="254"/>
        <v/>
      </c>
      <c r="AM247" s="268" t="str">
        <f t="shared" si="258"/>
        <v/>
      </c>
      <c r="AN247" s="223" t="str">
        <f t="shared" si="247"/>
        <v/>
      </c>
      <c r="AO247" s="223" t="str">
        <f t="shared" si="252"/>
        <v/>
      </c>
      <c r="AP247" s="223" t="str">
        <f t="shared" si="239"/>
        <v/>
      </c>
      <c r="AQ247" s="223" t="str">
        <f t="shared" si="243"/>
        <v/>
      </c>
      <c r="AR247" s="223" t="str">
        <f t="shared" si="248"/>
        <v/>
      </c>
      <c r="AS247" s="223" t="str">
        <f t="shared" si="255"/>
        <v/>
      </c>
      <c r="AT247" s="223" t="str">
        <f t="shared" si="256"/>
        <v/>
      </c>
      <c r="AU247" s="223" t="str">
        <f t="shared" si="240"/>
        <v/>
      </c>
      <c r="AV247" s="223" t="str">
        <f t="shared" si="245"/>
        <v>1</v>
      </c>
      <c r="AW247" s="223" t="str">
        <f t="shared" si="249"/>
        <v>1</v>
      </c>
      <c r="AX247" s="223" t="str">
        <f t="shared" si="253"/>
        <v>1</v>
      </c>
      <c r="AY247" s="223" t="str">
        <f t="shared" si="238"/>
        <v>1</v>
      </c>
    </row>
    <row r="248" spans="2:51" ht="22.5" x14ac:dyDescent="0.25">
      <c r="B248" s="250" t="s">
        <v>76</v>
      </c>
      <c r="C248" s="132" t="s">
        <v>77</v>
      </c>
      <c r="D248" s="152">
        <v>2012</v>
      </c>
      <c r="E248" s="136">
        <v>41263</v>
      </c>
      <c r="F248" s="222">
        <f t="shared" si="203"/>
        <v>12</v>
      </c>
      <c r="G248" s="222" t="str">
        <f t="shared" si="204"/>
        <v>122012</v>
      </c>
      <c r="H248" s="222" t="str">
        <f t="shared" si="205"/>
        <v>diciembre</v>
      </c>
      <c r="I248" s="126" t="str">
        <f>VLOOKUP(B248,'Base de Datos'!$E$7:$T$271,14,0)</f>
        <v>5 años y 6 meses y 10 dias calendario</v>
      </c>
      <c r="J248" s="224" t="e">
        <f t="shared" si="206"/>
        <v>#VALUE!</v>
      </c>
      <c r="K248" s="223" t="e">
        <f t="shared" si="207"/>
        <v>#VALUE!</v>
      </c>
      <c r="L248" s="223" t="e">
        <f t="shared" si="208"/>
        <v>#VALUE!</v>
      </c>
      <c r="M248" s="223" t="str">
        <f t="shared" si="209"/>
        <v>5 años y 6 meses y 10 dias calendario</v>
      </c>
      <c r="N248" s="223" t="e">
        <f t="shared" ca="1" si="210"/>
        <v>#VALUE!</v>
      </c>
      <c r="O248" s="268" t="e">
        <f t="shared" ca="1" si="211"/>
        <v>#VALUE!</v>
      </c>
      <c r="P248" s="268" t="str">
        <f t="shared" si="220"/>
        <v/>
      </c>
      <c r="Q248" s="268" t="str">
        <f t="shared" si="212"/>
        <v/>
      </c>
      <c r="R248" s="268" t="str">
        <f t="shared" si="213"/>
        <v/>
      </c>
      <c r="S248" s="268" t="str">
        <f t="shared" si="214"/>
        <v/>
      </c>
      <c r="T248" s="268" t="str">
        <f t="shared" si="215"/>
        <v/>
      </c>
      <c r="U248" s="268" t="str">
        <f t="shared" si="216"/>
        <v/>
      </c>
      <c r="V248" s="268" t="str">
        <f t="shared" si="223"/>
        <v/>
      </c>
      <c r="W248" s="268" t="str">
        <f t="shared" si="217"/>
        <v/>
      </c>
      <c r="X248" s="268" t="str">
        <f t="shared" si="218"/>
        <v/>
      </c>
      <c r="Y248" s="268" t="str">
        <f t="shared" si="222"/>
        <v/>
      </c>
      <c r="Z248" s="268" t="str">
        <f t="shared" si="219"/>
        <v/>
      </c>
      <c r="AA248" s="268" t="str">
        <f t="shared" si="237"/>
        <v>1</v>
      </c>
      <c r="AB248" s="268" t="str">
        <f t="shared" si="228"/>
        <v>1</v>
      </c>
      <c r="AC248" s="268" t="str">
        <f t="shared" si="235"/>
        <v>1</v>
      </c>
      <c r="AD248" s="268" t="str">
        <f t="shared" si="241"/>
        <v>1</v>
      </c>
      <c r="AE248" s="268" t="str">
        <f t="shared" si="244"/>
        <v>1</v>
      </c>
      <c r="AF248" s="268" t="str">
        <f t="shared" si="250"/>
        <v>1</v>
      </c>
      <c r="AG248" s="268" t="str">
        <f t="shared" si="257"/>
        <v>1</v>
      </c>
      <c r="AH248" s="268" t="str">
        <f t="shared" si="200"/>
        <v>1</v>
      </c>
      <c r="AI248" s="268" t="str">
        <f t="shared" si="242"/>
        <v>1</v>
      </c>
      <c r="AJ248" s="268" t="str">
        <f t="shared" si="246"/>
        <v>1</v>
      </c>
      <c r="AK248" s="268" t="str">
        <f t="shared" si="251"/>
        <v>1</v>
      </c>
      <c r="AL248" s="268" t="str">
        <f t="shared" si="254"/>
        <v>1</v>
      </c>
      <c r="AM248" s="268" t="str">
        <f t="shared" si="258"/>
        <v>1</v>
      </c>
      <c r="AN248" s="223" t="str">
        <f t="shared" si="247"/>
        <v>1</v>
      </c>
      <c r="AO248" s="223" t="str">
        <f t="shared" si="252"/>
        <v>1</v>
      </c>
      <c r="AP248" s="223" t="str">
        <f t="shared" si="239"/>
        <v>1</v>
      </c>
      <c r="AQ248" s="223" t="str">
        <f t="shared" si="243"/>
        <v>1</v>
      </c>
      <c r="AR248" s="223" t="str">
        <f t="shared" si="248"/>
        <v>1</v>
      </c>
      <c r="AS248" s="223" t="str">
        <f t="shared" si="255"/>
        <v>1</v>
      </c>
      <c r="AT248" s="223" t="str">
        <f t="shared" si="256"/>
        <v>1</v>
      </c>
      <c r="AU248" s="223" t="str">
        <f t="shared" si="240"/>
        <v>1</v>
      </c>
      <c r="AV248" s="223" t="str">
        <f t="shared" si="245"/>
        <v>1</v>
      </c>
      <c r="AW248" s="223" t="str">
        <f t="shared" si="249"/>
        <v>1</v>
      </c>
      <c r="AX248" s="223" t="str">
        <f t="shared" si="253"/>
        <v>1</v>
      </c>
      <c r="AY248" s="223">
        <v>1</v>
      </c>
    </row>
    <row r="249" spans="2:51" x14ac:dyDescent="0.25">
      <c r="B249" s="262" t="str">
        <f>+'Base de Datos'!E259</f>
        <v>140367-0-2014</v>
      </c>
      <c r="C249" s="238" t="str">
        <f>+'Base de Datos'!F259</f>
        <v>CENTRO DE RECURSOS EDUCATIVOS PARA LA COMPETITIVIDAD EMPRESARIAL LTDA - CRECE</v>
      </c>
      <c r="D249" s="238">
        <f>YEAR(E249)</f>
        <v>2015</v>
      </c>
      <c r="E249" s="239">
        <f>+'Base de Datos'!M259</f>
        <v>42031</v>
      </c>
      <c r="F249" s="222">
        <f t="shared" si="203"/>
        <v>1</v>
      </c>
      <c r="G249" s="222" t="str">
        <f t="shared" si="204"/>
        <v>12015</v>
      </c>
      <c r="H249" s="222" t="str">
        <f t="shared" si="205"/>
        <v>enero</v>
      </c>
      <c r="I249" s="126" t="str">
        <f>VLOOKUP(B249,'Base de Datos'!$E$7:$T$271,14,0)</f>
        <v>2 meses</v>
      </c>
      <c r="J249" s="224" t="e">
        <f t="shared" si="206"/>
        <v>#VALUE!</v>
      </c>
      <c r="K249" s="223" t="e">
        <f t="shared" si="207"/>
        <v>#VALUE!</v>
      </c>
      <c r="L249" s="223" t="e">
        <f t="shared" si="208"/>
        <v>#VALUE!</v>
      </c>
      <c r="M249" s="223" t="str">
        <f t="shared" si="209"/>
        <v>2 meses</v>
      </c>
      <c r="N249" s="223" t="e">
        <f t="shared" ca="1" si="210"/>
        <v>#VALUE!</v>
      </c>
      <c r="O249" s="268" t="e">
        <f t="shared" ca="1" si="211"/>
        <v>#VALUE!</v>
      </c>
      <c r="P249" s="268" t="str">
        <f t="shared" si="220"/>
        <v/>
      </c>
      <c r="Q249" s="268" t="str">
        <f t="shared" si="212"/>
        <v/>
      </c>
      <c r="R249" s="268" t="str">
        <f t="shared" si="213"/>
        <v/>
      </c>
      <c r="S249" s="268" t="str">
        <f t="shared" si="214"/>
        <v/>
      </c>
      <c r="T249" s="268" t="str">
        <f t="shared" si="215"/>
        <v/>
      </c>
      <c r="U249" s="268" t="str">
        <f t="shared" si="216"/>
        <v/>
      </c>
      <c r="V249" s="268" t="str">
        <f t="shared" si="223"/>
        <v/>
      </c>
      <c r="W249" s="268" t="str">
        <f t="shared" si="217"/>
        <v/>
      </c>
      <c r="X249" s="268" t="str">
        <f t="shared" si="218"/>
        <v/>
      </c>
      <c r="Y249" s="268" t="str">
        <f t="shared" si="222"/>
        <v/>
      </c>
      <c r="Z249" s="268" t="str">
        <f t="shared" si="219"/>
        <v/>
      </c>
      <c r="AA249" s="268" t="str">
        <f t="shared" si="237"/>
        <v/>
      </c>
      <c r="AB249" s="268" t="str">
        <f t="shared" si="228"/>
        <v/>
      </c>
      <c r="AC249" s="268" t="str">
        <f t="shared" si="235"/>
        <v/>
      </c>
      <c r="AD249" s="268" t="str">
        <f t="shared" si="241"/>
        <v/>
      </c>
      <c r="AE249" s="268" t="str">
        <f t="shared" si="244"/>
        <v/>
      </c>
      <c r="AF249" s="268" t="str">
        <f t="shared" si="250"/>
        <v/>
      </c>
      <c r="AG249" s="268" t="str">
        <f t="shared" si="257"/>
        <v/>
      </c>
      <c r="AH249" s="268" t="str">
        <f t="shared" si="200"/>
        <v/>
      </c>
      <c r="AI249" s="268" t="str">
        <f t="shared" si="242"/>
        <v/>
      </c>
      <c r="AJ249" s="268" t="str">
        <f t="shared" si="246"/>
        <v/>
      </c>
      <c r="AK249" s="268" t="str">
        <f t="shared" si="251"/>
        <v/>
      </c>
      <c r="AL249" s="268" t="str">
        <f t="shared" si="254"/>
        <v/>
      </c>
      <c r="AM249" s="268" t="str">
        <f t="shared" si="258"/>
        <v/>
      </c>
      <c r="AN249" s="223" t="str">
        <f t="shared" si="247"/>
        <v/>
      </c>
      <c r="AO249" s="223" t="str">
        <f t="shared" si="252"/>
        <v/>
      </c>
      <c r="AP249" s="223" t="str">
        <f t="shared" si="239"/>
        <v/>
      </c>
      <c r="AQ249" s="223" t="str">
        <f t="shared" si="243"/>
        <v/>
      </c>
      <c r="AR249" s="223" t="str">
        <f t="shared" si="248"/>
        <v/>
      </c>
      <c r="AS249" s="223" t="str">
        <f t="shared" si="255"/>
        <v/>
      </c>
      <c r="AT249" s="223" t="str">
        <f t="shared" si="256"/>
        <v/>
      </c>
      <c r="AU249" s="223" t="str">
        <f t="shared" si="240"/>
        <v/>
      </c>
      <c r="AV249" s="223" t="str">
        <f t="shared" si="245"/>
        <v/>
      </c>
      <c r="AW249" s="223" t="str">
        <f t="shared" si="249"/>
        <v/>
      </c>
      <c r="AX249" s="223" t="str">
        <f t="shared" si="253"/>
        <v/>
      </c>
      <c r="AY249" s="223" t="str">
        <f t="shared" ref="AY249:AY261" si="259">IF(AND(E249&lt;$AY$2,I249&gt;$AY$2),"1","")</f>
        <v/>
      </c>
    </row>
    <row r="250" spans="2:51" x14ac:dyDescent="0.25">
      <c r="B250" s="406" t="s">
        <v>1155</v>
      </c>
      <c r="C250" s="206" t="s">
        <v>33</v>
      </c>
      <c r="D250" s="157">
        <v>2014</v>
      </c>
      <c r="E250" s="138">
        <v>41912</v>
      </c>
      <c r="F250" s="222">
        <f t="shared" si="203"/>
        <v>9</v>
      </c>
      <c r="G250" s="222" t="str">
        <f t="shared" si="204"/>
        <v>92014</v>
      </c>
      <c r="H250" s="222" t="str">
        <f t="shared" si="205"/>
        <v>septiembre</v>
      </c>
      <c r="I250" s="126" t="str">
        <f>VLOOKUP(B250,'Base de Datos'!$E$7:$T$271,14,0)</f>
        <v/>
      </c>
      <c r="J250" s="224" t="e">
        <f t="shared" si="206"/>
        <v>#VALUE!</v>
      </c>
      <c r="K250" s="223" t="e">
        <f t="shared" si="207"/>
        <v>#VALUE!</v>
      </c>
      <c r="L250" s="223" t="e">
        <f t="shared" si="208"/>
        <v>#VALUE!</v>
      </c>
      <c r="M250" s="223" t="str">
        <f t="shared" si="209"/>
        <v/>
      </c>
      <c r="N250" s="223" t="e">
        <f t="shared" ca="1" si="210"/>
        <v>#VALUE!</v>
      </c>
      <c r="O250" s="268" t="e">
        <f t="shared" ca="1" si="211"/>
        <v>#VALUE!</v>
      </c>
      <c r="P250" s="268" t="str">
        <f t="shared" si="220"/>
        <v/>
      </c>
      <c r="Q250" s="268" t="str">
        <f t="shared" si="212"/>
        <v/>
      </c>
      <c r="R250" s="268" t="str">
        <f t="shared" si="213"/>
        <v/>
      </c>
      <c r="S250" s="268" t="str">
        <f t="shared" si="214"/>
        <v/>
      </c>
      <c r="T250" s="268" t="str">
        <f t="shared" si="215"/>
        <v/>
      </c>
      <c r="U250" s="268" t="str">
        <f t="shared" si="216"/>
        <v/>
      </c>
      <c r="V250" s="268" t="str">
        <f t="shared" si="223"/>
        <v/>
      </c>
      <c r="W250" s="268" t="str">
        <f t="shared" si="217"/>
        <v/>
      </c>
      <c r="X250" s="268" t="str">
        <f t="shared" si="218"/>
        <v/>
      </c>
      <c r="Y250" s="268" t="str">
        <f t="shared" si="222"/>
        <v/>
      </c>
      <c r="Z250" s="268" t="str">
        <f t="shared" si="219"/>
        <v/>
      </c>
      <c r="AA250" s="268" t="str">
        <f t="shared" si="237"/>
        <v/>
      </c>
      <c r="AB250" s="268" t="str">
        <f t="shared" si="228"/>
        <v/>
      </c>
      <c r="AC250" s="268" t="str">
        <f t="shared" si="235"/>
        <v/>
      </c>
      <c r="AD250" s="268" t="str">
        <f t="shared" si="241"/>
        <v/>
      </c>
      <c r="AE250" s="268" t="str">
        <f t="shared" si="244"/>
        <v/>
      </c>
      <c r="AF250" s="268" t="str">
        <f t="shared" si="250"/>
        <v/>
      </c>
      <c r="AG250" s="268" t="str">
        <f t="shared" si="257"/>
        <v/>
      </c>
      <c r="AH250" s="268" t="str">
        <f t="shared" si="200"/>
        <v/>
      </c>
      <c r="AI250" s="268" t="str">
        <f t="shared" si="242"/>
        <v/>
      </c>
      <c r="AJ250" s="268" t="str">
        <f t="shared" si="246"/>
        <v/>
      </c>
      <c r="AK250" s="268" t="str">
        <f t="shared" si="251"/>
        <v/>
      </c>
      <c r="AL250" s="268" t="str">
        <f t="shared" si="254"/>
        <v/>
      </c>
      <c r="AM250" s="268" t="str">
        <f t="shared" si="258"/>
        <v/>
      </c>
      <c r="AN250" s="223" t="str">
        <f t="shared" si="247"/>
        <v/>
      </c>
      <c r="AO250" s="223" t="str">
        <f t="shared" si="252"/>
        <v/>
      </c>
      <c r="AP250" s="223" t="str">
        <f t="shared" ref="AP250:AP261" si="260">IF(AND(E250&lt;$AP$2,I250&gt;$AP$2),"1","")</f>
        <v/>
      </c>
      <c r="AQ250" s="223" t="str">
        <f t="shared" si="243"/>
        <v/>
      </c>
      <c r="AR250" s="223" t="str">
        <f t="shared" si="248"/>
        <v/>
      </c>
      <c r="AS250" s="223" t="str">
        <f t="shared" si="255"/>
        <v/>
      </c>
      <c r="AT250" s="223" t="str">
        <f t="shared" si="256"/>
        <v/>
      </c>
      <c r="AU250" s="223" t="str">
        <f t="shared" ref="AU250:AU261" si="261">IF(AND(E250&lt;$AU$2,I250&gt;$AU$2),"1","")</f>
        <v/>
      </c>
      <c r="AV250" s="223" t="str">
        <f t="shared" si="245"/>
        <v/>
      </c>
      <c r="AW250" s="223" t="str">
        <f t="shared" si="249"/>
        <v>1</v>
      </c>
      <c r="AX250" s="223" t="str">
        <f t="shared" si="253"/>
        <v>1</v>
      </c>
      <c r="AY250" s="223" t="str">
        <f t="shared" si="259"/>
        <v>1</v>
      </c>
    </row>
    <row r="251" spans="2:51" x14ac:dyDescent="0.25">
      <c r="B251" s="262" t="str">
        <f>+'Base de Datos'!E266</f>
        <v>140387-0-2014</v>
      </c>
      <c r="C251" s="238" t="str">
        <f>+'Base de Datos'!F266</f>
        <v>SERVIMETERS SA</v>
      </c>
      <c r="D251" s="238">
        <f>YEAR(E251)</f>
        <v>2015</v>
      </c>
      <c r="E251" s="239">
        <f>+'Base de Datos'!M266</f>
        <v>42037</v>
      </c>
      <c r="F251" s="222">
        <f t="shared" si="203"/>
        <v>2</v>
      </c>
      <c r="G251" s="222" t="str">
        <f t="shared" si="204"/>
        <v>22015</v>
      </c>
      <c r="H251" s="222" t="str">
        <f t="shared" si="205"/>
        <v>febrero</v>
      </c>
      <c r="I251" s="126" t="str">
        <f>VLOOKUP(B251,'Base de Datos'!$E$7:$T$271,14,0)</f>
        <v/>
      </c>
      <c r="J251" s="224" t="e">
        <f t="shared" si="206"/>
        <v>#VALUE!</v>
      </c>
      <c r="K251" s="223" t="e">
        <f t="shared" si="207"/>
        <v>#VALUE!</v>
      </c>
      <c r="L251" s="223" t="e">
        <f t="shared" si="208"/>
        <v>#VALUE!</v>
      </c>
      <c r="M251" s="223" t="str">
        <f t="shared" si="209"/>
        <v/>
      </c>
      <c r="N251" s="223" t="e">
        <f t="shared" ca="1" si="210"/>
        <v>#VALUE!</v>
      </c>
      <c r="O251" s="268" t="e">
        <f t="shared" ca="1" si="211"/>
        <v>#VALUE!</v>
      </c>
      <c r="P251" s="268" t="str">
        <f t="shared" si="220"/>
        <v/>
      </c>
      <c r="Q251" s="268" t="str">
        <f t="shared" si="212"/>
        <v/>
      </c>
      <c r="R251" s="268" t="str">
        <f t="shared" si="213"/>
        <v/>
      </c>
      <c r="S251" s="268" t="str">
        <f t="shared" si="214"/>
        <v/>
      </c>
      <c r="T251" s="268" t="str">
        <f t="shared" si="215"/>
        <v/>
      </c>
      <c r="U251" s="268" t="str">
        <f t="shared" si="216"/>
        <v/>
      </c>
      <c r="V251" s="268" t="str">
        <f t="shared" si="223"/>
        <v/>
      </c>
      <c r="W251" s="268" t="str">
        <f t="shared" si="217"/>
        <v/>
      </c>
      <c r="X251" s="268" t="str">
        <f t="shared" si="218"/>
        <v/>
      </c>
      <c r="Y251" s="268" t="str">
        <f t="shared" si="222"/>
        <v/>
      </c>
      <c r="Z251" s="268" t="str">
        <f t="shared" si="219"/>
        <v/>
      </c>
      <c r="AA251" s="268" t="str">
        <f t="shared" si="237"/>
        <v/>
      </c>
      <c r="AB251" s="268" t="str">
        <f t="shared" si="228"/>
        <v/>
      </c>
      <c r="AC251" s="268" t="str">
        <f t="shared" si="235"/>
        <v/>
      </c>
      <c r="AD251" s="268" t="str">
        <f t="shared" si="241"/>
        <v/>
      </c>
      <c r="AE251" s="268" t="str">
        <f t="shared" si="244"/>
        <v/>
      </c>
      <c r="AF251" s="268" t="str">
        <f t="shared" si="250"/>
        <v/>
      </c>
      <c r="AG251" s="268" t="str">
        <f t="shared" si="257"/>
        <v/>
      </c>
      <c r="AH251" s="268" t="str">
        <f t="shared" ref="AH251:AH261" si="262">IF(AND(E251&lt;$AH$2,I251&gt;$AH$2),"1","")</f>
        <v/>
      </c>
      <c r="AI251" s="268" t="str">
        <f t="shared" si="242"/>
        <v/>
      </c>
      <c r="AJ251" s="268" t="str">
        <f t="shared" si="246"/>
        <v/>
      </c>
      <c r="AK251" s="268" t="str">
        <f t="shared" si="251"/>
        <v/>
      </c>
      <c r="AL251" s="268" t="str">
        <f t="shared" si="254"/>
        <v/>
      </c>
      <c r="AM251" s="268" t="str">
        <f t="shared" si="258"/>
        <v/>
      </c>
      <c r="AN251" s="223" t="str">
        <f t="shared" si="247"/>
        <v/>
      </c>
      <c r="AO251" s="223" t="str">
        <f t="shared" si="252"/>
        <v/>
      </c>
      <c r="AP251" s="223" t="str">
        <f t="shared" si="260"/>
        <v/>
      </c>
      <c r="AQ251" s="223" t="str">
        <f t="shared" si="243"/>
        <v/>
      </c>
      <c r="AR251" s="223" t="str">
        <f t="shared" si="248"/>
        <v/>
      </c>
      <c r="AS251" s="223" t="str">
        <f t="shared" si="255"/>
        <v/>
      </c>
      <c r="AT251" s="223" t="str">
        <f t="shared" si="256"/>
        <v/>
      </c>
      <c r="AU251" s="223" t="str">
        <f t="shared" si="261"/>
        <v/>
      </c>
      <c r="AV251" s="223" t="str">
        <f t="shared" si="245"/>
        <v/>
      </c>
      <c r="AW251" s="223" t="str">
        <f t="shared" si="249"/>
        <v/>
      </c>
      <c r="AX251" s="223" t="str">
        <f t="shared" si="253"/>
        <v/>
      </c>
      <c r="AY251" s="223" t="str">
        <f t="shared" si="259"/>
        <v/>
      </c>
    </row>
    <row r="252" spans="2:51" x14ac:dyDescent="0.25">
      <c r="B252" s="260" t="s">
        <v>1158</v>
      </c>
      <c r="C252" s="207" t="s">
        <v>22</v>
      </c>
      <c r="D252" s="157">
        <v>2014</v>
      </c>
      <c r="E252" s="26">
        <v>41929</v>
      </c>
      <c r="F252" s="222">
        <f t="shared" si="203"/>
        <v>10</v>
      </c>
      <c r="G252" s="222" t="str">
        <f t="shared" si="204"/>
        <v>102014</v>
      </c>
      <c r="H252" s="222" t="str">
        <f t="shared" si="205"/>
        <v>octubre</v>
      </c>
      <c r="I252" s="126" t="str">
        <f>VLOOKUP(B252,'Base de Datos'!$E$7:$T$271,14,0)</f>
        <v>6 meses</v>
      </c>
      <c r="J252" s="224" t="e">
        <f t="shared" si="206"/>
        <v>#VALUE!</v>
      </c>
      <c r="K252" s="223" t="e">
        <f t="shared" si="207"/>
        <v>#VALUE!</v>
      </c>
      <c r="L252" s="223" t="e">
        <f t="shared" si="208"/>
        <v>#VALUE!</v>
      </c>
      <c r="M252" s="223" t="str">
        <f t="shared" si="209"/>
        <v>6 meses</v>
      </c>
      <c r="N252" s="223" t="e">
        <f t="shared" ca="1" si="210"/>
        <v>#VALUE!</v>
      </c>
      <c r="O252" s="268" t="e">
        <f t="shared" ca="1" si="211"/>
        <v>#VALUE!</v>
      </c>
      <c r="P252" s="268" t="str">
        <f t="shared" si="220"/>
        <v/>
      </c>
      <c r="Q252" s="268" t="str">
        <f t="shared" si="212"/>
        <v/>
      </c>
      <c r="R252" s="268" t="str">
        <f t="shared" si="213"/>
        <v/>
      </c>
      <c r="S252" s="268" t="str">
        <f t="shared" si="214"/>
        <v/>
      </c>
      <c r="T252" s="268" t="str">
        <f t="shared" si="215"/>
        <v/>
      </c>
      <c r="U252" s="268" t="str">
        <f t="shared" si="216"/>
        <v/>
      </c>
      <c r="V252" s="268" t="str">
        <f t="shared" si="223"/>
        <v/>
      </c>
      <c r="W252" s="268" t="str">
        <f t="shared" si="217"/>
        <v/>
      </c>
      <c r="X252" s="268" t="str">
        <f t="shared" si="218"/>
        <v/>
      </c>
      <c r="Y252" s="268" t="str">
        <f t="shared" si="222"/>
        <v/>
      </c>
      <c r="Z252" s="268" t="str">
        <f t="shared" si="219"/>
        <v/>
      </c>
      <c r="AA252" s="268" t="str">
        <f t="shared" si="237"/>
        <v/>
      </c>
      <c r="AB252" s="268" t="str">
        <f t="shared" si="228"/>
        <v/>
      </c>
      <c r="AC252" s="268" t="str">
        <f t="shared" si="235"/>
        <v/>
      </c>
      <c r="AD252" s="268" t="str">
        <f t="shared" si="241"/>
        <v/>
      </c>
      <c r="AE252" s="268" t="str">
        <f t="shared" si="244"/>
        <v/>
      </c>
      <c r="AF252" s="268" t="str">
        <f t="shared" si="250"/>
        <v/>
      </c>
      <c r="AG252" s="268" t="str">
        <f t="shared" si="257"/>
        <v/>
      </c>
      <c r="AH252" s="268" t="str">
        <f t="shared" si="262"/>
        <v/>
      </c>
      <c r="AI252" s="268" t="str">
        <f t="shared" si="242"/>
        <v/>
      </c>
      <c r="AJ252" s="268" t="str">
        <f t="shared" si="246"/>
        <v/>
      </c>
      <c r="AK252" s="268" t="str">
        <f t="shared" si="251"/>
        <v/>
      </c>
      <c r="AL252" s="268" t="str">
        <f t="shared" si="254"/>
        <v/>
      </c>
      <c r="AM252" s="268" t="str">
        <f t="shared" si="258"/>
        <v/>
      </c>
      <c r="AN252" s="223" t="str">
        <f t="shared" si="247"/>
        <v/>
      </c>
      <c r="AO252" s="223" t="str">
        <f t="shared" si="252"/>
        <v/>
      </c>
      <c r="AP252" s="223" t="str">
        <f t="shared" si="260"/>
        <v/>
      </c>
      <c r="AQ252" s="223" t="str">
        <f t="shared" si="243"/>
        <v/>
      </c>
      <c r="AR252" s="223" t="str">
        <f t="shared" si="248"/>
        <v/>
      </c>
      <c r="AS252" s="223" t="str">
        <f t="shared" si="255"/>
        <v/>
      </c>
      <c r="AT252" s="223" t="str">
        <f t="shared" si="256"/>
        <v/>
      </c>
      <c r="AU252" s="223" t="str">
        <f t="shared" si="261"/>
        <v/>
      </c>
      <c r="AV252" s="223" t="str">
        <f t="shared" si="245"/>
        <v/>
      </c>
      <c r="AW252" s="223" t="str">
        <f t="shared" si="249"/>
        <v>1</v>
      </c>
      <c r="AX252" s="223" t="str">
        <f t="shared" si="253"/>
        <v>1</v>
      </c>
      <c r="AY252" s="223" t="str">
        <f t="shared" si="259"/>
        <v>1</v>
      </c>
    </row>
    <row r="253" spans="2:51" x14ac:dyDescent="0.25">
      <c r="B253" s="261" t="s">
        <v>1116</v>
      </c>
      <c r="C253" s="170" t="s">
        <v>1117</v>
      </c>
      <c r="D253" s="157">
        <v>2014</v>
      </c>
      <c r="E253" s="171">
        <v>41929</v>
      </c>
      <c r="F253" s="222">
        <f t="shared" si="203"/>
        <v>10</v>
      </c>
      <c r="G253" s="222" t="str">
        <f t="shared" si="204"/>
        <v>102014</v>
      </c>
      <c r="H253" s="222" t="str">
        <f t="shared" si="205"/>
        <v>octubre</v>
      </c>
      <c r="I253" s="126" t="str">
        <f>VLOOKUP(B253,'Base de Datos'!$E$7:$T$271,14,0)</f>
        <v>2 meses</v>
      </c>
      <c r="J253" s="224" t="e">
        <f t="shared" si="206"/>
        <v>#VALUE!</v>
      </c>
      <c r="K253" s="223" t="e">
        <f t="shared" si="207"/>
        <v>#VALUE!</v>
      </c>
      <c r="L253" s="223" t="e">
        <f t="shared" si="208"/>
        <v>#VALUE!</v>
      </c>
      <c r="M253" s="223" t="str">
        <f t="shared" si="209"/>
        <v>2 meses</v>
      </c>
      <c r="N253" s="223" t="e">
        <f t="shared" ca="1" si="210"/>
        <v>#VALUE!</v>
      </c>
      <c r="O253" s="268" t="e">
        <f t="shared" ca="1" si="211"/>
        <v>#VALUE!</v>
      </c>
      <c r="P253" s="268" t="str">
        <f t="shared" si="220"/>
        <v/>
      </c>
      <c r="Q253" s="268" t="str">
        <f t="shared" si="212"/>
        <v/>
      </c>
      <c r="R253" s="268" t="str">
        <f t="shared" si="213"/>
        <v/>
      </c>
      <c r="S253" s="268" t="str">
        <f t="shared" si="214"/>
        <v/>
      </c>
      <c r="T253" s="268" t="str">
        <f t="shared" si="215"/>
        <v/>
      </c>
      <c r="U253" s="268" t="str">
        <f t="shared" si="216"/>
        <v/>
      </c>
      <c r="V253" s="268" t="str">
        <f t="shared" si="223"/>
        <v/>
      </c>
      <c r="W253" s="268" t="str">
        <f t="shared" si="217"/>
        <v/>
      </c>
      <c r="X253" s="268" t="str">
        <f t="shared" si="218"/>
        <v/>
      </c>
      <c r="Y253" s="268" t="str">
        <f t="shared" si="222"/>
        <v/>
      </c>
      <c r="Z253" s="268" t="str">
        <f t="shared" si="219"/>
        <v/>
      </c>
      <c r="AA253" s="268" t="str">
        <f t="shared" si="237"/>
        <v/>
      </c>
      <c r="AB253" s="268" t="str">
        <f t="shared" si="228"/>
        <v/>
      </c>
      <c r="AC253" s="268" t="str">
        <f t="shared" si="235"/>
        <v/>
      </c>
      <c r="AD253" s="268" t="str">
        <f t="shared" si="241"/>
        <v/>
      </c>
      <c r="AE253" s="268" t="str">
        <f t="shared" si="244"/>
        <v/>
      </c>
      <c r="AF253" s="268" t="str">
        <f t="shared" si="250"/>
        <v/>
      </c>
      <c r="AG253" s="268" t="str">
        <f t="shared" si="257"/>
        <v/>
      </c>
      <c r="AH253" s="268" t="str">
        <f t="shared" si="262"/>
        <v/>
      </c>
      <c r="AI253" s="268" t="str">
        <f t="shared" si="242"/>
        <v/>
      </c>
      <c r="AJ253" s="268" t="str">
        <f t="shared" si="246"/>
        <v/>
      </c>
      <c r="AK253" s="268" t="str">
        <f t="shared" si="251"/>
        <v/>
      </c>
      <c r="AL253" s="268" t="str">
        <f t="shared" si="254"/>
        <v/>
      </c>
      <c r="AM253" s="268" t="str">
        <f t="shared" si="258"/>
        <v/>
      </c>
      <c r="AN253" s="223" t="str">
        <f t="shared" si="247"/>
        <v/>
      </c>
      <c r="AO253" s="223" t="str">
        <f t="shared" si="252"/>
        <v/>
      </c>
      <c r="AP253" s="223" t="str">
        <f t="shared" si="260"/>
        <v/>
      </c>
      <c r="AQ253" s="223" t="str">
        <f t="shared" si="243"/>
        <v/>
      </c>
      <c r="AR253" s="223" t="str">
        <f t="shared" si="248"/>
        <v/>
      </c>
      <c r="AS253" s="223" t="str">
        <f t="shared" si="255"/>
        <v/>
      </c>
      <c r="AT253" s="223" t="str">
        <f t="shared" si="256"/>
        <v/>
      </c>
      <c r="AU253" s="223" t="str">
        <f t="shared" si="261"/>
        <v/>
      </c>
      <c r="AV253" s="223" t="str">
        <f t="shared" si="245"/>
        <v/>
      </c>
      <c r="AW253" s="223" t="str">
        <f t="shared" si="249"/>
        <v>1</v>
      </c>
      <c r="AX253" s="223" t="str">
        <f t="shared" si="253"/>
        <v>1</v>
      </c>
      <c r="AY253" s="223" t="str">
        <f t="shared" si="259"/>
        <v>1</v>
      </c>
    </row>
    <row r="254" spans="2:51" x14ac:dyDescent="0.25">
      <c r="B254" s="406" t="s">
        <v>1162</v>
      </c>
      <c r="C254" s="206" t="s">
        <v>1163</v>
      </c>
      <c r="D254" s="157">
        <v>2014</v>
      </c>
      <c r="E254" s="138">
        <v>41936</v>
      </c>
      <c r="F254" s="222">
        <f t="shared" si="203"/>
        <v>10</v>
      </c>
      <c r="G254" s="222" t="str">
        <f t="shared" si="204"/>
        <v>102014</v>
      </c>
      <c r="H254" s="222" t="str">
        <f t="shared" si="205"/>
        <v>octubre</v>
      </c>
      <c r="I254" s="126" t="str">
        <f>VLOOKUP(B254,'Base de Datos'!$E$7:$T$271,14,0)</f>
        <v/>
      </c>
      <c r="J254" s="224" t="e">
        <f t="shared" si="206"/>
        <v>#VALUE!</v>
      </c>
      <c r="K254" s="223" t="e">
        <f t="shared" si="207"/>
        <v>#VALUE!</v>
      </c>
      <c r="L254" s="223" t="e">
        <f t="shared" si="208"/>
        <v>#VALUE!</v>
      </c>
      <c r="M254" s="223" t="str">
        <f t="shared" si="209"/>
        <v/>
      </c>
      <c r="N254" s="223" t="e">
        <f t="shared" ca="1" si="210"/>
        <v>#VALUE!</v>
      </c>
      <c r="O254" s="268" t="e">
        <f t="shared" ca="1" si="211"/>
        <v>#VALUE!</v>
      </c>
      <c r="P254" s="268" t="str">
        <f t="shared" si="220"/>
        <v/>
      </c>
      <c r="Q254" s="268" t="str">
        <f t="shared" si="212"/>
        <v/>
      </c>
      <c r="R254" s="268" t="str">
        <f t="shared" si="213"/>
        <v/>
      </c>
      <c r="S254" s="268" t="str">
        <f t="shared" si="214"/>
        <v/>
      </c>
      <c r="T254" s="268" t="str">
        <f t="shared" si="215"/>
        <v/>
      </c>
      <c r="U254" s="268" t="str">
        <f t="shared" si="216"/>
        <v/>
      </c>
      <c r="V254" s="268" t="str">
        <f t="shared" si="223"/>
        <v/>
      </c>
      <c r="W254" s="268" t="str">
        <f t="shared" si="217"/>
        <v/>
      </c>
      <c r="X254" s="268" t="str">
        <f t="shared" si="218"/>
        <v/>
      </c>
      <c r="Y254" s="268" t="str">
        <f t="shared" si="222"/>
        <v/>
      </c>
      <c r="Z254" s="268" t="str">
        <f t="shared" si="219"/>
        <v/>
      </c>
      <c r="AA254" s="268" t="str">
        <f t="shared" si="237"/>
        <v/>
      </c>
      <c r="AB254" s="268" t="str">
        <f t="shared" si="228"/>
        <v/>
      </c>
      <c r="AC254" s="268" t="str">
        <f t="shared" si="235"/>
        <v/>
      </c>
      <c r="AD254" s="268" t="str">
        <f t="shared" si="241"/>
        <v/>
      </c>
      <c r="AE254" s="268" t="str">
        <f t="shared" si="244"/>
        <v/>
      </c>
      <c r="AF254" s="268" t="str">
        <f t="shared" si="250"/>
        <v/>
      </c>
      <c r="AG254" s="268" t="str">
        <f t="shared" si="257"/>
        <v/>
      </c>
      <c r="AH254" s="268" t="str">
        <f t="shared" si="262"/>
        <v/>
      </c>
      <c r="AI254" s="268" t="str">
        <f t="shared" si="242"/>
        <v/>
      </c>
      <c r="AJ254" s="268" t="str">
        <f t="shared" si="246"/>
        <v/>
      </c>
      <c r="AK254" s="268" t="str">
        <f t="shared" si="251"/>
        <v/>
      </c>
      <c r="AL254" s="268" t="str">
        <f t="shared" si="254"/>
        <v/>
      </c>
      <c r="AM254" s="268" t="str">
        <f t="shared" si="258"/>
        <v/>
      </c>
      <c r="AN254" s="223" t="str">
        <f t="shared" si="247"/>
        <v/>
      </c>
      <c r="AO254" s="223" t="str">
        <f t="shared" si="252"/>
        <v/>
      </c>
      <c r="AP254" s="223" t="str">
        <f t="shared" si="260"/>
        <v/>
      </c>
      <c r="AQ254" s="223" t="str">
        <f t="shared" si="243"/>
        <v/>
      </c>
      <c r="AR254" s="223" t="str">
        <f t="shared" si="248"/>
        <v/>
      </c>
      <c r="AS254" s="223" t="str">
        <f t="shared" si="255"/>
        <v/>
      </c>
      <c r="AT254" s="223" t="str">
        <f t="shared" si="256"/>
        <v/>
      </c>
      <c r="AU254" s="223" t="str">
        <f t="shared" si="261"/>
        <v/>
      </c>
      <c r="AV254" s="223" t="str">
        <f t="shared" si="245"/>
        <v/>
      </c>
      <c r="AW254" s="223" t="str">
        <f t="shared" si="249"/>
        <v>1</v>
      </c>
      <c r="AX254" s="223" t="str">
        <f t="shared" si="253"/>
        <v>1</v>
      </c>
      <c r="AY254" s="223" t="str">
        <f t="shared" si="259"/>
        <v>1</v>
      </c>
    </row>
    <row r="255" spans="2:51" x14ac:dyDescent="0.25">
      <c r="B255" s="262" t="str">
        <f>+'Base de Datos'!E254</f>
        <v>140313-0-2014</v>
      </c>
      <c r="C255" s="238" t="str">
        <f>+'Base de Datos'!F254</f>
        <v>M@ICROTEL LTDA</v>
      </c>
      <c r="D255" s="238">
        <f>YEAR(E255)</f>
        <v>2014</v>
      </c>
      <c r="E255" s="239">
        <f>+'Base de Datos'!M254</f>
        <v>41969</v>
      </c>
      <c r="F255" s="222">
        <f t="shared" si="203"/>
        <v>11</v>
      </c>
      <c r="G255" s="222" t="str">
        <f t="shared" si="204"/>
        <v>112014</v>
      </c>
      <c r="H255" s="222" t="str">
        <f t="shared" si="205"/>
        <v>noviembre</v>
      </c>
      <c r="I255" s="126" t="str">
        <f>VLOOKUP(B255,'Base de Datos'!$E$7:$T$271,14,0)</f>
        <v/>
      </c>
      <c r="J255" s="224" t="e">
        <f t="shared" si="206"/>
        <v>#VALUE!</v>
      </c>
      <c r="K255" s="223" t="e">
        <f t="shared" si="207"/>
        <v>#VALUE!</v>
      </c>
      <c r="L255" s="223" t="e">
        <f t="shared" si="208"/>
        <v>#VALUE!</v>
      </c>
      <c r="M255" s="223" t="str">
        <f t="shared" si="209"/>
        <v/>
      </c>
      <c r="N255" s="223" t="e">
        <f t="shared" ca="1" si="210"/>
        <v>#VALUE!</v>
      </c>
      <c r="O255" s="268" t="e">
        <f t="shared" ca="1" si="211"/>
        <v>#VALUE!</v>
      </c>
      <c r="P255" s="268" t="str">
        <f t="shared" si="220"/>
        <v/>
      </c>
      <c r="Q255" s="268" t="str">
        <f t="shared" si="212"/>
        <v/>
      </c>
      <c r="R255" s="268" t="str">
        <f t="shared" si="213"/>
        <v/>
      </c>
      <c r="S255" s="268" t="str">
        <f t="shared" si="214"/>
        <v/>
      </c>
      <c r="T255" s="268" t="str">
        <f t="shared" si="215"/>
        <v/>
      </c>
      <c r="U255" s="268" t="str">
        <f t="shared" si="216"/>
        <v/>
      </c>
      <c r="V255" s="268" t="str">
        <f t="shared" si="223"/>
        <v/>
      </c>
      <c r="W255" s="268" t="str">
        <f t="shared" si="217"/>
        <v/>
      </c>
      <c r="X255" s="268" t="str">
        <f t="shared" si="218"/>
        <v/>
      </c>
      <c r="Y255" s="268" t="str">
        <f t="shared" si="222"/>
        <v/>
      </c>
      <c r="Z255" s="268" t="str">
        <f t="shared" si="219"/>
        <v/>
      </c>
      <c r="AA255" s="268" t="str">
        <f t="shared" si="237"/>
        <v/>
      </c>
      <c r="AB255" s="268" t="str">
        <f t="shared" si="228"/>
        <v/>
      </c>
      <c r="AC255" s="268" t="str">
        <f t="shared" si="235"/>
        <v/>
      </c>
      <c r="AD255" s="268" t="str">
        <f t="shared" si="241"/>
        <v/>
      </c>
      <c r="AE255" s="268" t="str">
        <f t="shared" si="244"/>
        <v/>
      </c>
      <c r="AF255" s="268" t="str">
        <f t="shared" si="250"/>
        <v/>
      </c>
      <c r="AG255" s="268" t="str">
        <f t="shared" si="257"/>
        <v/>
      </c>
      <c r="AH255" s="268" t="str">
        <f t="shared" si="262"/>
        <v/>
      </c>
      <c r="AI255" s="268" t="str">
        <f t="shared" ref="AI255:AI261" si="263">IF(AND(E255&lt;$AI$2,I255&gt;$AI$2),"1","")</f>
        <v/>
      </c>
      <c r="AJ255" s="268" t="str">
        <f t="shared" si="246"/>
        <v/>
      </c>
      <c r="AK255" s="268" t="str">
        <f t="shared" si="251"/>
        <v/>
      </c>
      <c r="AL255" s="268" t="str">
        <f t="shared" si="254"/>
        <v/>
      </c>
      <c r="AM255" s="268" t="str">
        <f t="shared" si="258"/>
        <v/>
      </c>
      <c r="AN255" s="223" t="str">
        <f t="shared" si="247"/>
        <v/>
      </c>
      <c r="AO255" s="223" t="str">
        <f t="shared" si="252"/>
        <v/>
      </c>
      <c r="AP255" s="223" t="str">
        <f t="shared" si="260"/>
        <v/>
      </c>
      <c r="AQ255" s="223" t="str">
        <f t="shared" si="243"/>
        <v/>
      </c>
      <c r="AR255" s="223" t="str">
        <f t="shared" si="248"/>
        <v/>
      </c>
      <c r="AS255" s="223" t="str">
        <f t="shared" si="255"/>
        <v/>
      </c>
      <c r="AT255" s="223" t="str">
        <f t="shared" si="256"/>
        <v/>
      </c>
      <c r="AU255" s="223" t="str">
        <f t="shared" si="261"/>
        <v/>
      </c>
      <c r="AV255" s="223" t="str">
        <f t="shared" si="245"/>
        <v/>
      </c>
      <c r="AW255" s="223" t="str">
        <f t="shared" si="249"/>
        <v/>
      </c>
      <c r="AX255" s="223" t="str">
        <f t="shared" si="253"/>
        <v>1</v>
      </c>
      <c r="AY255" s="223" t="str">
        <f t="shared" si="259"/>
        <v>1</v>
      </c>
    </row>
    <row r="256" spans="2:51" x14ac:dyDescent="0.25">
      <c r="B256" s="262" t="str">
        <f>+'Base de Datos'!E252</f>
        <v>140334-0-2014</v>
      </c>
      <c r="C256" s="238" t="str">
        <f>+'Base de Datos'!F252</f>
        <v>EDITORIAL EL GLOBO S.A</v>
      </c>
      <c r="D256" s="238">
        <f>YEAR(E256)</f>
        <v>2014</v>
      </c>
      <c r="E256" s="239">
        <f>+'Base de Datos'!M252</f>
        <v>41970</v>
      </c>
      <c r="F256" s="222">
        <f t="shared" si="203"/>
        <v>11</v>
      </c>
      <c r="G256" s="222" t="str">
        <f t="shared" si="204"/>
        <v>112014</v>
      </c>
      <c r="H256" s="222" t="str">
        <f t="shared" si="205"/>
        <v>noviembre</v>
      </c>
      <c r="I256" s="126" t="str">
        <f>VLOOKUP(B256,'Base de Datos'!$E$7:$T$271,14,0)</f>
        <v/>
      </c>
      <c r="J256" s="224" t="e">
        <f t="shared" si="206"/>
        <v>#VALUE!</v>
      </c>
      <c r="K256" s="223" t="e">
        <f t="shared" si="207"/>
        <v>#VALUE!</v>
      </c>
      <c r="L256" s="223" t="e">
        <f t="shared" si="208"/>
        <v>#VALUE!</v>
      </c>
      <c r="M256" s="223" t="str">
        <f t="shared" si="209"/>
        <v/>
      </c>
      <c r="N256" s="223" t="e">
        <f t="shared" ca="1" si="210"/>
        <v>#VALUE!</v>
      </c>
      <c r="O256" s="268" t="e">
        <f t="shared" ca="1" si="211"/>
        <v>#VALUE!</v>
      </c>
      <c r="P256" s="268" t="str">
        <f t="shared" si="220"/>
        <v/>
      </c>
      <c r="Q256" s="268" t="str">
        <f t="shared" si="212"/>
        <v/>
      </c>
      <c r="R256" s="268" t="str">
        <f t="shared" si="213"/>
        <v/>
      </c>
      <c r="S256" s="268" t="str">
        <f t="shared" si="214"/>
        <v/>
      </c>
      <c r="T256" s="268" t="str">
        <f t="shared" si="215"/>
        <v/>
      </c>
      <c r="U256" s="268" t="str">
        <f t="shared" si="216"/>
        <v/>
      </c>
      <c r="V256" s="268" t="str">
        <f t="shared" si="223"/>
        <v/>
      </c>
      <c r="W256" s="268" t="str">
        <f t="shared" si="217"/>
        <v/>
      </c>
      <c r="X256" s="268" t="str">
        <f t="shared" si="218"/>
        <v/>
      </c>
      <c r="Y256" s="268" t="str">
        <f t="shared" si="222"/>
        <v/>
      </c>
      <c r="Z256" s="268" t="str">
        <f t="shared" si="219"/>
        <v/>
      </c>
      <c r="AA256" s="268" t="str">
        <f t="shared" si="237"/>
        <v/>
      </c>
      <c r="AB256" s="268" t="str">
        <f t="shared" si="228"/>
        <v/>
      </c>
      <c r="AC256" s="268" t="str">
        <f t="shared" si="235"/>
        <v/>
      </c>
      <c r="AD256" s="268" t="str">
        <f t="shared" si="241"/>
        <v/>
      </c>
      <c r="AE256" s="268" t="str">
        <f t="shared" si="244"/>
        <v/>
      </c>
      <c r="AF256" s="268" t="str">
        <f t="shared" si="250"/>
        <v/>
      </c>
      <c r="AG256" s="268" t="str">
        <f t="shared" si="257"/>
        <v/>
      </c>
      <c r="AH256" s="268" t="str">
        <f t="shared" si="262"/>
        <v/>
      </c>
      <c r="AI256" s="268" t="str">
        <f t="shared" si="263"/>
        <v/>
      </c>
      <c r="AJ256" s="268" t="str">
        <f t="shared" si="246"/>
        <v/>
      </c>
      <c r="AK256" s="268" t="str">
        <f t="shared" si="251"/>
        <v/>
      </c>
      <c r="AL256" s="268" t="str">
        <f t="shared" si="254"/>
        <v/>
      </c>
      <c r="AM256" s="268" t="str">
        <f t="shared" si="258"/>
        <v/>
      </c>
      <c r="AN256" s="223" t="str">
        <f t="shared" si="247"/>
        <v/>
      </c>
      <c r="AO256" s="223" t="str">
        <f t="shared" si="252"/>
        <v/>
      </c>
      <c r="AP256" s="223" t="str">
        <f t="shared" si="260"/>
        <v/>
      </c>
      <c r="AQ256" s="223" t="str">
        <f t="shared" si="243"/>
        <v/>
      </c>
      <c r="AR256" s="223" t="str">
        <f t="shared" si="248"/>
        <v/>
      </c>
      <c r="AS256" s="223" t="str">
        <f t="shared" si="255"/>
        <v/>
      </c>
      <c r="AT256" s="223" t="str">
        <f t="shared" si="256"/>
        <v/>
      </c>
      <c r="AU256" s="223" t="str">
        <f t="shared" si="261"/>
        <v/>
      </c>
      <c r="AV256" s="223" t="str">
        <f t="shared" si="245"/>
        <v/>
      </c>
      <c r="AW256" s="223" t="str">
        <f t="shared" si="249"/>
        <v/>
      </c>
      <c r="AX256" s="223" t="str">
        <f t="shared" si="253"/>
        <v>1</v>
      </c>
      <c r="AY256" s="223" t="str">
        <f t="shared" si="259"/>
        <v>1</v>
      </c>
    </row>
    <row r="257" spans="2:51" x14ac:dyDescent="0.25">
      <c r="B257" s="262" t="str">
        <f>+'Base de Datos'!E269</f>
        <v>140392-0-2014</v>
      </c>
      <c r="C257" s="238" t="str">
        <f>+'Base de Datos'!F269</f>
        <v>M@ICROTEL LTDA</v>
      </c>
      <c r="D257" s="238">
        <f>YEAR(E257)</f>
        <v>2015</v>
      </c>
      <c r="E257" s="239">
        <f>+'Base de Datos'!M269</f>
        <v>42018</v>
      </c>
      <c r="F257" s="222">
        <f t="shared" si="203"/>
        <v>1</v>
      </c>
      <c r="G257" s="222" t="str">
        <f t="shared" si="204"/>
        <v>12015</v>
      </c>
      <c r="H257" s="222" t="str">
        <f t="shared" si="205"/>
        <v>enero</v>
      </c>
      <c r="I257" s="126" t="str">
        <f>VLOOKUP(B257,'Base de Datos'!$E$7:$T$271,14,0)</f>
        <v/>
      </c>
      <c r="J257" s="224" t="e">
        <f t="shared" si="206"/>
        <v>#VALUE!</v>
      </c>
      <c r="K257" s="223" t="e">
        <f t="shared" si="207"/>
        <v>#VALUE!</v>
      </c>
      <c r="L257" s="223" t="e">
        <f t="shared" si="208"/>
        <v>#VALUE!</v>
      </c>
      <c r="M257" s="223" t="str">
        <f t="shared" si="209"/>
        <v/>
      </c>
      <c r="N257" s="223" t="e">
        <f t="shared" ca="1" si="210"/>
        <v>#VALUE!</v>
      </c>
      <c r="O257" s="268" t="e">
        <f t="shared" ca="1" si="211"/>
        <v>#VALUE!</v>
      </c>
      <c r="P257" s="268" t="str">
        <f t="shared" si="220"/>
        <v/>
      </c>
      <c r="Q257" s="268" t="str">
        <f t="shared" si="212"/>
        <v/>
      </c>
      <c r="R257" s="268" t="str">
        <f t="shared" si="213"/>
        <v/>
      </c>
      <c r="S257" s="268" t="str">
        <f t="shared" si="214"/>
        <v/>
      </c>
      <c r="T257" s="268" t="str">
        <f t="shared" si="215"/>
        <v/>
      </c>
      <c r="U257" s="268" t="str">
        <f t="shared" si="216"/>
        <v/>
      </c>
      <c r="V257" s="268" t="str">
        <f t="shared" si="223"/>
        <v/>
      </c>
      <c r="W257" s="268" t="str">
        <f t="shared" si="217"/>
        <v/>
      </c>
      <c r="X257" s="268" t="str">
        <f t="shared" si="218"/>
        <v/>
      </c>
      <c r="Y257" s="268" t="str">
        <f t="shared" si="222"/>
        <v/>
      </c>
      <c r="Z257" s="268" t="str">
        <f t="shared" si="219"/>
        <v/>
      </c>
      <c r="AA257" s="268" t="str">
        <f t="shared" si="237"/>
        <v/>
      </c>
      <c r="AB257" s="268" t="str">
        <f t="shared" si="228"/>
        <v/>
      </c>
      <c r="AC257" s="268" t="str">
        <f t="shared" si="235"/>
        <v/>
      </c>
      <c r="AD257" s="268" t="str">
        <f t="shared" si="241"/>
        <v/>
      </c>
      <c r="AE257" s="268" t="str">
        <f t="shared" si="244"/>
        <v/>
      </c>
      <c r="AF257" s="268" t="str">
        <f t="shared" si="250"/>
        <v/>
      </c>
      <c r="AG257" s="268" t="str">
        <f t="shared" si="257"/>
        <v/>
      </c>
      <c r="AH257" s="268" t="str">
        <f t="shared" si="262"/>
        <v/>
      </c>
      <c r="AI257" s="268" t="str">
        <f t="shared" si="263"/>
        <v/>
      </c>
      <c r="AJ257" s="268" t="str">
        <f t="shared" si="246"/>
        <v/>
      </c>
      <c r="AK257" s="268" t="str">
        <f t="shared" si="251"/>
        <v/>
      </c>
      <c r="AL257" s="268" t="str">
        <f t="shared" si="254"/>
        <v/>
      </c>
      <c r="AM257" s="268" t="str">
        <f t="shared" si="258"/>
        <v/>
      </c>
      <c r="AN257" s="223" t="str">
        <f t="shared" si="247"/>
        <v/>
      </c>
      <c r="AO257" s="223" t="str">
        <f t="shared" si="252"/>
        <v/>
      </c>
      <c r="AP257" s="223" t="str">
        <f t="shared" si="260"/>
        <v/>
      </c>
      <c r="AQ257" s="223" t="str">
        <f t="shared" si="243"/>
        <v/>
      </c>
      <c r="AR257" s="223" t="str">
        <f t="shared" si="248"/>
        <v/>
      </c>
      <c r="AS257" s="223" t="str">
        <f t="shared" si="255"/>
        <v/>
      </c>
      <c r="AT257" s="223" t="str">
        <f t="shared" si="256"/>
        <v/>
      </c>
      <c r="AU257" s="223" t="str">
        <f t="shared" si="261"/>
        <v/>
      </c>
      <c r="AV257" s="223" t="str">
        <f t="shared" si="245"/>
        <v/>
      </c>
      <c r="AW257" s="223" t="str">
        <f t="shared" si="249"/>
        <v/>
      </c>
      <c r="AX257" s="223" t="str">
        <f t="shared" si="253"/>
        <v/>
      </c>
      <c r="AY257" s="223" t="str">
        <f t="shared" si="259"/>
        <v/>
      </c>
    </row>
    <row r="258" spans="2:51" x14ac:dyDescent="0.25">
      <c r="B258" s="251" t="s">
        <v>258</v>
      </c>
      <c r="C258" s="132" t="s">
        <v>259</v>
      </c>
      <c r="D258" s="157">
        <v>2013</v>
      </c>
      <c r="E258" s="138">
        <v>41696</v>
      </c>
      <c r="F258" s="222">
        <f t="shared" si="203"/>
        <v>2</v>
      </c>
      <c r="G258" s="222" t="str">
        <f t="shared" si="204"/>
        <v>22013</v>
      </c>
      <c r="H258" s="222" t="str">
        <f t="shared" si="205"/>
        <v>febrero</v>
      </c>
      <c r="I258" s="126" t="str">
        <f>VLOOKUP(B258,'Base de Datos'!$E$7:$T$271,14,0)</f>
        <v/>
      </c>
      <c r="J258" s="224" t="e">
        <f t="shared" si="206"/>
        <v>#VALUE!</v>
      </c>
      <c r="K258" s="223" t="e">
        <f t="shared" si="207"/>
        <v>#VALUE!</v>
      </c>
      <c r="L258" s="223" t="e">
        <f t="shared" si="208"/>
        <v>#VALUE!</v>
      </c>
      <c r="M258" s="223" t="str">
        <f t="shared" si="209"/>
        <v/>
      </c>
      <c r="N258" s="223" t="e">
        <f t="shared" ca="1" si="210"/>
        <v>#VALUE!</v>
      </c>
      <c r="O258" s="268" t="e">
        <f t="shared" ca="1" si="211"/>
        <v>#VALUE!</v>
      </c>
      <c r="P258" s="268" t="str">
        <f t="shared" si="220"/>
        <v/>
      </c>
      <c r="Q258" s="268" t="str">
        <f t="shared" si="212"/>
        <v/>
      </c>
      <c r="R258" s="268" t="str">
        <f t="shared" si="213"/>
        <v/>
      </c>
      <c r="S258" s="268" t="str">
        <f t="shared" si="214"/>
        <v/>
      </c>
      <c r="T258" s="268" t="str">
        <f t="shared" si="215"/>
        <v/>
      </c>
      <c r="U258" s="268" t="str">
        <f t="shared" si="216"/>
        <v/>
      </c>
      <c r="V258" s="268" t="str">
        <f t="shared" si="223"/>
        <v/>
      </c>
      <c r="W258" s="268" t="str">
        <f t="shared" si="217"/>
        <v/>
      </c>
      <c r="X258" s="268" t="str">
        <f t="shared" si="218"/>
        <v/>
      </c>
      <c r="Y258" s="268" t="str">
        <f t="shared" si="222"/>
        <v/>
      </c>
      <c r="Z258" s="268" t="str">
        <f t="shared" si="219"/>
        <v/>
      </c>
      <c r="AA258" s="268" t="str">
        <f t="shared" si="237"/>
        <v/>
      </c>
      <c r="AB258" s="268" t="str">
        <f t="shared" si="228"/>
        <v/>
      </c>
      <c r="AC258" s="268" t="str">
        <f t="shared" si="235"/>
        <v/>
      </c>
      <c r="AD258" s="268" t="str">
        <f t="shared" si="241"/>
        <v/>
      </c>
      <c r="AE258" s="268" t="str">
        <f t="shared" si="244"/>
        <v/>
      </c>
      <c r="AF258" s="268" t="str">
        <f t="shared" si="250"/>
        <v/>
      </c>
      <c r="AG258" s="268" t="str">
        <f t="shared" si="257"/>
        <v/>
      </c>
      <c r="AH258" s="268" t="str">
        <f t="shared" si="262"/>
        <v/>
      </c>
      <c r="AI258" s="268" t="str">
        <f t="shared" si="263"/>
        <v/>
      </c>
      <c r="AJ258" s="268" t="str">
        <f t="shared" si="246"/>
        <v/>
      </c>
      <c r="AK258" s="268" t="str">
        <f t="shared" si="251"/>
        <v/>
      </c>
      <c r="AL258" s="268" t="str">
        <f t="shared" si="254"/>
        <v/>
      </c>
      <c r="AM258" s="268" t="str">
        <f t="shared" si="258"/>
        <v/>
      </c>
      <c r="AN258" s="223" t="str">
        <f t="shared" si="247"/>
        <v/>
      </c>
      <c r="AO258" s="223" t="str">
        <f t="shared" si="252"/>
        <v>1</v>
      </c>
      <c r="AP258" s="223" t="str">
        <f t="shared" si="260"/>
        <v>1</v>
      </c>
      <c r="AQ258" s="223" t="str">
        <f t="shared" si="243"/>
        <v>1</v>
      </c>
      <c r="AR258" s="223" t="str">
        <f t="shared" si="248"/>
        <v>1</v>
      </c>
      <c r="AS258" s="223" t="str">
        <f t="shared" si="255"/>
        <v>1</v>
      </c>
      <c r="AT258" s="223" t="str">
        <f t="shared" si="256"/>
        <v>1</v>
      </c>
      <c r="AU258" s="223" t="str">
        <f t="shared" si="261"/>
        <v>1</v>
      </c>
      <c r="AV258" s="223" t="str">
        <f t="shared" si="245"/>
        <v>1</v>
      </c>
      <c r="AW258" s="223" t="str">
        <f t="shared" si="249"/>
        <v>1</v>
      </c>
      <c r="AX258" s="223" t="str">
        <f t="shared" si="253"/>
        <v>1</v>
      </c>
      <c r="AY258" s="223" t="str">
        <f t="shared" si="259"/>
        <v>1</v>
      </c>
    </row>
    <row r="259" spans="2:51" x14ac:dyDescent="0.25">
      <c r="B259" s="262" t="str">
        <f>+'Base de Datos'!E255</f>
        <v>140332-0-2014</v>
      </c>
      <c r="C259" s="238" t="str">
        <f>+'Base de Datos'!F255</f>
        <v>CARLOS ALBERTO CASTELLANOS MEDINA</v>
      </c>
      <c r="D259" s="238">
        <f>YEAR(E259)</f>
        <v>2014</v>
      </c>
      <c r="E259" s="239">
        <f>+'Base de Datos'!M255</f>
        <v>41957</v>
      </c>
      <c r="F259" s="222">
        <f>MONTH(E259)</f>
        <v>11</v>
      </c>
      <c r="G259" s="222" t="str">
        <f>CONCATENATE(F259,D259)</f>
        <v>112014</v>
      </c>
      <c r="H259" s="222" t="str">
        <f t="shared" si="205"/>
        <v>noviembre</v>
      </c>
      <c r="I259" s="126" t="str">
        <f>VLOOKUP(B259,'Base de Datos'!$E$7:$T$271,14,0)</f>
        <v/>
      </c>
      <c r="J259" s="224" t="e">
        <f>YEAR(I259)</f>
        <v>#VALUE!</v>
      </c>
      <c r="K259" s="223" t="e">
        <f t="shared" si="207"/>
        <v>#VALUE!</v>
      </c>
      <c r="L259" s="223" t="e">
        <f>CONCATENATE(K259,J259)</f>
        <v>#VALUE!</v>
      </c>
      <c r="M259" s="223" t="str">
        <f t="shared" si="209"/>
        <v/>
      </c>
      <c r="N259" s="223" t="e">
        <f t="shared" ca="1" si="210"/>
        <v>#VALUE!</v>
      </c>
      <c r="O259" s="268" t="e">
        <f ca="1">IF(N259&gt;0,"SI","NO")</f>
        <v>#VALUE!</v>
      </c>
      <c r="P259" s="268" t="str">
        <f t="shared" si="220"/>
        <v/>
      </c>
      <c r="Q259" s="268" t="str">
        <f t="shared" si="212"/>
        <v/>
      </c>
      <c r="R259" s="268" t="str">
        <f t="shared" si="213"/>
        <v/>
      </c>
      <c r="S259" s="268" t="str">
        <f t="shared" si="214"/>
        <v/>
      </c>
      <c r="T259" s="268" t="str">
        <f t="shared" si="215"/>
        <v/>
      </c>
      <c r="U259" s="268" t="str">
        <f t="shared" si="216"/>
        <v/>
      </c>
      <c r="V259" s="268" t="str">
        <f t="shared" si="223"/>
        <v/>
      </c>
      <c r="W259" s="268" t="str">
        <f t="shared" si="217"/>
        <v/>
      </c>
      <c r="X259" s="268" t="str">
        <f t="shared" si="218"/>
        <v/>
      </c>
      <c r="Y259" s="268" t="str">
        <f t="shared" si="222"/>
        <v/>
      </c>
      <c r="Z259" s="268" t="str">
        <f t="shared" si="219"/>
        <v/>
      </c>
      <c r="AA259" s="268" t="str">
        <f t="shared" si="237"/>
        <v/>
      </c>
      <c r="AB259" s="268" t="str">
        <f t="shared" si="228"/>
        <v/>
      </c>
      <c r="AC259" s="268" t="str">
        <f t="shared" si="235"/>
        <v/>
      </c>
      <c r="AD259" s="268" t="str">
        <f t="shared" si="241"/>
        <v/>
      </c>
      <c r="AE259" s="268" t="str">
        <f t="shared" si="244"/>
        <v/>
      </c>
      <c r="AF259" s="268" t="str">
        <f t="shared" si="250"/>
        <v/>
      </c>
      <c r="AG259" s="268" t="str">
        <f t="shared" si="257"/>
        <v/>
      </c>
      <c r="AH259" s="268" t="str">
        <f t="shared" si="262"/>
        <v/>
      </c>
      <c r="AI259" s="268" t="str">
        <f t="shared" si="263"/>
        <v/>
      </c>
      <c r="AJ259" s="268" t="str">
        <f t="shared" si="246"/>
        <v/>
      </c>
      <c r="AK259" s="268" t="str">
        <f t="shared" si="251"/>
        <v/>
      </c>
      <c r="AL259" s="268" t="str">
        <f t="shared" si="254"/>
        <v/>
      </c>
      <c r="AM259" s="268" t="str">
        <f t="shared" si="258"/>
        <v/>
      </c>
      <c r="AN259" s="223" t="str">
        <f t="shared" si="247"/>
        <v/>
      </c>
      <c r="AO259" s="223" t="str">
        <f t="shared" si="252"/>
        <v/>
      </c>
      <c r="AP259" s="223" t="str">
        <f t="shared" si="260"/>
        <v/>
      </c>
      <c r="AQ259" s="223" t="str">
        <f t="shared" si="243"/>
        <v/>
      </c>
      <c r="AR259" s="223" t="str">
        <f t="shared" si="248"/>
        <v/>
      </c>
      <c r="AS259" s="223" t="str">
        <f t="shared" si="255"/>
        <v/>
      </c>
      <c r="AT259" s="223" t="str">
        <f t="shared" si="256"/>
        <v/>
      </c>
      <c r="AU259" s="223" t="str">
        <f t="shared" si="261"/>
        <v/>
      </c>
      <c r="AV259" s="223" t="str">
        <f t="shared" si="245"/>
        <v/>
      </c>
      <c r="AW259" s="223" t="str">
        <f t="shared" si="249"/>
        <v/>
      </c>
      <c r="AX259" s="223" t="str">
        <f t="shared" si="253"/>
        <v>1</v>
      </c>
      <c r="AY259" s="223" t="str">
        <f t="shared" si="259"/>
        <v>1</v>
      </c>
    </row>
    <row r="260" spans="2:51" x14ac:dyDescent="0.25">
      <c r="B260" s="262" t="str">
        <f>+'Base de Datos'!E268</f>
        <v>140422-0-2014</v>
      </c>
      <c r="C260" s="238" t="str">
        <f>+'Base de Datos'!F268</f>
        <v>ICETEX</v>
      </c>
      <c r="D260" s="238">
        <f>YEAR(E260)</f>
        <v>2014</v>
      </c>
      <c r="E260" s="239">
        <f>+'Base de Datos'!M268</f>
        <v>42002</v>
      </c>
      <c r="F260" s="222">
        <f>MONTH(E260)</f>
        <v>12</v>
      </c>
      <c r="G260" s="222" t="str">
        <f>CONCATENATE(F260,D260)</f>
        <v>122014</v>
      </c>
      <c r="H260" s="222" t="str">
        <f t="shared" si="205"/>
        <v>diciembre</v>
      </c>
      <c r="I260" s="126" t="str">
        <f>VLOOKUP(B260,'Base de Datos'!$E$7:$T$271,14,0)</f>
        <v/>
      </c>
      <c r="J260" s="224" t="e">
        <f>YEAR(I260)</f>
        <v>#VALUE!</v>
      </c>
      <c r="K260" s="223" t="e">
        <f t="shared" si="207"/>
        <v>#VALUE!</v>
      </c>
      <c r="L260" s="223" t="e">
        <f>CONCATENATE(K260,J260)</f>
        <v>#VALUE!</v>
      </c>
      <c r="M260" s="223" t="str">
        <f t="shared" si="209"/>
        <v/>
      </c>
      <c r="N260" s="223" t="e">
        <f t="shared" ca="1" si="210"/>
        <v>#VALUE!</v>
      </c>
      <c r="O260" s="268" t="e">
        <f ca="1">IF(N260&gt;0,"SI","NO")</f>
        <v>#VALUE!</v>
      </c>
      <c r="P260" s="268" t="str">
        <f t="shared" si="220"/>
        <v/>
      </c>
      <c r="Q260" s="268" t="str">
        <f t="shared" si="212"/>
        <v/>
      </c>
      <c r="R260" s="268" t="str">
        <f t="shared" si="213"/>
        <v/>
      </c>
      <c r="S260" s="268" t="str">
        <f t="shared" si="214"/>
        <v/>
      </c>
      <c r="T260" s="268" t="str">
        <f t="shared" si="215"/>
        <v/>
      </c>
      <c r="U260" s="268" t="str">
        <f t="shared" si="216"/>
        <v/>
      </c>
      <c r="V260" s="268" t="str">
        <f t="shared" si="223"/>
        <v/>
      </c>
      <c r="W260" s="268" t="str">
        <f t="shared" si="217"/>
        <v/>
      </c>
      <c r="X260" s="268" t="str">
        <f t="shared" si="218"/>
        <v/>
      </c>
      <c r="Y260" s="268" t="str">
        <f t="shared" si="222"/>
        <v/>
      </c>
      <c r="Z260" s="268" t="str">
        <f t="shared" si="219"/>
        <v/>
      </c>
      <c r="AA260" s="268" t="str">
        <f t="shared" si="237"/>
        <v/>
      </c>
      <c r="AB260" s="268" t="str">
        <f t="shared" si="228"/>
        <v/>
      </c>
      <c r="AC260" s="268" t="str">
        <f t="shared" si="235"/>
        <v/>
      </c>
      <c r="AD260" s="268" t="str">
        <f t="shared" si="241"/>
        <v/>
      </c>
      <c r="AE260" s="268" t="str">
        <f t="shared" si="244"/>
        <v/>
      </c>
      <c r="AF260" s="268" t="str">
        <f t="shared" si="250"/>
        <v/>
      </c>
      <c r="AG260" s="268" t="str">
        <f t="shared" si="257"/>
        <v/>
      </c>
      <c r="AH260" s="268" t="str">
        <f t="shared" si="262"/>
        <v/>
      </c>
      <c r="AI260" s="268" t="str">
        <f t="shared" si="263"/>
        <v/>
      </c>
      <c r="AJ260" s="268" t="str">
        <f t="shared" si="246"/>
        <v/>
      </c>
      <c r="AK260" s="268" t="str">
        <f t="shared" si="251"/>
        <v/>
      </c>
      <c r="AL260" s="268" t="str">
        <f t="shared" si="254"/>
        <v/>
      </c>
      <c r="AM260" s="268" t="str">
        <f t="shared" si="258"/>
        <v/>
      </c>
      <c r="AN260" s="223" t="str">
        <f t="shared" si="247"/>
        <v/>
      </c>
      <c r="AO260" s="223" t="str">
        <f t="shared" si="252"/>
        <v/>
      </c>
      <c r="AP260" s="223" t="str">
        <f t="shared" si="260"/>
        <v/>
      </c>
      <c r="AQ260" s="223" t="str">
        <f t="shared" si="243"/>
        <v/>
      </c>
      <c r="AR260" s="223" t="str">
        <f t="shared" si="248"/>
        <v/>
      </c>
      <c r="AS260" s="223" t="str">
        <f t="shared" si="255"/>
        <v/>
      </c>
      <c r="AT260" s="223" t="str">
        <f t="shared" si="256"/>
        <v/>
      </c>
      <c r="AU260" s="223" t="str">
        <f t="shared" si="261"/>
        <v/>
      </c>
      <c r="AV260" s="223" t="str">
        <f t="shared" si="245"/>
        <v/>
      </c>
      <c r="AW260" s="223" t="str">
        <f t="shared" si="249"/>
        <v/>
      </c>
      <c r="AX260" s="223" t="str">
        <f t="shared" si="253"/>
        <v/>
      </c>
      <c r="AY260" s="223" t="str">
        <f t="shared" si="259"/>
        <v>1</v>
      </c>
    </row>
    <row r="261" spans="2:51" ht="23.25" thickBot="1" x14ac:dyDescent="0.3">
      <c r="B261" s="405" t="s">
        <v>1178</v>
      </c>
      <c r="C261" s="409" t="s">
        <v>1026</v>
      </c>
      <c r="D261" s="410">
        <v>2012</v>
      </c>
      <c r="E261" s="413">
        <v>41248</v>
      </c>
      <c r="F261" s="263">
        <f>MONTH(E261)</f>
        <v>12</v>
      </c>
      <c r="G261" s="263" t="str">
        <f>CONCATENATE(F261,D261)</f>
        <v>122012</v>
      </c>
      <c r="H261" s="263" t="str">
        <f t="shared" si="205"/>
        <v>diciembre</v>
      </c>
      <c r="I261" s="264" t="e">
        <f>VLOOKUP(B261,'Base de Datos'!$E$7:$T$271,14,0)</f>
        <v>#N/A</v>
      </c>
      <c r="J261" s="265" t="e">
        <f>YEAR(I261)</f>
        <v>#N/A</v>
      </c>
      <c r="K261" s="266" t="e">
        <f t="shared" si="207"/>
        <v>#N/A</v>
      </c>
      <c r="L261" s="266" t="e">
        <f>CONCATENATE(K261,J261)</f>
        <v>#N/A</v>
      </c>
      <c r="M261" s="266" t="e">
        <f t="shared" si="209"/>
        <v>#N/A</v>
      </c>
      <c r="N261" s="266" t="e">
        <f t="shared" ca="1" si="210"/>
        <v>#N/A</v>
      </c>
      <c r="O261" s="269" t="e">
        <f ca="1">IF(N261&gt;0,"SI","NO")</f>
        <v>#N/A</v>
      </c>
      <c r="P261" s="268" t="e">
        <f t="shared" si="220"/>
        <v>#N/A</v>
      </c>
      <c r="Q261" s="268" t="e">
        <f t="shared" si="212"/>
        <v>#N/A</v>
      </c>
      <c r="R261" s="268" t="e">
        <f t="shared" si="213"/>
        <v>#N/A</v>
      </c>
      <c r="S261" s="268" t="e">
        <f t="shared" si="214"/>
        <v>#N/A</v>
      </c>
      <c r="T261" s="268" t="e">
        <f t="shared" si="215"/>
        <v>#N/A</v>
      </c>
      <c r="U261" s="268" t="e">
        <f t="shared" si="216"/>
        <v>#N/A</v>
      </c>
      <c r="V261" s="268" t="e">
        <f t="shared" si="223"/>
        <v>#N/A</v>
      </c>
      <c r="W261" s="268" t="e">
        <f t="shared" si="217"/>
        <v>#N/A</v>
      </c>
      <c r="X261" s="268" t="e">
        <f t="shared" si="218"/>
        <v>#N/A</v>
      </c>
      <c r="Y261" s="268" t="e">
        <f t="shared" si="222"/>
        <v>#N/A</v>
      </c>
      <c r="Z261" s="268" t="e">
        <f t="shared" si="219"/>
        <v>#N/A</v>
      </c>
      <c r="AA261" s="268" t="e">
        <f t="shared" si="237"/>
        <v>#N/A</v>
      </c>
      <c r="AB261" s="268" t="e">
        <f t="shared" si="228"/>
        <v>#N/A</v>
      </c>
      <c r="AC261" s="268" t="e">
        <f t="shared" si="235"/>
        <v>#N/A</v>
      </c>
      <c r="AD261" s="268" t="e">
        <f t="shared" si="241"/>
        <v>#N/A</v>
      </c>
      <c r="AE261" s="268" t="e">
        <f t="shared" si="244"/>
        <v>#N/A</v>
      </c>
      <c r="AF261" s="268" t="e">
        <f t="shared" si="250"/>
        <v>#N/A</v>
      </c>
      <c r="AG261" s="268" t="e">
        <f t="shared" si="257"/>
        <v>#N/A</v>
      </c>
      <c r="AH261" s="268" t="e">
        <f t="shared" si="262"/>
        <v>#N/A</v>
      </c>
      <c r="AI261" s="268" t="e">
        <f t="shared" si="263"/>
        <v>#N/A</v>
      </c>
      <c r="AJ261" s="268" t="e">
        <f t="shared" si="246"/>
        <v>#N/A</v>
      </c>
      <c r="AK261" s="268" t="e">
        <f t="shared" si="251"/>
        <v>#N/A</v>
      </c>
      <c r="AL261" s="268" t="e">
        <f t="shared" si="254"/>
        <v>#N/A</v>
      </c>
      <c r="AM261" s="268" t="e">
        <f t="shared" si="258"/>
        <v>#N/A</v>
      </c>
      <c r="AN261" s="223" t="e">
        <f t="shared" si="247"/>
        <v>#N/A</v>
      </c>
      <c r="AO261" s="223" t="e">
        <f t="shared" si="252"/>
        <v>#N/A</v>
      </c>
      <c r="AP261" s="223" t="e">
        <f t="shared" si="260"/>
        <v>#N/A</v>
      </c>
      <c r="AQ261" s="223" t="e">
        <f t="shared" si="243"/>
        <v>#N/A</v>
      </c>
      <c r="AR261" s="223" t="e">
        <f t="shared" si="248"/>
        <v>#N/A</v>
      </c>
      <c r="AS261" s="223" t="e">
        <f t="shared" si="255"/>
        <v>#N/A</v>
      </c>
      <c r="AT261" s="223" t="e">
        <f t="shared" si="256"/>
        <v>#N/A</v>
      </c>
      <c r="AU261" s="223" t="e">
        <f t="shared" si="261"/>
        <v>#N/A</v>
      </c>
      <c r="AV261" s="223" t="e">
        <f t="shared" si="245"/>
        <v>#N/A</v>
      </c>
      <c r="AW261" s="223" t="e">
        <f t="shared" si="249"/>
        <v>#N/A</v>
      </c>
      <c r="AX261" s="223" t="e">
        <f t="shared" si="253"/>
        <v>#N/A</v>
      </c>
      <c r="AY261" s="223" t="e">
        <f t="shared" si="259"/>
        <v>#N/A</v>
      </c>
    </row>
    <row r="267" spans="2:51" x14ac:dyDescent="0.25">
      <c r="K267" s="272"/>
    </row>
    <row r="276" spans="34:52" x14ac:dyDescent="0.25">
      <c r="AH276" s="1157">
        <v>2012</v>
      </c>
      <c r="AI276" s="1157"/>
      <c r="AK276" s="1157">
        <v>2013</v>
      </c>
      <c r="AL276" s="1157"/>
      <c r="AN276" s="1157">
        <v>2014</v>
      </c>
      <c r="AO276" s="1157"/>
    </row>
    <row r="277" spans="34:52" x14ac:dyDescent="0.25">
      <c r="AH277" s="223" t="s">
        <v>1272</v>
      </c>
      <c r="AI277" s="223" t="s">
        <v>1271</v>
      </c>
      <c r="AK277" s="223" t="s">
        <v>1272</v>
      </c>
      <c r="AL277" s="223" t="s">
        <v>1271</v>
      </c>
      <c r="AN277" s="223" t="s">
        <v>1272</v>
      </c>
      <c r="AO277" s="223" t="s">
        <v>1271</v>
      </c>
    </row>
    <row r="278" spans="34:52" x14ac:dyDescent="0.25">
      <c r="AH278" s="223" t="s">
        <v>1258</v>
      </c>
      <c r="AI278" s="223">
        <f>COUNTIF(P3:P261,1)</f>
        <v>13</v>
      </c>
      <c r="AK278" s="223" t="s">
        <v>1258</v>
      </c>
      <c r="AL278" s="223">
        <f>COUNTIF(AB3:AB261,1)</f>
        <v>74</v>
      </c>
      <c r="AN278" s="223" t="s">
        <v>1258</v>
      </c>
      <c r="AO278" s="223">
        <f>COUNTIF(AN3:AN261,1)</f>
        <v>161</v>
      </c>
      <c r="AZ278" s="245"/>
    </row>
    <row r="279" spans="34:52" x14ac:dyDescent="0.25">
      <c r="AH279" s="223" t="s">
        <v>1259</v>
      </c>
      <c r="AI279" s="223">
        <f>COUNTIF(Q3:Q261,1)</f>
        <v>15</v>
      </c>
      <c r="AK279" s="223" t="s">
        <v>1259</v>
      </c>
      <c r="AL279" s="223">
        <f>COUNTIF(AC3:AC261,1)</f>
        <v>79</v>
      </c>
      <c r="AN279" s="223" t="s">
        <v>1259</v>
      </c>
      <c r="AO279" s="223">
        <f>COUNTIF(AO3:AO261,1)</f>
        <v>176</v>
      </c>
    </row>
    <row r="280" spans="34:52" x14ac:dyDescent="0.25">
      <c r="AH280" s="223" t="s">
        <v>1260</v>
      </c>
      <c r="AI280" s="223">
        <f>COUNTIF(R3:R261,1)</f>
        <v>15</v>
      </c>
      <c r="AK280" s="223" t="s">
        <v>1260</v>
      </c>
      <c r="AL280" s="223">
        <f>COUNTIF(AD3:AD261,1)</f>
        <v>82</v>
      </c>
      <c r="AN280" s="223" t="s">
        <v>1260</v>
      </c>
      <c r="AO280" s="223">
        <f>COUNTIF(AP3:AP261,1)</f>
        <v>183</v>
      </c>
    </row>
    <row r="281" spans="34:52" x14ac:dyDescent="0.25">
      <c r="AH281" s="223" t="s">
        <v>1261</v>
      </c>
      <c r="AI281" s="223">
        <f>COUNTIF(S3:S261,1)</f>
        <v>16</v>
      </c>
      <c r="AK281" s="223" t="s">
        <v>1261</v>
      </c>
      <c r="AL281" s="223">
        <f>COUNTIF(AE3:AE261,1)</f>
        <v>85</v>
      </c>
      <c r="AN281" s="223" t="s">
        <v>1261</v>
      </c>
      <c r="AO281" s="223">
        <f>COUNTIF(AQ3:AQ261,1)</f>
        <v>192</v>
      </c>
    </row>
    <row r="282" spans="34:52" x14ac:dyDescent="0.25">
      <c r="AH282" s="223" t="s">
        <v>1262</v>
      </c>
      <c r="AI282" s="223">
        <f>COUNTIF(T4:T262,1)</f>
        <v>17</v>
      </c>
      <c r="AK282" s="223" t="s">
        <v>1262</v>
      </c>
      <c r="AL282" s="223">
        <f>COUNTIF(AF3:AF261,1)</f>
        <v>100</v>
      </c>
      <c r="AN282" s="223" t="s">
        <v>1262</v>
      </c>
      <c r="AO282" s="223">
        <f>COUNTIF(AR3:AR261,1)</f>
        <v>194</v>
      </c>
    </row>
    <row r="283" spans="34:52" x14ac:dyDescent="0.25">
      <c r="AH283" s="223" t="s">
        <v>1263</v>
      </c>
      <c r="AI283" s="223">
        <f>COUNTIF(U3:U61,1)</f>
        <v>22</v>
      </c>
      <c r="AK283" s="223" t="s">
        <v>1263</v>
      </c>
      <c r="AL283" s="223">
        <f>COUNTIF(AG3:AG261,1)</f>
        <v>105</v>
      </c>
      <c r="AN283" s="223" t="s">
        <v>1263</v>
      </c>
      <c r="AO283" s="223">
        <f>COUNTIF(AS3:AS261,1)</f>
        <v>202</v>
      </c>
    </row>
    <row r="284" spans="34:52" x14ac:dyDescent="0.25">
      <c r="AH284" s="223" t="s">
        <v>1264</v>
      </c>
      <c r="AI284" s="223">
        <f>COUNTIF(V3:V261,1)</f>
        <v>27</v>
      </c>
      <c r="AK284" s="223" t="s">
        <v>1264</v>
      </c>
      <c r="AL284" s="223">
        <f>COUNTIF(AH3:AH261,1)</f>
        <v>117</v>
      </c>
      <c r="AN284" s="223" t="s">
        <v>1264</v>
      </c>
      <c r="AO284" s="223">
        <f>COUNTIF(AT3:AT261,1)</f>
        <v>213</v>
      </c>
    </row>
    <row r="285" spans="34:52" x14ac:dyDescent="0.25">
      <c r="AH285" s="223" t="s">
        <v>1265</v>
      </c>
      <c r="AI285" s="223">
        <f>COUNTIF(W3:W261,1)</f>
        <v>33</v>
      </c>
      <c r="AK285" s="223" t="s">
        <v>1265</v>
      </c>
      <c r="AL285" s="223">
        <f>COUNTIF(AI3:AI261,1)</f>
        <v>121</v>
      </c>
      <c r="AN285" s="223" t="s">
        <v>1265</v>
      </c>
      <c r="AO285" s="223">
        <f>COUNTIF(AU3:AU261,1)</f>
        <v>216</v>
      </c>
    </row>
    <row r="286" spans="34:52" x14ac:dyDescent="0.25">
      <c r="AH286" s="223" t="s">
        <v>1266</v>
      </c>
      <c r="AI286" s="223">
        <f>COUNTIF(X3:X261,1)</f>
        <v>45</v>
      </c>
      <c r="AK286" s="223" t="s">
        <v>1266</v>
      </c>
      <c r="AL286" s="223">
        <f>COUNTIF(AJ3:AJ261,1)</f>
        <v>126</v>
      </c>
      <c r="AN286" s="223" t="s">
        <v>1266</v>
      </c>
      <c r="AO286" s="223">
        <f>COUNTIF(AV3:AV261,1)</f>
        <v>225</v>
      </c>
    </row>
    <row r="287" spans="34:52" x14ac:dyDescent="0.25">
      <c r="AH287" s="223" t="s">
        <v>1267</v>
      </c>
      <c r="AI287" s="223">
        <f>COUNTIF(Y3:Y261,1)</f>
        <v>56</v>
      </c>
      <c r="AK287" s="223" t="s">
        <v>1267</v>
      </c>
      <c r="AL287" s="223">
        <f>COUNTIF(AK3:AK261,1)</f>
        <v>138</v>
      </c>
      <c r="AN287" s="223" t="s">
        <v>1267</v>
      </c>
      <c r="AO287" s="223">
        <f>COUNTIF(AW3:AW261,1)</f>
        <v>235</v>
      </c>
    </row>
    <row r="288" spans="34:52" x14ac:dyDescent="0.25">
      <c r="AH288" s="223" t="s">
        <v>1268</v>
      </c>
      <c r="AI288" s="223">
        <f>COUNTIF(Z3:Z261,1)</f>
        <v>63</v>
      </c>
      <c r="AK288" s="223" t="s">
        <v>1268</v>
      </c>
      <c r="AL288" s="223">
        <f>COUNTIF(AL3:AL261,1)</f>
        <v>141</v>
      </c>
      <c r="AN288" s="223" t="s">
        <v>1268</v>
      </c>
      <c r="AO288" s="223">
        <f>COUNTIF(AX3:AX261,1)</f>
        <v>244</v>
      </c>
    </row>
    <row r="289" spans="34:41" x14ac:dyDescent="0.25">
      <c r="AH289" s="223" t="s">
        <v>1269</v>
      </c>
      <c r="AI289" s="223">
        <f>COUNTIF(AA3:AA261,1)</f>
        <v>68</v>
      </c>
      <c r="AK289" s="223" t="s">
        <v>1269</v>
      </c>
      <c r="AL289" s="223">
        <f>COUNTIF(AM3:AM261,1)</f>
        <v>152</v>
      </c>
      <c r="AN289" s="223" t="s">
        <v>1269</v>
      </c>
      <c r="AO289" s="223">
        <f>COUNTIF(AY3:AY261,1)</f>
        <v>250</v>
      </c>
    </row>
  </sheetData>
  <autoFilter ref="B2:AY261">
    <sortState ref="B4:AY261">
      <sortCondition ref="I2:I261"/>
    </sortState>
  </autoFilter>
  <mergeCells count="10">
    <mergeCell ref="B1:B2"/>
    <mergeCell ref="C1:C2"/>
    <mergeCell ref="D1:H1"/>
    <mergeCell ref="I1:N1"/>
    <mergeCell ref="AN1:AY1"/>
    <mergeCell ref="AN276:AO276"/>
    <mergeCell ref="AB1:AM1"/>
    <mergeCell ref="P1:AA1"/>
    <mergeCell ref="AH276:AI276"/>
    <mergeCell ref="AK276:AL276"/>
  </mergeCells>
  <dataValidations count="1">
    <dataValidation allowBlank="1" showInputMessage="1" showErrorMessage="1" prompt="Corresponde al año de suscripción del contrato_x000a_" sqref="D2"/>
  </dataValidations>
  <pageMargins left="0.7" right="0.7" top="0.75" bottom="0.75" header="0.3" footer="0.3"/>
  <pageSetup orientation="portrait" horizontalDpi="4294967293" verticalDpi="4294967293"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312"/>
  <sheetViews>
    <sheetView zoomScaleNormal="100" workbookViewId="0">
      <pane xSplit="3" ySplit="6" topLeftCell="I253" activePane="bottomRight" state="frozen"/>
      <selection pane="topRight" activeCell="D1" sqref="D1"/>
      <selection pane="bottomLeft" activeCell="A6" sqref="A6"/>
      <selection pane="bottomRight" activeCell="Q255" sqref="Q255"/>
    </sheetView>
  </sheetViews>
  <sheetFormatPr baseColWidth="10" defaultRowHeight="11.25" x14ac:dyDescent="0.25"/>
  <cols>
    <col min="1" max="1" width="3.5703125" style="282" bestFit="1" customWidth="1"/>
    <col min="2" max="2" width="15.7109375" style="282" customWidth="1"/>
    <col min="3" max="3" width="23.28515625" style="282" customWidth="1"/>
    <col min="4" max="4" width="12.140625" style="317" bestFit="1" customWidth="1"/>
    <col min="5" max="6" width="11.42578125" style="282"/>
    <col min="7" max="7" width="9.140625" style="282" customWidth="1"/>
    <col min="8" max="8" width="12.140625" style="317" bestFit="1" customWidth="1"/>
    <col min="9" max="9" width="7.85546875" style="282" bestFit="1" customWidth="1"/>
    <col min="10" max="11" width="7.85546875" style="282" customWidth="1"/>
    <col min="12" max="12" width="7.85546875" style="282" bestFit="1" customWidth="1"/>
    <col min="13" max="15" width="7.85546875" style="282" customWidth="1"/>
    <col min="16" max="16" width="11" style="282" bestFit="1" customWidth="1"/>
    <col min="17" max="17" width="11" style="282" customWidth="1"/>
    <col min="18" max="18" width="12.85546875" style="282" customWidth="1"/>
    <col min="19" max="20" width="11.42578125" style="282"/>
    <col min="21" max="21" width="19.140625" style="282" customWidth="1"/>
    <col min="22" max="16384" width="11.42578125" style="282"/>
  </cols>
  <sheetData>
    <row r="1" spans="1:29" ht="12" thickBot="1" x14ac:dyDescent="0.3">
      <c r="A1" s="329"/>
      <c r="B1" s="329"/>
      <c r="C1" s="329"/>
      <c r="D1" s="330"/>
      <c r="E1" s="329"/>
      <c r="F1" s="329"/>
      <c r="G1" s="329"/>
      <c r="H1" s="330"/>
      <c r="I1" s="329"/>
      <c r="J1" s="329"/>
      <c r="K1" s="329"/>
      <c r="L1" s="329"/>
      <c r="M1" s="329"/>
      <c r="N1" s="329"/>
      <c r="O1" s="329"/>
      <c r="P1" s="329"/>
      <c r="Q1" s="329"/>
      <c r="R1" s="329"/>
      <c r="S1" s="329"/>
      <c r="T1" s="329"/>
      <c r="U1" s="329"/>
      <c r="V1" s="329"/>
    </row>
    <row r="2" spans="1:29" ht="18.75" thickTop="1" x14ac:dyDescent="0.25">
      <c r="A2" s="354"/>
      <c r="B2" s="1167" t="s">
        <v>387</v>
      </c>
      <c r="C2" s="1168"/>
      <c r="D2" s="1168"/>
      <c r="E2" s="1168"/>
      <c r="F2" s="1168"/>
      <c r="G2" s="1168"/>
      <c r="H2" s="1168"/>
      <c r="I2" s="1168"/>
      <c r="J2" s="1168"/>
      <c r="K2" s="1168"/>
      <c r="L2" s="1168"/>
      <c r="M2" s="1168"/>
      <c r="N2" s="1168"/>
      <c r="O2" s="1168"/>
      <c r="P2" s="1168"/>
      <c r="Q2" s="1168"/>
      <c r="R2" s="1168"/>
      <c r="S2" s="1168"/>
      <c r="T2" s="1168"/>
      <c r="U2" s="1169"/>
      <c r="V2" s="329"/>
    </row>
    <row r="3" spans="1:29" ht="18.75" thickBot="1" x14ac:dyDescent="0.3">
      <c r="A3" s="354"/>
      <c r="B3" s="1170" t="s">
        <v>1454</v>
      </c>
      <c r="C3" s="1171"/>
      <c r="D3" s="1171"/>
      <c r="E3" s="1171"/>
      <c r="F3" s="1171"/>
      <c r="G3" s="1171"/>
      <c r="H3" s="1171"/>
      <c r="I3" s="1171"/>
      <c r="J3" s="1171"/>
      <c r="K3" s="1171"/>
      <c r="L3" s="1171"/>
      <c r="M3" s="1171"/>
      <c r="N3" s="1171"/>
      <c r="O3" s="1171"/>
      <c r="P3" s="1171"/>
      <c r="Q3" s="1171"/>
      <c r="R3" s="1171"/>
      <c r="S3" s="1171"/>
      <c r="T3" s="1171"/>
      <c r="U3" s="1172"/>
      <c r="V3" s="329"/>
    </row>
    <row r="4" spans="1:29" ht="12.75" thickTop="1" thickBot="1" x14ac:dyDescent="0.3">
      <c r="A4" s="354"/>
      <c r="B4" s="329"/>
      <c r="C4" s="329"/>
      <c r="D4" s="330"/>
      <c r="E4" s="329"/>
      <c r="F4" s="331"/>
      <c r="G4" s="329"/>
      <c r="H4" s="330"/>
      <c r="I4" s="329"/>
      <c r="J4" s="329"/>
      <c r="K4" s="329"/>
      <c r="L4" s="329"/>
      <c r="M4" s="329"/>
      <c r="N4" s="329"/>
      <c r="O4" s="329"/>
      <c r="P4" s="329"/>
      <c r="Q4" s="329"/>
      <c r="R4" s="329"/>
      <c r="S4" s="329"/>
      <c r="T4" s="329"/>
      <c r="U4" s="329"/>
      <c r="V4" s="329"/>
    </row>
    <row r="5" spans="1:29" ht="12.75" thickTop="1" thickBot="1" x14ac:dyDescent="0.3">
      <c r="A5" s="329"/>
      <c r="B5" s="331"/>
      <c r="C5" s="397">
        <f ca="1">TODAY()</f>
        <v>43643</v>
      </c>
      <c r="D5" s="330"/>
      <c r="E5" s="329"/>
      <c r="F5" s="329"/>
      <c r="G5" s="329"/>
      <c r="H5" s="330"/>
      <c r="I5" s="1166" t="s">
        <v>1447</v>
      </c>
      <c r="J5" s="1166"/>
      <c r="K5" s="1166" t="s">
        <v>970</v>
      </c>
      <c r="L5" s="1166"/>
      <c r="M5" s="125"/>
      <c r="N5" s="125"/>
      <c r="O5" s="125"/>
      <c r="P5" s="125"/>
      <c r="Q5" s="125"/>
      <c r="R5" s="329"/>
      <c r="S5" s="329"/>
      <c r="T5" s="329"/>
      <c r="U5" s="329"/>
      <c r="V5" s="329"/>
    </row>
    <row r="6" spans="1:29" ht="46.5" thickTop="1" thickBot="1" x14ac:dyDescent="0.3">
      <c r="B6" s="318" t="s">
        <v>0</v>
      </c>
      <c r="C6" s="318" t="s">
        <v>1</v>
      </c>
      <c r="D6" s="319" t="s">
        <v>386</v>
      </c>
      <c r="E6" s="320" t="s">
        <v>374</v>
      </c>
      <c r="F6" s="320" t="s">
        <v>375</v>
      </c>
      <c r="G6" s="320" t="s">
        <v>979</v>
      </c>
      <c r="H6" s="319" t="s">
        <v>385</v>
      </c>
      <c r="I6" s="321" t="s">
        <v>1451</v>
      </c>
      <c r="J6" s="321" t="s">
        <v>1452</v>
      </c>
      <c r="K6" s="321" t="s">
        <v>1451</v>
      </c>
      <c r="L6" s="321" t="s">
        <v>1453</v>
      </c>
      <c r="M6" s="322" t="s">
        <v>376</v>
      </c>
      <c r="N6" s="322" t="s">
        <v>1574</v>
      </c>
      <c r="O6" s="320" t="s">
        <v>1000</v>
      </c>
      <c r="P6" s="320" t="s">
        <v>1565</v>
      </c>
      <c r="Q6" s="320" t="s">
        <v>1597</v>
      </c>
      <c r="R6" s="323" t="s">
        <v>1448</v>
      </c>
      <c r="S6" s="320" t="s">
        <v>984</v>
      </c>
      <c r="T6" s="320" t="s">
        <v>1450</v>
      </c>
      <c r="U6" s="320" t="s">
        <v>568</v>
      </c>
    </row>
    <row r="7" spans="1:29" ht="23.25" customHeight="1" thickTop="1" thickBot="1" x14ac:dyDescent="0.3">
      <c r="A7" s="108">
        <v>1</v>
      </c>
      <c r="B7" s="324" t="str">
        <f>+'Base de Datos'!E7</f>
        <v>010000-768-0-2008</v>
      </c>
      <c r="C7" s="324" t="str">
        <f>+'Base de Datos'!F7</f>
        <v>FONDO DE VIGILANCIA Y SEGURIDAD DE BOGOTÁ</v>
      </c>
      <c r="D7" s="325">
        <f>+'Base de Datos'!I7</f>
        <v>7329236109</v>
      </c>
      <c r="E7" s="326">
        <f>+'Base de Datos'!M7</f>
        <v>39724</v>
      </c>
      <c r="F7" s="326">
        <f>+'Base de Datos'!N7</f>
        <v>41673</v>
      </c>
      <c r="G7" s="326">
        <f>+'Base de Datos'!T7</f>
        <v>41673</v>
      </c>
      <c r="H7" s="325">
        <f>+'Base de Datos'!U7</f>
        <v>7329236109</v>
      </c>
      <c r="I7" s="327" t="str">
        <f>IF(VLOOKUP(B7,'Base de Datos'!$E$7:$S$303,11,0),"SI","NO")</f>
        <v>NO</v>
      </c>
      <c r="J7" s="328" t="str">
        <f t="shared" ref="J7:J70" si="0">IF(I7=$AB$7,((G7-F7)*100%)/(F7-E7),"")</f>
        <v/>
      </c>
      <c r="K7" s="327" t="str">
        <f>IF(VLOOKUP(B7,'Base de Datos'!$E$7:$S$303,11,0),"SI","NO")</f>
        <v>NO</v>
      </c>
      <c r="L7" s="328" t="str">
        <f t="shared" ref="L7:L70" si="1">IF(K7=$AB$7,((H7-D7)*100%)/(D7),"")</f>
        <v/>
      </c>
      <c r="M7" s="328">
        <f>VLOOKUP(B7,'Base de Datos'!$E$7:$Z$303,21,0)</f>
        <v>0.84841864329684125</v>
      </c>
      <c r="N7" s="390" t="str">
        <f ca="1">IF(G7&lt;TODAY(),"",G7-TODAY())</f>
        <v/>
      </c>
      <c r="O7" s="328">
        <f ca="1">VLOOKUP(B7,'Base de Datos'!$E$7:$Z$303,22,0)</f>
        <v>1</v>
      </c>
      <c r="P7" s="389">
        <f t="shared" ref="P7:P70" ca="1" si="2">IF(R7=$AC$7,"",IFERROR(IF(R7=$AC$8,"",($C$5-G7)),""))</f>
        <v>1970</v>
      </c>
      <c r="Q7" s="402">
        <f ca="1">IF(P7=0,"",(P7*100%)/120)</f>
        <v>16.416666666666668</v>
      </c>
      <c r="R7" s="324" t="str">
        <f ca="1">VLOOKUP(B7,'Base de Datos'!E7:AR303,33,0)</f>
        <v>TERMINO</v>
      </c>
      <c r="S7" s="327" t="str">
        <f t="shared" ref="S7:S70" ca="1" si="3">IF((TODAY()-G7&lt;900),"SI","NO")</f>
        <v>NO</v>
      </c>
      <c r="T7" s="324" t="str">
        <f t="shared" ref="T7:T70" ca="1" si="4">IF(R7=$AC$8,"",IF(O7=100%,"Liquidar",IF(R7=$AC$7,"Supervisar","")))</f>
        <v>Liquidar</v>
      </c>
      <c r="U7" s="324">
        <f>VLOOKUP(B7,'Base de Datos'!$E$7:$AR$401,38,0)</f>
        <v>0</v>
      </c>
      <c r="Y7" s="392">
        <v>1</v>
      </c>
      <c r="AB7" s="282" t="s">
        <v>390</v>
      </c>
      <c r="AC7" s="282" t="s">
        <v>1100</v>
      </c>
    </row>
    <row r="8" spans="1:29" ht="23.25" customHeight="1" thickTop="1" thickBot="1" x14ac:dyDescent="0.3">
      <c r="A8" s="108">
        <v>2</v>
      </c>
      <c r="B8" s="324" t="str">
        <f>+'Base de Datos'!E8</f>
        <v>040000-1118-7-2008</v>
      </c>
      <c r="C8" s="324" t="str">
        <f>+'Base de Datos'!F8</f>
        <v>COLOMBIANA DE SOFTWARE Y HARDWARE COLSOF S.A.</v>
      </c>
      <c r="D8" s="325">
        <f>+'Base de Datos'!I8</f>
        <v>2026575001</v>
      </c>
      <c r="E8" s="326">
        <f>+'Base de Datos'!M8</f>
        <v>39904</v>
      </c>
      <c r="F8" s="326">
        <f>+'Base de Datos'!N8</f>
        <v>41486</v>
      </c>
      <c r="G8" s="326">
        <f>+'Base de Datos'!T8</f>
        <v>41486</v>
      </c>
      <c r="H8" s="325">
        <f>+'Base de Datos'!U8</f>
        <v>3100400677</v>
      </c>
      <c r="I8" s="327" t="str">
        <f>IF(VLOOKUP(B8,'Base de Datos'!$E$7:$S$303,11,0),"SI","NO")</f>
        <v>SI</v>
      </c>
      <c r="J8" s="328">
        <f t="shared" si="0"/>
        <v>0</v>
      </c>
      <c r="K8" s="327" t="str">
        <f>IF(VLOOKUP(B8,'Base de Datos'!$E$7:$S$303,11,0),"SI","NO")</f>
        <v>SI</v>
      </c>
      <c r="L8" s="328">
        <f t="shared" si="1"/>
        <v>0.52987216139058646</v>
      </c>
      <c r="M8" s="328">
        <f>VLOOKUP(B8,'Base de Datos'!$E$7:$Z$303,21,0)</f>
        <v>0.98908542426434254</v>
      </c>
      <c r="N8" s="390" t="str">
        <f t="shared" ref="N8:N71" ca="1" si="5">IF(G8&lt;TODAY(),"",G8-TODAY())</f>
        <v/>
      </c>
      <c r="O8" s="328">
        <f ca="1">VLOOKUP(B8,'Base de Datos'!$E$7:$Z$303,22,0)</f>
        <v>1</v>
      </c>
      <c r="P8" s="389">
        <f t="shared" ca="1" si="2"/>
        <v>2157</v>
      </c>
      <c r="Q8" s="402">
        <f t="shared" ref="Q8:Q71" ca="1" si="6">IF(P8=0,"",(P8*100%)/120)</f>
        <v>17.975000000000001</v>
      </c>
      <c r="R8" s="324" t="str">
        <f ca="1">VLOOKUP(B8,'Base de Datos'!E8:AR304,33,0)</f>
        <v>TERMINO</v>
      </c>
      <c r="S8" s="327" t="str">
        <f t="shared" ca="1" si="3"/>
        <v>NO</v>
      </c>
      <c r="T8" s="324" t="str">
        <f t="shared" ca="1" si="4"/>
        <v>Liquidar</v>
      </c>
      <c r="U8" s="324">
        <f>VLOOKUP(B8,'Base de Datos'!$E$7:$AR$401,38,0)</f>
        <v>42149</v>
      </c>
      <c r="Y8" s="392">
        <v>90</v>
      </c>
      <c r="AB8" s="282" t="s">
        <v>391</v>
      </c>
      <c r="AC8" s="282" t="s">
        <v>927</v>
      </c>
    </row>
    <row r="9" spans="1:29" ht="23.25" customHeight="1" thickTop="1" thickBot="1" x14ac:dyDescent="0.3">
      <c r="A9" s="108">
        <v>3</v>
      </c>
      <c r="B9" s="324" t="str">
        <f>+'Base de Datos'!E9</f>
        <v>040000-1120-0-2008</v>
      </c>
      <c r="C9" s="324" t="str">
        <f>+'Base de Datos'!F9</f>
        <v>COMPUFACIL</v>
      </c>
      <c r="D9" s="325">
        <f>+'Base de Datos'!I9</f>
        <v>2909992591</v>
      </c>
      <c r="E9" s="326">
        <f>+'Base de Datos'!M9</f>
        <v>39864</v>
      </c>
      <c r="F9" s="326">
        <f>+'Base de Datos'!N9</f>
        <v>41476</v>
      </c>
      <c r="G9" s="326">
        <f>+'Base de Datos'!T9</f>
        <v>41476</v>
      </c>
      <c r="H9" s="325">
        <f>+'Base de Datos'!U9</f>
        <v>2909992591</v>
      </c>
      <c r="I9" s="327" t="str">
        <f>IF(VLOOKUP(B9,'Base de Datos'!$E$7:$S$303,11,0),"SI","NO")</f>
        <v>NO</v>
      </c>
      <c r="J9" s="328" t="str">
        <f t="shared" si="0"/>
        <v/>
      </c>
      <c r="K9" s="327" t="str">
        <f>IF(VLOOKUP(B9,'Base de Datos'!$E$7:$S$303,11,0),"SI","NO")</f>
        <v>NO</v>
      </c>
      <c r="L9" s="328" t="str">
        <f t="shared" si="1"/>
        <v/>
      </c>
      <c r="M9" s="328">
        <f>VLOOKUP(B9,'Base de Datos'!$E$7:$Z$303,21,0)</f>
        <v>4.6051299379407939E-3</v>
      </c>
      <c r="N9" s="390" t="str">
        <f t="shared" ca="1" si="5"/>
        <v/>
      </c>
      <c r="O9" s="328">
        <f ca="1">VLOOKUP(B9,'Base de Datos'!$E$7:$Z$303,22,0)</f>
        <v>1</v>
      </c>
      <c r="P9" s="389">
        <f t="shared" ca="1" si="2"/>
        <v>2167</v>
      </c>
      <c r="Q9" s="402">
        <f t="shared" ca="1" si="6"/>
        <v>18.058333333333334</v>
      </c>
      <c r="R9" s="324" t="str">
        <f ca="1">VLOOKUP(B9,'Base de Datos'!E9:AR305,33,0)</f>
        <v>TERMINO</v>
      </c>
      <c r="S9" s="327" t="str">
        <f t="shared" ca="1" si="3"/>
        <v>NO</v>
      </c>
      <c r="T9" s="324" t="str">
        <f t="shared" ca="1" si="4"/>
        <v>Liquidar</v>
      </c>
      <c r="U9" s="324">
        <f>VLOOKUP(B9,'Base de Datos'!$E$7:$AR$401,38,0)</f>
        <v>0</v>
      </c>
      <c r="Y9" s="391">
        <v>91</v>
      </c>
      <c r="AC9" s="282" t="s">
        <v>571</v>
      </c>
    </row>
    <row r="10" spans="1:29" ht="23.25" customHeight="1" thickTop="1" thickBot="1" x14ac:dyDescent="0.3">
      <c r="A10" s="108">
        <v>4</v>
      </c>
      <c r="B10" s="324" t="str">
        <f>+'Base de Datos'!E10</f>
        <v>040000-821-0-2009</v>
      </c>
      <c r="C10" s="324" t="str">
        <f>+'Base de Datos'!F10</f>
        <v>DATAPOINT DE COLOMBIA S A S</v>
      </c>
      <c r="D10" s="325">
        <f>+'Base de Datos'!I10</f>
        <v>234495075</v>
      </c>
      <c r="E10" s="326">
        <f>+'Base de Datos'!M10</f>
        <v>40197</v>
      </c>
      <c r="F10" s="326">
        <f>+'Base de Datos'!N10</f>
        <v>41323</v>
      </c>
      <c r="G10" s="326">
        <f>+'Base de Datos'!T10</f>
        <v>41323</v>
      </c>
      <c r="H10" s="325">
        <f>+'Base de Datos'!U10</f>
        <v>234495075</v>
      </c>
      <c r="I10" s="327" t="str">
        <f>IF(VLOOKUP(B10,'Base de Datos'!$E$7:$S$303,11,0),"SI","NO")</f>
        <v>NO</v>
      </c>
      <c r="J10" s="328" t="str">
        <f t="shared" si="0"/>
        <v/>
      </c>
      <c r="K10" s="327" t="str">
        <f>IF(VLOOKUP(B10,'Base de Datos'!$E$7:$S$303,11,0),"SI","NO")</f>
        <v>NO</v>
      </c>
      <c r="L10" s="328" t="str">
        <f t="shared" si="1"/>
        <v/>
      </c>
      <c r="M10" s="328">
        <f>VLOOKUP(B10,'Base de Datos'!$E$7:$Z$303,21,0)</f>
        <v>1</v>
      </c>
      <c r="N10" s="390" t="str">
        <f t="shared" ca="1" si="5"/>
        <v/>
      </c>
      <c r="O10" s="328">
        <f ca="1">VLOOKUP(B10,'Base de Datos'!$E$7:$Z$303,22,0)</f>
        <v>1</v>
      </c>
      <c r="P10" s="389">
        <f t="shared" ca="1" si="2"/>
        <v>2320</v>
      </c>
      <c r="Q10" s="402">
        <f t="shared" ca="1" si="6"/>
        <v>19.333333333333332</v>
      </c>
      <c r="R10" s="324" t="str">
        <f ca="1">VLOOKUP(B10,'Base de Datos'!E10:AR306,33,0)</f>
        <v>TERMINO</v>
      </c>
      <c r="S10" s="327" t="str">
        <f t="shared" ca="1" si="3"/>
        <v>NO</v>
      </c>
      <c r="T10" s="324" t="str">
        <f t="shared" ca="1" si="4"/>
        <v>Liquidar</v>
      </c>
      <c r="U10" s="324">
        <f>VLOOKUP(B10,'Base de Datos'!$E$7:$AR$401,38,0)</f>
        <v>0</v>
      </c>
      <c r="Y10" s="391">
        <v>120</v>
      </c>
    </row>
    <row r="11" spans="1:29" ht="23.25" customHeight="1" thickTop="1" thickBot="1" x14ac:dyDescent="0.3">
      <c r="A11" s="108">
        <v>5</v>
      </c>
      <c r="B11" s="324" t="str">
        <f>+'Base de Datos'!E11</f>
        <v>120000-727-0-2009</v>
      </c>
      <c r="C11" s="324" t="str">
        <f>+'Base de Datos'!F11</f>
        <v>COLOMBIANA DE SOFTWARE Y HARDWARE COLSOF S.A.</v>
      </c>
      <c r="D11" s="325">
        <f>+'Base de Datos'!I11</f>
        <v>507000000</v>
      </c>
      <c r="E11" s="326">
        <f>+'Base de Datos'!M11</f>
        <v>40150</v>
      </c>
      <c r="F11" s="326">
        <f>+'Base de Datos'!N11</f>
        <v>41336</v>
      </c>
      <c r="G11" s="326">
        <f>+'Base de Datos'!T11</f>
        <v>41336</v>
      </c>
      <c r="H11" s="325">
        <f>+'Base de Datos'!U11</f>
        <v>507000000</v>
      </c>
      <c r="I11" s="327" t="str">
        <f>IF(VLOOKUP(B11,'Base de Datos'!$E$7:$S$303,11,0),"SI","NO")</f>
        <v>NO</v>
      </c>
      <c r="J11" s="328" t="str">
        <f t="shared" si="0"/>
        <v/>
      </c>
      <c r="K11" s="327" t="str">
        <f>IF(VLOOKUP(B11,'Base de Datos'!$E$7:$S$303,11,0),"SI","NO")</f>
        <v>NO</v>
      </c>
      <c r="L11" s="328" t="str">
        <f t="shared" si="1"/>
        <v/>
      </c>
      <c r="M11" s="328">
        <f>VLOOKUP(B11,'Base de Datos'!$E$7:$Z$303,21,0)</f>
        <v>0.92913298619329387</v>
      </c>
      <c r="N11" s="390" t="str">
        <f t="shared" ca="1" si="5"/>
        <v/>
      </c>
      <c r="O11" s="328">
        <f ca="1">VLOOKUP(B11,'Base de Datos'!$E$7:$Z$303,22,0)</f>
        <v>1</v>
      </c>
      <c r="P11" s="389">
        <f t="shared" ca="1" si="2"/>
        <v>2307</v>
      </c>
      <c r="Q11" s="402">
        <f t="shared" ca="1" si="6"/>
        <v>19.225000000000001</v>
      </c>
      <c r="R11" s="324" t="str">
        <f ca="1">VLOOKUP(B11,'Base de Datos'!E11:AR307,33,0)</f>
        <v>TERMINO</v>
      </c>
      <c r="S11" s="327" t="str">
        <f t="shared" ca="1" si="3"/>
        <v>NO</v>
      </c>
      <c r="T11" s="324" t="str">
        <f t="shared" ca="1" si="4"/>
        <v>Liquidar</v>
      </c>
      <c r="U11" s="324">
        <f>VLOOKUP(B11,'Base de Datos'!$E$7:$AR$401,38,0)</f>
        <v>0</v>
      </c>
      <c r="Y11" s="393">
        <v>121</v>
      </c>
    </row>
    <row r="12" spans="1:29" ht="23.25" customHeight="1" thickTop="1" thickBot="1" x14ac:dyDescent="0.3">
      <c r="A12" s="108">
        <v>6</v>
      </c>
      <c r="B12" s="324" t="str">
        <f>+'Base de Datos'!E12</f>
        <v>120000-436-0-2011</v>
      </c>
      <c r="C12" s="324" t="str">
        <f>+'Base de Datos'!F12</f>
        <v>D&amp;D AIRE ACONDICIONADO LTDA.</v>
      </c>
      <c r="D12" s="325">
        <f>+'Base de Datos'!I12</f>
        <v>12835200</v>
      </c>
      <c r="E12" s="326">
        <f>+'Base de Datos'!M12</f>
        <v>40966</v>
      </c>
      <c r="F12" s="326">
        <f>+'Base de Datos'!N12</f>
        <v>41332</v>
      </c>
      <c r="G12" s="326">
        <f>+'Base de Datos'!T12</f>
        <v>41332</v>
      </c>
      <c r="H12" s="325">
        <f>+'Base de Datos'!U12</f>
        <v>12835200</v>
      </c>
      <c r="I12" s="327" t="str">
        <f>IF(VLOOKUP(B12,'Base de Datos'!$E$7:$S$303,11,0),"SI","NO")</f>
        <v>NO</v>
      </c>
      <c r="J12" s="328" t="str">
        <f t="shared" si="0"/>
        <v/>
      </c>
      <c r="K12" s="327" t="str">
        <f>IF(VLOOKUP(B12,'Base de Datos'!$E$7:$S$303,11,0),"SI","NO")</f>
        <v>NO</v>
      </c>
      <c r="L12" s="328" t="str">
        <f t="shared" si="1"/>
        <v/>
      </c>
      <c r="M12" s="328">
        <f>VLOOKUP(B12,'Base de Datos'!$E$7:$Z$303,21,0)</f>
        <v>8.5094116180503609E-2</v>
      </c>
      <c r="N12" s="390" t="str">
        <f t="shared" ca="1" si="5"/>
        <v/>
      </c>
      <c r="O12" s="328">
        <f ca="1">VLOOKUP(B12,'Base de Datos'!$E$7:$Z$303,22,0)</f>
        <v>1</v>
      </c>
      <c r="P12" s="389">
        <f t="shared" ca="1" si="2"/>
        <v>2311</v>
      </c>
      <c r="Q12" s="402">
        <f t="shared" ca="1" si="6"/>
        <v>19.258333333333333</v>
      </c>
      <c r="R12" s="324" t="str">
        <f ca="1">VLOOKUP(B12,'Base de Datos'!E12:AR308,33,0)</f>
        <v>TERMINO</v>
      </c>
      <c r="S12" s="327" t="str">
        <f t="shared" ca="1" si="3"/>
        <v>NO</v>
      </c>
      <c r="T12" s="324" t="str">
        <f t="shared" ca="1" si="4"/>
        <v>Liquidar</v>
      </c>
      <c r="U12" s="324">
        <f>VLOOKUP(B12,'Base de Datos'!$E$7:$AR$401,38,0)</f>
        <v>0</v>
      </c>
      <c r="Y12" s="393">
        <v>500</v>
      </c>
    </row>
    <row r="13" spans="1:29" ht="23.25" customHeight="1" thickTop="1" thickBot="1" x14ac:dyDescent="0.3">
      <c r="A13" s="108">
        <v>7</v>
      </c>
      <c r="B13" s="324" t="str">
        <f>+'Base de Datos'!E13</f>
        <v>050000-275-0-2011</v>
      </c>
      <c r="C13" s="324" t="str">
        <f>+'Base de Datos'!F13</f>
        <v>POLÍTICAS MEDIOS E INVESTIGACIONES</v>
      </c>
      <c r="D13" s="325">
        <f>+'Base de Datos'!I13</f>
        <v>1750000</v>
      </c>
      <c r="E13" s="326">
        <f>+'Base de Datos'!M13</f>
        <v>40822</v>
      </c>
      <c r="F13" s="326">
        <f>+'Base de Datos'!N13</f>
        <v>41188</v>
      </c>
      <c r="G13" s="326">
        <f>+'Base de Datos'!T13</f>
        <v>41370</v>
      </c>
      <c r="H13" s="325">
        <f>+'Base de Datos'!U13</f>
        <v>2625000</v>
      </c>
      <c r="I13" s="327" t="str">
        <f>IF(VLOOKUP(B13,'Base de Datos'!$E$7:$S$303,11,0),"SI","NO")</f>
        <v>SI</v>
      </c>
      <c r="J13" s="328">
        <f t="shared" si="0"/>
        <v>0.49726775956284153</v>
      </c>
      <c r="K13" s="327" t="str">
        <f>IF(VLOOKUP(B13,'Base de Datos'!$E$7:$S$303,11,0),"SI","NO")</f>
        <v>SI</v>
      </c>
      <c r="L13" s="328">
        <f t="shared" si="1"/>
        <v>0.5</v>
      </c>
      <c r="M13" s="328">
        <f>VLOOKUP(B13,'Base de Datos'!$E$7:$Z$303,21,0)</f>
        <v>0</v>
      </c>
      <c r="N13" s="390" t="str">
        <f t="shared" ca="1" si="5"/>
        <v/>
      </c>
      <c r="O13" s="328">
        <f ca="1">VLOOKUP(B13,'Base de Datos'!$E$7:$Z$303,22,0)</f>
        <v>1</v>
      </c>
      <c r="P13" s="389">
        <f t="shared" ca="1" si="2"/>
        <v>2273</v>
      </c>
      <c r="Q13" s="402">
        <f t="shared" ca="1" si="6"/>
        <v>18.941666666666666</v>
      </c>
      <c r="R13" s="324" t="str">
        <f ca="1">VLOOKUP(B13,'Base de Datos'!E13:AR309,33,0)</f>
        <v>TERMINO</v>
      </c>
      <c r="S13" s="327" t="str">
        <f t="shared" ca="1" si="3"/>
        <v>NO</v>
      </c>
      <c r="T13" s="324" t="str">
        <f t="shared" ca="1" si="4"/>
        <v>Liquidar</v>
      </c>
      <c r="U13" s="324">
        <f>VLOOKUP(B13,'Base de Datos'!$E$7:$AR$401,38,0)</f>
        <v>0</v>
      </c>
      <c r="Y13" s="394">
        <v>501</v>
      </c>
    </row>
    <row r="14" spans="1:29" ht="23.25" customHeight="1" thickTop="1" thickBot="1" x14ac:dyDescent="0.3">
      <c r="A14" s="108">
        <v>8</v>
      </c>
      <c r="B14" s="324" t="str">
        <f>+'Base de Datos'!E14</f>
        <v>120000-255-0-2011</v>
      </c>
      <c r="C14" s="324" t="str">
        <f>+'Base de Datos'!F14</f>
        <v>J.A. ZABALA &amp; CONSULTORES ASOCIADOS LTDA.</v>
      </c>
      <c r="D14" s="325">
        <f>+'Base de Datos'!I14</f>
        <v>497000000</v>
      </c>
      <c r="E14" s="326">
        <f>+'Base de Datos'!M14</f>
        <v>40746</v>
      </c>
      <c r="F14" s="326">
        <f>+'Base de Datos'!N14</f>
        <v>41112</v>
      </c>
      <c r="G14" s="326">
        <f>+'Base de Datos'!T14</f>
        <v>41112</v>
      </c>
      <c r="H14" s="325">
        <f>+'Base de Datos'!U14</f>
        <v>497000000</v>
      </c>
      <c r="I14" s="327" t="str">
        <f>IF(VLOOKUP(B14,'Base de Datos'!$E$7:$S$303,11,0),"SI","NO")</f>
        <v>NO</v>
      </c>
      <c r="J14" s="328" t="str">
        <f t="shared" si="0"/>
        <v/>
      </c>
      <c r="K14" s="327" t="str">
        <f>IF(VLOOKUP(B14,'Base de Datos'!$E$7:$S$303,11,0),"SI","NO")</f>
        <v>NO</v>
      </c>
      <c r="L14" s="328" t="str">
        <f t="shared" si="1"/>
        <v/>
      </c>
      <c r="M14" s="328">
        <f>VLOOKUP(B14,'Base de Datos'!$E$7:$Z$303,21,0)</f>
        <v>0.99785305231388333</v>
      </c>
      <c r="N14" s="390" t="str">
        <f t="shared" ca="1" si="5"/>
        <v/>
      </c>
      <c r="O14" s="328">
        <f ca="1">VLOOKUP(B14,'Base de Datos'!$E$7:$Z$303,22,0)</f>
        <v>1</v>
      </c>
      <c r="P14" s="389">
        <f t="shared" ca="1" si="2"/>
        <v>2531</v>
      </c>
      <c r="Q14" s="402">
        <f t="shared" ca="1" si="6"/>
        <v>21.091666666666665</v>
      </c>
      <c r="R14" s="324" t="str">
        <f ca="1">VLOOKUP(B14,'Base de Datos'!E14:AR310,33,0)</f>
        <v>TERMINO</v>
      </c>
      <c r="S14" s="327" t="str">
        <f t="shared" ca="1" si="3"/>
        <v>NO</v>
      </c>
      <c r="T14" s="324" t="str">
        <f t="shared" ca="1" si="4"/>
        <v>Liquidar</v>
      </c>
      <c r="U14" s="324">
        <f>VLOOKUP(B14,'Base de Datos'!$E$7:$AR$401,38,0)</f>
        <v>0</v>
      </c>
      <c r="Y14" s="394">
        <v>700</v>
      </c>
    </row>
    <row r="15" spans="1:29" ht="23.25" customHeight="1" thickTop="1" thickBot="1" x14ac:dyDescent="0.3">
      <c r="A15" s="108">
        <v>9</v>
      </c>
      <c r="B15" s="324" t="str">
        <f>+'Base de Datos'!E15</f>
        <v>120000-260-0-2011</v>
      </c>
      <c r="C15" s="324" t="str">
        <f>+'Base de Datos'!F15</f>
        <v>COTECNA CERTIFICADORA SEVICES LIMITADA</v>
      </c>
      <c r="D15" s="325">
        <f>+'Base de Datos'!I15</f>
        <v>9425000</v>
      </c>
      <c r="E15" s="326">
        <f>+'Base de Datos'!M15</f>
        <v>40870</v>
      </c>
      <c r="F15" s="326">
        <f>+'Base de Datos'!N15</f>
        <v>41236</v>
      </c>
      <c r="G15" s="326">
        <f>+'Base de Datos'!T15</f>
        <v>41356</v>
      </c>
      <c r="H15" s="325">
        <f>+'Base de Datos'!U15</f>
        <v>9425000</v>
      </c>
      <c r="I15" s="327" t="str">
        <f>IF(VLOOKUP(B15,'Base de Datos'!$E$7:$S$303,11,0),"SI","NO")</f>
        <v>NO</v>
      </c>
      <c r="J15" s="328" t="str">
        <f t="shared" si="0"/>
        <v/>
      </c>
      <c r="K15" s="327" t="str">
        <f>IF(VLOOKUP(B15,'Base de Datos'!$E$7:$S$303,11,0),"SI","NO")</f>
        <v>NO</v>
      </c>
      <c r="L15" s="328" t="str">
        <f t="shared" si="1"/>
        <v/>
      </c>
      <c r="M15" s="328">
        <f>VLOOKUP(B15,'Base de Datos'!$E$7:$Z$303,21,0)</f>
        <v>1</v>
      </c>
      <c r="N15" s="390" t="str">
        <f t="shared" ca="1" si="5"/>
        <v/>
      </c>
      <c r="O15" s="328">
        <f ca="1">VLOOKUP(B15,'Base de Datos'!$E$7:$Z$303,22,0)</f>
        <v>1</v>
      </c>
      <c r="P15" s="389">
        <f t="shared" ca="1" si="2"/>
        <v>2287</v>
      </c>
      <c r="Q15" s="402">
        <f t="shared" ca="1" si="6"/>
        <v>19.058333333333334</v>
      </c>
      <c r="R15" s="324" t="str">
        <f ca="1">VLOOKUP(B15,'Base de Datos'!E15:AR311,33,0)</f>
        <v>TERMINO</v>
      </c>
      <c r="S15" s="327" t="str">
        <f t="shared" ca="1" si="3"/>
        <v>NO</v>
      </c>
      <c r="T15" s="324" t="str">
        <f t="shared" ca="1" si="4"/>
        <v>Liquidar</v>
      </c>
      <c r="U15" s="324">
        <f>VLOOKUP(B15,'Base de Datos'!$E$7:$AR$401,38,0)</f>
        <v>42201</v>
      </c>
      <c r="Y15" s="395">
        <v>701</v>
      </c>
    </row>
    <row r="16" spans="1:29" ht="23.25" customHeight="1" thickTop="1" thickBot="1" x14ac:dyDescent="0.3">
      <c r="A16" s="108">
        <v>10</v>
      </c>
      <c r="B16" s="324" t="str">
        <f>+'Base de Datos'!E16</f>
        <v>120000-281-0-2011</v>
      </c>
      <c r="C16" s="324" t="str">
        <f>+'Base de Datos'!F16</f>
        <v>CONSERAUTO</v>
      </c>
      <c r="D16" s="325">
        <f>+'Base de Datos'!I16</f>
        <v>15000000</v>
      </c>
      <c r="E16" s="326">
        <f>+'Base de Datos'!M16</f>
        <v>40863</v>
      </c>
      <c r="F16" s="326">
        <f>+'Base de Datos'!N16</f>
        <v>41364</v>
      </c>
      <c r="G16" s="326">
        <f>+'Base de Datos'!T16</f>
        <v>41364</v>
      </c>
      <c r="H16" s="325">
        <f>+'Base de Datos'!U16</f>
        <v>22930000</v>
      </c>
      <c r="I16" s="327" t="str">
        <f>IF(VLOOKUP(B16,'Base de Datos'!$E$7:$S$303,11,0),"SI","NO")</f>
        <v>SI</v>
      </c>
      <c r="J16" s="328">
        <f t="shared" si="0"/>
        <v>0</v>
      </c>
      <c r="K16" s="327" t="str">
        <f>IF(VLOOKUP(B16,'Base de Datos'!$E$7:$S$303,11,0),"SI","NO")</f>
        <v>SI</v>
      </c>
      <c r="L16" s="328">
        <f t="shared" si="1"/>
        <v>0.52866666666666662</v>
      </c>
      <c r="M16" s="328">
        <f>VLOOKUP(B16,'Base de Datos'!$E$7:$Z$303,21,0)</f>
        <v>0.80386964675098127</v>
      </c>
      <c r="N16" s="390" t="str">
        <f t="shared" ca="1" si="5"/>
        <v/>
      </c>
      <c r="O16" s="328">
        <f ca="1">VLOOKUP(B16,'Base de Datos'!$E$7:$Z$303,22,0)</f>
        <v>1</v>
      </c>
      <c r="P16" s="389">
        <f t="shared" ca="1" si="2"/>
        <v>2279</v>
      </c>
      <c r="Q16" s="402">
        <f t="shared" ca="1" si="6"/>
        <v>18.991666666666667</v>
      </c>
      <c r="R16" s="324" t="str">
        <f ca="1">VLOOKUP(B16,'Base de Datos'!E16:AR312,33,0)</f>
        <v>TERMINO</v>
      </c>
      <c r="S16" s="327" t="str">
        <f t="shared" ca="1" si="3"/>
        <v>NO</v>
      </c>
      <c r="T16" s="324" t="str">
        <f t="shared" ca="1" si="4"/>
        <v>Liquidar</v>
      </c>
      <c r="U16" s="324">
        <f>VLOOKUP(B16,'Base de Datos'!$E$7:$AR$401,38,0)</f>
        <v>42094</v>
      </c>
      <c r="Y16" s="395">
        <v>850</v>
      </c>
    </row>
    <row r="17" spans="1:25" ht="23.25" customHeight="1" thickTop="1" thickBot="1" x14ac:dyDescent="0.3">
      <c r="A17" s="108">
        <v>11</v>
      </c>
      <c r="B17" s="324" t="str">
        <f>+'Base de Datos'!E17</f>
        <v>120000-297-0-2011</v>
      </c>
      <c r="C17" s="324" t="str">
        <f>+'Base de Datos'!F17</f>
        <v>PC MICROS LTDA.</v>
      </c>
      <c r="D17" s="325">
        <f>+'Base de Datos'!I17</f>
        <v>15063760</v>
      </c>
      <c r="E17" s="326">
        <f>+'Base de Datos'!M17</f>
        <v>40862</v>
      </c>
      <c r="F17" s="326">
        <f>+'Base de Datos'!N17</f>
        <v>41242</v>
      </c>
      <c r="G17" s="326">
        <f>+'Base de Datos'!T17</f>
        <v>41362</v>
      </c>
      <c r="H17" s="325">
        <f>+'Base de Datos'!U17</f>
        <v>20044800</v>
      </c>
      <c r="I17" s="327" t="str">
        <f>IF(VLOOKUP(B17,'Base de Datos'!$E$7:$S$303,11,0),"SI","NO")</f>
        <v>SI</v>
      </c>
      <c r="J17" s="328">
        <f t="shared" si="0"/>
        <v>0.31578947368421051</v>
      </c>
      <c r="K17" s="327" t="str">
        <f>IF(VLOOKUP(B17,'Base de Datos'!$E$7:$S$303,11,0),"SI","NO")</f>
        <v>SI</v>
      </c>
      <c r="L17" s="328">
        <f t="shared" si="1"/>
        <v>0.3306637917757585</v>
      </c>
      <c r="M17" s="328">
        <f>VLOOKUP(B17,'Base de Datos'!$E$7:$Z$303,21,0)</f>
        <v>1</v>
      </c>
      <c r="N17" s="390" t="str">
        <f t="shared" ca="1" si="5"/>
        <v/>
      </c>
      <c r="O17" s="328">
        <f ca="1">VLOOKUP(B17,'Base de Datos'!$E$7:$Z$303,22,0)</f>
        <v>1</v>
      </c>
      <c r="P17" s="389">
        <f t="shared" ca="1" si="2"/>
        <v>2281</v>
      </c>
      <c r="Q17" s="402">
        <f t="shared" ca="1" si="6"/>
        <v>19.008333333333333</v>
      </c>
      <c r="R17" s="324" t="str">
        <f ca="1">VLOOKUP(B17,'Base de Datos'!E17:AR313,33,0)</f>
        <v>TERMINO</v>
      </c>
      <c r="S17" s="327" t="str">
        <f t="shared" ca="1" si="3"/>
        <v>NO</v>
      </c>
      <c r="T17" s="324" t="str">
        <f t="shared" ca="1" si="4"/>
        <v>Liquidar</v>
      </c>
      <c r="U17" s="324">
        <f>VLOOKUP(B17,'Base de Datos'!$E$7:$AR$401,38,0)</f>
        <v>0</v>
      </c>
      <c r="Y17" s="396">
        <v>851</v>
      </c>
    </row>
    <row r="18" spans="1:25" ht="23.25" customHeight="1" thickTop="1" thickBot="1" x14ac:dyDescent="0.3">
      <c r="A18" s="108">
        <v>12</v>
      </c>
      <c r="B18" s="324" t="str">
        <f>+'Base de Datos'!E18</f>
        <v>120000-307-0-2011</v>
      </c>
      <c r="C18" s="324" t="str">
        <f>+'Base de Datos'!F18</f>
        <v>ELECTRIMEK LTDA.</v>
      </c>
      <c r="D18" s="325">
        <f>+'Base de Datos'!I18</f>
        <v>8506800</v>
      </c>
      <c r="E18" s="326">
        <f>+'Base de Datos'!M18</f>
        <v>40865</v>
      </c>
      <c r="F18" s="326">
        <f>+'Base de Datos'!N18</f>
        <v>41231</v>
      </c>
      <c r="G18" s="326">
        <f>+'Base de Datos'!T18</f>
        <v>41323</v>
      </c>
      <c r="H18" s="325">
        <f>+'Base de Datos'!U18</f>
        <v>9976800</v>
      </c>
      <c r="I18" s="327" t="str">
        <f>IF(VLOOKUP(B18,'Base de Datos'!$E$7:$S$303,11,0),"SI","NO")</f>
        <v>SI</v>
      </c>
      <c r="J18" s="328">
        <f t="shared" si="0"/>
        <v>0.25136612021857924</v>
      </c>
      <c r="K18" s="327" t="str">
        <f>IF(VLOOKUP(B18,'Base de Datos'!$E$7:$S$303,11,0),"SI","NO")</f>
        <v>SI</v>
      </c>
      <c r="L18" s="328">
        <f t="shared" si="1"/>
        <v>0.17280293412328959</v>
      </c>
      <c r="M18" s="328">
        <f>VLOOKUP(B18,'Base de Datos'!$E$7:$Z$303,21,0)</f>
        <v>0.99997955256194371</v>
      </c>
      <c r="N18" s="390" t="str">
        <f t="shared" ca="1" si="5"/>
        <v/>
      </c>
      <c r="O18" s="328">
        <f ca="1">VLOOKUP(B18,'Base de Datos'!$E$7:$Z$303,22,0)</f>
        <v>1</v>
      </c>
      <c r="P18" s="389">
        <f t="shared" ca="1" si="2"/>
        <v>2320</v>
      </c>
      <c r="Q18" s="402">
        <f t="shared" ca="1" si="6"/>
        <v>19.333333333333332</v>
      </c>
      <c r="R18" s="324" t="str">
        <f ca="1">VLOOKUP(B18,'Base de Datos'!E18:AR314,33,0)</f>
        <v>TERMINO</v>
      </c>
      <c r="S18" s="327" t="str">
        <f t="shared" ca="1" si="3"/>
        <v>NO</v>
      </c>
      <c r="T18" s="324" t="str">
        <f t="shared" ca="1" si="4"/>
        <v>Liquidar</v>
      </c>
      <c r="U18" s="324">
        <f>VLOOKUP(B18,'Base de Datos'!$E$7:$AR$401,38,0)</f>
        <v>0</v>
      </c>
      <c r="Y18" s="396">
        <v>2000</v>
      </c>
    </row>
    <row r="19" spans="1:25" ht="23.25" customHeight="1" thickTop="1" thickBot="1" x14ac:dyDescent="0.3">
      <c r="A19" s="108">
        <v>13</v>
      </c>
      <c r="B19" s="324" t="str">
        <f>+'Base de Datos'!E19</f>
        <v>120000-331-0-2011</v>
      </c>
      <c r="C19" s="324" t="str">
        <f>+'Base de Datos'!F19</f>
        <v>KEY MARKEY S.A.</v>
      </c>
      <c r="D19" s="325">
        <f>+'Base de Datos'!I19</f>
        <v>1306508</v>
      </c>
      <c r="E19" s="326">
        <f>+'Base de Datos'!M19</f>
        <v>40891</v>
      </c>
      <c r="F19" s="326">
        <f>+'Base de Datos'!N19</f>
        <v>40922</v>
      </c>
      <c r="G19" s="326">
        <f>+'Base de Datos'!T19</f>
        <v>40922</v>
      </c>
      <c r="H19" s="325">
        <f>+'Base de Datos'!U19</f>
        <v>1306508</v>
      </c>
      <c r="I19" s="327" t="str">
        <f>IF(VLOOKUP(B19,'Base de Datos'!$E$7:$S$303,11,0),"SI","NO")</f>
        <v>NO</v>
      </c>
      <c r="J19" s="328" t="str">
        <f t="shared" si="0"/>
        <v/>
      </c>
      <c r="K19" s="327" t="str">
        <f>IF(VLOOKUP(B19,'Base de Datos'!$E$7:$S$303,11,0),"SI","NO")</f>
        <v>NO</v>
      </c>
      <c r="L19" s="328" t="str">
        <f t="shared" si="1"/>
        <v/>
      </c>
      <c r="M19" s="328">
        <f>VLOOKUP(B19,'Base de Datos'!$E$7:$Z$303,21,0)</f>
        <v>1</v>
      </c>
      <c r="N19" s="390" t="str">
        <f t="shared" ca="1" si="5"/>
        <v/>
      </c>
      <c r="O19" s="328">
        <f ca="1">VLOOKUP(B19,'Base de Datos'!$E$7:$Z$303,22,0)</f>
        <v>1</v>
      </c>
      <c r="P19" s="389">
        <f t="shared" ca="1" si="2"/>
        <v>2721</v>
      </c>
      <c r="Q19" s="402">
        <f t="shared" ca="1" si="6"/>
        <v>22.675000000000001</v>
      </c>
      <c r="R19" s="324" t="str">
        <f ca="1">VLOOKUP(B19,'Base de Datos'!E19:AR315,33,0)</f>
        <v>TERMINO</v>
      </c>
      <c r="S19" s="327" t="str">
        <f t="shared" ca="1" si="3"/>
        <v>NO</v>
      </c>
      <c r="T19" s="324" t="str">
        <f t="shared" ca="1" si="4"/>
        <v>Liquidar</v>
      </c>
      <c r="U19" s="324">
        <f>VLOOKUP(B19,'Base de Datos'!$E$7:$AR$401,38,0)</f>
        <v>0</v>
      </c>
    </row>
    <row r="20" spans="1:25" ht="23.25" customHeight="1" thickTop="1" thickBot="1" x14ac:dyDescent="0.3">
      <c r="A20" s="108">
        <v>14</v>
      </c>
      <c r="B20" s="324" t="str">
        <f>+'Base de Datos'!E20</f>
        <v>120000-361-0-2011</v>
      </c>
      <c r="C20" s="324" t="str">
        <f>+'Base de Datos'!F20</f>
        <v>PAPELERÍA  LOS  LAGOS  LTDA.</v>
      </c>
      <c r="D20" s="325">
        <f>+'Base de Datos'!I20</f>
        <v>102786079</v>
      </c>
      <c r="E20" s="326">
        <f>+'Base de Datos'!M20</f>
        <v>40897</v>
      </c>
      <c r="F20" s="326">
        <f>+'Base de Datos'!N20</f>
        <v>41110</v>
      </c>
      <c r="G20" s="326">
        <f>+'Base de Datos'!T20</f>
        <v>41243</v>
      </c>
      <c r="H20" s="325">
        <f>+'Base de Datos'!U20</f>
        <v>102786079</v>
      </c>
      <c r="I20" s="327" t="str">
        <f>IF(VLOOKUP(B20,'Base de Datos'!$E$7:$S$303,11,0),"SI","NO")</f>
        <v>NO</v>
      </c>
      <c r="J20" s="328" t="str">
        <f t="shared" si="0"/>
        <v/>
      </c>
      <c r="K20" s="327" t="str">
        <f>IF(VLOOKUP(B20,'Base de Datos'!$E$7:$S$303,11,0),"SI","NO")</f>
        <v>NO</v>
      </c>
      <c r="L20" s="328" t="str">
        <f t="shared" si="1"/>
        <v/>
      </c>
      <c r="M20" s="328">
        <f>VLOOKUP(B20,'Base de Datos'!$E$7:$Z$303,21,0)</f>
        <v>0.81768245094746728</v>
      </c>
      <c r="N20" s="390" t="str">
        <f t="shared" ca="1" si="5"/>
        <v/>
      </c>
      <c r="O20" s="328">
        <f ca="1">VLOOKUP(B20,'Base de Datos'!$E$7:$Z$303,22,0)</f>
        <v>1</v>
      </c>
      <c r="P20" s="389">
        <f t="shared" ca="1" si="2"/>
        <v>2400</v>
      </c>
      <c r="Q20" s="402">
        <f t="shared" ca="1" si="6"/>
        <v>20</v>
      </c>
      <c r="R20" s="324" t="str">
        <f ca="1">VLOOKUP(B20,'Base de Datos'!E20:AR316,33,0)</f>
        <v>TERMINO</v>
      </c>
      <c r="S20" s="327" t="str">
        <f t="shared" ca="1" si="3"/>
        <v>NO</v>
      </c>
      <c r="T20" s="324" t="str">
        <f t="shared" ca="1" si="4"/>
        <v>Liquidar</v>
      </c>
      <c r="U20" s="324">
        <f>VLOOKUP(B20,'Base de Datos'!$E$7:$AR$401,38,0)</f>
        <v>0</v>
      </c>
    </row>
    <row r="21" spans="1:25" ht="23.25" customHeight="1" thickTop="1" thickBot="1" x14ac:dyDescent="0.3">
      <c r="A21" s="108">
        <v>15</v>
      </c>
      <c r="B21" s="324" t="str">
        <f>+'Base de Datos'!E21</f>
        <v>120000-440-0-2011</v>
      </c>
      <c r="C21" s="324" t="str">
        <f>+'Base de Datos'!F21</f>
        <v>CONTROL SISTEMAS DE COMUNICACIONES C.S.C. LTDA.</v>
      </c>
      <c r="D21" s="325">
        <f>+'Base de Datos'!I21</f>
        <v>49376272</v>
      </c>
      <c r="E21" s="326">
        <f>+'Base de Datos'!M21</f>
        <v>40946</v>
      </c>
      <c r="F21" s="326">
        <f>+'Base de Datos'!N21</f>
        <v>41312</v>
      </c>
      <c r="G21" s="326">
        <f>+'Base de Datos'!T21</f>
        <v>41312</v>
      </c>
      <c r="H21" s="325">
        <f>+'Base de Datos'!U21</f>
        <v>49376272</v>
      </c>
      <c r="I21" s="327" t="str">
        <f>IF(VLOOKUP(B21,'Base de Datos'!$E$7:$S$303,11,0),"SI","NO")</f>
        <v>NO</v>
      </c>
      <c r="J21" s="328" t="str">
        <f t="shared" si="0"/>
        <v/>
      </c>
      <c r="K21" s="327" t="str">
        <f>IF(VLOOKUP(B21,'Base de Datos'!$E$7:$S$303,11,0),"SI","NO")</f>
        <v>NO</v>
      </c>
      <c r="L21" s="328" t="str">
        <f t="shared" si="1"/>
        <v/>
      </c>
      <c r="M21" s="328">
        <f>VLOOKUP(B21,'Base de Datos'!$E$7:$Z$303,21,0)</f>
        <v>1</v>
      </c>
      <c r="N21" s="390" t="str">
        <f t="shared" ca="1" si="5"/>
        <v/>
      </c>
      <c r="O21" s="328">
        <f ca="1">VLOOKUP(B21,'Base de Datos'!$E$7:$Z$303,22,0)</f>
        <v>1</v>
      </c>
      <c r="P21" s="389">
        <f t="shared" ca="1" si="2"/>
        <v>2331</v>
      </c>
      <c r="Q21" s="402">
        <f t="shared" ca="1" si="6"/>
        <v>19.425000000000001</v>
      </c>
      <c r="R21" s="324" t="str">
        <f ca="1">VLOOKUP(B21,'Base de Datos'!E21:AR317,33,0)</f>
        <v>TERMINO</v>
      </c>
      <c r="S21" s="327" t="str">
        <f t="shared" ca="1" si="3"/>
        <v>NO</v>
      </c>
      <c r="T21" s="324" t="str">
        <f t="shared" ca="1" si="4"/>
        <v>Liquidar</v>
      </c>
      <c r="U21" s="324">
        <f>VLOOKUP(B21,'Base de Datos'!$E$7:$AR$401,38,0)</f>
        <v>0</v>
      </c>
    </row>
    <row r="22" spans="1:25" ht="23.25" customHeight="1" thickTop="1" thickBot="1" x14ac:dyDescent="0.3">
      <c r="A22" s="108">
        <v>16</v>
      </c>
      <c r="B22" s="324" t="str">
        <f>+'Base de Datos'!E22</f>
        <v>040000-221-0-2012</v>
      </c>
      <c r="C22" s="324" t="str">
        <f>+'Base de Datos'!F22</f>
        <v>FACTOR VISUAL EAT</v>
      </c>
      <c r="D22" s="325">
        <f>+'Base de Datos'!I22</f>
        <v>79634000</v>
      </c>
      <c r="E22" s="326">
        <f>+'Base de Datos'!M22</f>
        <v>41087</v>
      </c>
      <c r="F22" s="326">
        <f>+'Base de Datos'!N22</f>
        <v>41452</v>
      </c>
      <c r="G22" s="326">
        <f>+'Base de Datos'!T22</f>
        <v>41513</v>
      </c>
      <c r="H22" s="325">
        <f>+'Base de Datos'!U22</f>
        <v>79634000</v>
      </c>
      <c r="I22" s="327" t="str">
        <f>IF(VLOOKUP(B22,'Base de Datos'!$E$7:$S$303,11,0),"SI","NO")</f>
        <v>NO</v>
      </c>
      <c r="J22" s="328" t="str">
        <f t="shared" si="0"/>
        <v/>
      </c>
      <c r="K22" s="327" t="str">
        <f>IF(VLOOKUP(B22,'Base de Datos'!$E$7:$S$303,11,0),"SI","NO")</f>
        <v>NO</v>
      </c>
      <c r="L22" s="328" t="str">
        <f t="shared" si="1"/>
        <v/>
      </c>
      <c r="M22" s="328">
        <f>VLOOKUP(B22,'Base de Datos'!$E$7:$Z$303,21,0)</f>
        <v>1</v>
      </c>
      <c r="N22" s="390" t="str">
        <f t="shared" ca="1" si="5"/>
        <v/>
      </c>
      <c r="O22" s="328">
        <f ca="1">VLOOKUP(B22,'Base de Datos'!$E$7:$Z$303,22,0)</f>
        <v>1</v>
      </c>
      <c r="P22" s="389">
        <f t="shared" ca="1" si="2"/>
        <v>2130</v>
      </c>
      <c r="Q22" s="402">
        <f t="shared" ca="1" si="6"/>
        <v>17.75</v>
      </c>
      <c r="R22" s="324" t="str">
        <f ca="1">VLOOKUP(B22,'Base de Datos'!E22:AR318,33,0)</f>
        <v>TERMINO</v>
      </c>
      <c r="S22" s="327" t="str">
        <f t="shared" ca="1" si="3"/>
        <v>NO</v>
      </c>
      <c r="T22" s="324" t="str">
        <f t="shared" ca="1" si="4"/>
        <v>Liquidar</v>
      </c>
      <c r="U22" s="324">
        <f>VLOOKUP(B22,'Base de Datos'!$E$7:$AR$401,38,0)</f>
        <v>41977</v>
      </c>
    </row>
    <row r="23" spans="1:25" ht="23.25" customHeight="1" thickTop="1" thickBot="1" x14ac:dyDescent="0.3">
      <c r="A23" s="108">
        <v>17</v>
      </c>
      <c r="B23" s="324" t="str">
        <f>+'Base de Datos'!E23</f>
        <v>040000-357-0-2012</v>
      </c>
      <c r="C23" s="324" t="str">
        <f>+'Base de Datos'!F23</f>
        <v>LILIA FANNY GUEVARA PARRADO</v>
      </c>
      <c r="D23" s="325">
        <f>+'Base de Datos'!I23</f>
        <v>4206160</v>
      </c>
      <c r="E23" s="326">
        <f>+'Base de Datos'!M23</f>
        <v>41213</v>
      </c>
      <c r="F23" s="326">
        <f>+'Base de Datos'!N23</f>
        <v>41274</v>
      </c>
      <c r="G23" s="326">
        <f>+'Base de Datos'!T23</f>
        <v>41274</v>
      </c>
      <c r="H23" s="325">
        <f>+'Base de Datos'!U23</f>
        <v>4206160</v>
      </c>
      <c r="I23" s="327" t="str">
        <f>IF(VLOOKUP(B23,'Base de Datos'!$E$7:$S$303,11,0),"SI","NO")</f>
        <v>NO</v>
      </c>
      <c r="J23" s="328" t="str">
        <f t="shared" si="0"/>
        <v/>
      </c>
      <c r="K23" s="327" t="str">
        <f>IF(VLOOKUP(B23,'Base de Datos'!$E$7:$S$303,11,0),"SI","NO")</f>
        <v>NO</v>
      </c>
      <c r="L23" s="328" t="str">
        <f t="shared" si="1"/>
        <v/>
      </c>
      <c r="M23" s="328">
        <f>VLOOKUP(B23,'Base de Datos'!$E$7:$Z$303,21,0)</f>
        <v>0</v>
      </c>
      <c r="N23" s="390" t="str">
        <f t="shared" ca="1" si="5"/>
        <v/>
      </c>
      <c r="O23" s="328">
        <f ca="1">VLOOKUP(B23,'Base de Datos'!$E$7:$Z$303,22,0)</f>
        <v>1</v>
      </c>
      <c r="P23" s="389">
        <f t="shared" ca="1" si="2"/>
        <v>2369</v>
      </c>
      <c r="Q23" s="402">
        <f t="shared" ca="1" si="6"/>
        <v>19.741666666666667</v>
      </c>
      <c r="R23" s="324" t="str">
        <f ca="1">VLOOKUP(B23,'Base de Datos'!E23:AR319,33,0)</f>
        <v>TERMINO</v>
      </c>
      <c r="S23" s="327" t="str">
        <f t="shared" ca="1" si="3"/>
        <v>NO</v>
      </c>
      <c r="T23" s="324" t="str">
        <f t="shared" ca="1" si="4"/>
        <v>Liquidar</v>
      </c>
      <c r="U23" s="324">
        <f>VLOOKUP(B23,'Base de Datos'!$E$7:$AR$401,38,0)</f>
        <v>41270</v>
      </c>
    </row>
    <row r="24" spans="1:25" ht="23.25" customHeight="1" thickTop="1" thickBot="1" x14ac:dyDescent="0.3">
      <c r="A24" s="108">
        <v>18</v>
      </c>
      <c r="B24" s="324" t="str">
        <f>+'Base de Datos'!E24</f>
        <v>040000-410-0-2012</v>
      </c>
      <c r="C24" s="324" t="str">
        <f>+'Base de Datos'!F24</f>
        <v>EMPRESA DE TELECOMUNICACIONES DE BOGOTÁ S.A.-ETB-ESP</v>
      </c>
      <c r="D24" s="325">
        <f>+'Base de Datos'!I24</f>
        <v>726335435</v>
      </c>
      <c r="E24" s="326">
        <f>+'Base de Datos'!M24</f>
        <v>41206</v>
      </c>
      <c r="F24" s="326">
        <f>+'Base de Datos'!N24</f>
        <v>41609</v>
      </c>
      <c r="G24" s="326">
        <f>+'Base de Datos'!T24</f>
        <v>41609</v>
      </c>
      <c r="H24" s="325">
        <f>+'Base de Datos'!U24</f>
        <v>726335435</v>
      </c>
      <c r="I24" s="327" t="str">
        <f>IF(VLOOKUP(B24,'Base de Datos'!$E$7:$S$303,11,0),"SI","NO")</f>
        <v>NO</v>
      </c>
      <c r="J24" s="328" t="str">
        <f t="shared" si="0"/>
        <v/>
      </c>
      <c r="K24" s="327" t="str">
        <f>IF(VLOOKUP(B24,'Base de Datos'!$E$7:$S$303,11,0),"SI","NO")</f>
        <v>NO</v>
      </c>
      <c r="L24" s="328" t="str">
        <f t="shared" si="1"/>
        <v/>
      </c>
      <c r="M24" s="328">
        <f>VLOOKUP(B24,'Base de Datos'!$E$7:$Z$303,21,0)</f>
        <v>0.79574612658130883</v>
      </c>
      <c r="N24" s="390" t="str">
        <f t="shared" ca="1" si="5"/>
        <v/>
      </c>
      <c r="O24" s="328">
        <f ca="1">VLOOKUP(B24,'Base de Datos'!$E$7:$Z$303,22,0)</f>
        <v>1</v>
      </c>
      <c r="P24" s="389">
        <f t="shared" ca="1" si="2"/>
        <v>2034</v>
      </c>
      <c r="Q24" s="402">
        <f t="shared" ca="1" si="6"/>
        <v>16.95</v>
      </c>
      <c r="R24" s="324" t="str">
        <f ca="1">VLOOKUP(B24,'Base de Datos'!E24:AR320,33,0)</f>
        <v>TERMINO</v>
      </c>
      <c r="S24" s="327" t="str">
        <f t="shared" ca="1" si="3"/>
        <v>NO</v>
      </c>
      <c r="T24" s="324" t="str">
        <f t="shared" ca="1" si="4"/>
        <v>Liquidar</v>
      </c>
      <c r="U24" s="324">
        <f>VLOOKUP(B24,'Base de Datos'!$E$7:$AR$401,38,0)</f>
        <v>0</v>
      </c>
    </row>
    <row r="25" spans="1:25" ht="23.25" customHeight="1" thickTop="1" thickBot="1" x14ac:dyDescent="0.3">
      <c r="A25" s="108">
        <v>19</v>
      </c>
      <c r="B25" s="324" t="str">
        <f>+'Base de Datos'!E25</f>
        <v>050000-120-0-2012</v>
      </c>
      <c r="C25" s="324" t="str">
        <f>+'Base de Datos'!F25</f>
        <v>ACE SEGUROS S.A.</v>
      </c>
      <c r="D25" s="325">
        <f>+'Base de Datos'!I25</f>
        <v>48720000</v>
      </c>
      <c r="E25" s="326">
        <f>+'Base de Datos'!M25</f>
        <v>41025</v>
      </c>
      <c r="F25" s="326">
        <f>+'Base de Datos'!N25</f>
        <v>41455</v>
      </c>
      <c r="G25" s="326">
        <f>+'Base de Datos'!T25</f>
        <v>41623</v>
      </c>
      <c r="H25" s="325">
        <f>+'Base de Datos'!U25</f>
        <v>71096157</v>
      </c>
      <c r="I25" s="327" t="str">
        <f>IF(VLOOKUP(B25,'Base de Datos'!$E$7:$S$303,11,0),"SI","NO")</f>
        <v>SI</v>
      </c>
      <c r="J25" s="328">
        <f t="shared" si="0"/>
        <v>0.39069767441860465</v>
      </c>
      <c r="K25" s="327" t="str">
        <f>IF(VLOOKUP(B25,'Base de Datos'!$E$7:$S$303,11,0),"SI","NO")</f>
        <v>SI</v>
      </c>
      <c r="L25" s="328">
        <f t="shared" si="1"/>
        <v>0.45928072660098523</v>
      </c>
      <c r="M25" s="328">
        <f>VLOOKUP(B25,'Base de Datos'!$E$7:$Z$303,21,0)</f>
        <v>1</v>
      </c>
      <c r="N25" s="390" t="str">
        <f t="shared" ca="1" si="5"/>
        <v/>
      </c>
      <c r="O25" s="328">
        <f ca="1">VLOOKUP(B25,'Base de Datos'!$E$7:$Z$303,22,0)</f>
        <v>1</v>
      </c>
      <c r="P25" s="389">
        <f t="shared" ca="1" si="2"/>
        <v>2020</v>
      </c>
      <c r="Q25" s="402">
        <f t="shared" ca="1" si="6"/>
        <v>16.833333333333332</v>
      </c>
      <c r="R25" s="324" t="str">
        <f ca="1">VLOOKUP(B25,'Base de Datos'!E25:AR321,33,0)</f>
        <v>TERMINO</v>
      </c>
      <c r="S25" s="327" t="str">
        <f t="shared" ca="1" si="3"/>
        <v>NO</v>
      </c>
      <c r="T25" s="324" t="str">
        <f t="shared" ca="1" si="4"/>
        <v>Liquidar</v>
      </c>
      <c r="U25" s="324">
        <f>VLOOKUP(B25,'Base de Datos'!$E$7:$AR$401,38,0)</f>
        <v>0</v>
      </c>
    </row>
    <row r="26" spans="1:25" ht="23.25" customHeight="1" thickTop="1" thickBot="1" x14ac:dyDescent="0.3">
      <c r="A26" s="108">
        <v>20</v>
      </c>
      <c r="B26" s="324" t="str">
        <f>+'Base de Datos'!E26</f>
        <v>050000-131-0-2012</v>
      </c>
      <c r="C26" s="324" t="str">
        <f>+'Base de Datos'!F26</f>
        <v xml:space="preserve">MELCO DE COLOMBIA LIMITADA </v>
      </c>
      <c r="D26" s="325">
        <f>+'Base de Datos'!I26</f>
        <v>11587500</v>
      </c>
      <c r="E26" s="326">
        <f>+'Base de Datos'!M26</f>
        <v>41074</v>
      </c>
      <c r="F26" s="326">
        <f>+'Base de Datos'!N26</f>
        <v>41347</v>
      </c>
      <c r="G26" s="326">
        <f>+'Base de Datos'!T26</f>
        <v>41347</v>
      </c>
      <c r="H26" s="325">
        <f>+'Base de Datos'!U26</f>
        <v>11587500</v>
      </c>
      <c r="I26" s="327" t="str">
        <f>IF(VLOOKUP(B26,'Base de Datos'!$E$7:$S$303,11,0),"SI","NO")</f>
        <v>NO</v>
      </c>
      <c r="J26" s="328" t="str">
        <f t="shared" si="0"/>
        <v/>
      </c>
      <c r="K26" s="327" t="str">
        <f>IF(VLOOKUP(B26,'Base de Datos'!$E$7:$S$303,11,0),"SI","NO")</f>
        <v>NO</v>
      </c>
      <c r="L26" s="328" t="str">
        <f t="shared" si="1"/>
        <v/>
      </c>
      <c r="M26" s="328">
        <f>VLOOKUP(B26,'Base de Datos'!$E$7:$Z$303,21,0)</f>
        <v>0.8903394174757282</v>
      </c>
      <c r="N26" s="390" t="str">
        <f t="shared" ca="1" si="5"/>
        <v/>
      </c>
      <c r="O26" s="328">
        <f ca="1">VLOOKUP(B26,'Base de Datos'!$E$7:$Z$303,22,0)</f>
        <v>1</v>
      </c>
      <c r="P26" s="389">
        <f t="shared" ca="1" si="2"/>
        <v>2296</v>
      </c>
      <c r="Q26" s="402">
        <f t="shared" ca="1" si="6"/>
        <v>19.133333333333333</v>
      </c>
      <c r="R26" s="324" t="str">
        <f ca="1">VLOOKUP(B26,'Base de Datos'!E26:AR322,33,0)</f>
        <v>TERMINO</v>
      </c>
      <c r="S26" s="327" t="str">
        <f t="shared" ca="1" si="3"/>
        <v>NO</v>
      </c>
      <c r="T26" s="324" t="str">
        <f t="shared" ca="1" si="4"/>
        <v>Liquidar</v>
      </c>
      <c r="U26" s="324">
        <f>VLOOKUP(B26,'Base de Datos'!$E$7:$AR$401,38,0)</f>
        <v>0</v>
      </c>
    </row>
    <row r="27" spans="1:25" ht="23.25" customHeight="1" thickTop="1" thickBot="1" x14ac:dyDescent="0.3">
      <c r="A27" s="108">
        <v>21</v>
      </c>
      <c r="B27" s="324" t="str">
        <f>+'Base de Datos'!E27</f>
        <v>120000-463-0-2012</v>
      </c>
      <c r="C27" s="324" t="str">
        <f>+'Base de Datos'!F27</f>
        <v>ALPUNTO SOLUCIONES SAS 12000-463-0-2012</v>
      </c>
      <c r="D27" s="325">
        <f>+'Base de Datos'!I27</f>
        <v>4452000</v>
      </c>
      <c r="E27" s="326">
        <f>+'Base de Datos'!M27</f>
        <v>41235</v>
      </c>
      <c r="F27" s="326">
        <f>+'Base de Datos'!N27</f>
        <v>41278</v>
      </c>
      <c r="G27" s="326">
        <f>+'Base de Datos'!T27</f>
        <v>41278</v>
      </c>
      <c r="H27" s="325">
        <f>+'Base de Datos'!U27</f>
        <v>4452000</v>
      </c>
      <c r="I27" s="327" t="str">
        <f>IF(VLOOKUP(B27,'Base de Datos'!$E$7:$S$303,11,0),"SI","NO")</f>
        <v>NO</v>
      </c>
      <c r="J27" s="328" t="str">
        <f t="shared" si="0"/>
        <v/>
      </c>
      <c r="K27" s="327" t="str">
        <f>IF(VLOOKUP(B27,'Base de Datos'!$E$7:$S$303,11,0),"SI","NO")</f>
        <v>NO</v>
      </c>
      <c r="L27" s="328" t="str">
        <f t="shared" si="1"/>
        <v/>
      </c>
      <c r="M27" s="328">
        <f>VLOOKUP(B27,'Base de Datos'!$E$7:$Z$303,21,0)</f>
        <v>1</v>
      </c>
      <c r="N27" s="390" t="str">
        <f t="shared" ca="1" si="5"/>
        <v/>
      </c>
      <c r="O27" s="328">
        <f ca="1">VLOOKUP(B27,'Base de Datos'!$E$7:$Z$303,22,0)</f>
        <v>1</v>
      </c>
      <c r="P27" s="389">
        <f t="shared" ca="1" si="2"/>
        <v>2365</v>
      </c>
      <c r="Q27" s="402">
        <f t="shared" ca="1" si="6"/>
        <v>19.708333333333332</v>
      </c>
      <c r="R27" s="324" t="str">
        <f ca="1">VLOOKUP(B27,'Base de Datos'!E27:AR323,33,0)</f>
        <v>TERMINO</v>
      </c>
      <c r="S27" s="327" t="str">
        <f t="shared" ca="1" si="3"/>
        <v>NO</v>
      </c>
      <c r="T27" s="324" t="str">
        <f t="shared" ca="1" si="4"/>
        <v>Liquidar</v>
      </c>
      <c r="U27" s="324">
        <f>VLOOKUP(B27,'Base de Datos'!$E$7:$AR$401,38,0)</f>
        <v>0</v>
      </c>
    </row>
    <row r="28" spans="1:25" ht="23.25" customHeight="1" thickTop="1" thickBot="1" x14ac:dyDescent="0.3">
      <c r="A28" s="108">
        <v>22</v>
      </c>
      <c r="B28" s="324" t="str">
        <f>+'Base de Datos'!E28</f>
        <v>050000-155-0-2012</v>
      </c>
      <c r="C28" s="324" t="str">
        <f>+'Base de Datos'!F28</f>
        <v>EDITORIAL EL GLOBO S.A</v>
      </c>
      <c r="D28" s="325">
        <f>+'Base de Datos'!I28</f>
        <v>849000</v>
      </c>
      <c r="E28" s="326">
        <f>+'Base de Datos'!M28</f>
        <v>41044</v>
      </c>
      <c r="F28" s="326">
        <f>+'Base de Datos'!N28</f>
        <v>41409</v>
      </c>
      <c r="G28" s="326">
        <f>+'Base de Datos'!T28</f>
        <v>41409</v>
      </c>
      <c r="H28" s="325">
        <f>+'Base de Datos'!U28</f>
        <v>849000</v>
      </c>
      <c r="I28" s="327" t="str">
        <f>IF(VLOOKUP(B28,'Base de Datos'!$E$7:$S$303,11,0),"SI","NO")</f>
        <v>NO</v>
      </c>
      <c r="J28" s="328" t="str">
        <f t="shared" si="0"/>
        <v/>
      </c>
      <c r="K28" s="327" t="str">
        <f>IF(VLOOKUP(B28,'Base de Datos'!$E$7:$S$303,11,0),"SI","NO")</f>
        <v>NO</v>
      </c>
      <c r="L28" s="328" t="str">
        <f t="shared" si="1"/>
        <v/>
      </c>
      <c r="M28" s="328">
        <f>VLOOKUP(B28,'Base de Datos'!$E$7:$Z$303,21,0)</f>
        <v>1</v>
      </c>
      <c r="N28" s="390" t="str">
        <f t="shared" ca="1" si="5"/>
        <v/>
      </c>
      <c r="O28" s="328">
        <f ca="1">VLOOKUP(B28,'Base de Datos'!$E$7:$Z$303,22,0)</f>
        <v>1</v>
      </c>
      <c r="P28" s="389">
        <f t="shared" ca="1" si="2"/>
        <v>2234</v>
      </c>
      <c r="Q28" s="402">
        <f t="shared" ca="1" si="6"/>
        <v>18.616666666666667</v>
      </c>
      <c r="R28" s="324" t="str">
        <f ca="1">VLOOKUP(B28,'Base de Datos'!E28:AR324,33,0)</f>
        <v>TERMINO</v>
      </c>
      <c r="S28" s="327" t="str">
        <f t="shared" ca="1" si="3"/>
        <v>NO</v>
      </c>
      <c r="T28" s="324" t="str">
        <f t="shared" ca="1" si="4"/>
        <v>Liquidar</v>
      </c>
      <c r="U28" s="324">
        <f>VLOOKUP(B28,'Base de Datos'!$E$7:$AR$401,38,0)</f>
        <v>41652</v>
      </c>
    </row>
    <row r="29" spans="1:25" ht="23.25" customHeight="1" thickTop="1" thickBot="1" x14ac:dyDescent="0.3">
      <c r="A29" s="108">
        <v>23</v>
      </c>
      <c r="B29" s="324" t="str">
        <f>+'Base de Datos'!E29</f>
        <v>050000-222-0-2012</v>
      </c>
      <c r="C29" s="324" t="str">
        <f>+'Base de Datos'!F29</f>
        <v>PRODYGRAF LTDA.</v>
      </c>
      <c r="D29" s="325">
        <f>+'Base de Datos'!I29</f>
        <v>7192000</v>
      </c>
      <c r="E29" s="326">
        <f>+'Base de Datos'!M29</f>
        <v>41089</v>
      </c>
      <c r="F29" s="326">
        <f>+'Base de Datos'!N29</f>
        <v>41333</v>
      </c>
      <c r="G29" s="326">
        <f>+'Base de Datos'!T29</f>
        <v>41333</v>
      </c>
      <c r="H29" s="325">
        <f>+'Base de Datos'!U29</f>
        <v>7192000</v>
      </c>
      <c r="I29" s="327" t="str">
        <f>IF(VLOOKUP(B29,'Base de Datos'!$E$7:$S$303,11,0),"SI","NO")</f>
        <v>NO</v>
      </c>
      <c r="J29" s="328" t="str">
        <f t="shared" si="0"/>
        <v/>
      </c>
      <c r="K29" s="327" t="str">
        <f>IF(VLOOKUP(B29,'Base de Datos'!$E$7:$S$303,11,0),"SI","NO")</f>
        <v>NO</v>
      </c>
      <c r="L29" s="328" t="str">
        <f t="shared" si="1"/>
        <v/>
      </c>
      <c r="M29" s="328">
        <f>VLOOKUP(B29,'Base de Datos'!$E$7:$Z$303,21,0)</f>
        <v>1</v>
      </c>
      <c r="N29" s="390" t="str">
        <f t="shared" ca="1" si="5"/>
        <v/>
      </c>
      <c r="O29" s="328">
        <f ca="1">VLOOKUP(B29,'Base de Datos'!$E$7:$Z$303,22,0)</f>
        <v>1</v>
      </c>
      <c r="P29" s="389">
        <f t="shared" ca="1" si="2"/>
        <v>2310</v>
      </c>
      <c r="Q29" s="402">
        <f t="shared" ca="1" si="6"/>
        <v>19.25</v>
      </c>
      <c r="R29" s="324" t="str">
        <f ca="1">VLOOKUP(B29,'Base de Datos'!E29:AR325,33,0)</f>
        <v>TERMINO</v>
      </c>
      <c r="S29" s="327" t="str">
        <f t="shared" ca="1" si="3"/>
        <v>NO</v>
      </c>
      <c r="T29" s="324" t="str">
        <f t="shared" ca="1" si="4"/>
        <v>Liquidar</v>
      </c>
      <c r="U29" s="324">
        <f>VLOOKUP(B29,'Base de Datos'!$E$7:$AR$401,38,0)</f>
        <v>42074</v>
      </c>
    </row>
    <row r="30" spans="1:25" ht="23.25" customHeight="1" thickTop="1" thickBot="1" x14ac:dyDescent="0.3">
      <c r="A30" s="108">
        <v>24</v>
      </c>
      <c r="B30" s="324" t="str">
        <f>+'Base de Datos'!E30</f>
        <v>050000-290-0-2012</v>
      </c>
      <c r="C30" s="324" t="str">
        <f>+'Base de Datos'!F30</f>
        <v>INGENIERÍA DE BOMBAS Y PLANTAS LIMITADA</v>
      </c>
      <c r="D30" s="325">
        <f>+'Base de Datos'!I30</f>
        <v>4839200</v>
      </c>
      <c r="E30" s="326">
        <f>+'Base de Datos'!M30</f>
        <v>41144</v>
      </c>
      <c r="F30" s="326">
        <f>+'Base de Datos'!N30</f>
        <v>41328</v>
      </c>
      <c r="G30" s="326">
        <f>+'Base de Datos'!T30</f>
        <v>41328</v>
      </c>
      <c r="H30" s="325">
        <f>+'Base de Datos'!U30</f>
        <v>4839200</v>
      </c>
      <c r="I30" s="327" t="str">
        <f>IF(VLOOKUP(B30,'Base de Datos'!$E$7:$S$303,11,0),"SI","NO")</f>
        <v>NO</v>
      </c>
      <c r="J30" s="328" t="str">
        <f t="shared" si="0"/>
        <v/>
      </c>
      <c r="K30" s="327" t="str">
        <f>IF(VLOOKUP(B30,'Base de Datos'!$E$7:$S$303,11,0),"SI","NO")</f>
        <v>NO</v>
      </c>
      <c r="L30" s="328" t="str">
        <f t="shared" si="1"/>
        <v/>
      </c>
      <c r="M30" s="328">
        <f>VLOOKUP(B30,'Base de Datos'!$E$7:$Z$303,21,0)</f>
        <v>1</v>
      </c>
      <c r="N30" s="390" t="str">
        <f t="shared" ca="1" si="5"/>
        <v/>
      </c>
      <c r="O30" s="328">
        <f ca="1">VLOOKUP(B30,'Base de Datos'!$E$7:$Z$303,22,0)</f>
        <v>1</v>
      </c>
      <c r="P30" s="389">
        <f t="shared" ca="1" si="2"/>
        <v>2315</v>
      </c>
      <c r="Q30" s="402">
        <f t="shared" ca="1" si="6"/>
        <v>19.291666666666668</v>
      </c>
      <c r="R30" s="324" t="str">
        <f ca="1">VLOOKUP(B30,'Base de Datos'!E30:AR326,33,0)</f>
        <v>TERMINO</v>
      </c>
      <c r="S30" s="327" t="str">
        <f t="shared" ca="1" si="3"/>
        <v>NO</v>
      </c>
      <c r="T30" s="324" t="str">
        <f t="shared" ca="1" si="4"/>
        <v>Liquidar</v>
      </c>
      <c r="U30" s="324">
        <f>VLOOKUP(B30,'Base de Datos'!$E$7:$AR$401,38,0)</f>
        <v>0</v>
      </c>
    </row>
    <row r="31" spans="1:25" ht="23.25" customHeight="1" thickTop="1" thickBot="1" x14ac:dyDescent="0.3">
      <c r="A31" s="108">
        <v>25</v>
      </c>
      <c r="B31" s="324" t="str">
        <f>+'Base de Datos'!E31</f>
        <v>050000-324-0-2012</v>
      </c>
      <c r="C31" s="324" t="str">
        <f>+'Base de Datos'!F31</f>
        <v>JAKO IMPORTACIONES S.A.S</v>
      </c>
      <c r="D31" s="325">
        <f>+'Base de Datos'!I31</f>
        <v>13527752</v>
      </c>
      <c r="E31" s="326">
        <f>+'Base de Datos'!M31</f>
        <v>41137</v>
      </c>
      <c r="F31" s="326">
        <f>+'Base de Datos'!N31</f>
        <v>41349</v>
      </c>
      <c r="G31" s="326">
        <f>+'Base de Datos'!T31</f>
        <v>41349</v>
      </c>
      <c r="H31" s="325">
        <f>+'Base de Datos'!U31</f>
        <v>13527752</v>
      </c>
      <c r="I31" s="327" t="str">
        <f>IF(VLOOKUP(B31,'Base de Datos'!$E$7:$S$303,11,0),"SI","NO")</f>
        <v>NO</v>
      </c>
      <c r="J31" s="328" t="str">
        <f t="shared" si="0"/>
        <v/>
      </c>
      <c r="K31" s="327" t="str">
        <f>IF(VLOOKUP(B31,'Base de Datos'!$E$7:$S$303,11,0),"SI","NO")</f>
        <v>NO</v>
      </c>
      <c r="L31" s="328" t="str">
        <f t="shared" si="1"/>
        <v/>
      </c>
      <c r="M31" s="328">
        <f>VLOOKUP(B31,'Base de Datos'!$E$7:$Z$303,21,0)</f>
        <v>0</v>
      </c>
      <c r="N31" s="390" t="str">
        <f t="shared" ca="1" si="5"/>
        <v/>
      </c>
      <c r="O31" s="328">
        <f ca="1">VLOOKUP(B31,'Base de Datos'!$E$7:$Z$303,22,0)</f>
        <v>1</v>
      </c>
      <c r="P31" s="389">
        <f t="shared" ca="1" si="2"/>
        <v>2294</v>
      </c>
      <c r="Q31" s="402">
        <f t="shared" ca="1" si="6"/>
        <v>19.116666666666667</v>
      </c>
      <c r="R31" s="324" t="str">
        <f ca="1">VLOOKUP(B31,'Base de Datos'!E31:AR327,33,0)</f>
        <v>TERMINO</v>
      </c>
      <c r="S31" s="327" t="str">
        <f t="shared" ca="1" si="3"/>
        <v>NO</v>
      </c>
      <c r="T31" s="324" t="str">
        <f t="shared" ca="1" si="4"/>
        <v>Liquidar</v>
      </c>
      <c r="U31" s="324">
        <f>VLOOKUP(B31,'Base de Datos'!$E$7:$AR$401,38,0)</f>
        <v>41444</v>
      </c>
    </row>
    <row r="32" spans="1:25" ht="23.25" customHeight="1" thickTop="1" thickBot="1" x14ac:dyDescent="0.3">
      <c r="A32" s="108">
        <v>26</v>
      </c>
      <c r="B32" s="324" t="str">
        <f>+'Base de Datos'!E32</f>
        <v>050000-333-0-2012</v>
      </c>
      <c r="C32" s="324" t="str">
        <f>+'Base de Datos'!F32</f>
        <v>POSITIVA COMPAÑÍA DE SEGUROS S A</v>
      </c>
      <c r="D32" s="325">
        <f>+'Base de Datos'!I32</f>
        <v>85219000</v>
      </c>
      <c r="E32" s="326">
        <f>+'Base de Datos'!M32</f>
        <v>41122</v>
      </c>
      <c r="F32" s="326">
        <f>+'Base de Datos'!N32</f>
        <v>41531</v>
      </c>
      <c r="G32" s="326">
        <f>+'Base de Datos'!T32</f>
        <v>41531</v>
      </c>
      <c r="H32" s="325">
        <f>+'Base de Datos'!U32</f>
        <v>100321355</v>
      </c>
      <c r="I32" s="327" t="str">
        <f>IF(VLOOKUP(B32,'Base de Datos'!$E$7:$S$303,11,0),"SI","NO")</f>
        <v>SI</v>
      </c>
      <c r="J32" s="328">
        <f t="shared" si="0"/>
        <v>0</v>
      </c>
      <c r="K32" s="327" t="str">
        <f>IF(VLOOKUP(B32,'Base de Datos'!$E$7:$S$303,11,0),"SI","NO")</f>
        <v>SI</v>
      </c>
      <c r="L32" s="328">
        <f t="shared" si="1"/>
        <v>0.17721816731010689</v>
      </c>
      <c r="M32" s="328">
        <f>VLOOKUP(B32,'Base de Datos'!$E$7:$Z$303,21,0)</f>
        <v>0.95016016280880577</v>
      </c>
      <c r="N32" s="390" t="str">
        <f t="shared" ca="1" si="5"/>
        <v/>
      </c>
      <c r="O32" s="328">
        <f ca="1">VLOOKUP(B32,'Base de Datos'!$E$7:$Z$303,22,0)</f>
        <v>1</v>
      </c>
      <c r="P32" s="389">
        <f t="shared" ca="1" si="2"/>
        <v>2112</v>
      </c>
      <c r="Q32" s="402">
        <f t="shared" ca="1" si="6"/>
        <v>17.600000000000001</v>
      </c>
      <c r="R32" s="324" t="str">
        <f ca="1">VLOOKUP(B32,'Base de Datos'!E32:AR328,33,0)</f>
        <v>TERMINO</v>
      </c>
      <c r="S32" s="327" t="str">
        <f t="shared" ca="1" si="3"/>
        <v>NO</v>
      </c>
      <c r="T32" s="324" t="str">
        <f t="shared" ca="1" si="4"/>
        <v>Liquidar</v>
      </c>
      <c r="U32" s="324">
        <f>VLOOKUP(B32,'Base de Datos'!$E$7:$AR$401,38,0)</f>
        <v>42004</v>
      </c>
    </row>
    <row r="33" spans="1:21" ht="23.25" customHeight="1" thickTop="1" thickBot="1" x14ac:dyDescent="0.3">
      <c r="A33" s="108">
        <v>27</v>
      </c>
      <c r="B33" s="324" t="str">
        <f>+'Base de Datos'!E33</f>
        <v>050000-340-0-2012</v>
      </c>
      <c r="C33" s="324" t="str">
        <f>+'Base de Datos'!F33</f>
        <v>UNIÓN TEMPORAL SEGUROS GENERALES SURAMERICANA S.A. PREVISORA S.A. COMPAÑÍA DE SEGUROS Y QBE SEGUROS S.A.</v>
      </c>
      <c r="D33" s="325">
        <f>+'Base de Datos'!I33</f>
        <v>81888094</v>
      </c>
      <c r="E33" s="326">
        <f>+'Base de Datos'!M33</f>
        <v>41122</v>
      </c>
      <c r="F33" s="326">
        <f>+'Base de Datos'!N33</f>
        <v>41516</v>
      </c>
      <c r="G33" s="326">
        <f>+'Base de Datos'!T33</f>
        <v>41623</v>
      </c>
      <c r="H33" s="325">
        <f>+'Base de Datos'!U33</f>
        <v>99122327</v>
      </c>
      <c r="I33" s="327" t="str">
        <f>IF(VLOOKUP(B33,'Base de Datos'!$E$7:$S$303,11,0),"SI","NO")</f>
        <v>SI</v>
      </c>
      <c r="J33" s="328">
        <f t="shared" si="0"/>
        <v>0.27157360406091369</v>
      </c>
      <c r="K33" s="327" t="str">
        <f>IF(VLOOKUP(B33,'Base de Datos'!$E$7:$S$303,11,0),"SI","NO")</f>
        <v>SI</v>
      </c>
      <c r="L33" s="328">
        <f t="shared" si="1"/>
        <v>0.21046079055155442</v>
      </c>
      <c r="M33" s="328">
        <f>VLOOKUP(B33,'Base de Datos'!$E$7:$Z$303,21,0)</f>
        <v>0.94671447735483449</v>
      </c>
      <c r="N33" s="390" t="str">
        <f t="shared" ca="1" si="5"/>
        <v/>
      </c>
      <c r="O33" s="328">
        <f ca="1">VLOOKUP(B33,'Base de Datos'!$E$7:$Z$303,22,0)</f>
        <v>1</v>
      </c>
      <c r="P33" s="389">
        <f t="shared" ca="1" si="2"/>
        <v>2020</v>
      </c>
      <c r="Q33" s="402">
        <f t="shared" ca="1" si="6"/>
        <v>16.833333333333332</v>
      </c>
      <c r="R33" s="324" t="str">
        <f ca="1">VLOOKUP(B33,'Base de Datos'!E33:AR329,33,0)</f>
        <v>TERMINO</v>
      </c>
      <c r="S33" s="327" t="str">
        <f t="shared" ca="1" si="3"/>
        <v>NO</v>
      </c>
      <c r="T33" s="324" t="str">
        <f t="shared" ca="1" si="4"/>
        <v>Liquidar</v>
      </c>
      <c r="U33" s="324">
        <f>VLOOKUP(B33,'Base de Datos'!$E$7:$AR$401,38,0)</f>
        <v>0</v>
      </c>
    </row>
    <row r="34" spans="1:21" ht="23.25" customHeight="1" thickTop="1" thickBot="1" x14ac:dyDescent="0.3">
      <c r="A34" s="108">
        <v>28</v>
      </c>
      <c r="B34" s="324" t="str">
        <f>+'Base de Datos'!E34</f>
        <v>050000-342-0-2012</v>
      </c>
      <c r="C34" s="324" t="str">
        <f>+'Base de Datos'!F34</f>
        <v>COMUNICAN S.A</v>
      </c>
      <c r="D34" s="325">
        <f>+'Base de Datos'!I34</f>
        <v>900000</v>
      </c>
      <c r="E34" s="326">
        <f>+'Base de Datos'!M34</f>
        <v>41162</v>
      </c>
      <c r="F34" s="326">
        <f>+'Base de Datos'!N34</f>
        <v>41527</v>
      </c>
      <c r="G34" s="326">
        <f>+'Base de Datos'!T34</f>
        <v>41527</v>
      </c>
      <c r="H34" s="325">
        <f>+'Base de Datos'!U34</f>
        <v>900000</v>
      </c>
      <c r="I34" s="327" t="str">
        <f>IF(VLOOKUP(B34,'Base de Datos'!$E$7:$S$303,11,0),"SI","NO")</f>
        <v>NO</v>
      </c>
      <c r="J34" s="328" t="str">
        <f t="shared" si="0"/>
        <v/>
      </c>
      <c r="K34" s="327" t="str">
        <f>IF(VLOOKUP(B34,'Base de Datos'!$E$7:$S$303,11,0),"SI","NO")</f>
        <v>NO</v>
      </c>
      <c r="L34" s="328" t="str">
        <f t="shared" si="1"/>
        <v/>
      </c>
      <c r="M34" s="328">
        <f>VLOOKUP(B34,'Base de Datos'!$E$7:$Z$303,21,0)</f>
        <v>1</v>
      </c>
      <c r="N34" s="390" t="str">
        <f t="shared" ca="1" si="5"/>
        <v/>
      </c>
      <c r="O34" s="328">
        <f ca="1">VLOOKUP(B34,'Base de Datos'!$E$7:$Z$303,22,0)</f>
        <v>1</v>
      </c>
      <c r="P34" s="389">
        <f t="shared" ca="1" si="2"/>
        <v>2116</v>
      </c>
      <c r="Q34" s="402">
        <f t="shared" ca="1" si="6"/>
        <v>17.633333333333333</v>
      </c>
      <c r="R34" s="324" t="str">
        <f ca="1">VLOOKUP(B34,'Base de Datos'!E34:AR330,33,0)</f>
        <v>TERMINO</v>
      </c>
      <c r="S34" s="327" t="str">
        <f t="shared" ca="1" si="3"/>
        <v>NO</v>
      </c>
      <c r="T34" s="324" t="str">
        <f t="shared" ca="1" si="4"/>
        <v>Liquidar</v>
      </c>
      <c r="U34" s="324">
        <f>VLOOKUP(B34,'Base de Datos'!$E$7:$AR$401,38,0)</f>
        <v>0</v>
      </c>
    </row>
    <row r="35" spans="1:21" ht="23.25" customHeight="1" thickTop="1" thickBot="1" x14ac:dyDescent="0.3">
      <c r="A35" s="108">
        <v>29</v>
      </c>
      <c r="B35" s="324" t="str">
        <f>+'Base de Datos'!E35</f>
        <v>050000-346-0-2012</v>
      </c>
      <c r="C35" s="324" t="str">
        <f>+'Base de Datos'!F35</f>
        <v>EDITORIAL LA UNIDAD</v>
      </c>
      <c r="D35" s="325">
        <f>+'Base de Datos'!I35</f>
        <v>840000</v>
      </c>
      <c r="E35" s="326">
        <f>+'Base de Datos'!M35</f>
        <v>41165</v>
      </c>
      <c r="F35" s="326">
        <f>+'Base de Datos'!N35</f>
        <v>41530</v>
      </c>
      <c r="G35" s="326">
        <f>+'Base de Datos'!T35</f>
        <v>41530</v>
      </c>
      <c r="H35" s="325">
        <f>+'Base de Datos'!U35</f>
        <v>840000</v>
      </c>
      <c r="I35" s="327" t="str">
        <f>IF(VLOOKUP(B35,'Base de Datos'!$E$7:$S$303,11,0),"SI","NO")</f>
        <v>NO</v>
      </c>
      <c r="J35" s="328" t="str">
        <f t="shared" si="0"/>
        <v/>
      </c>
      <c r="K35" s="327" t="str">
        <f>IF(VLOOKUP(B35,'Base de Datos'!$E$7:$S$303,11,0),"SI","NO")</f>
        <v>NO</v>
      </c>
      <c r="L35" s="328" t="str">
        <f t="shared" si="1"/>
        <v/>
      </c>
      <c r="M35" s="328">
        <f>VLOOKUP(B35,'Base de Datos'!$E$7:$Z$303,21,0)</f>
        <v>1</v>
      </c>
      <c r="N35" s="390" t="str">
        <f t="shared" ca="1" si="5"/>
        <v/>
      </c>
      <c r="O35" s="328">
        <f ca="1">VLOOKUP(B35,'Base de Datos'!$E$7:$Z$303,22,0)</f>
        <v>1</v>
      </c>
      <c r="P35" s="389">
        <f t="shared" ca="1" si="2"/>
        <v>2113</v>
      </c>
      <c r="Q35" s="402">
        <f t="shared" ca="1" si="6"/>
        <v>17.608333333333334</v>
      </c>
      <c r="R35" s="324" t="str">
        <f ca="1">VLOOKUP(B35,'Base de Datos'!E35:AR331,33,0)</f>
        <v>TERMINO</v>
      </c>
      <c r="S35" s="327" t="str">
        <f t="shared" ca="1" si="3"/>
        <v>NO</v>
      </c>
      <c r="T35" s="324" t="str">
        <f t="shared" ca="1" si="4"/>
        <v>Liquidar</v>
      </c>
      <c r="U35" s="324">
        <f>VLOOKUP(B35,'Base de Datos'!$E$7:$AR$401,38,0)</f>
        <v>41659</v>
      </c>
    </row>
    <row r="36" spans="1:21" ht="23.25" customHeight="1" thickTop="1" thickBot="1" x14ac:dyDescent="0.3">
      <c r="A36" s="108">
        <v>30</v>
      </c>
      <c r="B36" s="324" t="str">
        <f>+'Base de Datos'!E36</f>
        <v>050000-348-0-2012</v>
      </c>
      <c r="C36" s="324" t="str">
        <f>+'Base de Datos'!F36</f>
        <v>PUBLICACIONES SEMANA S.A.</v>
      </c>
      <c r="D36" s="325">
        <f>+'Base de Datos'!I36</f>
        <v>795000</v>
      </c>
      <c r="E36" s="326">
        <f>+'Base de Datos'!M36</f>
        <v>41180</v>
      </c>
      <c r="F36" s="326">
        <f>+'Base de Datos'!N36</f>
        <v>41545</v>
      </c>
      <c r="G36" s="326">
        <f>+'Base de Datos'!T36</f>
        <v>41545</v>
      </c>
      <c r="H36" s="325">
        <f>+'Base de Datos'!U36</f>
        <v>795000</v>
      </c>
      <c r="I36" s="327" t="str">
        <f>IF(VLOOKUP(B36,'Base de Datos'!$E$7:$S$303,11,0),"SI","NO")</f>
        <v>NO</v>
      </c>
      <c r="J36" s="328" t="str">
        <f t="shared" si="0"/>
        <v/>
      </c>
      <c r="K36" s="327" t="str">
        <f>IF(VLOOKUP(B36,'Base de Datos'!$E$7:$S$303,11,0),"SI","NO")</f>
        <v>NO</v>
      </c>
      <c r="L36" s="328" t="str">
        <f t="shared" si="1"/>
        <v/>
      </c>
      <c r="M36" s="328">
        <f>VLOOKUP(B36,'Base de Datos'!$E$7:$Z$303,21,0)</f>
        <v>1</v>
      </c>
      <c r="N36" s="390" t="str">
        <f t="shared" ca="1" si="5"/>
        <v/>
      </c>
      <c r="O36" s="328">
        <f ca="1">VLOOKUP(B36,'Base de Datos'!$E$7:$Z$303,22,0)</f>
        <v>1</v>
      </c>
      <c r="P36" s="389">
        <f t="shared" ca="1" si="2"/>
        <v>2098</v>
      </c>
      <c r="Q36" s="402">
        <f t="shared" ca="1" si="6"/>
        <v>17.483333333333334</v>
      </c>
      <c r="R36" s="324" t="str">
        <f ca="1">VLOOKUP(B36,'Base de Datos'!E36:AR332,33,0)</f>
        <v>TERMINO</v>
      </c>
      <c r="S36" s="327" t="str">
        <f t="shared" ca="1" si="3"/>
        <v>NO</v>
      </c>
      <c r="T36" s="324" t="str">
        <f t="shared" ca="1" si="4"/>
        <v>Liquidar</v>
      </c>
      <c r="U36" s="324">
        <f>VLOOKUP(B36,'Base de Datos'!$E$7:$AR$401,38,0)</f>
        <v>42208</v>
      </c>
    </row>
    <row r="37" spans="1:21" ht="23.25" customHeight="1" thickTop="1" thickBot="1" x14ac:dyDescent="0.3">
      <c r="A37" s="108">
        <v>31</v>
      </c>
      <c r="B37" s="324" t="str">
        <f>+'Base de Datos'!E37</f>
        <v>050000-349-0-2012</v>
      </c>
      <c r="C37" s="324" t="str">
        <f>+'Base de Datos'!F37</f>
        <v>INTEGRA SECURITY SYSTEMS S A</v>
      </c>
      <c r="D37" s="325">
        <f>+'Base de Datos'!I37</f>
        <v>1818000</v>
      </c>
      <c r="E37" s="326">
        <f>+'Base de Datos'!M37</f>
        <v>41165</v>
      </c>
      <c r="F37" s="326">
        <f>+'Base de Datos'!N37</f>
        <v>41346</v>
      </c>
      <c r="G37" s="326">
        <f>+'Base de Datos'!T37</f>
        <v>41346</v>
      </c>
      <c r="H37" s="325">
        <f>+'Base de Datos'!U37</f>
        <v>1818000</v>
      </c>
      <c r="I37" s="327" t="str">
        <f>IF(VLOOKUP(B37,'Base de Datos'!$E$7:$S$303,11,0),"SI","NO")</f>
        <v>NO</v>
      </c>
      <c r="J37" s="328" t="str">
        <f t="shared" si="0"/>
        <v/>
      </c>
      <c r="K37" s="327" t="str">
        <f>IF(VLOOKUP(B37,'Base de Datos'!$E$7:$S$303,11,0),"SI","NO")</f>
        <v>NO</v>
      </c>
      <c r="L37" s="328" t="str">
        <f t="shared" si="1"/>
        <v/>
      </c>
      <c r="M37" s="328">
        <f>VLOOKUP(B37,'Base de Datos'!$E$7:$Z$303,21,0)</f>
        <v>0</v>
      </c>
      <c r="N37" s="390" t="str">
        <f t="shared" ca="1" si="5"/>
        <v/>
      </c>
      <c r="O37" s="328">
        <f ca="1">VLOOKUP(B37,'Base de Datos'!$E$7:$Z$303,22,0)</f>
        <v>1</v>
      </c>
      <c r="P37" s="389">
        <f t="shared" ca="1" si="2"/>
        <v>2297</v>
      </c>
      <c r="Q37" s="402">
        <f t="shared" ca="1" si="6"/>
        <v>19.141666666666666</v>
      </c>
      <c r="R37" s="324" t="str">
        <f ca="1">VLOOKUP(B37,'Base de Datos'!E37:AR333,33,0)</f>
        <v>TERMINO</v>
      </c>
      <c r="S37" s="327" t="str">
        <f t="shared" ca="1" si="3"/>
        <v>NO</v>
      </c>
      <c r="T37" s="324" t="str">
        <f t="shared" ca="1" si="4"/>
        <v>Liquidar</v>
      </c>
      <c r="U37" s="324">
        <f>VLOOKUP(B37,'Base de Datos'!$E$7:$AR$401,38,0)</f>
        <v>0</v>
      </c>
    </row>
    <row r="38" spans="1:21" ht="23.25" customHeight="1" thickTop="1" thickBot="1" x14ac:dyDescent="0.3">
      <c r="A38" s="108">
        <v>32</v>
      </c>
      <c r="B38" s="324" t="str">
        <f>+'Base de Datos'!E38</f>
        <v>050000-353-0-2012</v>
      </c>
      <c r="C38" s="324" t="str">
        <f>+'Base de Datos'!F38</f>
        <v>YAMILE MARIVEL MOLANO GUZMÁN</v>
      </c>
      <c r="D38" s="325">
        <f>+'Base de Datos'!I38</f>
        <v>30000000</v>
      </c>
      <c r="E38" s="326">
        <f>+'Base de Datos'!M38</f>
        <v>41151</v>
      </c>
      <c r="F38" s="326">
        <f>+'Base de Datos'!N38</f>
        <v>41333</v>
      </c>
      <c r="G38" s="326">
        <f>+'Base de Datos'!T38</f>
        <v>41333</v>
      </c>
      <c r="H38" s="325">
        <f>+'Base de Datos'!U38</f>
        <v>30000000</v>
      </c>
      <c r="I38" s="327" t="str">
        <f>IF(VLOOKUP(B38,'Base de Datos'!$E$7:$S$303,11,0),"SI","NO")</f>
        <v>NO</v>
      </c>
      <c r="J38" s="328" t="str">
        <f t="shared" si="0"/>
        <v/>
      </c>
      <c r="K38" s="327" t="str">
        <f>IF(VLOOKUP(B38,'Base de Datos'!$E$7:$S$303,11,0),"SI","NO")</f>
        <v>NO</v>
      </c>
      <c r="L38" s="328" t="str">
        <f t="shared" si="1"/>
        <v/>
      </c>
      <c r="M38" s="328">
        <f>VLOOKUP(B38,'Base de Datos'!$E$7:$Z$303,21,0)</f>
        <v>1</v>
      </c>
      <c r="N38" s="390" t="str">
        <f t="shared" ca="1" si="5"/>
        <v/>
      </c>
      <c r="O38" s="328">
        <f ca="1">VLOOKUP(B38,'Base de Datos'!$E$7:$Z$303,22,0)</f>
        <v>1</v>
      </c>
      <c r="P38" s="389">
        <f t="shared" ca="1" si="2"/>
        <v>2310</v>
      </c>
      <c r="Q38" s="402">
        <f t="shared" ca="1" si="6"/>
        <v>19.25</v>
      </c>
      <c r="R38" s="324" t="str">
        <f ca="1">VLOOKUP(B38,'Base de Datos'!E38:AR334,33,0)</f>
        <v>TERMINO</v>
      </c>
      <c r="S38" s="327" t="str">
        <f t="shared" ca="1" si="3"/>
        <v>NO</v>
      </c>
      <c r="T38" s="324" t="str">
        <f t="shared" ca="1" si="4"/>
        <v>Liquidar</v>
      </c>
      <c r="U38" s="324">
        <f>VLOOKUP(B38,'Base de Datos'!$E$7:$AR$401,38,0)</f>
        <v>41845</v>
      </c>
    </row>
    <row r="39" spans="1:21" ht="23.25" customHeight="1" thickTop="1" thickBot="1" x14ac:dyDescent="0.3">
      <c r="A39" s="108">
        <v>33</v>
      </c>
      <c r="B39" s="324" t="str">
        <f>+'Base de Datos'!E39</f>
        <v>050000-356-0-2012</v>
      </c>
      <c r="C39" s="324" t="str">
        <f>+'Base de Datos'!F39</f>
        <v>AMANDA LILIANA RICO DÍAZ</v>
      </c>
      <c r="D39" s="325">
        <f>+'Base de Datos'!I39</f>
        <v>35000000</v>
      </c>
      <c r="E39" s="326">
        <f>+'Base de Datos'!M39</f>
        <v>41155</v>
      </c>
      <c r="F39" s="326">
        <f>+'Base de Datos'!N39</f>
        <v>41367</v>
      </c>
      <c r="G39" s="326">
        <f>+'Base de Datos'!T39</f>
        <v>41367</v>
      </c>
      <c r="H39" s="325">
        <f>+'Base de Datos'!U39</f>
        <v>35000000</v>
      </c>
      <c r="I39" s="327" t="str">
        <f>IF(VLOOKUP(B39,'Base de Datos'!$E$7:$S$303,11,0),"SI","NO")</f>
        <v>NO</v>
      </c>
      <c r="J39" s="328" t="str">
        <f t="shared" si="0"/>
        <v/>
      </c>
      <c r="K39" s="327" t="str">
        <f>IF(VLOOKUP(B39,'Base de Datos'!$E$7:$S$303,11,0),"SI","NO")</f>
        <v>NO</v>
      </c>
      <c r="L39" s="328" t="str">
        <f t="shared" si="1"/>
        <v/>
      </c>
      <c r="M39" s="328">
        <f>VLOOKUP(B39,'Base de Datos'!$E$7:$Z$303,21,0)</f>
        <v>0.99047620000000003</v>
      </c>
      <c r="N39" s="390" t="str">
        <f t="shared" ca="1" si="5"/>
        <v/>
      </c>
      <c r="O39" s="328">
        <f ca="1">VLOOKUP(B39,'Base de Datos'!$E$7:$Z$303,22,0)</f>
        <v>1</v>
      </c>
      <c r="P39" s="389">
        <f t="shared" ca="1" si="2"/>
        <v>2276</v>
      </c>
      <c r="Q39" s="402">
        <f t="shared" ca="1" si="6"/>
        <v>18.966666666666665</v>
      </c>
      <c r="R39" s="324" t="str">
        <f ca="1">VLOOKUP(B39,'Base de Datos'!E39:AR335,33,0)</f>
        <v>TERMINO</v>
      </c>
      <c r="S39" s="327" t="str">
        <f t="shared" ca="1" si="3"/>
        <v>NO</v>
      </c>
      <c r="T39" s="324" t="str">
        <f t="shared" ca="1" si="4"/>
        <v>Liquidar</v>
      </c>
      <c r="U39" s="324">
        <f>VLOOKUP(B39,'Base de Datos'!$E$7:$AR$401,38,0)</f>
        <v>42150</v>
      </c>
    </row>
    <row r="40" spans="1:21" ht="23.25" customHeight="1" thickTop="1" thickBot="1" x14ac:dyDescent="0.3">
      <c r="A40" s="108">
        <v>34</v>
      </c>
      <c r="B40" s="324" t="str">
        <f>+'Base de Datos'!E40</f>
        <v>050000-358-0-2012</v>
      </c>
      <c r="C40" s="324" t="str">
        <f>+'Base de Datos'!F40</f>
        <v>CALIDAD COMPORTAMIENTO EMPRESARIAL LTDA</v>
      </c>
      <c r="D40" s="325">
        <f>+'Base de Datos'!I40</f>
        <v>8334226</v>
      </c>
      <c r="E40" s="326">
        <f>+'Base de Datos'!M40</f>
        <v>41170</v>
      </c>
      <c r="F40" s="326">
        <f>+'Base de Datos'!N40</f>
        <v>41626</v>
      </c>
      <c r="G40" s="326">
        <f>+'Base de Datos'!T40</f>
        <v>41626</v>
      </c>
      <c r="H40" s="325">
        <f>+'Base de Datos'!U40</f>
        <v>8334226</v>
      </c>
      <c r="I40" s="327" t="str">
        <f>IF(VLOOKUP(B40,'Base de Datos'!$E$7:$S$303,11,0),"SI","NO")</f>
        <v>NO</v>
      </c>
      <c r="J40" s="328" t="str">
        <f t="shared" si="0"/>
        <v/>
      </c>
      <c r="K40" s="327" t="str">
        <f>IF(VLOOKUP(B40,'Base de Datos'!$E$7:$S$303,11,0),"SI","NO")</f>
        <v>NO</v>
      </c>
      <c r="L40" s="328" t="str">
        <f t="shared" si="1"/>
        <v/>
      </c>
      <c r="M40" s="328">
        <f>VLOOKUP(B40,'Base de Datos'!$E$7:$Z$303,21,0)</f>
        <v>1</v>
      </c>
      <c r="N40" s="390" t="str">
        <f t="shared" ca="1" si="5"/>
        <v/>
      </c>
      <c r="O40" s="328">
        <f ca="1">VLOOKUP(B40,'Base de Datos'!$E$7:$Z$303,22,0)</f>
        <v>1</v>
      </c>
      <c r="P40" s="389">
        <f t="shared" ca="1" si="2"/>
        <v>2017</v>
      </c>
      <c r="Q40" s="402">
        <f t="shared" ca="1" si="6"/>
        <v>16.808333333333334</v>
      </c>
      <c r="R40" s="324" t="str">
        <f ca="1">VLOOKUP(B40,'Base de Datos'!E40:AR336,33,0)</f>
        <v>TERMINO</v>
      </c>
      <c r="S40" s="327" t="str">
        <f t="shared" ca="1" si="3"/>
        <v>NO</v>
      </c>
      <c r="T40" s="324" t="str">
        <f t="shared" ca="1" si="4"/>
        <v>Liquidar</v>
      </c>
      <c r="U40" s="324">
        <f>VLOOKUP(B40,'Base de Datos'!$E$7:$AR$401,38,0)</f>
        <v>0</v>
      </c>
    </row>
    <row r="41" spans="1:21" ht="23.25" customHeight="1" thickTop="1" thickBot="1" x14ac:dyDescent="0.3">
      <c r="A41" s="108">
        <v>35</v>
      </c>
      <c r="B41" s="324" t="str">
        <f>+'Base de Datos'!E41</f>
        <v>120000-371-0-2012</v>
      </c>
      <c r="C41" s="324" t="str">
        <f>+'Base de Datos'!F41</f>
        <v>ORGANIZACIÓN TERPEL S.A.</v>
      </c>
      <c r="D41" s="325">
        <f>+'Base de Datos'!I41</f>
        <v>315000000</v>
      </c>
      <c r="E41" s="326">
        <f>+'Base de Datos'!M41</f>
        <v>41163</v>
      </c>
      <c r="F41" s="326">
        <f>+'Base de Datos'!N41</f>
        <v>41375</v>
      </c>
      <c r="G41" s="326">
        <f>+'Base de Datos'!T41</f>
        <v>41452</v>
      </c>
      <c r="H41" s="325">
        <f>+'Base de Datos'!U41</f>
        <v>315000000</v>
      </c>
      <c r="I41" s="327" t="str">
        <f>IF(VLOOKUP(B41,'Base de Datos'!$E$7:$S$303,11,0),"SI","NO")</f>
        <v>NO</v>
      </c>
      <c r="J41" s="328" t="str">
        <f t="shared" si="0"/>
        <v/>
      </c>
      <c r="K41" s="327" t="str">
        <f>IF(VLOOKUP(B41,'Base de Datos'!$E$7:$S$303,11,0),"SI","NO")</f>
        <v>NO</v>
      </c>
      <c r="L41" s="328" t="str">
        <f t="shared" si="1"/>
        <v/>
      </c>
      <c r="M41" s="328">
        <f>VLOOKUP(B41,'Base de Datos'!$E$7:$Z$303,21,0)</f>
        <v>0.99832980000000004</v>
      </c>
      <c r="N41" s="390" t="str">
        <f t="shared" ca="1" si="5"/>
        <v/>
      </c>
      <c r="O41" s="328">
        <f ca="1">VLOOKUP(B41,'Base de Datos'!$E$7:$Z$303,22,0)</f>
        <v>1</v>
      </c>
      <c r="P41" s="389">
        <f t="shared" ca="1" si="2"/>
        <v>2191</v>
      </c>
      <c r="Q41" s="402">
        <f t="shared" ca="1" si="6"/>
        <v>18.258333333333333</v>
      </c>
      <c r="R41" s="324" t="str">
        <f ca="1">VLOOKUP(B41,'Base de Datos'!E41:AR337,33,0)</f>
        <v>TERMINO</v>
      </c>
      <c r="S41" s="327" t="str">
        <f t="shared" ca="1" si="3"/>
        <v>NO</v>
      </c>
      <c r="T41" s="324" t="str">
        <f t="shared" ca="1" si="4"/>
        <v>Liquidar</v>
      </c>
      <c r="U41" s="324">
        <f>VLOOKUP(B41,'Base de Datos'!$E$7:$AR$401,38,0)</f>
        <v>42362</v>
      </c>
    </row>
    <row r="42" spans="1:21" ht="23.25" customHeight="1" thickTop="1" thickBot="1" x14ac:dyDescent="0.3">
      <c r="A42" s="108">
        <v>36</v>
      </c>
      <c r="B42" s="324" t="str">
        <f>+'Base de Datos'!E42</f>
        <v>050000-386-0-2012</v>
      </c>
      <c r="C42" s="324" t="str">
        <f>+'Base de Datos'!F42</f>
        <v>JUAN MANUEL GÓMEZ DUARTE</v>
      </c>
      <c r="D42" s="325">
        <f>+'Base de Datos'!I42</f>
        <v>20565000</v>
      </c>
      <c r="E42" s="326">
        <f>+'Base de Datos'!M42</f>
        <v>41162</v>
      </c>
      <c r="F42" s="326">
        <f>+'Base de Datos'!N42</f>
        <v>41343</v>
      </c>
      <c r="G42" s="326">
        <f>+'Base de Datos'!T42</f>
        <v>41343</v>
      </c>
      <c r="H42" s="325">
        <f>+'Base de Datos'!U42</f>
        <v>20565000</v>
      </c>
      <c r="I42" s="327" t="str">
        <f>IF(VLOOKUP(B42,'Base de Datos'!$E$7:$S$303,11,0),"SI","NO")</f>
        <v>NO</v>
      </c>
      <c r="J42" s="328" t="str">
        <f t="shared" si="0"/>
        <v/>
      </c>
      <c r="K42" s="327" t="str">
        <f>IF(VLOOKUP(B42,'Base de Datos'!$E$7:$S$303,11,0),"SI","NO")</f>
        <v>NO</v>
      </c>
      <c r="L42" s="328" t="str">
        <f t="shared" si="1"/>
        <v/>
      </c>
      <c r="M42" s="328">
        <f>VLOOKUP(B42,'Base de Datos'!$E$7:$Z$303,21,0)</f>
        <v>1</v>
      </c>
      <c r="N42" s="390" t="str">
        <f t="shared" ca="1" si="5"/>
        <v/>
      </c>
      <c r="O42" s="328">
        <f ca="1">VLOOKUP(B42,'Base de Datos'!$E$7:$Z$303,22,0)</f>
        <v>1</v>
      </c>
      <c r="P42" s="389">
        <f t="shared" ca="1" si="2"/>
        <v>2300</v>
      </c>
      <c r="Q42" s="402">
        <f t="shared" ca="1" si="6"/>
        <v>19.166666666666668</v>
      </c>
      <c r="R42" s="324" t="str">
        <f ca="1">VLOOKUP(B42,'Base de Datos'!E42:AR338,33,0)</f>
        <v>TERMINO</v>
      </c>
      <c r="S42" s="327" t="str">
        <f t="shared" ca="1" si="3"/>
        <v>NO</v>
      </c>
      <c r="T42" s="324" t="str">
        <f t="shared" ca="1" si="4"/>
        <v>Liquidar</v>
      </c>
      <c r="U42" s="324">
        <f>VLOOKUP(B42,'Base de Datos'!$E$7:$AR$401,38,0)</f>
        <v>41904</v>
      </c>
    </row>
    <row r="43" spans="1:21" ht="23.25" customHeight="1" thickTop="1" thickBot="1" x14ac:dyDescent="0.3">
      <c r="A43" s="108">
        <v>37</v>
      </c>
      <c r="B43" s="324" t="str">
        <f>+'Base de Datos'!E43</f>
        <v>050000-395-0-2012</v>
      </c>
      <c r="C43" s="324" t="str">
        <f>+'Base de Datos'!F43</f>
        <v>KARINA BELTRÁN MEJÍA</v>
      </c>
      <c r="D43" s="325">
        <f>+'Base de Datos'!I43</f>
        <v>6730000</v>
      </c>
      <c r="E43" s="326">
        <f>+'Base de Datos'!M43</f>
        <v>41193</v>
      </c>
      <c r="F43" s="326">
        <f>+'Base de Datos'!N43</f>
        <v>41254</v>
      </c>
      <c r="G43" s="326">
        <f>+'Base de Datos'!T43</f>
        <v>41263</v>
      </c>
      <c r="H43" s="325">
        <f>+'Base de Datos'!U43</f>
        <v>6730000</v>
      </c>
      <c r="I43" s="327" t="str">
        <f>IF(VLOOKUP(B43,'Base de Datos'!$E$7:$S$303,11,0),"SI","NO")</f>
        <v>NO</v>
      </c>
      <c r="J43" s="328" t="str">
        <f t="shared" si="0"/>
        <v/>
      </c>
      <c r="K43" s="327" t="str">
        <f>IF(VLOOKUP(B43,'Base de Datos'!$E$7:$S$303,11,0),"SI","NO")</f>
        <v>NO</v>
      </c>
      <c r="L43" s="328" t="str">
        <f t="shared" si="1"/>
        <v/>
      </c>
      <c r="M43" s="328">
        <f>VLOOKUP(B43,'Base de Datos'!$E$7:$Z$303,21,0)</f>
        <v>0.95022288261515597</v>
      </c>
      <c r="N43" s="390" t="str">
        <f t="shared" ca="1" si="5"/>
        <v/>
      </c>
      <c r="O43" s="328">
        <f ca="1">VLOOKUP(B43,'Base de Datos'!$E$7:$Z$303,22,0)</f>
        <v>1</v>
      </c>
      <c r="P43" s="389">
        <f t="shared" ca="1" si="2"/>
        <v>2380</v>
      </c>
      <c r="Q43" s="402">
        <f t="shared" ca="1" si="6"/>
        <v>19.833333333333332</v>
      </c>
      <c r="R43" s="324" t="str">
        <f ca="1">VLOOKUP(B43,'Base de Datos'!E43:AR339,33,0)</f>
        <v>TERMINO</v>
      </c>
      <c r="S43" s="327" t="str">
        <f t="shared" ca="1" si="3"/>
        <v>NO</v>
      </c>
      <c r="T43" s="324" t="str">
        <f t="shared" ca="1" si="4"/>
        <v>Liquidar</v>
      </c>
      <c r="U43" s="324">
        <f>VLOOKUP(B43,'Base de Datos'!$E$7:$AR$401,38,0)</f>
        <v>0</v>
      </c>
    </row>
    <row r="44" spans="1:21" ht="23.25" customHeight="1" thickTop="1" thickBot="1" x14ac:dyDescent="0.3">
      <c r="A44" s="108">
        <v>38</v>
      </c>
      <c r="B44" s="324" t="str">
        <f>+'Base de Datos'!E44</f>
        <v>050000-427-0-2012</v>
      </c>
      <c r="C44" s="324" t="str">
        <f>+'Base de Datos'!F44</f>
        <v xml:space="preserve">JORGE ENRIQUE AVILAN </v>
      </c>
      <c r="D44" s="325">
        <f>+'Base de Datos'!I44</f>
        <v>23994880</v>
      </c>
      <c r="E44" s="326">
        <f>+'Base de Datos'!M44</f>
        <v>41205</v>
      </c>
      <c r="F44" s="326">
        <f>+'Base de Datos'!N44</f>
        <v>41387</v>
      </c>
      <c r="G44" s="326">
        <f>+'Base de Datos'!T44</f>
        <v>41387</v>
      </c>
      <c r="H44" s="325">
        <f>+'Base de Datos'!U44</f>
        <v>23994880</v>
      </c>
      <c r="I44" s="327" t="str">
        <f>IF(VLOOKUP(B44,'Base de Datos'!$E$7:$S$303,11,0),"SI","NO")</f>
        <v>NO</v>
      </c>
      <c r="J44" s="328" t="str">
        <f t="shared" si="0"/>
        <v/>
      </c>
      <c r="K44" s="327" t="str">
        <f>IF(VLOOKUP(B44,'Base de Datos'!$E$7:$S$303,11,0),"SI","NO")</f>
        <v>NO</v>
      </c>
      <c r="L44" s="328" t="str">
        <f t="shared" si="1"/>
        <v/>
      </c>
      <c r="M44" s="328">
        <f>VLOOKUP(B44,'Base de Datos'!$E$7:$Z$303,21,0)</f>
        <v>0.9999998332977702</v>
      </c>
      <c r="N44" s="390" t="str">
        <f t="shared" ca="1" si="5"/>
        <v/>
      </c>
      <c r="O44" s="328">
        <f ca="1">VLOOKUP(B44,'Base de Datos'!$E$7:$Z$303,22,0)</f>
        <v>1</v>
      </c>
      <c r="P44" s="389">
        <f t="shared" ca="1" si="2"/>
        <v>2256</v>
      </c>
      <c r="Q44" s="402">
        <f t="shared" ca="1" si="6"/>
        <v>18.8</v>
      </c>
      <c r="R44" s="324" t="str">
        <f ca="1">VLOOKUP(B44,'Base de Datos'!E44:AR340,33,0)</f>
        <v>TERMINO</v>
      </c>
      <c r="S44" s="327" t="str">
        <f t="shared" ca="1" si="3"/>
        <v>NO</v>
      </c>
      <c r="T44" s="324" t="str">
        <f t="shared" ca="1" si="4"/>
        <v>Liquidar</v>
      </c>
      <c r="U44" s="324">
        <f>VLOOKUP(B44,'Base de Datos'!$E$7:$AR$401,38,0)</f>
        <v>41654</v>
      </c>
    </row>
    <row r="45" spans="1:21" ht="23.25" customHeight="1" thickTop="1" thickBot="1" x14ac:dyDescent="0.3">
      <c r="A45" s="108">
        <v>39</v>
      </c>
      <c r="B45" s="324" t="str">
        <f>+'Base de Datos'!E45</f>
        <v>050000-433-0-2012</v>
      </c>
      <c r="C45" s="324" t="str">
        <f>+'Base de Datos'!F45</f>
        <v>CARLOS EDUARDO PINEDA AMÓRTEGUI</v>
      </c>
      <c r="D45" s="325">
        <f>+'Base de Datos'!I45</f>
        <v>38400000</v>
      </c>
      <c r="E45" s="326">
        <f>+'Base de Datos'!M45</f>
        <v>41187</v>
      </c>
      <c r="F45" s="326">
        <f>+'Base de Datos'!N45</f>
        <v>41369</v>
      </c>
      <c r="G45" s="326">
        <f>+'Base de Datos'!T45</f>
        <v>41369</v>
      </c>
      <c r="H45" s="325">
        <f>+'Base de Datos'!U45</f>
        <v>38400000</v>
      </c>
      <c r="I45" s="327" t="str">
        <f>IF(VLOOKUP(B45,'Base de Datos'!$E$7:$S$303,11,0),"SI","NO")</f>
        <v>NO</v>
      </c>
      <c r="J45" s="328" t="str">
        <f t="shared" si="0"/>
        <v/>
      </c>
      <c r="K45" s="327" t="str">
        <f>IF(VLOOKUP(B45,'Base de Datos'!$E$7:$S$303,11,0),"SI","NO")</f>
        <v>NO</v>
      </c>
      <c r="L45" s="328" t="str">
        <f t="shared" si="1"/>
        <v/>
      </c>
      <c r="M45" s="328">
        <f>VLOOKUP(B45,'Base de Datos'!$E$7:$Z$303,21,0)</f>
        <v>1</v>
      </c>
      <c r="N45" s="390" t="str">
        <f t="shared" ca="1" si="5"/>
        <v/>
      </c>
      <c r="O45" s="328">
        <f ca="1">VLOOKUP(B45,'Base de Datos'!$E$7:$Z$303,22,0)</f>
        <v>1</v>
      </c>
      <c r="P45" s="389">
        <f t="shared" ca="1" si="2"/>
        <v>2274</v>
      </c>
      <c r="Q45" s="402">
        <f t="shared" ca="1" si="6"/>
        <v>18.95</v>
      </c>
      <c r="R45" s="324" t="str">
        <f ca="1">VLOOKUP(B45,'Base de Datos'!E45:AR341,33,0)</f>
        <v>TERMINO</v>
      </c>
      <c r="S45" s="327" t="str">
        <f t="shared" ca="1" si="3"/>
        <v>NO</v>
      </c>
      <c r="T45" s="324" t="str">
        <f t="shared" ca="1" si="4"/>
        <v>Liquidar</v>
      </c>
      <c r="U45" s="324">
        <f>VLOOKUP(B45,'Base de Datos'!$E$7:$AR$401,38,0)</f>
        <v>0</v>
      </c>
    </row>
    <row r="46" spans="1:21" ht="23.25" customHeight="1" thickTop="1" thickBot="1" x14ac:dyDescent="0.3">
      <c r="A46" s="108">
        <v>40</v>
      </c>
      <c r="B46" s="324" t="str">
        <f>+'Base de Datos'!E46</f>
        <v>050000-468-0-2012</v>
      </c>
      <c r="C46" s="324" t="str">
        <f>+'Base de Datos'!F46</f>
        <v>DAMTON ARTÍCULOS PUBLICITARIOS LTDA</v>
      </c>
      <c r="D46" s="325">
        <f>+'Base de Datos'!I46</f>
        <v>3961330</v>
      </c>
      <c r="E46" s="326">
        <f>+'Base de Datos'!M46</f>
        <v>41246</v>
      </c>
      <c r="F46" s="326">
        <f>+'Base de Datos'!N46</f>
        <v>41308</v>
      </c>
      <c r="G46" s="326">
        <f>+'Base de Datos'!T46</f>
        <v>41308</v>
      </c>
      <c r="H46" s="325">
        <f>+'Base de Datos'!U46</f>
        <v>3961330</v>
      </c>
      <c r="I46" s="327" t="str">
        <f>IF(VLOOKUP(B46,'Base de Datos'!$E$7:$S$303,11,0),"SI","NO")</f>
        <v>NO</v>
      </c>
      <c r="J46" s="328" t="str">
        <f t="shared" si="0"/>
        <v/>
      </c>
      <c r="K46" s="327" t="str">
        <f>IF(VLOOKUP(B46,'Base de Datos'!$E$7:$S$303,11,0),"SI","NO")</f>
        <v>NO</v>
      </c>
      <c r="L46" s="328" t="str">
        <f t="shared" si="1"/>
        <v/>
      </c>
      <c r="M46" s="328">
        <f>VLOOKUP(B46,'Base de Datos'!$E$7:$Z$303,21,0)</f>
        <v>1</v>
      </c>
      <c r="N46" s="390" t="str">
        <f t="shared" ca="1" si="5"/>
        <v/>
      </c>
      <c r="O46" s="328">
        <f ca="1">VLOOKUP(B46,'Base de Datos'!$E$7:$Z$303,22,0)</f>
        <v>1</v>
      </c>
      <c r="P46" s="389">
        <f t="shared" ca="1" si="2"/>
        <v>2335</v>
      </c>
      <c r="Q46" s="402">
        <f t="shared" ca="1" si="6"/>
        <v>19.458333333333332</v>
      </c>
      <c r="R46" s="324" t="str">
        <f ca="1">VLOOKUP(B46,'Base de Datos'!E46:AR342,33,0)</f>
        <v>TERMINO</v>
      </c>
      <c r="S46" s="327" t="str">
        <f t="shared" ca="1" si="3"/>
        <v>NO</v>
      </c>
      <c r="T46" s="324" t="str">
        <f t="shared" ca="1" si="4"/>
        <v>Liquidar</v>
      </c>
      <c r="U46" s="324">
        <f>VLOOKUP(B46,'Base de Datos'!$E$7:$AR$401,38,0)</f>
        <v>0</v>
      </c>
    </row>
    <row r="47" spans="1:21" ht="23.25" customHeight="1" thickTop="1" thickBot="1" x14ac:dyDescent="0.3">
      <c r="A47" s="108">
        <v>41</v>
      </c>
      <c r="B47" s="324" t="str">
        <f>+'Base de Datos'!E47</f>
        <v>050000-498-0-2012</v>
      </c>
      <c r="C47" s="324" t="str">
        <f>+'Base de Datos'!F47</f>
        <v>CORPORACIÓN INSTITUTO COLOMBIANO DE CUALIFICACIÓN EMPRESARIAL -CICCE</v>
      </c>
      <c r="D47" s="325">
        <f>+'Base de Datos'!I47</f>
        <v>24000000</v>
      </c>
      <c r="E47" s="326">
        <f>+'Base de Datos'!M47</f>
        <v>41270</v>
      </c>
      <c r="F47" s="326">
        <f>+'Base de Datos'!N47</f>
        <v>41452</v>
      </c>
      <c r="G47" s="326">
        <f>+'Base de Datos'!T47</f>
        <v>41452</v>
      </c>
      <c r="H47" s="325">
        <f>+'Base de Datos'!U47</f>
        <v>24000000</v>
      </c>
      <c r="I47" s="327" t="str">
        <f>IF(VLOOKUP(B47,'Base de Datos'!$E$7:$S$303,11,0),"SI","NO")</f>
        <v>NO</v>
      </c>
      <c r="J47" s="328" t="str">
        <f t="shared" si="0"/>
        <v/>
      </c>
      <c r="K47" s="327" t="str">
        <f>IF(VLOOKUP(B47,'Base de Datos'!$E$7:$S$303,11,0),"SI","NO")</f>
        <v>NO</v>
      </c>
      <c r="L47" s="328" t="str">
        <f t="shared" si="1"/>
        <v/>
      </c>
      <c r="M47" s="328">
        <f>VLOOKUP(B47,'Base de Datos'!$E$7:$Z$303,21,0)</f>
        <v>1</v>
      </c>
      <c r="N47" s="390" t="str">
        <f t="shared" ca="1" si="5"/>
        <v/>
      </c>
      <c r="O47" s="328">
        <f ca="1">VLOOKUP(B47,'Base de Datos'!$E$7:$Z$303,22,0)</f>
        <v>1</v>
      </c>
      <c r="P47" s="389">
        <f t="shared" ca="1" si="2"/>
        <v>2191</v>
      </c>
      <c r="Q47" s="402">
        <f t="shared" ca="1" si="6"/>
        <v>18.258333333333333</v>
      </c>
      <c r="R47" s="324" t="str">
        <f ca="1">VLOOKUP(B47,'Base de Datos'!E47:AR343,33,0)</f>
        <v>TERMINO</v>
      </c>
      <c r="S47" s="327" t="str">
        <f t="shared" ca="1" si="3"/>
        <v>NO</v>
      </c>
      <c r="T47" s="324" t="str">
        <f t="shared" ca="1" si="4"/>
        <v>Liquidar</v>
      </c>
      <c r="U47" s="324">
        <f>VLOOKUP(B47,'Base de Datos'!$E$7:$AR$401,38,0)</f>
        <v>42338</v>
      </c>
    </row>
    <row r="48" spans="1:21" ht="23.25" customHeight="1" thickTop="1" thickBot="1" x14ac:dyDescent="0.3">
      <c r="A48" s="108">
        <v>42</v>
      </c>
      <c r="B48" s="324" t="str">
        <f>+'Base de Datos'!E48</f>
        <v>050000-501-0-2012</v>
      </c>
      <c r="C48" s="324" t="str">
        <f>+'Base de Datos'!F48</f>
        <v>CESAR ALEJANDRO GUERRERO BARRIGA</v>
      </c>
      <c r="D48" s="325">
        <f>+'Base de Datos'!I48</f>
        <v>6000000</v>
      </c>
      <c r="E48" s="326">
        <f>+'Base de Datos'!M48</f>
        <v>41292</v>
      </c>
      <c r="F48" s="326">
        <f>+'Base de Datos'!N48</f>
        <v>41350</v>
      </c>
      <c r="G48" s="326">
        <f>+'Base de Datos'!T48</f>
        <v>41350</v>
      </c>
      <c r="H48" s="325">
        <f>+'Base de Datos'!U48</f>
        <v>6000000</v>
      </c>
      <c r="I48" s="327" t="str">
        <f>IF(VLOOKUP(B48,'Base de Datos'!$E$7:$S$303,11,0),"SI","NO")</f>
        <v>NO</v>
      </c>
      <c r="J48" s="328" t="str">
        <f t="shared" si="0"/>
        <v/>
      </c>
      <c r="K48" s="327" t="str">
        <f>IF(VLOOKUP(B48,'Base de Datos'!$E$7:$S$303,11,0),"SI","NO")</f>
        <v>NO</v>
      </c>
      <c r="L48" s="328" t="str">
        <f t="shared" si="1"/>
        <v/>
      </c>
      <c r="M48" s="328">
        <f>VLOOKUP(B48,'Base de Datos'!$E$7:$Z$303,21,0)</f>
        <v>1</v>
      </c>
      <c r="N48" s="390" t="str">
        <f t="shared" ca="1" si="5"/>
        <v/>
      </c>
      <c r="O48" s="328">
        <f ca="1">VLOOKUP(B48,'Base de Datos'!$E$7:$Z$303,22,0)</f>
        <v>1</v>
      </c>
      <c r="P48" s="389">
        <f t="shared" ca="1" si="2"/>
        <v>2293</v>
      </c>
      <c r="Q48" s="402">
        <f t="shared" ca="1" si="6"/>
        <v>19.108333333333334</v>
      </c>
      <c r="R48" s="324" t="str">
        <f ca="1">VLOOKUP(B48,'Base de Datos'!E48:AR344,33,0)</f>
        <v>TERMINO</v>
      </c>
      <c r="S48" s="327" t="str">
        <f t="shared" ca="1" si="3"/>
        <v>NO</v>
      </c>
      <c r="T48" s="324" t="str">
        <f t="shared" ca="1" si="4"/>
        <v>Liquidar</v>
      </c>
      <c r="U48" s="324">
        <f>VLOOKUP(B48,'Base de Datos'!$E$7:$AR$401,38,0)</f>
        <v>0</v>
      </c>
    </row>
    <row r="49" spans="1:21" ht="23.25" customHeight="1" thickTop="1" thickBot="1" x14ac:dyDescent="0.3">
      <c r="A49" s="108">
        <v>43</v>
      </c>
      <c r="B49" s="324" t="str">
        <f>+'Base de Datos'!E49</f>
        <v>120000-125-0-2012</v>
      </c>
      <c r="C49" s="324" t="str">
        <f>+'Base de Datos'!F49</f>
        <v>REVISTA EL CONGRESO SIGLO XXI LTDA</v>
      </c>
      <c r="D49" s="325">
        <f>+'Base de Datos'!I49</f>
        <v>7740000</v>
      </c>
      <c r="E49" s="326">
        <f>+'Base de Datos'!M49</f>
        <v>41107</v>
      </c>
      <c r="F49" s="326">
        <f>+'Base de Datos'!N49</f>
        <v>41472</v>
      </c>
      <c r="G49" s="326">
        <f>+'Base de Datos'!T49</f>
        <v>41472</v>
      </c>
      <c r="H49" s="325">
        <f>+'Base de Datos'!U49</f>
        <v>7740000</v>
      </c>
      <c r="I49" s="327" t="str">
        <f>IF(VLOOKUP(B49,'Base de Datos'!$E$7:$S$303,11,0),"SI","NO")</f>
        <v>NO</v>
      </c>
      <c r="J49" s="328" t="str">
        <f t="shared" si="0"/>
        <v/>
      </c>
      <c r="K49" s="327" t="str">
        <f>IF(VLOOKUP(B49,'Base de Datos'!$E$7:$S$303,11,0),"SI","NO")</f>
        <v>NO</v>
      </c>
      <c r="L49" s="328" t="str">
        <f t="shared" si="1"/>
        <v/>
      </c>
      <c r="M49" s="328">
        <f>VLOOKUP(B49,'Base de Datos'!$E$7:$Z$303,21,0)</f>
        <v>1</v>
      </c>
      <c r="N49" s="390" t="str">
        <f t="shared" ca="1" si="5"/>
        <v/>
      </c>
      <c r="O49" s="328">
        <f ca="1">VLOOKUP(B49,'Base de Datos'!$E$7:$Z$303,22,0)</f>
        <v>1</v>
      </c>
      <c r="P49" s="389">
        <f t="shared" ca="1" si="2"/>
        <v>2171</v>
      </c>
      <c r="Q49" s="402">
        <f t="shared" ca="1" si="6"/>
        <v>18.091666666666665</v>
      </c>
      <c r="R49" s="324" t="str">
        <f ca="1">VLOOKUP(B49,'Base de Datos'!E49:AR345,33,0)</f>
        <v>TERMINO</v>
      </c>
      <c r="S49" s="327" t="str">
        <f t="shared" ca="1" si="3"/>
        <v>NO</v>
      </c>
      <c r="T49" s="324" t="str">
        <f t="shared" ca="1" si="4"/>
        <v>Liquidar</v>
      </c>
      <c r="U49" s="324">
        <f>VLOOKUP(B49,'Base de Datos'!$E$7:$AR$401,38,0)</f>
        <v>41653</v>
      </c>
    </row>
    <row r="50" spans="1:21" ht="23.25" customHeight="1" thickTop="1" thickBot="1" x14ac:dyDescent="0.3">
      <c r="A50" s="108">
        <v>44</v>
      </c>
      <c r="B50" s="324" t="str">
        <f>+'Base de Datos'!E50</f>
        <v>120000-151-0-2012</v>
      </c>
      <c r="C50" s="324" t="str">
        <f>+'Base de Datos'!F50</f>
        <v>SOCIEDAD ENTORNO COMPAÑÍA LTDA</v>
      </c>
      <c r="D50" s="325">
        <f>+'Base de Datos'!I50</f>
        <v>47000000</v>
      </c>
      <c r="E50" s="326">
        <f>+'Base de Datos'!M50</f>
        <v>41064</v>
      </c>
      <c r="F50" s="326">
        <f>+'Base de Datos'!N50</f>
        <v>41309</v>
      </c>
      <c r="G50" s="326">
        <f>+'Base de Datos'!T50</f>
        <v>41398</v>
      </c>
      <c r="H50" s="325">
        <f>+'Base de Datos'!U50</f>
        <v>47000000</v>
      </c>
      <c r="I50" s="327" t="str">
        <f>IF(VLOOKUP(B50,'Base de Datos'!$E$7:$S$303,11,0),"SI","NO")</f>
        <v>NO</v>
      </c>
      <c r="J50" s="328" t="str">
        <f t="shared" si="0"/>
        <v/>
      </c>
      <c r="K50" s="327" t="str">
        <f>IF(VLOOKUP(B50,'Base de Datos'!$E$7:$S$303,11,0),"SI","NO")</f>
        <v>NO</v>
      </c>
      <c r="L50" s="328" t="str">
        <f t="shared" si="1"/>
        <v/>
      </c>
      <c r="M50" s="328">
        <f>VLOOKUP(B50,'Base de Datos'!$E$7:$Z$303,21,0)</f>
        <v>0.87755319148936173</v>
      </c>
      <c r="N50" s="390" t="str">
        <f t="shared" ca="1" si="5"/>
        <v/>
      </c>
      <c r="O50" s="328">
        <f ca="1">VLOOKUP(B50,'Base de Datos'!$E$7:$Z$303,22,0)</f>
        <v>1</v>
      </c>
      <c r="P50" s="389">
        <f t="shared" ca="1" si="2"/>
        <v>2245</v>
      </c>
      <c r="Q50" s="402">
        <f t="shared" ca="1" si="6"/>
        <v>18.708333333333332</v>
      </c>
      <c r="R50" s="324" t="str">
        <f ca="1">VLOOKUP(B50,'Base de Datos'!E50:AR346,33,0)</f>
        <v>TERMINO</v>
      </c>
      <c r="S50" s="327" t="str">
        <f t="shared" ca="1" si="3"/>
        <v>NO</v>
      </c>
      <c r="T50" s="324" t="str">
        <f t="shared" ca="1" si="4"/>
        <v>Liquidar</v>
      </c>
      <c r="U50" s="324">
        <f>VLOOKUP(B50,'Base de Datos'!$E$7:$AR$401,38,0)</f>
        <v>41953</v>
      </c>
    </row>
    <row r="51" spans="1:21" ht="23.25" customHeight="1" thickTop="1" thickBot="1" x14ac:dyDescent="0.3">
      <c r="A51" s="108">
        <v>45</v>
      </c>
      <c r="B51" s="324" t="str">
        <f>+'Base de Datos'!E51</f>
        <v>120000-177-0-2012</v>
      </c>
      <c r="C51" s="324" t="str">
        <f>+'Base de Datos'!F51</f>
        <v>CANAL CAPITAL</v>
      </c>
      <c r="D51" s="325">
        <f>+'Base de Datos'!I51</f>
        <v>950000000</v>
      </c>
      <c r="E51" s="326">
        <f>+'Base de Datos'!M51</f>
        <v>41053</v>
      </c>
      <c r="F51" s="326">
        <f>+'Base de Datos'!N51</f>
        <v>41388</v>
      </c>
      <c r="G51" s="326">
        <f>+'Base de Datos'!T51</f>
        <v>41400</v>
      </c>
      <c r="H51" s="325">
        <f>+'Base de Datos'!U51</f>
        <v>950000000</v>
      </c>
      <c r="I51" s="327" t="str">
        <f>IF(VLOOKUP(B51,'Base de Datos'!$E$7:$S$303,11,0),"SI","NO")</f>
        <v>NO</v>
      </c>
      <c r="J51" s="328" t="str">
        <f t="shared" si="0"/>
        <v/>
      </c>
      <c r="K51" s="327" t="str">
        <f>IF(VLOOKUP(B51,'Base de Datos'!$E$7:$S$303,11,0),"SI","NO")</f>
        <v>NO</v>
      </c>
      <c r="L51" s="328" t="str">
        <f t="shared" si="1"/>
        <v/>
      </c>
      <c r="M51" s="328">
        <f>VLOOKUP(B51,'Base de Datos'!$E$7:$Z$303,21,0)</f>
        <v>1</v>
      </c>
      <c r="N51" s="390" t="str">
        <f t="shared" ca="1" si="5"/>
        <v/>
      </c>
      <c r="O51" s="328">
        <f ca="1">VLOOKUP(B51,'Base de Datos'!$E$7:$Z$303,22,0)</f>
        <v>1</v>
      </c>
      <c r="P51" s="389">
        <f t="shared" ca="1" si="2"/>
        <v>2243</v>
      </c>
      <c r="Q51" s="402">
        <f t="shared" ca="1" si="6"/>
        <v>18.691666666666666</v>
      </c>
      <c r="R51" s="324" t="str">
        <f ca="1">VLOOKUP(B51,'Base de Datos'!E51:AR347,33,0)</f>
        <v>TERMINO</v>
      </c>
      <c r="S51" s="327" t="str">
        <f t="shared" ca="1" si="3"/>
        <v>NO</v>
      </c>
      <c r="T51" s="324" t="str">
        <f t="shared" ca="1" si="4"/>
        <v>Liquidar</v>
      </c>
      <c r="U51" s="324">
        <f>VLOOKUP(B51,'Base de Datos'!$E$7:$AR$401,38,0)</f>
        <v>41565</v>
      </c>
    </row>
    <row r="52" spans="1:21" ht="23.25" customHeight="1" thickTop="1" thickBot="1" x14ac:dyDescent="0.3">
      <c r="A52" s="108">
        <v>46</v>
      </c>
      <c r="B52" s="324" t="str">
        <f>+'Base de Datos'!E52</f>
        <v>120000-223-0-2012</v>
      </c>
      <c r="C52" s="324" t="str">
        <f>+'Base de Datos'!F52</f>
        <v>SECURITY TECH  CONTROL LTDA</v>
      </c>
      <c r="D52" s="325">
        <f>+'Base de Datos'!I52</f>
        <v>27918648</v>
      </c>
      <c r="E52" s="326">
        <f>+'Base de Datos'!M52</f>
        <v>41081</v>
      </c>
      <c r="F52" s="326">
        <f>+'Base de Datos'!N52</f>
        <v>41132</v>
      </c>
      <c r="G52" s="326">
        <f>+'Base de Datos'!T52</f>
        <v>41213</v>
      </c>
      <c r="H52" s="325">
        <f>+'Base de Datos'!U52</f>
        <v>41705635</v>
      </c>
      <c r="I52" s="327" t="str">
        <f>IF(VLOOKUP(B52,'Base de Datos'!$E$7:$S$303,11,0),"SI","NO")</f>
        <v>SI</v>
      </c>
      <c r="J52" s="328">
        <f t="shared" si="0"/>
        <v>1.588235294117647</v>
      </c>
      <c r="K52" s="327" t="str">
        <f>IF(VLOOKUP(B52,'Base de Datos'!$E$7:$S$303,11,0),"SI","NO")</f>
        <v>SI</v>
      </c>
      <c r="L52" s="328">
        <f t="shared" si="1"/>
        <v>0.49382717243327828</v>
      </c>
      <c r="M52" s="328">
        <f>VLOOKUP(B52,'Base de Datos'!$E$7:$Z$303,21,0)</f>
        <v>1</v>
      </c>
      <c r="N52" s="390" t="str">
        <f t="shared" ca="1" si="5"/>
        <v/>
      </c>
      <c r="O52" s="328">
        <f ca="1">VLOOKUP(B52,'Base de Datos'!$E$7:$Z$303,22,0)</f>
        <v>1</v>
      </c>
      <c r="P52" s="389">
        <f t="shared" ca="1" si="2"/>
        <v>2430</v>
      </c>
      <c r="Q52" s="402">
        <f t="shared" ca="1" si="6"/>
        <v>20.25</v>
      </c>
      <c r="R52" s="324" t="str">
        <f ca="1">VLOOKUP(B52,'Base de Datos'!E52:AR348,33,0)</f>
        <v>TERMINO</v>
      </c>
      <c r="S52" s="327" t="str">
        <f t="shared" ca="1" si="3"/>
        <v>NO</v>
      </c>
      <c r="T52" s="324" t="str">
        <f t="shared" ca="1" si="4"/>
        <v>Liquidar</v>
      </c>
      <c r="U52" s="324">
        <f>VLOOKUP(B52,'Base de Datos'!$E$7:$AR$401,38,0)</f>
        <v>0</v>
      </c>
    </row>
    <row r="53" spans="1:21" ht="23.25" customHeight="1" thickTop="1" thickBot="1" x14ac:dyDescent="0.3">
      <c r="A53" s="108">
        <v>47</v>
      </c>
      <c r="B53" s="324" t="str">
        <f>+'Base de Datos'!E53</f>
        <v>120000-289-0-2012</v>
      </c>
      <c r="C53" s="324" t="str">
        <f>+'Base de Datos'!F53</f>
        <v>SEGUROS DEL ESTADO S.A</v>
      </c>
      <c r="D53" s="325">
        <f>+'Base de Datos'!I53</f>
        <v>4100000</v>
      </c>
      <c r="E53" s="326">
        <f>+'Base de Datos'!M53</f>
        <v>41103</v>
      </c>
      <c r="F53" s="326">
        <f>+'Base de Datos'!N53</f>
        <v>41471</v>
      </c>
      <c r="G53" s="326">
        <f>+'Base de Datos'!T53</f>
        <v>41471</v>
      </c>
      <c r="H53" s="325">
        <f>+'Base de Datos'!U53</f>
        <v>4100000</v>
      </c>
      <c r="I53" s="327" t="str">
        <f>IF(VLOOKUP(B53,'Base de Datos'!$E$7:$S$303,11,0),"SI","NO")</f>
        <v>NO</v>
      </c>
      <c r="J53" s="328" t="str">
        <f t="shared" si="0"/>
        <v/>
      </c>
      <c r="K53" s="327" t="str">
        <f>IF(VLOOKUP(B53,'Base de Datos'!$E$7:$S$303,11,0),"SI","NO")</f>
        <v>NO</v>
      </c>
      <c r="L53" s="328" t="str">
        <f t="shared" si="1"/>
        <v/>
      </c>
      <c r="M53" s="328">
        <f>VLOOKUP(B53,'Base de Datos'!$E$7:$Z$303,21,0)</f>
        <v>0.82673170731707313</v>
      </c>
      <c r="N53" s="390" t="str">
        <f t="shared" ca="1" si="5"/>
        <v/>
      </c>
      <c r="O53" s="328">
        <f ca="1">VLOOKUP(B53,'Base de Datos'!$E$7:$Z$303,22,0)</f>
        <v>1</v>
      </c>
      <c r="P53" s="389">
        <f t="shared" ca="1" si="2"/>
        <v>2172</v>
      </c>
      <c r="Q53" s="402">
        <f t="shared" ca="1" si="6"/>
        <v>18.100000000000001</v>
      </c>
      <c r="R53" s="324" t="str">
        <f ca="1">VLOOKUP(B53,'Base de Datos'!E53:AR349,33,0)</f>
        <v>TERMINO</v>
      </c>
      <c r="S53" s="327" t="str">
        <f t="shared" ca="1" si="3"/>
        <v>NO</v>
      </c>
      <c r="T53" s="324" t="str">
        <f t="shared" ca="1" si="4"/>
        <v>Liquidar</v>
      </c>
      <c r="U53" s="324">
        <f>VLOOKUP(B53,'Base de Datos'!$E$7:$AR$401,38,0)</f>
        <v>0</v>
      </c>
    </row>
    <row r="54" spans="1:21" ht="23.25" customHeight="1" thickTop="1" thickBot="1" x14ac:dyDescent="0.3">
      <c r="A54" s="108">
        <v>48</v>
      </c>
      <c r="B54" s="324" t="str">
        <f>+'Base de Datos'!E54</f>
        <v>120000-312-0-2012</v>
      </c>
      <c r="C54" s="324" t="str">
        <f>+'Base de Datos'!F54</f>
        <v>SOLUCIONES Y DIAGNÓSTICOS EN INGENIERÍA ELÉCTRICA LTDA</v>
      </c>
      <c r="D54" s="325">
        <f>+'Base de Datos'!I54</f>
        <v>8932201</v>
      </c>
      <c r="E54" s="326">
        <f>+'Base de Datos'!M54</f>
        <v>41151</v>
      </c>
      <c r="F54" s="326">
        <f>+'Base de Datos'!N54</f>
        <v>41424</v>
      </c>
      <c r="G54" s="326">
        <f>+'Base de Datos'!T54</f>
        <v>41547</v>
      </c>
      <c r="H54" s="325">
        <f>+'Base de Datos'!U54</f>
        <v>8932201</v>
      </c>
      <c r="I54" s="327" t="str">
        <f>IF(VLOOKUP(B54,'Base de Datos'!$E$7:$S$303,11,0),"SI","NO")</f>
        <v>NO</v>
      </c>
      <c r="J54" s="328" t="str">
        <f t="shared" si="0"/>
        <v/>
      </c>
      <c r="K54" s="327" t="str">
        <f>IF(VLOOKUP(B54,'Base de Datos'!$E$7:$S$303,11,0),"SI","NO")</f>
        <v>NO</v>
      </c>
      <c r="L54" s="328" t="str">
        <f t="shared" si="1"/>
        <v/>
      </c>
      <c r="M54" s="328">
        <f>VLOOKUP(B54,'Base de Datos'!$E$7:$Z$303,21,0)</f>
        <v>0.99714146602836184</v>
      </c>
      <c r="N54" s="390" t="str">
        <f t="shared" ca="1" si="5"/>
        <v/>
      </c>
      <c r="O54" s="328">
        <f ca="1">VLOOKUP(B54,'Base de Datos'!$E$7:$Z$303,22,0)</f>
        <v>1</v>
      </c>
      <c r="P54" s="389">
        <f t="shared" ca="1" si="2"/>
        <v>2096</v>
      </c>
      <c r="Q54" s="402">
        <f t="shared" ca="1" si="6"/>
        <v>17.466666666666665</v>
      </c>
      <c r="R54" s="324" t="str">
        <f ca="1">VLOOKUP(B54,'Base de Datos'!E54:AR350,33,0)</f>
        <v>TERMINO</v>
      </c>
      <c r="S54" s="327" t="str">
        <f t="shared" ca="1" si="3"/>
        <v>NO</v>
      </c>
      <c r="T54" s="324" t="str">
        <f t="shared" ca="1" si="4"/>
        <v>Liquidar</v>
      </c>
      <c r="U54" s="324">
        <f>VLOOKUP(B54,'Base de Datos'!$E$7:$AR$401,38,0)</f>
        <v>42160</v>
      </c>
    </row>
    <row r="55" spans="1:21" ht="23.25" customHeight="1" thickTop="1" thickBot="1" x14ac:dyDescent="0.3">
      <c r="A55" s="108">
        <v>49</v>
      </c>
      <c r="B55" s="324" t="str">
        <f>+'Base de Datos'!E55</f>
        <v>120000-328-0-2012</v>
      </c>
      <c r="C55" s="324" t="str">
        <f>+'Base de Datos'!F55</f>
        <v>PORTES DE COLOMBIA LTDA</v>
      </c>
      <c r="D55" s="325">
        <f>+'Base de Datos'!I55</f>
        <v>8545000</v>
      </c>
      <c r="E55" s="326">
        <f>+'Base de Datos'!M55</f>
        <v>41155</v>
      </c>
      <c r="F55" s="326">
        <f>+'Base de Datos'!N55</f>
        <v>41367</v>
      </c>
      <c r="G55" s="326">
        <f>+'Base de Datos'!T55</f>
        <v>41458</v>
      </c>
      <c r="H55" s="325">
        <f>+'Base de Datos'!U55</f>
        <v>8545000</v>
      </c>
      <c r="I55" s="327" t="str">
        <f>IF(VLOOKUP(B55,'Base de Datos'!$E$7:$S$303,11,0),"SI","NO")</f>
        <v>NO</v>
      </c>
      <c r="J55" s="328" t="str">
        <f t="shared" si="0"/>
        <v/>
      </c>
      <c r="K55" s="327" t="str">
        <f>IF(VLOOKUP(B55,'Base de Datos'!$E$7:$S$303,11,0),"SI","NO")</f>
        <v>NO</v>
      </c>
      <c r="L55" s="328" t="str">
        <f t="shared" si="1"/>
        <v/>
      </c>
      <c r="M55" s="328">
        <f>VLOOKUP(B55,'Base de Datos'!$E$7:$Z$303,21,0)</f>
        <v>0.50743124634289061</v>
      </c>
      <c r="N55" s="390" t="str">
        <f t="shared" ca="1" si="5"/>
        <v/>
      </c>
      <c r="O55" s="328">
        <f ca="1">VLOOKUP(B55,'Base de Datos'!$E$7:$Z$303,22,0)</f>
        <v>1</v>
      </c>
      <c r="P55" s="389">
        <f t="shared" ca="1" si="2"/>
        <v>2185</v>
      </c>
      <c r="Q55" s="402">
        <f t="shared" ca="1" si="6"/>
        <v>18.208333333333332</v>
      </c>
      <c r="R55" s="324" t="str">
        <f ca="1">VLOOKUP(B55,'Base de Datos'!E55:AR351,33,0)</f>
        <v>TERMINO</v>
      </c>
      <c r="S55" s="327" t="str">
        <f t="shared" ca="1" si="3"/>
        <v>NO</v>
      </c>
      <c r="T55" s="324" t="str">
        <f t="shared" ca="1" si="4"/>
        <v>Liquidar</v>
      </c>
      <c r="U55" s="324">
        <f>VLOOKUP(B55,'Base de Datos'!$E$7:$AR$401,38,0)</f>
        <v>41971</v>
      </c>
    </row>
    <row r="56" spans="1:21" ht="23.25" customHeight="1" thickTop="1" thickBot="1" x14ac:dyDescent="0.3">
      <c r="A56" s="108">
        <v>50</v>
      </c>
      <c r="B56" s="324" t="str">
        <f>+'Base de Datos'!E56</f>
        <v>120000-368-0-2012</v>
      </c>
      <c r="C56" s="324" t="str">
        <f>+'Base de Datos'!F56</f>
        <v xml:space="preserve">UNIÓN TEMPORAL EMINSER-SOLOASEO </v>
      </c>
      <c r="D56" s="325">
        <f>+'Base de Datos'!I56</f>
        <v>220839000</v>
      </c>
      <c r="E56" s="326">
        <f>+'Base de Datos'!M56</f>
        <v>41172</v>
      </c>
      <c r="F56" s="326">
        <f>+'Base de Datos'!N56</f>
        <v>41384</v>
      </c>
      <c r="G56" s="326">
        <f>+'Base de Datos'!T56</f>
        <v>41445</v>
      </c>
      <c r="H56" s="325">
        <f>+'Base de Datos'!U56</f>
        <v>242578353</v>
      </c>
      <c r="I56" s="327" t="str">
        <f>IF(VLOOKUP(B56,'Base de Datos'!$E$7:$S$303,11,0),"SI","NO")</f>
        <v>SI</v>
      </c>
      <c r="J56" s="328">
        <f t="shared" si="0"/>
        <v>0.28773584905660377</v>
      </c>
      <c r="K56" s="327" t="str">
        <f>IF(VLOOKUP(B56,'Base de Datos'!$E$7:$S$303,11,0),"SI","NO")</f>
        <v>SI</v>
      </c>
      <c r="L56" s="328">
        <f t="shared" si="1"/>
        <v>9.8439827204434005E-2</v>
      </c>
      <c r="M56" s="328">
        <f>VLOOKUP(B56,'Base de Datos'!$E$7:$Z$303,21,0)</f>
        <v>0.89976841008562702</v>
      </c>
      <c r="N56" s="390" t="str">
        <f t="shared" ca="1" si="5"/>
        <v/>
      </c>
      <c r="O56" s="328">
        <f ca="1">VLOOKUP(B56,'Base de Datos'!$E$7:$Z$303,22,0)</f>
        <v>1</v>
      </c>
      <c r="P56" s="389">
        <f t="shared" ca="1" si="2"/>
        <v>2198</v>
      </c>
      <c r="Q56" s="402">
        <f t="shared" ca="1" si="6"/>
        <v>18.316666666666666</v>
      </c>
      <c r="R56" s="324" t="str">
        <f ca="1">VLOOKUP(B56,'Base de Datos'!E56:AR352,33,0)</f>
        <v>TERMINO</v>
      </c>
      <c r="S56" s="327" t="str">
        <f t="shared" ca="1" si="3"/>
        <v>NO</v>
      </c>
      <c r="T56" s="324" t="str">
        <f t="shared" ca="1" si="4"/>
        <v>Liquidar</v>
      </c>
      <c r="U56" s="324">
        <f>VLOOKUP(B56,'Base de Datos'!$E$7:$AR$401,38,0)</f>
        <v>0</v>
      </c>
    </row>
    <row r="57" spans="1:21" ht="23.25" customHeight="1" thickTop="1" thickBot="1" x14ac:dyDescent="0.3">
      <c r="A57" s="108">
        <v>51</v>
      </c>
      <c r="B57" s="324" t="str">
        <f>+'Base de Datos'!E57</f>
        <v>120000-376-0-2012</v>
      </c>
      <c r="C57" s="324" t="str">
        <f>+'Base de Datos'!F57</f>
        <v>NELSON EDUARDO MUÑOZ MORENO</v>
      </c>
      <c r="D57" s="325">
        <f>+'Base de Datos'!I57</f>
        <v>4493000</v>
      </c>
      <c r="E57" s="326">
        <f>+'Base de Datos'!M57</f>
        <v>41172</v>
      </c>
      <c r="F57" s="326">
        <f>+'Base de Datos'!N57</f>
        <v>41353</v>
      </c>
      <c r="G57" s="326">
        <f>+'Base de Datos'!T57</f>
        <v>41414</v>
      </c>
      <c r="H57" s="325">
        <f>+'Base de Datos'!U57</f>
        <v>4493000</v>
      </c>
      <c r="I57" s="327" t="str">
        <f>IF(VLOOKUP(B57,'Base de Datos'!$E$7:$S$303,11,0),"SI","NO")</f>
        <v>NO</v>
      </c>
      <c r="J57" s="328" t="str">
        <f t="shared" si="0"/>
        <v/>
      </c>
      <c r="K57" s="327" t="str">
        <f>IF(VLOOKUP(B57,'Base de Datos'!$E$7:$S$303,11,0),"SI","NO")</f>
        <v>NO</v>
      </c>
      <c r="L57" s="328" t="str">
        <f t="shared" si="1"/>
        <v/>
      </c>
      <c r="M57" s="328">
        <f>VLOOKUP(B57,'Base de Datos'!$E$7:$Z$303,21,0)</f>
        <v>0.73647896728243933</v>
      </c>
      <c r="N57" s="390" t="str">
        <f t="shared" ca="1" si="5"/>
        <v/>
      </c>
      <c r="O57" s="328">
        <f ca="1">VLOOKUP(B57,'Base de Datos'!$E$7:$Z$303,22,0)</f>
        <v>1</v>
      </c>
      <c r="P57" s="389">
        <f t="shared" ca="1" si="2"/>
        <v>2229</v>
      </c>
      <c r="Q57" s="402">
        <f t="shared" ca="1" si="6"/>
        <v>18.574999999999999</v>
      </c>
      <c r="R57" s="324" t="str">
        <f ca="1">VLOOKUP(B57,'Base de Datos'!E57:AR353,33,0)</f>
        <v>TERMINO</v>
      </c>
      <c r="S57" s="327" t="str">
        <f t="shared" ca="1" si="3"/>
        <v>NO</v>
      </c>
      <c r="T57" s="324" t="str">
        <f t="shared" ca="1" si="4"/>
        <v>Liquidar</v>
      </c>
      <c r="U57" s="324">
        <f>VLOOKUP(B57,'Base de Datos'!$E$7:$AR$401,38,0)</f>
        <v>42023</v>
      </c>
    </row>
    <row r="58" spans="1:21" ht="23.25" customHeight="1" thickTop="1" thickBot="1" x14ac:dyDescent="0.3">
      <c r="A58" s="108">
        <v>52</v>
      </c>
      <c r="B58" s="324" t="str">
        <f>+'Base de Datos'!E58</f>
        <v>120000-381-0-2012</v>
      </c>
      <c r="C58" s="324" t="str">
        <f>+'Base de Datos'!F58</f>
        <v>SOLUTION COPY LTDA</v>
      </c>
      <c r="D58" s="325">
        <f>+'Base de Datos'!I58</f>
        <v>22726000</v>
      </c>
      <c r="E58" s="326">
        <f>+'Base de Datos'!M58</f>
        <v>41163</v>
      </c>
      <c r="F58" s="326">
        <f>+'Base de Datos'!N58</f>
        <v>41375</v>
      </c>
      <c r="G58" s="326">
        <f>+'Base de Datos'!T58</f>
        <v>41425</v>
      </c>
      <c r="H58" s="325">
        <f>+'Base de Datos'!U58</f>
        <v>24726000</v>
      </c>
      <c r="I58" s="327" t="str">
        <f>IF(VLOOKUP(B58,'Base de Datos'!$E$7:$S$303,11,0),"SI","NO")</f>
        <v>SI</v>
      </c>
      <c r="J58" s="328">
        <f t="shared" si="0"/>
        <v>0.23584905660377359</v>
      </c>
      <c r="K58" s="327" t="str">
        <f>IF(VLOOKUP(B58,'Base de Datos'!$E$7:$S$303,11,0),"SI","NO")</f>
        <v>SI</v>
      </c>
      <c r="L58" s="328">
        <f t="shared" si="1"/>
        <v>8.8004928275983454E-2</v>
      </c>
      <c r="M58" s="328">
        <f>VLOOKUP(B58,'Base de Datos'!$E$7:$Z$303,21,0)</f>
        <v>0.99999830138315948</v>
      </c>
      <c r="N58" s="390" t="str">
        <f t="shared" ca="1" si="5"/>
        <v/>
      </c>
      <c r="O58" s="328">
        <f ca="1">VLOOKUP(B58,'Base de Datos'!$E$7:$Z$303,22,0)</f>
        <v>1</v>
      </c>
      <c r="P58" s="389">
        <f t="shared" ca="1" si="2"/>
        <v>2218</v>
      </c>
      <c r="Q58" s="402">
        <f t="shared" ca="1" si="6"/>
        <v>18.483333333333334</v>
      </c>
      <c r="R58" s="324" t="str">
        <f ca="1">VLOOKUP(B58,'Base de Datos'!E58:AR354,33,0)</f>
        <v>TERMINO</v>
      </c>
      <c r="S58" s="327" t="str">
        <f t="shared" ca="1" si="3"/>
        <v>NO</v>
      </c>
      <c r="T58" s="324" t="str">
        <f t="shared" ca="1" si="4"/>
        <v>Liquidar</v>
      </c>
      <c r="U58" s="324">
        <f>VLOOKUP(B58,'Base de Datos'!$E$7:$AR$401,38,0)</f>
        <v>41977</v>
      </c>
    </row>
    <row r="59" spans="1:21" ht="23.25" customHeight="1" thickTop="1" thickBot="1" x14ac:dyDescent="0.3">
      <c r="A59" s="108">
        <v>53</v>
      </c>
      <c r="B59" s="324" t="str">
        <f>+'Base de Datos'!E59</f>
        <v>120000-390-0-2012</v>
      </c>
      <c r="C59" s="324" t="str">
        <f>+'Base de Datos'!F59</f>
        <v>UNIÓN TEMPORAL INTERPOSTAL URBANEX</v>
      </c>
      <c r="D59" s="325">
        <f>+'Base de Datos'!I59</f>
        <v>19116000</v>
      </c>
      <c r="E59" s="326">
        <f>+'Base de Datos'!M59</f>
        <v>41176</v>
      </c>
      <c r="F59" s="326">
        <f>+'Base de Datos'!N59</f>
        <v>41388</v>
      </c>
      <c r="G59" s="326">
        <f>+'Base de Datos'!T59</f>
        <v>41409</v>
      </c>
      <c r="H59" s="325">
        <f>+'Base de Datos'!U59</f>
        <v>20923575</v>
      </c>
      <c r="I59" s="327" t="str">
        <f>IF(VLOOKUP(B59,'Base de Datos'!$E$7:$S$303,11,0),"SI","NO")</f>
        <v>SI</v>
      </c>
      <c r="J59" s="328">
        <f t="shared" si="0"/>
        <v>9.9056603773584911E-2</v>
      </c>
      <c r="K59" s="327" t="str">
        <f>IF(VLOOKUP(B59,'Base de Datos'!$E$7:$S$303,11,0),"SI","NO")</f>
        <v>SI</v>
      </c>
      <c r="L59" s="328">
        <f t="shared" si="1"/>
        <v>9.4558223477715003E-2</v>
      </c>
      <c r="M59" s="328">
        <f>VLOOKUP(B59,'Base de Datos'!$E$7:$Z$303,21,0)</f>
        <v>0.95166337492517417</v>
      </c>
      <c r="N59" s="390" t="str">
        <f t="shared" ca="1" si="5"/>
        <v/>
      </c>
      <c r="O59" s="328">
        <f ca="1">VLOOKUP(B59,'Base de Datos'!$E$7:$Z$303,22,0)</f>
        <v>1</v>
      </c>
      <c r="P59" s="389">
        <f t="shared" ca="1" si="2"/>
        <v>2234</v>
      </c>
      <c r="Q59" s="402">
        <f t="shared" ca="1" si="6"/>
        <v>18.616666666666667</v>
      </c>
      <c r="R59" s="324" t="str">
        <f ca="1">VLOOKUP(B59,'Base de Datos'!E59:AR355,33,0)</f>
        <v>TERMINO</v>
      </c>
      <c r="S59" s="327" t="str">
        <f t="shared" ca="1" si="3"/>
        <v>NO</v>
      </c>
      <c r="T59" s="324" t="str">
        <f t="shared" ca="1" si="4"/>
        <v>Liquidar</v>
      </c>
      <c r="U59" s="324">
        <f>VLOOKUP(B59,'Base de Datos'!$E$7:$AR$401,38,0)</f>
        <v>42306</v>
      </c>
    </row>
    <row r="60" spans="1:21" ht="23.25" customHeight="1" thickTop="1" thickBot="1" x14ac:dyDescent="0.3">
      <c r="A60" s="108">
        <v>54</v>
      </c>
      <c r="B60" s="324" t="str">
        <f>+'Base de Datos'!E60</f>
        <v>120000-396-0-2012</v>
      </c>
      <c r="C60" s="324" t="str">
        <f>+'Base de Datos'!F60</f>
        <v>CENTRO DE RECURSOS EDUCATIVOS PARA LA COMPETITIVIDAD EMPRESARIAL LTDA - CRECE</v>
      </c>
      <c r="D60" s="325">
        <f>+'Base de Datos'!I60</f>
        <v>282073266</v>
      </c>
      <c r="E60" s="326">
        <f>+'Base de Datos'!M60</f>
        <v>41198</v>
      </c>
      <c r="F60" s="326">
        <f>+'Base de Datos'!N60</f>
        <v>41441</v>
      </c>
      <c r="G60" s="326">
        <f>+'Base de Datos'!T60</f>
        <v>41441</v>
      </c>
      <c r="H60" s="325">
        <f>+'Base de Datos'!U60</f>
        <v>282073266</v>
      </c>
      <c r="I60" s="327" t="str">
        <f>IF(VLOOKUP(B60,'Base de Datos'!$E$7:$S$303,11,0),"SI","NO")</f>
        <v>NO</v>
      </c>
      <c r="J60" s="328" t="str">
        <f t="shared" si="0"/>
        <v/>
      </c>
      <c r="K60" s="327" t="str">
        <f>IF(VLOOKUP(B60,'Base de Datos'!$E$7:$S$303,11,0),"SI","NO")</f>
        <v>NO</v>
      </c>
      <c r="L60" s="328" t="str">
        <f t="shared" si="1"/>
        <v/>
      </c>
      <c r="M60" s="328">
        <f>VLOOKUP(B60,'Base de Datos'!$E$7:$Z$303,21,0)</f>
        <v>1</v>
      </c>
      <c r="N60" s="390" t="str">
        <f t="shared" ca="1" si="5"/>
        <v/>
      </c>
      <c r="O60" s="328">
        <f ca="1">VLOOKUP(B60,'Base de Datos'!$E$7:$Z$303,22,0)</f>
        <v>1</v>
      </c>
      <c r="P60" s="389">
        <f t="shared" ca="1" si="2"/>
        <v>2202</v>
      </c>
      <c r="Q60" s="402">
        <f t="shared" ca="1" si="6"/>
        <v>18.350000000000001</v>
      </c>
      <c r="R60" s="324" t="str">
        <f ca="1">VLOOKUP(B60,'Base de Datos'!E60:AR356,33,0)</f>
        <v>TERMINO</v>
      </c>
      <c r="S60" s="327" t="str">
        <f t="shared" ca="1" si="3"/>
        <v>NO</v>
      </c>
      <c r="T60" s="324" t="str">
        <f t="shared" ca="1" si="4"/>
        <v>Liquidar</v>
      </c>
      <c r="U60" s="324">
        <f>VLOOKUP(B60,'Base de Datos'!$E$7:$AR$401,38,0)</f>
        <v>41968</v>
      </c>
    </row>
    <row r="61" spans="1:21" ht="23.25" customHeight="1" thickTop="1" thickBot="1" x14ac:dyDescent="0.3">
      <c r="A61" s="108">
        <v>55</v>
      </c>
      <c r="B61" s="324" t="str">
        <f>+'Base de Datos'!E61</f>
        <v>120000-398-0-2012</v>
      </c>
      <c r="C61" s="324" t="str">
        <f>+'Base de Datos'!F61</f>
        <v>ECO COLSULTORES</v>
      </c>
      <c r="D61" s="325">
        <f>+'Base de Datos'!I61</f>
        <v>50618751</v>
      </c>
      <c r="E61" s="326">
        <f>+'Base de Datos'!M61</f>
        <v>41198</v>
      </c>
      <c r="F61" s="326">
        <f>+'Base de Datos'!N61</f>
        <v>41441</v>
      </c>
      <c r="G61" s="326">
        <f>+'Base de Datos'!T61</f>
        <v>41441</v>
      </c>
      <c r="H61" s="325">
        <f>+'Base de Datos'!U61</f>
        <v>50618751</v>
      </c>
      <c r="I61" s="327" t="str">
        <f>IF(VLOOKUP(B61,'Base de Datos'!$E$7:$S$303,11,0),"SI","NO")</f>
        <v>NO</v>
      </c>
      <c r="J61" s="328" t="str">
        <f t="shared" si="0"/>
        <v/>
      </c>
      <c r="K61" s="327" t="str">
        <f>IF(VLOOKUP(B61,'Base de Datos'!$E$7:$S$303,11,0),"SI","NO")</f>
        <v>NO</v>
      </c>
      <c r="L61" s="328" t="str">
        <f t="shared" si="1"/>
        <v/>
      </c>
      <c r="M61" s="328">
        <f>VLOOKUP(B61,'Base de Datos'!$E$7:$Z$303,21,0)</f>
        <v>1</v>
      </c>
      <c r="N61" s="390" t="str">
        <f t="shared" ca="1" si="5"/>
        <v/>
      </c>
      <c r="O61" s="328">
        <f ca="1">VLOOKUP(B61,'Base de Datos'!$E$7:$Z$303,22,0)</f>
        <v>1</v>
      </c>
      <c r="P61" s="389">
        <f t="shared" ca="1" si="2"/>
        <v>2202</v>
      </c>
      <c r="Q61" s="402">
        <f t="shared" ca="1" si="6"/>
        <v>18.350000000000001</v>
      </c>
      <c r="R61" s="324" t="str">
        <f ca="1">VLOOKUP(B61,'Base de Datos'!E61:AR357,33,0)</f>
        <v>TERMINO</v>
      </c>
      <c r="S61" s="327" t="str">
        <f t="shared" ca="1" si="3"/>
        <v>NO</v>
      </c>
      <c r="T61" s="324" t="str">
        <f t="shared" ca="1" si="4"/>
        <v>Liquidar</v>
      </c>
      <c r="U61" s="324">
        <f>VLOOKUP(B61,'Base de Datos'!$E$7:$AR$401,38,0)</f>
        <v>41984</v>
      </c>
    </row>
    <row r="62" spans="1:21" ht="23.25" customHeight="1" thickTop="1" thickBot="1" x14ac:dyDescent="0.3">
      <c r="A62" s="108">
        <v>56</v>
      </c>
      <c r="B62" s="324" t="str">
        <f>+'Base de Datos'!E62</f>
        <v>120000-399-0-2012</v>
      </c>
      <c r="C62" s="324" t="str">
        <f>+'Base de Datos'!F62</f>
        <v>UNIVERSIDAD LA GRAN COLOMBIA</v>
      </c>
      <c r="D62" s="325">
        <f>+'Base de Datos'!I62</f>
        <v>69900000</v>
      </c>
      <c r="E62" s="326">
        <f>+'Base de Datos'!M62</f>
        <v>41202</v>
      </c>
      <c r="F62" s="326">
        <f>+'Base de Datos'!N62</f>
        <v>41445</v>
      </c>
      <c r="G62" s="326">
        <f>+'Base de Datos'!T62</f>
        <v>41486</v>
      </c>
      <c r="H62" s="325">
        <f>+'Base de Datos'!U62</f>
        <v>69900000</v>
      </c>
      <c r="I62" s="327" t="str">
        <f>IF(VLOOKUP(B62,'Base de Datos'!$E$7:$S$303,11,0),"SI","NO")</f>
        <v>NO</v>
      </c>
      <c r="J62" s="328" t="str">
        <f t="shared" si="0"/>
        <v/>
      </c>
      <c r="K62" s="327" t="str">
        <f>IF(VLOOKUP(B62,'Base de Datos'!$E$7:$S$303,11,0),"SI","NO")</f>
        <v>NO</v>
      </c>
      <c r="L62" s="328" t="str">
        <f t="shared" si="1"/>
        <v/>
      </c>
      <c r="M62" s="328">
        <f>VLOOKUP(B62,'Base de Datos'!$E$7:$Z$303,21,0)</f>
        <v>1</v>
      </c>
      <c r="N62" s="390" t="str">
        <f t="shared" ca="1" si="5"/>
        <v/>
      </c>
      <c r="O62" s="328">
        <f ca="1">VLOOKUP(B62,'Base de Datos'!$E$7:$Z$303,22,0)</f>
        <v>1</v>
      </c>
      <c r="P62" s="389">
        <f t="shared" ca="1" si="2"/>
        <v>2157</v>
      </c>
      <c r="Q62" s="402">
        <f t="shared" ca="1" si="6"/>
        <v>17.975000000000001</v>
      </c>
      <c r="R62" s="324" t="str">
        <f ca="1">VLOOKUP(B62,'Base de Datos'!E62:AR358,33,0)</f>
        <v>TERMINO</v>
      </c>
      <c r="S62" s="327" t="str">
        <f t="shared" ca="1" si="3"/>
        <v>NO</v>
      </c>
      <c r="T62" s="324" t="str">
        <f t="shared" ca="1" si="4"/>
        <v>Liquidar</v>
      </c>
      <c r="U62" s="324">
        <f>VLOOKUP(B62,'Base de Datos'!$E$7:$AR$401,38,0)</f>
        <v>42017</v>
      </c>
    </row>
    <row r="63" spans="1:21" ht="23.25" customHeight="1" thickTop="1" thickBot="1" x14ac:dyDescent="0.3">
      <c r="A63" s="108">
        <v>57</v>
      </c>
      <c r="B63" s="324" t="str">
        <f>+'Base de Datos'!E63</f>
        <v>120000-402-0-2012</v>
      </c>
      <c r="C63" s="324" t="str">
        <f>+'Base de Datos'!F63</f>
        <v>INSTITUTO DISTRITAL DEL PATRIMONIO CULTURAL - IDCP</v>
      </c>
      <c r="D63" s="325">
        <f>+'Base de Datos'!I63</f>
        <v>500000000</v>
      </c>
      <c r="E63" s="326">
        <f>+'Base de Datos'!M63</f>
        <v>41170</v>
      </c>
      <c r="F63" s="326">
        <f>+'Base de Datos'!N63</f>
        <v>41412</v>
      </c>
      <c r="G63" s="326">
        <f>+'Base de Datos'!T63</f>
        <v>41412</v>
      </c>
      <c r="H63" s="325">
        <f>+'Base de Datos'!U63</f>
        <v>500000000</v>
      </c>
      <c r="I63" s="327" t="str">
        <f>IF(VLOOKUP(B63,'Base de Datos'!$E$7:$S$303,11,0),"SI","NO")</f>
        <v>NO</v>
      </c>
      <c r="J63" s="328" t="str">
        <f t="shared" si="0"/>
        <v/>
      </c>
      <c r="K63" s="327" t="str">
        <f>IF(VLOOKUP(B63,'Base de Datos'!$E$7:$S$303,11,0),"SI","NO")</f>
        <v>NO</v>
      </c>
      <c r="L63" s="328" t="str">
        <f t="shared" si="1"/>
        <v/>
      </c>
      <c r="M63" s="328">
        <f>VLOOKUP(B63,'Base de Datos'!$E$7:$Z$303,21,0)</f>
        <v>1</v>
      </c>
      <c r="N63" s="390" t="str">
        <f t="shared" ca="1" si="5"/>
        <v/>
      </c>
      <c r="O63" s="328">
        <f ca="1">VLOOKUP(B63,'Base de Datos'!$E$7:$Z$303,22,0)</f>
        <v>1</v>
      </c>
      <c r="P63" s="389">
        <f t="shared" ca="1" si="2"/>
        <v>2231</v>
      </c>
      <c r="Q63" s="402">
        <f t="shared" ca="1" si="6"/>
        <v>18.591666666666665</v>
      </c>
      <c r="R63" s="324" t="str">
        <f ca="1">VLOOKUP(B63,'Base de Datos'!E63:AR359,33,0)</f>
        <v>TERMINO</v>
      </c>
      <c r="S63" s="327" t="str">
        <f t="shared" ca="1" si="3"/>
        <v>NO</v>
      </c>
      <c r="T63" s="324" t="str">
        <f t="shared" ca="1" si="4"/>
        <v>Liquidar</v>
      </c>
      <c r="U63" s="324">
        <f>VLOOKUP(B63,'Base de Datos'!$E$7:$AR$401,38,0)</f>
        <v>0</v>
      </c>
    </row>
    <row r="64" spans="1:21" ht="23.25" customHeight="1" thickTop="1" thickBot="1" x14ac:dyDescent="0.3">
      <c r="A64" s="108">
        <v>58</v>
      </c>
      <c r="B64" s="324" t="str">
        <f>+'Base de Datos'!E64</f>
        <v>120000-196-0-2012</v>
      </c>
      <c r="C64" s="324" t="str">
        <f>+'Base de Datos'!F64</f>
        <v>SGS COLOMBIA S.A.</v>
      </c>
      <c r="D64" s="325">
        <f>+'Base de Datos'!I64</f>
        <v>10440000</v>
      </c>
      <c r="E64" s="326">
        <f>+'Base de Datos'!M64</f>
        <v>41067</v>
      </c>
      <c r="F64" s="326">
        <f>+'Base de Datos'!N64</f>
        <v>41312</v>
      </c>
      <c r="G64" s="326">
        <f>+'Base de Datos'!T64</f>
        <v>41312</v>
      </c>
      <c r="H64" s="325">
        <f>+'Base de Datos'!U64</f>
        <v>10440000</v>
      </c>
      <c r="I64" s="327" t="str">
        <f>IF(VLOOKUP(B64,'Base de Datos'!$E$7:$S$303,11,0),"SI","NO")</f>
        <v>NO</v>
      </c>
      <c r="J64" s="328" t="str">
        <f t="shared" si="0"/>
        <v/>
      </c>
      <c r="K64" s="327" t="str">
        <f>IF(VLOOKUP(B64,'Base de Datos'!$E$7:$S$303,11,0),"SI","NO")</f>
        <v>NO</v>
      </c>
      <c r="L64" s="328" t="str">
        <f t="shared" si="1"/>
        <v/>
      </c>
      <c r="M64" s="328">
        <f>VLOOKUP(B64,'Base de Datos'!$E$7:$Z$303,21,0)</f>
        <v>1</v>
      </c>
      <c r="N64" s="390" t="str">
        <f t="shared" ca="1" si="5"/>
        <v/>
      </c>
      <c r="O64" s="328">
        <f ca="1">VLOOKUP(B64,'Base de Datos'!$E$7:$Z$303,22,0)</f>
        <v>1</v>
      </c>
      <c r="P64" s="389">
        <f t="shared" ca="1" si="2"/>
        <v>2331</v>
      </c>
      <c r="Q64" s="402">
        <f t="shared" ca="1" si="6"/>
        <v>19.425000000000001</v>
      </c>
      <c r="R64" s="324" t="str">
        <f ca="1">VLOOKUP(B64,'Base de Datos'!E64:AR360,33,0)</f>
        <v>TERMINO</v>
      </c>
      <c r="S64" s="327" t="str">
        <f t="shared" ca="1" si="3"/>
        <v>NO</v>
      </c>
      <c r="T64" s="324" t="str">
        <f t="shared" ca="1" si="4"/>
        <v>Liquidar</v>
      </c>
      <c r="U64" s="324">
        <f>VLOOKUP(B64,'Base de Datos'!$E$7:$AR$401,38,0)</f>
        <v>42221</v>
      </c>
    </row>
    <row r="65" spans="1:21" ht="23.25" customHeight="1" thickTop="1" thickBot="1" x14ac:dyDescent="0.3">
      <c r="A65" s="108">
        <v>59</v>
      </c>
      <c r="B65" s="324" t="str">
        <f>+'Base de Datos'!E65</f>
        <v>120000-403-0-2012</v>
      </c>
      <c r="C65" s="324" t="str">
        <f>+'Base de Datos'!F65</f>
        <v>INCTEC INGENIEROS CIVILES ARQUITECTOS LTDA</v>
      </c>
      <c r="D65" s="325">
        <f>+'Base de Datos'!I65</f>
        <v>24824832</v>
      </c>
      <c r="E65" s="326">
        <f>+'Base de Datos'!M65</f>
        <v>41208</v>
      </c>
      <c r="F65" s="326">
        <f>+'Base de Datos'!N65</f>
        <v>41481</v>
      </c>
      <c r="G65" s="326">
        <f>+'Base de Datos'!T65</f>
        <v>41481</v>
      </c>
      <c r="H65" s="325">
        <f>+'Base de Datos'!U65</f>
        <v>24824832</v>
      </c>
      <c r="I65" s="327" t="str">
        <f>IF(VLOOKUP(B65,'Base de Datos'!$E$7:$S$303,11,0),"SI","NO")</f>
        <v>NO</v>
      </c>
      <c r="J65" s="328" t="str">
        <f t="shared" si="0"/>
        <v/>
      </c>
      <c r="K65" s="327" t="str">
        <f>IF(VLOOKUP(B65,'Base de Datos'!$E$7:$S$303,11,0),"SI","NO")</f>
        <v>NO</v>
      </c>
      <c r="L65" s="328" t="str">
        <f t="shared" si="1"/>
        <v/>
      </c>
      <c r="M65" s="328">
        <f>VLOOKUP(B65,'Base de Datos'!$E$7:$Z$303,21,0)</f>
        <v>1</v>
      </c>
      <c r="N65" s="390" t="str">
        <f t="shared" ca="1" si="5"/>
        <v/>
      </c>
      <c r="O65" s="328">
        <f ca="1">VLOOKUP(B65,'Base de Datos'!$E$7:$Z$303,22,0)</f>
        <v>1</v>
      </c>
      <c r="P65" s="389">
        <f t="shared" ca="1" si="2"/>
        <v>2162</v>
      </c>
      <c r="Q65" s="402">
        <f t="shared" ca="1" si="6"/>
        <v>18.016666666666666</v>
      </c>
      <c r="R65" s="324" t="str">
        <f ca="1">VLOOKUP(B65,'Base de Datos'!E65:AR361,33,0)</f>
        <v>TERMINO</v>
      </c>
      <c r="S65" s="327" t="str">
        <f t="shared" ca="1" si="3"/>
        <v>NO</v>
      </c>
      <c r="T65" s="324" t="str">
        <f t="shared" ca="1" si="4"/>
        <v>Liquidar</v>
      </c>
      <c r="U65" s="324">
        <f>VLOOKUP(B65,'Base de Datos'!$E$7:$AR$401,38,0)</f>
        <v>41982</v>
      </c>
    </row>
    <row r="66" spans="1:21" ht="23.25" customHeight="1" thickTop="1" thickBot="1" x14ac:dyDescent="0.3">
      <c r="A66" s="108">
        <v>60</v>
      </c>
      <c r="B66" s="324" t="str">
        <f>+'Base de Datos'!E66</f>
        <v>120000-406-0-2012</v>
      </c>
      <c r="C66" s="324" t="str">
        <f>+'Base de Datos'!F66</f>
        <v>GRUPO EDITORIAL EL PERIÓDICO S.A.S</v>
      </c>
      <c r="D66" s="325">
        <f>+'Base de Datos'!I66</f>
        <v>810000</v>
      </c>
      <c r="E66" s="326">
        <f>+'Base de Datos'!M66</f>
        <v>41193</v>
      </c>
      <c r="F66" s="326">
        <f>+'Base de Datos'!N66</f>
        <v>41558</v>
      </c>
      <c r="G66" s="326">
        <f>+'Base de Datos'!T66</f>
        <v>41558</v>
      </c>
      <c r="H66" s="325">
        <f>+'Base de Datos'!U66</f>
        <v>810000</v>
      </c>
      <c r="I66" s="327" t="str">
        <f>IF(VLOOKUP(B66,'Base de Datos'!$E$7:$S$303,11,0),"SI","NO")</f>
        <v>NO</v>
      </c>
      <c r="J66" s="328" t="str">
        <f t="shared" si="0"/>
        <v/>
      </c>
      <c r="K66" s="327" t="str">
        <f>IF(VLOOKUP(B66,'Base de Datos'!$E$7:$S$303,11,0),"SI","NO")</f>
        <v>NO</v>
      </c>
      <c r="L66" s="328" t="str">
        <f t="shared" si="1"/>
        <v/>
      </c>
      <c r="M66" s="328">
        <f>VLOOKUP(B66,'Base de Datos'!$E$7:$Z$303,21,0)</f>
        <v>1</v>
      </c>
      <c r="N66" s="390" t="str">
        <f t="shared" ca="1" si="5"/>
        <v/>
      </c>
      <c r="O66" s="328">
        <f ca="1">VLOOKUP(B66,'Base de Datos'!$E$7:$Z$303,22,0)</f>
        <v>1</v>
      </c>
      <c r="P66" s="389">
        <f t="shared" ca="1" si="2"/>
        <v>2085</v>
      </c>
      <c r="Q66" s="402">
        <f t="shared" ca="1" si="6"/>
        <v>17.375</v>
      </c>
      <c r="R66" s="324" t="str">
        <f ca="1">VLOOKUP(B66,'Base de Datos'!E66:AR362,33,0)</f>
        <v>TERMINO</v>
      </c>
      <c r="S66" s="327" t="str">
        <f t="shared" ca="1" si="3"/>
        <v>NO</v>
      </c>
      <c r="T66" s="324" t="str">
        <f t="shared" ca="1" si="4"/>
        <v>Liquidar</v>
      </c>
      <c r="U66" s="324">
        <f>VLOOKUP(B66,'Base de Datos'!$E$7:$AR$401,38,0)</f>
        <v>0</v>
      </c>
    </row>
    <row r="67" spans="1:21" ht="23.25" customHeight="1" thickTop="1" thickBot="1" x14ac:dyDescent="0.3">
      <c r="A67" s="108">
        <v>61</v>
      </c>
      <c r="B67" s="324" t="str">
        <f>+'Base de Datos'!E67</f>
        <v>120000-416-0-2012</v>
      </c>
      <c r="C67" s="324" t="str">
        <f>+'Base de Datos'!F67</f>
        <v xml:space="preserve">COMPAÑÍA COLOMBIANA DE CONSTRUCCIÓN COD S.A. </v>
      </c>
      <c r="D67" s="325">
        <f>+'Base de Datos'!I67</f>
        <v>299287875</v>
      </c>
      <c r="E67" s="326">
        <f>+'Base de Datos'!M67</f>
        <v>41208</v>
      </c>
      <c r="F67" s="326">
        <f>+'Base de Datos'!N67</f>
        <v>41451</v>
      </c>
      <c r="G67" s="326">
        <f>+'Base de Datos'!T67</f>
        <v>41451</v>
      </c>
      <c r="H67" s="325">
        <f>+'Base de Datos'!U67</f>
        <v>299287875</v>
      </c>
      <c r="I67" s="327" t="str">
        <f>IF(VLOOKUP(B67,'Base de Datos'!$E$7:$S$303,11,0),"SI","NO")</f>
        <v>NO</v>
      </c>
      <c r="J67" s="328" t="str">
        <f t="shared" si="0"/>
        <v/>
      </c>
      <c r="K67" s="327" t="str">
        <f>IF(VLOOKUP(B67,'Base de Datos'!$E$7:$S$303,11,0),"SI","NO")</f>
        <v>NO</v>
      </c>
      <c r="L67" s="328" t="str">
        <f t="shared" si="1"/>
        <v/>
      </c>
      <c r="M67" s="328">
        <f>VLOOKUP(B67,'Base de Datos'!$E$7:$Z$303,21,0)</f>
        <v>0.53742565080526572</v>
      </c>
      <c r="N67" s="390" t="str">
        <f t="shared" ca="1" si="5"/>
        <v/>
      </c>
      <c r="O67" s="328">
        <f ca="1">VLOOKUP(B67,'Base de Datos'!$E$7:$Z$303,22,0)</f>
        <v>1</v>
      </c>
      <c r="P67" s="389">
        <f t="shared" ca="1" si="2"/>
        <v>2192</v>
      </c>
      <c r="Q67" s="402">
        <f t="shared" ca="1" si="6"/>
        <v>18.266666666666666</v>
      </c>
      <c r="R67" s="324" t="str">
        <f ca="1">VLOOKUP(B67,'Base de Datos'!E67:AR363,33,0)</f>
        <v>TERMINO</v>
      </c>
      <c r="S67" s="327" t="str">
        <f t="shared" ca="1" si="3"/>
        <v>NO</v>
      </c>
      <c r="T67" s="324" t="str">
        <f t="shared" ca="1" si="4"/>
        <v>Liquidar</v>
      </c>
      <c r="U67" s="324">
        <f>VLOOKUP(B67,'Base de Datos'!$E$7:$AR$401,38,0)</f>
        <v>41799</v>
      </c>
    </row>
    <row r="68" spans="1:21" ht="23.25" customHeight="1" thickTop="1" thickBot="1" x14ac:dyDescent="0.3">
      <c r="A68" s="108">
        <v>62</v>
      </c>
      <c r="B68" s="324" t="str">
        <f>+'Base de Datos'!E68</f>
        <v>120000-420-0-2012</v>
      </c>
      <c r="C68" s="324" t="str">
        <f>+'Base de Datos'!F68</f>
        <v xml:space="preserve">MEDIDORES TÉCNICA EQUIPOS S.A. </v>
      </c>
      <c r="D68" s="325">
        <f>+'Base de Datos'!I68</f>
        <v>1392000</v>
      </c>
      <c r="E68" s="326">
        <f>+'Base de Datos'!M68</f>
        <v>41242</v>
      </c>
      <c r="F68" s="326">
        <f>+'Base de Datos'!N68</f>
        <v>41303</v>
      </c>
      <c r="G68" s="326">
        <f>+'Base de Datos'!T68</f>
        <v>41534</v>
      </c>
      <c r="H68" s="325">
        <f>+'Base de Datos'!U68</f>
        <v>1392000</v>
      </c>
      <c r="I68" s="327" t="str">
        <f>IF(VLOOKUP(B68,'Base de Datos'!$E$7:$S$303,11,0),"SI","NO")</f>
        <v>NO</v>
      </c>
      <c r="J68" s="328" t="str">
        <f t="shared" si="0"/>
        <v/>
      </c>
      <c r="K68" s="327" t="str">
        <f>IF(VLOOKUP(B68,'Base de Datos'!$E$7:$S$303,11,0),"SI","NO")</f>
        <v>NO</v>
      </c>
      <c r="L68" s="328" t="str">
        <f t="shared" si="1"/>
        <v/>
      </c>
      <c r="M68" s="328">
        <f>VLOOKUP(B68,'Base de Datos'!$E$7:$Z$303,21,0)</f>
        <v>0</v>
      </c>
      <c r="N68" s="390" t="str">
        <f t="shared" ca="1" si="5"/>
        <v/>
      </c>
      <c r="O68" s="328">
        <f ca="1">VLOOKUP(B68,'Base de Datos'!$E$7:$Z$303,22,0)</f>
        <v>1</v>
      </c>
      <c r="P68" s="389">
        <f t="shared" ca="1" si="2"/>
        <v>2109</v>
      </c>
      <c r="Q68" s="402">
        <f t="shared" ca="1" si="6"/>
        <v>17.574999999999999</v>
      </c>
      <c r="R68" s="324" t="str">
        <f ca="1">VLOOKUP(B68,'Base de Datos'!E68:AR364,33,0)</f>
        <v>TERMINO</v>
      </c>
      <c r="S68" s="327" t="str">
        <f t="shared" ca="1" si="3"/>
        <v>NO</v>
      </c>
      <c r="T68" s="324" t="str">
        <f t="shared" ca="1" si="4"/>
        <v>Liquidar</v>
      </c>
      <c r="U68" s="324">
        <f>VLOOKUP(B68,'Base de Datos'!$E$7:$AR$401,38,0)</f>
        <v>0</v>
      </c>
    </row>
    <row r="69" spans="1:21" ht="23.25" customHeight="1" thickTop="1" thickBot="1" x14ac:dyDescent="0.3">
      <c r="A69" s="108">
        <v>63</v>
      </c>
      <c r="B69" s="324" t="str">
        <f>+'Base de Datos'!E69</f>
        <v>120000-425-0-2012</v>
      </c>
      <c r="C69" s="324" t="str">
        <f>+'Base de Datos'!F69</f>
        <v>INDUARCHIVOS LTDA</v>
      </c>
      <c r="D69" s="325">
        <f>+'Base de Datos'!I69</f>
        <v>4056000</v>
      </c>
      <c r="E69" s="326">
        <f>+'Base de Datos'!M69</f>
        <v>41208</v>
      </c>
      <c r="F69" s="326">
        <f>+'Base de Datos'!N69</f>
        <v>41390</v>
      </c>
      <c r="G69" s="326">
        <f>+'Base de Datos'!T69</f>
        <v>41390</v>
      </c>
      <c r="H69" s="325">
        <f>+'Base de Datos'!U69</f>
        <v>4056000</v>
      </c>
      <c r="I69" s="327" t="str">
        <f>IF(VLOOKUP(B69,'Base de Datos'!$E$7:$S$303,11,0),"SI","NO")</f>
        <v>NO</v>
      </c>
      <c r="J69" s="328" t="str">
        <f t="shared" si="0"/>
        <v/>
      </c>
      <c r="K69" s="327" t="str">
        <f>IF(VLOOKUP(B69,'Base de Datos'!$E$7:$S$303,11,0),"SI","NO")</f>
        <v>NO</v>
      </c>
      <c r="L69" s="328" t="str">
        <f t="shared" si="1"/>
        <v/>
      </c>
      <c r="M69" s="328">
        <f>VLOOKUP(B69,'Base de Datos'!$E$7:$Z$303,21,0)</f>
        <v>1</v>
      </c>
      <c r="N69" s="390" t="str">
        <f t="shared" ca="1" si="5"/>
        <v/>
      </c>
      <c r="O69" s="328">
        <f ca="1">VLOOKUP(B69,'Base de Datos'!$E$7:$Z$303,22,0)</f>
        <v>1</v>
      </c>
      <c r="P69" s="389">
        <f t="shared" ca="1" si="2"/>
        <v>2253</v>
      </c>
      <c r="Q69" s="402">
        <f t="shared" ca="1" si="6"/>
        <v>18.774999999999999</v>
      </c>
      <c r="R69" s="324" t="str">
        <f ca="1">VLOOKUP(B69,'Base de Datos'!E69:AR365,33,0)</f>
        <v>TERMINO</v>
      </c>
      <c r="S69" s="327" t="str">
        <f t="shared" ca="1" si="3"/>
        <v>NO</v>
      </c>
      <c r="T69" s="324" t="str">
        <f t="shared" ca="1" si="4"/>
        <v>Liquidar</v>
      </c>
      <c r="U69" s="324">
        <f>VLOOKUP(B69,'Base de Datos'!$E$7:$AR$401,38,0)</f>
        <v>42303</v>
      </c>
    </row>
    <row r="70" spans="1:21" ht="23.25" customHeight="1" thickTop="1" thickBot="1" x14ac:dyDescent="0.3">
      <c r="A70" s="108">
        <v>64</v>
      </c>
      <c r="B70" s="324" t="str">
        <f>+'Base de Datos'!E70</f>
        <v>120000-442-0-2012</v>
      </c>
      <c r="C70" s="324" t="str">
        <f>+'Base de Datos'!F70</f>
        <v>UNIÓN TEMPORAL VISE - VIGILANCIA ACOSTA - COSERVICREA - RUMBO</v>
      </c>
      <c r="D70" s="325">
        <f>+'Base de Datos'!I70</f>
        <v>431745000</v>
      </c>
      <c r="E70" s="326">
        <f>+'Base de Datos'!M70</f>
        <v>41214</v>
      </c>
      <c r="F70" s="326">
        <f>+'Base de Datos'!N70</f>
        <v>41518</v>
      </c>
      <c r="G70" s="326">
        <f>+'Base de Datos'!T70</f>
        <v>41579</v>
      </c>
      <c r="H70" s="325">
        <f>+'Base de Datos'!U70</f>
        <v>526745000</v>
      </c>
      <c r="I70" s="327" t="str">
        <f>IF(VLOOKUP(B70,'Base de Datos'!$E$7:$S$303,11,0),"SI","NO")</f>
        <v>SI</v>
      </c>
      <c r="J70" s="328">
        <f t="shared" si="0"/>
        <v>0.20065789473684212</v>
      </c>
      <c r="K70" s="327" t="str">
        <f>IF(VLOOKUP(B70,'Base de Datos'!$E$7:$S$303,11,0),"SI","NO")</f>
        <v>SI</v>
      </c>
      <c r="L70" s="328">
        <f t="shared" si="1"/>
        <v>0.22003729053028986</v>
      </c>
      <c r="M70" s="328">
        <f>VLOOKUP(B70,'Base de Datos'!$E$7:$Z$303,21,0)</f>
        <v>1</v>
      </c>
      <c r="N70" s="390" t="str">
        <f t="shared" ca="1" si="5"/>
        <v/>
      </c>
      <c r="O70" s="328">
        <f ca="1">VLOOKUP(B70,'Base de Datos'!$E$7:$Z$303,22,0)</f>
        <v>1</v>
      </c>
      <c r="P70" s="389">
        <f t="shared" ca="1" si="2"/>
        <v>2064</v>
      </c>
      <c r="Q70" s="402">
        <f t="shared" ca="1" si="6"/>
        <v>17.2</v>
      </c>
      <c r="R70" s="324" t="str">
        <f ca="1">VLOOKUP(B70,'Base de Datos'!E70:AR366,33,0)</f>
        <v>TERMINO</v>
      </c>
      <c r="S70" s="327" t="str">
        <f t="shared" ca="1" si="3"/>
        <v>NO</v>
      </c>
      <c r="T70" s="324" t="str">
        <f t="shared" ca="1" si="4"/>
        <v>Liquidar</v>
      </c>
      <c r="U70" s="324">
        <f>VLOOKUP(B70,'Base de Datos'!$E$7:$AR$401,38,0)</f>
        <v>0</v>
      </c>
    </row>
    <row r="71" spans="1:21" ht="23.25" customHeight="1" thickTop="1" thickBot="1" x14ac:dyDescent="0.3">
      <c r="A71" s="108">
        <v>65</v>
      </c>
      <c r="B71" s="324" t="str">
        <f>+'Base de Datos'!E71</f>
        <v>120000-451-0-2012</v>
      </c>
      <c r="C71" s="324" t="str">
        <f>+'Base de Datos'!F71</f>
        <v>CAJA DE COMPENSACIÓN FAMILIAR COMPENSAR - BIENESTAR</v>
      </c>
      <c r="D71" s="325">
        <f>+'Base de Datos'!I71</f>
        <v>407400000</v>
      </c>
      <c r="E71" s="326">
        <f>+'Base de Datos'!M71</f>
        <v>41232</v>
      </c>
      <c r="F71" s="326">
        <f>+'Base de Datos'!N71</f>
        <v>41383</v>
      </c>
      <c r="G71" s="326">
        <f>+'Base de Datos'!T71</f>
        <v>41562</v>
      </c>
      <c r="H71" s="325">
        <f>+'Base de Datos'!U71</f>
        <v>619289880</v>
      </c>
      <c r="I71" s="327" t="str">
        <f>IF(VLOOKUP(B71,'Base de Datos'!$E$7:$S$303,11,0),"SI","NO")</f>
        <v>SI</v>
      </c>
      <c r="J71" s="328">
        <f t="shared" ref="J71:J134" si="7">IF(I71=$AB$7,((G71-F71)*100%)/(F71-E71),"")</f>
        <v>1.185430463576159</v>
      </c>
      <c r="K71" s="327" t="str">
        <f>IF(VLOOKUP(B71,'Base de Datos'!$E$7:$S$303,11,0),"SI","NO")</f>
        <v>SI</v>
      </c>
      <c r="L71" s="328">
        <f t="shared" ref="L71:L134" si="8">IF(K71=$AB$7,((H71-D71)*100%)/(D71),"")</f>
        <v>0.52010279823269512</v>
      </c>
      <c r="M71" s="328">
        <f>VLOOKUP(B71,'Base de Datos'!$E$7:$Z$303,21,0)</f>
        <v>1</v>
      </c>
      <c r="N71" s="390" t="str">
        <f t="shared" ca="1" si="5"/>
        <v/>
      </c>
      <c r="O71" s="328">
        <f ca="1">VLOOKUP(B71,'Base de Datos'!$E$7:$Z$303,22,0)</f>
        <v>1</v>
      </c>
      <c r="P71" s="389">
        <f t="shared" ref="P71:P134" ca="1" si="9">IF(R71=$AC$7,"",IFERROR(IF(R71=$AC$8,"",($C$5-G71)),""))</f>
        <v>2081</v>
      </c>
      <c r="Q71" s="402">
        <f t="shared" ca="1" si="6"/>
        <v>17.341666666666665</v>
      </c>
      <c r="R71" s="324" t="str">
        <f ca="1">VLOOKUP(B71,'Base de Datos'!E71:AR367,33,0)</f>
        <v>TERMINO</v>
      </c>
      <c r="S71" s="327" t="str">
        <f t="shared" ref="S71:S134" ca="1" si="10">IF((TODAY()-G71&lt;900),"SI","NO")</f>
        <v>NO</v>
      </c>
      <c r="T71" s="324" t="str">
        <f t="shared" ref="T71:T134" ca="1" si="11">IF(R71=$AC$8,"",IF(O71=100%,"Liquidar",IF(R71=$AC$7,"Supervisar","")))</f>
        <v>Liquidar</v>
      </c>
      <c r="U71" s="324">
        <f>VLOOKUP(B71,'Base de Datos'!$E$7:$AR$401,38,0)</f>
        <v>42017</v>
      </c>
    </row>
    <row r="72" spans="1:21" ht="23.25" customHeight="1" thickTop="1" thickBot="1" x14ac:dyDescent="0.3">
      <c r="A72" s="108">
        <v>66</v>
      </c>
      <c r="B72" s="324" t="str">
        <f>+'Base de Datos'!E72</f>
        <v>120000-456-0-2012</v>
      </c>
      <c r="C72" s="324" t="str">
        <f>+'Base de Datos'!F72</f>
        <v>MIGUEL ANDRÉS GUTIÉRREZ ROMERO</v>
      </c>
      <c r="D72" s="325">
        <f>+'Base de Datos'!I72</f>
        <v>37359000</v>
      </c>
      <c r="E72" s="326">
        <f>+'Base de Datos'!M72</f>
        <v>41234</v>
      </c>
      <c r="F72" s="326">
        <f>+'Base de Datos'!N72</f>
        <v>41446</v>
      </c>
      <c r="G72" s="326">
        <f>+'Base de Datos'!T72</f>
        <v>41446</v>
      </c>
      <c r="H72" s="325">
        <f>+'Base de Datos'!U72</f>
        <v>37359000</v>
      </c>
      <c r="I72" s="327" t="str">
        <f>IF(VLOOKUP(B72,'Base de Datos'!$E$7:$S$303,11,0),"SI","NO")</f>
        <v>NO</v>
      </c>
      <c r="J72" s="328" t="str">
        <f t="shared" si="7"/>
        <v/>
      </c>
      <c r="K72" s="327" t="str">
        <f>IF(VLOOKUP(B72,'Base de Datos'!$E$7:$S$303,11,0),"SI","NO")</f>
        <v>NO</v>
      </c>
      <c r="L72" s="328" t="str">
        <f t="shared" si="8"/>
        <v/>
      </c>
      <c r="M72" s="328">
        <f>VLOOKUP(B72,'Base de Datos'!$E$7:$Z$303,21,0)</f>
        <v>1</v>
      </c>
      <c r="N72" s="390" t="str">
        <f t="shared" ref="N72:N135" ca="1" si="12">IF(G72&lt;TODAY(),"",G72-TODAY())</f>
        <v/>
      </c>
      <c r="O72" s="328">
        <f ca="1">VLOOKUP(B72,'Base de Datos'!$E$7:$Z$303,22,0)</f>
        <v>1</v>
      </c>
      <c r="P72" s="389">
        <f t="shared" ca="1" si="9"/>
        <v>2197</v>
      </c>
      <c r="Q72" s="402">
        <f t="shared" ref="Q72:Q135" ca="1" si="13">IF(P72=0,"",(P72*100%)/120)</f>
        <v>18.308333333333334</v>
      </c>
      <c r="R72" s="324" t="str">
        <f ca="1">VLOOKUP(B72,'Base de Datos'!E72:AR368,33,0)</f>
        <v>TERMINO</v>
      </c>
      <c r="S72" s="327" t="str">
        <f t="shared" ca="1" si="10"/>
        <v>NO</v>
      </c>
      <c r="T72" s="324" t="str">
        <f t="shared" ca="1" si="11"/>
        <v>Liquidar</v>
      </c>
      <c r="U72" s="324">
        <f>VLOOKUP(B72,'Base de Datos'!$E$7:$AR$401,38,0)</f>
        <v>42234</v>
      </c>
    </row>
    <row r="73" spans="1:21" ht="23.25" customHeight="1" thickTop="1" thickBot="1" x14ac:dyDescent="0.3">
      <c r="A73" s="108">
        <v>67</v>
      </c>
      <c r="B73" s="324" t="str">
        <f>+'Base de Datos'!E73</f>
        <v>120000-464-0-2012</v>
      </c>
      <c r="C73" s="324" t="str">
        <f>+'Base de Datos'!F73</f>
        <v>CR TROFEOS LTDA</v>
      </c>
      <c r="D73" s="325">
        <f>+'Base de Datos'!I73</f>
        <v>20358000</v>
      </c>
      <c r="E73" s="326">
        <f>+'Base de Datos'!M73</f>
        <v>41240</v>
      </c>
      <c r="F73" s="326">
        <f>+'Base de Datos'!N73</f>
        <v>41421</v>
      </c>
      <c r="G73" s="326">
        <f>+'Base de Datos'!T73</f>
        <v>41452</v>
      </c>
      <c r="H73" s="325">
        <f>+'Base de Datos'!U73</f>
        <v>28420000</v>
      </c>
      <c r="I73" s="327" t="str">
        <f>IF(VLOOKUP(B73,'Base de Datos'!$E$7:$S$303,11,0),"SI","NO")</f>
        <v>SI</v>
      </c>
      <c r="J73" s="328">
        <f t="shared" si="7"/>
        <v>0.17127071823204421</v>
      </c>
      <c r="K73" s="327" t="str">
        <f>IF(VLOOKUP(B73,'Base de Datos'!$E$7:$S$303,11,0),"SI","NO")</f>
        <v>SI</v>
      </c>
      <c r="L73" s="328">
        <f t="shared" si="8"/>
        <v>0.39601139601139601</v>
      </c>
      <c r="M73" s="328">
        <f>VLOOKUP(B73,'Base de Datos'!$E$7:$Z$303,21,0)</f>
        <v>0.99857142857142855</v>
      </c>
      <c r="N73" s="390" t="str">
        <f t="shared" ca="1" si="12"/>
        <v/>
      </c>
      <c r="O73" s="328">
        <f ca="1">VLOOKUP(B73,'Base de Datos'!$E$7:$Z$303,22,0)</f>
        <v>1</v>
      </c>
      <c r="P73" s="389">
        <f t="shared" ca="1" si="9"/>
        <v>2191</v>
      </c>
      <c r="Q73" s="402">
        <f t="shared" ca="1" si="13"/>
        <v>18.258333333333333</v>
      </c>
      <c r="R73" s="324" t="str">
        <f ca="1">VLOOKUP(B73,'Base de Datos'!E73:AR369,33,0)</f>
        <v>TERMINO</v>
      </c>
      <c r="S73" s="327" t="str">
        <f t="shared" ca="1" si="10"/>
        <v>NO</v>
      </c>
      <c r="T73" s="324" t="str">
        <f t="shared" ca="1" si="11"/>
        <v>Liquidar</v>
      </c>
      <c r="U73" s="324">
        <f>VLOOKUP(B73,'Base de Datos'!$E$7:$AR$401,38,0)</f>
        <v>42107</v>
      </c>
    </row>
    <row r="74" spans="1:21" ht="23.25" customHeight="1" thickTop="1" thickBot="1" x14ac:dyDescent="0.3">
      <c r="A74" s="108">
        <v>68</v>
      </c>
      <c r="B74" s="324" t="str">
        <f>+'Base de Datos'!E74</f>
        <v>120000-466-0-2012</v>
      </c>
      <c r="C74" s="324" t="str">
        <f>+'Base de Datos'!F74</f>
        <v>JARDÍN BOTÁNICO</v>
      </c>
      <c r="D74" s="325">
        <f>+'Base de Datos'!I74</f>
        <v>6388708</v>
      </c>
      <c r="E74" s="326">
        <f>+'Base de Datos'!M74</f>
        <v>41248</v>
      </c>
      <c r="F74" s="326">
        <f>+'Base de Datos'!N74</f>
        <v>41500</v>
      </c>
      <c r="G74" s="326">
        <f>+'Base de Datos'!T74</f>
        <v>41580</v>
      </c>
      <c r="H74" s="325">
        <f>+'Base de Datos'!U74</f>
        <v>9037264</v>
      </c>
      <c r="I74" s="327" t="str">
        <f>IF(VLOOKUP(B74,'Base de Datos'!$E$7:$S$303,11,0),"SI","NO")</f>
        <v>SI</v>
      </c>
      <c r="J74" s="328">
        <f t="shared" si="7"/>
        <v>0.31746031746031744</v>
      </c>
      <c r="K74" s="327" t="str">
        <f>IF(VLOOKUP(B74,'Base de Datos'!$E$7:$S$303,11,0),"SI","NO")</f>
        <v>SI</v>
      </c>
      <c r="L74" s="328">
        <f t="shared" si="8"/>
        <v>0.41456832899547136</v>
      </c>
      <c r="M74" s="328">
        <f>VLOOKUP(B74,'Base de Datos'!$E$7:$Z$303,21,0)</f>
        <v>0.82905844069621071</v>
      </c>
      <c r="N74" s="390" t="str">
        <f t="shared" ca="1" si="12"/>
        <v/>
      </c>
      <c r="O74" s="328">
        <f ca="1">VLOOKUP(B74,'Base de Datos'!$E$7:$Z$303,22,0)</f>
        <v>1</v>
      </c>
      <c r="P74" s="389">
        <f t="shared" ca="1" si="9"/>
        <v>2063</v>
      </c>
      <c r="Q74" s="402">
        <f t="shared" ca="1" si="13"/>
        <v>17.191666666666666</v>
      </c>
      <c r="R74" s="324" t="str">
        <f ca="1">VLOOKUP(B74,'Base de Datos'!E74:AR370,33,0)</f>
        <v>TERMINO</v>
      </c>
      <c r="S74" s="327" t="str">
        <f t="shared" ca="1" si="10"/>
        <v>NO</v>
      </c>
      <c r="T74" s="324" t="str">
        <f t="shared" ca="1" si="11"/>
        <v>Liquidar</v>
      </c>
      <c r="U74" s="324">
        <f>VLOOKUP(B74,'Base de Datos'!$E$7:$AR$401,38,0)</f>
        <v>42278</v>
      </c>
    </row>
    <row r="75" spans="1:21" ht="23.25" customHeight="1" thickTop="1" thickBot="1" x14ac:dyDescent="0.3">
      <c r="A75" s="108">
        <v>69</v>
      </c>
      <c r="B75" s="324" t="str">
        <f>+'Base de Datos'!E75</f>
        <v>120000-478-0-2012</v>
      </c>
      <c r="C75" s="324" t="str">
        <f>+'Base de Datos'!F75</f>
        <v>CAJA COLOMBIANA DE SUBSIDIO FAMILIAR - COLSUBSIDIO - BONOS</v>
      </c>
      <c r="D75" s="325">
        <f>+'Base de Datos'!I75</f>
        <v>58300000</v>
      </c>
      <c r="E75" s="326">
        <f>+'Base de Datos'!M75</f>
        <v>41260</v>
      </c>
      <c r="F75" s="326">
        <f>+'Base de Datos'!N75</f>
        <v>41322</v>
      </c>
      <c r="G75" s="326">
        <f>+'Base de Datos'!T75</f>
        <v>41322</v>
      </c>
      <c r="H75" s="325">
        <f>+'Base de Datos'!U75</f>
        <v>58300000</v>
      </c>
      <c r="I75" s="327" t="str">
        <f>IF(VLOOKUP(B75,'Base de Datos'!$E$7:$S$303,11,0),"SI","NO")</f>
        <v>NO</v>
      </c>
      <c r="J75" s="328" t="str">
        <f t="shared" si="7"/>
        <v/>
      </c>
      <c r="K75" s="327" t="str">
        <f>IF(VLOOKUP(B75,'Base de Datos'!$E$7:$S$303,11,0),"SI","NO")</f>
        <v>NO</v>
      </c>
      <c r="L75" s="328" t="str">
        <f t="shared" si="8"/>
        <v/>
      </c>
      <c r="M75" s="328">
        <f>VLOOKUP(B75,'Base de Datos'!$E$7:$Z$303,21,0)</f>
        <v>1</v>
      </c>
      <c r="N75" s="390" t="str">
        <f t="shared" ca="1" si="12"/>
        <v/>
      </c>
      <c r="O75" s="328">
        <f ca="1">VLOOKUP(B75,'Base de Datos'!$E$7:$Z$303,22,0)</f>
        <v>1</v>
      </c>
      <c r="P75" s="389">
        <f t="shared" ca="1" si="9"/>
        <v>2321</v>
      </c>
      <c r="Q75" s="402">
        <f t="shared" ca="1" si="13"/>
        <v>19.341666666666665</v>
      </c>
      <c r="R75" s="324" t="str">
        <f ca="1">VLOOKUP(B75,'Base de Datos'!E75:AR371,33,0)</f>
        <v>TERMINO</v>
      </c>
      <c r="S75" s="327" t="str">
        <f t="shared" ca="1" si="10"/>
        <v>NO</v>
      </c>
      <c r="T75" s="324" t="str">
        <f t="shared" ca="1" si="11"/>
        <v>Liquidar</v>
      </c>
      <c r="U75" s="324">
        <f>VLOOKUP(B75,'Base de Datos'!$E$7:$AR$401,38,0)</f>
        <v>42121</v>
      </c>
    </row>
    <row r="76" spans="1:21" ht="23.25" customHeight="1" thickTop="1" thickBot="1" x14ac:dyDescent="0.3">
      <c r="A76" s="108">
        <v>70</v>
      </c>
      <c r="B76" s="324" t="str">
        <f>+'Base de Datos'!E76</f>
        <v>120000-483-0-2012</v>
      </c>
      <c r="C76" s="324" t="str">
        <f>+'Base de Datos'!F76</f>
        <v>SERVIMEDIOS LTDA</v>
      </c>
      <c r="D76" s="325">
        <f>+'Base de Datos'!I76</f>
        <v>293000000</v>
      </c>
      <c r="E76" s="326">
        <f>+'Base de Datos'!M76</f>
        <v>41269</v>
      </c>
      <c r="F76" s="326">
        <f>+'Base de Datos'!N76</f>
        <v>41451</v>
      </c>
      <c r="G76" s="326">
        <f>+'Base de Datos'!T76</f>
        <v>41593</v>
      </c>
      <c r="H76" s="325">
        <f>+'Base de Datos'!U76</f>
        <v>411000000</v>
      </c>
      <c r="I76" s="327" t="str">
        <f>IF(VLOOKUP(B76,'Base de Datos'!$E$7:$S$303,11,0),"SI","NO")</f>
        <v>SI</v>
      </c>
      <c r="J76" s="328">
        <f t="shared" si="7"/>
        <v>0.78021978021978022</v>
      </c>
      <c r="K76" s="327" t="str">
        <f>IF(VLOOKUP(B76,'Base de Datos'!$E$7:$S$303,11,0),"SI","NO")</f>
        <v>SI</v>
      </c>
      <c r="L76" s="328">
        <f t="shared" si="8"/>
        <v>0.40273037542662116</v>
      </c>
      <c r="M76" s="328">
        <f>VLOOKUP(B76,'Base de Datos'!$E$7:$Z$303,21,0)</f>
        <v>1</v>
      </c>
      <c r="N76" s="390" t="str">
        <f t="shared" ca="1" si="12"/>
        <v/>
      </c>
      <c r="O76" s="328">
        <f ca="1">VLOOKUP(B76,'Base de Datos'!$E$7:$Z$303,22,0)</f>
        <v>1</v>
      </c>
      <c r="P76" s="389">
        <f t="shared" ca="1" si="9"/>
        <v>2050</v>
      </c>
      <c r="Q76" s="402">
        <f t="shared" ca="1" si="13"/>
        <v>17.083333333333332</v>
      </c>
      <c r="R76" s="324" t="str">
        <f ca="1">VLOOKUP(B76,'Base de Datos'!E76:AR372,33,0)</f>
        <v>TERMINO</v>
      </c>
      <c r="S76" s="327" t="str">
        <f t="shared" ca="1" si="10"/>
        <v>NO</v>
      </c>
      <c r="T76" s="324" t="str">
        <f t="shared" ca="1" si="11"/>
        <v>Liquidar</v>
      </c>
      <c r="U76" s="324">
        <f>VLOOKUP(B76,'Base de Datos'!$E$7:$AR$401,38,0)</f>
        <v>0</v>
      </c>
    </row>
    <row r="77" spans="1:21" ht="23.25" customHeight="1" thickTop="1" thickBot="1" x14ac:dyDescent="0.3">
      <c r="A77" s="108">
        <v>71</v>
      </c>
      <c r="B77" s="324" t="str">
        <f>+'Base de Datos'!E77</f>
        <v>120000-490-0-2012</v>
      </c>
      <c r="C77" s="324" t="str">
        <f>+'Base de Datos'!F77</f>
        <v>SISTEMAS INTEGRALES DE TRATAMIENTOS DE AGUAS LTDA - ACUANATURA</v>
      </c>
      <c r="D77" s="325">
        <f>+'Base de Datos'!I77</f>
        <v>10032000</v>
      </c>
      <c r="E77" s="326">
        <f>+'Base de Datos'!M77</f>
        <v>41271</v>
      </c>
      <c r="F77" s="326">
        <f>+'Base de Datos'!N77</f>
        <v>41514</v>
      </c>
      <c r="G77" s="326">
        <f>+'Base de Datos'!T77</f>
        <v>41575</v>
      </c>
      <c r="H77" s="325">
        <f>+'Base de Datos'!U77</f>
        <v>10032000</v>
      </c>
      <c r="I77" s="327" t="str">
        <f>IF(VLOOKUP(B77,'Base de Datos'!$E$7:$S$303,11,0),"SI","NO")</f>
        <v>NO</v>
      </c>
      <c r="J77" s="328" t="str">
        <f t="shared" si="7"/>
        <v/>
      </c>
      <c r="K77" s="327" t="str">
        <f>IF(VLOOKUP(B77,'Base de Datos'!$E$7:$S$303,11,0),"SI","NO")</f>
        <v>NO</v>
      </c>
      <c r="L77" s="328" t="str">
        <f t="shared" si="8"/>
        <v/>
      </c>
      <c r="M77" s="328">
        <f>VLOOKUP(B77,'Base de Datos'!$E$7:$Z$303,21,0)</f>
        <v>0.93101375598086122</v>
      </c>
      <c r="N77" s="390" t="str">
        <f t="shared" ca="1" si="12"/>
        <v/>
      </c>
      <c r="O77" s="328">
        <f ca="1">VLOOKUP(B77,'Base de Datos'!$E$7:$Z$303,22,0)</f>
        <v>1</v>
      </c>
      <c r="P77" s="389">
        <f t="shared" ca="1" si="9"/>
        <v>2068</v>
      </c>
      <c r="Q77" s="402">
        <f t="shared" ca="1" si="13"/>
        <v>17.233333333333334</v>
      </c>
      <c r="R77" s="324" t="str">
        <f ca="1">VLOOKUP(B77,'Base de Datos'!E77:AR374,33,0)</f>
        <v>TERMINO</v>
      </c>
      <c r="S77" s="327" t="str">
        <f t="shared" ca="1" si="10"/>
        <v>NO</v>
      </c>
      <c r="T77" s="324" t="str">
        <f t="shared" ca="1" si="11"/>
        <v>Liquidar</v>
      </c>
      <c r="U77" s="324">
        <f>VLOOKUP(B77,'Base de Datos'!$E$7:$AR$401,38,0)</f>
        <v>42321</v>
      </c>
    </row>
    <row r="78" spans="1:21" ht="23.25" customHeight="1" thickTop="1" thickBot="1" x14ac:dyDescent="0.3">
      <c r="A78" s="108">
        <v>72</v>
      </c>
      <c r="B78" s="324" t="str">
        <f>+'Base de Datos'!E78</f>
        <v>120000-494-0-2012</v>
      </c>
      <c r="C78" s="324" t="str">
        <f>+'Base de Datos'!F78</f>
        <v>DIRECTV COLOMBIA LTDA</v>
      </c>
      <c r="D78" s="325">
        <f>+'Base de Datos'!I78</f>
        <v>1633200</v>
      </c>
      <c r="E78" s="326">
        <f>+'Base de Datos'!M78</f>
        <v>41288</v>
      </c>
      <c r="F78" s="326">
        <f>+'Base de Datos'!N78</f>
        <v>41652</v>
      </c>
      <c r="G78" s="326">
        <f>+'Base de Datos'!T78</f>
        <v>41711</v>
      </c>
      <c r="H78" s="325">
        <f>+'Base de Datos'!U78</f>
        <v>1918200</v>
      </c>
      <c r="I78" s="327" t="str">
        <f>IF(VLOOKUP(B78,'Base de Datos'!$E$7:$S$303,11,0),"SI","NO")</f>
        <v>SI</v>
      </c>
      <c r="J78" s="328">
        <f t="shared" si="7"/>
        <v>0.16208791208791209</v>
      </c>
      <c r="K78" s="327" t="str">
        <f>IF(VLOOKUP(B78,'Base de Datos'!$E$7:$S$303,11,0),"SI","NO")</f>
        <v>SI</v>
      </c>
      <c r="L78" s="328">
        <f t="shared" si="8"/>
        <v>0.17450404114621601</v>
      </c>
      <c r="M78" s="328">
        <f>VLOOKUP(B78,'Base de Datos'!$E$7:$Z$303,21,0)</f>
        <v>0.91500886247523716</v>
      </c>
      <c r="N78" s="390" t="str">
        <f t="shared" ca="1" si="12"/>
        <v/>
      </c>
      <c r="O78" s="328">
        <f ca="1">VLOOKUP(B78,'Base de Datos'!$E$7:$Z$303,22,0)</f>
        <v>1</v>
      </c>
      <c r="P78" s="389">
        <f t="shared" ca="1" si="9"/>
        <v>1932</v>
      </c>
      <c r="Q78" s="402">
        <f t="shared" ca="1" si="13"/>
        <v>16.100000000000001</v>
      </c>
      <c r="R78" s="324" t="str">
        <f ca="1">VLOOKUP(B78,'Base de Datos'!E78:AR375,33,0)</f>
        <v>TERMINO</v>
      </c>
      <c r="S78" s="327" t="str">
        <f t="shared" ca="1" si="10"/>
        <v>NO</v>
      </c>
      <c r="T78" s="324" t="str">
        <f t="shared" ca="1" si="11"/>
        <v>Liquidar</v>
      </c>
      <c r="U78" s="324">
        <f>VLOOKUP(B78,'Base de Datos'!$E$7:$AR$401,38,0)</f>
        <v>0</v>
      </c>
    </row>
    <row r="79" spans="1:21" ht="23.25" customHeight="1" thickTop="1" thickBot="1" x14ac:dyDescent="0.3">
      <c r="A79" s="108">
        <v>73</v>
      </c>
      <c r="B79" s="324" t="str">
        <f>+'Base de Datos'!E79</f>
        <v>130326-0-2013</v>
      </c>
      <c r="C79" s="324" t="str">
        <f>+'Base de Datos'!F79</f>
        <v>INSTITUTO DISTRITAL DEL PATRIMONIO CULTURAL - IDCP</v>
      </c>
      <c r="D79" s="325">
        <f>+'Base de Datos'!I79</f>
        <v>398614000</v>
      </c>
      <c r="E79" s="326">
        <f>+'Base de Datos'!M79</f>
        <v>41864</v>
      </c>
      <c r="F79" s="326">
        <f>+'Base de Datos'!N79</f>
        <v>42107</v>
      </c>
      <c r="G79" s="326">
        <f>+'Base de Datos'!T79</f>
        <v>42321</v>
      </c>
      <c r="H79" s="325">
        <f>+'Base de Datos'!U79</f>
        <v>398614000</v>
      </c>
      <c r="I79" s="327" t="str">
        <f>IF(VLOOKUP(B79,'Base de Datos'!$E$7:$S$303,11,0),"SI","NO")</f>
        <v>NO</v>
      </c>
      <c r="J79" s="328" t="str">
        <f t="shared" si="7"/>
        <v/>
      </c>
      <c r="K79" s="327" t="str">
        <f>IF(VLOOKUP(B79,'Base de Datos'!$E$7:$S$303,11,0),"SI","NO")</f>
        <v>NO</v>
      </c>
      <c r="L79" s="328" t="str">
        <f t="shared" si="8"/>
        <v/>
      </c>
      <c r="M79" s="328">
        <f>VLOOKUP(B79,'Base de Datos'!$E$7:$Z$303,21,0)</f>
        <v>1</v>
      </c>
      <c r="N79" s="390" t="str">
        <f t="shared" ca="1" si="12"/>
        <v/>
      </c>
      <c r="O79" s="328">
        <f ca="1">VLOOKUP(B79,'Base de Datos'!$E$7:$Z$303,22,0)</f>
        <v>1</v>
      </c>
      <c r="P79" s="389">
        <f t="shared" ca="1" si="9"/>
        <v>1322</v>
      </c>
      <c r="Q79" s="402">
        <f t="shared" ca="1" si="13"/>
        <v>11.016666666666667</v>
      </c>
      <c r="R79" s="324" t="str">
        <f ca="1">VLOOKUP(B79,'Base de Datos'!E79:AR376,33,0)</f>
        <v>TERMINO</v>
      </c>
      <c r="S79" s="327" t="str">
        <f t="shared" ca="1" si="10"/>
        <v>NO</v>
      </c>
      <c r="T79" s="324" t="str">
        <f t="shared" ca="1" si="11"/>
        <v>Liquidar</v>
      </c>
      <c r="U79" s="324">
        <f>VLOOKUP(B79,'Base de Datos'!$E$7:$AR$401,38,0)</f>
        <v>0</v>
      </c>
    </row>
    <row r="80" spans="1:21" ht="23.25" customHeight="1" thickTop="1" thickBot="1" x14ac:dyDescent="0.3">
      <c r="A80" s="108">
        <v>74</v>
      </c>
      <c r="B80" s="324" t="str">
        <f>+'Base de Datos'!E80</f>
        <v>120000-521-0-2012</v>
      </c>
      <c r="C80" s="324" t="str">
        <f>+'Base de Datos'!F80</f>
        <v>INFOSOURCES LTDA</v>
      </c>
      <c r="D80" s="325">
        <f>+'Base de Datos'!I80</f>
        <v>1062500</v>
      </c>
      <c r="E80" s="326">
        <f>+'Base de Datos'!M80</f>
        <v>41292</v>
      </c>
      <c r="F80" s="326">
        <f>+'Base de Datos'!N80</f>
        <v>41322</v>
      </c>
      <c r="G80" s="326">
        <f>+'Base de Datos'!T80</f>
        <v>41322</v>
      </c>
      <c r="H80" s="325">
        <f>+'Base de Datos'!U80</f>
        <v>1062500</v>
      </c>
      <c r="I80" s="327" t="str">
        <f>IF(VLOOKUP(B80,'Base de Datos'!$E$7:$S$303,11,0),"SI","NO")</f>
        <v>NO</v>
      </c>
      <c r="J80" s="328" t="str">
        <f t="shared" si="7"/>
        <v/>
      </c>
      <c r="K80" s="327" t="str">
        <f>IF(VLOOKUP(B80,'Base de Datos'!$E$7:$S$303,11,0),"SI","NO")</f>
        <v>NO</v>
      </c>
      <c r="L80" s="328" t="str">
        <f t="shared" si="8"/>
        <v/>
      </c>
      <c r="M80" s="328">
        <f>VLOOKUP(B80,'Base de Datos'!$E$7:$Z$303,21,0)</f>
        <v>1</v>
      </c>
      <c r="N80" s="390" t="str">
        <f t="shared" ca="1" si="12"/>
        <v/>
      </c>
      <c r="O80" s="328">
        <f ca="1">VLOOKUP(B80,'Base de Datos'!$E$7:$Z$303,22,0)</f>
        <v>1</v>
      </c>
      <c r="P80" s="389">
        <f t="shared" ca="1" si="9"/>
        <v>2321</v>
      </c>
      <c r="Q80" s="402">
        <f t="shared" ca="1" si="13"/>
        <v>19.341666666666665</v>
      </c>
      <c r="R80" s="324" t="str">
        <f ca="1">VLOOKUP(B80,'Base de Datos'!E80:AR377,33,0)</f>
        <v>TERMINO</v>
      </c>
      <c r="S80" s="327" t="str">
        <f t="shared" ca="1" si="10"/>
        <v>NO</v>
      </c>
      <c r="T80" s="324" t="str">
        <f t="shared" ca="1" si="11"/>
        <v>Liquidar</v>
      </c>
      <c r="U80" s="324">
        <f>VLOOKUP(B80,'Base de Datos'!$E$7:$AR$401,38,0)</f>
        <v>0</v>
      </c>
    </row>
    <row r="81" spans="1:21" ht="23.25" customHeight="1" thickTop="1" thickBot="1" x14ac:dyDescent="0.3">
      <c r="A81" s="108">
        <v>75</v>
      </c>
      <c r="B81" s="324" t="str">
        <f>+'Base de Datos'!E81</f>
        <v>120000-523-0-2012</v>
      </c>
      <c r="C81" s="324" t="str">
        <f>+'Base de Datos'!F81</f>
        <v>DB SYSTEM LTDA</v>
      </c>
      <c r="D81" s="325">
        <f>+'Base de Datos'!I81</f>
        <v>80074800</v>
      </c>
      <c r="E81" s="326">
        <f>+'Base de Datos'!M81</f>
        <v>41313</v>
      </c>
      <c r="F81" s="326">
        <f>+'Base de Datos'!N81</f>
        <v>41705</v>
      </c>
      <c r="G81" s="326">
        <f>+'Base de Datos'!T81</f>
        <v>41736</v>
      </c>
      <c r="H81" s="325">
        <f>+'Base de Datos'!U81</f>
        <v>115663600</v>
      </c>
      <c r="I81" s="327" t="str">
        <f>IF(VLOOKUP(B81,'Base de Datos'!$E$7:$S$303,11,0),"SI","NO")</f>
        <v>SI</v>
      </c>
      <c r="J81" s="328">
        <f t="shared" si="7"/>
        <v>7.9081632653061229E-2</v>
      </c>
      <c r="K81" s="327" t="str">
        <f>IF(VLOOKUP(B81,'Base de Datos'!$E$7:$S$303,11,0),"SI","NO")</f>
        <v>SI</v>
      </c>
      <c r="L81" s="328">
        <f t="shared" si="8"/>
        <v>0.44444444444444442</v>
      </c>
      <c r="M81" s="328">
        <f>VLOOKUP(B81,'Base de Datos'!$E$7:$Z$303,21,0)</f>
        <v>0.99999515837307507</v>
      </c>
      <c r="N81" s="390" t="str">
        <f t="shared" ca="1" si="12"/>
        <v/>
      </c>
      <c r="O81" s="328">
        <f ca="1">VLOOKUP(B81,'Base de Datos'!$E$7:$Z$303,22,0)</f>
        <v>1</v>
      </c>
      <c r="P81" s="389">
        <f t="shared" ca="1" si="9"/>
        <v>1907</v>
      </c>
      <c r="Q81" s="402">
        <f t="shared" ca="1" si="13"/>
        <v>15.891666666666667</v>
      </c>
      <c r="R81" s="324" t="str">
        <f ca="1">VLOOKUP(B81,'Base de Datos'!E81:AR378,33,0)</f>
        <v>TERMINO</v>
      </c>
      <c r="S81" s="327" t="str">
        <f t="shared" ca="1" si="10"/>
        <v>NO</v>
      </c>
      <c r="T81" s="324" t="str">
        <f t="shared" ca="1" si="11"/>
        <v>Liquidar</v>
      </c>
      <c r="U81" s="324">
        <f>VLOOKUP(B81,'Base de Datos'!$E$7:$AR$401,38,0)</f>
        <v>42236</v>
      </c>
    </row>
    <row r="82" spans="1:21" ht="23.25" customHeight="1" thickTop="1" thickBot="1" x14ac:dyDescent="0.3">
      <c r="A82" s="108">
        <v>76</v>
      </c>
      <c r="B82" s="324" t="str">
        <f>+'Base de Datos'!E82</f>
        <v>120000-453-0-2012</v>
      </c>
      <c r="C82" s="324" t="str">
        <f>+'Base de Datos'!F82</f>
        <v>HERNANDO  BULLA ORJUELA</v>
      </c>
      <c r="D82" s="325">
        <f>+'Base de Datos'!I82</f>
        <v>13806000</v>
      </c>
      <c r="E82" s="326">
        <f>+'Base de Datos'!M82</f>
        <v>41278</v>
      </c>
      <c r="F82" s="326">
        <f>+'Base de Datos'!N82</f>
        <v>41429</v>
      </c>
      <c r="G82" s="326">
        <f>+'Base de Datos'!T82</f>
        <v>41459</v>
      </c>
      <c r="H82" s="325">
        <f>+'Base de Datos'!U82</f>
        <v>13806000</v>
      </c>
      <c r="I82" s="327" t="str">
        <f>IF(VLOOKUP(B82,'Base de Datos'!$E$7:$S$303,11,0),"SI","NO")</f>
        <v>NO</v>
      </c>
      <c r="J82" s="328" t="str">
        <f t="shared" si="7"/>
        <v/>
      </c>
      <c r="K82" s="327" t="str">
        <f>IF(VLOOKUP(B82,'Base de Datos'!$E$7:$S$303,11,0),"SI","NO")</f>
        <v>NO</v>
      </c>
      <c r="L82" s="328" t="str">
        <f t="shared" si="8"/>
        <v/>
      </c>
      <c r="M82" s="328">
        <f>VLOOKUP(B82,'Base de Datos'!$E$7:$Z$303,21,0)</f>
        <v>0.90099290163696943</v>
      </c>
      <c r="N82" s="390" t="str">
        <f t="shared" ca="1" si="12"/>
        <v/>
      </c>
      <c r="O82" s="328">
        <f ca="1">VLOOKUP(B82,'Base de Datos'!$E$7:$Z$303,22,0)</f>
        <v>1</v>
      </c>
      <c r="P82" s="389">
        <f t="shared" ca="1" si="9"/>
        <v>2184</v>
      </c>
      <c r="Q82" s="402">
        <f t="shared" ca="1" si="13"/>
        <v>18.2</v>
      </c>
      <c r="R82" s="324" t="str">
        <f ca="1">VLOOKUP(B82,'Base de Datos'!E82:AR379,33,0)</f>
        <v>TERMINO</v>
      </c>
      <c r="S82" s="327" t="str">
        <f t="shared" ca="1" si="10"/>
        <v>NO</v>
      </c>
      <c r="T82" s="324" t="str">
        <f t="shared" ca="1" si="11"/>
        <v>Liquidar</v>
      </c>
      <c r="U82" s="324">
        <f>VLOOKUP(B82,'Base de Datos'!$E$7:$AR$401,38,0)</f>
        <v>42004</v>
      </c>
    </row>
    <row r="83" spans="1:21" ht="23.25" customHeight="1" thickTop="1" thickBot="1" x14ac:dyDescent="0.3">
      <c r="A83" s="108">
        <v>77</v>
      </c>
      <c r="B83" s="324" t="str">
        <f>+'Base de Datos'!E83</f>
        <v>120000-504-0-2012</v>
      </c>
      <c r="C83" s="324" t="str">
        <f>+'Base de Datos'!F83</f>
        <v>PAPELERÍA  LOS  LAGOS  LTDA</v>
      </c>
      <c r="D83" s="325">
        <f>+'Base de Datos'!I83</f>
        <v>59046000</v>
      </c>
      <c r="E83" s="326">
        <f>+'Base de Datos'!M83</f>
        <v>41292</v>
      </c>
      <c r="F83" s="326">
        <f>+'Base de Datos'!N83</f>
        <v>41442</v>
      </c>
      <c r="G83" s="326">
        <f>+'Base de Datos'!T83</f>
        <v>41608</v>
      </c>
      <c r="H83" s="325">
        <f>+'Base de Datos'!U83</f>
        <v>79213111</v>
      </c>
      <c r="I83" s="327" t="str">
        <f>IF(VLOOKUP(B83,'Base de Datos'!$E$7:$S$303,11,0),"SI","NO")</f>
        <v>SI</v>
      </c>
      <c r="J83" s="328">
        <f t="shared" si="7"/>
        <v>1.1066666666666667</v>
      </c>
      <c r="K83" s="327" t="str">
        <f>IF(VLOOKUP(B83,'Base de Datos'!$E$7:$S$303,11,0),"SI","NO")</f>
        <v>SI</v>
      </c>
      <c r="L83" s="328">
        <f t="shared" si="8"/>
        <v>0.34154914812180331</v>
      </c>
      <c r="M83" s="328">
        <f>VLOOKUP(B83,'Base de Datos'!$E$7:$Z$303,21,0)</f>
        <v>0.82220984856913393</v>
      </c>
      <c r="N83" s="390" t="str">
        <f t="shared" ca="1" si="12"/>
        <v/>
      </c>
      <c r="O83" s="328">
        <f ca="1">VLOOKUP(B83,'Base de Datos'!$E$7:$Z$303,22,0)</f>
        <v>1</v>
      </c>
      <c r="P83" s="389">
        <f t="shared" ca="1" si="9"/>
        <v>2035</v>
      </c>
      <c r="Q83" s="402">
        <f t="shared" ca="1" si="13"/>
        <v>16.958333333333332</v>
      </c>
      <c r="R83" s="324" t="str">
        <f ca="1">VLOOKUP(B83,'Base de Datos'!E83:AR380,33,0)</f>
        <v>TERMINO</v>
      </c>
      <c r="S83" s="327" t="str">
        <f t="shared" ca="1" si="10"/>
        <v>NO</v>
      </c>
      <c r="T83" s="324" t="str">
        <f t="shared" ca="1" si="11"/>
        <v>Liquidar</v>
      </c>
      <c r="U83" s="324">
        <f>VLOOKUP(B83,'Base de Datos'!$E$7:$AR$401,38,0)</f>
        <v>42023</v>
      </c>
    </row>
    <row r="84" spans="1:21" ht="23.25" customHeight="1" thickTop="1" thickBot="1" x14ac:dyDescent="0.3">
      <c r="A84" s="108">
        <v>78</v>
      </c>
      <c r="B84" s="324" t="str">
        <f>+'Base de Datos'!E84</f>
        <v>120000-507-0-2012</v>
      </c>
      <c r="C84" s="324" t="str">
        <f>+'Base de Datos'!F84</f>
        <v>CAJA DE COMPENSACIÓN FAMILIAR COMPENSAR</v>
      </c>
      <c r="D84" s="325">
        <f>+'Base de Datos'!I84</f>
        <v>49500000</v>
      </c>
      <c r="E84" s="326">
        <f>+'Base de Datos'!M84</f>
        <v>41325</v>
      </c>
      <c r="F84" s="326">
        <f>+'Base de Datos'!N84</f>
        <v>41505</v>
      </c>
      <c r="G84" s="326">
        <f>+'Base de Datos'!T84</f>
        <v>41505</v>
      </c>
      <c r="H84" s="325">
        <f>+'Base de Datos'!U84</f>
        <v>75246412</v>
      </c>
      <c r="I84" s="327" t="str">
        <f>IF(VLOOKUP(B84,'Base de Datos'!$E$7:$S$303,11,0),"SI","NO")</f>
        <v>SI</v>
      </c>
      <c r="J84" s="328">
        <f t="shared" si="7"/>
        <v>0</v>
      </c>
      <c r="K84" s="327" t="str">
        <f>IF(VLOOKUP(B84,'Base de Datos'!$E$7:$S$303,11,0),"SI","NO")</f>
        <v>SI</v>
      </c>
      <c r="L84" s="328">
        <f t="shared" si="8"/>
        <v>0.52012953535353534</v>
      </c>
      <c r="M84" s="328">
        <f>VLOOKUP(B84,'Base de Datos'!$E$7:$Z$303,21,0)</f>
        <v>0.99981782520075513</v>
      </c>
      <c r="N84" s="390" t="str">
        <f t="shared" ca="1" si="12"/>
        <v/>
      </c>
      <c r="O84" s="328">
        <f ca="1">VLOOKUP(B84,'Base de Datos'!$E$7:$Z$303,22,0)</f>
        <v>1</v>
      </c>
      <c r="P84" s="389">
        <f t="shared" ca="1" si="9"/>
        <v>2138</v>
      </c>
      <c r="Q84" s="402">
        <f t="shared" ca="1" si="13"/>
        <v>17.816666666666666</v>
      </c>
      <c r="R84" s="324" t="str">
        <f ca="1">VLOOKUP(B84,'Base de Datos'!E84:AR381,33,0)</f>
        <v>TERMINO</v>
      </c>
      <c r="S84" s="327" t="str">
        <f t="shared" ca="1" si="10"/>
        <v>NO</v>
      </c>
      <c r="T84" s="324" t="str">
        <f t="shared" ca="1" si="11"/>
        <v>Liquidar</v>
      </c>
      <c r="U84" s="324">
        <f>VLOOKUP(B84,'Base de Datos'!$E$7:$AR$401,38,0)</f>
        <v>42150</v>
      </c>
    </row>
    <row r="85" spans="1:21" ht="23.25" customHeight="1" thickTop="1" thickBot="1" x14ac:dyDescent="0.3">
      <c r="A85" s="108">
        <v>79</v>
      </c>
      <c r="B85" s="324" t="str">
        <f>+'Base de Datos'!E85</f>
        <v>120000-525-0-2012</v>
      </c>
      <c r="C85" s="324" t="str">
        <f>+'Base de Datos'!F85</f>
        <v>GAMMA INGENIEROS S A</v>
      </c>
      <c r="D85" s="325">
        <f>+'Base de Datos'!I85</f>
        <v>36990000</v>
      </c>
      <c r="E85" s="326">
        <f>+'Base de Datos'!M85</f>
        <v>41323</v>
      </c>
      <c r="F85" s="326">
        <f>+'Base de Datos'!N85</f>
        <v>41442</v>
      </c>
      <c r="G85" s="326">
        <f>+'Base de Datos'!T85</f>
        <v>41442</v>
      </c>
      <c r="H85" s="325">
        <f>+'Base de Datos'!U85</f>
        <v>36990000</v>
      </c>
      <c r="I85" s="327" t="str">
        <f>IF(VLOOKUP(B85,'Base de Datos'!$E$7:$S$303,11,0),"SI","NO")</f>
        <v>NO</v>
      </c>
      <c r="J85" s="328" t="str">
        <f t="shared" si="7"/>
        <v/>
      </c>
      <c r="K85" s="327" t="str">
        <f>IF(VLOOKUP(B85,'Base de Datos'!$E$7:$S$303,11,0),"SI","NO")</f>
        <v>NO</v>
      </c>
      <c r="L85" s="328" t="str">
        <f t="shared" si="8"/>
        <v/>
      </c>
      <c r="M85" s="328">
        <f>VLOOKUP(B85,'Base de Datos'!$E$7:$Z$303,21,0)</f>
        <v>1</v>
      </c>
      <c r="N85" s="390" t="str">
        <f t="shared" ca="1" si="12"/>
        <v/>
      </c>
      <c r="O85" s="328">
        <f ca="1">VLOOKUP(B85,'Base de Datos'!$E$7:$Z$303,22,0)</f>
        <v>1</v>
      </c>
      <c r="P85" s="389">
        <f t="shared" ca="1" si="9"/>
        <v>2201</v>
      </c>
      <c r="Q85" s="402">
        <f t="shared" ca="1" si="13"/>
        <v>18.341666666666665</v>
      </c>
      <c r="R85" s="324" t="str">
        <f ca="1">VLOOKUP(B85,'Base de Datos'!E85:AR382,33,0)</f>
        <v>TERMINO</v>
      </c>
      <c r="S85" s="327" t="str">
        <f t="shared" ca="1" si="10"/>
        <v>NO</v>
      </c>
      <c r="T85" s="324" t="str">
        <f t="shared" ca="1" si="11"/>
        <v>Liquidar</v>
      </c>
      <c r="U85" s="324">
        <f>VLOOKUP(B85,'Base de Datos'!$E$7:$AR$401,38,0)</f>
        <v>42249</v>
      </c>
    </row>
    <row r="86" spans="1:21" ht="23.25" customHeight="1" thickTop="1" thickBot="1" x14ac:dyDescent="0.3">
      <c r="A86" s="108">
        <v>80</v>
      </c>
      <c r="B86" s="324" t="str">
        <f>+'Base de Datos'!E86</f>
        <v>120000-535-0-2012</v>
      </c>
      <c r="C86" s="324" t="str">
        <f>+'Base de Datos'!F86</f>
        <v>CONTROLES EMPRESARIALES LTDA</v>
      </c>
      <c r="D86" s="325">
        <f>+'Base de Datos'!I86</f>
        <v>85314724</v>
      </c>
      <c r="E86" s="326">
        <f>+'Base de Datos'!M86</f>
        <v>41316</v>
      </c>
      <c r="F86" s="326">
        <f>+'Base de Datos'!N86</f>
        <v>41680</v>
      </c>
      <c r="G86" s="326">
        <f>+'Base de Datos'!T86</f>
        <v>41680</v>
      </c>
      <c r="H86" s="325">
        <f>+'Base de Datos'!U86</f>
        <v>85314724</v>
      </c>
      <c r="I86" s="327" t="str">
        <f>IF(VLOOKUP(B86,'Base de Datos'!$E$7:$S$303,11,0),"SI","NO")</f>
        <v>NO</v>
      </c>
      <c r="J86" s="328" t="str">
        <f t="shared" si="7"/>
        <v/>
      </c>
      <c r="K86" s="327" t="str">
        <f>IF(VLOOKUP(B86,'Base de Datos'!$E$7:$S$303,11,0),"SI","NO")</f>
        <v>NO</v>
      </c>
      <c r="L86" s="328" t="str">
        <f t="shared" si="8"/>
        <v/>
      </c>
      <c r="M86" s="328">
        <f>VLOOKUP(B86,'Base de Datos'!$E$7:$Z$303,21,0)</f>
        <v>1</v>
      </c>
      <c r="N86" s="390" t="str">
        <f t="shared" ca="1" si="12"/>
        <v/>
      </c>
      <c r="O86" s="328">
        <f ca="1">VLOOKUP(B86,'Base de Datos'!$E$7:$Z$303,22,0)</f>
        <v>1</v>
      </c>
      <c r="P86" s="389">
        <f t="shared" ca="1" si="9"/>
        <v>1963</v>
      </c>
      <c r="Q86" s="402">
        <f t="shared" ca="1" si="13"/>
        <v>16.358333333333334</v>
      </c>
      <c r="R86" s="324" t="str">
        <f ca="1">VLOOKUP(B86,'Base de Datos'!E86:AR383,33,0)</f>
        <v>TERMINO</v>
      </c>
      <c r="S86" s="327" t="str">
        <f t="shared" ca="1" si="10"/>
        <v>NO</v>
      </c>
      <c r="T86" s="324" t="str">
        <f t="shared" ca="1" si="11"/>
        <v>Liquidar</v>
      </c>
      <c r="U86" s="324">
        <f>VLOOKUP(B86,'Base de Datos'!$E$7:$AR$401,38,0)</f>
        <v>0</v>
      </c>
    </row>
    <row r="87" spans="1:21" ht="23.25" customHeight="1" thickTop="1" thickBot="1" x14ac:dyDescent="0.3">
      <c r="A87" s="108">
        <v>81</v>
      </c>
      <c r="B87" s="324" t="str">
        <f>+'Base de Datos'!E87</f>
        <v>130019-0-2013</v>
      </c>
      <c r="C87" s="324" t="str">
        <f>+'Base de Datos'!F87</f>
        <v>NEWNET S.A</v>
      </c>
      <c r="D87" s="325">
        <f>+'Base de Datos'!I87</f>
        <v>123000000</v>
      </c>
      <c r="E87" s="326">
        <f>+'Base de Datos'!M87</f>
        <v>41319</v>
      </c>
      <c r="F87" s="326">
        <f>+'Base de Datos'!N87</f>
        <v>41683</v>
      </c>
      <c r="G87" s="326">
        <f>+'Base de Datos'!T87</f>
        <v>41683</v>
      </c>
      <c r="H87" s="325">
        <f>+'Base de Datos'!U87</f>
        <v>123000000</v>
      </c>
      <c r="I87" s="327" t="str">
        <f>IF(VLOOKUP(B87,'Base de Datos'!$E$7:$S$303,11,0),"SI","NO")</f>
        <v>NO</v>
      </c>
      <c r="J87" s="328" t="str">
        <f t="shared" si="7"/>
        <v/>
      </c>
      <c r="K87" s="327" t="str">
        <f>IF(VLOOKUP(B87,'Base de Datos'!$E$7:$S$303,11,0),"SI","NO")</f>
        <v>NO</v>
      </c>
      <c r="L87" s="328" t="str">
        <f t="shared" si="8"/>
        <v/>
      </c>
      <c r="M87" s="328">
        <f>VLOOKUP(B87,'Base de Datos'!$E$7:$Z$303,21,0)</f>
        <v>1</v>
      </c>
      <c r="N87" s="390" t="str">
        <f t="shared" ca="1" si="12"/>
        <v/>
      </c>
      <c r="O87" s="328">
        <f ca="1">VLOOKUP(B87,'Base de Datos'!$E$7:$Z$303,22,0)</f>
        <v>1</v>
      </c>
      <c r="P87" s="389">
        <f t="shared" ca="1" si="9"/>
        <v>1960</v>
      </c>
      <c r="Q87" s="402">
        <f t="shared" ca="1" si="13"/>
        <v>16.333333333333332</v>
      </c>
      <c r="R87" s="324" t="str">
        <f ca="1">VLOOKUP(B87,'Base de Datos'!E87:AR384,33,0)</f>
        <v>TERMINO</v>
      </c>
      <c r="S87" s="327" t="str">
        <f t="shared" ca="1" si="10"/>
        <v>NO</v>
      </c>
      <c r="T87" s="324" t="str">
        <f t="shared" ca="1" si="11"/>
        <v>Liquidar</v>
      </c>
      <c r="U87" s="324">
        <f>VLOOKUP(B87,'Base de Datos'!$E$7:$AR$401,38,0)</f>
        <v>0</v>
      </c>
    </row>
    <row r="88" spans="1:21" ht="23.25" customHeight="1" thickTop="1" thickBot="1" x14ac:dyDescent="0.3">
      <c r="A88" s="108">
        <v>82</v>
      </c>
      <c r="B88" s="324" t="str">
        <f>+'Base de Datos'!E88</f>
        <v>130023-0-2013</v>
      </c>
      <c r="C88" s="324" t="str">
        <f>+'Base de Datos'!F88</f>
        <v xml:space="preserve">AMBICOL SERVICES S.A.S. </v>
      </c>
      <c r="D88" s="325">
        <f>+'Base de Datos'!I88</f>
        <v>1113600</v>
      </c>
      <c r="E88" s="326">
        <f>+'Base de Datos'!M88</f>
        <v>41347</v>
      </c>
      <c r="F88" s="326">
        <f>+'Base de Datos'!N88</f>
        <v>41711</v>
      </c>
      <c r="G88" s="326">
        <f>+'Base de Datos'!T88</f>
        <v>41711</v>
      </c>
      <c r="H88" s="325">
        <f>+'Base de Datos'!U88</f>
        <v>1113600</v>
      </c>
      <c r="I88" s="327" t="str">
        <f>IF(VLOOKUP(B88,'Base de Datos'!$E$7:$S$303,11,0),"SI","NO")</f>
        <v>NO</v>
      </c>
      <c r="J88" s="328" t="str">
        <f t="shared" si="7"/>
        <v/>
      </c>
      <c r="K88" s="327" t="str">
        <f>IF(VLOOKUP(B88,'Base de Datos'!$E$7:$S$303,11,0),"SI","NO")</f>
        <v>NO</v>
      </c>
      <c r="L88" s="328" t="str">
        <f t="shared" si="8"/>
        <v/>
      </c>
      <c r="M88" s="328">
        <f>VLOOKUP(B88,'Base de Datos'!$E$7:$Z$303,21,0)</f>
        <v>1</v>
      </c>
      <c r="N88" s="390" t="str">
        <f t="shared" ca="1" si="12"/>
        <v/>
      </c>
      <c r="O88" s="328">
        <f ca="1">VLOOKUP(B88,'Base de Datos'!$E$7:$Z$303,22,0)</f>
        <v>1</v>
      </c>
      <c r="P88" s="389">
        <f t="shared" ca="1" si="9"/>
        <v>1932</v>
      </c>
      <c r="Q88" s="402">
        <f t="shared" ca="1" si="13"/>
        <v>16.100000000000001</v>
      </c>
      <c r="R88" s="324" t="str">
        <f ca="1">VLOOKUP(B88,'Base de Datos'!E88:AR385,33,0)</f>
        <v>TERMINO</v>
      </c>
      <c r="S88" s="327" t="str">
        <f t="shared" ca="1" si="10"/>
        <v>NO</v>
      </c>
      <c r="T88" s="324" t="str">
        <f t="shared" ca="1" si="11"/>
        <v>Liquidar</v>
      </c>
      <c r="U88" s="324">
        <f>VLOOKUP(B88,'Base de Datos'!$E$7:$AR$401,38,0)</f>
        <v>41999</v>
      </c>
    </row>
    <row r="89" spans="1:21" ht="23.25" customHeight="1" thickTop="1" thickBot="1" x14ac:dyDescent="0.3">
      <c r="A89" s="108">
        <v>83</v>
      </c>
      <c r="B89" s="324" t="str">
        <f>+'Base de Datos'!E89</f>
        <v>130036-0-2013</v>
      </c>
      <c r="C89" s="324" t="str">
        <f>+'Base de Datos'!F89</f>
        <v>SYSTEM NET INGENIERÍA LTDA</v>
      </c>
      <c r="D89" s="325">
        <f>+'Base de Datos'!I89</f>
        <v>4967474</v>
      </c>
      <c r="E89" s="326">
        <f>+'Base de Datos'!M89</f>
        <v>41347</v>
      </c>
      <c r="F89" s="326">
        <f>+'Base de Datos'!N89</f>
        <v>41652</v>
      </c>
      <c r="G89" s="326">
        <f>+'Base de Datos'!T89</f>
        <v>41652</v>
      </c>
      <c r="H89" s="325">
        <f>+'Base de Datos'!U89</f>
        <v>4967474</v>
      </c>
      <c r="I89" s="327" t="str">
        <f>IF(VLOOKUP(B89,'Base de Datos'!$E$7:$S$303,11,0),"SI","NO")</f>
        <v>NO</v>
      </c>
      <c r="J89" s="328" t="str">
        <f t="shared" si="7"/>
        <v/>
      </c>
      <c r="K89" s="327" t="str">
        <f>IF(VLOOKUP(B89,'Base de Datos'!$E$7:$S$303,11,0),"SI","NO")</f>
        <v>NO</v>
      </c>
      <c r="L89" s="328" t="str">
        <f t="shared" si="8"/>
        <v/>
      </c>
      <c r="M89" s="328">
        <f>VLOOKUP(B89,'Base de Datos'!$E$7:$Z$303,21,0)</f>
        <v>0.89656896040120193</v>
      </c>
      <c r="N89" s="390" t="str">
        <f t="shared" ca="1" si="12"/>
        <v/>
      </c>
      <c r="O89" s="328">
        <f ca="1">VLOOKUP(B89,'Base de Datos'!$E$7:$Z$303,22,0)</f>
        <v>1</v>
      </c>
      <c r="P89" s="389">
        <f t="shared" ca="1" si="9"/>
        <v>1991</v>
      </c>
      <c r="Q89" s="402">
        <f t="shared" ca="1" si="13"/>
        <v>16.591666666666665</v>
      </c>
      <c r="R89" s="324" t="str">
        <f ca="1">VLOOKUP(B89,'Base de Datos'!E89:AR386,33,0)</f>
        <v>TERMINO</v>
      </c>
      <c r="S89" s="327" t="str">
        <f t="shared" ca="1" si="10"/>
        <v>NO</v>
      </c>
      <c r="T89" s="324" t="str">
        <f t="shared" ca="1" si="11"/>
        <v>Liquidar</v>
      </c>
      <c r="U89" s="324">
        <f>VLOOKUP(B89,'Base de Datos'!$E$7:$AR$401,38,0)</f>
        <v>42321</v>
      </c>
    </row>
    <row r="90" spans="1:21" ht="23.25" customHeight="1" thickTop="1" thickBot="1" x14ac:dyDescent="0.3">
      <c r="A90" s="108">
        <v>84</v>
      </c>
      <c r="B90" s="324" t="str">
        <f>+'Base de Datos'!E90</f>
        <v>130044-0-2013</v>
      </c>
      <c r="C90" s="324" t="str">
        <f>+'Base de Datos'!F90</f>
        <v>MELCO DE COLOMBIA LIMITADA</v>
      </c>
      <c r="D90" s="325">
        <f>+'Base de Datos'!I90</f>
        <v>15913500</v>
      </c>
      <c r="E90" s="326">
        <f>+'Base de Datos'!M90</f>
        <v>41367</v>
      </c>
      <c r="F90" s="326">
        <f>+'Base de Datos'!N90</f>
        <v>41731</v>
      </c>
      <c r="G90" s="326">
        <f>+'Base de Datos'!T90</f>
        <v>41731</v>
      </c>
      <c r="H90" s="325">
        <f>+'Base de Datos'!U90</f>
        <v>15913500</v>
      </c>
      <c r="I90" s="327" t="str">
        <f>IF(VLOOKUP(B90,'Base de Datos'!$E$7:$S$303,11,0),"SI","NO")</f>
        <v>NO</v>
      </c>
      <c r="J90" s="328" t="str">
        <f t="shared" si="7"/>
        <v/>
      </c>
      <c r="K90" s="327" t="str">
        <f>IF(VLOOKUP(B90,'Base de Datos'!$E$7:$S$303,11,0),"SI","NO")</f>
        <v>NO</v>
      </c>
      <c r="L90" s="328" t="str">
        <f t="shared" si="8"/>
        <v/>
      </c>
      <c r="M90" s="328">
        <f>VLOOKUP(B90,'Base de Datos'!$E$7:$Z$303,21,0)</f>
        <v>0.971116850472869</v>
      </c>
      <c r="N90" s="390" t="str">
        <f t="shared" ca="1" si="12"/>
        <v/>
      </c>
      <c r="O90" s="328">
        <f ca="1">VLOOKUP(B90,'Base de Datos'!$E$7:$Z$303,22,0)</f>
        <v>1</v>
      </c>
      <c r="P90" s="389">
        <f t="shared" ca="1" si="9"/>
        <v>1912</v>
      </c>
      <c r="Q90" s="402">
        <f t="shared" ca="1" si="13"/>
        <v>15.933333333333334</v>
      </c>
      <c r="R90" s="324" t="str">
        <f ca="1">VLOOKUP(B90,'Base de Datos'!E90:AR387,33,0)</f>
        <v>TERMINO</v>
      </c>
      <c r="S90" s="327" t="str">
        <f t="shared" ca="1" si="10"/>
        <v>NO</v>
      </c>
      <c r="T90" s="324" t="str">
        <f t="shared" ca="1" si="11"/>
        <v>Liquidar</v>
      </c>
      <c r="U90" s="324">
        <f>VLOOKUP(B90,'Base de Datos'!$E$7:$AR$401,38,0)</f>
        <v>0</v>
      </c>
    </row>
    <row r="91" spans="1:21" ht="23.25" customHeight="1" thickTop="1" thickBot="1" x14ac:dyDescent="0.3">
      <c r="A91" s="108">
        <v>85</v>
      </c>
      <c r="B91" s="324" t="str">
        <f>+'Base de Datos'!E91</f>
        <v>130048-0-2013</v>
      </c>
      <c r="C91" s="324" t="str">
        <f>+'Base de Datos'!F91</f>
        <v>CASA EDITORIAL EL TIEMPO SA</v>
      </c>
      <c r="D91" s="325">
        <f>+'Base de Datos'!I91</f>
        <v>1197000</v>
      </c>
      <c r="E91" s="326">
        <f>+'Base de Datos'!M91</f>
        <v>41352</v>
      </c>
      <c r="F91" s="326">
        <f>+'Base de Datos'!N91</f>
        <v>41716</v>
      </c>
      <c r="G91" s="326">
        <f>+'Base de Datos'!T91</f>
        <v>41716</v>
      </c>
      <c r="H91" s="325">
        <f>+'Base de Datos'!U91</f>
        <v>1197000</v>
      </c>
      <c r="I91" s="327" t="str">
        <f>IF(VLOOKUP(B91,'Base de Datos'!$E$7:$S$303,11,0),"SI","NO")</f>
        <v>NO</v>
      </c>
      <c r="J91" s="328" t="str">
        <f t="shared" si="7"/>
        <v/>
      </c>
      <c r="K91" s="327" t="str">
        <f>IF(VLOOKUP(B91,'Base de Datos'!$E$7:$S$303,11,0),"SI","NO")</f>
        <v>NO</v>
      </c>
      <c r="L91" s="328" t="str">
        <f t="shared" si="8"/>
        <v/>
      </c>
      <c r="M91" s="328">
        <f>VLOOKUP(B91,'Base de Datos'!$E$7:$Z$303,21,0)</f>
        <v>1</v>
      </c>
      <c r="N91" s="390" t="str">
        <f t="shared" ca="1" si="12"/>
        <v/>
      </c>
      <c r="O91" s="328">
        <f ca="1">VLOOKUP(B91,'Base de Datos'!$E$7:$Z$303,22,0)</f>
        <v>1</v>
      </c>
      <c r="P91" s="389">
        <f t="shared" ca="1" si="9"/>
        <v>1927</v>
      </c>
      <c r="Q91" s="402">
        <f t="shared" ca="1" si="13"/>
        <v>16.058333333333334</v>
      </c>
      <c r="R91" s="324" t="str">
        <f ca="1">VLOOKUP(B91,'Base de Datos'!E91:AR388,33,0)</f>
        <v>TERMINO</v>
      </c>
      <c r="S91" s="327" t="str">
        <f t="shared" ca="1" si="10"/>
        <v>NO</v>
      </c>
      <c r="T91" s="324" t="str">
        <f t="shared" ca="1" si="11"/>
        <v>Liquidar</v>
      </c>
      <c r="U91" s="324">
        <f>VLOOKUP(B91,'Base de Datos'!$E$7:$AR$401,38,0)</f>
        <v>0</v>
      </c>
    </row>
    <row r="92" spans="1:21" ht="23.25" customHeight="1" thickTop="1" thickBot="1" x14ac:dyDescent="0.3">
      <c r="A92" s="108">
        <v>86</v>
      </c>
      <c r="B92" s="324" t="str">
        <f>+'Base de Datos'!E92</f>
        <v>130091-0-2013</v>
      </c>
      <c r="C92" s="324" t="str">
        <f>+'Base de Datos'!F92</f>
        <v>INGENIERÍA DE BOMBAS Y PLANTAS LIMITADA</v>
      </c>
      <c r="D92" s="325">
        <f>+'Base de Datos'!I92</f>
        <v>8360000</v>
      </c>
      <c r="E92" s="326">
        <f>+'Base de Datos'!M92</f>
        <v>41400</v>
      </c>
      <c r="F92" s="326">
        <f>+'Base de Datos'!N92</f>
        <v>41764</v>
      </c>
      <c r="G92" s="326">
        <f>+'Base de Datos'!T92</f>
        <v>41764</v>
      </c>
      <c r="H92" s="325">
        <f>+'Base de Datos'!U92</f>
        <v>8360000</v>
      </c>
      <c r="I92" s="327" t="str">
        <f>IF(VLOOKUP(B92,'Base de Datos'!$E$7:$S$303,11,0),"SI","NO")</f>
        <v>NO</v>
      </c>
      <c r="J92" s="328" t="str">
        <f t="shared" si="7"/>
        <v/>
      </c>
      <c r="K92" s="327" t="str">
        <f>IF(VLOOKUP(B92,'Base de Datos'!$E$7:$S$303,11,0),"SI","NO")</f>
        <v>NO</v>
      </c>
      <c r="L92" s="328" t="str">
        <f t="shared" si="8"/>
        <v/>
      </c>
      <c r="M92" s="328">
        <f>VLOOKUP(B92,'Base de Datos'!$E$7:$Z$303,21,0)</f>
        <v>0.83947368421052626</v>
      </c>
      <c r="N92" s="390" t="str">
        <f t="shared" ca="1" si="12"/>
        <v/>
      </c>
      <c r="O92" s="328">
        <f ca="1">VLOOKUP(B92,'Base de Datos'!$E$7:$Z$303,22,0)</f>
        <v>1</v>
      </c>
      <c r="P92" s="389">
        <f t="shared" ca="1" si="9"/>
        <v>1879</v>
      </c>
      <c r="Q92" s="402">
        <f t="shared" ca="1" si="13"/>
        <v>15.658333333333333</v>
      </c>
      <c r="R92" s="324" t="str">
        <f ca="1">VLOOKUP(B92,'Base de Datos'!E92:AR389,33,0)</f>
        <v>TERMINO</v>
      </c>
      <c r="S92" s="327" t="str">
        <f t="shared" ca="1" si="10"/>
        <v>NO</v>
      </c>
      <c r="T92" s="324" t="str">
        <f t="shared" ca="1" si="11"/>
        <v>Liquidar</v>
      </c>
      <c r="U92" s="324">
        <f>VLOOKUP(B92,'Base de Datos'!$E$7:$AR$401,38,0)</f>
        <v>42017</v>
      </c>
    </row>
    <row r="93" spans="1:21" ht="23.25" customHeight="1" thickTop="1" thickBot="1" x14ac:dyDescent="0.3">
      <c r="A93" s="108">
        <v>87</v>
      </c>
      <c r="B93" s="324" t="str">
        <f>+'Base de Datos'!E93</f>
        <v>130106-0-2013</v>
      </c>
      <c r="C93" s="324" t="str">
        <f>+'Base de Datos'!F93</f>
        <v>DPC LTDA PUBLICACIONES DESPACHOS PÚBLICOS DE COLOMBIA LTDA</v>
      </c>
      <c r="D93" s="325">
        <f>+'Base de Datos'!I93</f>
        <v>3700000</v>
      </c>
      <c r="E93" s="326">
        <f>+'Base de Datos'!M93</f>
        <v>41393</v>
      </c>
      <c r="F93" s="326">
        <f>+'Base de Datos'!N93</f>
        <v>41545</v>
      </c>
      <c r="G93" s="326">
        <f>+'Base de Datos'!T93</f>
        <v>41545</v>
      </c>
      <c r="H93" s="325">
        <f>+'Base de Datos'!U93</f>
        <v>3700000</v>
      </c>
      <c r="I93" s="327" t="str">
        <f>IF(VLOOKUP(B93,'Base de Datos'!$E$7:$S$303,11,0),"SI","NO")</f>
        <v>NO</v>
      </c>
      <c r="J93" s="328" t="str">
        <f t="shared" si="7"/>
        <v/>
      </c>
      <c r="K93" s="327" t="str">
        <f>IF(VLOOKUP(B93,'Base de Datos'!$E$7:$S$303,11,0),"SI","NO")</f>
        <v>NO</v>
      </c>
      <c r="L93" s="328" t="str">
        <f t="shared" si="8"/>
        <v/>
      </c>
      <c r="M93" s="328">
        <f>VLOOKUP(B93,'Base de Datos'!$E$7:$Z$303,21,0)</f>
        <v>1</v>
      </c>
      <c r="N93" s="390" t="str">
        <f t="shared" ca="1" si="12"/>
        <v/>
      </c>
      <c r="O93" s="328">
        <f ca="1">VLOOKUP(B93,'Base de Datos'!$E$7:$Z$303,22,0)</f>
        <v>1</v>
      </c>
      <c r="P93" s="389">
        <f t="shared" ca="1" si="9"/>
        <v>2098</v>
      </c>
      <c r="Q93" s="402">
        <f t="shared" ca="1" si="13"/>
        <v>17.483333333333334</v>
      </c>
      <c r="R93" s="324" t="str">
        <f ca="1">VLOOKUP(B93,'Base de Datos'!E93:AR390,33,0)</f>
        <v>TERMINO</v>
      </c>
      <c r="S93" s="327" t="str">
        <f t="shared" ca="1" si="10"/>
        <v>NO</v>
      </c>
      <c r="T93" s="324" t="str">
        <f t="shared" ca="1" si="11"/>
        <v>Liquidar</v>
      </c>
      <c r="U93" s="324">
        <f>VLOOKUP(B93,'Base de Datos'!$E$7:$AR$401,38,0)</f>
        <v>41950</v>
      </c>
    </row>
    <row r="94" spans="1:21" ht="23.25" customHeight="1" thickTop="1" thickBot="1" x14ac:dyDescent="0.3">
      <c r="A94" s="108">
        <v>88</v>
      </c>
      <c r="B94" s="324" t="str">
        <f>+'Base de Datos'!E94</f>
        <v>130116-0-2013</v>
      </c>
      <c r="C94" s="324" t="str">
        <f>+'Base de Datos'!F94</f>
        <v>EDGARDO ANDRÉS MALDONADO CORTES</v>
      </c>
      <c r="D94" s="325">
        <f>+'Base de Datos'!I94</f>
        <v>50000000</v>
      </c>
      <c r="E94" s="326">
        <f>+'Base de Datos'!M94</f>
        <v>41387</v>
      </c>
      <c r="F94" s="326">
        <f>+'Base de Datos'!N94</f>
        <v>41692</v>
      </c>
      <c r="G94" s="326">
        <f>+'Base de Datos'!T94</f>
        <v>41692</v>
      </c>
      <c r="H94" s="325">
        <f>+'Base de Datos'!U94</f>
        <v>50000000</v>
      </c>
      <c r="I94" s="327" t="str">
        <f>IF(VLOOKUP(B94,'Base de Datos'!$E$7:$S$303,11,0),"SI","NO")</f>
        <v>NO</v>
      </c>
      <c r="J94" s="328" t="str">
        <f t="shared" si="7"/>
        <v/>
      </c>
      <c r="K94" s="327" t="str">
        <f>IF(VLOOKUP(B94,'Base de Datos'!$E$7:$S$303,11,0),"SI","NO")</f>
        <v>NO</v>
      </c>
      <c r="L94" s="328" t="str">
        <f t="shared" si="8"/>
        <v/>
      </c>
      <c r="M94" s="328">
        <f>VLOOKUP(B94,'Base de Datos'!$E$7:$Z$303,21,0)</f>
        <v>1</v>
      </c>
      <c r="N94" s="390" t="str">
        <f t="shared" ca="1" si="12"/>
        <v/>
      </c>
      <c r="O94" s="328">
        <f ca="1">VLOOKUP(B94,'Base de Datos'!$E$7:$Z$303,22,0)</f>
        <v>1</v>
      </c>
      <c r="P94" s="389">
        <f t="shared" ca="1" si="9"/>
        <v>1951</v>
      </c>
      <c r="Q94" s="402">
        <f t="shared" ca="1" si="13"/>
        <v>16.258333333333333</v>
      </c>
      <c r="R94" s="324" t="str">
        <f ca="1">VLOOKUP(B94,'Base de Datos'!E94:AR391,33,0)</f>
        <v>TERMINO</v>
      </c>
      <c r="S94" s="327" t="str">
        <f t="shared" ca="1" si="10"/>
        <v>NO</v>
      </c>
      <c r="T94" s="324" t="str">
        <f t="shared" ca="1" si="11"/>
        <v>Liquidar</v>
      </c>
      <c r="U94" s="324">
        <f>VLOOKUP(B94,'Base de Datos'!$E$7:$AR$401,38,0)</f>
        <v>41702</v>
      </c>
    </row>
    <row r="95" spans="1:21" ht="23.25" customHeight="1" thickTop="1" thickBot="1" x14ac:dyDescent="0.3">
      <c r="A95" s="108">
        <v>89</v>
      </c>
      <c r="B95" s="324" t="str">
        <f>+'Base de Datos'!E95</f>
        <v>130121-0-2013</v>
      </c>
      <c r="C95" s="324" t="str">
        <f>+'Base de Datos'!F95</f>
        <v>ROSA ENRIQUELINA GÓMEZ CORREDOR</v>
      </c>
      <c r="D95" s="325">
        <f>+'Base de Datos'!I95</f>
        <v>41600000</v>
      </c>
      <c r="E95" s="326">
        <f>+'Base de Datos'!M95</f>
        <v>41396</v>
      </c>
      <c r="F95" s="326">
        <f>+'Base de Datos'!N95</f>
        <v>41699</v>
      </c>
      <c r="G95" s="326">
        <f>+'Base de Datos'!T95</f>
        <v>41699</v>
      </c>
      <c r="H95" s="325">
        <f>+'Base de Datos'!U95</f>
        <v>41600000</v>
      </c>
      <c r="I95" s="327" t="str">
        <f>IF(VLOOKUP(B95,'Base de Datos'!$E$7:$S$303,11,0),"SI","NO")</f>
        <v>NO</v>
      </c>
      <c r="J95" s="328" t="str">
        <f t="shared" si="7"/>
        <v/>
      </c>
      <c r="K95" s="327" t="str">
        <f>IF(VLOOKUP(B95,'Base de Datos'!$E$7:$S$303,11,0),"SI","NO")</f>
        <v>NO</v>
      </c>
      <c r="L95" s="328" t="str">
        <f t="shared" si="8"/>
        <v/>
      </c>
      <c r="M95" s="328">
        <f>VLOOKUP(B95,'Base de Datos'!$E$7:$Z$303,21,0)</f>
        <v>1</v>
      </c>
      <c r="N95" s="390" t="str">
        <f t="shared" ca="1" si="12"/>
        <v/>
      </c>
      <c r="O95" s="328">
        <f ca="1">VLOOKUP(B95,'Base de Datos'!$E$7:$Z$303,22,0)</f>
        <v>1</v>
      </c>
      <c r="P95" s="389">
        <f t="shared" ca="1" si="9"/>
        <v>1944</v>
      </c>
      <c r="Q95" s="402">
        <f t="shared" ca="1" si="13"/>
        <v>16.2</v>
      </c>
      <c r="R95" s="324" t="str">
        <f ca="1">VLOOKUP(B95,'Base de Datos'!E95:AR392,33,0)</f>
        <v>TERMINO</v>
      </c>
      <c r="S95" s="327" t="str">
        <f t="shared" ca="1" si="10"/>
        <v>NO</v>
      </c>
      <c r="T95" s="324" t="str">
        <f t="shared" ca="1" si="11"/>
        <v>Liquidar</v>
      </c>
      <c r="U95" s="324">
        <f>VLOOKUP(B95,'Base de Datos'!$E$7:$AR$401,38,0)</f>
        <v>41845</v>
      </c>
    </row>
    <row r="96" spans="1:21" ht="23.25" customHeight="1" thickTop="1" thickBot="1" x14ac:dyDescent="0.3">
      <c r="A96" s="108">
        <v>90</v>
      </c>
      <c r="B96" s="324" t="str">
        <f>+'Base de Datos'!E96</f>
        <v>130126-0-2013</v>
      </c>
      <c r="C96" s="324" t="str">
        <f>+'Base de Datos'!F96</f>
        <v>EMPRESA DE TELECOMUNICACIONES DE BOGOTÁ S.A.-ETB-ESP</v>
      </c>
      <c r="D96" s="325">
        <f>+'Base de Datos'!I96</f>
        <v>160000000</v>
      </c>
      <c r="E96" s="326">
        <f>+'Base de Datos'!M96</f>
        <v>41411</v>
      </c>
      <c r="F96" s="326">
        <f>+'Base de Datos'!N96</f>
        <v>41477</v>
      </c>
      <c r="G96" s="326">
        <f>+'Base de Datos'!T96</f>
        <v>41508</v>
      </c>
      <c r="H96" s="325">
        <f>+'Base de Datos'!U96</f>
        <v>240000000</v>
      </c>
      <c r="I96" s="327" t="str">
        <f>IF(VLOOKUP(B96,'Base de Datos'!$E$7:$S$303,11,0),"SI","NO")</f>
        <v>SI</v>
      </c>
      <c r="J96" s="328">
        <f t="shared" si="7"/>
        <v>0.46969696969696972</v>
      </c>
      <c r="K96" s="327" t="str">
        <f>IF(VLOOKUP(B96,'Base de Datos'!$E$7:$S$303,11,0),"SI","NO")</f>
        <v>SI</v>
      </c>
      <c r="L96" s="328">
        <f t="shared" si="8"/>
        <v>0.5</v>
      </c>
      <c r="M96" s="328">
        <f>VLOOKUP(B96,'Base de Datos'!$E$7:$Z$303,21,0)</f>
        <v>0.99999985000000002</v>
      </c>
      <c r="N96" s="390" t="str">
        <f t="shared" ca="1" si="12"/>
        <v/>
      </c>
      <c r="O96" s="328">
        <f ca="1">VLOOKUP(B96,'Base de Datos'!$E$7:$Z$303,22,0)</f>
        <v>1</v>
      </c>
      <c r="P96" s="389">
        <f t="shared" ca="1" si="9"/>
        <v>2135</v>
      </c>
      <c r="Q96" s="402">
        <f t="shared" ca="1" si="13"/>
        <v>17.791666666666668</v>
      </c>
      <c r="R96" s="324" t="str">
        <f ca="1">VLOOKUP(B96,'Base de Datos'!E96:AR393,33,0)</f>
        <v>TERMINO</v>
      </c>
      <c r="S96" s="327" t="str">
        <f t="shared" ca="1" si="10"/>
        <v>NO</v>
      </c>
      <c r="T96" s="324" t="str">
        <f t="shared" ca="1" si="11"/>
        <v>Liquidar</v>
      </c>
      <c r="U96" s="324">
        <f>VLOOKUP(B96,'Base de Datos'!$E$7:$AR$401,38,0)</f>
        <v>0</v>
      </c>
    </row>
    <row r="97" spans="1:21" ht="23.25" customHeight="1" thickTop="1" thickBot="1" x14ac:dyDescent="0.3">
      <c r="A97" s="108">
        <v>91</v>
      </c>
      <c r="B97" s="324" t="str">
        <f>+'Base de Datos'!E97</f>
        <v>130129-0-2013</v>
      </c>
      <c r="C97" s="324" t="str">
        <f>+'Base de Datos'!F97</f>
        <v>SOCIEDAD ENTORNO COMPAÑÍA LTDA</v>
      </c>
      <c r="D97" s="325">
        <f>+'Base de Datos'!I97</f>
        <v>55784000</v>
      </c>
      <c r="E97" s="326">
        <f>+'Base de Datos'!M97</f>
        <v>41403</v>
      </c>
      <c r="F97" s="326">
        <f>+'Base de Datos'!N97</f>
        <v>41678</v>
      </c>
      <c r="G97" s="326">
        <f>+'Base de Datos'!T97</f>
        <v>41890</v>
      </c>
      <c r="H97" s="325">
        <f>+'Base de Datos'!U97</f>
        <v>67179000</v>
      </c>
      <c r="I97" s="327" t="str">
        <f>IF(VLOOKUP(B97,'Base de Datos'!$E$7:$S$303,11,0),"SI","NO")</f>
        <v>SI</v>
      </c>
      <c r="J97" s="328">
        <f t="shared" si="7"/>
        <v>0.77090909090909088</v>
      </c>
      <c r="K97" s="327" t="str">
        <f>IF(VLOOKUP(B97,'Base de Datos'!$E$7:$S$303,11,0),"SI","NO")</f>
        <v>SI</v>
      </c>
      <c r="L97" s="328">
        <f t="shared" si="8"/>
        <v>0.2042700415889861</v>
      </c>
      <c r="M97" s="328">
        <f>VLOOKUP(B97,'Base de Datos'!$E$7:$Z$303,21,0)</f>
        <v>0.9990517870167761</v>
      </c>
      <c r="N97" s="390" t="str">
        <f t="shared" ca="1" si="12"/>
        <v/>
      </c>
      <c r="O97" s="328">
        <f ca="1">VLOOKUP(B97,'Base de Datos'!$E$7:$Z$303,22,0)</f>
        <v>1</v>
      </c>
      <c r="P97" s="389">
        <f t="shared" ca="1" si="9"/>
        <v>1753</v>
      </c>
      <c r="Q97" s="402">
        <f t="shared" ca="1" si="13"/>
        <v>14.608333333333333</v>
      </c>
      <c r="R97" s="324" t="str">
        <f ca="1">VLOOKUP(B97,'Base de Datos'!E97:AR394,33,0)</f>
        <v>TERMINO</v>
      </c>
      <c r="S97" s="327" t="str">
        <f t="shared" ca="1" si="10"/>
        <v>NO</v>
      </c>
      <c r="T97" s="324" t="str">
        <f t="shared" ca="1" si="11"/>
        <v>Liquidar</v>
      </c>
      <c r="U97" s="324">
        <f>VLOOKUP(B97,'Base de Datos'!$E$7:$AR$401,38,0)</f>
        <v>42150</v>
      </c>
    </row>
    <row r="98" spans="1:21" ht="23.25" customHeight="1" thickTop="1" thickBot="1" x14ac:dyDescent="0.3">
      <c r="A98" s="108">
        <v>92</v>
      </c>
      <c r="B98" s="324" t="str">
        <f>+'Base de Datos'!E98</f>
        <v>130130-0-2013</v>
      </c>
      <c r="C98" s="324" t="str">
        <f>+'Base de Datos'!F98</f>
        <v>ORGANIZACIÓN TERPEL S.A.</v>
      </c>
      <c r="D98" s="325">
        <f>+'Base de Datos'!I98</f>
        <v>351295000</v>
      </c>
      <c r="E98" s="326">
        <f>+'Base de Datos'!M98</f>
        <v>41426</v>
      </c>
      <c r="F98" s="326">
        <f>+'Base de Datos'!N98</f>
        <v>41671</v>
      </c>
      <c r="G98" s="326">
        <f>+'Base de Datos'!T98</f>
        <v>41820</v>
      </c>
      <c r="H98" s="325">
        <f>+'Base de Datos'!U98</f>
        <v>473134060</v>
      </c>
      <c r="I98" s="327" t="str">
        <f>IF(VLOOKUP(B98,'Base de Datos'!$E$7:$S$303,11,0),"SI","NO")</f>
        <v>SI</v>
      </c>
      <c r="J98" s="328">
        <f t="shared" si="7"/>
        <v>0.60816326530612241</v>
      </c>
      <c r="K98" s="327" t="str">
        <f>IF(VLOOKUP(B98,'Base de Datos'!$E$7:$S$303,11,0),"SI","NO")</f>
        <v>SI</v>
      </c>
      <c r="L98" s="328">
        <f t="shared" si="8"/>
        <v>0.34682833515990835</v>
      </c>
      <c r="M98" s="328">
        <f>VLOOKUP(B98,'Base de Datos'!$E$7:$Z$303,21,0)</f>
        <v>0.99999883753877283</v>
      </c>
      <c r="N98" s="390" t="str">
        <f t="shared" ca="1" si="12"/>
        <v/>
      </c>
      <c r="O98" s="328">
        <f ca="1">VLOOKUP(B98,'Base de Datos'!$E$7:$Z$303,22,0)</f>
        <v>1</v>
      </c>
      <c r="P98" s="389">
        <f t="shared" ca="1" si="9"/>
        <v>1823</v>
      </c>
      <c r="Q98" s="402">
        <f t="shared" ca="1" si="13"/>
        <v>15.191666666666666</v>
      </c>
      <c r="R98" s="324" t="str">
        <f ca="1">VLOOKUP(B98,'Base de Datos'!E98:AR395,33,0)</f>
        <v>TERMINO</v>
      </c>
      <c r="S98" s="327" t="str">
        <f t="shared" ca="1" si="10"/>
        <v>NO</v>
      </c>
      <c r="T98" s="324" t="str">
        <f t="shared" ca="1" si="11"/>
        <v>Liquidar</v>
      </c>
      <c r="U98" s="324">
        <f>VLOOKUP(B98,'Base de Datos'!$E$7:$AR$401,38,0)</f>
        <v>0</v>
      </c>
    </row>
    <row r="99" spans="1:21" ht="23.25" customHeight="1" thickTop="1" thickBot="1" x14ac:dyDescent="0.3">
      <c r="A99" s="108">
        <v>93</v>
      </c>
      <c r="B99" s="324" t="str">
        <f>+'Base de Datos'!E99</f>
        <v>130133-0-2013</v>
      </c>
      <c r="C99" s="324" t="str">
        <f>+'Base de Datos'!F99</f>
        <v>SEGURIDAD NUEVA ERA</v>
      </c>
      <c r="D99" s="325">
        <f>+'Base de Datos'!I99</f>
        <v>2096276</v>
      </c>
      <c r="E99" s="326">
        <f>+'Base de Datos'!M99</f>
        <v>41417</v>
      </c>
      <c r="F99" s="326">
        <f>+'Base de Datos'!N99</f>
        <v>41692</v>
      </c>
      <c r="G99" s="326">
        <f>+'Base de Datos'!T99</f>
        <v>41692</v>
      </c>
      <c r="H99" s="325">
        <f>+'Base de Datos'!U99</f>
        <v>2096276</v>
      </c>
      <c r="I99" s="327" t="str">
        <f>IF(VLOOKUP(B99,'Base de Datos'!$E$7:$S$303,11,0),"SI","NO")</f>
        <v>NO</v>
      </c>
      <c r="J99" s="328" t="str">
        <f t="shared" si="7"/>
        <v/>
      </c>
      <c r="K99" s="327" t="str">
        <f>IF(VLOOKUP(B99,'Base de Datos'!$E$7:$S$303,11,0),"SI","NO")</f>
        <v>NO</v>
      </c>
      <c r="L99" s="328" t="str">
        <f t="shared" si="8"/>
        <v/>
      </c>
      <c r="M99" s="328">
        <f>VLOOKUP(B99,'Base de Datos'!$E$7:$Z$303,21,0)</f>
        <v>0.99541854221486104</v>
      </c>
      <c r="N99" s="390" t="str">
        <f t="shared" ca="1" si="12"/>
        <v/>
      </c>
      <c r="O99" s="328">
        <f ca="1">VLOOKUP(B99,'Base de Datos'!$E$7:$Z$303,22,0)</f>
        <v>1</v>
      </c>
      <c r="P99" s="389">
        <f t="shared" ca="1" si="9"/>
        <v>1951</v>
      </c>
      <c r="Q99" s="402">
        <f t="shared" ca="1" si="13"/>
        <v>16.258333333333333</v>
      </c>
      <c r="R99" s="324" t="str">
        <f ca="1">VLOOKUP(B99,'Base de Datos'!E99:AR396,33,0)</f>
        <v>TERMINO</v>
      </c>
      <c r="S99" s="327" t="str">
        <f t="shared" ca="1" si="10"/>
        <v>NO</v>
      </c>
      <c r="T99" s="324" t="str">
        <f t="shared" ca="1" si="11"/>
        <v>Liquidar</v>
      </c>
      <c r="U99" s="324">
        <f>VLOOKUP(B99,'Base de Datos'!$E$7:$AR$401,38,0)</f>
        <v>41982</v>
      </c>
    </row>
    <row r="100" spans="1:21" ht="23.25" customHeight="1" thickTop="1" thickBot="1" x14ac:dyDescent="0.3">
      <c r="A100" s="108">
        <v>94</v>
      </c>
      <c r="B100" s="324" t="str">
        <f>+'Base de Datos'!E100</f>
        <v>130136-0-2013</v>
      </c>
      <c r="C100" s="324" t="str">
        <f>+'Base de Datos'!F100</f>
        <v>MOTORES Y MAQUINAS MOTORYSA</v>
      </c>
      <c r="D100" s="325">
        <f>+'Base de Datos'!I100</f>
        <v>12594000</v>
      </c>
      <c r="E100" s="326">
        <f>+'Base de Datos'!M100</f>
        <v>41416</v>
      </c>
      <c r="F100" s="326">
        <f>+'Base de Datos'!N100</f>
        <v>41660</v>
      </c>
      <c r="G100" s="326">
        <f>+'Base de Datos'!T100</f>
        <v>41660</v>
      </c>
      <c r="H100" s="325">
        <f>+'Base de Datos'!U100</f>
        <v>18744000</v>
      </c>
      <c r="I100" s="327" t="str">
        <f>IF(VLOOKUP(B100,'Base de Datos'!$E$7:$S$303,11,0),"SI","NO")</f>
        <v>SI</v>
      </c>
      <c r="J100" s="328">
        <f t="shared" si="7"/>
        <v>0</v>
      </c>
      <c r="K100" s="327" t="str">
        <f>IF(VLOOKUP(B100,'Base de Datos'!$E$7:$S$303,11,0),"SI","NO")</f>
        <v>SI</v>
      </c>
      <c r="L100" s="328">
        <f t="shared" si="8"/>
        <v>0.48832777513101477</v>
      </c>
      <c r="M100" s="328">
        <f>VLOOKUP(B100,'Base de Datos'!$E$7:$Z$303,21,0)</f>
        <v>0.9756046734955186</v>
      </c>
      <c r="N100" s="390" t="str">
        <f t="shared" ca="1" si="12"/>
        <v/>
      </c>
      <c r="O100" s="328">
        <f ca="1">VLOOKUP(B100,'Base de Datos'!$E$7:$Z$303,22,0)</f>
        <v>1</v>
      </c>
      <c r="P100" s="389">
        <f t="shared" ca="1" si="9"/>
        <v>1983</v>
      </c>
      <c r="Q100" s="402">
        <f t="shared" ca="1" si="13"/>
        <v>16.524999999999999</v>
      </c>
      <c r="R100" s="324" t="str">
        <f ca="1">VLOOKUP(B100,'Base de Datos'!E100:AR397,33,0)</f>
        <v>TERMINO</v>
      </c>
      <c r="S100" s="327" t="str">
        <f t="shared" ca="1" si="10"/>
        <v>NO</v>
      </c>
      <c r="T100" s="324" t="str">
        <f t="shared" ca="1" si="11"/>
        <v>Liquidar</v>
      </c>
      <c r="U100" s="324">
        <f>VLOOKUP(B100,'Base de Datos'!$E$7:$AR$401,38,0)</f>
        <v>0</v>
      </c>
    </row>
    <row r="101" spans="1:21" ht="23.25" customHeight="1" thickTop="1" thickBot="1" x14ac:dyDescent="0.3">
      <c r="A101" s="108">
        <v>95</v>
      </c>
      <c r="B101" s="324" t="str">
        <f>+'Base de Datos'!E101</f>
        <v>130139-0-2013</v>
      </c>
      <c r="C101" s="324" t="str">
        <f>+'Base de Datos'!F101</f>
        <v>REVISTA EL CONGRESO SIGLO XXI LTDA</v>
      </c>
      <c r="D101" s="325">
        <f>+'Base de Datos'!I101</f>
        <v>7740000</v>
      </c>
      <c r="E101" s="326">
        <f>+'Base de Datos'!M101</f>
        <v>41410</v>
      </c>
      <c r="F101" s="326">
        <f>+'Base de Datos'!N101</f>
        <v>41774</v>
      </c>
      <c r="G101" s="326">
        <f>+'Base de Datos'!T101</f>
        <v>41774</v>
      </c>
      <c r="H101" s="325">
        <f>+'Base de Datos'!U101</f>
        <v>7740000</v>
      </c>
      <c r="I101" s="327" t="str">
        <f>IF(VLOOKUP(B101,'Base de Datos'!$E$7:$S$303,11,0),"SI","NO")</f>
        <v>NO</v>
      </c>
      <c r="J101" s="328" t="str">
        <f t="shared" si="7"/>
        <v/>
      </c>
      <c r="K101" s="327" t="str">
        <f>IF(VLOOKUP(B101,'Base de Datos'!$E$7:$S$303,11,0),"SI","NO")</f>
        <v>NO</v>
      </c>
      <c r="L101" s="328" t="str">
        <f t="shared" si="8"/>
        <v/>
      </c>
      <c r="M101" s="328">
        <f>VLOOKUP(B101,'Base de Datos'!$E$7:$Z$303,21,0)</f>
        <v>1</v>
      </c>
      <c r="N101" s="390" t="str">
        <f t="shared" ca="1" si="12"/>
        <v/>
      </c>
      <c r="O101" s="328">
        <f ca="1">VLOOKUP(B101,'Base de Datos'!$E$7:$Z$303,22,0)</f>
        <v>1</v>
      </c>
      <c r="P101" s="389">
        <f t="shared" ca="1" si="9"/>
        <v>1869</v>
      </c>
      <c r="Q101" s="402">
        <f t="shared" ca="1" si="13"/>
        <v>15.574999999999999</v>
      </c>
      <c r="R101" s="324" t="str">
        <f ca="1">VLOOKUP(B101,'Base de Datos'!E101:AR398,33,0)</f>
        <v>TERMINO</v>
      </c>
      <c r="S101" s="327" t="str">
        <f t="shared" ca="1" si="10"/>
        <v>NO</v>
      </c>
      <c r="T101" s="324" t="str">
        <f t="shared" ca="1" si="11"/>
        <v>Liquidar</v>
      </c>
      <c r="U101" s="324">
        <f>VLOOKUP(B101,'Base de Datos'!$E$7:$AR$401,38,0)</f>
        <v>42004</v>
      </c>
    </row>
    <row r="102" spans="1:21" ht="23.25" customHeight="1" thickTop="1" thickBot="1" x14ac:dyDescent="0.3">
      <c r="A102" s="108">
        <v>96</v>
      </c>
      <c r="B102" s="324" t="str">
        <f>+'Base de Datos'!E102</f>
        <v>130141-0-2013</v>
      </c>
      <c r="C102" s="324" t="str">
        <f>+'Base de Datos'!F102</f>
        <v>LILIANA ALFONSO JAIMES</v>
      </c>
      <c r="D102" s="325">
        <f>+'Base de Datos'!I102</f>
        <v>50000000</v>
      </c>
      <c r="E102" s="326">
        <f>+'Base de Datos'!M102</f>
        <v>41410</v>
      </c>
      <c r="F102" s="326">
        <f>+'Base de Datos'!N102</f>
        <v>41713</v>
      </c>
      <c r="G102" s="326">
        <f>+'Base de Datos'!T102</f>
        <v>41713</v>
      </c>
      <c r="H102" s="325">
        <f>+'Base de Datos'!U102</f>
        <v>50000000</v>
      </c>
      <c r="I102" s="327" t="str">
        <f>IF(VLOOKUP(B102,'Base de Datos'!$E$7:$S$303,11,0),"SI","NO")</f>
        <v>NO</v>
      </c>
      <c r="J102" s="328" t="str">
        <f t="shared" si="7"/>
        <v/>
      </c>
      <c r="K102" s="327" t="str">
        <f>IF(VLOOKUP(B102,'Base de Datos'!$E$7:$S$303,11,0),"SI","NO")</f>
        <v>NO</v>
      </c>
      <c r="L102" s="328" t="str">
        <f t="shared" si="8"/>
        <v/>
      </c>
      <c r="M102" s="328">
        <f>VLOOKUP(B102,'Base de Datos'!$E$7:$Z$303,21,0)</f>
        <v>0.55000000000000004</v>
      </c>
      <c r="N102" s="390" t="str">
        <f t="shared" ca="1" si="12"/>
        <v/>
      </c>
      <c r="O102" s="328">
        <f ca="1">VLOOKUP(B102,'Base de Datos'!$E$7:$Z$303,22,0)</f>
        <v>1</v>
      </c>
      <c r="P102" s="389">
        <f t="shared" ca="1" si="9"/>
        <v>1930</v>
      </c>
      <c r="Q102" s="402">
        <f t="shared" ca="1" si="13"/>
        <v>16.083333333333332</v>
      </c>
      <c r="R102" s="324" t="str">
        <f ca="1">VLOOKUP(B102,'Base de Datos'!E102:AR399,33,0)</f>
        <v>TERMINO</v>
      </c>
      <c r="S102" s="327" t="str">
        <f t="shared" ca="1" si="10"/>
        <v>NO</v>
      </c>
      <c r="T102" s="324" t="str">
        <f t="shared" ca="1" si="11"/>
        <v>Liquidar</v>
      </c>
      <c r="U102" s="324">
        <f>VLOOKUP(B102,'Base de Datos'!$E$7:$AR$401,38,0)</f>
        <v>42117</v>
      </c>
    </row>
    <row r="103" spans="1:21" ht="23.25" customHeight="1" thickTop="1" thickBot="1" x14ac:dyDescent="0.3">
      <c r="A103" s="108">
        <v>97</v>
      </c>
      <c r="B103" s="324" t="str">
        <f>+'Base de Datos'!E103</f>
        <v>130142-0-2013</v>
      </c>
      <c r="C103" s="324" t="str">
        <f>+'Base de Datos'!F103</f>
        <v>AGR SOLUCIONES S.A.S.</v>
      </c>
      <c r="D103" s="325">
        <f>+'Base de Datos'!I103</f>
        <v>9366000</v>
      </c>
      <c r="E103" s="326">
        <f>+'Base de Datos'!M103</f>
        <v>41423</v>
      </c>
      <c r="F103" s="326">
        <f>+'Base de Datos'!N103</f>
        <v>41698</v>
      </c>
      <c r="G103" s="326">
        <f>+'Base de Datos'!T103</f>
        <v>41698</v>
      </c>
      <c r="H103" s="325">
        <f>+'Base de Datos'!U103</f>
        <v>9366000</v>
      </c>
      <c r="I103" s="327" t="str">
        <f>IF(VLOOKUP(B103,'Base de Datos'!$E$7:$S$303,11,0),"SI","NO")</f>
        <v>NO</v>
      </c>
      <c r="J103" s="328" t="str">
        <f t="shared" si="7"/>
        <v/>
      </c>
      <c r="K103" s="327" t="str">
        <f>IF(VLOOKUP(B103,'Base de Datos'!$E$7:$S$303,11,0),"SI","NO")</f>
        <v>NO</v>
      </c>
      <c r="L103" s="328" t="str">
        <f t="shared" si="8"/>
        <v/>
      </c>
      <c r="M103" s="328">
        <f>VLOOKUP(B103,'Base de Datos'!$E$7:$Z$303,21,0)</f>
        <v>0.83105722827247486</v>
      </c>
      <c r="N103" s="390" t="str">
        <f t="shared" ca="1" si="12"/>
        <v/>
      </c>
      <c r="O103" s="328">
        <f ca="1">VLOOKUP(B103,'Base de Datos'!$E$7:$Z$303,22,0)</f>
        <v>1</v>
      </c>
      <c r="P103" s="389">
        <f t="shared" ca="1" si="9"/>
        <v>1945</v>
      </c>
      <c r="Q103" s="402">
        <f t="shared" ca="1" si="13"/>
        <v>16.208333333333332</v>
      </c>
      <c r="R103" s="324" t="str">
        <f ca="1">VLOOKUP(B103,'Base de Datos'!E103:AR400,33,0)</f>
        <v>TERMINO</v>
      </c>
      <c r="S103" s="327" t="str">
        <f t="shared" ca="1" si="10"/>
        <v>NO</v>
      </c>
      <c r="T103" s="324" t="str">
        <f t="shared" ca="1" si="11"/>
        <v>Liquidar</v>
      </c>
      <c r="U103" s="324">
        <f>VLOOKUP(B103,'Base de Datos'!$E$7:$AR$401,38,0)</f>
        <v>42333</v>
      </c>
    </row>
    <row r="104" spans="1:21" ht="23.25" customHeight="1" thickTop="1" thickBot="1" x14ac:dyDescent="0.3">
      <c r="A104" s="108">
        <v>98</v>
      </c>
      <c r="B104" s="324" t="str">
        <f>+'Base de Datos'!E104</f>
        <v>130146-0-2013</v>
      </c>
      <c r="C104" s="324" t="str">
        <f>+'Base de Datos'!F104</f>
        <v>UNIÓN TEMPORAL INTERPOSTAL URBANEX</v>
      </c>
      <c r="D104" s="325">
        <f>+'Base de Datos'!I104</f>
        <v>22300000</v>
      </c>
      <c r="E104" s="326">
        <f>+'Base de Datos'!M104</f>
        <v>41410</v>
      </c>
      <c r="F104" s="326">
        <f>+'Base de Datos'!N104</f>
        <v>41623</v>
      </c>
      <c r="G104" s="326">
        <f>+'Base de Datos'!T104</f>
        <v>41806</v>
      </c>
      <c r="H104" s="325">
        <f>+'Base de Datos'!U104</f>
        <v>33120000</v>
      </c>
      <c r="I104" s="327" t="str">
        <f>IF(VLOOKUP(B104,'Base de Datos'!$E$7:$S$303,11,0),"SI","NO")</f>
        <v>SI</v>
      </c>
      <c r="J104" s="328">
        <f t="shared" si="7"/>
        <v>0.85915492957746475</v>
      </c>
      <c r="K104" s="327" t="str">
        <f>IF(VLOOKUP(B104,'Base de Datos'!$E$7:$S$303,11,0),"SI","NO")</f>
        <v>SI</v>
      </c>
      <c r="L104" s="328">
        <f t="shared" si="8"/>
        <v>0.48520179372197308</v>
      </c>
      <c r="M104" s="328">
        <f>VLOOKUP(B104,'Base de Datos'!$E$7:$Z$303,21,0)</f>
        <v>0.99133303140096618</v>
      </c>
      <c r="N104" s="390" t="str">
        <f t="shared" ca="1" si="12"/>
        <v/>
      </c>
      <c r="O104" s="328">
        <f ca="1">VLOOKUP(B104,'Base de Datos'!$E$7:$Z$303,22,0)</f>
        <v>1</v>
      </c>
      <c r="P104" s="389">
        <f t="shared" ca="1" si="9"/>
        <v>1837</v>
      </c>
      <c r="Q104" s="402">
        <f t="shared" ca="1" si="13"/>
        <v>15.308333333333334</v>
      </c>
      <c r="R104" s="324" t="str">
        <f ca="1">VLOOKUP(B104,'Base de Datos'!E104:AR401,33,0)</f>
        <v>TERMINO</v>
      </c>
      <c r="S104" s="327" t="str">
        <f t="shared" ca="1" si="10"/>
        <v>NO</v>
      </c>
      <c r="T104" s="324" t="str">
        <f t="shared" ca="1" si="11"/>
        <v>Liquidar</v>
      </c>
      <c r="U104" s="324">
        <f>VLOOKUP(B104,'Base de Datos'!$E$7:$AR$401,38,0)</f>
        <v>42290</v>
      </c>
    </row>
    <row r="105" spans="1:21" ht="23.25" customHeight="1" thickTop="1" thickBot="1" x14ac:dyDescent="0.3">
      <c r="A105" s="108">
        <v>99</v>
      </c>
      <c r="B105" s="324" t="str">
        <f>+'Base de Datos'!E105</f>
        <v>130147-0-2013</v>
      </c>
      <c r="C105" s="324" t="str">
        <f>+'Base de Datos'!F105</f>
        <v>BUSINESS TECHNOLOGIES COMPANY</v>
      </c>
      <c r="D105" s="325">
        <f>+'Base de Datos'!I105</f>
        <v>1030000</v>
      </c>
      <c r="E105" s="326">
        <f>+'Base de Datos'!M105</f>
        <v>41438</v>
      </c>
      <c r="F105" s="326">
        <f>+'Base de Datos'!N105</f>
        <v>41802</v>
      </c>
      <c r="G105" s="326">
        <f>+'Base de Datos'!T105</f>
        <v>41802</v>
      </c>
      <c r="H105" s="325">
        <f>+'Base de Datos'!U105</f>
        <v>1030000</v>
      </c>
      <c r="I105" s="327" t="str">
        <f>IF(VLOOKUP(B105,'Base de Datos'!$E$7:$S$303,11,0),"SI","NO")</f>
        <v>NO</v>
      </c>
      <c r="J105" s="328" t="str">
        <f t="shared" si="7"/>
        <v/>
      </c>
      <c r="K105" s="327" t="str">
        <f>IF(VLOOKUP(B105,'Base de Datos'!$E$7:$S$303,11,0),"SI","NO")</f>
        <v>NO</v>
      </c>
      <c r="L105" s="328" t="str">
        <f t="shared" si="8"/>
        <v/>
      </c>
      <c r="M105" s="328">
        <f>VLOOKUP(B105,'Base de Datos'!$E$7:$Z$303,21,0)</f>
        <v>1</v>
      </c>
      <c r="N105" s="390" t="str">
        <f t="shared" ca="1" si="12"/>
        <v/>
      </c>
      <c r="O105" s="328">
        <f ca="1">VLOOKUP(B105,'Base de Datos'!$E$7:$Z$303,22,0)</f>
        <v>1</v>
      </c>
      <c r="P105" s="389">
        <f t="shared" ca="1" si="9"/>
        <v>1841</v>
      </c>
      <c r="Q105" s="402">
        <f t="shared" ca="1" si="13"/>
        <v>15.341666666666667</v>
      </c>
      <c r="R105" s="324" t="str">
        <f ca="1">VLOOKUP(B105,'Base de Datos'!E105:AR402,33,0)</f>
        <v>TERMINO</v>
      </c>
      <c r="S105" s="327" t="str">
        <f t="shared" ca="1" si="10"/>
        <v>NO</v>
      </c>
      <c r="T105" s="324" t="str">
        <f t="shared" ca="1" si="11"/>
        <v>Liquidar</v>
      </c>
      <c r="U105" s="324">
        <f>VLOOKUP(B105,'Base de Datos'!$E$7:$AR$401,38,0)</f>
        <v>41982</v>
      </c>
    </row>
    <row r="106" spans="1:21" ht="23.25" customHeight="1" thickTop="1" thickBot="1" x14ac:dyDescent="0.3">
      <c r="A106" s="108">
        <v>100</v>
      </c>
      <c r="B106" s="324" t="str">
        <f>+'Base de Datos'!E106</f>
        <v>130150-0-2013</v>
      </c>
      <c r="C106" s="324" t="str">
        <f>+'Base de Datos'!F106</f>
        <v>CANAL REGIONAL DE TELEVISION TEVEANDINA LTDA - TEVEANDINA LTDA</v>
      </c>
      <c r="D106" s="325">
        <f>+'Base de Datos'!I106</f>
        <v>1379939352</v>
      </c>
      <c r="E106" s="326">
        <f>+'Base de Datos'!M106</f>
        <v>41421</v>
      </c>
      <c r="F106" s="326">
        <f>+'Base de Datos'!N106</f>
        <v>41785</v>
      </c>
      <c r="G106" s="326">
        <f>+'Base de Datos'!T106</f>
        <v>41897</v>
      </c>
      <c r="H106" s="325">
        <f>+'Base de Datos'!U106</f>
        <v>1552431776</v>
      </c>
      <c r="I106" s="327" t="str">
        <f>IF(VLOOKUP(B106,'Base de Datos'!$E$7:$S$303,11,0),"SI","NO")</f>
        <v>SI</v>
      </c>
      <c r="J106" s="328">
        <f t="shared" si="7"/>
        <v>0.30769230769230771</v>
      </c>
      <c r="K106" s="327" t="str">
        <f>IF(VLOOKUP(B106,'Base de Datos'!$E$7:$S$303,11,0),"SI","NO")</f>
        <v>SI</v>
      </c>
      <c r="L106" s="328">
        <f t="shared" si="8"/>
        <v>0.12500000362334765</v>
      </c>
      <c r="M106" s="328">
        <f>VLOOKUP(B106,'Base de Datos'!$E$7:$Z$303,21,0)</f>
        <v>0.99999999935584927</v>
      </c>
      <c r="N106" s="390" t="str">
        <f t="shared" ca="1" si="12"/>
        <v/>
      </c>
      <c r="O106" s="328">
        <f ca="1">VLOOKUP(B106,'Base de Datos'!$E$7:$Z$303,22,0)</f>
        <v>1</v>
      </c>
      <c r="P106" s="389">
        <f t="shared" ca="1" si="9"/>
        <v>1746</v>
      </c>
      <c r="Q106" s="402">
        <f t="shared" ca="1" si="13"/>
        <v>14.55</v>
      </c>
      <c r="R106" s="324" t="str">
        <f ca="1">VLOOKUP(B106,'Base de Datos'!E106:AR403,33,0)</f>
        <v>TERMINO</v>
      </c>
      <c r="S106" s="327" t="str">
        <f t="shared" ca="1" si="10"/>
        <v>NO</v>
      </c>
      <c r="T106" s="324" t="str">
        <f t="shared" ca="1" si="11"/>
        <v>Liquidar</v>
      </c>
      <c r="U106" s="324">
        <f>VLOOKUP(B106,'Base de Datos'!$E$7:$AR$401,38,0)</f>
        <v>42051</v>
      </c>
    </row>
    <row r="107" spans="1:21" ht="23.25" customHeight="1" thickTop="1" thickBot="1" x14ac:dyDescent="0.3">
      <c r="A107" s="108">
        <v>101</v>
      </c>
      <c r="B107" s="324" t="str">
        <f>+'Base de Datos'!E107</f>
        <v>130152-0-2013</v>
      </c>
      <c r="C107" s="324" t="str">
        <f>+'Base de Datos'!F107</f>
        <v>EDITORIAL EL GLOBO S.A</v>
      </c>
      <c r="D107" s="325">
        <f>+'Base de Datos'!I107</f>
        <v>849000</v>
      </c>
      <c r="E107" s="326">
        <f>+'Base de Datos'!M107</f>
        <v>41421</v>
      </c>
      <c r="F107" s="326">
        <f>+'Base de Datos'!N107</f>
        <v>41969</v>
      </c>
      <c r="G107" s="326">
        <f>+'Base de Datos'!T107</f>
        <v>41969</v>
      </c>
      <c r="H107" s="325">
        <f>+'Base de Datos'!U107</f>
        <v>849000</v>
      </c>
      <c r="I107" s="327" t="str">
        <f>IF(VLOOKUP(B107,'Base de Datos'!$E$7:$S$303,11,0),"SI","NO")</f>
        <v>NO</v>
      </c>
      <c r="J107" s="328" t="str">
        <f t="shared" si="7"/>
        <v/>
      </c>
      <c r="K107" s="327" t="str">
        <f>IF(VLOOKUP(B107,'Base de Datos'!$E$7:$S$303,11,0),"SI","NO")</f>
        <v>NO</v>
      </c>
      <c r="L107" s="328" t="str">
        <f t="shared" si="8"/>
        <v/>
      </c>
      <c r="M107" s="328">
        <f>VLOOKUP(B107,'Base de Datos'!$E$7:$Z$303,21,0)</f>
        <v>1</v>
      </c>
      <c r="N107" s="390" t="str">
        <f t="shared" ca="1" si="12"/>
        <v/>
      </c>
      <c r="O107" s="328">
        <f ca="1">VLOOKUP(B107,'Base de Datos'!$E$7:$Z$303,22,0)</f>
        <v>1</v>
      </c>
      <c r="P107" s="389">
        <f t="shared" ca="1" si="9"/>
        <v>1674</v>
      </c>
      <c r="Q107" s="402">
        <f t="shared" ca="1" si="13"/>
        <v>13.95</v>
      </c>
      <c r="R107" s="324" t="str">
        <f ca="1">VLOOKUP(B107,'Base de Datos'!E107:AR404,33,0)</f>
        <v>TERMINO</v>
      </c>
      <c r="S107" s="327" t="str">
        <f t="shared" ca="1" si="10"/>
        <v>NO</v>
      </c>
      <c r="T107" s="324" t="str">
        <f t="shared" ca="1" si="11"/>
        <v>Liquidar</v>
      </c>
      <c r="U107" s="324">
        <f>VLOOKUP(B107,'Base de Datos'!$E$7:$AR$401,38,0)</f>
        <v>42286</v>
      </c>
    </row>
    <row r="108" spans="1:21" ht="23.25" customHeight="1" thickTop="1" thickBot="1" x14ac:dyDescent="0.3">
      <c r="A108" s="108">
        <v>102</v>
      </c>
      <c r="B108" s="324" t="str">
        <f>+'Base de Datos'!E108</f>
        <v>130154-0-2013</v>
      </c>
      <c r="C108" s="324" t="str">
        <f>+'Base de Datos'!F108</f>
        <v>MUDANZAS LEMUS</v>
      </c>
      <c r="D108" s="325">
        <f>+'Base de Datos'!I108</f>
        <v>15000000</v>
      </c>
      <c r="E108" s="326">
        <f>+'Base de Datos'!M108</f>
        <v>41459</v>
      </c>
      <c r="F108" s="326">
        <f>+'Base de Datos'!N108</f>
        <v>41701</v>
      </c>
      <c r="G108" s="326">
        <f>+'Base de Datos'!T108</f>
        <v>41823</v>
      </c>
      <c r="H108" s="325">
        <f>+'Base de Datos'!U108</f>
        <v>15000000</v>
      </c>
      <c r="I108" s="327" t="str">
        <f>IF(VLOOKUP(B108,'Base de Datos'!$E$7:$S$303,11,0),"SI","NO")</f>
        <v>NO</v>
      </c>
      <c r="J108" s="328" t="str">
        <f t="shared" si="7"/>
        <v/>
      </c>
      <c r="K108" s="327" t="str">
        <f>IF(VLOOKUP(B108,'Base de Datos'!$E$7:$S$303,11,0),"SI","NO")</f>
        <v>NO</v>
      </c>
      <c r="L108" s="328" t="str">
        <f t="shared" si="8"/>
        <v/>
      </c>
      <c r="M108" s="328">
        <f>VLOOKUP(B108,'Base de Datos'!$E$7:$Z$303,21,0)</f>
        <v>0.357908</v>
      </c>
      <c r="N108" s="390" t="str">
        <f t="shared" ca="1" si="12"/>
        <v/>
      </c>
      <c r="O108" s="328">
        <f ca="1">VLOOKUP(B108,'Base de Datos'!$E$7:$Z$303,22,0)</f>
        <v>1</v>
      </c>
      <c r="P108" s="389">
        <f t="shared" ca="1" si="9"/>
        <v>1820</v>
      </c>
      <c r="Q108" s="402">
        <f t="shared" ca="1" si="13"/>
        <v>15.166666666666666</v>
      </c>
      <c r="R108" s="324" t="str">
        <f ca="1">VLOOKUP(B108,'Base de Datos'!E108:AR409,33,0)</f>
        <v>TERMINO</v>
      </c>
      <c r="S108" s="327" t="str">
        <f t="shared" ca="1" si="10"/>
        <v>NO</v>
      </c>
      <c r="T108" s="324" t="str">
        <f t="shared" ca="1" si="11"/>
        <v>Liquidar</v>
      </c>
      <c r="U108" s="324">
        <f>VLOOKUP(B108,'Base de Datos'!$E$7:$AR$401,38,0)</f>
        <v>42004</v>
      </c>
    </row>
    <row r="109" spans="1:21" ht="23.25" customHeight="1" thickTop="1" thickBot="1" x14ac:dyDescent="0.3">
      <c r="A109" s="108">
        <v>103</v>
      </c>
      <c r="B109" s="324" t="str">
        <f>+'Base de Datos'!E109</f>
        <v>130156-0-2013</v>
      </c>
      <c r="C109" s="324" t="str">
        <f>+'Base de Datos'!F109</f>
        <v>SOLUTION COPY LTDA</v>
      </c>
      <c r="D109" s="325">
        <f>+'Base de Datos'!I109</f>
        <v>31904847</v>
      </c>
      <c r="E109" s="326">
        <f>+'Base de Datos'!M109</f>
        <v>41426</v>
      </c>
      <c r="F109" s="326">
        <f>+'Base de Datos'!N109</f>
        <v>41729</v>
      </c>
      <c r="G109" s="326">
        <f>+'Base de Datos'!T109</f>
        <v>41820</v>
      </c>
      <c r="H109" s="325">
        <f>+'Base de Datos'!U109</f>
        <v>35904847</v>
      </c>
      <c r="I109" s="327" t="str">
        <f>IF(VLOOKUP(B109,'Base de Datos'!$E$7:$S$303,11,0),"SI","NO")</f>
        <v>SI</v>
      </c>
      <c r="J109" s="328">
        <f t="shared" si="7"/>
        <v>0.30033003300330036</v>
      </c>
      <c r="K109" s="327" t="str">
        <f>IF(VLOOKUP(B109,'Base de Datos'!$E$7:$S$303,11,0),"SI","NO")</f>
        <v>SI</v>
      </c>
      <c r="L109" s="328">
        <f t="shared" si="8"/>
        <v>0.12537279993851719</v>
      </c>
      <c r="M109" s="328">
        <f>VLOOKUP(B109,'Base de Datos'!$E$7:$Z$303,21,0)</f>
        <v>0.99999994429721428</v>
      </c>
      <c r="N109" s="390" t="str">
        <f t="shared" ca="1" si="12"/>
        <v/>
      </c>
      <c r="O109" s="328">
        <f ca="1">VLOOKUP(B109,'Base de Datos'!$E$7:$Z$303,22,0)</f>
        <v>1</v>
      </c>
      <c r="P109" s="389">
        <f t="shared" ca="1" si="9"/>
        <v>1823</v>
      </c>
      <c r="Q109" s="402">
        <f t="shared" ca="1" si="13"/>
        <v>15.191666666666666</v>
      </c>
      <c r="R109" s="324" t="str">
        <f ca="1">VLOOKUP(B109,'Base de Datos'!E109:AR410,33,0)</f>
        <v>TERMINO</v>
      </c>
      <c r="S109" s="327" t="str">
        <f t="shared" ca="1" si="10"/>
        <v>NO</v>
      </c>
      <c r="T109" s="324" t="str">
        <f t="shared" ca="1" si="11"/>
        <v>Liquidar</v>
      </c>
      <c r="U109" s="324">
        <f>VLOOKUP(B109,'Base de Datos'!$E$7:$AR$401,38,0)</f>
        <v>0</v>
      </c>
    </row>
    <row r="110" spans="1:21" ht="23.25" customHeight="1" thickTop="1" thickBot="1" x14ac:dyDescent="0.3">
      <c r="A110" s="108">
        <v>104</v>
      </c>
      <c r="B110" s="324" t="str">
        <f>+'Base de Datos'!E110</f>
        <v>130161-0-2013</v>
      </c>
      <c r="C110" s="324" t="str">
        <f>+'Base de Datos'!F110</f>
        <v>AUGUSTO MEDIVELSO OJEDA</v>
      </c>
      <c r="D110" s="325">
        <f>+'Base de Datos'!I110</f>
        <v>40000000</v>
      </c>
      <c r="E110" s="326">
        <f>+'Base de Datos'!M110</f>
        <v>41416</v>
      </c>
      <c r="F110" s="326">
        <f>+'Base de Datos'!N110</f>
        <v>41660</v>
      </c>
      <c r="G110" s="326">
        <f>+'Base de Datos'!T110</f>
        <v>41660</v>
      </c>
      <c r="H110" s="325">
        <f>+'Base de Datos'!U110</f>
        <v>40000000</v>
      </c>
      <c r="I110" s="327" t="str">
        <f>IF(VLOOKUP(B110,'Base de Datos'!$E$7:$S$303,11,0),"SI","NO")</f>
        <v>NO</v>
      </c>
      <c r="J110" s="328" t="str">
        <f t="shared" si="7"/>
        <v/>
      </c>
      <c r="K110" s="327" t="str">
        <f>IF(VLOOKUP(B110,'Base de Datos'!$E$7:$S$303,11,0),"SI","NO")</f>
        <v>NO</v>
      </c>
      <c r="L110" s="328" t="str">
        <f t="shared" si="8"/>
        <v/>
      </c>
      <c r="M110" s="328">
        <f>VLOOKUP(B110,'Base de Datos'!$E$7:$Z$303,21,0)</f>
        <v>0.41667500000000002</v>
      </c>
      <c r="N110" s="390" t="str">
        <f t="shared" ca="1" si="12"/>
        <v/>
      </c>
      <c r="O110" s="328">
        <f ca="1">VLOOKUP(B110,'Base de Datos'!$E$7:$Z$303,22,0)</f>
        <v>1</v>
      </c>
      <c r="P110" s="389">
        <f t="shared" ca="1" si="9"/>
        <v>1983</v>
      </c>
      <c r="Q110" s="402">
        <f t="shared" ca="1" si="13"/>
        <v>16.524999999999999</v>
      </c>
      <c r="R110" s="324" t="str">
        <f ca="1">VLOOKUP(B110,'Base de Datos'!E110:AR421,33,0)</f>
        <v>TERMINO</v>
      </c>
      <c r="S110" s="327" t="str">
        <f t="shared" ca="1" si="10"/>
        <v>NO</v>
      </c>
      <c r="T110" s="324" t="str">
        <f t="shared" ca="1" si="11"/>
        <v>Liquidar</v>
      </c>
      <c r="U110" s="324">
        <f>VLOOKUP(B110,'Base de Datos'!$E$7:$AR$401,38,0)</f>
        <v>42325</v>
      </c>
    </row>
    <row r="111" spans="1:21" ht="23.25" customHeight="1" thickTop="1" thickBot="1" x14ac:dyDescent="0.3">
      <c r="A111" s="108">
        <v>105</v>
      </c>
      <c r="B111" s="324" t="str">
        <f>+'Base de Datos'!E111</f>
        <v>130162-0-2013</v>
      </c>
      <c r="C111" s="324" t="str">
        <f>+'Base de Datos'!F111</f>
        <v>SGS COLOMBIA S.A.</v>
      </c>
      <c r="D111" s="325">
        <f>+'Base de Datos'!I111</f>
        <v>4524000</v>
      </c>
      <c r="E111" s="326">
        <f>+'Base de Datos'!M111</f>
        <v>41548</v>
      </c>
      <c r="F111" s="326">
        <f>+'Base de Datos'!N111</f>
        <v>41578</v>
      </c>
      <c r="G111" s="326">
        <f>+'Base de Datos'!T111</f>
        <v>41578</v>
      </c>
      <c r="H111" s="325">
        <f>+'Base de Datos'!U111</f>
        <v>4524000</v>
      </c>
      <c r="I111" s="327" t="str">
        <f>IF(VLOOKUP(B111,'Base de Datos'!$E$7:$S$303,11,0),"SI","NO")</f>
        <v>NO</v>
      </c>
      <c r="J111" s="328" t="str">
        <f t="shared" si="7"/>
        <v/>
      </c>
      <c r="K111" s="327" t="str">
        <f>IF(VLOOKUP(B111,'Base de Datos'!$E$7:$S$303,11,0),"SI","NO")</f>
        <v>NO</v>
      </c>
      <c r="L111" s="328" t="str">
        <f t="shared" si="8"/>
        <v/>
      </c>
      <c r="M111" s="328">
        <f>VLOOKUP(B111,'Base de Datos'!$E$7:$Z$303,21,0)</f>
        <v>1</v>
      </c>
      <c r="N111" s="390" t="str">
        <f t="shared" ca="1" si="12"/>
        <v/>
      </c>
      <c r="O111" s="328">
        <f ca="1">VLOOKUP(B111,'Base de Datos'!$E$7:$Z$303,22,0)</f>
        <v>1</v>
      </c>
      <c r="P111" s="389">
        <f t="shared" ca="1" si="9"/>
        <v>2065</v>
      </c>
      <c r="Q111" s="402">
        <f t="shared" ca="1" si="13"/>
        <v>17.208333333333332</v>
      </c>
      <c r="R111" s="324" t="str">
        <f ca="1">VLOOKUP(B111,'Base de Datos'!E111:AR422,33,0)</f>
        <v>TERMINO</v>
      </c>
      <c r="S111" s="327" t="str">
        <f t="shared" ca="1" si="10"/>
        <v>NO</v>
      </c>
      <c r="T111" s="324" t="str">
        <f t="shared" ca="1" si="11"/>
        <v>Liquidar</v>
      </c>
      <c r="U111" s="324">
        <f>VLOOKUP(B111,'Base de Datos'!$E$7:$AR$401,38,0)</f>
        <v>41905</v>
      </c>
    </row>
    <row r="112" spans="1:21" ht="23.25" customHeight="1" thickTop="1" thickBot="1" x14ac:dyDescent="0.3">
      <c r="A112" s="108">
        <v>106</v>
      </c>
      <c r="B112" s="324" t="str">
        <f>+'Base de Datos'!E112</f>
        <v>130163-0-2013</v>
      </c>
      <c r="C112" s="324" t="str">
        <f>+'Base de Datos'!F112</f>
        <v>KHAANKO NORBERTO RUIZ RODRÍGUEZ</v>
      </c>
      <c r="D112" s="325">
        <f>+'Base de Datos'!I112</f>
        <v>20800000</v>
      </c>
      <c r="E112" s="326">
        <f>+'Base de Datos'!M112</f>
        <v>41421</v>
      </c>
      <c r="F112" s="326">
        <f>+'Base de Datos'!N112</f>
        <v>41665</v>
      </c>
      <c r="G112" s="326">
        <f>+'Base de Datos'!T112</f>
        <v>41665</v>
      </c>
      <c r="H112" s="325">
        <f>+'Base de Datos'!U112</f>
        <v>20800000</v>
      </c>
      <c r="I112" s="327" t="str">
        <f>IF(VLOOKUP(B112,'Base de Datos'!$E$7:$S$303,11,0),"SI","NO")</f>
        <v>NO</v>
      </c>
      <c r="J112" s="328" t="str">
        <f t="shared" si="7"/>
        <v/>
      </c>
      <c r="K112" s="327" t="str">
        <f>IF(VLOOKUP(B112,'Base de Datos'!$E$7:$S$303,11,0),"SI","NO")</f>
        <v>NO</v>
      </c>
      <c r="L112" s="328" t="str">
        <f t="shared" si="8"/>
        <v/>
      </c>
      <c r="M112" s="328">
        <f>VLOOKUP(B112,'Base de Datos'!$E$7:$Z$303,21,0)</f>
        <v>1</v>
      </c>
      <c r="N112" s="390" t="str">
        <f t="shared" ca="1" si="12"/>
        <v/>
      </c>
      <c r="O112" s="328">
        <f ca="1">VLOOKUP(B112,'Base de Datos'!$E$7:$Z$303,22,0)</f>
        <v>1</v>
      </c>
      <c r="P112" s="389">
        <f t="shared" ca="1" si="9"/>
        <v>1978</v>
      </c>
      <c r="Q112" s="402">
        <f t="shared" ca="1" si="13"/>
        <v>16.483333333333334</v>
      </c>
      <c r="R112" s="324" t="str">
        <f ca="1">VLOOKUP(B112,'Base de Datos'!E112:AR423,33,0)</f>
        <v>TERMINO</v>
      </c>
      <c r="S112" s="327" t="str">
        <f t="shared" ca="1" si="10"/>
        <v>NO</v>
      </c>
      <c r="T112" s="324" t="str">
        <f t="shared" ca="1" si="11"/>
        <v>Liquidar</v>
      </c>
      <c r="U112" s="324">
        <f>VLOOKUP(B112,'Base de Datos'!$E$7:$AR$401,38,0)</f>
        <v>41712</v>
      </c>
    </row>
    <row r="113" spans="1:21" ht="23.25" customHeight="1" thickTop="1" thickBot="1" x14ac:dyDescent="0.3">
      <c r="A113" s="108">
        <v>107</v>
      </c>
      <c r="B113" s="324" t="str">
        <f>+'Base de Datos'!E113</f>
        <v>130164-0-2013</v>
      </c>
      <c r="C113" s="324" t="str">
        <f>+'Base de Datos'!F113</f>
        <v>EDELMIRA ATARA GIL</v>
      </c>
      <c r="D113" s="325">
        <f>+'Base de Datos'!I113</f>
        <v>28000000</v>
      </c>
      <c r="E113" s="326">
        <f>+'Base de Datos'!M113</f>
        <v>41423</v>
      </c>
      <c r="F113" s="326">
        <f>+'Base de Datos'!N113</f>
        <v>41667</v>
      </c>
      <c r="G113" s="326">
        <f>+'Base de Datos'!T113</f>
        <v>41667</v>
      </c>
      <c r="H113" s="325">
        <f>+'Base de Datos'!U113</f>
        <v>28000000</v>
      </c>
      <c r="I113" s="327" t="str">
        <f>IF(VLOOKUP(B113,'Base de Datos'!$E$7:$S$303,11,0),"SI","NO")</f>
        <v>NO</v>
      </c>
      <c r="J113" s="328" t="str">
        <f t="shared" si="7"/>
        <v/>
      </c>
      <c r="K113" s="327" t="str">
        <f>IF(VLOOKUP(B113,'Base de Datos'!$E$7:$S$303,11,0),"SI","NO")</f>
        <v>NO</v>
      </c>
      <c r="L113" s="328" t="str">
        <f t="shared" si="8"/>
        <v/>
      </c>
      <c r="M113" s="328">
        <f>VLOOKUP(B113,'Base de Datos'!$E$7:$Z$303,21,0)</f>
        <v>1</v>
      </c>
      <c r="N113" s="390" t="str">
        <f t="shared" ca="1" si="12"/>
        <v/>
      </c>
      <c r="O113" s="328">
        <f ca="1">VLOOKUP(B113,'Base de Datos'!$E$7:$Z$303,22,0)</f>
        <v>1</v>
      </c>
      <c r="P113" s="389">
        <f t="shared" ca="1" si="9"/>
        <v>1976</v>
      </c>
      <c r="Q113" s="402">
        <f t="shared" ca="1" si="13"/>
        <v>16.466666666666665</v>
      </c>
      <c r="R113" s="324" t="str">
        <f ca="1">VLOOKUP(B113,'Base de Datos'!E113:AR424,33,0)</f>
        <v>TERMINO</v>
      </c>
      <c r="S113" s="327" t="str">
        <f t="shared" ca="1" si="10"/>
        <v>NO</v>
      </c>
      <c r="T113" s="324" t="str">
        <f t="shared" ca="1" si="11"/>
        <v>Liquidar</v>
      </c>
      <c r="U113" s="324">
        <f>VLOOKUP(B113,'Base de Datos'!$E$7:$AR$401,38,0)</f>
        <v>0</v>
      </c>
    </row>
    <row r="114" spans="1:21" ht="23.25" customHeight="1" thickTop="1" thickBot="1" x14ac:dyDescent="0.3">
      <c r="A114" s="108">
        <v>108</v>
      </c>
      <c r="B114" s="324" t="str">
        <f>+'Base de Datos'!E114</f>
        <v>130166-0-2013</v>
      </c>
      <c r="C114" s="324" t="str">
        <f>+'Base de Datos'!F114</f>
        <v>RICOH COLOMBIA S.A.</v>
      </c>
      <c r="D114" s="325">
        <f>+'Base de Datos'!I114</f>
        <v>266580829</v>
      </c>
      <c r="E114" s="326">
        <f>+'Base de Datos'!M114</f>
        <v>41457</v>
      </c>
      <c r="F114" s="326">
        <f>+'Base de Datos'!N114</f>
        <v>41501</v>
      </c>
      <c r="G114" s="326">
        <f>+'Base de Datos'!T114</f>
        <v>41501</v>
      </c>
      <c r="H114" s="325">
        <f>+'Base de Datos'!U114</f>
        <v>266580829</v>
      </c>
      <c r="I114" s="327" t="str">
        <f>IF(VLOOKUP(B114,'Base de Datos'!$E$7:$S$303,11,0),"SI","NO")</f>
        <v>NO</v>
      </c>
      <c r="J114" s="328" t="str">
        <f t="shared" si="7"/>
        <v/>
      </c>
      <c r="K114" s="327" t="str">
        <f>IF(VLOOKUP(B114,'Base de Datos'!$E$7:$S$303,11,0),"SI","NO")</f>
        <v>NO</v>
      </c>
      <c r="L114" s="328" t="str">
        <f t="shared" si="8"/>
        <v/>
      </c>
      <c r="M114" s="328">
        <f>VLOOKUP(B114,'Base de Datos'!$E$7:$Z$303,21,0)</f>
        <v>1</v>
      </c>
      <c r="N114" s="390" t="str">
        <f t="shared" ca="1" si="12"/>
        <v/>
      </c>
      <c r="O114" s="328">
        <f ca="1">VLOOKUP(B114,'Base de Datos'!$E$7:$Z$303,22,0)</f>
        <v>1</v>
      </c>
      <c r="P114" s="389">
        <f t="shared" ca="1" si="9"/>
        <v>2142</v>
      </c>
      <c r="Q114" s="402">
        <f t="shared" ca="1" si="13"/>
        <v>17.850000000000001</v>
      </c>
      <c r="R114" s="324" t="str">
        <f ca="1">VLOOKUP(B114,'Base de Datos'!E114:AR425,33,0)</f>
        <v>TERMINO</v>
      </c>
      <c r="S114" s="327" t="str">
        <f t="shared" ca="1" si="10"/>
        <v>NO</v>
      </c>
      <c r="T114" s="324" t="str">
        <f t="shared" ca="1" si="11"/>
        <v>Liquidar</v>
      </c>
      <c r="U114" s="324">
        <f>VLOOKUP(B114,'Base de Datos'!$E$7:$AR$401,38,0)</f>
        <v>42118</v>
      </c>
    </row>
    <row r="115" spans="1:21" ht="23.25" customHeight="1" thickTop="1" thickBot="1" x14ac:dyDescent="0.3">
      <c r="A115" s="108">
        <v>109</v>
      </c>
      <c r="B115" s="324" t="str">
        <f>+'Base de Datos'!E115</f>
        <v>130186-0-2013</v>
      </c>
      <c r="C115" s="324" t="str">
        <f>+'Base de Datos'!F115</f>
        <v>INVERSIONES MATAY SAS</v>
      </c>
      <c r="D115" s="325">
        <f>+'Base de Datos'!I115</f>
        <v>232000000</v>
      </c>
      <c r="E115" s="326">
        <f>+'Base de Datos'!M115</f>
        <v>41463</v>
      </c>
      <c r="F115" s="326">
        <f>+'Base de Datos'!N115</f>
        <v>41766</v>
      </c>
      <c r="G115" s="326">
        <f>+'Base de Datos'!T115</f>
        <v>41849</v>
      </c>
      <c r="H115" s="325">
        <f>+'Base de Datos'!U115</f>
        <v>348897514</v>
      </c>
      <c r="I115" s="327" t="str">
        <f>IF(VLOOKUP(B115,'Base de Datos'!$E$7:$S$303,11,0),"SI","NO")</f>
        <v>SI</v>
      </c>
      <c r="J115" s="328">
        <f t="shared" si="7"/>
        <v>0.27392739273927391</v>
      </c>
      <c r="K115" s="327" t="str">
        <f>IF(VLOOKUP(B115,'Base de Datos'!$E$7:$S$303,11,0),"SI","NO")</f>
        <v>SI</v>
      </c>
      <c r="L115" s="328">
        <f t="shared" si="8"/>
        <v>0.50386859482758617</v>
      </c>
      <c r="M115" s="328">
        <f>VLOOKUP(B115,'Base de Datos'!$E$7:$Z$303,21,0)</f>
        <v>1</v>
      </c>
      <c r="N115" s="390" t="str">
        <f t="shared" ca="1" si="12"/>
        <v/>
      </c>
      <c r="O115" s="328">
        <f ca="1">VLOOKUP(B115,'Base de Datos'!$E$7:$Z$303,22,0)</f>
        <v>1</v>
      </c>
      <c r="P115" s="389">
        <f t="shared" ca="1" si="9"/>
        <v>1794</v>
      </c>
      <c r="Q115" s="402">
        <f t="shared" ca="1" si="13"/>
        <v>14.95</v>
      </c>
      <c r="R115" s="324" t="str">
        <f ca="1">VLOOKUP(B115,'Base de Datos'!E115:AR426,33,0)</f>
        <v>TERMINO</v>
      </c>
      <c r="S115" s="327" t="str">
        <f t="shared" ca="1" si="10"/>
        <v>NO</v>
      </c>
      <c r="T115" s="324" t="str">
        <f t="shared" ca="1" si="11"/>
        <v>Liquidar</v>
      </c>
      <c r="U115" s="324">
        <f>VLOOKUP(B115,'Base de Datos'!$E$7:$AR$401,38,0)</f>
        <v>42081</v>
      </c>
    </row>
    <row r="116" spans="1:21" ht="23.25" customHeight="1" thickTop="1" thickBot="1" x14ac:dyDescent="0.3">
      <c r="A116" s="108">
        <v>110</v>
      </c>
      <c r="B116" s="324" t="str">
        <f>+'Base de Datos'!E116</f>
        <v>130190-0-2013</v>
      </c>
      <c r="C116" s="324" t="str">
        <f>+'Base de Datos'!F116</f>
        <v>CR TROFEOS LTDA</v>
      </c>
      <c r="D116" s="325">
        <f>+'Base de Datos'!I116</f>
        <v>23246000</v>
      </c>
      <c r="E116" s="326">
        <f>+'Base de Datos'!M116</f>
        <v>41463</v>
      </c>
      <c r="F116" s="326">
        <f>+'Base de Datos'!N116</f>
        <v>41646</v>
      </c>
      <c r="G116" s="326">
        <f>+'Base de Datos'!T116</f>
        <v>41736</v>
      </c>
      <c r="H116" s="325">
        <f>+'Base de Datos'!U116</f>
        <v>23246000</v>
      </c>
      <c r="I116" s="327" t="str">
        <f>IF(VLOOKUP(B116,'Base de Datos'!$E$7:$S$303,11,0),"SI","NO")</f>
        <v>NO</v>
      </c>
      <c r="J116" s="328" t="str">
        <f t="shared" si="7"/>
        <v/>
      </c>
      <c r="K116" s="327" t="str">
        <f>IF(VLOOKUP(B116,'Base de Datos'!$E$7:$S$303,11,0),"SI","NO")</f>
        <v>NO</v>
      </c>
      <c r="L116" s="328" t="str">
        <f t="shared" si="8"/>
        <v/>
      </c>
      <c r="M116" s="328">
        <f>VLOOKUP(B116,'Base de Datos'!$E$7:$Z$303,21,0)</f>
        <v>0.85059696291835152</v>
      </c>
      <c r="N116" s="390" t="str">
        <f t="shared" ca="1" si="12"/>
        <v/>
      </c>
      <c r="O116" s="328">
        <f ca="1">VLOOKUP(B116,'Base de Datos'!$E$7:$Z$303,22,0)</f>
        <v>1</v>
      </c>
      <c r="P116" s="389">
        <f t="shared" ca="1" si="9"/>
        <v>1907</v>
      </c>
      <c r="Q116" s="402">
        <f t="shared" ca="1" si="13"/>
        <v>15.891666666666667</v>
      </c>
      <c r="R116" s="324" t="str">
        <f ca="1">VLOOKUP(B116,'Base de Datos'!E116:AR427,33,0)</f>
        <v>TERMINO</v>
      </c>
      <c r="S116" s="327" t="str">
        <f t="shared" ca="1" si="10"/>
        <v>NO</v>
      </c>
      <c r="T116" s="324" t="str">
        <f t="shared" ca="1" si="11"/>
        <v>Liquidar</v>
      </c>
      <c r="U116" s="324">
        <f>VLOOKUP(B116,'Base de Datos'!$E$7:$AR$401,38,0)</f>
        <v>42004</v>
      </c>
    </row>
    <row r="117" spans="1:21" ht="23.25" customHeight="1" thickTop="1" thickBot="1" x14ac:dyDescent="0.3">
      <c r="A117" s="108">
        <v>111</v>
      </c>
      <c r="B117" s="324" t="str">
        <f>+'Base de Datos'!E117</f>
        <v>130194-0-2013</v>
      </c>
      <c r="C117" s="324" t="str">
        <f>+'Base de Datos'!F117</f>
        <v xml:space="preserve">UNIÓN TEMPORAL EMINSER-SOLOASEO </v>
      </c>
      <c r="D117" s="325">
        <f>+'Base de Datos'!I117</f>
        <v>301200000</v>
      </c>
      <c r="E117" s="326">
        <f>+'Base de Datos'!M117</f>
        <v>41446</v>
      </c>
      <c r="F117" s="326">
        <f>+'Base de Datos'!N117</f>
        <v>41718</v>
      </c>
      <c r="G117" s="326">
        <f>+'Base de Datos'!T117</f>
        <v>41810</v>
      </c>
      <c r="H117" s="325">
        <f>+'Base de Datos'!U117</f>
        <v>321573359</v>
      </c>
      <c r="I117" s="327" t="str">
        <f>IF(VLOOKUP(B117,'Base de Datos'!$E$7:$S$303,11,0),"SI","NO")</f>
        <v>SI</v>
      </c>
      <c r="J117" s="328">
        <f t="shared" si="7"/>
        <v>0.33823529411764708</v>
      </c>
      <c r="K117" s="327" t="str">
        <f>IF(VLOOKUP(B117,'Base de Datos'!$E$7:$S$303,11,0),"SI","NO")</f>
        <v>SI</v>
      </c>
      <c r="L117" s="328">
        <f t="shared" si="8"/>
        <v>6.764063413014608E-2</v>
      </c>
      <c r="M117" s="328">
        <f>VLOOKUP(B117,'Base de Datos'!$E$7:$Z$303,21,0)</f>
        <v>0.98649968699677015</v>
      </c>
      <c r="N117" s="390" t="str">
        <f t="shared" ca="1" si="12"/>
        <v/>
      </c>
      <c r="O117" s="328">
        <f ca="1">VLOOKUP(B117,'Base de Datos'!$E$7:$Z$303,22,0)</f>
        <v>1</v>
      </c>
      <c r="P117" s="389">
        <f t="shared" ca="1" si="9"/>
        <v>1833</v>
      </c>
      <c r="Q117" s="402">
        <f t="shared" ca="1" si="13"/>
        <v>15.275</v>
      </c>
      <c r="R117" s="324" t="str">
        <f ca="1">VLOOKUP(B117,'Base de Datos'!E117:AR428,33,0)</f>
        <v>TERMINO</v>
      </c>
      <c r="S117" s="327" t="str">
        <f t="shared" ca="1" si="10"/>
        <v>NO</v>
      </c>
      <c r="T117" s="324" t="str">
        <f t="shared" ca="1" si="11"/>
        <v>Liquidar</v>
      </c>
      <c r="U117" s="324">
        <f>VLOOKUP(B117,'Base de Datos'!$E$7:$AR$401,38,0)</f>
        <v>0</v>
      </c>
    </row>
    <row r="118" spans="1:21" ht="23.25" customHeight="1" thickTop="1" thickBot="1" x14ac:dyDescent="0.3">
      <c r="A118" s="108">
        <v>112</v>
      </c>
      <c r="B118" s="324" t="str">
        <f>+'Base de Datos'!E118</f>
        <v>130196-0-2013</v>
      </c>
      <c r="C118" s="324" t="str">
        <f>+'Base de Datos'!F118</f>
        <v>CARLOS ALFONSO RESTREPO</v>
      </c>
      <c r="D118" s="325">
        <f>+'Base de Datos'!I118</f>
        <v>15797970</v>
      </c>
      <c r="E118" s="326">
        <f>+'Base de Datos'!M118</f>
        <v>41464</v>
      </c>
      <c r="F118" s="326">
        <f>+'Base de Datos'!N118</f>
        <v>41737</v>
      </c>
      <c r="G118" s="326">
        <f>+'Base de Datos'!T118</f>
        <v>41851</v>
      </c>
      <c r="H118" s="325">
        <f>+'Base de Datos'!U118</f>
        <v>22292691</v>
      </c>
      <c r="I118" s="327" t="str">
        <f>IF(VLOOKUP(B118,'Base de Datos'!$E$7:$S$303,11,0),"SI","NO")</f>
        <v>SI</v>
      </c>
      <c r="J118" s="328">
        <f t="shared" si="7"/>
        <v>0.4175824175824176</v>
      </c>
      <c r="K118" s="327" t="str">
        <f>IF(VLOOKUP(B118,'Base de Datos'!$E$7:$S$303,11,0),"SI","NO")</f>
        <v>SI</v>
      </c>
      <c r="L118" s="328">
        <f t="shared" si="8"/>
        <v>0.41111111111111109</v>
      </c>
      <c r="M118" s="328">
        <f>VLOOKUP(B118,'Base de Datos'!$E$7:$Z$303,21,0)</f>
        <v>1</v>
      </c>
      <c r="N118" s="390" t="str">
        <f t="shared" ca="1" si="12"/>
        <v/>
      </c>
      <c r="O118" s="328">
        <f ca="1">VLOOKUP(B118,'Base de Datos'!$E$7:$Z$303,22,0)</f>
        <v>1</v>
      </c>
      <c r="P118" s="389">
        <f t="shared" ca="1" si="9"/>
        <v>1792</v>
      </c>
      <c r="Q118" s="402">
        <f t="shared" ca="1" si="13"/>
        <v>14.933333333333334</v>
      </c>
      <c r="R118" s="324" t="str">
        <f ca="1">VLOOKUP(B118,'Base de Datos'!E118:AR429,33,0)</f>
        <v>TERMINO</v>
      </c>
      <c r="S118" s="327" t="str">
        <f t="shared" ca="1" si="10"/>
        <v>NO</v>
      </c>
      <c r="T118" s="324" t="str">
        <f t="shared" ca="1" si="11"/>
        <v>Liquidar</v>
      </c>
      <c r="U118" s="324">
        <f>VLOOKUP(B118,'Base de Datos'!$E$7:$AR$401,38,0)</f>
        <v>0</v>
      </c>
    </row>
    <row r="119" spans="1:21" ht="23.25" customHeight="1" thickTop="1" thickBot="1" x14ac:dyDescent="0.3">
      <c r="A119" s="108">
        <v>113</v>
      </c>
      <c r="B119" s="324" t="str">
        <f>+'Base de Datos'!E119</f>
        <v>130198-0-2013</v>
      </c>
      <c r="C119" s="324" t="str">
        <f>+'Base de Datos'!F119</f>
        <v>EDGAR EULICES GONZÁLEZ</v>
      </c>
      <c r="D119" s="325">
        <f>+'Base de Datos'!I119</f>
        <v>23989000</v>
      </c>
      <c r="E119" s="326">
        <f>+'Base de Datos'!M119</f>
        <v>41457</v>
      </c>
      <c r="F119" s="326">
        <f>+'Base de Datos'!N119</f>
        <v>41671</v>
      </c>
      <c r="G119" s="326">
        <f>+'Base de Datos'!T119</f>
        <v>41671</v>
      </c>
      <c r="H119" s="325">
        <f>+'Base de Datos'!U119</f>
        <v>23989000</v>
      </c>
      <c r="I119" s="327" t="str">
        <f>IF(VLOOKUP(B119,'Base de Datos'!$E$7:$S$303,11,0),"SI","NO")</f>
        <v>NO</v>
      </c>
      <c r="J119" s="328" t="str">
        <f t="shared" si="7"/>
        <v/>
      </c>
      <c r="K119" s="327" t="str">
        <f>IF(VLOOKUP(B119,'Base de Datos'!$E$7:$S$303,11,0),"SI","NO")</f>
        <v>NO</v>
      </c>
      <c r="L119" s="328" t="str">
        <f t="shared" si="8"/>
        <v/>
      </c>
      <c r="M119" s="328">
        <f>VLOOKUP(B119,'Base de Datos'!$E$7:$Z$303,21,0)</f>
        <v>1</v>
      </c>
      <c r="N119" s="390" t="str">
        <f t="shared" ca="1" si="12"/>
        <v/>
      </c>
      <c r="O119" s="328">
        <f ca="1">VLOOKUP(B119,'Base de Datos'!$E$7:$Z$303,22,0)</f>
        <v>1</v>
      </c>
      <c r="P119" s="389">
        <f t="shared" ca="1" si="9"/>
        <v>1972</v>
      </c>
      <c r="Q119" s="402">
        <f t="shared" ca="1" si="13"/>
        <v>16.433333333333334</v>
      </c>
      <c r="R119" s="324" t="str">
        <f ca="1">VLOOKUP(B119,'Base de Datos'!E119:AR430,33,0)</f>
        <v>TERMINO</v>
      </c>
      <c r="S119" s="327" t="str">
        <f t="shared" ca="1" si="10"/>
        <v>NO</v>
      </c>
      <c r="T119" s="324" t="str">
        <f t="shared" ca="1" si="11"/>
        <v>Liquidar</v>
      </c>
      <c r="U119" s="324">
        <f>VLOOKUP(B119,'Base de Datos'!$E$7:$AR$401,38,0)</f>
        <v>41710</v>
      </c>
    </row>
    <row r="120" spans="1:21" ht="23.25" customHeight="1" thickTop="1" thickBot="1" x14ac:dyDescent="0.3">
      <c r="A120" s="108">
        <v>114</v>
      </c>
      <c r="B120" s="324" t="str">
        <f>+'Base de Datos'!E120</f>
        <v>130200-0-2013</v>
      </c>
      <c r="C120" s="324" t="str">
        <f>+'Base de Datos'!F120</f>
        <v>HERNANDO  BULLA ORJUELA</v>
      </c>
      <c r="D120" s="325">
        <f>+'Base de Datos'!I120</f>
        <v>13576000</v>
      </c>
      <c r="E120" s="326">
        <f>+'Base de Datos'!M120</f>
        <v>41470</v>
      </c>
      <c r="F120" s="326">
        <f>+'Base de Datos'!N120</f>
        <v>41712</v>
      </c>
      <c r="G120" s="326">
        <f>+'Base de Datos'!T120</f>
        <v>41712</v>
      </c>
      <c r="H120" s="325">
        <f>+'Base de Datos'!U120</f>
        <v>19576000</v>
      </c>
      <c r="I120" s="327" t="str">
        <f>IF(VLOOKUP(B120,'Base de Datos'!$E$7:$S$303,11,0),"SI","NO")</f>
        <v>SI</v>
      </c>
      <c r="J120" s="328">
        <f t="shared" si="7"/>
        <v>0</v>
      </c>
      <c r="K120" s="327" t="str">
        <f>IF(VLOOKUP(B120,'Base de Datos'!$E$7:$S$303,11,0),"SI","NO")</f>
        <v>SI</v>
      </c>
      <c r="L120" s="328">
        <f t="shared" si="8"/>
        <v>0.44195639363582795</v>
      </c>
      <c r="M120" s="328">
        <f>VLOOKUP(B120,'Base de Datos'!$E$7:$Z$303,21,0)</f>
        <v>0.99976348590110342</v>
      </c>
      <c r="N120" s="390" t="str">
        <f t="shared" ca="1" si="12"/>
        <v/>
      </c>
      <c r="O120" s="328">
        <f ca="1">VLOOKUP(B120,'Base de Datos'!$E$7:$Z$303,22,0)</f>
        <v>1</v>
      </c>
      <c r="P120" s="389">
        <f t="shared" ca="1" si="9"/>
        <v>1931</v>
      </c>
      <c r="Q120" s="402">
        <f t="shared" ca="1" si="13"/>
        <v>16.091666666666665</v>
      </c>
      <c r="R120" s="324" t="str">
        <f ca="1">VLOOKUP(B120,'Base de Datos'!E120:AR431,33,0)</f>
        <v>TERMINO</v>
      </c>
      <c r="S120" s="327" t="str">
        <f t="shared" ca="1" si="10"/>
        <v>NO</v>
      </c>
      <c r="T120" s="324" t="str">
        <f t="shared" ca="1" si="11"/>
        <v>Liquidar</v>
      </c>
      <c r="U120" s="324">
        <f>VLOOKUP(B120,'Base de Datos'!$E$7:$AR$401,38,0)</f>
        <v>42012</v>
      </c>
    </row>
    <row r="121" spans="1:21" ht="23.25" customHeight="1" thickTop="1" thickBot="1" x14ac:dyDescent="0.3">
      <c r="A121" s="108">
        <v>115</v>
      </c>
      <c r="B121" s="324" t="str">
        <f>+'Base de Datos'!E121</f>
        <v>130202-0-2013</v>
      </c>
      <c r="C121" s="324" t="str">
        <f>+'Base de Datos'!F121</f>
        <v>INGTEL LTDA</v>
      </c>
      <c r="D121" s="325">
        <f>+'Base de Datos'!I121</f>
        <v>6499930</v>
      </c>
      <c r="E121" s="326">
        <f>+'Base de Datos'!M121</f>
        <v>41471</v>
      </c>
      <c r="F121" s="326">
        <f>+'Base de Datos'!N121</f>
        <v>41562</v>
      </c>
      <c r="G121" s="326">
        <f>+'Base de Datos'!T121</f>
        <v>41562</v>
      </c>
      <c r="H121" s="325">
        <f>+'Base de Datos'!U121</f>
        <v>6499930</v>
      </c>
      <c r="I121" s="327" t="str">
        <f>IF(VLOOKUP(B121,'Base de Datos'!$E$7:$S$303,11,0),"SI","NO")</f>
        <v>NO</v>
      </c>
      <c r="J121" s="328" t="str">
        <f t="shared" si="7"/>
        <v/>
      </c>
      <c r="K121" s="327" t="str">
        <f>IF(VLOOKUP(B121,'Base de Datos'!$E$7:$S$303,11,0),"SI","NO")</f>
        <v>NO</v>
      </c>
      <c r="L121" s="328" t="str">
        <f t="shared" si="8"/>
        <v/>
      </c>
      <c r="M121" s="328">
        <f>VLOOKUP(B121,'Base de Datos'!$E$7:$Z$303,21,0)</f>
        <v>1</v>
      </c>
      <c r="N121" s="390" t="str">
        <f t="shared" ca="1" si="12"/>
        <v/>
      </c>
      <c r="O121" s="328">
        <f ca="1">VLOOKUP(B121,'Base de Datos'!$E$7:$Z$303,22,0)</f>
        <v>1</v>
      </c>
      <c r="P121" s="389">
        <f t="shared" ca="1" si="9"/>
        <v>2081</v>
      </c>
      <c r="Q121" s="402">
        <f t="shared" ca="1" si="13"/>
        <v>17.341666666666665</v>
      </c>
      <c r="R121" s="324" t="str">
        <f ca="1">VLOOKUP(B121,'Base de Datos'!E121:AR432,33,0)</f>
        <v>TERMINO</v>
      </c>
      <c r="S121" s="327" t="str">
        <f t="shared" ca="1" si="10"/>
        <v>NO</v>
      </c>
      <c r="T121" s="324" t="str">
        <f t="shared" ca="1" si="11"/>
        <v>Liquidar</v>
      </c>
      <c r="U121" s="324">
        <f>VLOOKUP(B121,'Base de Datos'!$E$7:$AR$401,38,0)</f>
        <v>0</v>
      </c>
    </row>
    <row r="122" spans="1:21" ht="23.25" customHeight="1" thickTop="1" thickBot="1" x14ac:dyDescent="0.3">
      <c r="A122" s="108">
        <v>116</v>
      </c>
      <c r="B122" s="324" t="str">
        <f>+'Base de Datos'!E122</f>
        <v>130204-0-2013</v>
      </c>
      <c r="C122" s="324" t="str">
        <f>+'Base de Datos'!F122</f>
        <v>DESCONT S.A.</v>
      </c>
      <c r="D122" s="325">
        <f>+'Base de Datos'!I122</f>
        <v>2367000</v>
      </c>
      <c r="E122" s="326">
        <f>+'Base de Datos'!M122</f>
        <v>41472</v>
      </c>
      <c r="F122" s="326">
        <f>+'Base de Datos'!N122</f>
        <v>41533</v>
      </c>
      <c r="G122" s="326">
        <f>+'Base de Datos'!T122</f>
        <v>41533</v>
      </c>
      <c r="H122" s="325">
        <f>+'Base de Datos'!U122</f>
        <v>2367000</v>
      </c>
      <c r="I122" s="327" t="str">
        <f>IF(VLOOKUP(B122,'Base de Datos'!$E$7:$S$303,11,0),"SI","NO")</f>
        <v>NO</v>
      </c>
      <c r="J122" s="328" t="str">
        <f t="shared" si="7"/>
        <v/>
      </c>
      <c r="K122" s="327" t="str">
        <f>IF(VLOOKUP(B122,'Base de Datos'!$E$7:$S$303,11,0),"SI","NO")</f>
        <v>NO</v>
      </c>
      <c r="L122" s="328" t="str">
        <f t="shared" si="8"/>
        <v/>
      </c>
      <c r="M122" s="328">
        <f>VLOOKUP(B122,'Base de Datos'!$E$7:$Z$303,21,0)</f>
        <v>1</v>
      </c>
      <c r="N122" s="390" t="str">
        <f t="shared" ca="1" si="12"/>
        <v/>
      </c>
      <c r="O122" s="328">
        <f ca="1">VLOOKUP(B122,'Base de Datos'!$E$7:$Z$303,22,0)</f>
        <v>1</v>
      </c>
      <c r="P122" s="389">
        <f t="shared" ca="1" si="9"/>
        <v>2110</v>
      </c>
      <c r="Q122" s="402">
        <f t="shared" ca="1" si="13"/>
        <v>17.583333333333332</v>
      </c>
      <c r="R122" s="324" t="str">
        <f ca="1">VLOOKUP(B122,'Base de Datos'!E122:AR433,33,0)</f>
        <v>TERMINO</v>
      </c>
      <c r="S122" s="327" t="str">
        <f t="shared" ca="1" si="10"/>
        <v>NO</v>
      </c>
      <c r="T122" s="324" t="str">
        <f t="shared" ca="1" si="11"/>
        <v>Liquidar</v>
      </c>
      <c r="U122" s="324">
        <f>VLOOKUP(B122,'Base de Datos'!$E$7:$AR$401,38,0)</f>
        <v>41939</v>
      </c>
    </row>
    <row r="123" spans="1:21" ht="23.25" customHeight="1" thickTop="1" thickBot="1" x14ac:dyDescent="0.3">
      <c r="A123" s="108">
        <v>117</v>
      </c>
      <c r="B123" s="324" t="str">
        <f>+'Base de Datos'!E123</f>
        <v>130207-0-2013</v>
      </c>
      <c r="C123" s="324" t="str">
        <f>+'Base de Datos'!F123</f>
        <v>CONSORCIO CJ</v>
      </c>
      <c r="D123" s="325">
        <f>+'Base de Datos'!I123</f>
        <v>269441460</v>
      </c>
      <c r="E123" s="326">
        <f>+'Base de Datos'!M123</f>
        <v>41464</v>
      </c>
      <c r="F123" s="326">
        <f>+'Base de Datos'!N123</f>
        <v>41706</v>
      </c>
      <c r="G123" s="326">
        <f>+'Base de Datos'!T123</f>
        <v>41820</v>
      </c>
      <c r="H123" s="325">
        <f>+'Base de Datos'!U123</f>
        <v>269441460</v>
      </c>
      <c r="I123" s="327" t="str">
        <f>IF(VLOOKUP(B123,'Base de Datos'!$E$7:$S$303,11,0),"SI","NO")</f>
        <v>NO</v>
      </c>
      <c r="J123" s="328" t="str">
        <f t="shared" si="7"/>
        <v/>
      </c>
      <c r="K123" s="327" t="str">
        <f>IF(VLOOKUP(B123,'Base de Datos'!$E$7:$S$303,11,0),"SI","NO")</f>
        <v>NO</v>
      </c>
      <c r="L123" s="328" t="str">
        <f t="shared" si="8"/>
        <v/>
      </c>
      <c r="M123" s="328">
        <f>VLOOKUP(B123,'Base de Datos'!$E$7:$Z$303,21,0)</f>
        <v>0.98434615815992088</v>
      </c>
      <c r="N123" s="390" t="str">
        <f t="shared" ca="1" si="12"/>
        <v/>
      </c>
      <c r="O123" s="328">
        <f ca="1">VLOOKUP(B123,'Base de Datos'!$E$7:$Z$303,22,0)</f>
        <v>1</v>
      </c>
      <c r="P123" s="389">
        <f t="shared" ca="1" si="9"/>
        <v>1823</v>
      </c>
      <c r="Q123" s="402">
        <f t="shared" ca="1" si="13"/>
        <v>15.191666666666666</v>
      </c>
      <c r="R123" s="324" t="str">
        <f ca="1">VLOOKUP(B123,'Base de Datos'!E123:AR434,33,0)</f>
        <v>TERMINO</v>
      </c>
      <c r="S123" s="327" t="str">
        <f t="shared" ca="1" si="10"/>
        <v>NO</v>
      </c>
      <c r="T123" s="324" t="str">
        <f t="shared" ca="1" si="11"/>
        <v>Liquidar</v>
      </c>
      <c r="U123" s="324">
        <f>VLOOKUP(B123,'Base de Datos'!$E$7:$AR$401,38,0)</f>
        <v>42179</v>
      </c>
    </row>
    <row r="124" spans="1:21" ht="23.25" customHeight="1" thickTop="1" thickBot="1" x14ac:dyDescent="0.3">
      <c r="A124" s="108">
        <v>118</v>
      </c>
      <c r="B124" s="324" t="str">
        <f>+'Base de Datos'!E124</f>
        <v>130209-0-2013</v>
      </c>
      <c r="C124" s="324" t="str">
        <f>+'Base de Datos'!F124</f>
        <v>EDITORIAL LA UNIDAD</v>
      </c>
      <c r="D124" s="325">
        <f>+'Base de Datos'!I124</f>
        <v>840000</v>
      </c>
      <c r="E124" s="326">
        <f>+'Base de Datos'!M124</f>
        <v>41531</v>
      </c>
      <c r="F124" s="326">
        <f>+'Base de Datos'!N124</f>
        <v>41895</v>
      </c>
      <c r="G124" s="326">
        <f>+'Base de Datos'!T124</f>
        <v>41895</v>
      </c>
      <c r="H124" s="325">
        <f>+'Base de Datos'!U124</f>
        <v>840000</v>
      </c>
      <c r="I124" s="327" t="str">
        <f>IF(VLOOKUP(B124,'Base de Datos'!$E$7:$S$303,11,0),"SI","NO")</f>
        <v>NO</v>
      </c>
      <c r="J124" s="328" t="str">
        <f t="shared" si="7"/>
        <v/>
      </c>
      <c r="K124" s="327" t="str">
        <f>IF(VLOOKUP(B124,'Base de Datos'!$E$7:$S$303,11,0),"SI","NO")</f>
        <v>NO</v>
      </c>
      <c r="L124" s="328" t="str">
        <f t="shared" si="8"/>
        <v/>
      </c>
      <c r="M124" s="328">
        <f>VLOOKUP(B124,'Base de Datos'!$E$7:$Z$303,21,0)</f>
        <v>1</v>
      </c>
      <c r="N124" s="390" t="str">
        <f t="shared" ca="1" si="12"/>
        <v/>
      </c>
      <c r="O124" s="328">
        <f ca="1">VLOOKUP(B124,'Base de Datos'!$E$7:$Z$303,22,0)</f>
        <v>1</v>
      </c>
      <c r="P124" s="389">
        <f t="shared" ca="1" si="9"/>
        <v>1748</v>
      </c>
      <c r="Q124" s="402">
        <f t="shared" ca="1" si="13"/>
        <v>14.566666666666666</v>
      </c>
      <c r="R124" s="324" t="str">
        <f ca="1">VLOOKUP(B124,'Base de Datos'!E124:AR435,33,0)</f>
        <v>TERMINO</v>
      </c>
      <c r="S124" s="327" t="str">
        <f t="shared" ca="1" si="10"/>
        <v>NO</v>
      </c>
      <c r="T124" s="324" t="str">
        <f t="shared" ca="1" si="11"/>
        <v>Liquidar</v>
      </c>
      <c r="U124" s="324">
        <f>VLOOKUP(B124,'Base de Datos'!$E$7:$AR$401,38,0)</f>
        <v>42152</v>
      </c>
    </row>
    <row r="125" spans="1:21" ht="23.25" customHeight="1" thickTop="1" thickBot="1" x14ac:dyDescent="0.3">
      <c r="A125" s="108">
        <v>119</v>
      </c>
      <c r="B125" s="324" t="str">
        <f>+'Base de Datos'!E125</f>
        <v>130211-0-2013</v>
      </c>
      <c r="C125" s="324" t="str">
        <f>+'Base de Datos'!F125</f>
        <v>MIGUEL ANDRÉS GUTIÉRREZ ROMERO</v>
      </c>
      <c r="D125" s="325">
        <f>+'Base de Datos'!I125</f>
        <v>38271000</v>
      </c>
      <c r="E125" s="326">
        <f>+'Base de Datos'!M125</f>
        <v>41472</v>
      </c>
      <c r="F125" s="326">
        <f>+'Base de Datos'!N125</f>
        <v>41686</v>
      </c>
      <c r="G125" s="326">
        <f>+'Base de Datos'!T125</f>
        <v>41714</v>
      </c>
      <c r="H125" s="325">
        <f>+'Base de Datos'!U125</f>
        <v>38271000</v>
      </c>
      <c r="I125" s="327" t="str">
        <f>IF(VLOOKUP(B125,'Base de Datos'!$E$7:$S$303,11,0),"SI","NO")</f>
        <v>NO</v>
      </c>
      <c r="J125" s="328" t="str">
        <f t="shared" si="7"/>
        <v/>
      </c>
      <c r="K125" s="327" t="str">
        <f>IF(VLOOKUP(B125,'Base de Datos'!$E$7:$S$303,11,0),"SI","NO")</f>
        <v>NO</v>
      </c>
      <c r="L125" s="328" t="str">
        <f t="shared" si="8"/>
        <v/>
      </c>
      <c r="M125" s="328">
        <f>VLOOKUP(B125,'Base de Datos'!$E$7:$Z$303,21,0)</f>
        <v>1</v>
      </c>
      <c r="N125" s="390" t="str">
        <f t="shared" ca="1" si="12"/>
        <v/>
      </c>
      <c r="O125" s="328">
        <f ca="1">VLOOKUP(B125,'Base de Datos'!$E$7:$Z$303,22,0)</f>
        <v>1</v>
      </c>
      <c r="P125" s="389">
        <f t="shared" ca="1" si="9"/>
        <v>1929</v>
      </c>
      <c r="Q125" s="402">
        <f t="shared" ca="1" si="13"/>
        <v>16.074999999999999</v>
      </c>
      <c r="R125" s="324" t="str">
        <f ca="1">VLOOKUP(B125,'Base de Datos'!E125:AR436,33,0)</f>
        <v>TERMINO</v>
      </c>
      <c r="S125" s="327" t="str">
        <f t="shared" ca="1" si="10"/>
        <v>NO</v>
      </c>
      <c r="T125" s="324" t="str">
        <f t="shared" ca="1" si="11"/>
        <v>Liquidar</v>
      </c>
      <c r="U125" s="324">
        <f>VLOOKUP(B125,'Base de Datos'!$E$7:$AR$401,38,0)</f>
        <v>42011</v>
      </c>
    </row>
    <row r="126" spans="1:21" ht="23.25" customHeight="1" thickTop="1" thickBot="1" x14ac:dyDescent="0.3">
      <c r="A126" s="108">
        <v>120</v>
      </c>
      <c r="B126" s="324" t="str">
        <f>+'Base de Datos'!E126</f>
        <v>130214-0-2013</v>
      </c>
      <c r="C126" s="324" t="str">
        <f>+'Base de Datos'!F126</f>
        <v>SEGUROS GENERALES SURAMERICANA S.A</v>
      </c>
      <c r="D126" s="325">
        <f>+'Base de Datos'!I126</f>
        <v>4001000</v>
      </c>
      <c r="E126" s="326">
        <f>+'Base de Datos'!M126</f>
        <v>41472</v>
      </c>
      <c r="F126" s="326">
        <f>+'Base de Datos'!N126</f>
        <v>42082</v>
      </c>
      <c r="G126" s="326">
        <f>+'Base de Datos'!T126</f>
        <v>42082</v>
      </c>
      <c r="H126" s="325">
        <f>+'Base de Datos'!U126</f>
        <v>4001000</v>
      </c>
      <c r="I126" s="327" t="str">
        <f>IF(VLOOKUP(B126,'Base de Datos'!$E$7:$S$303,11,0),"SI","NO")</f>
        <v>NO</v>
      </c>
      <c r="J126" s="328" t="str">
        <f t="shared" si="7"/>
        <v/>
      </c>
      <c r="K126" s="327" t="str">
        <f>IF(VLOOKUP(B126,'Base de Datos'!$E$7:$S$303,11,0),"SI","NO")</f>
        <v>NO</v>
      </c>
      <c r="L126" s="328" t="str">
        <f t="shared" si="8"/>
        <v/>
      </c>
      <c r="M126" s="328">
        <f>VLOOKUP(B126,'Base de Datos'!$E$7:$Z$303,21,0)</f>
        <v>1</v>
      </c>
      <c r="N126" s="390" t="str">
        <f t="shared" ca="1" si="12"/>
        <v/>
      </c>
      <c r="O126" s="328">
        <f ca="1">VLOOKUP(B126,'Base de Datos'!$E$7:$Z$303,22,0)</f>
        <v>1</v>
      </c>
      <c r="P126" s="389">
        <f t="shared" ca="1" si="9"/>
        <v>1561</v>
      </c>
      <c r="Q126" s="402">
        <f t="shared" ca="1" si="13"/>
        <v>13.008333333333333</v>
      </c>
      <c r="R126" s="324" t="str">
        <f ca="1">VLOOKUP(B126,'Base de Datos'!E126:AR437,33,0)</f>
        <v>TERMINO</v>
      </c>
      <c r="S126" s="327" t="str">
        <f t="shared" ca="1" si="10"/>
        <v>NO</v>
      </c>
      <c r="T126" s="324" t="str">
        <f t="shared" ca="1" si="11"/>
        <v>Liquidar</v>
      </c>
      <c r="U126" s="324">
        <f>VLOOKUP(B126,'Base de Datos'!$E$7:$AR$401,38,0)</f>
        <v>0</v>
      </c>
    </row>
    <row r="127" spans="1:21" ht="23.25" customHeight="1" thickTop="1" thickBot="1" x14ac:dyDescent="0.3">
      <c r="A127" s="108">
        <v>121</v>
      </c>
      <c r="B127" s="324" t="str">
        <f>+'Base de Datos'!E127</f>
        <v>130217-0-2013</v>
      </c>
      <c r="C127" s="324" t="str">
        <f>+'Base de Datos'!F127</f>
        <v>SODINLEC LTDA</v>
      </c>
      <c r="D127" s="325">
        <f>+'Base de Datos'!I127</f>
        <v>10222000</v>
      </c>
      <c r="E127" s="326">
        <f>+'Base de Datos'!M127</f>
        <v>41548</v>
      </c>
      <c r="F127" s="326">
        <f>+'Base de Datos'!N127</f>
        <v>41790</v>
      </c>
      <c r="G127" s="326">
        <f>+'Base de Datos'!T127</f>
        <v>41790</v>
      </c>
      <c r="H127" s="325">
        <f>+'Base de Datos'!U127</f>
        <v>10222000</v>
      </c>
      <c r="I127" s="327" t="str">
        <f>IF(VLOOKUP(B127,'Base de Datos'!$E$7:$S$303,11,0),"SI","NO")</f>
        <v>NO</v>
      </c>
      <c r="J127" s="328" t="str">
        <f t="shared" si="7"/>
        <v/>
      </c>
      <c r="K127" s="327" t="str">
        <f>IF(VLOOKUP(B127,'Base de Datos'!$E$7:$S$303,11,0),"SI","NO")</f>
        <v>NO</v>
      </c>
      <c r="L127" s="328" t="str">
        <f t="shared" si="8"/>
        <v/>
      </c>
      <c r="M127" s="328">
        <f>VLOOKUP(B127,'Base de Datos'!$E$7:$Z$303,21,0)</f>
        <v>0.99863099197808647</v>
      </c>
      <c r="N127" s="390" t="str">
        <f t="shared" ca="1" si="12"/>
        <v/>
      </c>
      <c r="O127" s="328">
        <f ca="1">VLOOKUP(B127,'Base de Datos'!$E$7:$Z$303,22,0)</f>
        <v>1</v>
      </c>
      <c r="P127" s="389">
        <f t="shared" ca="1" si="9"/>
        <v>1853</v>
      </c>
      <c r="Q127" s="402">
        <f t="shared" ca="1" si="13"/>
        <v>15.441666666666666</v>
      </c>
      <c r="R127" s="324" t="str">
        <f ca="1">VLOOKUP(B127,'Base de Datos'!E127:AR438,33,0)</f>
        <v>TERMINO</v>
      </c>
      <c r="S127" s="327" t="str">
        <f t="shared" ca="1" si="10"/>
        <v>NO</v>
      </c>
      <c r="T127" s="324" t="str">
        <f t="shared" ca="1" si="11"/>
        <v>Liquidar</v>
      </c>
      <c r="U127" s="324">
        <f>VLOOKUP(B127,'Base de Datos'!$E$7:$AR$401,38,0)</f>
        <v>41975</v>
      </c>
    </row>
    <row r="128" spans="1:21" ht="23.25" customHeight="1" thickTop="1" thickBot="1" x14ac:dyDescent="0.3">
      <c r="A128" s="108">
        <v>122</v>
      </c>
      <c r="B128" s="324" t="str">
        <f>+'Base de Datos'!E128</f>
        <v>130220-0-2013</v>
      </c>
      <c r="C128" s="324" t="str">
        <f>+'Base de Datos'!F128</f>
        <v>WIESNER FABIÁN ROBAYO SALCEDO</v>
      </c>
      <c r="D128" s="325">
        <f>+'Base de Datos'!I128</f>
        <v>23989000</v>
      </c>
      <c r="E128" s="326">
        <f>+'Base de Datos'!M128</f>
        <v>41477</v>
      </c>
      <c r="F128" s="326">
        <f>+'Base de Datos'!N128</f>
        <v>41691</v>
      </c>
      <c r="G128" s="326">
        <f>+'Base de Datos'!T128</f>
        <v>41691</v>
      </c>
      <c r="H128" s="325">
        <f>+'Base de Datos'!U128</f>
        <v>23989000</v>
      </c>
      <c r="I128" s="327" t="str">
        <f>IF(VLOOKUP(B128,'Base de Datos'!$E$7:$S$303,11,0),"SI","NO")</f>
        <v>NO</v>
      </c>
      <c r="J128" s="328" t="str">
        <f t="shared" si="7"/>
        <v/>
      </c>
      <c r="K128" s="327" t="str">
        <f>IF(VLOOKUP(B128,'Base de Datos'!$E$7:$S$303,11,0),"SI","NO")</f>
        <v>NO</v>
      </c>
      <c r="L128" s="328" t="str">
        <f t="shared" si="8"/>
        <v/>
      </c>
      <c r="M128" s="328">
        <f>VLOOKUP(B128,'Base de Datos'!$E$7:$Z$303,21,0)</f>
        <v>1</v>
      </c>
      <c r="N128" s="390" t="str">
        <f t="shared" ca="1" si="12"/>
        <v/>
      </c>
      <c r="O128" s="328">
        <f ca="1">VLOOKUP(B128,'Base de Datos'!$E$7:$Z$303,22,0)</f>
        <v>1</v>
      </c>
      <c r="P128" s="389">
        <f t="shared" ca="1" si="9"/>
        <v>1952</v>
      </c>
      <c r="Q128" s="402">
        <f t="shared" ca="1" si="13"/>
        <v>16.266666666666666</v>
      </c>
      <c r="R128" s="324" t="str">
        <f ca="1">VLOOKUP(B128,'Base de Datos'!E128:AR439,33,0)</f>
        <v>TERMINO</v>
      </c>
      <c r="S128" s="327" t="str">
        <f t="shared" ca="1" si="10"/>
        <v>NO</v>
      </c>
      <c r="T128" s="324" t="str">
        <f t="shared" ca="1" si="11"/>
        <v>Liquidar</v>
      </c>
      <c r="U128" s="324">
        <f>VLOOKUP(B128,'Base de Datos'!$E$7:$AR$401,38,0)</f>
        <v>41708</v>
      </c>
    </row>
    <row r="129" spans="1:21" ht="23.25" customHeight="1" thickTop="1" thickBot="1" x14ac:dyDescent="0.3">
      <c r="A129" s="108">
        <v>123</v>
      </c>
      <c r="B129" s="324" t="str">
        <f>+'Base de Datos'!E129</f>
        <v>130227-0-2013</v>
      </c>
      <c r="C129" s="324" t="str">
        <f>+'Base de Datos'!F129</f>
        <v>PUBLICACIONES SEMANA S.A.</v>
      </c>
      <c r="D129" s="325">
        <f>+'Base de Datos'!I129</f>
        <v>795000</v>
      </c>
      <c r="E129" s="326">
        <f>+'Base de Datos'!M129</f>
        <v>41547</v>
      </c>
      <c r="F129" s="326">
        <f>+'Base de Datos'!N129</f>
        <v>41911</v>
      </c>
      <c r="G129" s="326">
        <f>+'Base de Datos'!T129</f>
        <v>41911</v>
      </c>
      <c r="H129" s="325">
        <f>+'Base de Datos'!U129</f>
        <v>795000</v>
      </c>
      <c r="I129" s="327" t="str">
        <f>IF(VLOOKUP(B129,'Base de Datos'!$E$7:$S$303,11,0),"SI","NO")</f>
        <v>NO</v>
      </c>
      <c r="J129" s="328" t="str">
        <f t="shared" si="7"/>
        <v/>
      </c>
      <c r="K129" s="327" t="str">
        <f>IF(VLOOKUP(B129,'Base de Datos'!$E$7:$S$303,11,0),"SI","NO")</f>
        <v>NO</v>
      </c>
      <c r="L129" s="328" t="str">
        <f t="shared" si="8"/>
        <v/>
      </c>
      <c r="M129" s="328">
        <f>VLOOKUP(B129,'Base de Datos'!$E$7:$Z$303,21,0)</f>
        <v>1</v>
      </c>
      <c r="N129" s="390" t="str">
        <f t="shared" ca="1" si="12"/>
        <v/>
      </c>
      <c r="O129" s="328">
        <f ca="1">VLOOKUP(B129,'Base de Datos'!$E$7:$Z$303,22,0)</f>
        <v>1</v>
      </c>
      <c r="P129" s="389">
        <f t="shared" ca="1" si="9"/>
        <v>1732</v>
      </c>
      <c r="Q129" s="402">
        <f t="shared" ca="1" si="13"/>
        <v>14.433333333333334</v>
      </c>
      <c r="R129" s="324" t="str">
        <f ca="1">VLOOKUP(B129,'Base de Datos'!E129:AR440,33,0)</f>
        <v>TERMINO</v>
      </c>
      <c r="S129" s="327" t="str">
        <f t="shared" ca="1" si="10"/>
        <v>NO</v>
      </c>
      <c r="T129" s="324" t="str">
        <f t="shared" ca="1" si="11"/>
        <v>Liquidar</v>
      </c>
      <c r="U129" s="324">
        <f>VLOOKUP(B129,'Base de Datos'!$E$7:$AR$401,38,0)</f>
        <v>42307</v>
      </c>
    </row>
    <row r="130" spans="1:21" ht="23.25" customHeight="1" thickTop="1" thickBot="1" x14ac:dyDescent="0.3">
      <c r="A130" s="108">
        <v>124</v>
      </c>
      <c r="B130" s="324" t="str">
        <f>+'Base de Datos'!E130</f>
        <v>130228-0-2013</v>
      </c>
      <c r="C130" s="324" t="str">
        <f>+'Base de Datos'!F130</f>
        <v>COMUNICAN S.A</v>
      </c>
      <c r="D130" s="325">
        <f>+'Base de Datos'!I130</f>
        <v>936000</v>
      </c>
      <c r="E130" s="326">
        <f>+'Base de Datos'!M130</f>
        <v>41528</v>
      </c>
      <c r="F130" s="326">
        <f>+'Base de Datos'!N130</f>
        <v>41892</v>
      </c>
      <c r="G130" s="326">
        <f>+'Base de Datos'!T130</f>
        <v>41892</v>
      </c>
      <c r="H130" s="325">
        <f>+'Base de Datos'!U130</f>
        <v>936000</v>
      </c>
      <c r="I130" s="327" t="str">
        <f>IF(VLOOKUP(B130,'Base de Datos'!$E$7:$S$303,11,0),"SI","NO")</f>
        <v>NO</v>
      </c>
      <c r="J130" s="328" t="str">
        <f t="shared" si="7"/>
        <v/>
      </c>
      <c r="K130" s="327" t="str">
        <f>IF(VLOOKUP(B130,'Base de Datos'!$E$7:$S$303,11,0),"SI","NO")</f>
        <v>NO</v>
      </c>
      <c r="L130" s="328" t="str">
        <f t="shared" si="8"/>
        <v/>
      </c>
      <c r="M130" s="328">
        <f>VLOOKUP(B130,'Base de Datos'!$E$7:$Z$303,21,0)</f>
        <v>1</v>
      </c>
      <c r="N130" s="390" t="str">
        <f t="shared" ca="1" si="12"/>
        <v/>
      </c>
      <c r="O130" s="328">
        <f ca="1">VLOOKUP(B130,'Base de Datos'!$E$7:$Z$303,22,0)</f>
        <v>1</v>
      </c>
      <c r="P130" s="389">
        <f t="shared" ca="1" si="9"/>
        <v>1751</v>
      </c>
      <c r="Q130" s="402">
        <f t="shared" ca="1" si="13"/>
        <v>14.591666666666667</v>
      </c>
      <c r="R130" s="324" t="str">
        <f ca="1">VLOOKUP(B130,'Base de Datos'!E130:AR441,33,0)</f>
        <v>TERMINO</v>
      </c>
      <c r="S130" s="327" t="str">
        <f t="shared" ca="1" si="10"/>
        <v>NO</v>
      </c>
      <c r="T130" s="324" t="str">
        <f t="shared" ca="1" si="11"/>
        <v>Liquidar</v>
      </c>
      <c r="U130" s="324">
        <f>VLOOKUP(B130,'Base de Datos'!$E$7:$AR$401,38,0)</f>
        <v>0</v>
      </c>
    </row>
    <row r="131" spans="1:21" ht="23.25" customHeight="1" thickTop="1" thickBot="1" x14ac:dyDescent="0.3">
      <c r="A131" s="108">
        <v>125</v>
      </c>
      <c r="B131" s="324" t="str">
        <f>+'Base de Datos'!E131</f>
        <v>130229-0-2013</v>
      </c>
      <c r="C131" s="324" t="str">
        <f>+'Base de Datos'!F131</f>
        <v>KARENN ANDREA SUAREZ LINARES</v>
      </c>
      <c r="D131" s="325">
        <f>+'Base de Datos'!I131</f>
        <v>3847300</v>
      </c>
      <c r="E131" s="326">
        <f>+'Base de Datos'!M131</f>
        <v>41494</v>
      </c>
      <c r="F131" s="326">
        <f>+'Base de Datos'!N131</f>
        <v>41766</v>
      </c>
      <c r="G131" s="326">
        <f>+'Base de Datos'!T131</f>
        <v>41858</v>
      </c>
      <c r="H131" s="325">
        <f>+'Base de Datos'!U131</f>
        <v>3847300</v>
      </c>
      <c r="I131" s="327" t="str">
        <f>IF(VLOOKUP(B131,'Base de Datos'!$E$7:$S$303,11,0),"SI","NO")</f>
        <v>NO</v>
      </c>
      <c r="J131" s="328" t="str">
        <f t="shared" si="7"/>
        <v/>
      </c>
      <c r="K131" s="327" t="str">
        <f>IF(VLOOKUP(B131,'Base de Datos'!$E$7:$S$303,11,0),"SI","NO")</f>
        <v>NO</v>
      </c>
      <c r="L131" s="328" t="str">
        <f t="shared" si="8"/>
        <v/>
      </c>
      <c r="M131" s="328">
        <f>VLOOKUP(B131,'Base de Datos'!$E$7:$Z$303,21,0)</f>
        <v>1</v>
      </c>
      <c r="N131" s="390" t="str">
        <f t="shared" ca="1" si="12"/>
        <v/>
      </c>
      <c r="O131" s="328">
        <f ca="1">VLOOKUP(B131,'Base de Datos'!$E$7:$Z$303,22,0)</f>
        <v>1</v>
      </c>
      <c r="P131" s="389">
        <f t="shared" ca="1" si="9"/>
        <v>1785</v>
      </c>
      <c r="Q131" s="402">
        <f t="shared" ca="1" si="13"/>
        <v>14.875</v>
      </c>
      <c r="R131" s="324" t="str">
        <f ca="1">VLOOKUP(B131,'Base de Datos'!E131:AR442,33,0)</f>
        <v>TERMINO</v>
      </c>
      <c r="S131" s="327" t="str">
        <f t="shared" ca="1" si="10"/>
        <v>NO</v>
      </c>
      <c r="T131" s="324" t="str">
        <f t="shared" ca="1" si="11"/>
        <v>Liquidar</v>
      </c>
      <c r="U131" s="324">
        <f>VLOOKUP(B131,'Base de Datos'!$E$7:$AR$401,38,0)</f>
        <v>0</v>
      </c>
    </row>
    <row r="132" spans="1:21" ht="23.25" customHeight="1" thickTop="1" thickBot="1" x14ac:dyDescent="0.3">
      <c r="A132" s="108">
        <v>126</v>
      </c>
      <c r="B132" s="324" t="str">
        <f>+'Base de Datos'!E132</f>
        <v>130237-0-2013</v>
      </c>
      <c r="C132" s="324" t="str">
        <f>+'Base de Datos'!F132</f>
        <v>COLOMBIANA DE SOFTWARE Y HARDWARE COLSOF S.A.</v>
      </c>
      <c r="D132" s="325">
        <f>+'Base de Datos'!I132</f>
        <v>46411000</v>
      </c>
      <c r="E132" s="326">
        <f>+'Base de Datos'!M132</f>
        <v>41500</v>
      </c>
      <c r="F132" s="326">
        <f>+'Base de Datos'!N132</f>
        <v>41803</v>
      </c>
      <c r="G132" s="326">
        <f>+'Base de Datos'!T132</f>
        <v>41864</v>
      </c>
      <c r="H132" s="325">
        <f>+'Base de Datos'!U132</f>
        <v>60693200</v>
      </c>
      <c r="I132" s="327" t="str">
        <f>IF(VLOOKUP(B132,'Base de Datos'!$E$7:$S$303,11,0),"SI","NO")</f>
        <v>SI</v>
      </c>
      <c r="J132" s="328">
        <f t="shared" si="7"/>
        <v>0.20132013201320131</v>
      </c>
      <c r="K132" s="327" t="str">
        <f>IF(VLOOKUP(B132,'Base de Datos'!$E$7:$S$303,11,0),"SI","NO")</f>
        <v>SI</v>
      </c>
      <c r="L132" s="328">
        <f t="shared" si="8"/>
        <v>0.30773308051970438</v>
      </c>
      <c r="M132" s="328">
        <f>VLOOKUP(B132,'Base de Datos'!$E$7:$Z$303,21,0)</f>
        <v>0.97855819103293284</v>
      </c>
      <c r="N132" s="390" t="str">
        <f t="shared" ca="1" si="12"/>
        <v/>
      </c>
      <c r="O132" s="328">
        <f ca="1">VLOOKUP(B132,'Base de Datos'!$E$7:$Z$303,22,0)</f>
        <v>1</v>
      </c>
      <c r="P132" s="389">
        <f t="shared" ca="1" si="9"/>
        <v>1779</v>
      </c>
      <c r="Q132" s="402">
        <f t="shared" ca="1" si="13"/>
        <v>14.824999999999999</v>
      </c>
      <c r="R132" s="324" t="str">
        <f ca="1">VLOOKUP(B132,'Base de Datos'!E132:AR443,33,0)</f>
        <v>TERMINO</v>
      </c>
      <c r="S132" s="327" t="str">
        <f t="shared" ca="1" si="10"/>
        <v>NO</v>
      </c>
      <c r="T132" s="324" t="str">
        <f t="shared" ca="1" si="11"/>
        <v>Liquidar</v>
      </c>
      <c r="U132" s="324">
        <f>VLOOKUP(B132,'Base de Datos'!$E$7:$AR$401,38,0)</f>
        <v>0</v>
      </c>
    </row>
    <row r="133" spans="1:21" ht="23.25" customHeight="1" thickTop="1" thickBot="1" x14ac:dyDescent="0.3">
      <c r="A133" s="108">
        <v>127</v>
      </c>
      <c r="B133" s="324" t="str">
        <f>+'Base de Datos'!E133</f>
        <v>130241-0-2013</v>
      </c>
      <c r="C133" s="324" t="str">
        <f>+'Base de Datos'!F133</f>
        <v>ACABADOS ALTAPISOS INVERSIONES  S.A.S.</v>
      </c>
      <c r="D133" s="325">
        <f>+'Base de Datos'!I133</f>
        <v>4393120</v>
      </c>
      <c r="E133" s="326">
        <f>+'Base de Datos'!M133</f>
        <v>41512</v>
      </c>
      <c r="F133" s="326">
        <f>+'Base de Datos'!N133</f>
        <v>41784</v>
      </c>
      <c r="G133" s="326">
        <f>+'Base de Datos'!T133</f>
        <v>41876</v>
      </c>
      <c r="H133" s="325">
        <f>+'Base de Datos'!U133</f>
        <v>4393120</v>
      </c>
      <c r="I133" s="327" t="str">
        <f>IF(VLOOKUP(B133,'Base de Datos'!$E$7:$S$303,11,0),"SI","NO")</f>
        <v>NO</v>
      </c>
      <c r="J133" s="328" t="str">
        <f t="shared" si="7"/>
        <v/>
      </c>
      <c r="K133" s="327" t="str">
        <f>IF(VLOOKUP(B133,'Base de Datos'!$E$7:$S$303,11,0),"SI","NO")</f>
        <v>NO</v>
      </c>
      <c r="L133" s="328" t="str">
        <f t="shared" si="8"/>
        <v/>
      </c>
      <c r="M133" s="328">
        <f>VLOOKUP(B133,'Base de Datos'!$E$7:$Z$303,21,0)</f>
        <v>0.58682667443639147</v>
      </c>
      <c r="N133" s="390" t="str">
        <f t="shared" ca="1" si="12"/>
        <v/>
      </c>
      <c r="O133" s="328">
        <f ca="1">VLOOKUP(B133,'Base de Datos'!$E$7:$Z$303,22,0)</f>
        <v>1</v>
      </c>
      <c r="P133" s="389">
        <f t="shared" ca="1" si="9"/>
        <v>1767</v>
      </c>
      <c r="Q133" s="402">
        <f t="shared" ca="1" si="13"/>
        <v>14.725</v>
      </c>
      <c r="R133" s="324" t="str">
        <f ca="1">VLOOKUP(B133,'Base de Datos'!E133:AR444,33,0)</f>
        <v>TERMINO</v>
      </c>
      <c r="S133" s="327" t="str">
        <f t="shared" ca="1" si="10"/>
        <v>NO</v>
      </c>
      <c r="T133" s="324" t="str">
        <f t="shared" ca="1" si="11"/>
        <v>Liquidar</v>
      </c>
      <c r="U133" s="324">
        <f>VLOOKUP(B133,'Base de Datos'!$E$7:$AR$401,38,0)</f>
        <v>42025</v>
      </c>
    </row>
    <row r="134" spans="1:21" ht="23.25" customHeight="1" thickTop="1" thickBot="1" x14ac:dyDescent="0.3">
      <c r="A134" s="108">
        <v>128</v>
      </c>
      <c r="B134" s="324" t="str">
        <f>+'Base de Datos'!E134</f>
        <v>130242-0-2013</v>
      </c>
      <c r="C134" s="324" t="str">
        <f>+'Base de Datos'!F134</f>
        <v>INVERSIONES LIGOL - INVERLIGOL LTD A</v>
      </c>
      <c r="D134" s="325">
        <f>+'Base de Datos'!I134</f>
        <v>16804000</v>
      </c>
      <c r="E134" s="326">
        <f>+'Base de Datos'!M134</f>
        <v>41523</v>
      </c>
      <c r="F134" s="326">
        <f>+'Base de Datos'!N134</f>
        <v>41764</v>
      </c>
      <c r="G134" s="326">
        <f>+'Base de Datos'!T134</f>
        <v>42099</v>
      </c>
      <c r="H134" s="325">
        <f>+'Base de Datos'!U134</f>
        <v>25204000</v>
      </c>
      <c r="I134" s="327" t="str">
        <f>IF(VLOOKUP(B134,'Base de Datos'!$E$7:$S$303,11,0),"SI","NO")</f>
        <v>SI</v>
      </c>
      <c r="J134" s="328">
        <f t="shared" si="7"/>
        <v>1.3900414937759336</v>
      </c>
      <c r="K134" s="327" t="str">
        <f>IF(VLOOKUP(B134,'Base de Datos'!$E$7:$S$303,11,0),"SI","NO")</f>
        <v>SI</v>
      </c>
      <c r="L134" s="328">
        <f t="shared" si="8"/>
        <v>0.49988098071887643</v>
      </c>
      <c r="M134" s="328">
        <f>VLOOKUP(B134,'Base de Datos'!$E$7:$Z$303,21,0)</f>
        <v>0.99989882558324072</v>
      </c>
      <c r="N134" s="390" t="str">
        <f t="shared" ca="1" si="12"/>
        <v/>
      </c>
      <c r="O134" s="328">
        <f ca="1">VLOOKUP(B134,'Base de Datos'!$E$7:$Z$303,22,0)</f>
        <v>1</v>
      </c>
      <c r="P134" s="389">
        <f t="shared" ca="1" si="9"/>
        <v>1544</v>
      </c>
      <c r="Q134" s="402">
        <f t="shared" ca="1" si="13"/>
        <v>12.866666666666667</v>
      </c>
      <c r="R134" s="324" t="str">
        <f ca="1">VLOOKUP(B134,'Base de Datos'!E134:AR445,33,0)</f>
        <v>TERMINO</v>
      </c>
      <c r="S134" s="327" t="str">
        <f t="shared" ca="1" si="10"/>
        <v>NO</v>
      </c>
      <c r="T134" s="324" t="str">
        <f t="shared" ca="1" si="11"/>
        <v>Liquidar</v>
      </c>
      <c r="U134" s="324">
        <f>VLOOKUP(B134,'Base de Datos'!$E$7:$AR$401,38,0)</f>
        <v>0</v>
      </c>
    </row>
    <row r="135" spans="1:21" ht="23.25" customHeight="1" thickTop="1" thickBot="1" x14ac:dyDescent="0.3">
      <c r="A135" s="108">
        <v>129</v>
      </c>
      <c r="B135" s="324" t="str">
        <f>+'Base de Datos'!E135</f>
        <v>130244-0-2013</v>
      </c>
      <c r="C135" s="324" t="str">
        <f>+'Base de Datos'!F135</f>
        <v>CONTRONET LTDA</v>
      </c>
      <c r="D135" s="325">
        <f>+'Base de Datos'!I135</f>
        <v>86923131</v>
      </c>
      <c r="E135" s="326">
        <f>+'Base de Datos'!M135</f>
        <v>41506</v>
      </c>
      <c r="F135" s="326">
        <f>+'Base de Datos'!N135</f>
        <v>41871</v>
      </c>
      <c r="G135" s="326">
        <f>+'Base de Datos'!T135</f>
        <v>42055</v>
      </c>
      <c r="H135" s="325">
        <f>+'Base de Datos'!U135</f>
        <v>130384697</v>
      </c>
      <c r="I135" s="327" t="str">
        <f>IF(VLOOKUP(B135,'Base de Datos'!$E$7:$S$303,11,0),"SI","NO")</f>
        <v>SI</v>
      </c>
      <c r="J135" s="328">
        <f t="shared" ref="J135:J198" si="14">IF(I135=$AB$7,((G135-F135)*100%)/(F135-E135),"")</f>
        <v>0.50410958904109593</v>
      </c>
      <c r="K135" s="327" t="str">
        <f>IF(VLOOKUP(B135,'Base de Datos'!$E$7:$S$303,11,0),"SI","NO")</f>
        <v>SI</v>
      </c>
      <c r="L135" s="328">
        <f t="shared" ref="L135:L198" si="15">IF(K135=$AB$7,((H135-D135)*100%)/(D135),"")</f>
        <v>0.50000000575220882</v>
      </c>
      <c r="M135" s="328">
        <f>VLOOKUP(B135,'Base de Datos'!$E$7:$Z$303,21,0)</f>
        <v>0.7390409857684449</v>
      </c>
      <c r="N135" s="390" t="str">
        <f t="shared" ca="1" si="12"/>
        <v/>
      </c>
      <c r="O135" s="328">
        <f ca="1">VLOOKUP(B135,'Base de Datos'!$E$7:$Z$303,22,0)</f>
        <v>1</v>
      </c>
      <c r="P135" s="389">
        <f t="shared" ref="P135:P198" ca="1" si="16">IF(R135=$AC$7,"",IFERROR(IF(R135=$AC$8,"",($C$5-G135)),""))</f>
        <v>1588</v>
      </c>
      <c r="Q135" s="402">
        <f t="shared" ca="1" si="13"/>
        <v>13.233333333333333</v>
      </c>
      <c r="R135" s="324" t="str">
        <f ca="1">VLOOKUP(B135,'Base de Datos'!E135:AR446,33,0)</f>
        <v>TERMINO</v>
      </c>
      <c r="S135" s="327" t="str">
        <f t="shared" ref="S135:S198" ca="1" si="17">IF((TODAY()-G135&lt;900),"SI","NO")</f>
        <v>NO</v>
      </c>
      <c r="T135" s="324" t="str">
        <f t="shared" ref="T135:T198" ca="1" si="18">IF(R135=$AC$8,"",IF(O135=100%,"Liquidar",IF(R135=$AC$7,"Supervisar","")))</f>
        <v>Liquidar</v>
      </c>
      <c r="U135" s="324">
        <f>VLOOKUP(B135,'Base de Datos'!$E$7:$AR$401,38,0)</f>
        <v>0</v>
      </c>
    </row>
    <row r="136" spans="1:21" ht="23.25" customHeight="1" thickTop="1" thickBot="1" x14ac:dyDescent="0.3">
      <c r="A136" s="108">
        <v>130</v>
      </c>
      <c r="B136" s="324" t="str">
        <f>+'Base de Datos'!E136</f>
        <v>130249-0-2013</v>
      </c>
      <c r="C136" s="324" t="str">
        <f>+'Base de Datos'!F136</f>
        <v>INGEAL S.A.</v>
      </c>
      <c r="D136" s="325">
        <f>+'Base de Datos'!I136</f>
        <v>45056000</v>
      </c>
      <c r="E136" s="326">
        <f>+'Base de Datos'!M136</f>
        <v>41533</v>
      </c>
      <c r="F136" s="326">
        <f>+'Base de Datos'!N136</f>
        <v>41897</v>
      </c>
      <c r="G136" s="326">
        <f>+'Base de Datos'!T136</f>
        <v>41897</v>
      </c>
      <c r="H136" s="325">
        <f>+'Base de Datos'!U136</f>
        <v>45056000</v>
      </c>
      <c r="I136" s="327" t="str">
        <f>IF(VLOOKUP(B136,'Base de Datos'!$E$7:$S$303,11,0),"SI","NO")</f>
        <v>NO</v>
      </c>
      <c r="J136" s="328" t="str">
        <f t="shared" si="14"/>
        <v/>
      </c>
      <c r="K136" s="327" t="str">
        <f>IF(VLOOKUP(B136,'Base de Datos'!$E$7:$S$303,11,0),"SI","NO")</f>
        <v>NO</v>
      </c>
      <c r="L136" s="328" t="str">
        <f t="shared" si="15"/>
        <v/>
      </c>
      <c r="M136" s="328">
        <f>VLOOKUP(B136,'Base de Datos'!$E$7:$Z$303,21,0)</f>
        <v>0.55610795454545459</v>
      </c>
      <c r="N136" s="390" t="str">
        <f t="shared" ref="N136:N199" ca="1" si="19">IF(G136&lt;TODAY(),"",G136-TODAY())</f>
        <v/>
      </c>
      <c r="O136" s="328">
        <f ca="1">VLOOKUP(B136,'Base de Datos'!$E$7:$Z$303,22,0)</f>
        <v>1</v>
      </c>
      <c r="P136" s="389">
        <f t="shared" ca="1" si="16"/>
        <v>1746</v>
      </c>
      <c r="Q136" s="402">
        <f ca="1">IF(P136=0,"",(P136*100%)/120)</f>
        <v>14.55</v>
      </c>
      <c r="R136" s="324" t="str">
        <f ca="1">VLOOKUP(B136,'Base de Datos'!E136:AR447,33,0)</f>
        <v>TERMINO</v>
      </c>
      <c r="S136" s="327" t="str">
        <f t="shared" ca="1" si="17"/>
        <v>NO</v>
      </c>
      <c r="T136" s="324" t="str">
        <f t="shared" ca="1" si="18"/>
        <v>Liquidar</v>
      </c>
      <c r="U136" s="324">
        <f>VLOOKUP(B136,'Base de Datos'!$E$7:$AR$401,38,0)</f>
        <v>42004</v>
      </c>
    </row>
    <row r="137" spans="1:21" ht="23.25" customHeight="1" thickTop="1" thickBot="1" x14ac:dyDescent="0.3">
      <c r="A137" s="108">
        <v>131</v>
      </c>
      <c r="B137" s="324" t="str">
        <f>+'Base de Datos'!E137</f>
        <v>130254-0-2013</v>
      </c>
      <c r="C137" s="324" t="str">
        <f>+'Base de Datos'!F137</f>
        <v>CAJA DE COMPENSACIÓN FAMILIAR COMPENSAR SALONES</v>
      </c>
      <c r="D137" s="325">
        <f>+'Base de Datos'!I137</f>
        <v>76223000</v>
      </c>
      <c r="E137" s="326">
        <f>+'Base de Datos'!M137</f>
        <v>41541</v>
      </c>
      <c r="F137" s="326">
        <f>+'Base de Datos'!N137</f>
        <v>41721</v>
      </c>
      <c r="G137" s="326">
        <f>+'Base de Datos'!T137</f>
        <v>41782</v>
      </c>
      <c r="H137" s="325">
        <f>+'Base de Datos'!U137</f>
        <v>114225288</v>
      </c>
      <c r="I137" s="327" t="str">
        <f>IF(VLOOKUP(B137,'Base de Datos'!$E$7:$S$303,11,0),"SI","NO")</f>
        <v>SI</v>
      </c>
      <c r="J137" s="328">
        <f t="shared" si="14"/>
        <v>0.33888888888888891</v>
      </c>
      <c r="K137" s="327" t="str">
        <f>IF(VLOOKUP(B137,'Base de Datos'!$E$7:$S$303,11,0),"SI","NO")</f>
        <v>SI</v>
      </c>
      <c r="L137" s="328">
        <f t="shared" si="15"/>
        <v>0.49856720412473926</v>
      </c>
      <c r="M137" s="328">
        <f>VLOOKUP(B137,'Base de Datos'!$E$7:$Z$303,21,0)</f>
        <v>0.99992803695097709</v>
      </c>
      <c r="N137" s="390" t="str">
        <f t="shared" ca="1" si="19"/>
        <v/>
      </c>
      <c r="O137" s="328">
        <f ca="1">VLOOKUP(B137,'Base de Datos'!$E$7:$Z$303,22,0)</f>
        <v>1</v>
      </c>
      <c r="P137" s="389">
        <f t="shared" ca="1" si="16"/>
        <v>1861</v>
      </c>
      <c r="Q137" s="402">
        <f t="shared" ref="Q137:Q199" ca="1" si="20">IF(P137=0,"",(P137*100%)/120)</f>
        <v>15.508333333333333</v>
      </c>
      <c r="R137" s="324" t="str">
        <f ca="1">VLOOKUP(B137,'Base de Datos'!E137:AR448,33,0)</f>
        <v>TERMINO</v>
      </c>
      <c r="S137" s="327" t="str">
        <f t="shared" ca="1" si="17"/>
        <v>NO</v>
      </c>
      <c r="T137" s="324" t="str">
        <f t="shared" ca="1" si="18"/>
        <v>Liquidar</v>
      </c>
      <c r="U137" s="324">
        <f>VLOOKUP(B137,'Base de Datos'!$E$7:$AR$401,38,0)</f>
        <v>42004</v>
      </c>
    </row>
    <row r="138" spans="1:21" ht="23.25" customHeight="1" thickTop="1" thickBot="1" x14ac:dyDescent="0.3">
      <c r="A138" s="108">
        <v>132</v>
      </c>
      <c r="B138" s="324" t="str">
        <f>+'Base de Datos'!E138</f>
        <v>130260-0-2013</v>
      </c>
      <c r="C138" s="324" t="str">
        <f>+'Base de Datos'!F138</f>
        <v>PROCOLDEXT LIMITADA</v>
      </c>
      <c r="D138" s="325">
        <f>+'Base de Datos'!I138</f>
        <v>4715000</v>
      </c>
      <c r="E138" s="326">
        <f>+'Base de Datos'!M138</f>
        <v>41555</v>
      </c>
      <c r="F138" s="326">
        <f>+'Base de Datos'!N138</f>
        <v>41615</v>
      </c>
      <c r="G138" s="326">
        <f>+'Base de Datos'!T138</f>
        <v>41615</v>
      </c>
      <c r="H138" s="325">
        <f>+'Base de Datos'!U138</f>
        <v>4715000</v>
      </c>
      <c r="I138" s="327" t="str">
        <f>IF(VLOOKUP(B138,'Base de Datos'!$E$7:$S$303,11,0),"SI","NO")</f>
        <v>NO</v>
      </c>
      <c r="J138" s="328" t="str">
        <f t="shared" si="14"/>
        <v/>
      </c>
      <c r="K138" s="327" t="str">
        <f>IF(VLOOKUP(B138,'Base de Datos'!$E$7:$S$303,11,0),"SI","NO")</f>
        <v>NO</v>
      </c>
      <c r="L138" s="328" t="str">
        <f t="shared" si="15"/>
        <v/>
      </c>
      <c r="M138" s="328">
        <f>VLOOKUP(B138,'Base de Datos'!$E$7:$Z$303,21,0)</f>
        <v>1</v>
      </c>
      <c r="N138" s="390" t="str">
        <f t="shared" ca="1" si="19"/>
        <v/>
      </c>
      <c r="O138" s="328">
        <f ca="1">VLOOKUP(B138,'Base de Datos'!$E$7:$Z$303,22,0)</f>
        <v>1</v>
      </c>
      <c r="P138" s="389">
        <f t="shared" ca="1" si="16"/>
        <v>2028</v>
      </c>
      <c r="Q138" s="402">
        <f t="shared" ca="1" si="20"/>
        <v>16.899999999999999</v>
      </c>
      <c r="R138" s="324" t="str">
        <f ca="1">VLOOKUP(B138,'Base de Datos'!E138:AR449,33,0)</f>
        <v>TERMINO</v>
      </c>
      <c r="S138" s="327" t="str">
        <f t="shared" ca="1" si="17"/>
        <v>NO</v>
      </c>
      <c r="T138" s="324" t="str">
        <f t="shared" ca="1" si="18"/>
        <v>Liquidar</v>
      </c>
      <c r="U138" s="324">
        <f>VLOOKUP(B138,'Base de Datos'!$E$7:$AR$401,38,0)</f>
        <v>41900</v>
      </c>
    </row>
    <row r="139" spans="1:21" ht="23.25" customHeight="1" thickTop="1" thickBot="1" x14ac:dyDescent="0.3">
      <c r="A139" s="108">
        <v>133</v>
      </c>
      <c r="B139" s="324" t="str">
        <f>+'Base de Datos'!E139</f>
        <v>130261-0-2013</v>
      </c>
      <c r="C139" s="324" t="str">
        <f>+'Base de Datos'!F139</f>
        <v>UNIVERSIDAD DISTRITAL FRANCISCO JOSÉ DE CALDAS</v>
      </c>
      <c r="D139" s="325">
        <f>+'Base de Datos'!I139</f>
        <v>457000000</v>
      </c>
      <c r="E139" s="326">
        <f>+'Base de Datos'!M139</f>
        <v>41556</v>
      </c>
      <c r="F139" s="326">
        <f>+'Base de Datos'!N139</f>
        <v>41798</v>
      </c>
      <c r="G139" s="326">
        <f>+'Base de Datos'!T139</f>
        <v>41890</v>
      </c>
      <c r="H139" s="325">
        <f>+'Base de Datos'!U139</f>
        <v>457000000</v>
      </c>
      <c r="I139" s="327" t="str">
        <f>IF(VLOOKUP(B139,'Base de Datos'!$E$7:$S$303,11,0),"SI","NO")</f>
        <v>NO</v>
      </c>
      <c r="J139" s="328" t="str">
        <f t="shared" si="14"/>
        <v/>
      </c>
      <c r="K139" s="327" t="str">
        <f>IF(VLOOKUP(B139,'Base de Datos'!$E$7:$S$303,11,0),"SI","NO")</f>
        <v>NO</v>
      </c>
      <c r="L139" s="328" t="str">
        <f t="shared" si="15"/>
        <v/>
      </c>
      <c r="M139" s="328">
        <f>VLOOKUP(B139,'Base de Datos'!$E$7:$Z$303,21,0)</f>
        <v>0.91091309628008754</v>
      </c>
      <c r="N139" s="390" t="str">
        <f t="shared" ca="1" si="19"/>
        <v/>
      </c>
      <c r="O139" s="328">
        <f ca="1">VLOOKUP(B139,'Base de Datos'!$E$7:$Z$303,22,0)</f>
        <v>1</v>
      </c>
      <c r="P139" s="389">
        <f t="shared" ca="1" si="16"/>
        <v>1753</v>
      </c>
      <c r="Q139" s="402">
        <f t="shared" ca="1" si="20"/>
        <v>14.608333333333333</v>
      </c>
      <c r="R139" s="324" t="str">
        <f ca="1">VLOOKUP(B139,'Base de Datos'!E139:AR450,33,0)</f>
        <v>TERMINO</v>
      </c>
      <c r="S139" s="327" t="str">
        <f t="shared" ca="1" si="17"/>
        <v>NO</v>
      </c>
      <c r="T139" s="324" t="str">
        <f t="shared" ca="1" si="18"/>
        <v>Liquidar</v>
      </c>
      <c r="U139" s="324">
        <f>VLOOKUP(B139,'Base de Datos'!$E$7:$AR$401,38,0)</f>
        <v>42094</v>
      </c>
    </row>
    <row r="140" spans="1:21" ht="23.25" customHeight="1" thickTop="1" thickBot="1" x14ac:dyDescent="0.3">
      <c r="A140" s="108">
        <v>134</v>
      </c>
      <c r="B140" s="324" t="str">
        <f>+'Base de Datos'!E140</f>
        <v>130265-0-2013</v>
      </c>
      <c r="C140" s="324" t="str">
        <f>+'Base de Datos'!F140</f>
        <v>TECNOLOGÍA BIOMÉDICA</v>
      </c>
      <c r="D140" s="325">
        <f>+'Base de Datos'!I140</f>
        <v>3356320</v>
      </c>
      <c r="E140" s="326">
        <f>+'Base de Datos'!M140</f>
        <v>41554</v>
      </c>
      <c r="F140" s="326">
        <f>+'Base de Datos'!N140</f>
        <v>41645</v>
      </c>
      <c r="G140" s="326">
        <f>+'Base de Datos'!T140</f>
        <v>41645</v>
      </c>
      <c r="H140" s="325">
        <f>+'Base de Datos'!U140</f>
        <v>3356320</v>
      </c>
      <c r="I140" s="327" t="str">
        <f>IF(VLOOKUP(B140,'Base de Datos'!$E$7:$S$303,11,0),"SI","NO")</f>
        <v>NO</v>
      </c>
      <c r="J140" s="328" t="str">
        <f t="shared" si="14"/>
        <v/>
      </c>
      <c r="K140" s="327" t="str">
        <f>IF(VLOOKUP(B140,'Base de Datos'!$E$7:$S$303,11,0),"SI","NO")</f>
        <v>NO</v>
      </c>
      <c r="L140" s="328" t="str">
        <f t="shared" si="15"/>
        <v/>
      </c>
      <c r="M140" s="328">
        <f>VLOOKUP(B140,'Base de Datos'!$E$7:$Z$303,21,0)</f>
        <v>1</v>
      </c>
      <c r="N140" s="390" t="str">
        <f t="shared" ca="1" si="19"/>
        <v/>
      </c>
      <c r="O140" s="328">
        <f ca="1">VLOOKUP(B140,'Base de Datos'!$E$7:$Z$303,22,0)</f>
        <v>1</v>
      </c>
      <c r="P140" s="389">
        <f t="shared" ca="1" si="16"/>
        <v>1998</v>
      </c>
      <c r="Q140" s="402">
        <f t="shared" ca="1" si="20"/>
        <v>16.649999999999999</v>
      </c>
      <c r="R140" s="324" t="str">
        <f ca="1">VLOOKUP(B140,'Base de Datos'!E140:AR451,33,0)</f>
        <v>TERMINO</v>
      </c>
      <c r="S140" s="327" t="str">
        <f t="shared" ca="1" si="17"/>
        <v>NO</v>
      </c>
      <c r="T140" s="324" t="str">
        <f t="shared" ca="1" si="18"/>
        <v>Liquidar</v>
      </c>
      <c r="U140" s="324">
        <f>VLOOKUP(B140,'Base de Datos'!$E$7:$AR$401,38,0)</f>
        <v>42030</v>
      </c>
    </row>
    <row r="141" spans="1:21" ht="23.25" customHeight="1" thickTop="1" thickBot="1" x14ac:dyDescent="0.3">
      <c r="A141" s="108">
        <v>135</v>
      </c>
      <c r="B141" s="324" t="str">
        <f>+'Base de Datos'!E141</f>
        <v>130270-0-2013</v>
      </c>
      <c r="C141" s="324" t="str">
        <f>+'Base de Datos'!F141</f>
        <v>ITELCO IT S.A.S</v>
      </c>
      <c r="D141" s="325">
        <f>+'Base de Datos'!I141</f>
        <v>19965572</v>
      </c>
      <c r="E141" s="326">
        <f>+'Base de Datos'!M141</f>
        <v>41555</v>
      </c>
      <c r="F141" s="326">
        <f>+'Base de Datos'!N141</f>
        <v>41935</v>
      </c>
      <c r="G141" s="326">
        <f>+'Base de Datos'!T141</f>
        <v>41935</v>
      </c>
      <c r="H141" s="325">
        <f>+'Base de Datos'!U141</f>
        <v>19965572</v>
      </c>
      <c r="I141" s="327" t="str">
        <f>IF(VLOOKUP(B141,'Base de Datos'!$E$7:$S$303,11,0),"SI","NO")</f>
        <v>NO</v>
      </c>
      <c r="J141" s="328" t="str">
        <f t="shared" si="14"/>
        <v/>
      </c>
      <c r="K141" s="327" t="str">
        <f>IF(VLOOKUP(B141,'Base de Datos'!$E$7:$S$303,11,0),"SI","NO")</f>
        <v>NO</v>
      </c>
      <c r="L141" s="328" t="str">
        <f t="shared" si="15"/>
        <v/>
      </c>
      <c r="M141" s="328">
        <f>VLOOKUP(B141,'Base de Datos'!$E$7:$Z$303,21,0)</f>
        <v>1</v>
      </c>
      <c r="N141" s="390" t="str">
        <f t="shared" ca="1" si="19"/>
        <v/>
      </c>
      <c r="O141" s="328">
        <f ca="1">VLOOKUP(B141,'Base de Datos'!$E$7:$Z$303,22,0)</f>
        <v>1</v>
      </c>
      <c r="P141" s="389">
        <f t="shared" ca="1" si="16"/>
        <v>1708</v>
      </c>
      <c r="Q141" s="402">
        <f t="shared" ca="1" si="20"/>
        <v>14.233333333333333</v>
      </c>
      <c r="R141" s="324" t="str">
        <f ca="1">VLOOKUP(B141,'Base de Datos'!E141:AR452,33,0)</f>
        <v>TERMINO</v>
      </c>
      <c r="S141" s="327" t="str">
        <f t="shared" ca="1" si="17"/>
        <v>NO</v>
      </c>
      <c r="T141" s="324" t="str">
        <f t="shared" ca="1" si="18"/>
        <v>Liquidar</v>
      </c>
      <c r="U141" s="324">
        <f>VLOOKUP(B141,'Base de Datos'!$E$7:$AR$401,38,0)</f>
        <v>42013</v>
      </c>
    </row>
    <row r="142" spans="1:21" ht="23.25" customHeight="1" thickTop="1" thickBot="1" x14ac:dyDescent="0.3">
      <c r="A142" s="108">
        <v>136</v>
      </c>
      <c r="B142" s="324" t="str">
        <f>+'Base de Datos'!E142</f>
        <v>130276-0-2013</v>
      </c>
      <c r="C142" s="324" t="str">
        <f>+'Base de Datos'!F142</f>
        <v>FACTOR VISUAL EAT</v>
      </c>
      <c r="D142" s="325">
        <f>+'Base de Datos'!I142</f>
        <v>38280000</v>
      </c>
      <c r="E142" s="326">
        <f>+'Base de Datos'!M142</f>
        <v>41562</v>
      </c>
      <c r="F142" s="326">
        <f>+'Base de Datos'!N142</f>
        <v>41926</v>
      </c>
      <c r="G142" s="326">
        <f>+'Base de Datos'!T142</f>
        <v>41926</v>
      </c>
      <c r="H142" s="325">
        <f>+'Base de Datos'!U142</f>
        <v>38280000</v>
      </c>
      <c r="I142" s="327" t="str">
        <f>IF(VLOOKUP(B142,'Base de Datos'!$E$7:$S$303,11,0),"SI","NO")</f>
        <v>NO</v>
      </c>
      <c r="J142" s="328" t="str">
        <f t="shared" si="14"/>
        <v/>
      </c>
      <c r="K142" s="327" t="str">
        <f>IF(VLOOKUP(B142,'Base de Datos'!$E$7:$S$303,11,0),"SI","NO")</f>
        <v>NO</v>
      </c>
      <c r="L142" s="328" t="str">
        <f t="shared" si="15"/>
        <v/>
      </c>
      <c r="M142" s="328">
        <f>VLOOKUP(B142,'Base de Datos'!$E$7:$Z$303,21,0)</f>
        <v>1</v>
      </c>
      <c r="N142" s="390" t="str">
        <f t="shared" ca="1" si="19"/>
        <v/>
      </c>
      <c r="O142" s="328">
        <f ca="1">VLOOKUP(B142,'Base de Datos'!$E$7:$Z$303,22,0)</f>
        <v>1</v>
      </c>
      <c r="P142" s="389">
        <f t="shared" ca="1" si="16"/>
        <v>1717</v>
      </c>
      <c r="Q142" s="402">
        <f t="shared" ca="1" si="20"/>
        <v>14.308333333333334</v>
      </c>
      <c r="R142" s="324" t="str">
        <f ca="1">VLOOKUP(B142,'Base de Datos'!E142:AR453,33,0)</f>
        <v>TERMINO</v>
      </c>
      <c r="S142" s="327" t="str">
        <f t="shared" ca="1" si="17"/>
        <v>NO</v>
      </c>
      <c r="T142" s="324" t="str">
        <f t="shared" ca="1" si="18"/>
        <v>Liquidar</v>
      </c>
      <c r="U142" s="324">
        <f>VLOOKUP(B142,'Base de Datos'!$E$7:$AR$401,38,0)</f>
        <v>42059</v>
      </c>
    </row>
    <row r="143" spans="1:21" ht="23.25" customHeight="1" thickTop="1" thickBot="1" x14ac:dyDescent="0.3">
      <c r="A143" s="108">
        <v>137</v>
      </c>
      <c r="B143" s="324" t="str">
        <f>+'Base de Datos'!E143</f>
        <v>130281-0-2013</v>
      </c>
      <c r="C143" s="324" t="str">
        <f>+'Base de Datos'!F143</f>
        <v>CJS CANECAS Y CIA LTDA</v>
      </c>
      <c r="D143" s="325">
        <f>+'Base de Datos'!I143</f>
        <v>26073552</v>
      </c>
      <c r="E143" s="326">
        <f>+'Base de Datos'!M143</f>
        <v>41562</v>
      </c>
      <c r="F143" s="326">
        <f>+'Base de Datos'!N143</f>
        <v>41592</v>
      </c>
      <c r="G143" s="326">
        <f>+'Base de Datos'!T143</f>
        <v>41592</v>
      </c>
      <c r="H143" s="325">
        <f>+'Base de Datos'!U143</f>
        <v>26073552</v>
      </c>
      <c r="I143" s="327" t="str">
        <f>IF(VLOOKUP(B143,'Base de Datos'!$E$7:$S$303,11,0),"SI","NO")</f>
        <v>NO</v>
      </c>
      <c r="J143" s="328" t="str">
        <f t="shared" si="14"/>
        <v/>
      </c>
      <c r="K143" s="327" t="str">
        <f>IF(VLOOKUP(B143,'Base de Datos'!$E$7:$S$303,11,0),"SI","NO")</f>
        <v>NO</v>
      </c>
      <c r="L143" s="328" t="str">
        <f t="shared" si="15"/>
        <v/>
      </c>
      <c r="M143" s="328">
        <f>VLOOKUP(B143,'Base de Datos'!$E$7:$Z$303,21,0)</f>
        <v>1</v>
      </c>
      <c r="N143" s="390" t="str">
        <f t="shared" ca="1" si="19"/>
        <v/>
      </c>
      <c r="O143" s="328">
        <f ca="1">VLOOKUP(B143,'Base de Datos'!$E$7:$Z$303,22,0)</f>
        <v>1</v>
      </c>
      <c r="P143" s="389">
        <f t="shared" ca="1" si="16"/>
        <v>2051</v>
      </c>
      <c r="Q143" s="402">
        <f t="shared" ca="1" si="20"/>
        <v>17.091666666666665</v>
      </c>
      <c r="R143" s="324" t="str">
        <f ca="1">VLOOKUP(B143,'Base de Datos'!E143:AR454,33,0)</f>
        <v>TERMINO</v>
      </c>
      <c r="S143" s="327" t="str">
        <f t="shared" ca="1" si="17"/>
        <v>NO</v>
      </c>
      <c r="T143" s="324" t="str">
        <f t="shared" ca="1" si="18"/>
        <v>Liquidar</v>
      </c>
      <c r="U143" s="324">
        <f>VLOOKUP(B143,'Base de Datos'!$E$7:$AR$401,38,0)</f>
        <v>41872</v>
      </c>
    </row>
    <row r="144" spans="1:21" ht="23.25" customHeight="1" thickTop="1" thickBot="1" x14ac:dyDescent="0.3">
      <c r="A144" s="108">
        <v>138</v>
      </c>
      <c r="B144" s="324" t="str">
        <f>+'Base de Datos'!E144</f>
        <v>130286-0-2013</v>
      </c>
      <c r="C144" s="324" t="str">
        <f>+'Base de Datos'!F144</f>
        <v>COMERCIALIZADORA INTERNACIONAL MEDICA DENTAL S.A.S</v>
      </c>
      <c r="D144" s="325">
        <f>+'Base de Datos'!I144</f>
        <v>17262940</v>
      </c>
      <c r="E144" s="326">
        <f>+'Base de Datos'!M144</f>
        <v>41570</v>
      </c>
      <c r="F144" s="326">
        <f>+'Base de Datos'!N144</f>
        <v>41692</v>
      </c>
      <c r="G144" s="326">
        <f>+'Base de Datos'!T144</f>
        <v>41692</v>
      </c>
      <c r="H144" s="325">
        <f>+'Base de Datos'!U144</f>
        <v>17262940</v>
      </c>
      <c r="I144" s="327" t="str">
        <f>IF(VLOOKUP(B144,'Base de Datos'!$E$7:$S$303,11,0),"SI","NO")</f>
        <v>NO</v>
      </c>
      <c r="J144" s="328" t="str">
        <f t="shared" si="14"/>
        <v/>
      </c>
      <c r="K144" s="327" t="str">
        <f>IF(VLOOKUP(B144,'Base de Datos'!$E$7:$S$303,11,0),"SI","NO")</f>
        <v>NO</v>
      </c>
      <c r="L144" s="328" t="str">
        <f t="shared" si="15"/>
        <v/>
      </c>
      <c r="M144" s="328">
        <f>VLOOKUP(B144,'Base de Datos'!$E$7:$Z$303,21,0)</f>
        <v>1</v>
      </c>
      <c r="N144" s="390" t="str">
        <f t="shared" ca="1" si="19"/>
        <v/>
      </c>
      <c r="O144" s="328">
        <f ca="1">VLOOKUP(B144,'Base de Datos'!$E$7:$Z$303,22,0)</f>
        <v>1</v>
      </c>
      <c r="P144" s="389">
        <f t="shared" ca="1" si="16"/>
        <v>1951</v>
      </c>
      <c r="Q144" s="402">
        <f t="shared" ca="1" si="20"/>
        <v>16.258333333333333</v>
      </c>
      <c r="R144" s="324" t="str">
        <f ca="1">VLOOKUP(B144,'Base de Datos'!E144:AR455,33,0)</f>
        <v>TERMINO</v>
      </c>
      <c r="S144" s="327" t="str">
        <f t="shared" ca="1" si="17"/>
        <v>NO</v>
      </c>
      <c r="T144" s="324" t="str">
        <f t="shared" ca="1" si="18"/>
        <v>Liquidar</v>
      </c>
      <c r="U144" s="324">
        <f>VLOOKUP(B144,'Base de Datos'!$E$7:$AR$401,38,0)</f>
        <v>42004</v>
      </c>
    </row>
    <row r="145" spans="1:21" ht="23.25" customHeight="1" thickTop="1" thickBot="1" x14ac:dyDescent="0.3">
      <c r="A145" s="108">
        <v>139</v>
      </c>
      <c r="B145" s="324" t="str">
        <f>+'Base de Datos'!E145</f>
        <v>130297-0-2013</v>
      </c>
      <c r="C145" s="324" t="str">
        <f>+'Base de Datos'!F145</f>
        <v>GRUPO EDITORIAL EL PERIÓDICO S.A.S</v>
      </c>
      <c r="D145" s="325">
        <f>+'Base de Datos'!I145</f>
        <v>810000</v>
      </c>
      <c r="E145" s="326">
        <f>+'Base de Datos'!M145</f>
        <v>41575</v>
      </c>
      <c r="F145" s="326">
        <f>+'Base de Datos'!N145</f>
        <v>41939</v>
      </c>
      <c r="G145" s="326">
        <f>+'Base de Datos'!T145</f>
        <v>41939</v>
      </c>
      <c r="H145" s="325">
        <f>+'Base de Datos'!U145</f>
        <v>810000</v>
      </c>
      <c r="I145" s="327" t="str">
        <f>IF(VLOOKUP(B145,'Base de Datos'!$E$7:$S$303,11,0),"SI","NO")</f>
        <v>NO</v>
      </c>
      <c r="J145" s="328" t="str">
        <f t="shared" si="14"/>
        <v/>
      </c>
      <c r="K145" s="327" t="str">
        <f>IF(VLOOKUP(B145,'Base de Datos'!$E$7:$S$303,11,0),"SI","NO")</f>
        <v>NO</v>
      </c>
      <c r="L145" s="328" t="str">
        <f t="shared" si="15"/>
        <v/>
      </c>
      <c r="M145" s="328">
        <f>VLOOKUP(B145,'Base de Datos'!$E$7:$Z$303,21,0)</f>
        <v>1</v>
      </c>
      <c r="N145" s="390" t="str">
        <f t="shared" ca="1" si="19"/>
        <v/>
      </c>
      <c r="O145" s="328">
        <f ca="1">VLOOKUP(B145,'Base de Datos'!$E$7:$Z$303,22,0)</f>
        <v>1</v>
      </c>
      <c r="P145" s="389">
        <f t="shared" ca="1" si="16"/>
        <v>1704</v>
      </c>
      <c r="Q145" s="402">
        <f t="shared" ca="1" si="20"/>
        <v>14.2</v>
      </c>
      <c r="R145" s="324" t="str">
        <f ca="1">VLOOKUP(B145,'Base de Datos'!E145:AR456,33,0)</f>
        <v>TERMINO</v>
      </c>
      <c r="S145" s="327" t="str">
        <f t="shared" ca="1" si="17"/>
        <v>NO</v>
      </c>
      <c r="T145" s="324" t="str">
        <f t="shared" ca="1" si="18"/>
        <v>Liquidar</v>
      </c>
      <c r="U145" s="324">
        <f>VLOOKUP(B145,'Base de Datos'!$E$7:$AR$401,38,0)</f>
        <v>0</v>
      </c>
    </row>
    <row r="146" spans="1:21" ht="23.25" customHeight="1" thickTop="1" thickBot="1" x14ac:dyDescent="0.3">
      <c r="A146" s="108">
        <v>140</v>
      </c>
      <c r="B146" s="324" t="str">
        <f>+'Base de Datos'!E146</f>
        <v>130298-0-2013</v>
      </c>
      <c r="C146" s="324" t="str">
        <f>+'Base de Datos'!F146</f>
        <v>SOLUCIONES INTEGRALES DE OFICINAS      SAS</v>
      </c>
      <c r="D146" s="325">
        <f>+'Base de Datos'!I146</f>
        <v>5545000</v>
      </c>
      <c r="E146" s="326">
        <f>+'Base de Datos'!M146</f>
        <v>41590</v>
      </c>
      <c r="F146" s="326">
        <f>+'Base de Datos'!N146</f>
        <v>41650</v>
      </c>
      <c r="G146" s="326">
        <f>+'Base de Datos'!T146</f>
        <v>41650</v>
      </c>
      <c r="H146" s="325">
        <f>+'Base de Datos'!U146</f>
        <v>5545000</v>
      </c>
      <c r="I146" s="327" t="str">
        <f>IF(VLOOKUP(B146,'Base de Datos'!$E$7:$S$303,11,0),"SI","NO")</f>
        <v>NO</v>
      </c>
      <c r="J146" s="328" t="str">
        <f t="shared" si="14"/>
        <v/>
      </c>
      <c r="K146" s="327" t="str">
        <f>IF(VLOOKUP(B146,'Base de Datos'!$E$7:$S$303,11,0),"SI","NO")</f>
        <v>NO</v>
      </c>
      <c r="L146" s="328" t="str">
        <f t="shared" si="15"/>
        <v/>
      </c>
      <c r="M146" s="328">
        <f>VLOOKUP(B146,'Base de Datos'!$E$7:$Z$303,21,0)</f>
        <v>1</v>
      </c>
      <c r="N146" s="390" t="str">
        <f t="shared" ca="1" si="19"/>
        <v/>
      </c>
      <c r="O146" s="328">
        <f ca="1">VLOOKUP(B146,'Base de Datos'!$E$7:$Z$303,22,0)</f>
        <v>1</v>
      </c>
      <c r="P146" s="389">
        <f t="shared" ca="1" si="16"/>
        <v>1993</v>
      </c>
      <c r="Q146" s="402">
        <f t="shared" ca="1" si="20"/>
        <v>16.608333333333334</v>
      </c>
      <c r="R146" s="324" t="str">
        <f ca="1">VLOOKUP(B146,'Base de Datos'!E146:AR457,33,0)</f>
        <v>TERMINO</v>
      </c>
      <c r="S146" s="327" t="str">
        <f t="shared" ca="1" si="17"/>
        <v>NO</v>
      </c>
      <c r="T146" s="324" t="str">
        <f t="shared" ca="1" si="18"/>
        <v>Liquidar</v>
      </c>
      <c r="U146" s="324">
        <f>VLOOKUP(B146,'Base de Datos'!$E$7:$AR$401,38,0)</f>
        <v>0</v>
      </c>
    </row>
    <row r="147" spans="1:21" ht="23.25" customHeight="1" thickTop="1" thickBot="1" x14ac:dyDescent="0.3">
      <c r="A147" s="108">
        <v>141</v>
      </c>
      <c r="B147" s="324" t="str">
        <f>+'Base de Datos'!E147</f>
        <v>130299-0-2013</v>
      </c>
      <c r="C147" s="324" t="str">
        <f>+'Base de Datos'!F147</f>
        <v>3D CONSULTING GROUP LTDA</v>
      </c>
      <c r="D147" s="325">
        <f>+'Base de Datos'!I147</f>
        <v>19360400</v>
      </c>
      <c r="E147" s="326">
        <f>+'Base de Datos'!M147</f>
        <v>41590</v>
      </c>
      <c r="F147" s="326">
        <f>+'Base de Datos'!N147</f>
        <v>41650</v>
      </c>
      <c r="G147" s="326">
        <f>+'Base de Datos'!T147</f>
        <v>41650</v>
      </c>
      <c r="H147" s="325">
        <f>+'Base de Datos'!U147</f>
        <v>19360400</v>
      </c>
      <c r="I147" s="327" t="str">
        <f>IF(VLOOKUP(B147,'Base de Datos'!$E$7:$S$303,11,0),"SI","NO")</f>
        <v>NO</v>
      </c>
      <c r="J147" s="328" t="str">
        <f t="shared" si="14"/>
        <v/>
      </c>
      <c r="K147" s="327" t="str">
        <f>IF(VLOOKUP(B147,'Base de Datos'!$E$7:$S$303,11,0),"SI","NO")</f>
        <v>NO</v>
      </c>
      <c r="L147" s="328" t="str">
        <f t="shared" si="15"/>
        <v/>
      </c>
      <c r="M147" s="328">
        <f>VLOOKUP(B147,'Base de Datos'!$E$7:$Z$303,21,0)</f>
        <v>1</v>
      </c>
      <c r="N147" s="390" t="str">
        <f t="shared" ca="1" si="19"/>
        <v/>
      </c>
      <c r="O147" s="328">
        <f ca="1">VLOOKUP(B147,'Base de Datos'!$E$7:$Z$303,22,0)</f>
        <v>1</v>
      </c>
      <c r="P147" s="389">
        <f t="shared" ca="1" si="16"/>
        <v>1993</v>
      </c>
      <c r="Q147" s="402">
        <f t="shared" ca="1" si="20"/>
        <v>16.608333333333334</v>
      </c>
      <c r="R147" s="324" t="str">
        <f ca="1">VLOOKUP(B147,'Base de Datos'!E147:AR458,33,0)</f>
        <v>TERMINO</v>
      </c>
      <c r="S147" s="327" t="str">
        <f t="shared" ca="1" si="17"/>
        <v>NO</v>
      </c>
      <c r="T147" s="324" t="str">
        <f t="shared" ca="1" si="18"/>
        <v>Liquidar</v>
      </c>
      <c r="U147" s="324">
        <f>VLOOKUP(B147,'Base de Datos'!$E$7:$AR$401,38,0)</f>
        <v>41979</v>
      </c>
    </row>
    <row r="148" spans="1:21" ht="23.25" customHeight="1" thickTop="1" thickBot="1" x14ac:dyDescent="0.3">
      <c r="A148" s="108">
        <v>142</v>
      </c>
      <c r="B148" s="324" t="str">
        <f>+'Base de Datos'!E148</f>
        <v>130301-0-2013</v>
      </c>
      <c r="C148" s="324" t="str">
        <f>+'Base de Datos'!F148</f>
        <v>COMPENSAR BIENESTAR</v>
      </c>
      <c r="D148" s="325">
        <f>+'Base de Datos'!I148</f>
        <v>336560000</v>
      </c>
      <c r="E148" s="326">
        <f>+'Base de Datos'!M148</f>
        <v>41572</v>
      </c>
      <c r="F148" s="326">
        <f>+'Base de Datos'!N148</f>
        <v>41814</v>
      </c>
      <c r="G148" s="326">
        <f>+'Base de Datos'!T148</f>
        <v>41814</v>
      </c>
      <c r="H148" s="325">
        <f>+'Base de Datos'!U148</f>
        <v>502280800</v>
      </c>
      <c r="I148" s="327" t="str">
        <f>IF(VLOOKUP(B148,'Base de Datos'!$E$7:$S$303,11,0),"SI","NO")</f>
        <v>SI</v>
      </c>
      <c r="J148" s="328">
        <f t="shared" si="14"/>
        <v>0</v>
      </c>
      <c r="K148" s="327" t="str">
        <f>IF(VLOOKUP(B148,'Base de Datos'!$E$7:$S$303,11,0),"SI","NO")</f>
        <v>SI</v>
      </c>
      <c r="L148" s="328">
        <f t="shared" si="15"/>
        <v>0.49239600665557404</v>
      </c>
      <c r="M148" s="328">
        <f>VLOOKUP(B148,'Base de Datos'!$E$7:$Z$303,21,0)</f>
        <v>0.99993387762383112</v>
      </c>
      <c r="N148" s="390" t="str">
        <f t="shared" ca="1" si="19"/>
        <v/>
      </c>
      <c r="O148" s="328">
        <f ca="1">VLOOKUP(B148,'Base de Datos'!$E$7:$Z$303,22,0)</f>
        <v>1</v>
      </c>
      <c r="P148" s="389">
        <f t="shared" ca="1" si="16"/>
        <v>1829</v>
      </c>
      <c r="Q148" s="402">
        <f t="shared" ca="1" si="20"/>
        <v>15.241666666666667</v>
      </c>
      <c r="R148" s="324" t="str">
        <f ca="1">VLOOKUP(B148,'Base de Datos'!E148:AR459,33,0)</f>
        <v>TERMINO</v>
      </c>
      <c r="S148" s="327" t="str">
        <f t="shared" ca="1" si="17"/>
        <v>NO</v>
      </c>
      <c r="T148" s="324" t="str">
        <f t="shared" ca="1" si="18"/>
        <v>Liquidar</v>
      </c>
      <c r="U148" s="324">
        <f>VLOOKUP(B148,'Base de Datos'!$E$7:$AR$401,38,0)</f>
        <v>42279</v>
      </c>
    </row>
    <row r="149" spans="1:21" ht="23.25" customHeight="1" thickTop="1" thickBot="1" x14ac:dyDescent="0.3">
      <c r="A149" s="108">
        <v>143</v>
      </c>
      <c r="B149" s="324" t="str">
        <f>+'Base de Datos'!E149</f>
        <v>130309-0-2013</v>
      </c>
      <c r="C149" s="324" t="str">
        <f>+'Base de Datos'!F149</f>
        <v>UNIÓN TEMPORAL VIGILANCIA ACOSTA LTDA  - RUMBO ASOCIADOS</v>
      </c>
      <c r="D149" s="325">
        <f>+'Base de Datos'!I149</f>
        <v>533636000</v>
      </c>
      <c r="E149" s="326">
        <f>+'Base de Datos'!M149</f>
        <v>41580</v>
      </c>
      <c r="F149" s="326">
        <f>+'Base de Datos'!N149</f>
        <v>41944</v>
      </c>
      <c r="G149" s="326">
        <f>+'Base de Datos'!T149</f>
        <v>41975</v>
      </c>
      <c r="H149" s="325">
        <f>+'Base de Datos'!U149</f>
        <v>692839272</v>
      </c>
      <c r="I149" s="327" t="str">
        <f>IF(VLOOKUP(B149,'Base de Datos'!$E$7:$S$303,11,0),"SI","NO")</f>
        <v>SI</v>
      </c>
      <c r="J149" s="328">
        <f t="shared" si="14"/>
        <v>8.5164835164835168E-2</v>
      </c>
      <c r="K149" s="327" t="str">
        <f>IF(VLOOKUP(B149,'Base de Datos'!$E$7:$S$303,11,0),"SI","NO")</f>
        <v>SI</v>
      </c>
      <c r="L149" s="328">
        <f t="shared" si="15"/>
        <v>0.29833682884962781</v>
      </c>
      <c r="M149" s="328">
        <f>VLOOKUP(B149,'Base de Datos'!$E$7:$Z$303,21,0)</f>
        <v>0.97881928811910646</v>
      </c>
      <c r="N149" s="390" t="str">
        <f t="shared" ca="1" si="19"/>
        <v/>
      </c>
      <c r="O149" s="328">
        <f ca="1">VLOOKUP(B149,'Base de Datos'!$E$7:$Z$303,22,0)</f>
        <v>1</v>
      </c>
      <c r="P149" s="389">
        <f t="shared" ca="1" si="16"/>
        <v>1668</v>
      </c>
      <c r="Q149" s="402">
        <f t="shared" ca="1" si="20"/>
        <v>13.9</v>
      </c>
      <c r="R149" s="324" t="str">
        <f ca="1">VLOOKUP(B149,'Base de Datos'!E149:AR460,33,0)</f>
        <v>TERMINO</v>
      </c>
      <c r="S149" s="327" t="str">
        <f t="shared" ca="1" si="17"/>
        <v>NO</v>
      </c>
      <c r="T149" s="324" t="str">
        <f t="shared" ca="1" si="18"/>
        <v>Liquidar</v>
      </c>
      <c r="U149" s="324">
        <f>VLOOKUP(B149,'Base de Datos'!$E$7:$AR$401,38,0)</f>
        <v>0</v>
      </c>
    </row>
    <row r="150" spans="1:21" ht="23.25" customHeight="1" thickTop="1" thickBot="1" x14ac:dyDescent="0.3">
      <c r="A150" s="108">
        <v>144</v>
      </c>
      <c r="B150" s="324" t="str">
        <f>+'Base de Datos'!E150</f>
        <v>130321-0-2013</v>
      </c>
      <c r="C150" s="324" t="str">
        <f>+'Base de Datos'!F150</f>
        <v>EMPRESA DE TELECOMUNICACIONES DE BOGOTA S.A.   ESP</v>
      </c>
      <c r="D150" s="325">
        <f>+'Base de Datos'!I150</f>
        <v>150000000</v>
      </c>
      <c r="E150" s="326">
        <f>+'Base de Datos'!M150</f>
        <v>41610</v>
      </c>
      <c r="F150" s="326">
        <f>+'Base de Datos'!N150</f>
        <v>41975</v>
      </c>
      <c r="G150" s="326">
        <f>+'Base de Datos'!T150</f>
        <v>41975</v>
      </c>
      <c r="H150" s="325">
        <f>+'Base de Datos'!U150</f>
        <v>150000000</v>
      </c>
      <c r="I150" s="327" t="str">
        <f>IF(VLOOKUP(B150,'Base de Datos'!$E$7:$S$303,11,0),"SI","NO")</f>
        <v>NO</v>
      </c>
      <c r="J150" s="328" t="str">
        <f t="shared" si="14"/>
        <v/>
      </c>
      <c r="K150" s="327" t="str">
        <f>IF(VLOOKUP(B150,'Base de Datos'!$E$7:$S$303,11,0),"SI","NO")</f>
        <v>NO</v>
      </c>
      <c r="L150" s="328" t="str">
        <f t="shared" si="15"/>
        <v/>
      </c>
      <c r="M150" s="328">
        <f>VLOOKUP(B150,'Base de Datos'!$E$7:$Z$303,21,0)</f>
        <v>0</v>
      </c>
      <c r="N150" s="390" t="str">
        <f t="shared" ca="1" si="19"/>
        <v/>
      </c>
      <c r="O150" s="328">
        <f ca="1">VLOOKUP(B150,'Base de Datos'!$E$7:$Z$303,22,0)</f>
        <v>1</v>
      </c>
      <c r="P150" s="389">
        <f t="shared" ca="1" si="16"/>
        <v>1668</v>
      </c>
      <c r="Q150" s="402">
        <f t="shared" ca="1" si="20"/>
        <v>13.9</v>
      </c>
      <c r="R150" s="324" t="str">
        <f ca="1">VLOOKUP(B150,'Base de Datos'!E150:AR461,33,0)</f>
        <v>TERMINO</v>
      </c>
      <c r="S150" s="327" t="str">
        <f t="shared" ca="1" si="17"/>
        <v>NO</v>
      </c>
      <c r="T150" s="324" t="str">
        <f t="shared" ca="1" si="18"/>
        <v>Liquidar</v>
      </c>
      <c r="U150" s="324">
        <f>VLOOKUP(B150,'Base de Datos'!$E$7:$AR$401,38,0)</f>
        <v>0</v>
      </c>
    </row>
    <row r="151" spans="1:21" ht="23.25" customHeight="1" thickTop="1" thickBot="1" x14ac:dyDescent="0.3">
      <c r="A151" s="108">
        <v>145</v>
      </c>
      <c r="B151" s="324" t="str">
        <f>+'Base de Datos'!E151</f>
        <v>130325-0-2013</v>
      </c>
      <c r="C151" s="324" t="str">
        <f>+'Base de Datos'!F151</f>
        <v>SI CAPIT@L</v>
      </c>
      <c r="D151" s="325">
        <f>+'Base de Datos'!I151</f>
        <v>0</v>
      </c>
      <c r="E151" s="326">
        <f>+'Base de Datos'!M151</f>
        <v>41696</v>
      </c>
      <c r="F151" s="326">
        <f>+'Base de Datos'!N151</f>
        <v>42425</v>
      </c>
      <c r="G151" s="326">
        <f>+'Base de Datos'!T151</f>
        <v>42425</v>
      </c>
      <c r="H151" s="325">
        <f>+'Base de Datos'!U151</f>
        <v>0</v>
      </c>
      <c r="I151" s="327" t="str">
        <f>IF(VLOOKUP(B151,'Base de Datos'!$E$7:$S$303,11,0),"SI","NO")</f>
        <v>NO</v>
      </c>
      <c r="J151" s="328" t="str">
        <f t="shared" si="14"/>
        <v/>
      </c>
      <c r="K151" s="327" t="str">
        <f>IF(VLOOKUP(B151,'Base de Datos'!$E$7:$S$303,11,0),"SI","NO")</f>
        <v>NO</v>
      </c>
      <c r="L151" s="328" t="str">
        <f t="shared" si="15"/>
        <v/>
      </c>
      <c r="M151" s="328" t="e">
        <f>VLOOKUP(B151,'Base de Datos'!$E$7:$Z$303,21,0)</f>
        <v>#DIV/0!</v>
      </c>
      <c r="N151" s="390" t="str">
        <f t="shared" ca="1" si="19"/>
        <v/>
      </c>
      <c r="O151" s="328">
        <f ca="1">VLOOKUP(B151,'Base de Datos'!$E$7:$Z$303,22,0)</f>
        <v>1</v>
      </c>
      <c r="P151" s="389">
        <f t="shared" ca="1" si="16"/>
        <v>1218</v>
      </c>
      <c r="Q151" s="402">
        <f t="shared" ca="1" si="20"/>
        <v>10.15</v>
      </c>
      <c r="R151" s="324" t="str">
        <f ca="1">VLOOKUP(B151,'Base de Datos'!E151:AR462,33,0)</f>
        <v>TERMINO</v>
      </c>
      <c r="S151" s="327" t="str">
        <f t="shared" ca="1" si="17"/>
        <v>NO</v>
      </c>
      <c r="T151" s="324" t="str">
        <f t="shared" ca="1" si="18"/>
        <v>Liquidar</v>
      </c>
      <c r="U151" s="324">
        <f>VLOOKUP(B151,'Base de Datos'!$E$7:$AR$401,38,0)</f>
        <v>0</v>
      </c>
    </row>
    <row r="152" spans="1:21" ht="23.25" customHeight="1" thickTop="1" thickBot="1" x14ac:dyDescent="0.3">
      <c r="A152" s="108">
        <v>146</v>
      </c>
      <c r="B152" s="324" t="str">
        <f>+'Base de Datos'!E152</f>
        <v>120000-518-0-2012</v>
      </c>
      <c r="C152" s="324" t="str">
        <f>+'Base de Datos'!F152</f>
        <v>INSTITUTO DISTRITAL DEL PATRIMONIO CULTURAL - IDCP</v>
      </c>
      <c r="D152" s="325">
        <f>+'Base de Datos'!I152</f>
        <v>2689440000</v>
      </c>
      <c r="E152" s="326">
        <f>+'Base de Datos'!M152</f>
        <v>41263</v>
      </c>
      <c r="F152" s="326">
        <f>+'Base de Datos'!N152</f>
        <v>41993</v>
      </c>
      <c r="G152" s="326">
        <f>+'Base de Datos'!T152</f>
        <v>43281</v>
      </c>
      <c r="H152" s="325">
        <f>+'Base de Datos'!U152</f>
        <v>3900374978</v>
      </c>
      <c r="I152" s="327" t="str">
        <f>IF(VLOOKUP(B152,'Base de Datos'!$E$7:$S$303,11,0),"SI","NO")</f>
        <v>SI</v>
      </c>
      <c r="J152" s="328">
        <f t="shared" si="14"/>
        <v>1.7643835616438357</v>
      </c>
      <c r="K152" s="327" t="str">
        <f>IF(VLOOKUP(B152,'Base de Datos'!$E$7:$S$303,11,0),"SI","NO")</f>
        <v>SI</v>
      </c>
      <c r="L152" s="328">
        <f t="shared" si="15"/>
        <v>0.45025543533226248</v>
      </c>
      <c r="M152" s="328">
        <f>VLOOKUP(B152,'Base de Datos'!$E$7:$Z$303,21,0)</f>
        <v>0.17434304338314827</v>
      </c>
      <c r="N152" s="390" t="str">
        <f t="shared" ca="1" si="19"/>
        <v/>
      </c>
      <c r="O152" s="328">
        <f ca="1">VLOOKUP(B152,'Base de Datos'!$E$7:$Z$303,22,0)</f>
        <v>1</v>
      </c>
      <c r="P152" s="389">
        <f t="shared" ca="1" si="16"/>
        <v>362</v>
      </c>
      <c r="Q152" s="402">
        <f t="shared" ca="1" si="20"/>
        <v>3.0166666666666666</v>
      </c>
      <c r="R152" s="324" t="str">
        <f ca="1">VLOOKUP(B152,'Base de Datos'!E152:AR463,33,0)</f>
        <v>TERMINO</v>
      </c>
      <c r="S152" s="327" t="str">
        <f t="shared" ca="1" si="17"/>
        <v>SI</v>
      </c>
      <c r="T152" s="324" t="str">
        <f t="shared" ca="1" si="18"/>
        <v>Liquidar</v>
      </c>
      <c r="U152" s="324">
        <f>VLOOKUP(B152,'Base de Datos'!$E$7:$AR$401,38,0)</f>
        <v>0</v>
      </c>
    </row>
    <row r="153" spans="1:21" ht="23.25" customHeight="1" thickTop="1" thickBot="1" x14ac:dyDescent="0.3">
      <c r="A153" s="108">
        <v>147</v>
      </c>
      <c r="B153" s="324" t="str">
        <f>+'Base de Datos'!E153</f>
        <v>130334-0-2013</v>
      </c>
      <c r="C153" s="324" t="str">
        <f>+'Base de Datos'!F153</f>
        <v>NEX COMPUTER S.A.  - NEXCOM</v>
      </c>
      <c r="D153" s="325">
        <f>+'Base de Datos'!I153</f>
        <v>430036764</v>
      </c>
      <c r="E153" s="326">
        <f>+'Base de Datos'!M153</f>
        <v>41659</v>
      </c>
      <c r="F153" s="326">
        <f>+'Base de Datos'!N153</f>
        <v>41748</v>
      </c>
      <c r="G153" s="326">
        <f>+'Base de Datos'!T153</f>
        <v>41748</v>
      </c>
      <c r="H153" s="325">
        <f>+'Base de Datos'!U153</f>
        <v>430036764</v>
      </c>
      <c r="I153" s="327" t="str">
        <f>IF(VLOOKUP(B153,'Base de Datos'!$E$7:$S$303,11,0),"SI","NO")</f>
        <v>NO</v>
      </c>
      <c r="J153" s="328" t="str">
        <f t="shared" si="14"/>
        <v/>
      </c>
      <c r="K153" s="327" t="str">
        <f>IF(VLOOKUP(B153,'Base de Datos'!$E$7:$S$303,11,0),"SI","NO")</f>
        <v>NO</v>
      </c>
      <c r="L153" s="328" t="str">
        <f t="shared" si="15"/>
        <v/>
      </c>
      <c r="M153" s="328">
        <f>VLOOKUP(B153,'Base de Datos'!$E$7:$Z$303,21,0)</f>
        <v>0.99999961863725684</v>
      </c>
      <c r="N153" s="390" t="str">
        <f t="shared" ca="1" si="19"/>
        <v/>
      </c>
      <c r="O153" s="328">
        <f ca="1">VLOOKUP(B153,'Base de Datos'!$E$7:$Z$303,22,0)</f>
        <v>1</v>
      </c>
      <c r="P153" s="389">
        <f t="shared" ca="1" si="16"/>
        <v>1895</v>
      </c>
      <c r="Q153" s="402">
        <f t="shared" ca="1" si="20"/>
        <v>15.791666666666666</v>
      </c>
      <c r="R153" s="324" t="str">
        <f ca="1">VLOOKUP(B153,'Base de Datos'!E153:AR464,33,0)</f>
        <v>TERMINO</v>
      </c>
      <c r="S153" s="327" t="str">
        <f t="shared" ca="1" si="17"/>
        <v>NO</v>
      </c>
      <c r="T153" s="324" t="str">
        <f t="shared" ca="1" si="18"/>
        <v>Liquidar</v>
      </c>
      <c r="U153" s="324">
        <f>VLOOKUP(B153,'Base de Datos'!$E$7:$AR$401,38,0)</f>
        <v>42059</v>
      </c>
    </row>
    <row r="154" spans="1:21" ht="23.25" customHeight="1" thickTop="1" thickBot="1" x14ac:dyDescent="0.3">
      <c r="A154" s="108">
        <v>148</v>
      </c>
      <c r="B154" s="324" t="str">
        <f>+'Base de Datos'!E154</f>
        <v>130336-0-2013</v>
      </c>
      <c r="C154" s="324" t="str">
        <f>+'Base de Datos'!F154</f>
        <v>CESAR ALEJANDRO GUERRERO BARRIGA</v>
      </c>
      <c r="D154" s="325">
        <f>+'Base de Datos'!I154</f>
        <v>6000000</v>
      </c>
      <c r="E154" s="326">
        <f>+'Base de Datos'!M154</f>
        <v>41620</v>
      </c>
      <c r="F154" s="326">
        <f>+'Base de Datos'!N154</f>
        <v>41681</v>
      </c>
      <c r="G154" s="326">
        <f>+'Base de Datos'!T154</f>
        <v>41681</v>
      </c>
      <c r="H154" s="325">
        <f>+'Base de Datos'!U154</f>
        <v>6000000</v>
      </c>
      <c r="I154" s="327" t="str">
        <f>IF(VLOOKUP(B154,'Base de Datos'!$E$7:$S$303,11,0),"SI","NO")</f>
        <v>NO</v>
      </c>
      <c r="J154" s="328" t="str">
        <f t="shared" si="14"/>
        <v/>
      </c>
      <c r="K154" s="327" t="str">
        <f>IF(VLOOKUP(B154,'Base de Datos'!$E$7:$S$303,11,0),"SI","NO")</f>
        <v>NO</v>
      </c>
      <c r="L154" s="328" t="str">
        <f t="shared" si="15"/>
        <v/>
      </c>
      <c r="M154" s="328">
        <f>VLOOKUP(B154,'Base de Datos'!$E$7:$Z$303,21,0)</f>
        <v>1</v>
      </c>
      <c r="N154" s="390" t="str">
        <f t="shared" ca="1" si="19"/>
        <v/>
      </c>
      <c r="O154" s="328">
        <f ca="1">VLOOKUP(B154,'Base de Datos'!$E$7:$Z$303,22,0)</f>
        <v>1</v>
      </c>
      <c r="P154" s="389">
        <f t="shared" ca="1" si="16"/>
        <v>1962</v>
      </c>
      <c r="Q154" s="402">
        <f t="shared" ca="1" si="20"/>
        <v>16.350000000000001</v>
      </c>
      <c r="R154" s="324" t="str">
        <f ca="1">VLOOKUP(B154,'Base de Datos'!E154:AR465,33,0)</f>
        <v>TERMINO</v>
      </c>
      <c r="S154" s="327" t="str">
        <f t="shared" ca="1" si="17"/>
        <v>NO</v>
      </c>
      <c r="T154" s="324" t="str">
        <f t="shared" ca="1" si="18"/>
        <v>Liquidar</v>
      </c>
      <c r="U154" s="324">
        <f>VLOOKUP(B154,'Base de Datos'!$E$7:$AR$401,38,0)</f>
        <v>41817</v>
      </c>
    </row>
    <row r="155" spans="1:21" ht="23.25" customHeight="1" thickTop="1" thickBot="1" x14ac:dyDescent="0.3">
      <c r="A155" s="108">
        <v>149</v>
      </c>
      <c r="B155" s="324" t="str">
        <f>+'Base de Datos'!E155</f>
        <v>130340-0-2013</v>
      </c>
      <c r="C155" s="324" t="str">
        <f>+'Base de Datos'!F155</f>
        <v>RIELCO   LTDA</v>
      </c>
      <c r="D155" s="325">
        <f>+'Base de Datos'!I155</f>
        <v>7937504</v>
      </c>
      <c r="E155" s="326">
        <f>+'Base de Datos'!M155</f>
        <v>41641</v>
      </c>
      <c r="F155" s="326">
        <f>+'Base de Datos'!N155</f>
        <v>42005</v>
      </c>
      <c r="G155" s="326">
        <f>+'Base de Datos'!T155</f>
        <v>42005</v>
      </c>
      <c r="H155" s="325">
        <f>+'Base de Datos'!U155</f>
        <v>7937504</v>
      </c>
      <c r="I155" s="327" t="str">
        <f>IF(VLOOKUP(B155,'Base de Datos'!$E$7:$S$303,11,0),"SI","NO")</f>
        <v>NO</v>
      </c>
      <c r="J155" s="328" t="str">
        <f t="shared" si="14"/>
        <v/>
      </c>
      <c r="K155" s="327" t="str">
        <f>IF(VLOOKUP(B155,'Base de Datos'!$E$7:$S$303,11,0),"SI","NO")</f>
        <v>NO</v>
      </c>
      <c r="L155" s="328" t="str">
        <f t="shared" si="15"/>
        <v/>
      </c>
      <c r="M155" s="328">
        <f>VLOOKUP(B155,'Base de Datos'!$E$7:$Z$303,21,0)</f>
        <v>0.75490532036267322</v>
      </c>
      <c r="N155" s="390" t="str">
        <f t="shared" ca="1" si="19"/>
        <v/>
      </c>
      <c r="O155" s="328">
        <f ca="1">VLOOKUP(B155,'Base de Datos'!$E$7:$Z$303,22,0)</f>
        <v>1</v>
      </c>
      <c r="P155" s="389">
        <f t="shared" ca="1" si="16"/>
        <v>1638</v>
      </c>
      <c r="Q155" s="402">
        <f t="shared" ca="1" si="20"/>
        <v>13.65</v>
      </c>
      <c r="R155" s="324" t="str">
        <f ca="1">VLOOKUP(B155,'Base de Datos'!E155:AR466,33,0)</f>
        <v>TERMINO</v>
      </c>
      <c r="S155" s="327" t="str">
        <f t="shared" ca="1" si="17"/>
        <v>NO</v>
      </c>
      <c r="T155" s="324" t="str">
        <f t="shared" ca="1" si="18"/>
        <v>Liquidar</v>
      </c>
      <c r="U155" s="324">
        <f>VLOOKUP(B155,'Base de Datos'!$E$7:$AR$401,38,0)</f>
        <v>0</v>
      </c>
    </row>
    <row r="156" spans="1:21" ht="23.25" customHeight="1" thickTop="1" thickBot="1" x14ac:dyDescent="0.3">
      <c r="A156" s="108">
        <v>150</v>
      </c>
      <c r="B156" s="324" t="str">
        <f>+'Base de Datos'!E156</f>
        <v>130346-0-2013</v>
      </c>
      <c r="C156" s="324" t="str">
        <f>+'Base de Datos'!F156</f>
        <v>RIGOBERTO GÓMEZ JAIMES</v>
      </c>
      <c r="D156" s="325">
        <f>+'Base de Datos'!I156</f>
        <v>15000000</v>
      </c>
      <c r="E156" s="326">
        <f>+'Base de Datos'!M156</f>
        <v>41612</v>
      </c>
      <c r="F156" s="326">
        <f>+'Base de Datos'!N156</f>
        <v>41658</v>
      </c>
      <c r="G156" s="326">
        <f>+'Base de Datos'!T156</f>
        <v>41658</v>
      </c>
      <c r="H156" s="325">
        <f>+'Base de Datos'!U156</f>
        <v>15000000</v>
      </c>
      <c r="I156" s="327" t="str">
        <f>IF(VLOOKUP(B156,'Base de Datos'!$E$7:$S$303,11,0),"SI","NO")</f>
        <v>NO</v>
      </c>
      <c r="J156" s="328" t="str">
        <f t="shared" si="14"/>
        <v/>
      </c>
      <c r="K156" s="327" t="str">
        <f>IF(VLOOKUP(B156,'Base de Datos'!$E$7:$S$303,11,0),"SI","NO")</f>
        <v>NO</v>
      </c>
      <c r="L156" s="328" t="str">
        <f t="shared" si="15"/>
        <v/>
      </c>
      <c r="M156" s="328">
        <f>VLOOKUP(B156,'Base de Datos'!$E$7:$Z$303,21,0)</f>
        <v>1</v>
      </c>
      <c r="N156" s="390" t="str">
        <f t="shared" ca="1" si="19"/>
        <v/>
      </c>
      <c r="O156" s="328">
        <f ca="1">VLOOKUP(B156,'Base de Datos'!$E$7:$Z$303,22,0)</f>
        <v>1</v>
      </c>
      <c r="P156" s="389">
        <f t="shared" ca="1" si="16"/>
        <v>1985</v>
      </c>
      <c r="Q156" s="402">
        <f t="shared" ca="1" si="20"/>
        <v>16.541666666666668</v>
      </c>
      <c r="R156" s="324" t="str">
        <f ca="1">VLOOKUP(B156,'Base de Datos'!E156:AR467,33,0)</f>
        <v>TERMINO</v>
      </c>
      <c r="S156" s="327" t="str">
        <f t="shared" ca="1" si="17"/>
        <v>NO</v>
      </c>
      <c r="T156" s="324" t="str">
        <f t="shared" ca="1" si="18"/>
        <v>Liquidar</v>
      </c>
      <c r="U156" s="324">
        <f>VLOOKUP(B156,'Base de Datos'!$E$7:$AR$401,38,0)</f>
        <v>42011</v>
      </c>
    </row>
    <row r="157" spans="1:21" ht="23.25" customHeight="1" thickTop="1" thickBot="1" x14ac:dyDescent="0.3">
      <c r="A157" s="108">
        <v>151</v>
      </c>
      <c r="B157" s="324" t="str">
        <f>+'Base de Datos'!E157</f>
        <v>130349-0-2013</v>
      </c>
      <c r="C157" s="324" t="str">
        <f>+'Base de Datos'!F157</f>
        <v>PUBBLICA S.A.S.</v>
      </c>
      <c r="D157" s="325">
        <f>+'Base de Datos'!I157</f>
        <v>452974000</v>
      </c>
      <c r="E157" s="326">
        <f>+'Base de Datos'!M157</f>
        <v>41621</v>
      </c>
      <c r="F157" s="326">
        <f>+'Base de Datos'!N157</f>
        <v>41985</v>
      </c>
      <c r="G157" s="326">
        <f>+'Base de Datos'!T157</f>
        <v>41985</v>
      </c>
      <c r="H157" s="325">
        <f>+'Base de Datos'!U157</f>
        <v>452974000</v>
      </c>
      <c r="I157" s="327" t="str">
        <f>IF(VLOOKUP(B157,'Base de Datos'!$E$7:$S$303,11,0),"SI","NO")</f>
        <v>NO</v>
      </c>
      <c r="J157" s="328" t="str">
        <f t="shared" si="14"/>
        <v/>
      </c>
      <c r="K157" s="327" t="str">
        <f>IF(VLOOKUP(B157,'Base de Datos'!$E$7:$S$303,11,0),"SI","NO")</f>
        <v>NO</v>
      </c>
      <c r="L157" s="328" t="str">
        <f t="shared" si="15"/>
        <v/>
      </c>
      <c r="M157" s="328">
        <f>VLOOKUP(B157,'Base de Datos'!$E$7:$Z$303,21,0)</f>
        <v>0.99999999558473551</v>
      </c>
      <c r="N157" s="390" t="str">
        <f t="shared" ca="1" si="19"/>
        <v/>
      </c>
      <c r="O157" s="328">
        <f ca="1">VLOOKUP(B157,'Base de Datos'!$E$7:$Z$303,22,0)</f>
        <v>1</v>
      </c>
      <c r="P157" s="389">
        <f t="shared" ca="1" si="16"/>
        <v>1658</v>
      </c>
      <c r="Q157" s="402">
        <f t="shared" ca="1" si="20"/>
        <v>13.816666666666666</v>
      </c>
      <c r="R157" s="324" t="str">
        <f ca="1">VLOOKUP(B157,'Base de Datos'!E157:AR468,33,0)</f>
        <v>TERMINO</v>
      </c>
      <c r="S157" s="327" t="str">
        <f t="shared" ca="1" si="17"/>
        <v>NO</v>
      </c>
      <c r="T157" s="324" t="str">
        <f t="shared" ca="1" si="18"/>
        <v>Liquidar</v>
      </c>
      <c r="U157" s="324">
        <f>VLOOKUP(B157,'Base de Datos'!$E$7:$AR$401,38,0)</f>
        <v>42256</v>
      </c>
    </row>
    <row r="158" spans="1:21" ht="23.25" customHeight="1" thickTop="1" thickBot="1" x14ac:dyDescent="0.3">
      <c r="A158" s="108">
        <v>152</v>
      </c>
      <c r="B158" s="324" t="str">
        <f>+'Base de Datos'!E158</f>
        <v>130352-0-2013</v>
      </c>
      <c r="C158" s="324" t="str">
        <f>+'Base de Datos'!F158</f>
        <v>INSTITUCIONAL STAR SERVICES LTDA</v>
      </c>
      <c r="D158" s="325">
        <f>+'Base de Datos'!I158</f>
        <v>95000000</v>
      </c>
      <c r="E158" s="326">
        <f>+'Base de Datos'!M158</f>
        <v>41647</v>
      </c>
      <c r="F158" s="326">
        <f>+'Base de Datos'!N158</f>
        <v>41889</v>
      </c>
      <c r="G158" s="326">
        <f>+'Base de Datos'!T158</f>
        <v>41980</v>
      </c>
      <c r="H158" s="325">
        <f>+'Base de Datos'!U158</f>
        <v>95000000</v>
      </c>
      <c r="I158" s="327" t="str">
        <f>IF(VLOOKUP(B158,'Base de Datos'!$E$7:$S$303,11,0),"SI","NO")</f>
        <v>NO</v>
      </c>
      <c r="J158" s="328" t="str">
        <f t="shared" si="14"/>
        <v/>
      </c>
      <c r="K158" s="327" t="str">
        <f>IF(VLOOKUP(B158,'Base de Datos'!$E$7:$S$303,11,0),"SI","NO")</f>
        <v>NO</v>
      </c>
      <c r="L158" s="328" t="str">
        <f t="shared" si="15"/>
        <v/>
      </c>
      <c r="M158" s="328">
        <f>VLOOKUP(B158,'Base de Datos'!$E$7:$Z$303,21,0)</f>
        <v>0.936670452631579</v>
      </c>
      <c r="N158" s="390" t="str">
        <f t="shared" ca="1" si="19"/>
        <v/>
      </c>
      <c r="O158" s="328">
        <f ca="1">VLOOKUP(B158,'Base de Datos'!$E$7:$Z$303,22,0)</f>
        <v>1</v>
      </c>
      <c r="P158" s="389">
        <f t="shared" ca="1" si="16"/>
        <v>1663</v>
      </c>
      <c r="Q158" s="402">
        <f t="shared" ca="1" si="20"/>
        <v>13.858333333333333</v>
      </c>
      <c r="R158" s="324" t="str">
        <f ca="1">VLOOKUP(B158,'Base de Datos'!E158:AR469,33,0)</f>
        <v>TERMINO</v>
      </c>
      <c r="S158" s="327" t="str">
        <f t="shared" ca="1" si="17"/>
        <v>NO</v>
      </c>
      <c r="T158" s="324" t="str">
        <f t="shared" ca="1" si="18"/>
        <v>Liquidar</v>
      </c>
      <c r="U158" s="324">
        <f>VLOOKUP(B158,'Base de Datos'!$E$7:$AR$401,38,0)</f>
        <v>0</v>
      </c>
    </row>
    <row r="159" spans="1:21" ht="23.25" customHeight="1" thickTop="1" thickBot="1" x14ac:dyDescent="0.3">
      <c r="A159" s="108">
        <v>153</v>
      </c>
      <c r="B159" s="324" t="str">
        <f>+'Base de Datos'!E159</f>
        <v>130355-0-2013</v>
      </c>
      <c r="C159" s="324" t="str">
        <f>+'Base de Datos'!F159</f>
        <v>CAJA COLOMBIANA SUBSIDIO FAMILIAR - COLSUBSIDIO</v>
      </c>
      <c r="D159" s="325">
        <f>+'Base de Datos'!I159</f>
        <v>63128000</v>
      </c>
      <c r="E159" s="326">
        <f>+'Base de Datos'!M159</f>
        <v>41626</v>
      </c>
      <c r="F159" s="326">
        <f>+'Base de Datos'!N159</f>
        <v>41641</v>
      </c>
      <c r="G159" s="326">
        <f>+'Base de Datos'!T159</f>
        <v>41641</v>
      </c>
      <c r="H159" s="325">
        <f>+'Base de Datos'!U159</f>
        <v>63128000</v>
      </c>
      <c r="I159" s="327" t="str">
        <f>IF(VLOOKUP(B159,'Base de Datos'!$E$7:$S$303,11,0),"SI","NO")</f>
        <v>NO</v>
      </c>
      <c r="J159" s="328" t="str">
        <f t="shared" si="14"/>
        <v/>
      </c>
      <c r="K159" s="327" t="str">
        <f>IF(VLOOKUP(B159,'Base de Datos'!$E$7:$S$303,11,0),"SI","NO")</f>
        <v>NO</v>
      </c>
      <c r="L159" s="328" t="str">
        <f t="shared" si="15"/>
        <v/>
      </c>
      <c r="M159" s="328">
        <f>VLOOKUP(B159,'Base de Datos'!$E$7:$Z$303,21,0)</f>
        <v>1</v>
      </c>
      <c r="N159" s="390" t="str">
        <f t="shared" ca="1" si="19"/>
        <v/>
      </c>
      <c r="O159" s="328">
        <f ca="1">VLOOKUP(B159,'Base de Datos'!$E$7:$Z$303,22,0)</f>
        <v>1</v>
      </c>
      <c r="P159" s="389">
        <f t="shared" ca="1" si="16"/>
        <v>2002</v>
      </c>
      <c r="Q159" s="402">
        <f t="shared" ca="1" si="20"/>
        <v>16.683333333333334</v>
      </c>
      <c r="R159" s="324" t="str">
        <f ca="1">VLOOKUP(B159,'Base de Datos'!E159:AR470,33,0)</f>
        <v>TERMINO</v>
      </c>
      <c r="S159" s="327" t="str">
        <f t="shared" ca="1" si="17"/>
        <v>NO</v>
      </c>
      <c r="T159" s="324" t="str">
        <f t="shared" ca="1" si="18"/>
        <v>Liquidar</v>
      </c>
      <c r="U159" s="324">
        <f>VLOOKUP(B159,'Base de Datos'!$E$7:$AR$401,38,0)</f>
        <v>41872</v>
      </c>
    </row>
    <row r="160" spans="1:21" ht="23.25" customHeight="1" thickTop="1" thickBot="1" x14ac:dyDescent="0.3">
      <c r="A160" s="108">
        <v>154</v>
      </c>
      <c r="B160" s="324" t="str">
        <f>+'Base de Datos'!E160</f>
        <v>130361-0-2013</v>
      </c>
      <c r="C160" s="324" t="str">
        <f>+'Base de Datos'!F160</f>
        <v>ANDREA SUSANA BELLO CANTOR</v>
      </c>
      <c r="D160" s="325">
        <f>+'Base de Datos'!I160</f>
        <v>5000000</v>
      </c>
      <c r="E160" s="326">
        <f>+'Base de Datos'!M160</f>
        <v>41628</v>
      </c>
      <c r="F160" s="326">
        <f>+'Base de Datos'!N160</f>
        <v>41658</v>
      </c>
      <c r="G160" s="326">
        <f>+'Base de Datos'!T160</f>
        <v>41658</v>
      </c>
      <c r="H160" s="325">
        <f>+'Base de Datos'!U160</f>
        <v>5000000</v>
      </c>
      <c r="I160" s="327" t="str">
        <f>IF(VLOOKUP(B160,'Base de Datos'!$E$7:$S$303,11,0),"SI","NO")</f>
        <v>NO</v>
      </c>
      <c r="J160" s="328" t="str">
        <f t="shared" si="14"/>
        <v/>
      </c>
      <c r="K160" s="327" t="str">
        <f>IF(VLOOKUP(B160,'Base de Datos'!$E$7:$S$303,11,0),"SI","NO")</f>
        <v>NO</v>
      </c>
      <c r="L160" s="328" t="str">
        <f t="shared" si="15"/>
        <v/>
      </c>
      <c r="M160" s="328">
        <f>VLOOKUP(B160,'Base de Datos'!$E$7:$Z$303,21,0)</f>
        <v>1</v>
      </c>
      <c r="N160" s="390" t="str">
        <f t="shared" ca="1" si="19"/>
        <v/>
      </c>
      <c r="O160" s="328">
        <f ca="1">VLOOKUP(B160,'Base de Datos'!$E$7:$Z$303,22,0)</f>
        <v>1</v>
      </c>
      <c r="P160" s="389">
        <f t="shared" ca="1" si="16"/>
        <v>1985</v>
      </c>
      <c r="Q160" s="402">
        <f t="shared" ca="1" si="20"/>
        <v>16.541666666666668</v>
      </c>
      <c r="R160" s="324" t="str">
        <f ca="1">VLOOKUP(B160,'Base de Datos'!E160:AR471,33,0)</f>
        <v>TERMINO</v>
      </c>
      <c r="S160" s="327" t="str">
        <f t="shared" ca="1" si="17"/>
        <v>NO</v>
      </c>
      <c r="T160" s="324" t="str">
        <f t="shared" ca="1" si="18"/>
        <v>Liquidar</v>
      </c>
      <c r="U160" s="324">
        <f>VLOOKUP(B160,'Base de Datos'!$E$7:$AR$401,38,0)</f>
        <v>0</v>
      </c>
    </row>
    <row r="161" spans="1:21" ht="23.25" customHeight="1" thickTop="1" thickBot="1" x14ac:dyDescent="0.3">
      <c r="A161" s="108">
        <v>155</v>
      </c>
      <c r="B161" s="324" t="str">
        <f>+'Base de Datos'!E161</f>
        <v>130362-0-2013</v>
      </c>
      <c r="C161" s="324" t="str">
        <f>+'Base de Datos'!F161</f>
        <v>JORGE ORLANDO RUBIANO CARRANZA</v>
      </c>
      <c r="D161" s="325">
        <f>+'Base de Datos'!I161</f>
        <v>5000000</v>
      </c>
      <c r="E161" s="326">
        <f>+'Base de Datos'!M161</f>
        <v>41628</v>
      </c>
      <c r="F161" s="326">
        <f>+'Base de Datos'!N161</f>
        <v>41658</v>
      </c>
      <c r="G161" s="326">
        <f>+'Base de Datos'!T161</f>
        <v>41658</v>
      </c>
      <c r="H161" s="325">
        <f>+'Base de Datos'!U161</f>
        <v>5000000</v>
      </c>
      <c r="I161" s="327" t="str">
        <f>IF(VLOOKUP(B161,'Base de Datos'!$E$7:$S$303,11,0),"SI","NO")</f>
        <v>NO</v>
      </c>
      <c r="J161" s="328" t="str">
        <f t="shared" si="14"/>
        <v/>
      </c>
      <c r="K161" s="327" t="str">
        <f>IF(VLOOKUP(B161,'Base de Datos'!$E$7:$S$303,11,0),"SI","NO")</f>
        <v>NO</v>
      </c>
      <c r="L161" s="328" t="str">
        <f t="shared" si="15"/>
        <v/>
      </c>
      <c r="M161" s="328">
        <f>VLOOKUP(B161,'Base de Datos'!$E$7:$Z$303,21,0)</f>
        <v>1</v>
      </c>
      <c r="N161" s="390" t="str">
        <f t="shared" ca="1" si="19"/>
        <v/>
      </c>
      <c r="O161" s="328">
        <f ca="1">VLOOKUP(B161,'Base de Datos'!$E$7:$Z$303,22,0)</f>
        <v>1</v>
      </c>
      <c r="P161" s="389">
        <f t="shared" ca="1" si="16"/>
        <v>1985</v>
      </c>
      <c r="Q161" s="402">
        <f t="shared" ca="1" si="20"/>
        <v>16.541666666666668</v>
      </c>
      <c r="R161" s="324" t="str">
        <f ca="1">VLOOKUP(B161,'Base de Datos'!E161:AR472,33,0)</f>
        <v>TERMINO</v>
      </c>
      <c r="S161" s="327" t="str">
        <f t="shared" ca="1" si="17"/>
        <v>NO</v>
      </c>
      <c r="T161" s="324" t="str">
        <f t="shared" ca="1" si="18"/>
        <v>Liquidar</v>
      </c>
      <c r="U161" s="324">
        <f>VLOOKUP(B161,'Base de Datos'!$E$7:$AR$401,38,0)</f>
        <v>42193</v>
      </c>
    </row>
    <row r="162" spans="1:21" ht="23.25" customHeight="1" thickTop="1" thickBot="1" x14ac:dyDescent="0.3">
      <c r="A162" s="108">
        <v>156</v>
      </c>
      <c r="B162" s="324" t="str">
        <f>+'Base de Datos'!E162</f>
        <v>130363-0-2013</v>
      </c>
      <c r="C162" s="324" t="str">
        <f>+'Base de Datos'!F162</f>
        <v>UNIÓN TEMPORAL AVALÚOS PATRIMONIALES H-SD</v>
      </c>
      <c r="D162" s="325">
        <f>+'Base de Datos'!I162</f>
        <v>70000000</v>
      </c>
      <c r="E162" s="326">
        <f>+'Base de Datos'!M162</f>
        <v>41647</v>
      </c>
      <c r="F162" s="326">
        <f>+'Base de Datos'!N162</f>
        <v>41705</v>
      </c>
      <c r="G162" s="326">
        <f>+'Base de Datos'!T162</f>
        <v>41797</v>
      </c>
      <c r="H162" s="325">
        <f>+'Base de Datos'!U162</f>
        <v>70000000</v>
      </c>
      <c r="I162" s="327" t="str">
        <f>IF(VLOOKUP(B162,'Base de Datos'!$E$7:$S$303,11,0),"SI","NO")</f>
        <v>NO</v>
      </c>
      <c r="J162" s="328" t="str">
        <f t="shared" si="14"/>
        <v/>
      </c>
      <c r="K162" s="327" t="str">
        <f>IF(VLOOKUP(B162,'Base de Datos'!$E$7:$S$303,11,0),"SI","NO")</f>
        <v>NO</v>
      </c>
      <c r="L162" s="328" t="str">
        <f t="shared" si="15"/>
        <v/>
      </c>
      <c r="M162" s="328">
        <f>VLOOKUP(B162,'Base de Datos'!$E$7:$Z$303,21,0)</f>
        <v>0.99512444285714285</v>
      </c>
      <c r="N162" s="390" t="str">
        <f t="shared" ca="1" si="19"/>
        <v/>
      </c>
      <c r="O162" s="328">
        <f ca="1">VLOOKUP(B162,'Base de Datos'!$E$7:$Z$303,22,0)</f>
        <v>1</v>
      </c>
      <c r="P162" s="389">
        <f t="shared" ca="1" si="16"/>
        <v>1846</v>
      </c>
      <c r="Q162" s="402">
        <f t="shared" ca="1" si="20"/>
        <v>15.383333333333333</v>
      </c>
      <c r="R162" s="324" t="str">
        <f ca="1">VLOOKUP(B162,'Base de Datos'!E162:AR473,33,0)</f>
        <v>TERMINO</v>
      </c>
      <c r="S162" s="327" t="str">
        <f t="shared" ca="1" si="17"/>
        <v>NO</v>
      </c>
      <c r="T162" s="324" t="str">
        <f t="shared" ca="1" si="18"/>
        <v>Liquidar</v>
      </c>
      <c r="U162" s="324">
        <f>VLOOKUP(B162,'Base de Datos'!$E$7:$AR$401,38,0)</f>
        <v>42009</v>
      </c>
    </row>
    <row r="163" spans="1:21" ht="23.25" customHeight="1" thickTop="1" thickBot="1" x14ac:dyDescent="0.3">
      <c r="A163" s="108">
        <v>157</v>
      </c>
      <c r="B163" s="324" t="str">
        <f>+'Base de Datos'!E163</f>
        <v>130364-0-2013</v>
      </c>
      <c r="C163" s="324" t="str">
        <f>+'Base de Datos'!F163</f>
        <v>FERNANDO SOTOMONTE AMAYA</v>
      </c>
      <c r="D163" s="325">
        <f>+'Base de Datos'!I163</f>
        <v>5000000</v>
      </c>
      <c r="E163" s="326">
        <f>+'Base de Datos'!M163</f>
        <v>41628</v>
      </c>
      <c r="F163" s="326">
        <f>+'Base de Datos'!N163</f>
        <v>41658</v>
      </c>
      <c r="G163" s="326">
        <f>+'Base de Datos'!T163</f>
        <v>41658</v>
      </c>
      <c r="H163" s="325">
        <f>+'Base de Datos'!U163</f>
        <v>5000000</v>
      </c>
      <c r="I163" s="327" t="str">
        <f>IF(VLOOKUP(B163,'Base de Datos'!$E$7:$S$303,11,0),"SI","NO")</f>
        <v>NO</v>
      </c>
      <c r="J163" s="328" t="str">
        <f t="shared" si="14"/>
        <v/>
      </c>
      <c r="K163" s="327" t="str">
        <f>IF(VLOOKUP(B163,'Base de Datos'!$E$7:$S$303,11,0),"SI","NO")</f>
        <v>NO</v>
      </c>
      <c r="L163" s="328" t="str">
        <f t="shared" si="15"/>
        <v/>
      </c>
      <c r="M163" s="328">
        <f>VLOOKUP(B163,'Base de Datos'!$E$7:$Z$303,21,0)</f>
        <v>1</v>
      </c>
      <c r="N163" s="390" t="str">
        <f t="shared" ca="1" si="19"/>
        <v/>
      </c>
      <c r="O163" s="328">
        <f ca="1">VLOOKUP(B163,'Base de Datos'!$E$7:$Z$303,22,0)</f>
        <v>1</v>
      </c>
      <c r="P163" s="389">
        <f t="shared" ca="1" si="16"/>
        <v>1985</v>
      </c>
      <c r="Q163" s="402">
        <f t="shared" ca="1" si="20"/>
        <v>16.541666666666668</v>
      </c>
      <c r="R163" s="324" t="str">
        <f ca="1">VLOOKUP(B163,'Base de Datos'!E163:AR474,33,0)</f>
        <v>TERMINO</v>
      </c>
      <c r="S163" s="327" t="str">
        <f t="shared" ca="1" si="17"/>
        <v>NO</v>
      </c>
      <c r="T163" s="324" t="str">
        <f t="shared" ca="1" si="18"/>
        <v>Liquidar</v>
      </c>
      <c r="U163" s="324">
        <f>VLOOKUP(B163,'Base de Datos'!$E$7:$AR$401,38,0)</f>
        <v>41971</v>
      </c>
    </row>
    <row r="164" spans="1:21" ht="23.25" customHeight="1" thickTop="1" thickBot="1" x14ac:dyDescent="0.3">
      <c r="A164" s="108">
        <v>158</v>
      </c>
      <c r="B164" s="324" t="str">
        <f>+'Base de Datos'!E164</f>
        <v>130365-0-2013</v>
      </c>
      <c r="C164" s="324" t="str">
        <f>+'Base de Datos'!F164</f>
        <v>JORGE ALBERTO GALVIS  ESTUPIÑAN</v>
      </c>
      <c r="D164" s="325">
        <f>+'Base de Datos'!I164</f>
        <v>5000000</v>
      </c>
      <c r="E164" s="326">
        <f>+'Base de Datos'!M164</f>
        <v>41628</v>
      </c>
      <c r="F164" s="326">
        <f>+'Base de Datos'!N164</f>
        <v>41658</v>
      </c>
      <c r="G164" s="326">
        <f>+'Base de Datos'!T164</f>
        <v>41658</v>
      </c>
      <c r="H164" s="325">
        <f>+'Base de Datos'!U164</f>
        <v>5000000</v>
      </c>
      <c r="I164" s="327" t="str">
        <f>IF(VLOOKUP(B164,'Base de Datos'!$E$7:$S$303,11,0),"SI","NO")</f>
        <v>NO</v>
      </c>
      <c r="J164" s="328" t="str">
        <f t="shared" si="14"/>
        <v/>
      </c>
      <c r="K164" s="327" t="str">
        <f>IF(VLOOKUP(B164,'Base de Datos'!$E$7:$S$303,11,0),"SI","NO")</f>
        <v>NO</v>
      </c>
      <c r="L164" s="328" t="str">
        <f t="shared" si="15"/>
        <v/>
      </c>
      <c r="M164" s="328">
        <f>VLOOKUP(B164,'Base de Datos'!$E$7:$Z$303,21,0)</f>
        <v>1</v>
      </c>
      <c r="N164" s="390" t="str">
        <f t="shared" ca="1" si="19"/>
        <v/>
      </c>
      <c r="O164" s="328">
        <f ca="1">VLOOKUP(B164,'Base de Datos'!$E$7:$Z$303,22,0)</f>
        <v>1</v>
      </c>
      <c r="P164" s="389">
        <f t="shared" ca="1" si="16"/>
        <v>1985</v>
      </c>
      <c r="Q164" s="402">
        <f t="shared" ca="1" si="20"/>
        <v>16.541666666666668</v>
      </c>
      <c r="R164" s="324" t="str">
        <f ca="1">VLOOKUP(B164,'Base de Datos'!E164:AR475,33,0)</f>
        <v>TERMINO</v>
      </c>
      <c r="S164" s="327" t="str">
        <f t="shared" ca="1" si="17"/>
        <v>NO</v>
      </c>
      <c r="T164" s="324" t="str">
        <f t="shared" ca="1" si="18"/>
        <v>Liquidar</v>
      </c>
      <c r="U164" s="324">
        <f>VLOOKUP(B164,'Base de Datos'!$E$7:$AR$401,38,0)</f>
        <v>41919</v>
      </c>
    </row>
    <row r="165" spans="1:21" ht="23.25" customHeight="1" thickTop="1" thickBot="1" x14ac:dyDescent="0.3">
      <c r="A165" s="108">
        <v>159</v>
      </c>
      <c r="B165" s="324" t="str">
        <f>+'Base de Datos'!E165</f>
        <v>130368-0-2013</v>
      </c>
      <c r="C165" s="324" t="str">
        <f>+'Base de Datos'!F165</f>
        <v>NEX COMPUTER S.A.  - NEXCOM</v>
      </c>
      <c r="D165" s="325">
        <f>+'Base de Datos'!I165</f>
        <v>3017160</v>
      </c>
      <c r="E165" s="326">
        <f>+'Base de Datos'!M165</f>
        <v>41662</v>
      </c>
      <c r="F165" s="326">
        <f>+'Base de Datos'!N165</f>
        <v>41751</v>
      </c>
      <c r="G165" s="326">
        <f>+'Base de Datos'!T165</f>
        <v>41751</v>
      </c>
      <c r="H165" s="325">
        <f>+'Base de Datos'!U165</f>
        <v>3017160</v>
      </c>
      <c r="I165" s="327" t="str">
        <f>IF(VLOOKUP(B165,'Base de Datos'!$E$7:$S$303,11,0),"SI","NO")</f>
        <v>NO</v>
      </c>
      <c r="J165" s="328" t="str">
        <f t="shared" si="14"/>
        <v/>
      </c>
      <c r="K165" s="327" t="str">
        <f>IF(VLOOKUP(B165,'Base de Datos'!$E$7:$S$303,11,0),"SI","NO")</f>
        <v>NO</v>
      </c>
      <c r="L165" s="328" t="str">
        <f t="shared" si="15"/>
        <v/>
      </c>
      <c r="M165" s="328">
        <f>VLOOKUP(B165,'Base de Datos'!$E$7:$Z$303,21,0)</f>
        <v>1</v>
      </c>
      <c r="N165" s="390" t="str">
        <f t="shared" ca="1" si="19"/>
        <v/>
      </c>
      <c r="O165" s="328">
        <f ca="1">VLOOKUP(B165,'Base de Datos'!$E$7:$Z$303,22,0)</f>
        <v>1</v>
      </c>
      <c r="P165" s="389">
        <f t="shared" ca="1" si="16"/>
        <v>1892</v>
      </c>
      <c r="Q165" s="402">
        <f t="shared" ca="1" si="20"/>
        <v>15.766666666666667</v>
      </c>
      <c r="R165" s="324" t="str">
        <f ca="1">VLOOKUP(B165,'Base de Datos'!E165:AR476,33,0)</f>
        <v>TERMINO</v>
      </c>
      <c r="S165" s="327" t="str">
        <f t="shared" ca="1" si="17"/>
        <v>NO</v>
      </c>
      <c r="T165" s="324" t="str">
        <f t="shared" ca="1" si="18"/>
        <v>Liquidar</v>
      </c>
      <c r="U165" s="324">
        <f>VLOOKUP(B165,'Base de Datos'!$E$7:$AR$401,38,0)</f>
        <v>41760</v>
      </c>
    </row>
    <row r="166" spans="1:21" ht="23.25" customHeight="1" thickTop="1" thickBot="1" x14ac:dyDescent="0.3">
      <c r="A166" s="108">
        <v>160</v>
      </c>
      <c r="B166" s="324" t="str">
        <f>+'Base de Datos'!E166</f>
        <v>130370-0-2013</v>
      </c>
      <c r="C166" s="324" t="str">
        <f>+'Base de Datos'!F166</f>
        <v>UNIPLES S.A.</v>
      </c>
      <c r="D166" s="325">
        <f>+'Base de Datos'!I166</f>
        <v>60000000</v>
      </c>
      <c r="E166" s="326">
        <f>+'Base de Datos'!M166</f>
        <v>41655</v>
      </c>
      <c r="F166" s="326">
        <f>+'Base de Datos'!N166</f>
        <v>42019</v>
      </c>
      <c r="G166" s="326">
        <f>+'Base de Datos'!T166</f>
        <v>42019</v>
      </c>
      <c r="H166" s="325">
        <f>+'Base de Datos'!U166</f>
        <v>90000000</v>
      </c>
      <c r="I166" s="327" t="str">
        <f>IF(VLOOKUP(B166,'Base de Datos'!$E$7:$S$303,11,0),"SI","NO")</f>
        <v>SI</v>
      </c>
      <c r="J166" s="328">
        <f t="shared" si="14"/>
        <v>0</v>
      </c>
      <c r="K166" s="327" t="str">
        <f>IF(VLOOKUP(B166,'Base de Datos'!$E$7:$S$303,11,0),"SI","NO")</f>
        <v>SI</v>
      </c>
      <c r="L166" s="328">
        <f t="shared" si="15"/>
        <v>0.5</v>
      </c>
      <c r="M166" s="328">
        <f>VLOOKUP(B166,'Base de Datos'!$E$7:$Z$303,21,0)</f>
        <v>0.47305419111111113</v>
      </c>
      <c r="N166" s="390" t="str">
        <f t="shared" ca="1" si="19"/>
        <v/>
      </c>
      <c r="O166" s="328">
        <f ca="1">VLOOKUP(B166,'Base de Datos'!$E$7:$Z$303,22,0)</f>
        <v>1</v>
      </c>
      <c r="P166" s="389">
        <f t="shared" ca="1" si="16"/>
        <v>1624</v>
      </c>
      <c r="Q166" s="402">
        <f t="shared" ca="1" si="20"/>
        <v>13.533333333333333</v>
      </c>
      <c r="R166" s="324" t="str">
        <f ca="1">VLOOKUP(B166,'Base de Datos'!E166:AR477,33,0)</f>
        <v>TERMINO</v>
      </c>
      <c r="S166" s="327" t="str">
        <f t="shared" ca="1" si="17"/>
        <v>NO</v>
      </c>
      <c r="T166" s="324" t="str">
        <f t="shared" ca="1" si="18"/>
        <v>Liquidar</v>
      </c>
      <c r="U166" s="324">
        <f>VLOOKUP(B166,'Base de Datos'!$E$7:$AR$401,38,0)</f>
        <v>0</v>
      </c>
    </row>
    <row r="167" spans="1:21" ht="23.25" customHeight="1" thickTop="1" thickBot="1" x14ac:dyDescent="0.3">
      <c r="A167" s="108">
        <v>161</v>
      </c>
      <c r="B167" s="324" t="str">
        <f>+'Base de Datos'!E167</f>
        <v>130372-0-2013</v>
      </c>
      <c r="C167" s="324" t="str">
        <f>+'Base de Datos'!F167</f>
        <v>VICTOR MANUEL ARMELLA VELÁSQUEZ</v>
      </c>
      <c r="D167" s="325">
        <f>+'Base de Datos'!I167</f>
        <v>5000000</v>
      </c>
      <c r="E167" s="326">
        <f>+'Base de Datos'!M167</f>
        <v>41634</v>
      </c>
      <c r="F167" s="326">
        <f>+'Base de Datos'!N167</f>
        <v>41664</v>
      </c>
      <c r="G167" s="326">
        <f>+'Base de Datos'!T167</f>
        <v>41664</v>
      </c>
      <c r="H167" s="325">
        <f>+'Base de Datos'!U167</f>
        <v>5000000</v>
      </c>
      <c r="I167" s="327" t="str">
        <f>IF(VLOOKUP(B167,'Base de Datos'!$E$7:$S$303,11,0),"SI","NO")</f>
        <v>NO</v>
      </c>
      <c r="J167" s="328" t="str">
        <f t="shared" si="14"/>
        <v/>
      </c>
      <c r="K167" s="327" t="str">
        <f>IF(VLOOKUP(B167,'Base de Datos'!$E$7:$S$303,11,0),"SI","NO")</f>
        <v>NO</v>
      </c>
      <c r="L167" s="328" t="str">
        <f t="shared" si="15"/>
        <v/>
      </c>
      <c r="M167" s="328">
        <f>VLOOKUP(B167,'Base de Datos'!$E$7:$Z$303,21,0)</f>
        <v>1</v>
      </c>
      <c r="N167" s="390" t="str">
        <f t="shared" ca="1" si="19"/>
        <v/>
      </c>
      <c r="O167" s="328">
        <f ca="1">VLOOKUP(B167,'Base de Datos'!$E$7:$Z$303,22,0)</f>
        <v>1</v>
      </c>
      <c r="P167" s="389">
        <f t="shared" ca="1" si="16"/>
        <v>1979</v>
      </c>
      <c r="Q167" s="402">
        <f t="shared" ca="1" si="20"/>
        <v>16.491666666666667</v>
      </c>
      <c r="R167" s="324" t="str">
        <f ca="1">VLOOKUP(B167,'Base de Datos'!E167:AR478,33,0)</f>
        <v>TERMINO</v>
      </c>
      <c r="S167" s="327" t="str">
        <f t="shared" ca="1" si="17"/>
        <v>NO</v>
      </c>
      <c r="T167" s="324" t="str">
        <f t="shared" ca="1" si="18"/>
        <v>Liquidar</v>
      </c>
      <c r="U167" s="324">
        <f>VLOOKUP(B167,'Base de Datos'!$E$7:$AR$401,38,0)</f>
        <v>41919</v>
      </c>
    </row>
    <row r="168" spans="1:21" ht="23.25" customHeight="1" thickTop="1" thickBot="1" x14ac:dyDescent="0.3">
      <c r="A168" s="108">
        <v>162</v>
      </c>
      <c r="B168" s="324" t="str">
        <f>+'Base de Datos'!E168</f>
        <v>130373-0-2013</v>
      </c>
      <c r="C168" s="324" t="str">
        <f>+'Base de Datos'!F168</f>
        <v>COLOMBIANA DE SOFTWARE Y HARDWARE COLSOF S.A.</v>
      </c>
      <c r="D168" s="325">
        <f>+'Base de Datos'!I168</f>
        <v>3743343</v>
      </c>
      <c r="E168" s="326">
        <f>+'Base de Datos'!M168</f>
        <v>41662</v>
      </c>
      <c r="F168" s="326">
        <f>+'Base de Datos'!N168</f>
        <v>41754</v>
      </c>
      <c r="G168" s="326">
        <f>+'Base de Datos'!T168</f>
        <v>41754</v>
      </c>
      <c r="H168" s="325">
        <f>+'Base de Datos'!U168</f>
        <v>3743343</v>
      </c>
      <c r="I168" s="327" t="str">
        <f>IF(VLOOKUP(B168,'Base de Datos'!$E$7:$S$303,11,0),"SI","NO")</f>
        <v>NO</v>
      </c>
      <c r="J168" s="328" t="str">
        <f t="shared" si="14"/>
        <v/>
      </c>
      <c r="K168" s="327" t="str">
        <f>IF(VLOOKUP(B168,'Base de Datos'!$E$7:$S$303,11,0),"SI","NO")</f>
        <v>NO</v>
      </c>
      <c r="L168" s="328" t="str">
        <f t="shared" si="15"/>
        <v/>
      </c>
      <c r="M168" s="328">
        <f>VLOOKUP(B168,'Base de Datos'!$E$7:$Z$303,21,0)</f>
        <v>1</v>
      </c>
      <c r="N168" s="390" t="str">
        <f t="shared" ca="1" si="19"/>
        <v/>
      </c>
      <c r="O168" s="328">
        <f ca="1">VLOOKUP(B168,'Base de Datos'!$E$7:$Z$303,22,0)</f>
        <v>1</v>
      </c>
      <c r="P168" s="389">
        <f t="shared" ca="1" si="16"/>
        <v>1889</v>
      </c>
      <c r="Q168" s="402">
        <f t="shared" ca="1" si="20"/>
        <v>15.741666666666667</v>
      </c>
      <c r="R168" s="324" t="str">
        <f ca="1">VLOOKUP(B168,'Base de Datos'!E168:AR479,33,0)</f>
        <v>TERMINO</v>
      </c>
      <c r="S168" s="327" t="str">
        <f t="shared" ca="1" si="17"/>
        <v>NO</v>
      </c>
      <c r="T168" s="324" t="str">
        <f t="shared" ca="1" si="18"/>
        <v>Liquidar</v>
      </c>
      <c r="U168" s="324">
        <f>VLOOKUP(B168,'Base de Datos'!$E$7:$AR$401,38,0)</f>
        <v>0</v>
      </c>
    </row>
    <row r="169" spans="1:21" ht="23.25" customHeight="1" thickTop="1" thickBot="1" x14ac:dyDescent="0.3">
      <c r="A169" s="108">
        <v>163</v>
      </c>
      <c r="B169" s="324" t="str">
        <f>+'Base de Datos'!E169</f>
        <v>130375-0-2013</v>
      </c>
      <c r="C169" s="324" t="str">
        <f>+'Base de Datos'!F169</f>
        <v>DIANA PATRICIA JAIME - SERVIMATEC DNO</v>
      </c>
      <c r="D169" s="325">
        <f>+'Base de Datos'!I169</f>
        <v>1620000</v>
      </c>
      <c r="E169" s="326">
        <f>+'Base de Datos'!M169</f>
        <v>41662</v>
      </c>
      <c r="F169" s="326">
        <f>+'Base de Datos'!N169</f>
        <v>42026</v>
      </c>
      <c r="G169" s="326">
        <f>+'Base de Datos'!T169</f>
        <v>42026</v>
      </c>
      <c r="H169" s="325">
        <f>+'Base de Datos'!U169</f>
        <v>1620000</v>
      </c>
      <c r="I169" s="327" t="str">
        <f>IF(VLOOKUP(B169,'Base de Datos'!$E$7:$S$303,11,0),"SI","NO")</f>
        <v>NO</v>
      </c>
      <c r="J169" s="328" t="str">
        <f t="shared" si="14"/>
        <v/>
      </c>
      <c r="K169" s="327" t="str">
        <f>IF(VLOOKUP(B169,'Base de Datos'!$E$7:$S$303,11,0),"SI","NO")</f>
        <v>NO</v>
      </c>
      <c r="L169" s="328" t="str">
        <f t="shared" si="15"/>
        <v/>
      </c>
      <c r="M169" s="328">
        <f>VLOOKUP(B169,'Base de Datos'!$E$7:$Z$303,21,0)</f>
        <v>0.21851851851851853</v>
      </c>
      <c r="N169" s="390" t="str">
        <f t="shared" ca="1" si="19"/>
        <v/>
      </c>
      <c r="O169" s="328">
        <f ca="1">VLOOKUP(B169,'Base de Datos'!$E$7:$Z$303,22,0)</f>
        <v>1</v>
      </c>
      <c r="P169" s="389">
        <f t="shared" ca="1" si="16"/>
        <v>1617</v>
      </c>
      <c r="Q169" s="402">
        <f t="shared" ca="1" si="20"/>
        <v>13.475</v>
      </c>
      <c r="R169" s="324" t="str">
        <f ca="1">VLOOKUP(B169,'Base de Datos'!E169:AR480,33,0)</f>
        <v>TERMINO</v>
      </c>
      <c r="S169" s="327" t="str">
        <f t="shared" ca="1" si="17"/>
        <v>NO</v>
      </c>
      <c r="T169" s="324" t="str">
        <f t="shared" ca="1" si="18"/>
        <v>Liquidar</v>
      </c>
      <c r="U169" s="324">
        <f>VLOOKUP(B169,'Base de Datos'!$E$7:$AR$401,38,0)</f>
        <v>41926</v>
      </c>
    </row>
    <row r="170" spans="1:21" ht="23.25" customHeight="1" thickTop="1" thickBot="1" x14ac:dyDescent="0.3">
      <c r="A170" s="108">
        <v>164</v>
      </c>
      <c r="B170" s="324" t="str">
        <f>+'Base de Datos'!E170</f>
        <v>130378-0-2013</v>
      </c>
      <c r="C170" s="324" t="str">
        <f>+'Base de Datos'!F170</f>
        <v>INGEAL S.A.</v>
      </c>
      <c r="D170" s="325">
        <f>+'Base de Datos'!I170</f>
        <v>32048480</v>
      </c>
      <c r="E170" s="326">
        <f>+'Base de Datos'!M170</f>
        <v>41655</v>
      </c>
      <c r="F170" s="326">
        <f>+'Base de Datos'!N170</f>
        <v>41713</v>
      </c>
      <c r="G170" s="326">
        <f>+'Base de Datos'!T170</f>
        <v>41713</v>
      </c>
      <c r="H170" s="325">
        <f>+'Base de Datos'!U170</f>
        <v>32048480</v>
      </c>
      <c r="I170" s="327" t="str">
        <f>IF(VLOOKUP(B170,'Base de Datos'!$E$7:$S$303,11,0),"SI","NO")</f>
        <v>NO</v>
      </c>
      <c r="J170" s="328" t="str">
        <f t="shared" si="14"/>
        <v/>
      </c>
      <c r="K170" s="327" t="str">
        <f>IF(VLOOKUP(B170,'Base de Datos'!$E$7:$S$303,11,0),"SI","NO")</f>
        <v>NO</v>
      </c>
      <c r="L170" s="328" t="str">
        <f t="shared" si="15"/>
        <v/>
      </c>
      <c r="M170" s="328">
        <f>VLOOKUP(B170,'Base de Datos'!$E$7:$Z$303,21,0)</f>
        <v>1</v>
      </c>
      <c r="N170" s="390" t="str">
        <f t="shared" ca="1" si="19"/>
        <v/>
      </c>
      <c r="O170" s="328">
        <f ca="1">VLOOKUP(B170,'Base de Datos'!$E$7:$Z$303,22,0)</f>
        <v>1</v>
      </c>
      <c r="P170" s="389">
        <f t="shared" ca="1" si="16"/>
        <v>1930</v>
      </c>
      <c r="Q170" s="402">
        <f t="shared" ca="1" si="20"/>
        <v>16.083333333333332</v>
      </c>
      <c r="R170" s="324" t="str">
        <f ca="1">VLOOKUP(B170,'Base de Datos'!E170:AR481,33,0)</f>
        <v>TERMINO</v>
      </c>
      <c r="S170" s="327" t="str">
        <f t="shared" ca="1" si="17"/>
        <v>NO</v>
      </c>
      <c r="T170" s="324" t="str">
        <f t="shared" ca="1" si="18"/>
        <v>Liquidar</v>
      </c>
      <c r="U170" s="324">
        <f>VLOOKUP(B170,'Base de Datos'!$E$7:$AR$401,38,0)</f>
        <v>0</v>
      </c>
    </row>
    <row r="171" spans="1:21" ht="23.25" customHeight="1" thickTop="1" thickBot="1" x14ac:dyDescent="0.3">
      <c r="A171" s="108">
        <v>165</v>
      </c>
      <c r="B171" s="324" t="str">
        <f>+'Base de Datos'!E171</f>
        <v>130380-0-2013</v>
      </c>
      <c r="C171" s="324" t="str">
        <f>+'Base de Datos'!F171</f>
        <v>COMUNICACIONES E INFORMÁTICA  S.A..S</v>
      </c>
      <c r="D171" s="325">
        <f>+'Base de Datos'!I171</f>
        <v>3480000</v>
      </c>
      <c r="E171" s="326">
        <f>+'Base de Datos'!M171</f>
        <v>41662</v>
      </c>
      <c r="F171" s="326">
        <f>+'Base de Datos'!N171</f>
        <v>41720</v>
      </c>
      <c r="G171" s="326">
        <f>+'Base de Datos'!T171</f>
        <v>41720</v>
      </c>
      <c r="H171" s="325">
        <f>+'Base de Datos'!U171</f>
        <v>3480000</v>
      </c>
      <c r="I171" s="327" t="str">
        <f>IF(VLOOKUP(B171,'Base de Datos'!$E$7:$S$303,11,0),"SI","NO")</f>
        <v>NO</v>
      </c>
      <c r="J171" s="328" t="str">
        <f t="shared" si="14"/>
        <v/>
      </c>
      <c r="K171" s="327" t="str">
        <f>IF(VLOOKUP(B171,'Base de Datos'!$E$7:$S$303,11,0),"SI","NO")</f>
        <v>NO</v>
      </c>
      <c r="L171" s="328" t="str">
        <f t="shared" si="15"/>
        <v/>
      </c>
      <c r="M171" s="328">
        <f>VLOOKUP(B171,'Base de Datos'!$E$7:$Z$303,21,0)</f>
        <v>1</v>
      </c>
      <c r="N171" s="390" t="str">
        <f t="shared" ca="1" si="19"/>
        <v/>
      </c>
      <c r="O171" s="328">
        <f ca="1">VLOOKUP(B171,'Base de Datos'!$E$7:$Z$303,22,0)</f>
        <v>1</v>
      </c>
      <c r="P171" s="389">
        <f t="shared" ca="1" si="16"/>
        <v>1923</v>
      </c>
      <c r="Q171" s="402">
        <f t="shared" ca="1" si="20"/>
        <v>16.024999999999999</v>
      </c>
      <c r="R171" s="324" t="str">
        <f ca="1">VLOOKUP(B171,'Base de Datos'!E171:AR482,33,0)</f>
        <v>TERMINO</v>
      </c>
      <c r="S171" s="327" t="str">
        <f t="shared" ca="1" si="17"/>
        <v>NO</v>
      </c>
      <c r="T171" s="324" t="str">
        <f t="shared" ca="1" si="18"/>
        <v>Liquidar</v>
      </c>
      <c r="U171" s="324">
        <f>VLOOKUP(B171,'Base de Datos'!$E$7:$AR$401,38,0)</f>
        <v>0</v>
      </c>
    </row>
    <row r="172" spans="1:21" ht="23.25" customHeight="1" thickTop="1" thickBot="1" x14ac:dyDescent="0.3">
      <c r="A172" s="108">
        <v>166</v>
      </c>
      <c r="B172" s="324" t="str">
        <f>+'Base de Datos'!E172</f>
        <v>130384-0-2013</v>
      </c>
      <c r="C172" s="324" t="str">
        <f>+'Base de Datos'!F172</f>
        <v>INGEAL S.A.</v>
      </c>
      <c r="D172" s="325">
        <f>+'Base de Datos'!I172</f>
        <v>126308000</v>
      </c>
      <c r="E172" s="326">
        <f>+'Base de Datos'!M172</f>
        <v>41662</v>
      </c>
      <c r="F172" s="326">
        <f>+'Base de Datos'!N172</f>
        <v>41736</v>
      </c>
      <c r="G172" s="326">
        <f>+'Base de Datos'!T172</f>
        <v>41736</v>
      </c>
      <c r="H172" s="325">
        <f>+'Base de Datos'!U172</f>
        <v>126308000</v>
      </c>
      <c r="I172" s="327" t="str">
        <f>IF(VLOOKUP(B172,'Base de Datos'!$E$7:$S$303,11,0),"SI","NO")</f>
        <v>NO</v>
      </c>
      <c r="J172" s="328" t="str">
        <f t="shared" si="14"/>
        <v/>
      </c>
      <c r="K172" s="327" t="str">
        <f>IF(VLOOKUP(B172,'Base de Datos'!$E$7:$S$303,11,0),"SI","NO")</f>
        <v>NO</v>
      </c>
      <c r="L172" s="328" t="str">
        <f t="shared" si="15"/>
        <v/>
      </c>
      <c r="M172" s="328">
        <f>VLOOKUP(B172,'Base de Datos'!$E$7:$Z$303,21,0)</f>
        <v>1</v>
      </c>
      <c r="N172" s="390" t="str">
        <f t="shared" ca="1" si="19"/>
        <v/>
      </c>
      <c r="O172" s="328">
        <f ca="1">VLOOKUP(B172,'Base de Datos'!$E$7:$Z$303,22,0)</f>
        <v>1</v>
      </c>
      <c r="P172" s="389">
        <f t="shared" ca="1" si="16"/>
        <v>1907</v>
      </c>
      <c r="Q172" s="402">
        <f t="shared" ca="1" si="20"/>
        <v>15.891666666666667</v>
      </c>
      <c r="R172" s="324" t="str">
        <f ca="1">VLOOKUP(B172,'Base de Datos'!E172:AR483,33,0)</f>
        <v>TERMINO</v>
      </c>
      <c r="S172" s="327" t="str">
        <f t="shared" ca="1" si="17"/>
        <v>NO</v>
      </c>
      <c r="T172" s="324" t="str">
        <f t="shared" ca="1" si="18"/>
        <v>Liquidar</v>
      </c>
      <c r="U172" s="324">
        <f>VLOOKUP(B172,'Base de Datos'!$E$7:$AR$401,38,0)</f>
        <v>42009</v>
      </c>
    </row>
    <row r="173" spans="1:21" ht="23.25" customHeight="1" thickTop="1" thickBot="1" x14ac:dyDescent="0.3">
      <c r="A173" s="108">
        <v>167</v>
      </c>
      <c r="B173" s="324" t="str">
        <f>+'Base de Datos'!E173</f>
        <v>130385-0-2013</v>
      </c>
      <c r="C173" s="324" t="str">
        <f>+'Base de Datos'!F173</f>
        <v>NORMA CONSTANZA MEZA GÓMEZ</v>
      </c>
      <c r="D173" s="325">
        <f>+'Base de Datos'!I173</f>
        <v>3500000</v>
      </c>
      <c r="E173" s="326">
        <f>+'Base de Datos'!M173</f>
        <v>41638</v>
      </c>
      <c r="F173" s="326">
        <f>+'Base de Datos'!N173</f>
        <v>41668</v>
      </c>
      <c r="G173" s="326">
        <f>+'Base de Datos'!T173</f>
        <v>41668</v>
      </c>
      <c r="H173" s="325">
        <f>+'Base de Datos'!U173</f>
        <v>3500000</v>
      </c>
      <c r="I173" s="327" t="str">
        <f>IF(VLOOKUP(B173,'Base de Datos'!$E$7:$S$303,11,0),"SI","NO")</f>
        <v>NO</v>
      </c>
      <c r="J173" s="328" t="str">
        <f t="shared" si="14"/>
        <v/>
      </c>
      <c r="K173" s="327" t="str">
        <f>IF(VLOOKUP(B173,'Base de Datos'!$E$7:$S$303,11,0),"SI","NO")</f>
        <v>NO</v>
      </c>
      <c r="L173" s="328" t="str">
        <f t="shared" si="15"/>
        <v/>
      </c>
      <c r="M173" s="328">
        <f>VLOOKUP(B173,'Base de Datos'!$E$7:$Z$303,21,0)</f>
        <v>1</v>
      </c>
      <c r="N173" s="390" t="str">
        <f t="shared" ca="1" si="19"/>
        <v/>
      </c>
      <c r="O173" s="328">
        <f ca="1">VLOOKUP(B173,'Base de Datos'!$E$7:$Z$303,22,0)</f>
        <v>1</v>
      </c>
      <c r="P173" s="389">
        <f t="shared" ca="1" si="16"/>
        <v>1975</v>
      </c>
      <c r="Q173" s="402">
        <f t="shared" ca="1" si="20"/>
        <v>16.458333333333332</v>
      </c>
      <c r="R173" s="324" t="str">
        <f ca="1">VLOOKUP(B173,'Base de Datos'!E173:AR484,33,0)</f>
        <v>TERMINO</v>
      </c>
      <c r="S173" s="327" t="str">
        <f t="shared" ca="1" si="17"/>
        <v>NO</v>
      </c>
      <c r="T173" s="324" t="str">
        <f t="shared" ca="1" si="18"/>
        <v>Liquidar</v>
      </c>
      <c r="U173" s="324">
        <f>VLOOKUP(B173,'Base de Datos'!$E$7:$AR$401,38,0)</f>
        <v>41919</v>
      </c>
    </row>
    <row r="174" spans="1:21" ht="23.25" customHeight="1" thickTop="1" thickBot="1" x14ac:dyDescent="0.3">
      <c r="A174" s="108">
        <v>168</v>
      </c>
      <c r="B174" s="324" t="str">
        <f>+'Base de Datos'!E174</f>
        <v>130386-0-2013</v>
      </c>
      <c r="C174" s="324" t="str">
        <f>+'Base de Datos'!F174</f>
        <v>CONTROLES EMPRESARIALES LTDA</v>
      </c>
      <c r="D174" s="325">
        <f>+'Base de Datos'!I174</f>
        <v>803432165</v>
      </c>
      <c r="E174" s="326">
        <f>+'Base de Datos'!M174</f>
        <v>41670</v>
      </c>
      <c r="F174" s="326">
        <f>+'Base de Datos'!N174</f>
        <v>41759</v>
      </c>
      <c r="G174" s="326">
        <f>+'Base de Datos'!T174</f>
        <v>41789</v>
      </c>
      <c r="H174" s="325">
        <f>+'Base de Datos'!U174</f>
        <v>803432165</v>
      </c>
      <c r="I174" s="327" t="str">
        <f>IF(VLOOKUP(B174,'Base de Datos'!$E$7:$S$303,11,0),"SI","NO")</f>
        <v>NO</v>
      </c>
      <c r="J174" s="328" t="str">
        <f t="shared" si="14"/>
        <v/>
      </c>
      <c r="K174" s="327" t="str">
        <f>IF(VLOOKUP(B174,'Base de Datos'!$E$7:$S$303,11,0),"SI","NO")</f>
        <v>NO</v>
      </c>
      <c r="L174" s="328" t="str">
        <f t="shared" si="15"/>
        <v/>
      </c>
      <c r="M174" s="328">
        <f>VLOOKUP(B174,'Base de Datos'!$E$7:$Z$303,21,0)</f>
        <v>0.92243747174349189</v>
      </c>
      <c r="N174" s="390" t="str">
        <f t="shared" ca="1" si="19"/>
        <v/>
      </c>
      <c r="O174" s="328">
        <f ca="1">VLOOKUP(B174,'Base de Datos'!$E$7:$Z$303,22,0)</f>
        <v>1</v>
      </c>
      <c r="P174" s="389">
        <f t="shared" ca="1" si="16"/>
        <v>1854</v>
      </c>
      <c r="Q174" s="402">
        <f t="shared" ca="1" si="20"/>
        <v>15.45</v>
      </c>
      <c r="R174" s="324" t="str">
        <f ca="1">VLOOKUP(B174,'Base de Datos'!E174:AR485,33,0)</f>
        <v>TERMINO</v>
      </c>
      <c r="S174" s="327" t="str">
        <f t="shared" ca="1" si="17"/>
        <v>NO</v>
      </c>
      <c r="T174" s="324" t="str">
        <f t="shared" ca="1" si="18"/>
        <v>Liquidar</v>
      </c>
      <c r="U174" s="324">
        <f>VLOOKUP(B174,'Base de Datos'!$E$7:$AR$401,38,0)</f>
        <v>42192</v>
      </c>
    </row>
    <row r="175" spans="1:21" ht="23.25" customHeight="1" thickTop="1" thickBot="1" x14ac:dyDescent="0.3">
      <c r="A175" s="108">
        <v>169</v>
      </c>
      <c r="B175" s="324" t="str">
        <f>+'Base de Datos'!E175</f>
        <v>140174-0-2014</v>
      </c>
      <c r="C175" s="324" t="str">
        <f>+'Base de Datos'!F175</f>
        <v>MOTORES Y MAQUINAS MOTORYSA</v>
      </c>
      <c r="D175" s="325">
        <f>+'Base de Datos'!I175</f>
        <v>30000000</v>
      </c>
      <c r="E175" s="326">
        <f>+'Base de Datos'!M175</f>
        <v>41703</v>
      </c>
      <c r="F175" s="326">
        <f>+'Base de Datos'!N175</f>
        <v>42067</v>
      </c>
      <c r="G175" s="326">
        <f>+'Base de Datos'!T175</f>
        <v>42129</v>
      </c>
      <c r="H175" s="325">
        <f>+'Base de Datos'!U175</f>
        <v>30000000</v>
      </c>
      <c r="I175" s="327" t="str">
        <f>IF(VLOOKUP(B175,'Base de Datos'!$E$7:$S$303,11,0),"SI","NO")</f>
        <v>NO</v>
      </c>
      <c r="J175" s="328" t="str">
        <f t="shared" si="14"/>
        <v/>
      </c>
      <c r="K175" s="327" t="str">
        <f>IF(VLOOKUP(B175,'Base de Datos'!$E$7:$S$303,11,0),"SI","NO")</f>
        <v>NO</v>
      </c>
      <c r="L175" s="328" t="str">
        <f t="shared" si="15"/>
        <v/>
      </c>
      <c r="M175" s="328">
        <f>VLOOKUP(B175,'Base de Datos'!$E$7:$Z$303,21,0)</f>
        <v>0.94433699999999998</v>
      </c>
      <c r="N175" s="390" t="str">
        <f t="shared" ca="1" si="19"/>
        <v/>
      </c>
      <c r="O175" s="328">
        <f ca="1">VLOOKUP(B175,'Base de Datos'!$E$7:$Z$303,22,0)</f>
        <v>1</v>
      </c>
      <c r="P175" s="389">
        <f t="shared" ca="1" si="16"/>
        <v>1514</v>
      </c>
      <c r="Q175" s="402">
        <f t="shared" ca="1" si="20"/>
        <v>12.616666666666667</v>
      </c>
      <c r="R175" s="324" t="str">
        <f ca="1">VLOOKUP(B175,'Base de Datos'!E175:AR486,33,0)</f>
        <v>TERMINO</v>
      </c>
      <c r="S175" s="327" t="str">
        <f t="shared" ca="1" si="17"/>
        <v>NO</v>
      </c>
      <c r="T175" s="324" t="str">
        <f t="shared" ca="1" si="18"/>
        <v>Liquidar</v>
      </c>
      <c r="U175" s="324">
        <f>VLOOKUP(B175,'Base de Datos'!$E$7:$AR$401,38,0)</f>
        <v>0</v>
      </c>
    </row>
    <row r="176" spans="1:21" ht="23.25" customHeight="1" thickTop="1" thickBot="1" x14ac:dyDescent="0.3">
      <c r="A176" s="108">
        <v>170</v>
      </c>
      <c r="B176" s="324" t="str">
        <f>+'Base de Datos'!E176</f>
        <v>140034-0-2014</v>
      </c>
      <c r="C176" s="324" t="str">
        <f>+'Base de Datos'!F176</f>
        <v>REVISTA EL CONGRESO SIGLO XXI LTDA</v>
      </c>
      <c r="D176" s="325">
        <f>+'Base de Datos'!I176</f>
        <v>7740000</v>
      </c>
      <c r="E176" s="326">
        <f>+'Base de Datos'!M176</f>
        <v>41775</v>
      </c>
      <c r="F176" s="326">
        <f>+'Base de Datos'!N176</f>
        <v>42139</v>
      </c>
      <c r="G176" s="326">
        <f>+'Base de Datos'!T176</f>
        <v>42139</v>
      </c>
      <c r="H176" s="325">
        <f>+'Base de Datos'!U176</f>
        <v>7740000</v>
      </c>
      <c r="I176" s="327" t="str">
        <f>IF(VLOOKUP(B176,'Base de Datos'!$E$7:$S$303,11,0),"SI","NO")</f>
        <v>NO</v>
      </c>
      <c r="J176" s="328" t="str">
        <f t="shared" si="14"/>
        <v/>
      </c>
      <c r="K176" s="327" t="str">
        <f>IF(VLOOKUP(B176,'Base de Datos'!$E$7:$S$303,11,0),"SI","NO")</f>
        <v>NO</v>
      </c>
      <c r="L176" s="328" t="str">
        <f t="shared" si="15"/>
        <v/>
      </c>
      <c r="M176" s="328">
        <f>VLOOKUP(B176,'Base de Datos'!$E$7:$Z$303,21,0)</f>
        <v>1</v>
      </c>
      <c r="N176" s="390" t="str">
        <f t="shared" ca="1" si="19"/>
        <v/>
      </c>
      <c r="O176" s="328">
        <f ca="1">VLOOKUP(B176,'Base de Datos'!$E$7:$Z$303,22,0)</f>
        <v>1</v>
      </c>
      <c r="P176" s="389">
        <f t="shared" ca="1" si="16"/>
        <v>1504</v>
      </c>
      <c r="Q176" s="402">
        <f t="shared" ca="1" si="20"/>
        <v>12.533333333333333</v>
      </c>
      <c r="R176" s="324" t="str">
        <f ca="1">VLOOKUP(B176,'Base de Datos'!E176:AR487,33,0)</f>
        <v>TERMINO</v>
      </c>
      <c r="S176" s="327" t="str">
        <f t="shared" ca="1" si="17"/>
        <v>NO</v>
      </c>
      <c r="T176" s="324" t="str">
        <f t="shared" ca="1" si="18"/>
        <v>Liquidar</v>
      </c>
      <c r="U176" s="324">
        <f>VLOOKUP(B176,'Base de Datos'!$E$7:$AR$401,38,0)</f>
        <v>42318</v>
      </c>
    </row>
    <row r="177" spans="1:21" ht="23.25" customHeight="1" thickTop="1" thickBot="1" x14ac:dyDescent="0.3">
      <c r="A177" s="108">
        <v>171</v>
      </c>
      <c r="B177" s="324" t="str">
        <f>+'Base de Datos'!E177</f>
        <v>140136-0-2014</v>
      </c>
      <c r="C177" s="324" t="str">
        <f>+'Base de Datos'!F177</f>
        <v>KHAANKO NORBERTO RUIZ RODRÍGUEZ</v>
      </c>
      <c r="D177" s="325">
        <f>+'Base de Datos'!I177</f>
        <v>29819999</v>
      </c>
      <c r="E177" s="326">
        <f>+'Base de Datos'!M177</f>
        <v>41675</v>
      </c>
      <c r="F177" s="326">
        <f>+'Base de Datos'!N177</f>
        <v>42008</v>
      </c>
      <c r="G177" s="326">
        <f>+'Base de Datos'!T177</f>
        <v>42008</v>
      </c>
      <c r="H177" s="325">
        <f>+'Base de Datos'!U177</f>
        <v>29819999</v>
      </c>
      <c r="I177" s="327" t="str">
        <f>IF(VLOOKUP(B177,'Base de Datos'!$E$7:$S$303,11,0),"SI","NO")</f>
        <v>NO</v>
      </c>
      <c r="J177" s="328" t="str">
        <f t="shared" si="14"/>
        <v/>
      </c>
      <c r="K177" s="327" t="str">
        <f>IF(VLOOKUP(B177,'Base de Datos'!$E$7:$S$303,11,0),"SI","NO")</f>
        <v>NO</v>
      </c>
      <c r="L177" s="328" t="str">
        <f t="shared" si="15"/>
        <v/>
      </c>
      <c r="M177" s="328">
        <f>VLOOKUP(B177,'Base de Datos'!$E$7:$Z$303,21,0)</f>
        <v>1</v>
      </c>
      <c r="N177" s="390" t="str">
        <f t="shared" ca="1" si="19"/>
        <v/>
      </c>
      <c r="O177" s="328">
        <f ca="1">VLOOKUP(B177,'Base de Datos'!$E$7:$Z$303,22,0)</f>
        <v>1</v>
      </c>
      <c r="P177" s="389">
        <f t="shared" ca="1" si="16"/>
        <v>1635</v>
      </c>
      <c r="Q177" s="402">
        <f t="shared" ca="1" si="20"/>
        <v>13.625</v>
      </c>
      <c r="R177" s="324" t="str">
        <f ca="1">VLOOKUP(B177,'Base de Datos'!E177:AR488,33,0)</f>
        <v>TERMINO</v>
      </c>
      <c r="S177" s="327" t="str">
        <f t="shared" ca="1" si="17"/>
        <v>NO</v>
      </c>
      <c r="T177" s="324" t="str">
        <f t="shared" ca="1" si="18"/>
        <v>Liquidar</v>
      </c>
      <c r="U177" s="324">
        <f>VLOOKUP(B177,'Base de Datos'!$E$7:$AR$401,38,0)</f>
        <v>42152</v>
      </c>
    </row>
    <row r="178" spans="1:21" ht="23.25" customHeight="1" thickTop="1" thickBot="1" x14ac:dyDescent="0.3">
      <c r="A178" s="108">
        <v>172</v>
      </c>
      <c r="B178" s="324" t="str">
        <f>+'Base de Datos'!E178</f>
        <v>140138-0-2014</v>
      </c>
      <c r="C178" s="324" t="str">
        <f>+'Base de Datos'!F178</f>
        <v>CASA EDITORIAL EL TIEMPO SA</v>
      </c>
      <c r="D178" s="325">
        <f>+'Base de Datos'!I178</f>
        <v>1197000</v>
      </c>
      <c r="E178" s="326">
        <f>+'Base de Datos'!M178</f>
        <v>41717</v>
      </c>
      <c r="F178" s="326">
        <f>+'Base de Datos'!N178</f>
        <v>42081</v>
      </c>
      <c r="G178" s="326">
        <f>+'Base de Datos'!T178</f>
        <v>42081</v>
      </c>
      <c r="H178" s="325">
        <f>+'Base de Datos'!U178</f>
        <v>1197000</v>
      </c>
      <c r="I178" s="327" t="str">
        <f>IF(VLOOKUP(B178,'Base de Datos'!$E$7:$S$303,11,0),"SI","NO")</f>
        <v>NO</v>
      </c>
      <c r="J178" s="328" t="str">
        <f t="shared" si="14"/>
        <v/>
      </c>
      <c r="K178" s="327" t="str">
        <f>IF(VLOOKUP(B178,'Base de Datos'!$E$7:$S$303,11,0),"SI","NO")</f>
        <v>NO</v>
      </c>
      <c r="L178" s="328" t="str">
        <f t="shared" si="15"/>
        <v/>
      </c>
      <c r="M178" s="328">
        <f>VLOOKUP(B178,'Base de Datos'!$E$7:$Z$303,21,0)</f>
        <v>1</v>
      </c>
      <c r="N178" s="390" t="str">
        <f t="shared" ca="1" si="19"/>
        <v/>
      </c>
      <c r="O178" s="328">
        <f ca="1">VLOOKUP(B178,'Base de Datos'!$E$7:$Z$303,22,0)</f>
        <v>1</v>
      </c>
      <c r="P178" s="389">
        <f t="shared" ca="1" si="16"/>
        <v>1562</v>
      </c>
      <c r="Q178" s="402">
        <f t="shared" ca="1" si="20"/>
        <v>13.016666666666667</v>
      </c>
      <c r="R178" s="324" t="str">
        <f ca="1">VLOOKUP(B178,'Base de Datos'!E178:AR489,33,0)</f>
        <v>TERMINO</v>
      </c>
      <c r="S178" s="327" t="str">
        <f t="shared" ca="1" si="17"/>
        <v>NO</v>
      </c>
      <c r="T178" s="324" t="str">
        <f t="shared" ca="1" si="18"/>
        <v>Liquidar</v>
      </c>
      <c r="U178" s="324">
        <f>VLOOKUP(B178,'Base de Datos'!$E$7:$AR$401,38,0)</f>
        <v>0</v>
      </c>
    </row>
    <row r="179" spans="1:21" ht="23.25" customHeight="1" thickTop="1" thickBot="1" x14ac:dyDescent="0.3">
      <c r="A179" s="108">
        <v>173</v>
      </c>
      <c r="B179" s="324" t="str">
        <f>+'Base de Datos'!E179</f>
        <v>140140-0-2014</v>
      </c>
      <c r="C179" s="324" t="str">
        <f>+'Base de Datos'!F179</f>
        <v>DPC LTDA PUBLICACIONES DESPACHOS PÚBLICOS DE COLOMBIA LTDA</v>
      </c>
      <c r="D179" s="325">
        <f>+'Base de Datos'!I179</f>
        <v>4000000</v>
      </c>
      <c r="E179" s="326">
        <f>+'Base de Datos'!M179</f>
        <v>41739</v>
      </c>
      <c r="F179" s="326">
        <f>+'Base de Datos'!N179</f>
        <v>41891</v>
      </c>
      <c r="G179" s="326">
        <f>+'Base de Datos'!T179</f>
        <v>41891</v>
      </c>
      <c r="H179" s="325">
        <f>+'Base de Datos'!U179</f>
        <v>4000000</v>
      </c>
      <c r="I179" s="327" t="str">
        <f>IF(VLOOKUP(B179,'Base de Datos'!$E$7:$S$303,11,0),"SI","NO")</f>
        <v>NO</v>
      </c>
      <c r="J179" s="328" t="str">
        <f t="shared" si="14"/>
        <v/>
      </c>
      <c r="K179" s="327" t="str">
        <f>IF(VLOOKUP(B179,'Base de Datos'!$E$7:$S$303,11,0),"SI","NO")</f>
        <v>NO</v>
      </c>
      <c r="L179" s="328" t="str">
        <f t="shared" si="15"/>
        <v/>
      </c>
      <c r="M179" s="328">
        <f>VLOOKUP(B179,'Base de Datos'!$E$7:$Z$303,21,0)</f>
        <v>1</v>
      </c>
      <c r="N179" s="390" t="str">
        <f t="shared" ca="1" si="19"/>
        <v/>
      </c>
      <c r="O179" s="328">
        <f ca="1">VLOOKUP(B179,'Base de Datos'!$E$7:$Z$303,22,0)</f>
        <v>1</v>
      </c>
      <c r="P179" s="389">
        <f t="shared" ca="1" si="16"/>
        <v>1752</v>
      </c>
      <c r="Q179" s="402">
        <f t="shared" ca="1" si="20"/>
        <v>14.6</v>
      </c>
      <c r="R179" s="324" t="str">
        <f ca="1">VLOOKUP(B179,'Base de Datos'!E179:AR490,33,0)</f>
        <v>TERMINO</v>
      </c>
      <c r="S179" s="327" t="str">
        <f t="shared" ca="1" si="17"/>
        <v>NO</v>
      </c>
      <c r="T179" s="324" t="str">
        <f t="shared" ca="1" si="18"/>
        <v>Liquidar</v>
      </c>
      <c r="U179" s="324">
        <f>VLOOKUP(B179,'Base de Datos'!$E$7:$AR$401,38,0)</f>
        <v>42095</v>
      </c>
    </row>
    <row r="180" spans="1:21" ht="23.25" customHeight="1" thickTop="1" thickBot="1" x14ac:dyDescent="0.3">
      <c r="A180" s="108">
        <v>174</v>
      </c>
      <c r="B180" s="324" t="str">
        <f>+'Base de Datos'!E180</f>
        <v>140152-0-2014</v>
      </c>
      <c r="C180" s="324" t="str">
        <f>+'Base de Datos'!F180</f>
        <v>ROSA ENRIQUELINA GÓMEZ CORREDOR</v>
      </c>
      <c r="D180" s="325">
        <f>+'Base de Datos'!I180</f>
        <v>42800000</v>
      </c>
      <c r="E180" s="326">
        <f>+'Base de Datos'!M180</f>
        <v>41701</v>
      </c>
      <c r="F180" s="326">
        <f>+'Base de Datos'!N180</f>
        <v>42006</v>
      </c>
      <c r="G180" s="326">
        <f>+'Base de Datos'!T180</f>
        <v>42006</v>
      </c>
      <c r="H180" s="325">
        <f>+'Base de Datos'!U180</f>
        <v>42800000</v>
      </c>
      <c r="I180" s="327" t="str">
        <f>IF(VLOOKUP(B180,'Base de Datos'!$E$7:$S$303,11,0),"SI","NO")</f>
        <v>NO</v>
      </c>
      <c r="J180" s="328" t="str">
        <f t="shared" si="14"/>
        <v/>
      </c>
      <c r="K180" s="327" t="str">
        <f>IF(VLOOKUP(B180,'Base de Datos'!$E$7:$S$303,11,0),"SI","NO")</f>
        <v>NO</v>
      </c>
      <c r="L180" s="328" t="str">
        <f t="shared" si="15"/>
        <v/>
      </c>
      <c r="M180" s="328">
        <f>VLOOKUP(B180,'Base de Datos'!$E$7:$Z$303,21,0)</f>
        <v>1</v>
      </c>
      <c r="N180" s="390" t="str">
        <f t="shared" ca="1" si="19"/>
        <v/>
      </c>
      <c r="O180" s="328">
        <f ca="1">VLOOKUP(B180,'Base de Datos'!$E$7:$Z$303,22,0)</f>
        <v>1</v>
      </c>
      <c r="P180" s="389">
        <f t="shared" ca="1" si="16"/>
        <v>1637</v>
      </c>
      <c r="Q180" s="402">
        <f t="shared" ca="1" si="20"/>
        <v>13.641666666666667</v>
      </c>
      <c r="R180" s="324" t="str">
        <f ca="1">VLOOKUP(B180,'Base de Datos'!E180:AR491,33,0)</f>
        <v>TERMINO</v>
      </c>
      <c r="S180" s="327" t="str">
        <f t="shared" ca="1" si="17"/>
        <v>NO</v>
      </c>
      <c r="T180" s="324" t="str">
        <f t="shared" ca="1" si="18"/>
        <v>Liquidar</v>
      </c>
      <c r="U180" s="324">
        <f>VLOOKUP(B180,'Base de Datos'!$E$7:$AR$401,38,0)</f>
        <v>42145</v>
      </c>
    </row>
    <row r="181" spans="1:21" ht="23.25" customHeight="1" thickTop="1" thickBot="1" x14ac:dyDescent="0.3">
      <c r="A181" s="108">
        <v>175</v>
      </c>
      <c r="B181" s="324" t="str">
        <f>+'Base de Datos'!E181</f>
        <v>140153-0-2014</v>
      </c>
      <c r="C181" s="324" t="str">
        <f>+'Base de Datos'!F181</f>
        <v>WIESNER FABIÁN ROBAYO SALCEDO</v>
      </c>
      <c r="D181" s="325">
        <f>+'Base de Datos'!I181</f>
        <v>38830000</v>
      </c>
      <c r="E181" s="326">
        <f>+'Base de Datos'!M181</f>
        <v>41708</v>
      </c>
      <c r="F181" s="326">
        <f>+'Base de Datos'!N181</f>
        <v>42013</v>
      </c>
      <c r="G181" s="326">
        <f>+'Base de Datos'!T181</f>
        <v>42013</v>
      </c>
      <c r="H181" s="325">
        <f>+'Base de Datos'!U181</f>
        <v>38830000</v>
      </c>
      <c r="I181" s="327" t="str">
        <f>IF(VLOOKUP(B181,'Base de Datos'!$E$7:$S$303,11,0),"SI","NO")</f>
        <v>NO</v>
      </c>
      <c r="J181" s="328" t="str">
        <f t="shared" si="14"/>
        <v/>
      </c>
      <c r="K181" s="327" t="str">
        <f>IF(VLOOKUP(B181,'Base de Datos'!$E$7:$S$303,11,0),"SI","NO")</f>
        <v>NO</v>
      </c>
      <c r="L181" s="328" t="str">
        <f t="shared" si="15"/>
        <v/>
      </c>
      <c r="M181" s="328">
        <f>VLOOKUP(B181,'Base de Datos'!$E$7:$Z$303,21,0)</f>
        <v>1</v>
      </c>
      <c r="N181" s="390" t="str">
        <f t="shared" ca="1" si="19"/>
        <v/>
      </c>
      <c r="O181" s="328">
        <f ca="1">VLOOKUP(B181,'Base de Datos'!$E$7:$Z$303,22,0)</f>
        <v>1</v>
      </c>
      <c r="P181" s="389">
        <f t="shared" ca="1" si="16"/>
        <v>1630</v>
      </c>
      <c r="Q181" s="402">
        <f t="shared" ca="1" si="20"/>
        <v>13.583333333333334</v>
      </c>
      <c r="R181" s="324" t="str">
        <f ca="1">VLOOKUP(B181,'Base de Datos'!E181:AR492,33,0)</f>
        <v>TERMINO</v>
      </c>
      <c r="S181" s="327" t="str">
        <f t="shared" ca="1" si="17"/>
        <v>NO</v>
      </c>
      <c r="T181" s="324" t="str">
        <f t="shared" ca="1" si="18"/>
        <v>Liquidar</v>
      </c>
      <c r="U181" s="324">
        <f>VLOOKUP(B181,'Base de Datos'!$E$7:$AR$401,38,0)</f>
        <v>42087</v>
      </c>
    </row>
    <row r="182" spans="1:21" ht="23.25" customHeight="1" thickTop="1" thickBot="1" x14ac:dyDescent="0.3">
      <c r="A182" s="108">
        <v>176</v>
      </c>
      <c r="B182" s="324" t="str">
        <f>+'Base de Datos'!E182</f>
        <v>140154-0-2014</v>
      </c>
      <c r="C182" s="324" t="str">
        <f>+'Base de Datos'!F182</f>
        <v>EDGAR EULICES GONZÁLEZ</v>
      </c>
      <c r="D182" s="325">
        <f>+'Base de Datos'!I182</f>
        <v>40997000</v>
      </c>
      <c r="E182" s="326">
        <f>+'Base de Datos'!M182</f>
        <v>41675</v>
      </c>
      <c r="F182" s="326">
        <f>+'Base de Datos'!N182</f>
        <v>42008</v>
      </c>
      <c r="G182" s="326">
        <f>+'Base de Datos'!T182</f>
        <v>42008</v>
      </c>
      <c r="H182" s="325">
        <f>+'Base de Datos'!U182</f>
        <v>40997000</v>
      </c>
      <c r="I182" s="327" t="str">
        <f>IF(VLOOKUP(B182,'Base de Datos'!$E$7:$S$303,11,0),"SI","NO")</f>
        <v>NO</v>
      </c>
      <c r="J182" s="328" t="str">
        <f t="shared" si="14"/>
        <v/>
      </c>
      <c r="K182" s="327" t="str">
        <f>IF(VLOOKUP(B182,'Base de Datos'!$E$7:$S$303,11,0),"SI","NO")</f>
        <v>NO</v>
      </c>
      <c r="L182" s="328" t="str">
        <f t="shared" si="15"/>
        <v/>
      </c>
      <c r="M182" s="328">
        <f>VLOOKUP(B182,'Base de Datos'!$E$7:$Z$303,21,0)</f>
        <v>1</v>
      </c>
      <c r="N182" s="390" t="str">
        <f t="shared" ca="1" si="19"/>
        <v/>
      </c>
      <c r="O182" s="328">
        <f ca="1">VLOOKUP(B182,'Base de Datos'!$E$7:$Z$303,22,0)</f>
        <v>1</v>
      </c>
      <c r="P182" s="389">
        <f t="shared" ca="1" si="16"/>
        <v>1635</v>
      </c>
      <c r="Q182" s="402">
        <f t="shared" ca="1" si="20"/>
        <v>13.625</v>
      </c>
      <c r="R182" s="324" t="str">
        <f ca="1">VLOOKUP(B182,'Base de Datos'!E182:AR493,33,0)</f>
        <v>TERMINO</v>
      </c>
      <c r="S182" s="327" t="str">
        <f t="shared" ca="1" si="17"/>
        <v>NO</v>
      </c>
      <c r="T182" s="324" t="str">
        <f t="shared" ca="1" si="18"/>
        <v>Liquidar</v>
      </c>
      <c r="U182" s="324">
        <f>VLOOKUP(B182,'Base de Datos'!$E$7:$AR$401,38,0)</f>
        <v>42153</v>
      </c>
    </row>
    <row r="183" spans="1:21" ht="23.25" customHeight="1" thickTop="1" thickBot="1" x14ac:dyDescent="0.3">
      <c r="A183" s="108">
        <v>177</v>
      </c>
      <c r="B183" s="324" t="str">
        <f>+'Base de Datos'!E183</f>
        <v>140157-0-2014</v>
      </c>
      <c r="C183" s="324" t="str">
        <f>+'Base de Datos'!F183</f>
        <v>FERNANDO SOTOMONTE AMAYA</v>
      </c>
      <c r="D183" s="325">
        <f>+'Base de Datos'!I183</f>
        <v>55000000</v>
      </c>
      <c r="E183" s="326">
        <f>+'Base de Datos'!M183</f>
        <v>41675</v>
      </c>
      <c r="F183" s="326">
        <f>+'Base de Datos'!N183</f>
        <v>42008</v>
      </c>
      <c r="G183" s="326">
        <f>+'Base de Datos'!T183</f>
        <v>42008</v>
      </c>
      <c r="H183" s="325">
        <f>+'Base de Datos'!U183</f>
        <v>55000000</v>
      </c>
      <c r="I183" s="327" t="str">
        <f>IF(VLOOKUP(B183,'Base de Datos'!$E$7:$S$303,11,0),"SI","NO")</f>
        <v>NO</v>
      </c>
      <c r="J183" s="328" t="str">
        <f t="shared" si="14"/>
        <v/>
      </c>
      <c r="K183" s="327" t="str">
        <f>IF(VLOOKUP(B183,'Base de Datos'!$E$7:$S$303,11,0),"SI","NO")</f>
        <v>NO</v>
      </c>
      <c r="L183" s="328" t="str">
        <f t="shared" si="15"/>
        <v/>
      </c>
      <c r="M183" s="328">
        <f>VLOOKUP(B183,'Base de Datos'!$E$7:$Z$303,21,0)</f>
        <v>0.98787878181818178</v>
      </c>
      <c r="N183" s="390" t="str">
        <f t="shared" ca="1" si="19"/>
        <v/>
      </c>
      <c r="O183" s="328">
        <f ca="1">VLOOKUP(B183,'Base de Datos'!$E$7:$Z$303,22,0)</f>
        <v>1</v>
      </c>
      <c r="P183" s="389">
        <f t="shared" ca="1" si="16"/>
        <v>1635</v>
      </c>
      <c r="Q183" s="402">
        <f t="shared" ca="1" si="20"/>
        <v>13.625</v>
      </c>
      <c r="R183" s="324" t="str">
        <f ca="1">VLOOKUP(B183,'Base de Datos'!E183:AR494,33,0)</f>
        <v>TERMINO</v>
      </c>
      <c r="S183" s="327" t="str">
        <f t="shared" ca="1" si="17"/>
        <v>NO</v>
      </c>
      <c r="T183" s="324" t="str">
        <f t="shared" ca="1" si="18"/>
        <v>Liquidar</v>
      </c>
      <c r="U183" s="324">
        <f>VLOOKUP(B183,'Base de Datos'!$E$7:$AR$401,38,0)</f>
        <v>0</v>
      </c>
    </row>
    <row r="184" spans="1:21" ht="23.25" customHeight="1" thickTop="1" thickBot="1" x14ac:dyDescent="0.3">
      <c r="A184" s="108">
        <v>178</v>
      </c>
      <c r="B184" s="324" t="str">
        <f>+'Base de Datos'!E184</f>
        <v>140158-0-2014</v>
      </c>
      <c r="C184" s="324" t="str">
        <f>+'Base de Datos'!F184</f>
        <v>JORGE ALBERTO GALVIS  ESTUPIÑAN</v>
      </c>
      <c r="D184" s="325">
        <f>+'Base de Datos'!I184</f>
        <v>55000000</v>
      </c>
      <c r="E184" s="326">
        <f>+'Base de Datos'!M184</f>
        <v>41675</v>
      </c>
      <c r="F184" s="326">
        <f>+'Base de Datos'!N184</f>
        <v>42008</v>
      </c>
      <c r="G184" s="326">
        <f>+'Base de Datos'!T184</f>
        <v>42008</v>
      </c>
      <c r="H184" s="325">
        <f>+'Base de Datos'!U184</f>
        <v>55000000</v>
      </c>
      <c r="I184" s="327" t="str">
        <f>IF(VLOOKUP(B184,'Base de Datos'!$E$7:$S$303,11,0),"SI","NO")</f>
        <v>NO</v>
      </c>
      <c r="J184" s="328" t="str">
        <f t="shared" si="14"/>
        <v/>
      </c>
      <c r="K184" s="327" t="str">
        <f>IF(VLOOKUP(B184,'Base de Datos'!$E$7:$S$303,11,0),"SI","NO")</f>
        <v>NO</v>
      </c>
      <c r="L184" s="328" t="str">
        <f t="shared" si="15"/>
        <v/>
      </c>
      <c r="M184" s="328">
        <f>VLOOKUP(B184,'Base de Datos'!$E$7:$Z$303,21,0)</f>
        <v>1</v>
      </c>
      <c r="N184" s="390" t="str">
        <f t="shared" ca="1" si="19"/>
        <v/>
      </c>
      <c r="O184" s="328">
        <f ca="1">VLOOKUP(B184,'Base de Datos'!$E$7:$Z$303,22,0)</f>
        <v>1</v>
      </c>
      <c r="P184" s="389">
        <f t="shared" ca="1" si="16"/>
        <v>1635</v>
      </c>
      <c r="Q184" s="402">
        <f t="shared" ca="1" si="20"/>
        <v>13.625</v>
      </c>
      <c r="R184" s="324" t="str">
        <f ca="1">VLOOKUP(B184,'Base de Datos'!E184:AR495,33,0)</f>
        <v>TERMINO</v>
      </c>
      <c r="S184" s="327" t="str">
        <f t="shared" ca="1" si="17"/>
        <v>NO</v>
      </c>
      <c r="T184" s="324" t="str">
        <f t="shared" ca="1" si="18"/>
        <v>Liquidar</v>
      </c>
      <c r="U184" s="324">
        <f>VLOOKUP(B184,'Base de Datos'!$E$7:$AR$401,38,0)</f>
        <v>42234</v>
      </c>
    </row>
    <row r="185" spans="1:21" ht="23.25" customHeight="1" thickTop="1" thickBot="1" x14ac:dyDescent="0.3">
      <c r="A185" s="108">
        <v>179</v>
      </c>
      <c r="B185" s="324" t="str">
        <f>+'Base de Datos'!E185</f>
        <v>140159-0-2014</v>
      </c>
      <c r="C185" s="324" t="str">
        <f>+'Base de Datos'!F185</f>
        <v>LORENZA SANTOS BARBOSA (Cesionaria) - Antes VICTOR MANUEL ARMELLA VELASQUEZ</v>
      </c>
      <c r="D185" s="325">
        <f>+'Base de Datos'!I185</f>
        <v>55000000</v>
      </c>
      <c r="E185" s="326">
        <f>+'Base de Datos'!M185</f>
        <v>41675</v>
      </c>
      <c r="F185" s="326">
        <f>+'Base de Datos'!N185</f>
        <v>42008</v>
      </c>
      <c r="G185" s="326">
        <f>+'Base de Datos'!T185</f>
        <v>42008</v>
      </c>
      <c r="H185" s="325">
        <f>+'Base de Datos'!U185</f>
        <v>55000000</v>
      </c>
      <c r="I185" s="327" t="str">
        <f>IF(VLOOKUP(B185,'Base de Datos'!$E$7:$S$303,11,0),"SI","NO")</f>
        <v>NO</v>
      </c>
      <c r="J185" s="328" t="str">
        <f t="shared" si="14"/>
        <v/>
      </c>
      <c r="K185" s="327" t="str">
        <f>IF(VLOOKUP(B185,'Base de Datos'!$E$7:$S$303,11,0),"SI","NO")</f>
        <v>NO</v>
      </c>
      <c r="L185" s="328" t="str">
        <f t="shared" si="15"/>
        <v/>
      </c>
      <c r="M185" s="328">
        <f>VLOOKUP(B185,'Base de Datos'!$E$7:$Z$303,21,0)</f>
        <v>0.99393938181818187</v>
      </c>
      <c r="N185" s="390" t="str">
        <f t="shared" ca="1" si="19"/>
        <v/>
      </c>
      <c r="O185" s="328">
        <f ca="1">VLOOKUP(B185,'Base de Datos'!$E$7:$Z$303,22,0)</f>
        <v>1</v>
      </c>
      <c r="P185" s="389">
        <f t="shared" ca="1" si="16"/>
        <v>1635</v>
      </c>
      <c r="Q185" s="402">
        <f t="shared" ca="1" si="20"/>
        <v>13.625</v>
      </c>
      <c r="R185" s="324" t="str">
        <f ca="1">VLOOKUP(B185,'Base de Datos'!E185:AR496,33,0)</f>
        <v>TERMINO</v>
      </c>
      <c r="S185" s="327" t="str">
        <f t="shared" ca="1" si="17"/>
        <v>NO</v>
      </c>
      <c r="T185" s="324" t="str">
        <f t="shared" ca="1" si="18"/>
        <v>Liquidar</v>
      </c>
      <c r="U185" s="324">
        <f>VLOOKUP(B185,'Base de Datos'!$E$7:$AR$401,38,0)</f>
        <v>42277</v>
      </c>
    </row>
    <row r="186" spans="1:21" ht="23.25" customHeight="1" thickTop="1" thickBot="1" x14ac:dyDescent="0.3">
      <c r="A186" s="108">
        <v>180</v>
      </c>
      <c r="B186" s="324" t="str">
        <f>+'Base de Datos'!E186</f>
        <v>140160-0-2014</v>
      </c>
      <c r="C186" s="324" t="str">
        <f>+'Base de Datos'!F186</f>
        <v>NORMA CONSTANZA MEZA GÓMEZ</v>
      </c>
      <c r="D186" s="325">
        <f>+'Base de Datos'!I186</f>
        <v>38500000</v>
      </c>
      <c r="E186" s="326">
        <f>+'Base de Datos'!M186</f>
        <v>41675</v>
      </c>
      <c r="F186" s="326">
        <f>+'Base de Datos'!N186</f>
        <v>42008</v>
      </c>
      <c r="G186" s="326">
        <f>+'Base de Datos'!T186</f>
        <v>42008</v>
      </c>
      <c r="H186" s="325">
        <f>+'Base de Datos'!U186</f>
        <v>38500000</v>
      </c>
      <c r="I186" s="327" t="str">
        <f>IF(VLOOKUP(B186,'Base de Datos'!$E$7:$S$303,11,0),"SI","NO")</f>
        <v>NO</v>
      </c>
      <c r="J186" s="328" t="str">
        <f t="shared" si="14"/>
        <v/>
      </c>
      <c r="K186" s="327" t="str">
        <f>IF(VLOOKUP(B186,'Base de Datos'!$E$7:$S$303,11,0),"SI","NO")</f>
        <v>NO</v>
      </c>
      <c r="L186" s="328" t="str">
        <f t="shared" si="15"/>
        <v/>
      </c>
      <c r="M186" s="328">
        <f>VLOOKUP(B186,'Base de Datos'!$E$7:$Z$303,21,0)</f>
        <v>1</v>
      </c>
      <c r="N186" s="390" t="str">
        <f t="shared" ca="1" si="19"/>
        <v/>
      </c>
      <c r="O186" s="328">
        <f ca="1">VLOOKUP(B186,'Base de Datos'!$E$7:$Z$303,22,0)</f>
        <v>1</v>
      </c>
      <c r="P186" s="389">
        <f t="shared" ca="1" si="16"/>
        <v>1635</v>
      </c>
      <c r="Q186" s="402">
        <f t="shared" ca="1" si="20"/>
        <v>13.625</v>
      </c>
      <c r="R186" s="324" t="str">
        <f ca="1">VLOOKUP(B186,'Base de Datos'!E186:AR497,33,0)</f>
        <v>TERMINO</v>
      </c>
      <c r="S186" s="327" t="str">
        <f t="shared" ca="1" si="17"/>
        <v>NO</v>
      </c>
      <c r="T186" s="324" t="str">
        <f t="shared" ca="1" si="18"/>
        <v>Liquidar</v>
      </c>
      <c r="U186" s="324">
        <f>VLOOKUP(B186,'Base de Datos'!$E$7:$AR$401,38,0)</f>
        <v>42257</v>
      </c>
    </row>
    <row r="187" spans="1:21" ht="23.25" customHeight="1" thickTop="1" thickBot="1" x14ac:dyDescent="0.3">
      <c r="A187" s="108">
        <v>181</v>
      </c>
      <c r="B187" s="324" t="str">
        <f>+'Base de Datos'!E187</f>
        <v>140161-0-2014</v>
      </c>
      <c r="C187" s="324" t="str">
        <f>+'Base de Datos'!F187</f>
        <v>ANDREA SUSANA BELLO CANTOR</v>
      </c>
      <c r="D187" s="325">
        <f>+'Base de Datos'!I187</f>
        <v>55000000</v>
      </c>
      <c r="E187" s="326">
        <f>+'Base de Datos'!M187</f>
        <v>41675</v>
      </c>
      <c r="F187" s="326">
        <f>+'Base de Datos'!N187</f>
        <v>42008</v>
      </c>
      <c r="G187" s="326">
        <f>+'Base de Datos'!T187</f>
        <v>42008</v>
      </c>
      <c r="H187" s="325">
        <f>+'Base de Datos'!U187</f>
        <v>55000000</v>
      </c>
      <c r="I187" s="327" t="str">
        <f>IF(VLOOKUP(B187,'Base de Datos'!$E$7:$S$303,11,0),"SI","NO")</f>
        <v>NO</v>
      </c>
      <c r="J187" s="328" t="str">
        <f t="shared" si="14"/>
        <v/>
      </c>
      <c r="K187" s="327" t="str">
        <f>IF(VLOOKUP(B187,'Base de Datos'!$E$7:$S$303,11,0),"SI","NO")</f>
        <v>NO</v>
      </c>
      <c r="L187" s="328" t="str">
        <f t="shared" si="15"/>
        <v/>
      </c>
      <c r="M187" s="328">
        <f>VLOOKUP(B187,'Base de Datos'!$E$7:$Z$303,21,0)</f>
        <v>1</v>
      </c>
      <c r="N187" s="390" t="str">
        <f t="shared" ca="1" si="19"/>
        <v/>
      </c>
      <c r="O187" s="328">
        <f ca="1">VLOOKUP(B187,'Base de Datos'!$E$7:$Z$303,22,0)</f>
        <v>1</v>
      </c>
      <c r="P187" s="389">
        <f t="shared" ca="1" si="16"/>
        <v>1635</v>
      </c>
      <c r="Q187" s="402">
        <f t="shared" ca="1" si="20"/>
        <v>13.625</v>
      </c>
      <c r="R187" s="324" t="str">
        <f ca="1">VLOOKUP(B187,'Base de Datos'!E187:AR498,33,0)</f>
        <v>TERMINO</v>
      </c>
      <c r="S187" s="327" t="str">
        <f t="shared" ca="1" si="17"/>
        <v>NO</v>
      </c>
      <c r="T187" s="324" t="str">
        <f t="shared" ca="1" si="18"/>
        <v>Liquidar</v>
      </c>
      <c r="U187" s="324">
        <f>VLOOKUP(B187,'Base de Datos'!$E$7:$AR$401,38,0)</f>
        <v>42235</v>
      </c>
    </row>
    <row r="188" spans="1:21" ht="23.25" customHeight="1" thickTop="1" thickBot="1" x14ac:dyDescent="0.3">
      <c r="A188" s="108">
        <v>182</v>
      </c>
      <c r="B188" s="324" t="str">
        <f>+'Base de Datos'!E188</f>
        <v>140162-0-2014</v>
      </c>
      <c r="C188" s="324" t="str">
        <f>+'Base de Datos'!F188</f>
        <v>JORGE ORLANDO RUBIANO CARRANZA</v>
      </c>
      <c r="D188" s="325">
        <f>+'Base de Datos'!I188</f>
        <v>55000000</v>
      </c>
      <c r="E188" s="326">
        <f>+'Base de Datos'!M188</f>
        <v>41675</v>
      </c>
      <c r="F188" s="326">
        <f>+'Base de Datos'!N188</f>
        <v>42008</v>
      </c>
      <c r="G188" s="326">
        <f>+'Base de Datos'!T188</f>
        <v>42008</v>
      </c>
      <c r="H188" s="325">
        <f>+'Base de Datos'!U188</f>
        <v>55000000</v>
      </c>
      <c r="I188" s="327" t="str">
        <f>IF(VLOOKUP(B188,'Base de Datos'!$E$7:$S$303,11,0),"SI","NO")</f>
        <v>NO</v>
      </c>
      <c r="J188" s="328" t="str">
        <f t="shared" si="14"/>
        <v/>
      </c>
      <c r="K188" s="327" t="str">
        <f>IF(VLOOKUP(B188,'Base de Datos'!$E$7:$S$303,11,0),"SI","NO")</f>
        <v>NO</v>
      </c>
      <c r="L188" s="328" t="str">
        <f t="shared" si="15"/>
        <v/>
      </c>
      <c r="M188" s="328">
        <f>VLOOKUP(B188,'Base de Datos'!$E$7:$Z$303,21,0)</f>
        <v>1</v>
      </c>
      <c r="N188" s="390" t="str">
        <f t="shared" ca="1" si="19"/>
        <v/>
      </c>
      <c r="O188" s="328">
        <f ca="1">VLOOKUP(B188,'Base de Datos'!$E$7:$Z$303,22,0)</f>
        <v>1</v>
      </c>
      <c r="P188" s="389">
        <f t="shared" ca="1" si="16"/>
        <v>1635</v>
      </c>
      <c r="Q188" s="402">
        <f t="shared" ca="1" si="20"/>
        <v>13.625</v>
      </c>
      <c r="R188" s="324" t="str">
        <f ca="1">VLOOKUP(B188,'Base de Datos'!E188:AR499,33,0)</f>
        <v>TERMINO</v>
      </c>
      <c r="S188" s="327" t="str">
        <f t="shared" ca="1" si="17"/>
        <v>NO</v>
      </c>
      <c r="T188" s="324" t="str">
        <f t="shared" ca="1" si="18"/>
        <v>Liquidar</v>
      </c>
      <c r="U188" s="324">
        <f>VLOOKUP(B188,'Base de Datos'!$E$7:$AR$401,38,0)</f>
        <v>42277</v>
      </c>
    </row>
    <row r="189" spans="1:21" ht="23.25" customHeight="1" thickTop="1" thickBot="1" x14ac:dyDescent="0.3">
      <c r="A189" s="108">
        <v>183</v>
      </c>
      <c r="B189" s="324" t="str">
        <f>+'Base de Datos'!E189</f>
        <v>140164-0-2014</v>
      </c>
      <c r="C189" s="324" t="str">
        <f>+'Base de Datos'!F189</f>
        <v>MITSUBISHIS ELECTRIC DE COLOMBIA LTDA</v>
      </c>
      <c r="D189" s="325">
        <f>+'Base de Datos'!I189</f>
        <v>16555000</v>
      </c>
      <c r="E189" s="326">
        <f>+'Base de Datos'!M189</f>
        <v>41732</v>
      </c>
      <c r="F189" s="326">
        <f>+'Base de Datos'!N189</f>
        <v>42096</v>
      </c>
      <c r="G189" s="326">
        <f>+'Base de Datos'!T189</f>
        <v>42096</v>
      </c>
      <c r="H189" s="325">
        <f>+'Base de Datos'!U189</f>
        <v>16555000</v>
      </c>
      <c r="I189" s="327" t="str">
        <f>IF(VLOOKUP(B189,'Base de Datos'!$E$7:$S$303,11,0),"SI","NO")</f>
        <v>NO</v>
      </c>
      <c r="J189" s="328" t="str">
        <f t="shared" si="14"/>
        <v/>
      </c>
      <c r="K189" s="327" t="str">
        <f>IF(VLOOKUP(B189,'Base de Datos'!$E$7:$S$303,11,0),"SI","NO")</f>
        <v>NO</v>
      </c>
      <c r="L189" s="328" t="str">
        <f t="shared" si="15"/>
        <v/>
      </c>
      <c r="M189" s="328">
        <f>VLOOKUP(B189,'Base de Datos'!$E$7:$Z$303,21,0)</f>
        <v>0.95213947447900937</v>
      </c>
      <c r="N189" s="390" t="str">
        <f t="shared" ca="1" si="19"/>
        <v/>
      </c>
      <c r="O189" s="328">
        <f ca="1">VLOOKUP(B189,'Base de Datos'!$E$7:$Z$303,22,0)</f>
        <v>1</v>
      </c>
      <c r="P189" s="389">
        <f t="shared" ca="1" si="16"/>
        <v>1547</v>
      </c>
      <c r="Q189" s="402">
        <f t="shared" ca="1" si="20"/>
        <v>12.891666666666667</v>
      </c>
      <c r="R189" s="324" t="str">
        <f ca="1">VLOOKUP(B189,'Base de Datos'!E189:AR500,33,0)</f>
        <v>TERMINO</v>
      </c>
      <c r="S189" s="327" t="str">
        <f t="shared" ca="1" si="17"/>
        <v>NO</v>
      </c>
      <c r="T189" s="324" t="str">
        <f t="shared" ca="1" si="18"/>
        <v>Liquidar</v>
      </c>
      <c r="U189" s="324">
        <f>VLOOKUP(B189,'Base de Datos'!$E$7:$AR$401,38,0)</f>
        <v>0</v>
      </c>
    </row>
    <row r="190" spans="1:21" ht="23.25" customHeight="1" thickTop="1" thickBot="1" x14ac:dyDescent="0.3">
      <c r="A190" s="108">
        <v>184</v>
      </c>
      <c r="B190" s="324" t="str">
        <f>+'Base de Datos'!E190</f>
        <v>140166-0-2014</v>
      </c>
      <c r="C190" s="324" t="str">
        <f>+'Base de Datos'!F190</f>
        <v>EDELMIRA ATARA GIL</v>
      </c>
      <c r="D190" s="325">
        <f>+'Base de Datos'!I190</f>
        <v>39600000</v>
      </c>
      <c r="E190" s="326">
        <f>+'Base de Datos'!M190</f>
        <v>41675</v>
      </c>
      <c r="F190" s="326">
        <f>+'Base de Datos'!N190</f>
        <v>42008</v>
      </c>
      <c r="G190" s="326">
        <f>+'Base de Datos'!T190</f>
        <v>42008</v>
      </c>
      <c r="H190" s="325">
        <f>+'Base de Datos'!U190</f>
        <v>39600000</v>
      </c>
      <c r="I190" s="327" t="str">
        <f>IF(VLOOKUP(B190,'Base de Datos'!$E$7:$S$303,11,0),"SI","NO")</f>
        <v>NO</v>
      </c>
      <c r="J190" s="328" t="str">
        <f t="shared" si="14"/>
        <v/>
      </c>
      <c r="K190" s="327" t="str">
        <f>IF(VLOOKUP(B190,'Base de Datos'!$E$7:$S$303,11,0),"SI","NO")</f>
        <v>NO</v>
      </c>
      <c r="L190" s="328" t="str">
        <f t="shared" si="15"/>
        <v/>
      </c>
      <c r="M190" s="328">
        <f>VLOOKUP(B190,'Base de Datos'!$E$7:$Z$303,21,0)</f>
        <v>0.62424242424242427</v>
      </c>
      <c r="N190" s="390" t="str">
        <f t="shared" ca="1" si="19"/>
        <v/>
      </c>
      <c r="O190" s="328">
        <f ca="1">VLOOKUP(B190,'Base de Datos'!$E$7:$Z$303,22,0)</f>
        <v>1</v>
      </c>
      <c r="P190" s="389">
        <f t="shared" ca="1" si="16"/>
        <v>1635</v>
      </c>
      <c r="Q190" s="402">
        <f t="shared" ca="1" si="20"/>
        <v>13.625</v>
      </c>
      <c r="R190" s="324" t="str">
        <f ca="1">VLOOKUP(B190,'Base de Datos'!E190:AR501,33,0)</f>
        <v>TERMINO</v>
      </c>
      <c r="S190" s="327" t="str">
        <f t="shared" ca="1" si="17"/>
        <v>NO</v>
      </c>
      <c r="T190" s="324" t="str">
        <f t="shared" ca="1" si="18"/>
        <v>Liquidar</v>
      </c>
      <c r="U190" s="324">
        <f>VLOOKUP(B190,'Base de Datos'!$E$7:$AR$401,38,0)</f>
        <v>41962</v>
      </c>
    </row>
    <row r="191" spans="1:21" ht="23.25" customHeight="1" thickTop="1" thickBot="1" x14ac:dyDescent="0.3">
      <c r="A191" s="108">
        <v>185</v>
      </c>
      <c r="B191" s="324" t="str">
        <f>+'Base de Datos'!E191</f>
        <v>140167-0-2014</v>
      </c>
      <c r="C191" s="324" t="str">
        <f>+'Base de Datos'!F191</f>
        <v>EDGARDO ANDRÉS MALDONADO CORTES</v>
      </c>
      <c r="D191" s="325">
        <f>+'Base de Datos'!I191</f>
        <v>51500000</v>
      </c>
      <c r="E191" s="326">
        <f>+'Base de Datos'!M191</f>
        <v>41694</v>
      </c>
      <c r="F191" s="326">
        <f>+'Base de Datos'!N191</f>
        <v>41996</v>
      </c>
      <c r="G191" s="326">
        <f>+'Base de Datos'!T191</f>
        <v>41887</v>
      </c>
      <c r="H191" s="325">
        <f>+'Base de Datos'!U191</f>
        <v>51500000</v>
      </c>
      <c r="I191" s="327" t="str">
        <f>IF(VLOOKUP(B191,'Base de Datos'!$E$7:$S$303,11,0),"SI","NO")</f>
        <v>NO</v>
      </c>
      <c r="J191" s="328" t="str">
        <f t="shared" si="14"/>
        <v/>
      </c>
      <c r="K191" s="327" t="str">
        <f>IF(VLOOKUP(B191,'Base de Datos'!$E$7:$S$303,11,0),"SI","NO")</f>
        <v>NO</v>
      </c>
      <c r="L191" s="328" t="str">
        <f t="shared" si="15"/>
        <v/>
      </c>
      <c r="M191" s="328">
        <f>VLOOKUP(B191,'Base de Datos'!$E$7:$Z$303,21,0)</f>
        <v>0.63666666019417473</v>
      </c>
      <c r="N191" s="390" t="str">
        <f t="shared" ca="1" si="19"/>
        <v/>
      </c>
      <c r="O191" s="328">
        <f ca="1">VLOOKUP(B191,'Base de Datos'!$E$7:$Z$303,22,0)</f>
        <v>1</v>
      </c>
      <c r="P191" s="389">
        <f t="shared" ca="1" si="16"/>
        <v>1756</v>
      </c>
      <c r="Q191" s="402">
        <f t="shared" ca="1" si="20"/>
        <v>14.633333333333333</v>
      </c>
      <c r="R191" s="324" t="str">
        <f ca="1">VLOOKUP(B191,'Base de Datos'!E191:AR502,33,0)</f>
        <v>TERMINO</v>
      </c>
      <c r="S191" s="327" t="str">
        <f t="shared" ca="1" si="17"/>
        <v>NO</v>
      </c>
      <c r="T191" s="324" t="str">
        <f t="shared" ca="1" si="18"/>
        <v>Liquidar</v>
      </c>
      <c r="U191" s="324">
        <f>VLOOKUP(B191,'Base de Datos'!$E$7:$AR$401,38,0)</f>
        <v>0</v>
      </c>
    </row>
    <row r="192" spans="1:21" ht="23.25" customHeight="1" thickTop="1" thickBot="1" x14ac:dyDescent="0.3">
      <c r="A192" s="108">
        <v>186</v>
      </c>
      <c r="B192" s="324" t="str">
        <f>+'Base de Datos'!E192</f>
        <v>140168-0-2014</v>
      </c>
      <c r="C192" s="324" t="str">
        <f>+'Base de Datos'!F192</f>
        <v>JORGE LUIS TRUJILLO VERA</v>
      </c>
      <c r="D192" s="325">
        <f>+'Base de Datos'!I192</f>
        <v>16500000</v>
      </c>
      <c r="E192" s="326">
        <f>+'Base de Datos'!M192</f>
        <v>41675</v>
      </c>
      <c r="F192" s="326">
        <f>+'Base de Datos'!N192</f>
        <v>42008</v>
      </c>
      <c r="G192" s="326">
        <f>+'Base de Datos'!T192</f>
        <v>42008</v>
      </c>
      <c r="H192" s="325">
        <f>+'Base de Datos'!U192</f>
        <v>16500000</v>
      </c>
      <c r="I192" s="327" t="str">
        <f>IF(VLOOKUP(B192,'Base de Datos'!$E$7:$S$303,11,0),"SI","NO")</f>
        <v>NO</v>
      </c>
      <c r="J192" s="328" t="str">
        <f t="shared" si="14"/>
        <v/>
      </c>
      <c r="K192" s="327" t="str">
        <f>IF(VLOOKUP(B192,'Base de Datos'!$E$7:$S$303,11,0),"SI","NO")</f>
        <v>NO</v>
      </c>
      <c r="L192" s="328" t="str">
        <f t="shared" si="15"/>
        <v/>
      </c>
      <c r="M192" s="328">
        <f>VLOOKUP(B192,'Base de Datos'!$E$7:$Z$303,21,0)</f>
        <v>0.62424242424242427</v>
      </c>
      <c r="N192" s="390" t="str">
        <f t="shared" ca="1" si="19"/>
        <v/>
      </c>
      <c r="O192" s="328">
        <f ca="1">VLOOKUP(B192,'Base de Datos'!$E$7:$Z$303,22,0)</f>
        <v>1</v>
      </c>
      <c r="P192" s="389">
        <f t="shared" ca="1" si="16"/>
        <v>1635</v>
      </c>
      <c r="Q192" s="402">
        <f t="shared" ca="1" si="20"/>
        <v>13.625</v>
      </c>
      <c r="R192" s="324" t="str">
        <f ca="1">VLOOKUP(B192,'Base de Datos'!E192:AR503,33,0)</f>
        <v>TERMINO</v>
      </c>
      <c r="S192" s="327" t="str">
        <f t="shared" ca="1" si="17"/>
        <v>NO</v>
      </c>
      <c r="T192" s="324" t="str">
        <f t="shared" ca="1" si="18"/>
        <v>Liquidar</v>
      </c>
      <c r="U192" s="324">
        <f>VLOOKUP(B192,'Base de Datos'!$E$7:$AR$401,38,0)</f>
        <v>0</v>
      </c>
    </row>
    <row r="193" spans="1:21" ht="23.25" customHeight="1" thickTop="1" thickBot="1" x14ac:dyDescent="0.3">
      <c r="A193" s="108">
        <v>187</v>
      </c>
      <c r="B193" s="324" t="str">
        <f>+'Base de Datos'!E193</f>
        <v>140169-0-2014</v>
      </c>
      <c r="C193" s="324" t="str">
        <f>+'Base de Datos'!F193</f>
        <v>MATILDE NIETO CONTRERAS (Cesionaria) / antes ELIS ALEXANDER MORENO SALAMANCA</v>
      </c>
      <c r="D193" s="325">
        <f>+'Base de Datos'!I193</f>
        <v>51500000</v>
      </c>
      <c r="E193" s="326">
        <f>+'Base de Datos'!M193</f>
        <v>41677</v>
      </c>
      <c r="F193" s="326">
        <f>+'Base de Datos'!N193</f>
        <v>41979</v>
      </c>
      <c r="G193" s="326">
        <f>+'Base de Datos'!T193</f>
        <v>42006</v>
      </c>
      <c r="H193" s="325">
        <f>+'Base de Datos'!U193</f>
        <v>61800000</v>
      </c>
      <c r="I193" s="327" t="str">
        <f>IF(VLOOKUP(B193,'Base de Datos'!$E$7:$S$303,11,0),"SI","NO")</f>
        <v>SI</v>
      </c>
      <c r="J193" s="328">
        <f t="shared" si="14"/>
        <v>8.9403973509933773E-2</v>
      </c>
      <c r="K193" s="327" t="str">
        <f>IF(VLOOKUP(B193,'Base de Datos'!$E$7:$S$303,11,0),"SI","NO")</f>
        <v>SI</v>
      </c>
      <c r="L193" s="328">
        <f t="shared" si="15"/>
        <v>0.2</v>
      </c>
      <c r="M193" s="328">
        <f>VLOOKUP(B193,'Base de Datos'!$E$7:$Z$303,21,0)</f>
        <v>0.88888888349514561</v>
      </c>
      <c r="N193" s="390" t="str">
        <f t="shared" ca="1" si="19"/>
        <v/>
      </c>
      <c r="O193" s="328">
        <f ca="1">VLOOKUP(B193,'Base de Datos'!$E$7:$Z$303,22,0)</f>
        <v>1</v>
      </c>
      <c r="P193" s="389">
        <f t="shared" ca="1" si="16"/>
        <v>1637</v>
      </c>
      <c r="Q193" s="402">
        <f t="shared" ca="1" si="20"/>
        <v>13.641666666666667</v>
      </c>
      <c r="R193" s="324" t="str">
        <f ca="1">VLOOKUP(B193,'Base de Datos'!E193:AR504,33,0)</f>
        <v>TERMINO</v>
      </c>
      <c r="S193" s="327" t="str">
        <f t="shared" ca="1" si="17"/>
        <v>NO</v>
      </c>
      <c r="T193" s="324" t="str">
        <f t="shared" ca="1" si="18"/>
        <v>Liquidar</v>
      </c>
      <c r="U193" s="324">
        <f>VLOOKUP(B193,'Base de Datos'!$E$7:$AR$401,38,0)</f>
        <v>0</v>
      </c>
    </row>
    <row r="194" spans="1:21" ht="23.25" customHeight="1" thickTop="1" thickBot="1" x14ac:dyDescent="0.3">
      <c r="A194" s="108">
        <v>188</v>
      </c>
      <c r="B194" s="324" t="str">
        <f>+'Base de Datos'!E194</f>
        <v>140171-0-2014</v>
      </c>
      <c r="C194" s="324" t="str">
        <f>+'Base de Datos'!F194</f>
        <v>INGEAL S.A.</v>
      </c>
      <c r="D194" s="325">
        <f>+'Base de Datos'!I194</f>
        <v>340808000</v>
      </c>
      <c r="E194" s="326">
        <f>+'Base de Datos'!M194</f>
        <v>41704</v>
      </c>
      <c r="F194" s="326">
        <f>+'Base de Datos'!N194</f>
        <v>41748</v>
      </c>
      <c r="G194" s="326">
        <f>+'Base de Datos'!T194</f>
        <v>41748</v>
      </c>
      <c r="H194" s="325">
        <f>+'Base de Datos'!U194</f>
        <v>340808000</v>
      </c>
      <c r="I194" s="327" t="str">
        <f>IF(VLOOKUP(B194,'Base de Datos'!$E$7:$S$303,11,0),"SI","NO")</f>
        <v>NO</v>
      </c>
      <c r="J194" s="328" t="str">
        <f t="shared" si="14"/>
        <v/>
      </c>
      <c r="K194" s="327" t="str">
        <f>IF(VLOOKUP(B194,'Base de Datos'!$E$7:$S$303,11,0),"SI","NO")</f>
        <v>NO</v>
      </c>
      <c r="L194" s="328" t="str">
        <f t="shared" si="15"/>
        <v/>
      </c>
      <c r="M194" s="328">
        <f>VLOOKUP(B194,'Base de Datos'!$E$7:$Z$303,21,0)</f>
        <v>1</v>
      </c>
      <c r="N194" s="390" t="str">
        <f t="shared" ca="1" si="19"/>
        <v/>
      </c>
      <c r="O194" s="328">
        <f ca="1">VLOOKUP(B194,'Base de Datos'!$E$7:$Z$303,22,0)</f>
        <v>1</v>
      </c>
      <c r="P194" s="389">
        <f t="shared" ca="1" si="16"/>
        <v>1895</v>
      </c>
      <c r="Q194" s="402">
        <f t="shared" ca="1" si="20"/>
        <v>15.791666666666666</v>
      </c>
      <c r="R194" s="324" t="str">
        <f ca="1">VLOOKUP(B194,'Base de Datos'!E194:AR505,33,0)</f>
        <v>TERMINO</v>
      </c>
      <c r="S194" s="327" t="str">
        <f t="shared" ca="1" si="17"/>
        <v>NO</v>
      </c>
      <c r="T194" s="324" t="str">
        <f t="shared" ca="1" si="18"/>
        <v>Liquidar</v>
      </c>
      <c r="U194" s="324">
        <f>VLOOKUP(B194,'Base de Datos'!$E$7:$AR$401,38,0)</f>
        <v>0</v>
      </c>
    </row>
    <row r="195" spans="1:21" ht="23.25" customHeight="1" thickTop="1" thickBot="1" x14ac:dyDescent="0.3">
      <c r="A195" s="108">
        <v>189</v>
      </c>
      <c r="B195" s="324" t="str">
        <f>+'Base de Datos'!E195</f>
        <v>140172-0-2014</v>
      </c>
      <c r="C195" s="324" t="str">
        <f>+'Base de Datos'!F195</f>
        <v>SONA GREEN TECHNOLOGIES SAS</v>
      </c>
      <c r="D195" s="325">
        <f>+'Base de Datos'!I195</f>
        <v>28900000</v>
      </c>
      <c r="E195" s="326">
        <f>+'Base de Datos'!M195</f>
        <v>41704</v>
      </c>
      <c r="F195" s="326">
        <f>+'Base de Datos'!N195</f>
        <v>41748</v>
      </c>
      <c r="G195" s="326">
        <f>+'Base de Datos'!T195</f>
        <v>41748</v>
      </c>
      <c r="H195" s="325">
        <f>+'Base de Datos'!U195</f>
        <v>28900000</v>
      </c>
      <c r="I195" s="327" t="str">
        <f>IF(VLOOKUP(B195,'Base de Datos'!$E$7:$S$303,11,0),"SI","NO")</f>
        <v>NO</v>
      </c>
      <c r="J195" s="328" t="str">
        <f t="shared" si="14"/>
        <v/>
      </c>
      <c r="K195" s="327" t="str">
        <f>IF(VLOOKUP(B195,'Base de Datos'!$E$7:$S$303,11,0),"SI","NO")</f>
        <v>NO</v>
      </c>
      <c r="L195" s="328" t="str">
        <f t="shared" si="15"/>
        <v/>
      </c>
      <c r="M195" s="328">
        <f>VLOOKUP(B195,'Base de Datos'!$E$7:$Z$303,21,0)</f>
        <v>1</v>
      </c>
      <c r="N195" s="390" t="str">
        <f t="shared" ca="1" si="19"/>
        <v/>
      </c>
      <c r="O195" s="328">
        <f ca="1">VLOOKUP(B195,'Base de Datos'!$E$7:$Z$303,22,0)</f>
        <v>1</v>
      </c>
      <c r="P195" s="389">
        <f t="shared" ca="1" si="16"/>
        <v>1895</v>
      </c>
      <c r="Q195" s="402">
        <f t="shared" ca="1" si="20"/>
        <v>15.791666666666666</v>
      </c>
      <c r="R195" s="324" t="str">
        <f ca="1">VLOOKUP(B195,'Base de Datos'!E195:AR506,33,0)</f>
        <v>TERMINO</v>
      </c>
      <c r="S195" s="327" t="str">
        <f t="shared" ca="1" si="17"/>
        <v>NO</v>
      </c>
      <c r="T195" s="324" t="str">
        <f t="shared" ca="1" si="18"/>
        <v>Liquidar</v>
      </c>
      <c r="U195" s="324">
        <f>VLOOKUP(B195,'Base de Datos'!$E$7:$AR$401,38,0)</f>
        <v>42094</v>
      </c>
    </row>
    <row r="196" spans="1:21" ht="23.25" customHeight="1" thickTop="1" thickBot="1" x14ac:dyDescent="0.3">
      <c r="A196" s="108">
        <v>190</v>
      </c>
      <c r="B196" s="324" t="str">
        <f>+'Base de Datos'!E196</f>
        <v>140173-0-2014</v>
      </c>
      <c r="C196" s="324" t="str">
        <f>+'Base de Datos'!F196</f>
        <v>K 10 DESIGN   S.A.S</v>
      </c>
      <c r="D196" s="325">
        <f>+'Base de Datos'!I196</f>
        <v>248000000</v>
      </c>
      <c r="E196" s="326">
        <f>+'Base de Datos'!M196</f>
        <v>41708</v>
      </c>
      <c r="F196" s="326">
        <f>+'Base de Datos'!N196</f>
        <v>41738</v>
      </c>
      <c r="G196" s="326">
        <f>+'Base de Datos'!T196</f>
        <v>41738</v>
      </c>
      <c r="H196" s="325">
        <f>+'Base de Datos'!U196</f>
        <v>325128875</v>
      </c>
      <c r="I196" s="327" t="str">
        <f>IF(VLOOKUP(B196,'Base de Datos'!$E$7:$S$303,11,0),"SI","NO")</f>
        <v>SI</v>
      </c>
      <c r="J196" s="328">
        <f t="shared" si="14"/>
        <v>0</v>
      </c>
      <c r="K196" s="327" t="str">
        <f>IF(VLOOKUP(B196,'Base de Datos'!$E$7:$S$303,11,0),"SI","NO")</f>
        <v>SI</v>
      </c>
      <c r="L196" s="328">
        <f t="shared" si="15"/>
        <v>0.31100352822580646</v>
      </c>
      <c r="M196" s="328">
        <f>VLOOKUP(B196,'Base de Datos'!$E$7:$Z$303,21,0)</f>
        <v>0.99969112863322274</v>
      </c>
      <c r="N196" s="390" t="str">
        <f t="shared" ca="1" si="19"/>
        <v/>
      </c>
      <c r="O196" s="328">
        <f ca="1">VLOOKUP(B196,'Base de Datos'!$E$7:$Z$303,22,0)</f>
        <v>1</v>
      </c>
      <c r="P196" s="389">
        <f t="shared" ca="1" si="16"/>
        <v>1905</v>
      </c>
      <c r="Q196" s="402">
        <f t="shared" ca="1" si="20"/>
        <v>15.875</v>
      </c>
      <c r="R196" s="324" t="str">
        <f ca="1">VLOOKUP(B196,'Base de Datos'!E196:AR507,33,0)</f>
        <v>TERMINO</v>
      </c>
      <c r="S196" s="327" t="str">
        <f t="shared" ca="1" si="17"/>
        <v>NO</v>
      </c>
      <c r="T196" s="324" t="str">
        <f t="shared" ca="1" si="18"/>
        <v>Liquidar</v>
      </c>
      <c r="U196" s="324">
        <f>VLOOKUP(B196,'Base de Datos'!$E$7:$AR$401,38,0)</f>
        <v>42003</v>
      </c>
    </row>
    <row r="197" spans="1:21" ht="23.25" customHeight="1" thickTop="1" thickBot="1" x14ac:dyDescent="0.3">
      <c r="A197" s="108">
        <v>191</v>
      </c>
      <c r="B197" s="324" t="str">
        <f>+'Base de Datos'!E197</f>
        <v>140176-0-2014</v>
      </c>
      <c r="C197" s="324" t="str">
        <f>+'Base de Datos'!F197</f>
        <v>AGR SOLUCIONES S.A.S.</v>
      </c>
      <c r="D197" s="325">
        <f>+'Base de Datos'!I197</f>
        <v>11000000</v>
      </c>
      <c r="E197" s="326">
        <f>+'Base de Datos'!M197</f>
        <v>41738</v>
      </c>
      <c r="F197" s="326">
        <f>+'Base de Datos'!N197</f>
        <v>42012</v>
      </c>
      <c r="G197" s="326">
        <f>+'Base de Datos'!T197</f>
        <v>42012</v>
      </c>
      <c r="H197" s="325">
        <f>+'Base de Datos'!U197</f>
        <v>11000000</v>
      </c>
      <c r="I197" s="327" t="str">
        <f>IF(VLOOKUP(B197,'Base de Datos'!$E$7:$S$303,11,0),"SI","NO")</f>
        <v>NO</v>
      </c>
      <c r="J197" s="328" t="str">
        <f t="shared" si="14"/>
        <v/>
      </c>
      <c r="K197" s="327" t="str">
        <f>IF(VLOOKUP(B197,'Base de Datos'!$E$7:$S$303,11,0),"SI","NO")</f>
        <v>NO</v>
      </c>
      <c r="L197" s="328" t="str">
        <f t="shared" si="15"/>
        <v/>
      </c>
      <c r="M197" s="328">
        <f>VLOOKUP(B197,'Base de Datos'!$E$7:$Z$303,21,0)</f>
        <v>0.24295145454545455</v>
      </c>
      <c r="N197" s="390" t="str">
        <f t="shared" ca="1" si="19"/>
        <v/>
      </c>
      <c r="O197" s="328">
        <f ca="1">VLOOKUP(B197,'Base de Datos'!$E$7:$Z$303,22,0)</f>
        <v>1</v>
      </c>
      <c r="P197" s="389">
        <f t="shared" ca="1" si="16"/>
        <v>1631</v>
      </c>
      <c r="Q197" s="402">
        <f t="shared" ca="1" si="20"/>
        <v>13.591666666666667</v>
      </c>
      <c r="R197" s="324" t="str">
        <f ca="1">VLOOKUP(B197,'Base de Datos'!E197:AR508,33,0)</f>
        <v>TERMINO</v>
      </c>
      <c r="S197" s="327" t="str">
        <f t="shared" ca="1" si="17"/>
        <v>NO</v>
      </c>
      <c r="T197" s="324" t="str">
        <f t="shared" ca="1" si="18"/>
        <v>Liquidar</v>
      </c>
      <c r="U197" s="324">
        <f>VLOOKUP(B197,'Base de Datos'!$E$7:$AR$401,38,0)</f>
        <v>42290</v>
      </c>
    </row>
    <row r="198" spans="1:21" ht="23.25" customHeight="1" thickTop="1" thickBot="1" x14ac:dyDescent="0.3">
      <c r="A198" s="108">
        <v>192</v>
      </c>
      <c r="B198" s="324" t="str">
        <f>+'Base de Datos'!E198</f>
        <v>140178-0-2014</v>
      </c>
      <c r="C198" s="324" t="str">
        <f>+'Base de Datos'!F198</f>
        <v>DIRECTV COLOMBIA LTDA</v>
      </c>
      <c r="D198" s="325">
        <f>+'Base de Datos'!I198</f>
        <v>1325400</v>
      </c>
      <c r="E198" s="326">
        <f>+'Base de Datos'!M198</f>
        <v>41738</v>
      </c>
      <c r="F198" s="326">
        <f>+'Base de Datos'!N198</f>
        <v>42102</v>
      </c>
      <c r="G198" s="326">
        <f>+'Base de Datos'!T198</f>
        <v>42102</v>
      </c>
      <c r="H198" s="325">
        <f>+'Base de Datos'!U198</f>
        <v>1607400</v>
      </c>
      <c r="I198" s="327" t="str">
        <f>IF(VLOOKUP(B198,'Base de Datos'!$E$7:$S$303,11,0),"SI","NO")</f>
        <v>SI</v>
      </c>
      <c r="J198" s="328">
        <f t="shared" si="14"/>
        <v>0</v>
      </c>
      <c r="K198" s="327" t="str">
        <f>IF(VLOOKUP(B198,'Base de Datos'!$E$7:$S$303,11,0),"SI","NO")</f>
        <v>SI</v>
      </c>
      <c r="L198" s="328">
        <f t="shared" si="15"/>
        <v>0.21276595744680851</v>
      </c>
      <c r="M198" s="328">
        <f>VLOOKUP(B198,'Base de Datos'!$E$7:$Z$303,21,0)</f>
        <v>0</v>
      </c>
      <c r="N198" s="390" t="str">
        <f t="shared" ca="1" si="19"/>
        <v/>
      </c>
      <c r="O198" s="328">
        <f ca="1">VLOOKUP(B198,'Base de Datos'!$E$7:$Z$303,22,0)</f>
        <v>1</v>
      </c>
      <c r="P198" s="389">
        <f t="shared" ca="1" si="16"/>
        <v>1541</v>
      </c>
      <c r="Q198" s="402">
        <f t="shared" ca="1" si="20"/>
        <v>12.841666666666667</v>
      </c>
      <c r="R198" s="324" t="str">
        <f ca="1">VLOOKUP(B198,'Base de Datos'!E198:AR509,33,0)</f>
        <v>TERMINO</v>
      </c>
      <c r="S198" s="327" t="str">
        <f t="shared" ca="1" si="17"/>
        <v>NO</v>
      </c>
      <c r="T198" s="324" t="str">
        <f t="shared" ca="1" si="18"/>
        <v>Liquidar</v>
      </c>
      <c r="U198" s="324">
        <f>VLOOKUP(B198,'Base de Datos'!$E$7:$AR$401,38,0)</f>
        <v>42304</v>
      </c>
    </row>
    <row r="199" spans="1:21" ht="23.25" customHeight="1" thickTop="1" thickBot="1" x14ac:dyDescent="0.3">
      <c r="A199" s="108">
        <v>193</v>
      </c>
      <c r="B199" s="324" t="str">
        <f>+'Base de Datos'!E199</f>
        <v>140179-0-2014</v>
      </c>
      <c r="C199" s="324" t="str">
        <f>+'Base de Datos'!F199</f>
        <v>SYSTEM NET INGENIERÍA LTDA</v>
      </c>
      <c r="D199" s="325">
        <f>+'Base de Datos'!I199</f>
        <v>4982000</v>
      </c>
      <c r="E199" s="326">
        <f>+'Base de Datos'!M199</f>
        <v>41725</v>
      </c>
      <c r="F199" s="326">
        <f>+'Base de Datos'!N199</f>
        <v>41969</v>
      </c>
      <c r="G199" s="326">
        <f>+'Base de Datos'!T199</f>
        <v>41969</v>
      </c>
      <c r="H199" s="325">
        <f>+'Base de Datos'!U199</f>
        <v>4982000</v>
      </c>
      <c r="I199" s="327" t="str">
        <f>IF(VLOOKUP(B199,'Base de Datos'!$E$7:$S$303,11,0),"SI","NO")</f>
        <v>NO</v>
      </c>
      <c r="J199" s="328" t="str">
        <f t="shared" ref="J199:J262" si="21">IF(I199=$AB$7,((G199-F199)*100%)/(F199-E199),"")</f>
        <v/>
      </c>
      <c r="K199" s="327" t="str">
        <f>IF(VLOOKUP(B199,'Base de Datos'!$E$7:$S$303,11,0),"SI","NO")</f>
        <v>NO</v>
      </c>
      <c r="L199" s="328" t="str">
        <f t="shared" ref="L199:L262" si="22">IF(K199=$AB$7,((H199-D199)*100%)/(D199),"")</f>
        <v/>
      </c>
      <c r="M199" s="328">
        <f>VLOOKUP(B199,'Base de Datos'!$E$7:$Z$303,21,0)</f>
        <v>0.56844640706543559</v>
      </c>
      <c r="N199" s="390" t="str">
        <f t="shared" ca="1" si="19"/>
        <v/>
      </c>
      <c r="O199" s="328">
        <f ca="1">VLOOKUP(B199,'Base de Datos'!$E$7:$Z$303,22,0)</f>
        <v>1</v>
      </c>
      <c r="P199" s="389">
        <f t="shared" ref="P199:P262" ca="1" si="23">IF(R199=$AC$7,"",IFERROR(IF(R199=$AC$8,"",($C$5-G199)),""))</f>
        <v>1674</v>
      </c>
      <c r="Q199" s="402">
        <f t="shared" ca="1" si="20"/>
        <v>13.95</v>
      </c>
      <c r="R199" s="324" t="str">
        <f ca="1">VLOOKUP(B199,'Base de Datos'!E199:AR510,33,0)</f>
        <v>TERMINO</v>
      </c>
      <c r="S199" s="327" t="str">
        <f t="shared" ref="S199:S262" ca="1" si="24">IF((TODAY()-G199&lt;900),"SI","NO")</f>
        <v>NO</v>
      </c>
      <c r="T199" s="324" t="str">
        <f t="shared" ref="T199:T262" ca="1" si="25">IF(R199=$AC$8,"",IF(O199=100%,"Liquidar",IF(R199=$AC$7,"Supervisar","")))</f>
        <v>Liquidar</v>
      </c>
      <c r="U199" s="324">
        <f>VLOOKUP(B199,'Base de Datos'!$E$7:$AR$401,38,0)</f>
        <v>42277</v>
      </c>
    </row>
    <row r="200" spans="1:21" ht="23.25" customHeight="1" thickTop="1" thickBot="1" x14ac:dyDescent="0.3">
      <c r="A200" s="108">
        <v>194</v>
      </c>
      <c r="B200" s="324" t="str">
        <f>+'Base de Datos'!E200</f>
        <v>140181-0-2014</v>
      </c>
      <c r="C200" s="324" t="str">
        <f>+'Base de Datos'!F200</f>
        <v>MODULARES OFIMA LTDA</v>
      </c>
      <c r="D200" s="325">
        <f>+'Base de Datos'!I200</f>
        <v>28000000</v>
      </c>
      <c r="E200" s="326">
        <f>+'Base de Datos'!M200</f>
        <v>41738</v>
      </c>
      <c r="F200" s="326">
        <f>+'Base de Datos'!N200</f>
        <v>41951</v>
      </c>
      <c r="G200" s="326">
        <f>+'Base de Datos'!T200</f>
        <v>41951</v>
      </c>
      <c r="H200" s="325">
        <f>+'Base de Datos'!U200</f>
        <v>28000000</v>
      </c>
      <c r="I200" s="327" t="str">
        <f>IF(VLOOKUP(B200,'Base de Datos'!$E$7:$S$303,11,0),"SI","NO")</f>
        <v>NO</v>
      </c>
      <c r="J200" s="328" t="str">
        <f t="shared" si="21"/>
        <v/>
      </c>
      <c r="K200" s="327" t="str">
        <f>IF(VLOOKUP(B200,'Base de Datos'!$E$7:$S$303,11,0),"SI","NO")</f>
        <v>NO</v>
      </c>
      <c r="L200" s="328" t="str">
        <f t="shared" si="22"/>
        <v/>
      </c>
      <c r="M200" s="328">
        <f>VLOOKUP(B200,'Base de Datos'!$E$7:$Z$303,21,0)</f>
        <v>0.39207999999999998</v>
      </c>
      <c r="N200" s="390" t="str">
        <f t="shared" ref="N200:N263" ca="1" si="26">IF(G200&lt;TODAY(),"",G200-TODAY())</f>
        <v/>
      </c>
      <c r="O200" s="328">
        <f ca="1">VLOOKUP(B200,'Base de Datos'!$E$7:$Z$303,22,0)</f>
        <v>1</v>
      </c>
      <c r="P200" s="389">
        <f t="shared" ca="1" si="23"/>
        <v>1692</v>
      </c>
      <c r="Q200" s="402">
        <f t="shared" ref="Q200:Q263" ca="1" si="27">IF(P200=0,"",(P200*100%)/120)</f>
        <v>14.1</v>
      </c>
      <c r="R200" s="324" t="str">
        <f ca="1">VLOOKUP(B200,'Base de Datos'!E200:AR511,33,0)</f>
        <v>TERMINO</v>
      </c>
      <c r="S200" s="327" t="str">
        <f t="shared" ca="1" si="24"/>
        <v>NO</v>
      </c>
      <c r="T200" s="324" t="str">
        <f t="shared" ca="1" si="25"/>
        <v>Liquidar</v>
      </c>
      <c r="U200" s="324">
        <f>VLOOKUP(B200,'Base de Datos'!$E$7:$AR$401,38,0)</f>
        <v>42242</v>
      </c>
    </row>
    <row r="201" spans="1:21" ht="23.25" customHeight="1" thickTop="1" thickBot="1" x14ac:dyDescent="0.3">
      <c r="A201" s="108">
        <v>195</v>
      </c>
      <c r="B201" s="324" t="str">
        <f>+'Base de Datos'!E201</f>
        <v>140186-0-2014</v>
      </c>
      <c r="C201" s="324" t="str">
        <f>+'Base de Datos'!F201</f>
        <v>SECURITYCOM S.A.S</v>
      </c>
      <c r="D201" s="325">
        <f>+'Base de Datos'!I201</f>
        <v>2122000</v>
      </c>
      <c r="E201" s="326">
        <f>+'Base de Datos'!M201</f>
        <v>41752</v>
      </c>
      <c r="F201" s="326">
        <f>+'Base de Datos'!N201</f>
        <v>42116</v>
      </c>
      <c r="G201" s="326">
        <f>+'Base de Datos'!T201</f>
        <v>42116</v>
      </c>
      <c r="H201" s="325">
        <f>+'Base de Datos'!U201</f>
        <v>2122000</v>
      </c>
      <c r="I201" s="327" t="str">
        <f>IF(VLOOKUP(B201,'Base de Datos'!$E$7:$S$303,11,0),"SI","NO")</f>
        <v>NO</v>
      </c>
      <c r="J201" s="328" t="str">
        <f t="shared" si="21"/>
        <v/>
      </c>
      <c r="K201" s="327" t="str">
        <f>IF(VLOOKUP(B201,'Base de Datos'!$E$7:$S$303,11,0),"SI","NO")</f>
        <v>NO</v>
      </c>
      <c r="L201" s="328" t="str">
        <f t="shared" si="22"/>
        <v/>
      </c>
      <c r="M201" s="328">
        <f>VLOOKUP(B201,'Base de Datos'!$E$7:$Z$303,21,0)</f>
        <v>1</v>
      </c>
      <c r="N201" s="390" t="str">
        <f t="shared" ca="1" si="26"/>
        <v/>
      </c>
      <c r="O201" s="328">
        <f ca="1">VLOOKUP(B201,'Base de Datos'!$E$7:$Z$303,22,0)</f>
        <v>1</v>
      </c>
      <c r="P201" s="389">
        <f t="shared" ca="1" si="23"/>
        <v>1527</v>
      </c>
      <c r="Q201" s="402">
        <f t="shared" ca="1" si="27"/>
        <v>12.725</v>
      </c>
      <c r="R201" s="324" t="str">
        <f ca="1">VLOOKUP(B201,'Base de Datos'!E201:AR512,33,0)</f>
        <v>TERMINO</v>
      </c>
      <c r="S201" s="327" t="str">
        <f t="shared" ca="1" si="24"/>
        <v>NO</v>
      </c>
      <c r="T201" s="324" t="str">
        <f t="shared" ca="1" si="25"/>
        <v>Liquidar</v>
      </c>
      <c r="U201" s="324">
        <f>VLOOKUP(B201,'Base de Datos'!$E$7:$AR$401,38,0)</f>
        <v>0</v>
      </c>
    </row>
    <row r="202" spans="1:21" ht="23.25" customHeight="1" thickTop="1" thickBot="1" x14ac:dyDescent="0.3">
      <c r="A202" s="108">
        <v>196</v>
      </c>
      <c r="B202" s="324" t="str">
        <f>+'Base de Datos'!E202</f>
        <v>140188-0-2014</v>
      </c>
      <c r="C202" s="324" t="str">
        <f>+'Base de Datos'!F202</f>
        <v>HERNANDO  BULLA ORJUELA</v>
      </c>
      <c r="D202" s="325">
        <f>+'Base de Datos'!I202</f>
        <v>20872000</v>
      </c>
      <c r="E202" s="326">
        <f>+'Base de Datos'!M202</f>
        <v>41757</v>
      </c>
      <c r="F202" s="326">
        <f>+'Base de Datos'!N202</f>
        <v>42062</v>
      </c>
      <c r="G202" s="326">
        <f>+'Base de Datos'!T202</f>
        <v>42091</v>
      </c>
      <c r="H202" s="325">
        <f>+'Base de Datos'!U202</f>
        <v>31218000</v>
      </c>
      <c r="I202" s="327" t="str">
        <f>IF(VLOOKUP(B202,'Base de Datos'!$E$7:$S$303,11,0),"SI","NO")</f>
        <v>SI</v>
      </c>
      <c r="J202" s="328">
        <f t="shared" si="21"/>
        <v>9.5081967213114751E-2</v>
      </c>
      <c r="K202" s="327" t="str">
        <f>IF(VLOOKUP(B202,'Base de Datos'!$E$7:$S$303,11,0),"SI","NO")</f>
        <v>SI</v>
      </c>
      <c r="L202" s="328">
        <f t="shared" si="22"/>
        <v>0.49568800306630895</v>
      </c>
      <c r="M202" s="328">
        <f>VLOOKUP(B202,'Base de Datos'!$E$7:$Z$303,21,0)</f>
        <v>0.9472556537894804</v>
      </c>
      <c r="N202" s="390" t="str">
        <f t="shared" ca="1" si="26"/>
        <v/>
      </c>
      <c r="O202" s="328">
        <f ca="1">VLOOKUP(B202,'Base de Datos'!$E$7:$Z$303,22,0)</f>
        <v>1</v>
      </c>
      <c r="P202" s="389">
        <f t="shared" ca="1" si="23"/>
        <v>1552</v>
      </c>
      <c r="Q202" s="402">
        <f t="shared" ca="1" si="27"/>
        <v>12.933333333333334</v>
      </c>
      <c r="R202" s="324" t="str">
        <f ca="1">VLOOKUP(B202,'Base de Datos'!E202:AR513,33,0)</f>
        <v>TERMINO</v>
      </c>
      <c r="S202" s="327" t="str">
        <f t="shared" ca="1" si="24"/>
        <v>NO</v>
      </c>
      <c r="T202" s="324" t="str">
        <f t="shared" ca="1" si="25"/>
        <v>Liquidar</v>
      </c>
      <c r="U202" s="324">
        <f>VLOOKUP(B202,'Base de Datos'!$E$7:$AR$401,38,0)</f>
        <v>42240</v>
      </c>
    </row>
    <row r="203" spans="1:21" ht="23.25" customHeight="1" thickTop="1" thickBot="1" x14ac:dyDescent="0.3">
      <c r="A203" s="108">
        <v>197</v>
      </c>
      <c r="B203" s="324" t="str">
        <f>+'Base de Datos'!E203</f>
        <v>140190-0-2014</v>
      </c>
      <c r="C203" s="324" t="str">
        <f>+'Base de Datos'!F203</f>
        <v>GAMMA INGENIEROS S A</v>
      </c>
      <c r="D203" s="325">
        <f>+'Base de Datos'!I203</f>
        <v>12145200</v>
      </c>
      <c r="E203" s="326">
        <f>+'Base de Datos'!M203</f>
        <v>41764</v>
      </c>
      <c r="F203" s="326">
        <f>+'Base de Datos'!N203</f>
        <v>41901</v>
      </c>
      <c r="G203" s="326">
        <f>+'Base de Datos'!T203</f>
        <v>41901</v>
      </c>
      <c r="H203" s="325">
        <f>+'Base de Datos'!U203</f>
        <v>18217800</v>
      </c>
      <c r="I203" s="327" t="str">
        <f>IF(VLOOKUP(B203,'Base de Datos'!$E$7:$S$303,11,0),"SI","NO")</f>
        <v>SI</v>
      </c>
      <c r="J203" s="328">
        <f t="shared" si="21"/>
        <v>0</v>
      </c>
      <c r="K203" s="327" t="str">
        <f>IF(VLOOKUP(B203,'Base de Datos'!$E$7:$S$303,11,0),"SI","NO")</f>
        <v>SI</v>
      </c>
      <c r="L203" s="328">
        <f t="shared" si="22"/>
        <v>0.5</v>
      </c>
      <c r="M203" s="328">
        <f>VLOOKUP(B203,'Base de Datos'!$E$7:$Z$303,21,0)</f>
        <v>1</v>
      </c>
      <c r="N203" s="390" t="str">
        <f t="shared" ca="1" si="26"/>
        <v/>
      </c>
      <c r="O203" s="328">
        <f ca="1">VLOOKUP(B203,'Base de Datos'!$E$7:$Z$303,22,0)</f>
        <v>1</v>
      </c>
      <c r="P203" s="389">
        <f t="shared" ca="1" si="23"/>
        <v>1742</v>
      </c>
      <c r="Q203" s="402">
        <f t="shared" ca="1" si="27"/>
        <v>14.516666666666667</v>
      </c>
      <c r="R203" s="324" t="str">
        <f ca="1">VLOOKUP(B203,'Base de Datos'!E203:AR514,33,0)</f>
        <v>TERMINO</v>
      </c>
      <c r="S203" s="327" t="str">
        <f t="shared" ca="1" si="24"/>
        <v>NO</v>
      </c>
      <c r="T203" s="324" t="str">
        <f t="shared" ca="1" si="25"/>
        <v>Liquidar</v>
      </c>
      <c r="U203" s="324">
        <f>VLOOKUP(B203,'Base de Datos'!$E$7:$AR$401,38,0)</f>
        <v>42023</v>
      </c>
    </row>
    <row r="204" spans="1:21" ht="23.25" customHeight="1" thickTop="1" thickBot="1" x14ac:dyDescent="0.3">
      <c r="A204" s="108">
        <v>198</v>
      </c>
      <c r="B204" s="324" t="str">
        <f>+'Base de Datos'!E204</f>
        <v>140191-0-2014</v>
      </c>
      <c r="C204" s="324" t="str">
        <f>+'Base de Datos'!F204</f>
        <v>KONNEN SERVICES    S.A.S</v>
      </c>
      <c r="D204" s="325">
        <f>+'Base de Datos'!I204</f>
        <v>1700007</v>
      </c>
      <c r="E204" s="326">
        <f>+'Base de Datos'!M204</f>
        <v>41757</v>
      </c>
      <c r="F204" s="326">
        <f>+'Base de Datos'!N204</f>
        <v>41817</v>
      </c>
      <c r="G204" s="326">
        <f>+'Base de Datos'!T204</f>
        <v>41817</v>
      </c>
      <c r="H204" s="325">
        <f>+'Base de Datos'!U204</f>
        <v>1700007</v>
      </c>
      <c r="I204" s="327" t="str">
        <f>IF(VLOOKUP(B204,'Base de Datos'!$E$7:$S$303,11,0),"SI","NO")</f>
        <v>NO</v>
      </c>
      <c r="J204" s="328" t="str">
        <f t="shared" si="21"/>
        <v/>
      </c>
      <c r="K204" s="327" t="str">
        <f>IF(VLOOKUP(B204,'Base de Datos'!$E$7:$S$303,11,0),"SI","NO")</f>
        <v>NO</v>
      </c>
      <c r="L204" s="328" t="str">
        <f t="shared" si="22"/>
        <v/>
      </c>
      <c r="M204" s="328">
        <f>VLOOKUP(B204,'Base de Datos'!$E$7:$Z$303,21,0)</f>
        <v>0.99999588236989612</v>
      </c>
      <c r="N204" s="390" t="str">
        <f t="shared" ca="1" si="26"/>
        <v/>
      </c>
      <c r="O204" s="328">
        <f ca="1">VLOOKUP(B204,'Base de Datos'!$E$7:$Z$303,22,0)</f>
        <v>1</v>
      </c>
      <c r="P204" s="389">
        <f t="shared" ca="1" si="23"/>
        <v>1826</v>
      </c>
      <c r="Q204" s="402">
        <f t="shared" ca="1" si="27"/>
        <v>15.216666666666667</v>
      </c>
      <c r="R204" s="324" t="str">
        <f ca="1">VLOOKUP(B204,'Base de Datos'!E204:AR515,33,0)</f>
        <v>TERMINO</v>
      </c>
      <c r="S204" s="327" t="str">
        <f t="shared" ca="1" si="24"/>
        <v>NO</v>
      </c>
      <c r="T204" s="324" t="str">
        <f t="shared" ca="1" si="25"/>
        <v>Liquidar</v>
      </c>
      <c r="U204" s="324">
        <f>VLOOKUP(B204,'Base de Datos'!$E$7:$AR$401,38,0)</f>
        <v>0</v>
      </c>
    </row>
    <row r="205" spans="1:21" ht="23.25" customHeight="1" thickTop="1" thickBot="1" x14ac:dyDescent="0.3">
      <c r="A205" s="108">
        <v>199</v>
      </c>
      <c r="B205" s="324" t="str">
        <f>+'Base de Datos'!E205</f>
        <v>140193-0-2014</v>
      </c>
      <c r="C205" s="324" t="str">
        <f>+'Base de Datos'!F205</f>
        <v>GRANADOS Y CONDECORACIONES</v>
      </c>
      <c r="D205" s="325">
        <f>+'Base de Datos'!I205</f>
        <v>32631000</v>
      </c>
      <c r="E205" s="326">
        <f>+'Base de Datos'!M205</f>
        <v>41753</v>
      </c>
      <c r="F205" s="326">
        <f>+'Base de Datos'!N205</f>
        <v>42117</v>
      </c>
      <c r="G205" s="326">
        <f>+'Base de Datos'!T205</f>
        <v>42117</v>
      </c>
      <c r="H205" s="325">
        <f>+'Base de Datos'!U205</f>
        <v>32631000</v>
      </c>
      <c r="I205" s="327" t="str">
        <f>IF(VLOOKUP(B205,'Base de Datos'!$E$7:$S$303,11,0),"SI","NO")</f>
        <v>NO</v>
      </c>
      <c r="J205" s="328" t="str">
        <f t="shared" si="21"/>
        <v/>
      </c>
      <c r="K205" s="327" t="str">
        <f>IF(VLOOKUP(B205,'Base de Datos'!$E$7:$S$303,11,0),"SI","NO")</f>
        <v>NO</v>
      </c>
      <c r="L205" s="328" t="str">
        <f t="shared" si="22"/>
        <v/>
      </c>
      <c r="M205" s="328">
        <f>VLOOKUP(B205,'Base de Datos'!$E$7:$Z$303,21,0)</f>
        <v>0.99888544635469334</v>
      </c>
      <c r="N205" s="390" t="str">
        <f t="shared" ca="1" si="26"/>
        <v/>
      </c>
      <c r="O205" s="328">
        <f ca="1">VLOOKUP(B205,'Base de Datos'!$E$7:$Z$303,22,0)</f>
        <v>1</v>
      </c>
      <c r="P205" s="389">
        <f t="shared" ca="1" si="23"/>
        <v>1526</v>
      </c>
      <c r="Q205" s="402">
        <f t="shared" ca="1" si="27"/>
        <v>12.716666666666667</v>
      </c>
      <c r="R205" s="324" t="str">
        <f ca="1">VLOOKUP(B205,'Base de Datos'!E205:AR516,33,0)</f>
        <v>TERMINO</v>
      </c>
      <c r="S205" s="327" t="str">
        <f t="shared" ca="1" si="24"/>
        <v>NO</v>
      </c>
      <c r="T205" s="324" t="str">
        <f t="shared" ca="1" si="25"/>
        <v>Liquidar</v>
      </c>
      <c r="U205" s="324">
        <f>VLOOKUP(B205,'Base de Datos'!$E$7:$AR$401,38,0)</f>
        <v>0</v>
      </c>
    </row>
    <row r="206" spans="1:21" ht="23.25" customHeight="1" thickTop="1" thickBot="1" x14ac:dyDescent="0.3">
      <c r="A206" s="108">
        <v>200</v>
      </c>
      <c r="B206" s="324" t="str">
        <f>+'Base de Datos'!E206</f>
        <v>140198-0-2014</v>
      </c>
      <c r="C206" s="324" t="str">
        <f>+'Base de Datos'!F206</f>
        <v>A&amp;V EXPRESS S.A.</v>
      </c>
      <c r="D206" s="325">
        <f>+'Base de Datos'!I206</f>
        <v>40000000</v>
      </c>
      <c r="E206" s="326">
        <f>+'Base de Datos'!M206</f>
        <v>41807</v>
      </c>
      <c r="F206" s="326">
        <f>+'Base de Datos'!N206</f>
        <v>42051</v>
      </c>
      <c r="G206" s="326">
        <f>+'Base de Datos'!T206</f>
        <v>42128</v>
      </c>
      <c r="H206" s="325">
        <f>+'Base de Datos'!U206</f>
        <v>45100746</v>
      </c>
      <c r="I206" s="327" t="str">
        <f>IF(VLOOKUP(B206,'Base de Datos'!$E$7:$S$303,11,0),"SI","NO")</f>
        <v>SI</v>
      </c>
      <c r="J206" s="328">
        <f t="shared" si="21"/>
        <v>0.3155737704918033</v>
      </c>
      <c r="K206" s="327" t="str">
        <f>IF(VLOOKUP(B206,'Base de Datos'!$E$7:$S$303,11,0),"SI","NO")</f>
        <v>SI</v>
      </c>
      <c r="L206" s="328">
        <f t="shared" si="22"/>
        <v>0.12751865000000001</v>
      </c>
      <c r="M206" s="328">
        <f>VLOOKUP(B206,'Base de Datos'!$E$7:$Z$303,21,0)</f>
        <v>0.99876396723016514</v>
      </c>
      <c r="N206" s="390" t="str">
        <f t="shared" ca="1" si="26"/>
        <v/>
      </c>
      <c r="O206" s="328">
        <f ca="1">VLOOKUP(B206,'Base de Datos'!$E$7:$Z$303,22,0)</f>
        <v>1</v>
      </c>
      <c r="P206" s="389">
        <f t="shared" ca="1" si="23"/>
        <v>1515</v>
      </c>
      <c r="Q206" s="402">
        <f t="shared" ca="1" si="27"/>
        <v>12.625</v>
      </c>
      <c r="R206" s="324" t="str">
        <f ca="1">VLOOKUP(B206,'Base de Datos'!E206:AR517,33,0)</f>
        <v>TERMINO</v>
      </c>
      <c r="S206" s="327" t="str">
        <f t="shared" ca="1" si="24"/>
        <v>NO</v>
      </c>
      <c r="T206" s="324" t="str">
        <f t="shared" ca="1" si="25"/>
        <v>Liquidar</v>
      </c>
      <c r="U206" s="324">
        <f>VLOOKUP(B206,'Base de Datos'!$E$7:$AR$401,38,0)</f>
        <v>0</v>
      </c>
    </row>
    <row r="207" spans="1:21" ht="23.25" customHeight="1" thickTop="1" thickBot="1" x14ac:dyDescent="0.3">
      <c r="A207" s="108">
        <v>201</v>
      </c>
      <c r="B207" s="324" t="str">
        <f>+'Base de Datos'!E207</f>
        <v>140200-0-2014</v>
      </c>
      <c r="C207" s="324" t="str">
        <f>+'Base de Datos'!F207</f>
        <v>UNIDAD NACIONAL DE PROTECCIÓN  UNP</v>
      </c>
      <c r="D207" s="325">
        <f>+'Base de Datos'!I207</f>
        <v>0</v>
      </c>
      <c r="E207" s="326">
        <f>+'Base de Datos'!M207</f>
        <v>0</v>
      </c>
      <c r="F207" s="326">
        <f>+'Base de Datos'!N207</f>
        <v>0</v>
      </c>
      <c r="G207" s="326">
        <f>+'Base de Datos'!T207</f>
        <v>43890</v>
      </c>
      <c r="H207" s="325">
        <f>+'Base de Datos'!U207</f>
        <v>0</v>
      </c>
      <c r="I207" s="327" t="str">
        <f>IF(VLOOKUP(B207,'Base de Datos'!$E$7:$S$303,11,0),"SI","NO")</f>
        <v>NO</v>
      </c>
      <c r="J207" s="328" t="str">
        <f t="shared" si="21"/>
        <v/>
      </c>
      <c r="K207" s="327" t="str">
        <f>IF(VLOOKUP(B207,'Base de Datos'!$E$7:$S$303,11,0),"SI","NO")</f>
        <v>NO</v>
      </c>
      <c r="L207" s="328" t="str">
        <f t="shared" si="22"/>
        <v/>
      </c>
      <c r="M207" s="328" t="e">
        <f>VLOOKUP(B207,'Base de Datos'!$E$7:$Z$303,21,0)</f>
        <v>#DIV/0!</v>
      </c>
      <c r="N207" s="390">
        <f t="shared" ca="1" si="26"/>
        <v>247</v>
      </c>
      <c r="O207" s="328">
        <f ca="1">VLOOKUP(B207,'Base de Datos'!$E$7:$Z$303,22,0)</f>
        <v>0.99437229437229435</v>
      </c>
      <c r="P207" s="389" t="str">
        <f t="shared" ca="1" si="23"/>
        <v/>
      </c>
      <c r="Q207" s="402" t="e">
        <f t="shared" ca="1" si="27"/>
        <v>#VALUE!</v>
      </c>
      <c r="R207" s="324" t="str">
        <f ca="1">VLOOKUP(B207,'Base de Datos'!E207:AR518,33,0)</f>
        <v>EN EJECUCIÓN</v>
      </c>
      <c r="S207" s="327" t="str">
        <f t="shared" ca="1" si="24"/>
        <v>SI</v>
      </c>
      <c r="T207" s="324" t="str">
        <f t="shared" ca="1" si="25"/>
        <v>Supervisar</v>
      </c>
      <c r="U207" s="324">
        <f>VLOOKUP(B207,'Base de Datos'!$E$7:$AR$401,38,0)</f>
        <v>0</v>
      </c>
    </row>
    <row r="208" spans="1:21" ht="23.25" customHeight="1" thickTop="1" thickBot="1" x14ac:dyDescent="0.3">
      <c r="A208" s="108">
        <v>202</v>
      </c>
      <c r="B208" s="324" t="str">
        <f>+'Base de Datos'!E208</f>
        <v>140201-0-2014</v>
      </c>
      <c r="C208" s="324" t="str">
        <f>+'Base de Datos'!F208</f>
        <v>UNIPLES S.A.</v>
      </c>
      <c r="D208" s="325">
        <f>+'Base de Datos'!I208</f>
        <v>9998117</v>
      </c>
      <c r="E208" s="326">
        <f>+'Base de Datos'!M208</f>
        <v>41794</v>
      </c>
      <c r="F208" s="326">
        <f>+'Base de Datos'!N208</f>
        <v>41855</v>
      </c>
      <c r="G208" s="326">
        <f>+'Base de Datos'!T208</f>
        <v>41855</v>
      </c>
      <c r="H208" s="325">
        <f>+'Base de Datos'!U208</f>
        <v>9998117</v>
      </c>
      <c r="I208" s="327" t="str">
        <f>IF(VLOOKUP(B208,'Base de Datos'!$E$7:$S$303,11,0),"SI","NO")</f>
        <v>NO</v>
      </c>
      <c r="J208" s="328" t="str">
        <f t="shared" si="21"/>
        <v/>
      </c>
      <c r="K208" s="327" t="str">
        <f>IF(VLOOKUP(B208,'Base de Datos'!$E$7:$S$303,11,0),"SI","NO")</f>
        <v>NO</v>
      </c>
      <c r="L208" s="328" t="str">
        <f t="shared" si="22"/>
        <v/>
      </c>
      <c r="M208" s="328">
        <f>VLOOKUP(B208,'Base de Datos'!$E$7:$Z$303,21,0)</f>
        <v>0.99999799962332903</v>
      </c>
      <c r="N208" s="390" t="str">
        <f t="shared" ca="1" si="26"/>
        <v/>
      </c>
      <c r="O208" s="328">
        <f ca="1">VLOOKUP(B208,'Base de Datos'!$E$7:$Z$303,22,0)</f>
        <v>1</v>
      </c>
      <c r="P208" s="389">
        <f t="shared" ca="1" si="23"/>
        <v>1788</v>
      </c>
      <c r="Q208" s="402">
        <f t="shared" ca="1" si="27"/>
        <v>14.9</v>
      </c>
      <c r="R208" s="324" t="str">
        <f ca="1">VLOOKUP(B208,'Base de Datos'!E208:AR519,33,0)</f>
        <v>TERMINO</v>
      </c>
      <c r="S208" s="327" t="str">
        <f t="shared" ca="1" si="24"/>
        <v>NO</v>
      </c>
      <c r="T208" s="324" t="str">
        <f t="shared" ca="1" si="25"/>
        <v>Liquidar</v>
      </c>
      <c r="U208" s="324">
        <f>VLOOKUP(B208,'Base de Datos'!$E$7:$AR$401,38,0)</f>
        <v>42306</v>
      </c>
    </row>
    <row r="209" spans="1:21" ht="23.25" customHeight="1" thickTop="1" thickBot="1" x14ac:dyDescent="0.3">
      <c r="A209" s="108">
        <v>203</v>
      </c>
      <c r="B209" s="324" t="str">
        <f>+'Base de Datos'!E209</f>
        <v>140260-0-2014</v>
      </c>
      <c r="C209" s="324" t="str">
        <f>+'Base de Datos'!F209</f>
        <v>IDENTICO SAS</v>
      </c>
      <c r="D209" s="325">
        <f>+'Base de Datos'!I209</f>
        <v>14975600</v>
      </c>
      <c r="E209" s="326">
        <f>+'Base de Datos'!M209</f>
        <v>41871</v>
      </c>
      <c r="F209" s="326">
        <f>+'Base de Datos'!N209</f>
        <v>41932</v>
      </c>
      <c r="G209" s="326">
        <f>+'Base de Datos'!T209</f>
        <v>41932</v>
      </c>
      <c r="H209" s="325">
        <f>+'Base de Datos'!U209</f>
        <v>14975600</v>
      </c>
      <c r="I209" s="327" t="str">
        <f>IF(VLOOKUP(B209,'Base de Datos'!$E$7:$S$303,11,0),"SI","NO")</f>
        <v>NO</v>
      </c>
      <c r="J209" s="328" t="str">
        <f t="shared" si="21"/>
        <v/>
      </c>
      <c r="K209" s="327" t="str">
        <f>IF(VLOOKUP(B209,'Base de Datos'!$E$7:$S$303,11,0),"SI","NO")</f>
        <v>NO</v>
      </c>
      <c r="L209" s="328" t="str">
        <f t="shared" si="22"/>
        <v/>
      </c>
      <c r="M209" s="328">
        <f>VLOOKUP(B209,'Base de Datos'!$E$7:$Z$303,21,0)</f>
        <v>1</v>
      </c>
      <c r="N209" s="390" t="str">
        <f t="shared" ca="1" si="26"/>
        <v/>
      </c>
      <c r="O209" s="328">
        <f ca="1">VLOOKUP(B209,'Base de Datos'!$E$7:$Z$303,22,0)</f>
        <v>1</v>
      </c>
      <c r="P209" s="389">
        <f t="shared" ca="1" si="23"/>
        <v>1711</v>
      </c>
      <c r="Q209" s="402">
        <f t="shared" ca="1" si="27"/>
        <v>14.258333333333333</v>
      </c>
      <c r="R209" s="324" t="str">
        <f ca="1">VLOOKUP(B209,'Base de Datos'!E209:AR520,33,0)</f>
        <v>TERMINO</v>
      </c>
      <c r="S209" s="327" t="str">
        <f t="shared" ca="1" si="24"/>
        <v>NO</v>
      </c>
      <c r="T209" s="324" t="str">
        <f t="shared" ca="1" si="25"/>
        <v>Liquidar</v>
      </c>
      <c r="U209" s="324">
        <f>VLOOKUP(B209,'Base de Datos'!$E$7:$AR$401,38,0)</f>
        <v>42051</v>
      </c>
    </row>
    <row r="210" spans="1:21" ht="23.25" customHeight="1" thickTop="1" thickBot="1" x14ac:dyDescent="0.3">
      <c r="A210" s="108">
        <v>204</v>
      </c>
      <c r="B210" s="324" t="str">
        <f>+'Base de Datos'!E210</f>
        <v>140207-0-2014</v>
      </c>
      <c r="C210" s="324" t="str">
        <f>+'Base de Datos'!F210</f>
        <v>MUDANZAS EL NOGAL SAS</v>
      </c>
      <c r="D210" s="325">
        <f>+'Base de Datos'!I210</f>
        <v>12000000</v>
      </c>
      <c r="E210" s="326">
        <f>+'Base de Datos'!M210</f>
        <v>41824</v>
      </c>
      <c r="F210" s="326">
        <f>+'Base de Datos'!N210</f>
        <v>42066</v>
      </c>
      <c r="G210" s="326">
        <f>+'Base de Datos'!T210</f>
        <v>42312</v>
      </c>
      <c r="H210" s="325">
        <f>+'Base de Datos'!U210</f>
        <v>12000000</v>
      </c>
      <c r="I210" s="327" t="str">
        <f>IF(VLOOKUP(B210,'Base de Datos'!$E$7:$S$303,11,0),"SI","NO")</f>
        <v>NO</v>
      </c>
      <c r="J210" s="328" t="str">
        <f t="shared" si="21"/>
        <v/>
      </c>
      <c r="K210" s="327" t="str">
        <f>IF(VLOOKUP(B210,'Base de Datos'!$E$7:$S$303,11,0),"SI","NO")</f>
        <v>NO</v>
      </c>
      <c r="L210" s="328" t="str">
        <f t="shared" si="22"/>
        <v/>
      </c>
      <c r="M210" s="328">
        <f>VLOOKUP(B210,'Base de Datos'!$E$7:$Z$303,21,0)</f>
        <v>0.9</v>
      </c>
      <c r="N210" s="390" t="str">
        <f t="shared" ca="1" si="26"/>
        <v/>
      </c>
      <c r="O210" s="328">
        <f ca="1">VLOOKUP(B210,'Base de Datos'!$E$7:$Z$303,22,0)</f>
        <v>1</v>
      </c>
      <c r="P210" s="389">
        <f t="shared" ca="1" si="23"/>
        <v>1331</v>
      </c>
      <c r="Q210" s="402">
        <f t="shared" ca="1" si="27"/>
        <v>11.091666666666667</v>
      </c>
      <c r="R210" s="324" t="str">
        <f ca="1">VLOOKUP(B210,'Base de Datos'!E210:AR521,33,0)</f>
        <v>TERMINO</v>
      </c>
      <c r="S210" s="327" t="str">
        <f t="shared" ca="1" si="24"/>
        <v>NO</v>
      </c>
      <c r="T210" s="324" t="str">
        <f t="shared" ca="1" si="25"/>
        <v>Liquidar</v>
      </c>
      <c r="U210" s="324">
        <f>VLOOKUP(B210,'Base de Datos'!$E$7:$AR$401,38,0)</f>
        <v>0</v>
      </c>
    </row>
    <row r="211" spans="1:21" ht="23.25" customHeight="1" thickTop="1" thickBot="1" x14ac:dyDescent="0.3">
      <c r="A211" s="108">
        <v>205</v>
      </c>
      <c r="B211" s="324" t="str">
        <f>+'Base de Datos'!E211</f>
        <v>140212-0-2014</v>
      </c>
      <c r="C211" s="324" t="str">
        <f>+'Base de Datos'!F211</f>
        <v>TECNOLOGÍA BIOMÉDICA</v>
      </c>
      <c r="D211" s="325">
        <f>+'Base de Datos'!I211</f>
        <v>5719790</v>
      </c>
      <c r="E211" s="326">
        <f>+'Base de Datos'!M211</f>
        <v>41807</v>
      </c>
      <c r="F211" s="326">
        <f>+'Base de Datos'!N211</f>
        <v>41867</v>
      </c>
      <c r="G211" s="326">
        <f>+'Base de Datos'!T211</f>
        <v>41867</v>
      </c>
      <c r="H211" s="325">
        <f>+'Base de Datos'!U211</f>
        <v>5719790</v>
      </c>
      <c r="I211" s="327" t="str">
        <f>IF(VLOOKUP(B211,'Base de Datos'!$E$7:$S$303,11,0),"SI","NO")</f>
        <v>NO</v>
      </c>
      <c r="J211" s="328" t="str">
        <f t="shared" si="21"/>
        <v/>
      </c>
      <c r="K211" s="327" t="str">
        <f>IF(VLOOKUP(B211,'Base de Datos'!$E$7:$S$303,11,0),"SI","NO")</f>
        <v>NO</v>
      </c>
      <c r="L211" s="328" t="str">
        <f t="shared" si="22"/>
        <v/>
      </c>
      <c r="M211" s="328">
        <f>VLOOKUP(B211,'Base de Datos'!$E$7:$Z$303,21,0)</f>
        <v>1</v>
      </c>
      <c r="N211" s="390" t="str">
        <f t="shared" ca="1" si="26"/>
        <v/>
      </c>
      <c r="O211" s="328">
        <f ca="1">VLOOKUP(B211,'Base de Datos'!$E$7:$Z$303,22,0)</f>
        <v>1</v>
      </c>
      <c r="P211" s="389">
        <f t="shared" ca="1" si="23"/>
        <v>1776</v>
      </c>
      <c r="Q211" s="402">
        <f t="shared" ca="1" si="27"/>
        <v>14.8</v>
      </c>
      <c r="R211" s="324" t="str">
        <f ca="1">VLOOKUP(B211,'Base de Datos'!E211:AR522,33,0)</f>
        <v>TERMINO</v>
      </c>
      <c r="S211" s="327" t="str">
        <f t="shared" ca="1" si="24"/>
        <v>NO</v>
      </c>
      <c r="T211" s="324" t="str">
        <f t="shared" ca="1" si="25"/>
        <v>Liquidar</v>
      </c>
      <c r="U211" s="324">
        <f>VLOOKUP(B211,'Base de Datos'!$E$7:$AR$401,38,0)</f>
        <v>41919</v>
      </c>
    </row>
    <row r="212" spans="1:21" ht="23.25" customHeight="1" thickTop="1" thickBot="1" x14ac:dyDescent="0.3">
      <c r="A212" s="108">
        <v>206</v>
      </c>
      <c r="B212" s="324" t="str">
        <f>+'Base de Datos'!E212</f>
        <v>140215-0-2014</v>
      </c>
      <c r="C212" s="324" t="str">
        <f>+'Base de Datos'!F212</f>
        <v xml:space="preserve">UNIÓN TEMPORAL EMINSER-SOLOASEO </v>
      </c>
      <c r="D212" s="325">
        <f>+'Base de Datos'!I212</f>
        <v>337487000</v>
      </c>
      <c r="E212" s="326">
        <f>+'Base de Datos'!M212</f>
        <v>41811</v>
      </c>
      <c r="F212" s="326">
        <f>+'Base de Datos'!N212</f>
        <v>42130</v>
      </c>
      <c r="G212" s="326">
        <f>+'Base de Datos'!T212</f>
        <v>42186</v>
      </c>
      <c r="H212" s="325">
        <f>+'Base de Datos'!U212</f>
        <v>337487000</v>
      </c>
      <c r="I212" s="327" t="str">
        <f>IF(VLOOKUP(B212,'Base de Datos'!$E$7:$S$303,11,0),"SI","NO")</f>
        <v>NO</v>
      </c>
      <c r="J212" s="328" t="str">
        <f t="shared" si="21"/>
        <v/>
      </c>
      <c r="K212" s="327" t="str">
        <f>IF(VLOOKUP(B212,'Base de Datos'!$E$7:$S$303,11,0),"SI","NO")</f>
        <v>NO</v>
      </c>
      <c r="L212" s="328" t="str">
        <f t="shared" si="22"/>
        <v/>
      </c>
      <c r="M212" s="328">
        <f>VLOOKUP(B212,'Base de Datos'!$E$7:$Z$303,21,0)</f>
        <v>0.99999999407384577</v>
      </c>
      <c r="N212" s="390" t="str">
        <f t="shared" ca="1" si="26"/>
        <v/>
      </c>
      <c r="O212" s="328">
        <f ca="1">VLOOKUP(B212,'Base de Datos'!$E$7:$Z$303,22,0)</f>
        <v>1</v>
      </c>
      <c r="P212" s="389">
        <f t="shared" ca="1" si="23"/>
        <v>1457</v>
      </c>
      <c r="Q212" s="402">
        <f t="shared" ca="1" si="27"/>
        <v>12.141666666666667</v>
      </c>
      <c r="R212" s="324" t="str">
        <f ca="1">VLOOKUP(B212,'Base de Datos'!E212:AR523,33,0)</f>
        <v>TERMINO</v>
      </c>
      <c r="S212" s="327" t="str">
        <f t="shared" ca="1" si="24"/>
        <v>NO</v>
      </c>
      <c r="T212" s="324" t="str">
        <f t="shared" ca="1" si="25"/>
        <v>Liquidar</v>
      </c>
      <c r="U212" s="324">
        <f>VLOOKUP(B212,'Base de Datos'!$E$7:$AR$401,38,0)</f>
        <v>0</v>
      </c>
    </row>
    <row r="213" spans="1:21" ht="23.25" customHeight="1" thickTop="1" thickBot="1" x14ac:dyDescent="0.3">
      <c r="A213" s="108">
        <v>207</v>
      </c>
      <c r="B213" s="324" t="str">
        <f>+'Base de Datos'!E213</f>
        <v>140216-0-2014</v>
      </c>
      <c r="C213" s="324" t="str">
        <f>+'Base de Datos'!F213</f>
        <v>UNIDAD NACIONAL DE PROTECCIÓN</v>
      </c>
      <c r="D213" s="325">
        <f>+'Base de Datos'!I213</f>
        <v>2447846100</v>
      </c>
      <c r="E213" s="326">
        <f>+'Base de Datos'!M213</f>
        <v>41808</v>
      </c>
      <c r="F213" s="326">
        <f>+'Base de Datos'!N213</f>
        <v>42021</v>
      </c>
      <c r="G213" s="326">
        <f>+'Base de Datos'!T213</f>
        <v>42116</v>
      </c>
      <c r="H213" s="325">
        <f>+'Base de Datos'!U213</f>
        <v>3463454100</v>
      </c>
      <c r="I213" s="327" t="str">
        <f>IF(VLOOKUP(B213,'Base de Datos'!$E$7:$S$303,11,0),"SI","NO")</f>
        <v>SI</v>
      </c>
      <c r="J213" s="328">
        <f t="shared" si="21"/>
        <v>0.4460093896713615</v>
      </c>
      <c r="K213" s="327" t="str">
        <f>IF(VLOOKUP(B213,'Base de Datos'!$E$7:$S$303,11,0),"SI","NO")</f>
        <v>SI</v>
      </c>
      <c r="L213" s="328">
        <f t="shared" si="22"/>
        <v>0.41489863272041488</v>
      </c>
      <c r="M213" s="328">
        <f>VLOOKUP(B213,'Base de Datos'!$E$7:$Z$303,21,0)</f>
        <v>0.95865674385579414</v>
      </c>
      <c r="N213" s="390" t="str">
        <f t="shared" ca="1" si="26"/>
        <v/>
      </c>
      <c r="O213" s="328">
        <f ca="1">VLOOKUP(B213,'Base de Datos'!$E$7:$Z$303,22,0)</f>
        <v>1</v>
      </c>
      <c r="P213" s="389">
        <f t="shared" ca="1" si="23"/>
        <v>1527</v>
      </c>
      <c r="Q213" s="402">
        <f t="shared" ca="1" si="27"/>
        <v>12.725</v>
      </c>
      <c r="R213" s="324" t="str">
        <f ca="1">VLOOKUP(B213,'Base de Datos'!E213:AR524,33,0)</f>
        <v>TERMINO</v>
      </c>
      <c r="S213" s="327" t="str">
        <f t="shared" ca="1" si="24"/>
        <v>NO</v>
      </c>
      <c r="T213" s="324" t="str">
        <f t="shared" ca="1" si="25"/>
        <v>Liquidar</v>
      </c>
      <c r="U213" s="324">
        <f>VLOOKUP(B213,'Base de Datos'!$E$7:$AR$401,38,0)</f>
        <v>0</v>
      </c>
    </row>
    <row r="214" spans="1:21" ht="23.25" customHeight="1" thickTop="1" thickBot="1" x14ac:dyDescent="0.3">
      <c r="A214" s="108">
        <v>208</v>
      </c>
      <c r="B214" s="324" t="str">
        <f>+'Base de Datos'!E214</f>
        <v>140219-0-2014</v>
      </c>
      <c r="C214" s="324" t="str">
        <f>+'Base de Datos'!F214</f>
        <v>MARKETGROUP SAS</v>
      </c>
      <c r="D214" s="325">
        <f>+'Base de Datos'!I214</f>
        <v>330000</v>
      </c>
      <c r="E214" s="326">
        <f>+'Base de Datos'!M214</f>
        <v>41841</v>
      </c>
      <c r="F214" s="326">
        <f>+'Base de Datos'!N214</f>
        <v>41872</v>
      </c>
      <c r="G214" s="326">
        <f>+'Base de Datos'!T214</f>
        <v>41872</v>
      </c>
      <c r="H214" s="325">
        <f>+'Base de Datos'!U214</f>
        <v>330000</v>
      </c>
      <c r="I214" s="327" t="str">
        <f>IF(VLOOKUP(B214,'Base de Datos'!$E$7:$S$303,11,0),"SI","NO")</f>
        <v>NO</v>
      </c>
      <c r="J214" s="328" t="str">
        <f t="shared" si="21"/>
        <v/>
      </c>
      <c r="K214" s="327" t="str">
        <f>IF(VLOOKUP(B214,'Base de Datos'!$E$7:$S$303,11,0),"SI","NO")</f>
        <v>NO</v>
      </c>
      <c r="L214" s="328" t="str">
        <f t="shared" si="22"/>
        <v/>
      </c>
      <c r="M214" s="328">
        <f>VLOOKUP(B214,'Base de Datos'!$E$7:$Z$303,21,0)</f>
        <v>1</v>
      </c>
      <c r="N214" s="390" t="str">
        <f t="shared" ca="1" si="26"/>
        <v/>
      </c>
      <c r="O214" s="328">
        <f ca="1">VLOOKUP(B214,'Base de Datos'!$E$7:$Z$303,22,0)</f>
        <v>1</v>
      </c>
      <c r="P214" s="389">
        <f t="shared" ca="1" si="23"/>
        <v>1771</v>
      </c>
      <c r="Q214" s="402">
        <f t="shared" ca="1" si="27"/>
        <v>14.758333333333333</v>
      </c>
      <c r="R214" s="324" t="str">
        <f ca="1">VLOOKUP(B214,'Base de Datos'!E214:AR525,33,0)</f>
        <v>TERMINO</v>
      </c>
      <c r="S214" s="327" t="str">
        <f t="shared" ca="1" si="24"/>
        <v>NO</v>
      </c>
      <c r="T214" s="324" t="str">
        <f t="shared" ca="1" si="25"/>
        <v>Liquidar</v>
      </c>
      <c r="U214" s="324">
        <f>VLOOKUP(B214,'Base de Datos'!$E$7:$AR$401,38,0)</f>
        <v>42306</v>
      </c>
    </row>
    <row r="215" spans="1:21" ht="23.25" customHeight="1" thickTop="1" thickBot="1" x14ac:dyDescent="0.3">
      <c r="A215" s="108">
        <v>209</v>
      </c>
      <c r="B215" s="324" t="str">
        <f>+'Base de Datos'!E215</f>
        <v>140220-0-2014</v>
      </c>
      <c r="C215" s="324" t="str">
        <f>+'Base de Datos'!F215</f>
        <v>ORGANIZACIÓN TERPEL S.A.</v>
      </c>
      <c r="D215" s="325">
        <f>+'Base de Datos'!I215</f>
        <v>251750000</v>
      </c>
      <c r="E215" s="326">
        <f>+'Base de Datos'!M215</f>
        <v>41806</v>
      </c>
      <c r="F215" s="326">
        <f>+'Base de Datos'!N215</f>
        <v>41959</v>
      </c>
      <c r="G215" s="326">
        <f>+'Base de Datos'!T215</f>
        <v>41959</v>
      </c>
      <c r="H215" s="325">
        <f>+'Base de Datos'!U215</f>
        <v>251750000</v>
      </c>
      <c r="I215" s="327" t="str">
        <f>IF(VLOOKUP(B215,'Base de Datos'!$E$7:$S$303,11,0),"SI","NO")</f>
        <v>NO</v>
      </c>
      <c r="J215" s="328" t="str">
        <f t="shared" si="21"/>
        <v/>
      </c>
      <c r="K215" s="327" t="str">
        <f>IF(VLOOKUP(B215,'Base de Datos'!$E$7:$S$303,11,0),"SI","NO")</f>
        <v>NO</v>
      </c>
      <c r="L215" s="328" t="str">
        <f t="shared" si="22"/>
        <v/>
      </c>
      <c r="M215" s="328">
        <f>VLOOKUP(B215,'Base de Datos'!$E$7:$Z$303,21,0)</f>
        <v>0.71573656802383312</v>
      </c>
      <c r="N215" s="390" t="str">
        <f t="shared" ca="1" si="26"/>
        <v/>
      </c>
      <c r="O215" s="328">
        <f ca="1">VLOOKUP(B215,'Base de Datos'!$E$7:$Z$303,22,0)</f>
        <v>1</v>
      </c>
      <c r="P215" s="389">
        <f t="shared" ca="1" si="23"/>
        <v>1684</v>
      </c>
      <c r="Q215" s="402">
        <f t="shared" ca="1" si="27"/>
        <v>14.033333333333333</v>
      </c>
      <c r="R215" s="324" t="str">
        <f ca="1">VLOOKUP(B215,'Base de Datos'!E215:AR526,33,0)</f>
        <v>TERMINO</v>
      </c>
      <c r="S215" s="327" t="str">
        <f t="shared" ca="1" si="24"/>
        <v>NO</v>
      </c>
      <c r="T215" s="324" t="str">
        <f t="shared" ca="1" si="25"/>
        <v>Liquidar</v>
      </c>
      <c r="U215" s="324">
        <f>VLOOKUP(B215,'Base de Datos'!$E$7:$AR$401,38,0)</f>
        <v>0</v>
      </c>
    </row>
    <row r="216" spans="1:21" ht="23.25" customHeight="1" thickTop="1" thickBot="1" x14ac:dyDescent="0.3">
      <c r="A216" s="108">
        <v>210</v>
      </c>
      <c r="B216" s="324" t="str">
        <f>+'Base de Datos'!E216</f>
        <v>140221-0-2014</v>
      </c>
      <c r="C216" s="324" t="str">
        <f>+'Base de Datos'!F216</f>
        <v>INGENIERÍA DE BOMBAS Y PLANTAS LIMITADA</v>
      </c>
      <c r="D216" s="325">
        <f>+'Base de Datos'!I216</f>
        <v>6252000</v>
      </c>
      <c r="E216" s="326">
        <f>+'Base de Datos'!M216</f>
        <v>41842</v>
      </c>
      <c r="F216" s="326">
        <f>+'Base de Datos'!N216</f>
        <v>42207</v>
      </c>
      <c r="G216" s="326">
        <f>+'Base de Datos'!T216</f>
        <v>42207</v>
      </c>
      <c r="H216" s="325">
        <f>+'Base de Datos'!U216</f>
        <v>6252000</v>
      </c>
      <c r="I216" s="327" t="str">
        <f>IF(VLOOKUP(B216,'Base de Datos'!$E$7:$S$303,11,0),"SI","NO")</f>
        <v>NO</v>
      </c>
      <c r="J216" s="328" t="str">
        <f t="shared" si="21"/>
        <v/>
      </c>
      <c r="K216" s="327" t="str">
        <f>IF(VLOOKUP(B216,'Base de Datos'!$E$7:$S$303,11,0),"SI","NO")</f>
        <v>NO</v>
      </c>
      <c r="L216" s="328" t="str">
        <f t="shared" si="22"/>
        <v/>
      </c>
      <c r="M216" s="328">
        <f>VLOOKUP(B216,'Base de Datos'!$E$7:$Z$303,21,0)</f>
        <v>0.90614027511196416</v>
      </c>
      <c r="N216" s="390" t="str">
        <f t="shared" ca="1" si="26"/>
        <v/>
      </c>
      <c r="O216" s="328">
        <f ca="1">VLOOKUP(B216,'Base de Datos'!$E$7:$Z$303,22,0)</f>
        <v>1</v>
      </c>
      <c r="P216" s="389">
        <f t="shared" ca="1" si="23"/>
        <v>1436</v>
      </c>
      <c r="Q216" s="402">
        <f t="shared" ca="1" si="27"/>
        <v>11.966666666666667</v>
      </c>
      <c r="R216" s="324" t="str">
        <f ca="1">VLOOKUP(B216,'Base de Datos'!E216:AR527,33,0)</f>
        <v>TERMINO</v>
      </c>
      <c r="S216" s="327" t="str">
        <f t="shared" ca="1" si="24"/>
        <v>NO</v>
      </c>
      <c r="T216" s="324" t="str">
        <f t="shared" ca="1" si="25"/>
        <v>Liquidar</v>
      </c>
      <c r="U216" s="324">
        <f>VLOOKUP(B216,'Base de Datos'!$E$7:$AR$401,38,0)</f>
        <v>0</v>
      </c>
    </row>
    <row r="217" spans="1:21" ht="23.25" customHeight="1" thickTop="1" thickBot="1" x14ac:dyDescent="0.3">
      <c r="A217" s="108">
        <v>211</v>
      </c>
      <c r="B217" s="324" t="str">
        <f>+'Base de Datos'!E217</f>
        <v>140222-0-2014</v>
      </c>
      <c r="C217" s="324" t="str">
        <f>+'Base de Datos'!F217</f>
        <v>JOSÉ SADY SUAVITA ROJAS</v>
      </c>
      <c r="D217" s="325">
        <f>+'Base de Datos'!I217</f>
        <v>2962640</v>
      </c>
      <c r="E217" s="326">
        <f>+'Base de Datos'!M217</f>
        <v>41838</v>
      </c>
      <c r="F217" s="326">
        <f>+'Base de Datos'!N217</f>
        <v>41852</v>
      </c>
      <c r="G217" s="326">
        <f>+'Base de Datos'!T217</f>
        <v>41852</v>
      </c>
      <c r="H217" s="325">
        <f>+'Base de Datos'!U217</f>
        <v>2962640</v>
      </c>
      <c r="I217" s="327" t="str">
        <f>IF(VLOOKUP(B217,'Base de Datos'!$E$7:$S$303,11,0),"SI","NO")</f>
        <v>NO</v>
      </c>
      <c r="J217" s="328" t="str">
        <f t="shared" si="21"/>
        <v/>
      </c>
      <c r="K217" s="327" t="str">
        <f>IF(VLOOKUP(B217,'Base de Datos'!$E$7:$S$303,11,0),"SI","NO")</f>
        <v>NO</v>
      </c>
      <c r="L217" s="328" t="str">
        <f t="shared" si="22"/>
        <v/>
      </c>
      <c r="M217" s="328">
        <f>VLOOKUP(B217,'Base de Datos'!$E$7:$Z$303,21,0)</f>
        <v>1</v>
      </c>
      <c r="N217" s="390" t="str">
        <f t="shared" ca="1" si="26"/>
        <v/>
      </c>
      <c r="O217" s="328">
        <f ca="1">VLOOKUP(B217,'Base de Datos'!$E$7:$Z$303,22,0)</f>
        <v>1</v>
      </c>
      <c r="P217" s="389">
        <f t="shared" ca="1" si="23"/>
        <v>1791</v>
      </c>
      <c r="Q217" s="402">
        <f t="shared" ca="1" si="27"/>
        <v>14.925000000000001</v>
      </c>
      <c r="R217" s="324" t="str">
        <f ca="1">VLOOKUP(B217,'Base de Datos'!E217:AR528,33,0)</f>
        <v>TERMINO</v>
      </c>
      <c r="S217" s="327" t="str">
        <f t="shared" ca="1" si="24"/>
        <v>NO</v>
      </c>
      <c r="T217" s="324" t="str">
        <f t="shared" ca="1" si="25"/>
        <v>Liquidar</v>
      </c>
      <c r="U217" s="324">
        <f>VLOOKUP(B217,'Base de Datos'!$E$7:$AR$401,38,0)</f>
        <v>42088</v>
      </c>
    </row>
    <row r="218" spans="1:21" ht="23.25" customHeight="1" thickTop="1" thickBot="1" x14ac:dyDescent="0.3">
      <c r="A218" s="108">
        <v>212</v>
      </c>
      <c r="B218" s="324" t="str">
        <f>+'Base de Datos'!E218</f>
        <v>140228-0-2014</v>
      </c>
      <c r="C218" s="324" t="str">
        <f>+'Base de Datos'!F218</f>
        <v>T Y G MINOLTA</v>
      </c>
      <c r="D218" s="325">
        <f>+'Base de Datos'!I218</f>
        <v>36581760</v>
      </c>
      <c r="E218" s="326">
        <f>+'Base de Datos'!M218</f>
        <v>41821</v>
      </c>
      <c r="F218" s="326">
        <f>+'Base de Datos'!N218</f>
        <v>42093</v>
      </c>
      <c r="G218" s="326">
        <f>+'Base de Datos'!T218</f>
        <v>42186</v>
      </c>
      <c r="H218" s="325">
        <f>+'Base de Datos'!U218</f>
        <v>36581760</v>
      </c>
      <c r="I218" s="327" t="str">
        <f>IF(VLOOKUP(B218,'Base de Datos'!$E$7:$S$303,11,0),"SI","NO")</f>
        <v>NO</v>
      </c>
      <c r="J218" s="328" t="str">
        <f t="shared" si="21"/>
        <v/>
      </c>
      <c r="K218" s="327" t="str">
        <f>IF(VLOOKUP(B218,'Base de Datos'!$E$7:$S$303,11,0),"SI","NO")</f>
        <v>NO</v>
      </c>
      <c r="L218" s="328" t="str">
        <f t="shared" si="22"/>
        <v/>
      </c>
      <c r="M218" s="328">
        <f>VLOOKUP(B218,'Base de Datos'!$E$7:$Z$303,21,0)</f>
        <v>0.93935660832064938</v>
      </c>
      <c r="N218" s="390" t="str">
        <f t="shared" ca="1" si="26"/>
        <v/>
      </c>
      <c r="O218" s="328">
        <f ca="1">VLOOKUP(B218,'Base de Datos'!$E$7:$Z$303,22,0)</f>
        <v>1</v>
      </c>
      <c r="P218" s="389">
        <f t="shared" ca="1" si="23"/>
        <v>1457</v>
      </c>
      <c r="Q218" s="402">
        <f t="shared" ca="1" si="27"/>
        <v>12.141666666666667</v>
      </c>
      <c r="R218" s="324" t="str">
        <f ca="1">VLOOKUP(B218,'Base de Datos'!E218:AR529,33,0)</f>
        <v>TERMINO</v>
      </c>
      <c r="S218" s="327" t="str">
        <f t="shared" ca="1" si="24"/>
        <v>NO</v>
      </c>
      <c r="T218" s="324" t="str">
        <f t="shared" ca="1" si="25"/>
        <v>Liquidar</v>
      </c>
      <c r="U218" s="324">
        <f>VLOOKUP(B218,'Base de Datos'!$E$7:$AR$401,38,0)</f>
        <v>0</v>
      </c>
    </row>
    <row r="219" spans="1:21" ht="23.25" customHeight="1" thickTop="1" thickBot="1" x14ac:dyDescent="0.3">
      <c r="A219" s="108">
        <v>213</v>
      </c>
      <c r="B219" s="324" t="str">
        <f>+'Base de Datos'!E219</f>
        <v>140233-0-2014</v>
      </c>
      <c r="C219" s="324" t="str">
        <f>+'Base de Datos'!F219</f>
        <v>ELKIN MAURICIO DIMAS MONTAYA</v>
      </c>
      <c r="D219" s="325">
        <f>+'Base de Datos'!I219</f>
        <v>16390000</v>
      </c>
      <c r="E219" s="326">
        <f>+'Base de Datos'!M219</f>
        <v>41799</v>
      </c>
      <c r="F219" s="326">
        <f>+'Base de Datos'!N219</f>
        <v>42193</v>
      </c>
      <c r="G219" s="326">
        <f>+'Base de Datos'!T219</f>
        <v>42247</v>
      </c>
      <c r="H219" s="325">
        <f>+'Base de Datos'!U219</f>
        <v>18714400</v>
      </c>
      <c r="I219" s="327" t="str">
        <f>IF(VLOOKUP(B219,'Base de Datos'!$E$7:$S$303,11,0),"SI","NO")</f>
        <v>SI</v>
      </c>
      <c r="J219" s="328">
        <f t="shared" si="21"/>
        <v>0.13705583756345177</v>
      </c>
      <c r="K219" s="327" t="str">
        <f>IF(VLOOKUP(B219,'Base de Datos'!$E$7:$S$303,11,0),"SI","NO")</f>
        <v>SI</v>
      </c>
      <c r="L219" s="328">
        <f t="shared" si="22"/>
        <v>0.14181818181818182</v>
      </c>
      <c r="M219" s="328">
        <f>VLOOKUP(B219,'Base de Datos'!$E$7:$Z$303,21,0)</f>
        <v>1</v>
      </c>
      <c r="N219" s="390" t="str">
        <f t="shared" ca="1" si="26"/>
        <v/>
      </c>
      <c r="O219" s="328">
        <f ca="1">VLOOKUP(B219,'Base de Datos'!$E$7:$Z$303,22,0)</f>
        <v>1</v>
      </c>
      <c r="P219" s="389">
        <f t="shared" ca="1" si="23"/>
        <v>1396</v>
      </c>
      <c r="Q219" s="402">
        <f t="shared" ca="1" si="27"/>
        <v>11.633333333333333</v>
      </c>
      <c r="R219" s="324" t="str">
        <f ca="1">VLOOKUP(B219,'Base de Datos'!E219:AR530,33,0)</f>
        <v>TERMINO</v>
      </c>
      <c r="S219" s="327" t="str">
        <f t="shared" ca="1" si="24"/>
        <v>NO</v>
      </c>
      <c r="T219" s="324" t="str">
        <f t="shared" ca="1" si="25"/>
        <v>Liquidar</v>
      </c>
      <c r="U219" s="324">
        <f>VLOOKUP(B219,'Base de Datos'!$E$7:$AR$401,38,0)</f>
        <v>0</v>
      </c>
    </row>
    <row r="220" spans="1:21" ht="23.25" customHeight="1" thickTop="1" thickBot="1" x14ac:dyDescent="0.3">
      <c r="A220" s="108">
        <v>214</v>
      </c>
      <c r="B220" s="324" t="str">
        <f>+'Base de Datos'!E220</f>
        <v>140234-0-2014</v>
      </c>
      <c r="C220" s="324" t="str">
        <f>+'Base de Datos'!F220</f>
        <v>BUSINESS TECHNOLOGIES COMPANY</v>
      </c>
      <c r="D220" s="325">
        <f>+'Base de Datos'!I220</f>
        <v>683000</v>
      </c>
      <c r="E220" s="326">
        <f>+'Base de Datos'!M220</f>
        <v>41838</v>
      </c>
      <c r="F220" s="326">
        <f>+'Base de Datos'!N220</f>
        <v>42203</v>
      </c>
      <c r="G220" s="326">
        <f>+'Base de Datos'!T220</f>
        <v>42203</v>
      </c>
      <c r="H220" s="325">
        <f>+'Base de Datos'!U220</f>
        <v>683000</v>
      </c>
      <c r="I220" s="327" t="str">
        <f>IF(VLOOKUP(B220,'Base de Datos'!$E$7:$S$303,11,0),"SI","NO")</f>
        <v>NO</v>
      </c>
      <c r="J220" s="328" t="str">
        <f t="shared" si="21"/>
        <v/>
      </c>
      <c r="K220" s="327" t="str">
        <f>IF(VLOOKUP(B220,'Base de Datos'!$E$7:$S$303,11,0),"SI","NO")</f>
        <v>NO</v>
      </c>
      <c r="L220" s="328" t="str">
        <f t="shared" si="22"/>
        <v/>
      </c>
      <c r="M220" s="328">
        <f>VLOOKUP(B220,'Base de Datos'!$E$7:$Z$303,21,0)</f>
        <v>1</v>
      </c>
      <c r="N220" s="390" t="str">
        <f t="shared" ca="1" si="26"/>
        <v/>
      </c>
      <c r="O220" s="328">
        <f ca="1">VLOOKUP(B220,'Base de Datos'!$E$7:$Z$303,22,0)</f>
        <v>1</v>
      </c>
      <c r="P220" s="389">
        <f t="shared" ca="1" si="23"/>
        <v>1440</v>
      </c>
      <c r="Q220" s="402">
        <f t="shared" ca="1" si="27"/>
        <v>12</v>
      </c>
      <c r="R220" s="324" t="str">
        <f ca="1">VLOOKUP(B220,'Base de Datos'!E220:AR531,33,0)</f>
        <v>TERMINO</v>
      </c>
      <c r="S220" s="327" t="str">
        <f t="shared" ca="1" si="24"/>
        <v>NO</v>
      </c>
      <c r="T220" s="324" t="str">
        <f t="shared" ca="1" si="25"/>
        <v>Liquidar</v>
      </c>
      <c r="U220" s="324">
        <f>VLOOKUP(B220,'Base de Datos'!$E$7:$AR$401,38,0)</f>
        <v>0</v>
      </c>
    </row>
    <row r="221" spans="1:21" ht="23.25" customHeight="1" thickTop="1" thickBot="1" x14ac:dyDescent="0.3">
      <c r="A221" s="108">
        <v>215</v>
      </c>
      <c r="B221" s="324" t="str">
        <f>+'Base de Datos'!E221</f>
        <v>140236-0-2014</v>
      </c>
      <c r="C221" s="324" t="str">
        <f>+'Base de Datos'!F221</f>
        <v>DIVIEXPORT EU</v>
      </c>
      <c r="D221" s="325">
        <f>+'Base de Datos'!I221</f>
        <v>4672000</v>
      </c>
      <c r="E221" s="326">
        <f>+'Base de Datos'!M221</f>
        <v>41835</v>
      </c>
      <c r="F221" s="326">
        <f>+'Base de Datos'!N221</f>
        <v>42050</v>
      </c>
      <c r="G221" s="326">
        <f>+'Base de Datos'!T221</f>
        <v>42050</v>
      </c>
      <c r="H221" s="325">
        <f>+'Base de Datos'!U221</f>
        <v>4672000</v>
      </c>
      <c r="I221" s="327" t="str">
        <f>IF(VLOOKUP(B221,'Base de Datos'!$E$7:$S$303,11,0),"SI","NO")</f>
        <v>NO</v>
      </c>
      <c r="J221" s="328" t="str">
        <f t="shared" si="21"/>
        <v/>
      </c>
      <c r="K221" s="327" t="str">
        <f>IF(VLOOKUP(B221,'Base de Datos'!$E$7:$S$303,11,0),"SI","NO")</f>
        <v>NO</v>
      </c>
      <c r="L221" s="328" t="str">
        <f t="shared" si="22"/>
        <v/>
      </c>
      <c r="M221" s="328">
        <f>VLOOKUP(B221,'Base de Datos'!$E$7:$Z$303,21,0)</f>
        <v>0.38660102739726027</v>
      </c>
      <c r="N221" s="390" t="str">
        <f t="shared" ca="1" si="26"/>
        <v/>
      </c>
      <c r="O221" s="328">
        <f ca="1">VLOOKUP(B221,'Base de Datos'!$E$7:$Z$303,22,0)</f>
        <v>1</v>
      </c>
      <c r="P221" s="389">
        <f t="shared" ca="1" si="23"/>
        <v>1593</v>
      </c>
      <c r="Q221" s="402">
        <f t="shared" ca="1" si="27"/>
        <v>13.275</v>
      </c>
      <c r="R221" s="324" t="str">
        <f ca="1">VLOOKUP(B221,'Base de Datos'!E221:AR532,33,0)</f>
        <v>TERMINO</v>
      </c>
      <c r="S221" s="327" t="str">
        <f t="shared" ca="1" si="24"/>
        <v>NO</v>
      </c>
      <c r="T221" s="324" t="str">
        <f t="shared" ca="1" si="25"/>
        <v>Liquidar</v>
      </c>
      <c r="U221" s="324">
        <f>VLOOKUP(B221,'Base de Datos'!$E$7:$AR$401,38,0)</f>
        <v>42321</v>
      </c>
    </row>
    <row r="222" spans="1:21" ht="23.25" customHeight="1" thickTop="1" thickBot="1" x14ac:dyDescent="0.3">
      <c r="A222" s="108">
        <v>216</v>
      </c>
      <c r="B222" s="324" t="str">
        <f>+'Base de Datos'!E222</f>
        <v>140241-0-2014</v>
      </c>
      <c r="C222" s="324" t="str">
        <f>+'Base de Datos'!F222</f>
        <v>SEGUROS GENERALES SURAMERICANA</v>
      </c>
      <c r="D222" s="325">
        <f>+'Base de Datos'!I222</f>
        <v>3846133</v>
      </c>
      <c r="E222" s="326">
        <f>+'Base de Datos'!M222</f>
        <v>41837</v>
      </c>
      <c r="F222" s="326">
        <f>+'Base de Datos'!N222</f>
        <v>42202</v>
      </c>
      <c r="G222" s="326">
        <f>+'Base de Datos'!T222</f>
        <v>42202</v>
      </c>
      <c r="H222" s="325">
        <f>+'Base de Datos'!U222</f>
        <v>3846133</v>
      </c>
      <c r="I222" s="327" t="str">
        <f>IF(VLOOKUP(B222,'Base de Datos'!$E$7:$S$303,11,0),"SI","NO")</f>
        <v>NO</v>
      </c>
      <c r="J222" s="328" t="str">
        <f t="shared" si="21"/>
        <v/>
      </c>
      <c r="K222" s="327" t="str">
        <f>IF(VLOOKUP(B222,'Base de Datos'!$E$7:$S$303,11,0),"SI","NO")</f>
        <v>NO</v>
      </c>
      <c r="L222" s="328" t="str">
        <f t="shared" si="22"/>
        <v/>
      </c>
      <c r="M222" s="328">
        <f>VLOOKUP(B222,'Base de Datos'!$E$7:$Z$303,21,0)</f>
        <v>0</v>
      </c>
      <c r="N222" s="390" t="str">
        <f t="shared" ca="1" si="26"/>
        <v/>
      </c>
      <c r="O222" s="328">
        <f ca="1">VLOOKUP(B222,'Base de Datos'!$E$7:$Z$303,22,0)</f>
        <v>1</v>
      </c>
      <c r="P222" s="389">
        <f t="shared" ca="1" si="23"/>
        <v>1441</v>
      </c>
      <c r="Q222" s="402">
        <f t="shared" ca="1" si="27"/>
        <v>12.008333333333333</v>
      </c>
      <c r="R222" s="324" t="str">
        <f ca="1">VLOOKUP(B222,'Base de Datos'!E222:AR533,33,0)</f>
        <v>TERMINO</v>
      </c>
      <c r="S222" s="327" t="str">
        <f t="shared" ca="1" si="24"/>
        <v>NO</v>
      </c>
      <c r="T222" s="324" t="str">
        <f t="shared" ca="1" si="25"/>
        <v>Liquidar</v>
      </c>
      <c r="U222" s="324">
        <f>VLOOKUP(B222,'Base de Datos'!$E$7:$AR$401,38,0)</f>
        <v>0</v>
      </c>
    </row>
    <row r="223" spans="1:21" ht="23.25" customHeight="1" thickTop="1" thickBot="1" x14ac:dyDescent="0.3">
      <c r="A223" s="108">
        <v>217</v>
      </c>
      <c r="B223" s="324" t="str">
        <f>+'Base de Datos'!E223</f>
        <v>140184-0-2014</v>
      </c>
      <c r="C223" s="324" t="str">
        <f>+'Base de Datos'!F223</f>
        <v>SODINLEC LTDA</v>
      </c>
      <c r="D223" s="325">
        <f>+'Base de Datos'!I223</f>
        <v>10564000</v>
      </c>
      <c r="E223" s="326">
        <f>+'Base de Datos'!M223</f>
        <v>41793</v>
      </c>
      <c r="F223" s="326">
        <f>+'Base de Datos'!N223</f>
        <v>42096</v>
      </c>
      <c r="G223" s="326">
        <f>+'Base de Datos'!T223</f>
        <v>42096</v>
      </c>
      <c r="H223" s="325">
        <f>+'Base de Datos'!U223</f>
        <v>10564000</v>
      </c>
      <c r="I223" s="327" t="str">
        <f>IF(VLOOKUP(B223,'Base de Datos'!$E$7:$S$303,11,0),"SI","NO")</f>
        <v>NO</v>
      </c>
      <c r="J223" s="328" t="str">
        <f t="shared" si="21"/>
        <v/>
      </c>
      <c r="K223" s="327" t="str">
        <f>IF(VLOOKUP(B223,'Base de Datos'!$E$7:$S$303,11,0),"SI","NO")</f>
        <v>NO</v>
      </c>
      <c r="L223" s="328" t="str">
        <f t="shared" si="22"/>
        <v/>
      </c>
      <c r="M223" s="328">
        <f>VLOOKUP(B223,'Base de Datos'!$E$7:$Z$303,21,0)</f>
        <v>0.95183235516849674</v>
      </c>
      <c r="N223" s="390" t="str">
        <f t="shared" ca="1" si="26"/>
        <v/>
      </c>
      <c r="O223" s="328">
        <f ca="1">VLOOKUP(B223,'Base de Datos'!$E$7:$Z$303,22,0)</f>
        <v>1</v>
      </c>
      <c r="P223" s="389">
        <f t="shared" ca="1" si="23"/>
        <v>1547</v>
      </c>
      <c r="Q223" s="402">
        <f t="shared" ca="1" si="27"/>
        <v>12.891666666666667</v>
      </c>
      <c r="R223" s="324" t="str">
        <f ca="1">VLOOKUP(B223,'Base de Datos'!E223:AR534,33,0)</f>
        <v>TERMINO</v>
      </c>
      <c r="S223" s="327" t="str">
        <f t="shared" ca="1" si="24"/>
        <v>NO</v>
      </c>
      <c r="T223" s="324" t="str">
        <f t="shared" ca="1" si="25"/>
        <v>Liquidar</v>
      </c>
      <c r="U223" s="324">
        <f>VLOOKUP(B223,'Base de Datos'!$E$7:$AR$401,38,0)</f>
        <v>42376</v>
      </c>
    </row>
    <row r="224" spans="1:21" ht="23.25" customHeight="1" thickTop="1" thickBot="1" x14ac:dyDescent="0.3">
      <c r="A224" s="108">
        <v>218</v>
      </c>
      <c r="B224" s="324" t="str">
        <f>+'Base de Datos'!E224</f>
        <v>140210-0-2014</v>
      </c>
      <c r="C224" s="324" t="str">
        <f>+'Base de Datos'!F224</f>
        <v>H &amp; D OFIMAGEN</v>
      </c>
      <c r="D224" s="325">
        <f>+'Base de Datos'!I224</f>
        <v>249991314</v>
      </c>
      <c r="E224" s="326">
        <f>+'Base de Datos'!M224</f>
        <v>41837</v>
      </c>
      <c r="F224" s="326">
        <f>+'Base de Datos'!N224</f>
        <v>42171</v>
      </c>
      <c r="G224" s="326">
        <f>+'Base de Datos'!T224</f>
        <v>42216</v>
      </c>
      <c r="H224" s="325">
        <f>+'Base de Datos'!U224</f>
        <v>249991314</v>
      </c>
      <c r="I224" s="327" t="str">
        <f>IF(VLOOKUP(B224,'Base de Datos'!$E$7:$S$303,11,0),"SI","NO")</f>
        <v>NO</v>
      </c>
      <c r="J224" s="328" t="str">
        <f t="shared" si="21"/>
        <v/>
      </c>
      <c r="K224" s="327" t="str">
        <f>IF(VLOOKUP(B224,'Base de Datos'!$E$7:$S$303,11,0),"SI","NO")</f>
        <v>NO</v>
      </c>
      <c r="L224" s="328" t="str">
        <f t="shared" si="22"/>
        <v/>
      </c>
      <c r="M224" s="328">
        <f>VLOOKUP(B224,'Base de Datos'!$E$7:$Z$303,21,0)</f>
        <v>0.99313612952168406</v>
      </c>
      <c r="N224" s="390" t="str">
        <f t="shared" ca="1" si="26"/>
        <v/>
      </c>
      <c r="O224" s="328">
        <f ca="1">VLOOKUP(B224,'Base de Datos'!$E$7:$Z$303,22,0)</f>
        <v>1</v>
      </c>
      <c r="P224" s="389">
        <f t="shared" ca="1" si="23"/>
        <v>1427</v>
      </c>
      <c r="Q224" s="402">
        <f t="shared" ca="1" si="27"/>
        <v>11.891666666666667</v>
      </c>
      <c r="R224" s="324" t="str">
        <f ca="1">VLOOKUP(B224,'Base de Datos'!E224:AR535,33,0)</f>
        <v>TERMINO</v>
      </c>
      <c r="S224" s="327" t="str">
        <f t="shared" ca="1" si="24"/>
        <v>NO</v>
      </c>
      <c r="T224" s="324" t="str">
        <f t="shared" ca="1" si="25"/>
        <v>Liquidar</v>
      </c>
      <c r="U224" s="324">
        <f>VLOOKUP(B224,'Base de Datos'!$E$7:$AR$401,38,0)</f>
        <v>0</v>
      </c>
    </row>
    <row r="225" spans="1:21" ht="23.25" customHeight="1" thickTop="1" thickBot="1" x14ac:dyDescent="0.3">
      <c r="A225" s="108">
        <v>219</v>
      </c>
      <c r="B225" s="324" t="str">
        <f>+'Base de Datos'!E225</f>
        <v>140224-0-2014</v>
      </c>
      <c r="C225" s="324" t="str">
        <f>+'Base de Datos'!F225</f>
        <v>SISTEMA Y SEGURIDAD INDUSTRIAL COLOMBIANA E.U.</v>
      </c>
      <c r="D225" s="325">
        <f>+'Base de Datos'!I225</f>
        <v>4136000</v>
      </c>
      <c r="E225" s="326">
        <f>+'Base de Datos'!M225</f>
        <v>41935</v>
      </c>
      <c r="F225" s="326">
        <f>+'Base de Datos'!N225</f>
        <v>42027</v>
      </c>
      <c r="G225" s="326">
        <f>+'Base de Datos'!T225</f>
        <v>42027</v>
      </c>
      <c r="H225" s="325">
        <f>+'Base de Datos'!U225</f>
        <v>4136000</v>
      </c>
      <c r="I225" s="327" t="str">
        <f>IF(VLOOKUP(B225,'Base de Datos'!$E$7:$S$303,11,0),"SI","NO")</f>
        <v>NO</v>
      </c>
      <c r="J225" s="328" t="str">
        <f t="shared" si="21"/>
        <v/>
      </c>
      <c r="K225" s="327" t="str">
        <f>IF(VLOOKUP(B225,'Base de Datos'!$E$7:$S$303,11,0),"SI","NO")</f>
        <v>NO</v>
      </c>
      <c r="L225" s="328" t="str">
        <f t="shared" si="22"/>
        <v/>
      </c>
      <c r="M225" s="328">
        <f>VLOOKUP(B225,'Base de Datos'!$E$7:$Z$303,21,0)</f>
        <v>0.54425701160541584</v>
      </c>
      <c r="N225" s="390" t="str">
        <f t="shared" ca="1" si="26"/>
        <v/>
      </c>
      <c r="O225" s="328">
        <f ca="1">VLOOKUP(B225,'Base de Datos'!$E$7:$Z$303,22,0)</f>
        <v>1</v>
      </c>
      <c r="P225" s="389">
        <f t="shared" ca="1" si="23"/>
        <v>1616</v>
      </c>
      <c r="Q225" s="402">
        <f t="shared" ca="1" si="27"/>
        <v>13.466666666666667</v>
      </c>
      <c r="R225" s="324" t="str">
        <f ca="1">VLOOKUP(B225,'Base de Datos'!E225:AR536,33,0)</f>
        <v>TERMINO</v>
      </c>
      <c r="S225" s="327" t="str">
        <f t="shared" ca="1" si="24"/>
        <v>NO</v>
      </c>
      <c r="T225" s="324" t="str">
        <f t="shared" ca="1" si="25"/>
        <v>Liquidar</v>
      </c>
      <c r="U225" s="324">
        <f>VLOOKUP(B225,'Base de Datos'!$E$7:$AR$401,38,0)</f>
        <v>0</v>
      </c>
    </row>
    <row r="226" spans="1:21" ht="23.25" customHeight="1" thickTop="1" thickBot="1" x14ac:dyDescent="0.3">
      <c r="A226" s="108">
        <v>220</v>
      </c>
      <c r="B226" s="324" t="str">
        <f>+'Base de Datos'!E226</f>
        <v>140238-0-2014</v>
      </c>
      <c r="C226" s="324" t="str">
        <f>+'Base de Datos'!F226</f>
        <v>COMPENSAR SALONES</v>
      </c>
      <c r="D226" s="325">
        <f>+'Base de Datos'!I226</f>
        <v>65200000</v>
      </c>
      <c r="E226" s="326">
        <f>+'Base de Datos'!M226</f>
        <v>41835</v>
      </c>
      <c r="F226" s="326">
        <f>+'Base de Datos'!N226</f>
        <v>42078</v>
      </c>
      <c r="G226" s="326">
        <f>+'Base de Datos'!T226</f>
        <v>42139</v>
      </c>
      <c r="H226" s="325">
        <f>+'Base de Datos'!U226</f>
        <v>97800000</v>
      </c>
      <c r="I226" s="327" t="str">
        <f>IF(VLOOKUP(B226,'Base de Datos'!$E$7:$S$303,11,0),"SI","NO")</f>
        <v>SI</v>
      </c>
      <c r="J226" s="328">
        <f t="shared" si="21"/>
        <v>0.25102880658436216</v>
      </c>
      <c r="K226" s="327" t="str">
        <f>IF(VLOOKUP(B226,'Base de Datos'!$E$7:$S$303,11,0),"SI","NO")</f>
        <v>SI</v>
      </c>
      <c r="L226" s="328">
        <f t="shared" si="22"/>
        <v>0.5</v>
      </c>
      <c r="M226" s="328">
        <f>VLOOKUP(B226,'Base de Datos'!$E$7:$Z$303,21,0)</f>
        <v>0.99994394683026588</v>
      </c>
      <c r="N226" s="390" t="str">
        <f t="shared" ca="1" si="26"/>
        <v/>
      </c>
      <c r="O226" s="328">
        <f ca="1">VLOOKUP(B226,'Base de Datos'!$E$7:$Z$303,22,0)</f>
        <v>1</v>
      </c>
      <c r="P226" s="389">
        <f t="shared" ca="1" si="23"/>
        <v>1504</v>
      </c>
      <c r="Q226" s="402">
        <f t="shared" ca="1" si="27"/>
        <v>12.533333333333333</v>
      </c>
      <c r="R226" s="324" t="str">
        <f ca="1">VLOOKUP(B226,'Base de Datos'!E226:AR537,33,0)</f>
        <v>TERMINO</v>
      </c>
      <c r="S226" s="327" t="str">
        <f t="shared" ca="1" si="24"/>
        <v>NO</v>
      </c>
      <c r="T226" s="324" t="str">
        <f t="shared" ca="1" si="25"/>
        <v>Liquidar</v>
      </c>
      <c r="U226" s="324">
        <f>VLOOKUP(B226,'Base de Datos'!$E$7:$AR$401,38,0)</f>
        <v>42345</v>
      </c>
    </row>
    <row r="227" spans="1:21" ht="23.25" customHeight="1" thickTop="1" thickBot="1" x14ac:dyDescent="0.3">
      <c r="A227" s="108">
        <v>221</v>
      </c>
      <c r="B227" s="324" t="str">
        <f>+'Base de Datos'!E227</f>
        <v>140243-0-2014</v>
      </c>
      <c r="C227" s="324" t="str">
        <f>+'Base de Datos'!F227</f>
        <v>COTECNA CERTIFICADORA SEVICES LIMITADA</v>
      </c>
      <c r="D227" s="325">
        <f>+'Base de Datos'!I227</f>
        <v>2228070</v>
      </c>
      <c r="E227" s="326">
        <f>+'Base de Datos'!M227</f>
        <v>41842</v>
      </c>
      <c r="F227" s="326">
        <f>+'Base de Datos'!N227</f>
        <v>41965</v>
      </c>
      <c r="G227" s="326">
        <f>+'Base de Datos'!T227</f>
        <v>41965</v>
      </c>
      <c r="H227" s="325">
        <f>+'Base de Datos'!U227</f>
        <v>2228070</v>
      </c>
      <c r="I227" s="327" t="str">
        <f>IF(VLOOKUP(B227,'Base de Datos'!$E$7:$S$303,11,0),"SI","NO")</f>
        <v>NO</v>
      </c>
      <c r="J227" s="328" t="str">
        <f t="shared" si="21"/>
        <v/>
      </c>
      <c r="K227" s="327" t="str">
        <f>IF(VLOOKUP(B227,'Base de Datos'!$E$7:$S$303,11,0),"SI","NO")</f>
        <v>NO</v>
      </c>
      <c r="L227" s="328" t="str">
        <f t="shared" si="22"/>
        <v/>
      </c>
      <c r="M227" s="328">
        <f>VLOOKUP(B227,'Base de Datos'!$E$7:$Z$303,21,0)</f>
        <v>1</v>
      </c>
      <c r="N227" s="390" t="str">
        <f t="shared" ca="1" si="26"/>
        <v/>
      </c>
      <c r="O227" s="328">
        <f ca="1">VLOOKUP(B227,'Base de Datos'!$E$7:$Z$303,22,0)</f>
        <v>1</v>
      </c>
      <c r="P227" s="389">
        <f t="shared" ca="1" si="23"/>
        <v>1678</v>
      </c>
      <c r="Q227" s="402">
        <f t="shared" ca="1" si="27"/>
        <v>13.983333333333333</v>
      </c>
      <c r="R227" s="324" t="str">
        <f ca="1">VLOOKUP(B227,'Base de Datos'!E227:AR538,33,0)</f>
        <v>TERMINO</v>
      </c>
      <c r="S227" s="327" t="str">
        <f t="shared" ca="1" si="24"/>
        <v>NO</v>
      </c>
      <c r="T227" s="324" t="str">
        <f t="shared" ca="1" si="25"/>
        <v>Liquidar</v>
      </c>
      <c r="U227" s="324">
        <f>VLOOKUP(B227,'Base de Datos'!$E$7:$AR$401,38,0)</f>
        <v>42265</v>
      </c>
    </row>
    <row r="228" spans="1:21" ht="23.25" customHeight="1" thickTop="1" thickBot="1" x14ac:dyDescent="0.3">
      <c r="A228" s="108">
        <v>222</v>
      </c>
      <c r="B228" s="324" t="str">
        <f>+'Base de Datos'!E228</f>
        <v>140244-0-2014</v>
      </c>
      <c r="C228" s="324" t="str">
        <f>+'Base de Datos'!F228</f>
        <v>INDUSTRIAS QUÍMICAS FIQ LTDA</v>
      </c>
      <c r="D228" s="325">
        <f>+'Base de Datos'!I228</f>
        <v>2260000</v>
      </c>
      <c r="E228" s="326">
        <f>+'Base de Datos'!M228</f>
        <v>41862</v>
      </c>
      <c r="F228" s="326">
        <f>+'Base de Datos'!N228</f>
        <v>41923</v>
      </c>
      <c r="G228" s="326">
        <f>+'Base de Datos'!T228</f>
        <v>41923</v>
      </c>
      <c r="H228" s="325">
        <f>+'Base de Datos'!U228</f>
        <v>2260000</v>
      </c>
      <c r="I228" s="327" t="str">
        <f>IF(VLOOKUP(B228,'Base de Datos'!$E$7:$S$303,11,0),"SI","NO")</f>
        <v>NO</v>
      </c>
      <c r="J228" s="328" t="str">
        <f t="shared" si="21"/>
        <v/>
      </c>
      <c r="K228" s="327" t="str">
        <f>IF(VLOOKUP(B228,'Base de Datos'!$E$7:$S$303,11,0),"SI","NO")</f>
        <v>NO</v>
      </c>
      <c r="L228" s="328" t="str">
        <f t="shared" si="22"/>
        <v/>
      </c>
      <c r="M228" s="328">
        <f>VLOOKUP(B228,'Base de Datos'!$E$7:$Z$303,21,0)</f>
        <v>0.70575221238938057</v>
      </c>
      <c r="N228" s="390" t="str">
        <f t="shared" ca="1" si="26"/>
        <v/>
      </c>
      <c r="O228" s="328">
        <f ca="1">VLOOKUP(B228,'Base de Datos'!$E$7:$Z$303,22,0)</f>
        <v>1</v>
      </c>
      <c r="P228" s="389">
        <f t="shared" ca="1" si="23"/>
        <v>1720</v>
      </c>
      <c r="Q228" s="402">
        <f t="shared" ca="1" si="27"/>
        <v>14.333333333333334</v>
      </c>
      <c r="R228" s="324" t="str">
        <f ca="1">VLOOKUP(B228,'Base de Datos'!E228:AR539,33,0)</f>
        <v>TERMINO</v>
      </c>
      <c r="S228" s="327" t="str">
        <f t="shared" ca="1" si="24"/>
        <v>NO</v>
      </c>
      <c r="T228" s="324" t="str">
        <f t="shared" ca="1" si="25"/>
        <v>Liquidar</v>
      </c>
      <c r="U228" s="324">
        <f>VLOOKUP(B228,'Base de Datos'!$E$7:$AR$401,38,0)</f>
        <v>42150</v>
      </c>
    </row>
    <row r="229" spans="1:21" ht="23.25" customHeight="1" thickTop="1" thickBot="1" x14ac:dyDescent="0.3">
      <c r="A229" s="108">
        <v>223</v>
      </c>
      <c r="B229" s="324" t="str">
        <f>+'Base de Datos'!E229</f>
        <v>140249-0-2014</v>
      </c>
      <c r="C229" s="324" t="str">
        <f>+'Base de Datos'!F229</f>
        <v>INVERSIONES MATAY SAS</v>
      </c>
      <c r="D229" s="325">
        <f>+'Base de Datos'!I229</f>
        <v>202978686</v>
      </c>
      <c r="E229" s="326">
        <f>+'Base de Datos'!M229</f>
        <v>41850</v>
      </c>
      <c r="F229" s="326">
        <f>+'Base de Datos'!N229</f>
        <v>42034</v>
      </c>
      <c r="G229" s="326">
        <f>+'Base de Datos'!T229</f>
        <v>42108</v>
      </c>
      <c r="H229" s="325">
        <f>+'Base de Datos'!U229</f>
        <v>290648563</v>
      </c>
      <c r="I229" s="327" t="str">
        <f>IF(VLOOKUP(B229,'Base de Datos'!$E$7:$S$303,11,0),"SI","NO")</f>
        <v>SI</v>
      </c>
      <c r="J229" s="328">
        <f t="shared" si="21"/>
        <v>0.40217391304347827</v>
      </c>
      <c r="K229" s="327" t="str">
        <f>IF(VLOOKUP(B229,'Base de Datos'!$E$7:$S$303,11,0),"SI","NO")</f>
        <v>SI</v>
      </c>
      <c r="L229" s="328">
        <f t="shared" si="22"/>
        <v>0.43191666439302895</v>
      </c>
      <c r="M229" s="328">
        <f>VLOOKUP(B229,'Base de Datos'!$E$7:$Z$303,21,0)</f>
        <v>1</v>
      </c>
      <c r="N229" s="390" t="str">
        <f t="shared" ca="1" si="26"/>
        <v/>
      </c>
      <c r="O229" s="328">
        <f ca="1">VLOOKUP(B229,'Base de Datos'!$E$7:$Z$303,22,0)</f>
        <v>1</v>
      </c>
      <c r="P229" s="389">
        <f t="shared" ca="1" si="23"/>
        <v>1535</v>
      </c>
      <c r="Q229" s="402">
        <f t="shared" ca="1" si="27"/>
        <v>12.791666666666666</v>
      </c>
      <c r="R229" s="324" t="str">
        <f ca="1">VLOOKUP(B229,'Base de Datos'!E229:AR540,33,0)</f>
        <v>TERMINO</v>
      </c>
      <c r="S229" s="327" t="str">
        <f t="shared" ca="1" si="24"/>
        <v>NO</v>
      </c>
      <c r="T229" s="324" t="str">
        <f t="shared" ca="1" si="25"/>
        <v>Liquidar</v>
      </c>
      <c r="U229" s="324">
        <f>VLOOKUP(B229,'Base de Datos'!$E$7:$AR$401,38,0)</f>
        <v>42278</v>
      </c>
    </row>
    <row r="230" spans="1:21" ht="23.25" customHeight="1" thickTop="1" thickBot="1" x14ac:dyDescent="0.3">
      <c r="A230" s="108">
        <v>224</v>
      </c>
      <c r="B230" s="324" t="str">
        <f>+'Base de Datos'!E230</f>
        <v>140252-0-2014</v>
      </c>
      <c r="C230" s="324" t="str">
        <f>+'Base de Datos'!F230</f>
        <v>LINALCA INFORMATICA</v>
      </c>
      <c r="D230" s="325">
        <f>+'Base de Datos'!I230</f>
        <v>16592327</v>
      </c>
      <c r="E230" s="326">
        <f>+'Base de Datos'!M230</f>
        <v>41936</v>
      </c>
      <c r="F230" s="326">
        <f>+'Base de Datos'!N230</f>
        <v>42301</v>
      </c>
      <c r="G230" s="326">
        <f>+'Base de Datos'!T230</f>
        <v>42301</v>
      </c>
      <c r="H230" s="325">
        <f>+'Base de Datos'!U230</f>
        <v>16592327</v>
      </c>
      <c r="I230" s="327" t="str">
        <f>IF(VLOOKUP(B230,'Base de Datos'!$E$7:$S$303,11,0),"SI","NO")</f>
        <v>NO</v>
      </c>
      <c r="J230" s="328" t="str">
        <f t="shared" si="21"/>
        <v/>
      </c>
      <c r="K230" s="327" t="str">
        <f>IF(VLOOKUP(B230,'Base de Datos'!$E$7:$S$303,11,0),"SI","NO")</f>
        <v>NO</v>
      </c>
      <c r="L230" s="328" t="str">
        <f t="shared" si="22"/>
        <v/>
      </c>
      <c r="M230" s="328">
        <f>VLOOKUP(B230,'Base de Datos'!$E$7:$Z$303,21,0)</f>
        <v>0.90000004218817531</v>
      </c>
      <c r="N230" s="390" t="str">
        <f t="shared" ca="1" si="26"/>
        <v/>
      </c>
      <c r="O230" s="328">
        <f ca="1">VLOOKUP(B230,'Base de Datos'!$E$7:$Z$303,22,0)</f>
        <v>1</v>
      </c>
      <c r="P230" s="389">
        <f t="shared" ca="1" si="23"/>
        <v>1342</v>
      </c>
      <c r="Q230" s="402">
        <f t="shared" ca="1" si="27"/>
        <v>11.183333333333334</v>
      </c>
      <c r="R230" s="324" t="str">
        <f ca="1">VLOOKUP(B230,'Base de Datos'!E230:AR541,33,0)</f>
        <v>TERMINO</v>
      </c>
      <c r="S230" s="327" t="str">
        <f t="shared" ca="1" si="24"/>
        <v>NO</v>
      </c>
      <c r="T230" s="324" t="str">
        <f t="shared" ca="1" si="25"/>
        <v>Liquidar</v>
      </c>
      <c r="U230" s="324">
        <f>VLOOKUP(B230,'Base de Datos'!$E$7:$AR$401,38,0)</f>
        <v>0</v>
      </c>
    </row>
    <row r="231" spans="1:21" ht="23.25" customHeight="1" thickTop="1" thickBot="1" x14ac:dyDescent="0.3">
      <c r="A231" s="108">
        <v>225</v>
      </c>
      <c r="B231" s="324" t="str">
        <f>+'Base de Datos'!E231</f>
        <v>140274-0-2014</v>
      </c>
      <c r="C231" s="324" t="str">
        <f>+'Base de Datos'!F231</f>
        <v>PUBLICACIONES SEMANA S.A.</v>
      </c>
      <c r="D231" s="325">
        <f>+'Base de Datos'!I231</f>
        <v>807000</v>
      </c>
      <c r="E231" s="326">
        <f>+'Base de Datos'!M231</f>
        <v>41912</v>
      </c>
      <c r="F231" s="326">
        <f>+'Base de Datos'!N231</f>
        <v>42277</v>
      </c>
      <c r="G231" s="326">
        <f>+'Base de Datos'!T231</f>
        <v>42277</v>
      </c>
      <c r="H231" s="325">
        <f>+'Base de Datos'!U231</f>
        <v>807000</v>
      </c>
      <c r="I231" s="327" t="str">
        <f>IF(VLOOKUP(B231,'Base de Datos'!$E$7:$S$303,11,0),"SI","NO")</f>
        <v>NO</v>
      </c>
      <c r="J231" s="328" t="str">
        <f t="shared" si="21"/>
        <v/>
      </c>
      <c r="K231" s="327" t="str">
        <f>IF(VLOOKUP(B231,'Base de Datos'!$E$7:$S$303,11,0),"SI","NO")</f>
        <v>NO</v>
      </c>
      <c r="L231" s="328" t="str">
        <f t="shared" si="22"/>
        <v/>
      </c>
      <c r="M231" s="328">
        <f>VLOOKUP(B231,'Base de Datos'!$E$7:$Z$303,21,0)</f>
        <v>1</v>
      </c>
      <c r="N231" s="390" t="str">
        <f t="shared" ca="1" si="26"/>
        <v/>
      </c>
      <c r="O231" s="328">
        <f ca="1">VLOOKUP(B231,'Base de Datos'!$E$7:$Z$303,22,0)</f>
        <v>1</v>
      </c>
      <c r="P231" s="389">
        <f t="shared" ca="1" si="23"/>
        <v>1366</v>
      </c>
      <c r="Q231" s="402">
        <f t="shared" ca="1" si="27"/>
        <v>11.383333333333333</v>
      </c>
      <c r="R231" s="324" t="str">
        <f ca="1">VLOOKUP(B231,'Base de Datos'!E231:AR542,33,0)</f>
        <v>TERMINO</v>
      </c>
      <c r="S231" s="327" t="str">
        <f t="shared" ca="1" si="24"/>
        <v>NO</v>
      </c>
      <c r="T231" s="324" t="str">
        <f t="shared" ca="1" si="25"/>
        <v>Liquidar</v>
      </c>
      <c r="U231" s="324">
        <f>VLOOKUP(B231,'Base de Datos'!$E$7:$AR$401,38,0)</f>
        <v>0</v>
      </c>
    </row>
    <row r="232" spans="1:21" ht="23.25" customHeight="1" thickTop="1" thickBot="1" x14ac:dyDescent="0.3">
      <c r="A232" s="108">
        <v>226</v>
      </c>
      <c r="B232" s="324" t="str">
        <f>+'Base de Datos'!E232</f>
        <v>140276-0-2014</v>
      </c>
      <c r="C232" s="324" t="str">
        <f>+'Base de Datos'!F232</f>
        <v>COMUNICAN S.A</v>
      </c>
      <c r="D232" s="325">
        <f>+'Base de Datos'!I232</f>
        <v>936000</v>
      </c>
      <c r="E232" s="326">
        <f>+'Base de Datos'!M232</f>
        <v>41893</v>
      </c>
      <c r="F232" s="326">
        <f>+'Base de Datos'!N232</f>
        <v>42258</v>
      </c>
      <c r="G232" s="326">
        <f>+'Base de Datos'!T232</f>
        <v>42258</v>
      </c>
      <c r="H232" s="325">
        <f>+'Base de Datos'!U232</f>
        <v>936000</v>
      </c>
      <c r="I232" s="327" t="str">
        <f>IF(VLOOKUP(B232,'Base de Datos'!$E$7:$S$303,11,0),"SI","NO")</f>
        <v>NO</v>
      </c>
      <c r="J232" s="328" t="str">
        <f t="shared" si="21"/>
        <v/>
      </c>
      <c r="K232" s="327" t="str">
        <f>IF(VLOOKUP(B232,'Base de Datos'!$E$7:$S$303,11,0),"SI","NO")</f>
        <v>NO</v>
      </c>
      <c r="L232" s="328" t="str">
        <f t="shared" si="22"/>
        <v/>
      </c>
      <c r="M232" s="328">
        <f>VLOOKUP(B232,'Base de Datos'!$E$7:$Z$303,21,0)</f>
        <v>1</v>
      </c>
      <c r="N232" s="390" t="str">
        <f t="shared" ca="1" si="26"/>
        <v/>
      </c>
      <c r="O232" s="328">
        <f ca="1">VLOOKUP(B232,'Base de Datos'!$E$7:$Z$303,22,0)</f>
        <v>1</v>
      </c>
      <c r="P232" s="389">
        <f t="shared" ca="1" si="23"/>
        <v>1385</v>
      </c>
      <c r="Q232" s="402">
        <f t="shared" ca="1" si="27"/>
        <v>11.541666666666666</v>
      </c>
      <c r="R232" s="324" t="str">
        <f ca="1">VLOOKUP(B232,'Base de Datos'!E232:AR543,33,0)</f>
        <v>TERMINO</v>
      </c>
      <c r="S232" s="327" t="str">
        <f t="shared" ca="1" si="24"/>
        <v>NO</v>
      </c>
      <c r="T232" s="324" t="str">
        <f t="shared" ca="1" si="25"/>
        <v>Liquidar</v>
      </c>
      <c r="U232" s="324">
        <f>VLOOKUP(B232,'Base de Datos'!$E$7:$AR$401,38,0)</f>
        <v>42377</v>
      </c>
    </row>
    <row r="233" spans="1:21" ht="23.25" customHeight="1" thickTop="1" thickBot="1" x14ac:dyDescent="0.3">
      <c r="A233" s="108">
        <v>227</v>
      </c>
      <c r="B233" s="324" t="str">
        <f>+'Base de Datos'!E233</f>
        <v>140279-0-2014</v>
      </c>
      <c r="C233" s="324" t="str">
        <f>+'Base de Datos'!F233</f>
        <v>EDITORIAL LA UNIDAD</v>
      </c>
      <c r="D233" s="325">
        <f>+'Base de Datos'!I233</f>
        <v>855000</v>
      </c>
      <c r="E233" s="326">
        <f>+'Base de Datos'!M233</f>
        <v>41896</v>
      </c>
      <c r="F233" s="326">
        <f>+'Base de Datos'!N233</f>
        <v>42261</v>
      </c>
      <c r="G233" s="326">
        <f>+'Base de Datos'!T233</f>
        <v>42261</v>
      </c>
      <c r="H233" s="325">
        <f>+'Base de Datos'!U233</f>
        <v>855000</v>
      </c>
      <c r="I233" s="327" t="str">
        <f>IF(VLOOKUP(B233,'Base de Datos'!$E$7:$S$303,11,0),"SI","NO")</f>
        <v>NO</v>
      </c>
      <c r="J233" s="328" t="str">
        <f t="shared" si="21"/>
        <v/>
      </c>
      <c r="K233" s="327" t="str">
        <f>IF(VLOOKUP(B233,'Base de Datos'!$E$7:$S$303,11,0),"SI","NO")</f>
        <v>NO</v>
      </c>
      <c r="L233" s="328" t="str">
        <f t="shared" si="22"/>
        <v/>
      </c>
      <c r="M233" s="328">
        <f>VLOOKUP(B233,'Base de Datos'!$E$7:$Z$303,21,0)</f>
        <v>1</v>
      </c>
      <c r="N233" s="390" t="str">
        <f t="shared" ca="1" si="26"/>
        <v/>
      </c>
      <c r="O233" s="328">
        <f ca="1">VLOOKUP(B233,'Base de Datos'!$E$7:$Z$303,22,0)</f>
        <v>1</v>
      </c>
      <c r="P233" s="389">
        <f t="shared" ca="1" si="23"/>
        <v>1382</v>
      </c>
      <c r="Q233" s="402">
        <f t="shared" ca="1" si="27"/>
        <v>11.516666666666667</v>
      </c>
      <c r="R233" s="324" t="str">
        <f ca="1">VLOOKUP(B233,'Base de Datos'!E233:AR544,33,0)</f>
        <v>TERMINO</v>
      </c>
      <c r="S233" s="327" t="str">
        <f t="shared" ca="1" si="24"/>
        <v>NO</v>
      </c>
      <c r="T233" s="324" t="str">
        <f t="shared" ca="1" si="25"/>
        <v>Liquidar</v>
      </c>
      <c r="U233" s="324">
        <f>VLOOKUP(B233,'Base de Datos'!$E$7:$AR$401,38,0)</f>
        <v>42318</v>
      </c>
    </row>
    <row r="234" spans="1:21" ht="23.25" customHeight="1" thickTop="1" thickBot="1" x14ac:dyDescent="0.3">
      <c r="A234" s="108">
        <v>228</v>
      </c>
      <c r="B234" s="324" t="str">
        <f>+'Base de Datos'!E234</f>
        <v>140281-0-2014</v>
      </c>
      <c r="C234" s="324" t="str">
        <f>+'Base de Datos'!F234</f>
        <v>SUPERIOR DE DOTACIONES SAS</v>
      </c>
      <c r="D234" s="325">
        <f>+'Base de Datos'!I234</f>
        <v>19356282</v>
      </c>
      <c r="E234" s="326">
        <f>+'Base de Datos'!M234</f>
        <v>41887</v>
      </c>
      <c r="F234" s="326">
        <f>+'Base de Datos'!N234</f>
        <v>42009</v>
      </c>
      <c r="G234" s="326">
        <f>+'Base de Datos'!T234</f>
        <v>42009</v>
      </c>
      <c r="H234" s="325">
        <f>+'Base de Datos'!U234</f>
        <v>19356282</v>
      </c>
      <c r="I234" s="327" t="str">
        <f>IF(VLOOKUP(B234,'Base de Datos'!$E$7:$S$303,11,0),"SI","NO")</f>
        <v>NO</v>
      </c>
      <c r="J234" s="328" t="str">
        <f t="shared" si="21"/>
        <v/>
      </c>
      <c r="K234" s="327" t="str">
        <f>IF(VLOOKUP(B234,'Base de Datos'!$E$7:$S$303,11,0),"SI","NO")</f>
        <v>NO</v>
      </c>
      <c r="L234" s="328" t="str">
        <f t="shared" si="22"/>
        <v/>
      </c>
      <c r="M234" s="328">
        <f>VLOOKUP(B234,'Base de Datos'!$E$7:$Z$303,21,0)</f>
        <v>1</v>
      </c>
      <c r="N234" s="390" t="str">
        <f t="shared" ca="1" si="26"/>
        <v/>
      </c>
      <c r="O234" s="328">
        <f ca="1">VLOOKUP(B234,'Base de Datos'!$E$7:$Z$303,22,0)</f>
        <v>1</v>
      </c>
      <c r="P234" s="389">
        <f t="shared" ca="1" si="23"/>
        <v>1634</v>
      </c>
      <c r="Q234" s="402">
        <f t="shared" ca="1" si="27"/>
        <v>13.616666666666667</v>
      </c>
      <c r="R234" s="324" t="str">
        <f ca="1">VLOOKUP(B234,'Base de Datos'!E234:AR545,33,0)</f>
        <v>TERMINO</v>
      </c>
      <c r="S234" s="327" t="str">
        <f t="shared" ca="1" si="24"/>
        <v>NO</v>
      </c>
      <c r="T234" s="324" t="str">
        <f t="shared" ca="1" si="25"/>
        <v>Liquidar</v>
      </c>
      <c r="U234" s="324">
        <f>VLOOKUP(B234,'Base de Datos'!$E$7:$AR$401,38,0)</f>
        <v>0</v>
      </c>
    </row>
    <row r="235" spans="1:21" ht="23.25" customHeight="1" thickTop="1" thickBot="1" x14ac:dyDescent="0.3">
      <c r="A235" s="108">
        <v>229</v>
      </c>
      <c r="B235" s="324" t="str">
        <f>+'Base de Datos'!E235</f>
        <v>140282-0-2014</v>
      </c>
      <c r="C235" s="324" t="str">
        <f>+'Base de Datos'!F235</f>
        <v>GRUPO EDITORIAL EL PERIÓDICO S.A.S</v>
      </c>
      <c r="D235" s="325">
        <f>+'Base de Datos'!I235</f>
        <v>810000</v>
      </c>
      <c r="E235" s="326">
        <f>+'Base de Datos'!M235</f>
        <v>41940</v>
      </c>
      <c r="F235" s="326">
        <f>+'Base de Datos'!N235</f>
        <v>42305</v>
      </c>
      <c r="G235" s="326">
        <f>+'Base de Datos'!T235</f>
        <v>42305</v>
      </c>
      <c r="H235" s="325">
        <f>+'Base de Datos'!U235</f>
        <v>810000</v>
      </c>
      <c r="I235" s="327" t="str">
        <f>IF(VLOOKUP(B235,'Base de Datos'!$E$7:$S$303,11,0),"SI","NO")</f>
        <v>NO</v>
      </c>
      <c r="J235" s="328" t="str">
        <f t="shared" si="21"/>
        <v/>
      </c>
      <c r="K235" s="327" t="str">
        <f>IF(VLOOKUP(B235,'Base de Datos'!$E$7:$S$303,11,0),"SI","NO")</f>
        <v>NO</v>
      </c>
      <c r="L235" s="328" t="str">
        <f t="shared" si="22"/>
        <v/>
      </c>
      <c r="M235" s="328">
        <f>VLOOKUP(B235,'Base de Datos'!$E$7:$Z$303,21,0)</f>
        <v>1</v>
      </c>
      <c r="N235" s="390" t="str">
        <f t="shared" ca="1" si="26"/>
        <v/>
      </c>
      <c r="O235" s="328">
        <f ca="1">VLOOKUP(B235,'Base de Datos'!$E$7:$Z$303,22,0)</f>
        <v>1</v>
      </c>
      <c r="P235" s="389">
        <f t="shared" ca="1" si="23"/>
        <v>1338</v>
      </c>
      <c r="Q235" s="402">
        <f t="shared" ca="1" si="27"/>
        <v>11.15</v>
      </c>
      <c r="R235" s="324" t="str">
        <f ca="1">VLOOKUP(B235,'Base de Datos'!E235:AR546,33,0)</f>
        <v>TERMINO</v>
      </c>
      <c r="S235" s="327" t="str">
        <f t="shared" ca="1" si="24"/>
        <v>NO</v>
      </c>
      <c r="T235" s="324" t="str">
        <f t="shared" ca="1" si="25"/>
        <v>Liquidar</v>
      </c>
      <c r="U235" s="324">
        <f>VLOOKUP(B235,'Base de Datos'!$E$7:$AR$401,38,0)</f>
        <v>42341</v>
      </c>
    </row>
    <row r="236" spans="1:21" ht="23.25" customHeight="1" thickTop="1" thickBot="1" x14ac:dyDescent="0.3">
      <c r="A236" s="108">
        <v>230</v>
      </c>
      <c r="B236" s="324" t="str">
        <f>+'Base de Datos'!E236</f>
        <v>140288-0-2014</v>
      </c>
      <c r="C236" s="324" t="str">
        <f>+'Base de Datos'!F236</f>
        <v>SGS COLOMBIA S.A.</v>
      </c>
      <c r="D236" s="325">
        <f>+'Base de Datos'!I236</f>
        <v>4621440</v>
      </c>
      <c r="E236" s="326">
        <f>+'Base de Datos'!M236</f>
        <v>41934</v>
      </c>
      <c r="F236" s="326">
        <f>+'Base de Datos'!N236</f>
        <v>42085</v>
      </c>
      <c r="G236" s="326">
        <f>+'Base de Datos'!T236</f>
        <v>42085</v>
      </c>
      <c r="H236" s="325">
        <f>+'Base de Datos'!U236</f>
        <v>4621440</v>
      </c>
      <c r="I236" s="327" t="str">
        <f>IF(VLOOKUP(B236,'Base de Datos'!$E$7:$S$303,11,0),"SI","NO")</f>
        <v>NO</v>
      </c>
      <c r="J236" s="328" t="str">
        <f t="shared" si="21"/>
        <v/>
      </c>
      <c r="K236" s="327" t="str">
        <f>IF(VLOOKUP(B236,'Base de Datos'!$E$7:$S$303,11,0),"SI","NO")</f>
        <v>NO</v>
      </c>
      <c r="L236" s="328" t="str">
        <f t="shared" si="22"/>
        <v/>
      </c>
      <c r="M236" s="328">
        <f>VLOOKUP(B236,'Base de Datos'!$E$7:$Z$303,21,0)</f>
        <v>1</v>
      </c>
      <c r="N236" s="390" t="str">
        <f t="shared" ca="1" si="26"/>
        <v/>
      </c>
      <c r="O236" s="328">
        <f ca="1">VLOOKUP(B236,'Base de Datos'!$E$7:$Z$303,22,0)</f>
        <v>1</v>
      </c>
      <c r="P236" s="389">
        <f t="shared" ca="1" si="23"/>
        <v>1558</v>
      </c>
      <c r="Q236" s="402">
        <f t="shared" ca="1" si="27"/>
        <v>12.983333333333333</v>
      </c>
      <c r="R236" s="324" t="str">
        <f ca="1">VLOOKUP(B236,'Base de Datos'!E236:AR547,33,0)</f>
        <v>TERMINO</v>
      </c>
      <c r="S236" s="327" t="str">
        <f t="shared" ca="1" si="24"/>
        <v>NO</v>
      </c>
      <c r="T236" s="324" t="str">
        <f t="shared" ca="1" si="25"/>
        <v>Liquidar</v>
      </c>
      <c r="U236" s="324">
        <f>VLOOKUP(B236,'Base de Datos'!$E$7:$AR$401,38,0)</f>
        <v>0</v>
      </c>
    </row>
    <row r="237" spans="1:21" ht="23.25" customHeight="1" thickTop="1" thickBot="1" x14ac:dyDescent="0.3">
      <c r="A237" s="108">
        <v>231</v>
      </c>
      <c r="B237" s="324" t="str">
        <f>+'Base de Datos'!E237</f>
        <v>140290-0-2014</v>
      </c>
      <c r="C237" s="324" t="str">
        <f>+'Base de Datos'!F237</f>
        <v>CENTRO DE DIAGNOSTICO Y TRATAMIENTO CENDIATRA LTDA</v>
      </c>
      <c r="D237" s="325">
        <f>+'Base de Datos'!I237</f>
        <v>41850000</v>
      </c>
      <c r="E237" s="326">
        <f>+'Base de Datos'!M237</f>
        <v>41926</v>
      </c>
      <c r="F237" s="326">
        <f>+'Base de Datos'!N237</f>
        <v>42138</v>
      </c>
      <c r="G237" s="326">
        <f>+'Base de Datos'!T237</f>
        <v>42138</v>
      </c>
      <c r="H237" s="325">
        <f>+'Base de Datos'!U237</f>
        <v>41850000</v>
      </c>
      <c r="I237" s="327" t="str">
        <f>IF(VLOOKUP(B237,'Base de Datos'!$E$7:$S$303,11,0),"SI","NO")</f>
        <v>NO</v>
      </c>
      <c r="J237" s="328" t="str">
        <f t="shared" si="21"/>
        <v/>
      </c>
      <c r="K237" s="327" t="str">
        <f>IF(VLOOKUP(B237,'Base de Datos'!$E$7:$S$303,11,0),"SI","NO")</f>
        <v>NO</v>
      </c>
      <c r="L237" s="328" t="str">
        <f t="shared" si="22"/>
        <v/>
      </c>
      <c r="M237" s="328">
        <f>VLOOKUP(B237,'Base de Datos'!$E$7:$Z$303,21,0)</f>
        <v>0.6299402628434887</v>
      </c>
      <c r="N237" s="390" t="str">
        <f t="shared" ca="1" si="26"/>
        <v/>
      </c>
      <c r="O237" s="328">
        <f ca="1">VLOOKUP(B237,'Base de Datos'!$E$7:$Z$303,22,0)</f>
        <v>1</v>
      </c>
      <c r="P237" s="389">
        <f t="shared" ca="1" si="23"/>
        <v>1505</v>
      </c>
      <c r="Q237" s="402">
        <f t="shared" ca="1" si="27"/>
        <v>12.541666666666666</v>
      </c>
      <c r="R237" s="324" t="str">
        <f ca="1">VLOOKUP(B237,'Base de Datos'!E237:AR548,33,0)</f>
        <v>TERMINO</v>
      </c>
      <c r="S237" s="327" t="str">
        <f t="shared" ca="1" si="24"/>
        <v>NO</v>
      </c>
      <c r="T237" s="324" t="str">
        <f t="shared" ca="1" si="25"/>
        <v>Liquidar</v>
      </c>
      <c r="U237" s="324">
        <f>VLOOKUP(B237,'Base de Datos'!$E$7:$AR$401,38,0)</f>
        <v>0</v>
      </c>
    </row>
    <row r="238" spans="1:21" ht="23.25" customHeight="1" thickTop="1" thickBot="1" x14ac:dyDescent="0.3">
      <c r="A238" s="108">
        <v>232</v>
      </c>
      <c r="B238" s="324" t="str">
        <f>+'Base de Datos'!E238</f>
        <v>140291-0-2014</v>
      </c>
      <c r="C238" s="324" t="str">
        <f>+'Base de Datos'!F238</f>
        <v>NAYIVE CARRASCO PATIÑO</v>
      </c>
      <c r="D238" s="325">
        <f>+'Base de Datos'!I238</f>
        <v>25000000</v>
      </c>
      <c r="E238" s="326">
        <f>+'Base de Datos'!M238</f>
        <v>41891</v>
      </c>
      <c r="F238" s="326">
        <f>+'Base de Datos'!N238</f>
        <v>42013</v>
      </c>
      <c r="G238" s="326">
        <f>+'Base de Datos'!T238</f>
        <v>42013</v>
      </c>
      <c r="H238" s="325">
        <f>+'Base de Datos'!U238</f>
        <v>25000000</v>
      </c>
      <c r="I238" s="327" t="str">
        <f>IF(VLOOKUP(B238,'Base de Datos'!$E$7:$S$303,11,0),"SI","NO")</f>
        <v>NO</v>
      </c>
      <c r="J238" s="328" t="str">
        <f t="shared" si="21"/>
        <v/>
      </c>
      <c r="K238" s="327" t="str">
        <f>IF(VLOOKUP(B238,'Base de Datos'!$E$7:$S$303,11,0),"SI","NO")</f>
        <v>NO</v>
      </c>
      <c r="L238" s="328" t="str">
        <f t="shared" si="22"/>
        <v/>
      </c>
      <c r="M238" s="328">
        <f>VLOOKUP(B238,'Base de Datos'!$E$7:$Z$303,21,0)</f>
        <v>1</v>
      </c>
      <c r="N238" s="390" t="str">
        <f t="shared" ca="1" si="26"/>
        <v/>
      </c>
      <c r="O238" s="328">
        <f ca="1">VLOOKUP(B238,'Base de Datos'!$E$7:$Z$303,22,0)</f>
        <v>1</v>
      </c>
      <c r="P238" s="389">
        <f t="shared" ca="1" si="23"/>
        <v>1630</v>
      </c>
      <c r="Q238" s="402">
        <f t="shared" ca="1" si="27"/>
        <v>13.583333333333334</v>
      </c>
      <c r="R238" s="324" t="str">
        <f ca="1">VLOOKUP(B238,'Base de Datos'!E238:AR549,33,0)</f>
        <v>TERMINO</v>
      </c>
      <c r="S238" s="327" t="str">
        <f t="shared" ca="1" si="24"/>
        <v>NO</v>
      </c>
      <c r="T238" s="324" t="str">
        <f t="shared" ca="1" si="25"/>
        <v>Liquidar</v>
      </c>
      <c r="U238" s="324">
        <f>VLOOKUP(B238,'Base de Datos'!$E$7:$AR$401,38,0)</f>
        <v>42145</v>
      </c>
    </row>
    <row r="239" spans="1:21" ht="23.25" customHeight="1" thickTop="1" thickBot="1" x14ac:dyDescent="0.3">
      <c r="A239" s="108">
        <v>233</v>
      </c>
      <c r="B239" s="324" t="str">
        <f>+'Base de Datos'!E239</f>
        <v>140292-0-2014</v>
      </c>
      <c r="C239" s="324" t="str">
        <f>+'Base de Datos'!F239</f>
        <v>JUAN SEBASTIÁN RAMÍREZ</v>
      </c>
      <c r="D239" s="325">
        <f>+'Base de Datos'!I239</f>
        <v>25000000</v>
      </c>
      <c r="E239" s="326">
        <f>+'Base de Datos'!M239</f>
        <v>41893</v>
      </c>
      <c r="F239" s="326">
        <f>+'Base de Datos'!N239</f>
        <v>42046</v>
      </c>
      <c r="G239" s="326">
        <f>+'Base de Datos'!T239</f>
        <v>42046</v>
      </c>
      <c r="H239" s="325">
        <f>+'Base de Datos'!U239</f>
        <v>25000000</v>
      </c>
      <c r="I239" s="327" t="str">
        <f>IF(VLOOKUP(B239,'Base de Datos'!$E$7:$S$303,11,0),"SI","NO")</f>
        <v>NO</v>
      </c>
      <c r="J239" s="328" t="str">
        <f t="shared" si="21"/>
        <v/>
      </c>
      <c r="K239" s="327" t="str">
        <f>IF(VLOOKUP(B239,'Base de Datos'!$E$7:$S$303,11,0),"SI","NO")</f>
        <v>NO</v>
      </c>
      <c r="L239" s="328" t="str">
        <f t="shared" si="22"/>
        <v/>
      </c>
      <c r="M239" s="328">
        <f>VLOOKUP(B239,'Base de Datos'!$E$7:$Z$303,21,0)</f>
        <v>1</v>
      </c>
      <c r="N239" s="390" t="str">
        <f t="shared" ca="1" si="26"/>
        <v/>
      </c>
      <c r="O239" s="328">
        <f ca="1">VLOOKUP(B239,'Base de Datos'!$E$7:$Z$303,22,0)</f>
        <v>1</v>
      </c>
      <c r="P239" s="389">
        <f t="shared" ca="1" si="23"/>
        <v>1597</v>
      </c>
      <c r="Q239" s="402">
        <f t="shared" ca="1" si="27"/>
        <v>13.308333333333334</v>
      </c>
      <c r="R239" s="324" t="str">
        <f ca="1">VLOOKUP(B239,'Base de Datos'!E239:AR550,33,0)</f>
        <v>TERMINO</v>
      </c>
      <c r="S239" s="327" t="str">
        <f t="shared" ca="1" si="24"/>
        <v>NO</v>
      </c>
      <c r="T239" s="324" t="str">
        <f t="shared" ca="1" si="25"/>
        <v>Liquidar</v>
      </c>
      <c r="U239" s="324">
        <f>VLOOKUP(B239,'Base de Datos'!$E$7:$AR$401,38,0)</f>
        <v>42254</v>
      </c>
    </row>
    <row r="240" spans="1:21" ht="23.25" customHeight="1" thickTop="1" thickBot="1" x14ac:dyDescent="0.3">
      <c r="A240" s="108">
        <v>234</v>
      </c>
      <c r="B240" s="324" t="str">
        <f>+'Base de Datos'!E240</f>
        <v>140296-0-2014</v>
      </c>
      <c r="C240" s="324" t="str">
        <f>+'Base de Datos'!F240</f>
        <v>INGEAL S.A.</v>
      </c>
      <c r="D240" s="325">
        <f>+'Base de Datos'!I240</f>
        <v>311460000</v>
      </c>
      <c r="E240" s="326">
        <f>+'Base de Datos'!M240</f>
        <v>41907</v>
      </c>
      <c r="F240" s="326">
        <f>+'Base de Datos'!N240</f>
        <v>41996</v>
      </c>
      <c r="G240" s="326">
        <f>+'Base de Datos'!T240</f>
        <v>41996</v>
      </c>
      <c r="H240" s="325">
        <f>+'Base de Datos'!U240</f>
        <v>311460000</v>
      </c>
      <c r="I240" s="327" t="str">
        <f>IF(VLOOKUP(B240,'Base de Datos'!$E$7:$S$303,11,0),"SI","NO")</f>
        <v>NO</v>
      </c>
      <c r="J240" s="328" t="str">
        <f t="shared" si="21"/>
        <v/>
      </c>
      <c r="K240" s="327" t="str">
        <f>IF(VLOOKUP(B240,'Base de Datos'!$E$7:$S$303,11,0),"SI","NO")</f>
        <v>NO</v>
      </c>
      <c r="L240" s="328" t="str">
        <f t="shared" si="22"/>
        <v/>
      </c>
      <c r="M240" s="328">
        <f>VLOOKUP(B240,'Base de Datos'!$E$7:$Z$303,21,0)</f>
        <v>1</v>
      </c>
      <c r="N240" s="390" t="str">
        <f t="shared" ca="1" si="26"/>
        <v/>
      </c>
      <c r="O240" s="328">
        <f ca="1">VLOOKUP(B240,'Base de Datos'!$E$7:$Z$303,22,0)</f>
        <v>1</v>
      </c>
      <c r="P240" s="389">
        <f t="shared" ca="1" si="23"/>
        <v>1647</v>
      </c>
      <c r="Q240" s="402">
        <f t="shared" ca="1" si="27"/>
        <v>13.725</v>
      </c>
      <c r="R240" s="324" t="str">
        <f ca="1">VLOOKUP(B240,'Base de Datos'!E240:AR551,33,0)</f>
        <v>TERMINO</v>
      </c>
      <c r="S240" s="327" t="str">
        <f t="shared" ca="1" si="24"/>
        <v>NO</v>
      </c>
      <c r="T240" s="324" t="str">
        <f t="shared" ca="1" si="25"/>
        <v>Liquidar</v>
      </c>
      <c r="U240" s="324">
        <f>VLOOKUP(B240,'Base de Datos'!$E$7:$AR$401,38,0)</f>
        <v>42298</v>
      </c>
    </row>
    <row r="241" spans="1:21" ht="23.25" customHeight="1" thickTop="1" thickBot="1" x14ac:dyDescent="0.3">
      <c r="A241" s="108">
        <v>235</v>
      </c>
      <c r="B241" s="324" t="str">
        <f>+'Base de Datos'!E241</f>
        <v>140299-0-2014</v>
      </c>
      <c r="C241" s="324" t="str">
        <f>+'Base de Datos'!F241</f>
        <v>LIZETH  GONZÁLEZ VARGAS</v>
      </c>
      <c r="D241" s="325">
        <f>+'Base de Datos'!I241</f>
        <v>17500000</v>
      </c>
      <c r="E241" s="326">
        <f>+'Base de Datos'!M241</f>
        <v>41900</v>
      </c>
      <c r="F241" s="326">
        <f>+'Base de Datos'!N241</f>
        <v>42053</v>
      </c>
      <c r="G241" s="326">
        <f>+'Base de Datos'!T241</f>
        <v>42053</v>
      </c>
      <c r="H241" s="325">
        <f>+'Base de Datos'!U241</f>
        <v>17500000</v>
      </c>
      <c r="I241" s="327" t="str">
        <f>IF(VLOOKUP(B241,'Base de Datos'!$E$7:$S$303,11,0),"SI","NO")</f>
        <v>NO</v>
      </c>
      <c r="J241" s="328" t="str">
        <f t="shared" si="21"/>
        <v/>
      </c>
      <c r="K241" s="327" t="str">
        <f>IF(VLOOKUP(B241,'Base de Datos'!$E$7:$S$303,11,0),"SI","NO")</f>
        <v>NO</v>
      </c>
      <c r="L241" s="328" t="str">
        <f t="shared" si="22"/>
        <v/>
      </c>
      <c r="M241" s="328">
        <f>VLOOKUP(B241,'Base de Datos'!$E$7:$Z$303,21,0)</f>
        <v>1</v>
      </c>
      <c r="N241" s="390" t="str">
        <f t="shared" ca="1" si="26"/>
        <v/>
      </c>
      <c r="O241" s="328">
        <f ca="1">VLOOKUP(B241,'Base de Datos'!$E$7:$Z$303,22,0)</f>
        <v>1</v>
      </c>
      <c r="P241" s="389">
        <f t="shared" ca="1" si="23"/>
        <v>1590</v>
      </c>
      <c r="Q241" s="402">
        <f t="shared" ca="1" si="27"/>
        <v>13.25</v>
      </c>
      <c r="R241" s="324" t="str">
        <f ca="1">VLOOKUP(B241,'Base de Datos'!E241:AR552,33,0)</f>
        <v>TERMINO</v>
      </c>
      <c r="S241" s="327" t="str">
        <f t="shared" ca="1" si="24"/>
        <v>NO</v>
      </c>
      <c r="T241" s="324" t="str">
        <f t="shared" ca="1" si="25"/>
        <v>Liquidar</v>
      </c>
      <c r="U241" s="324">
        <f>VLOOKUP(B241,'Base de Datos'!$E$7:$AR$401,38,0)</f>
        <v>42187</v>
      </c>
    </row>
    <row r="242" spans="1:21" ht="23.25" customHeight="1" thickTop="1" thickBot="1" x14ac:dyDescent="0.3">
      <c r="A242" s="108">
        <v>236</v>
      </c>
      <c r="B242" s="324" t="str">
        <f>+'Base de Datos'!E242</f>
        <v>140306-0-2014</v>
      </c>
      <c r="C242" s="324" t="str">
        <f>+'Base de Datos'!F242</f>
        <v>I3NET  S.A.S</v>
      </c>
      <c r="D242" s="325">
        <f>+'Base de Datos'!I242</f>
        <v>14153603</v>
      </c>
      <c r="E242" s="326">
        <f>+'Base de Datos'!M242</f>
        <v>41929</v>
      </c>
      <c r="F242" s="326">
        <f>+'Base de Datos'!N242</f>
        <v>42021</v>
      </c>
      <c r="G242" s="326">
        <f>+'Base de Datos'!T242</f>
        <v>42021</v>
      </c>
      <c r="H242" s="325">
        <f>+'Base de Datos'!U242</f>
        <v>14153603</v>
      </c>
      <c r="I242" s="327" t="str">
        <f>IF(VLOOKUP(B242,'Base de Datos'!$E$7:$S$303,11,0),"SI","NO")</f>
        <v>NO</v>
      </c>
      <c r="J242" s="328" t="str">
        <f t="shared" si="21"/>
        <v/>
      </c>
      <c r="K242" s="327" t="str">
        <f>IF(VLOOKUP(B242,'Base de Datos'!$E$7:$S$303,11,0),"SI","NO")</f>
        <v>NO</v>
      </c>
      <c r="L242" s="328" t="str">
        <f t="shared" si="22"/>
        <v/>
      </c>
      <c r="M242" s="328">
        <f>VLOOKUP(B242,'Base de Datos'!$E$7:$Z$303,21,0)</f>
        <v>1</v>
      </c>
      <c r="N242" s="390" t="str">
        <f t="shared" ca="1" si="26"/>
        <v/>
      </c>
      <c r="O242" s="328">
        <f ca="1">VLOOKUP(B242,'Base de Datos'!$E$7:$Z$303,22,0)</f>
        <v>1</v>
      </c>
      <c r="P242" s="389">
        <f t="shared" ca="1" si="23"/>
        <v>1622</v>
      </c>
      <c r="Q242" s="402">
        <f t="shared" ca="1" si="27"/>
        <v>13.516666666666667</v>
      </c>
      <c r="R242" s="324" t="str">
        <f ca="1">VLOOKUP(B242,'Base de Datos'!E242:AR553,33,0)</f>
        <v>TERMINO</v>
      </c>
      <c r="S242" s="327" t="str">
        <f t="shared" ca="1" si="24"/>
        <v>NO</v>
      </c>
      <c r="T242" s="324" t="str">
        <f t="shared" ca="1" si="25"/>
        <v>Liquidar</v>
      </c>
      <c r="U242" s="324">
        <f>VLOOKUP(B242,'Base de Datos'!$E$7:$AR$401,38,0)</f>
        <v>42145</v>
      </c>
    </row>
    <row r="243" spans="1:21" ht="23.25" customHeight="1" thickTop="1" thickBot="1" x14ac:dyDescent="0.3">
      <c r="A243" s="108">
        <v>237</v>
      </c>
      <c r="B243" s="324" t="str">
        <f>+'Base de Datos'!E243</f>
        <v>140312-0-2014</v>
      </c>
      <c r="C243" s="324" t="str">
        <f>+'Base de Datos'!F243</f>
        <v>CRISTIAN DAVID PARDO MARTINEZ</v>
      </c>
      <c r="D243" s="325">
        <f>+'Base de Datos'!I243</f>
        <v>10000000</v>
      </c>
      <c r="E243" s="326">
        <f>+'Base de Datos'!M243</f>
        <v>41911</v>
      </c>
      <c r="F243" s="326">
        <f>+'Base de Datos'!N243</f>
        <v>42033</v>
      </c>
      <c r="G243" s="326">
        <f>+'Base de Datos'!T243</f>
        <v>42033</v>
      </c>
      <c r="H243" s="325">
        <f>+'Base de Datos'!U243</f>
        <v>10000000</v>
      </c>
      <c r="I243" s="327" t="str">
        <f>IF(VLOOKUP(B243,'Base de Datos'!$E$7:$S$303,11,0),"SI","NO")</f>
        <v>NO</v>
      </c>
      <c r="J243" s="328" t="str">
        <f t="shared" si="21"/>
        <v/>
      </c>
      <c r="K243" s="327" t="str">
        <f>IF(VLOOKUP(B243,'Base de Datos'!$E$7:$S$303,11,0),"SI","NO")</f>
        <v>NO</v>
      </c>
      <c r="L243" s="328" t="str">
        <f t="shared" si="22"/>
        <v/>
      </c>
      <c r="M243" s="328">
        <f>VLOOKUP(B243,'Base de Datos'!$E$7:$Z$303,21,0)</f>
        <v>1</v>
      </c>
      <c r="N243" s="390" t="str">
        <f t="shared" ca="1" si="26"/>
        <v/>
      </c>
      <c r="O243" s="328">
        <f ca="1">VLOOKUP(B243,'Base de Datos'!$E$7:$Z$303,22,0)</f>
        <v>1</v>
      </c>
      <c r="P243" s="389">
        <f t="shared" ca="1" si="23"/>
        <v>1610</v>
      </c>
      <c r="Q243" s="402">
        <f t="shared" ca="1" si="27"/>
        <v>13.416666666666666</v>
      </c>
      <c r="R243" s="324" t="str">
        <f ca="1">VLOOKUP(B243,'Base de Datos'!E243:AR554,33,0)</f>
        <v>TERMINO</v>
      </c>
      <c r="S243" s="327" t="str">
        <f t="shared" ca="1" si="24"/>
        <v>NO</v>
      </c>
      <c r="T243" s="324" t="str">
        <f t="shared" ca="1" si="25"/>
        <v>Liquidar</v>
      </c>
      <c r="U243" s="324">
        <f>VLOOKUP(B243,'Base de Datos'!$E$7:$AR$401,38,0)</f>
        <v>42152</v>
      </c>
    </row>
    <row r="244" spans="1:21" ht="23.25" customHeight="1" thickTop="1" thickBot="1" x14ac:dyDescent="0.3">
      <c r="A244" s="108">
        <v>238</v>
      </c>
      <c r="B244" s="324" t="str">
        <f>+'Base de Datos'!E244</f>
        <v xml:space="preserve">140316-0-2014 </v>
      </c>
      <c r="C244" s="324" t="str">
        <f>+'Base de Datos'!F244</f>
        <v>SOLUCIONES EN INGENIERIA Y SOFTWARE SAS</v>
      </c>
      <c r="D244" s="325">
        <f>+'Base de Datos'!I244</f>
        <v>812500</v>
      </c>
      <c r="E244" s="326">
        <f>+'Base de Datos'!M244</f>
        <v>41928</v>
      </c>
      <c r="F244" s="326">
        <f>+'Base de Datos'!N244</f>
        <v>42004</v>
      </c>
      <c r="G244" s="326">
        <f>+'Base de Datos'!T244</f>
        <v>42004</v>
      </c>
      <c r="H244" s="325">
        <f>+'Base de Datos'!U244</f>
        <v>812500</v>
      </c>
      <c r="I244" s="327" t="str">
        <f>IF(VLOOKUP(B244,'Base de Datos'!$E$7:$S$303,11,0),"SI","NO")</f>
        <v>NO</v>
      </c>
      <c r="J244" s="328" t="str">
        <f t="shared" si="21"/>
        <v/>
      </c>
      <c r="K244" s="327" t="str">
        <f>IF(VLOOKUP(B244,'Base de Datos'!$E$7:$S$303,11,0),"SI","NO")</f>
        <v>NO</v>
      </c>
      <c r="L244" s="328" t="str">
        <f t="shared" si="22"/>
        <v/>
      </c>
      <c r="M244" s="328">
        <f>VLOOKUP(B244,'Base de Datos'!$E$7:$Z$303,21,0)</f>
        <v>1</v>
      </c>
      <c r="N244" s="390" t="str">
        <f t="shared" ca="1" si="26"/>
        <v/>
      </c>
      <c r="O244" s="328">
        <f ca="1">VLOOKUP(B244,'Base de Datos'!$E$7:$Z$303,22,0)</f>
        <v>1</v>
      </c>
      <c r="P244" s="389">
        <f t="shared" ca="1" si="23"/>
        <v>1639</v>
      </c>
      <c r="Q244" s="402">
        <f t="shared" ca="1" si="27"/>
        <v>13.658333333333333</v>
      </c>
      <c r="R244" s="324" t="str">
        <f ca="1">VLOOKUP(B244,'Base de Datos'!E244:AR555,33,0)</f>
        <v>TERMINO</v>
      </c>
      <c r="S244" s="327" t="str">
        <f t="shared" ca="1" si="24"/>
        <v>NO</v>
      </c>
      <c r="T244" s="324" t="str">
        <f t="shared" ca="1" si="25"/>
        <v>Liquidar</v>
      </c>
      <c r="U244" s="324">
        <f>VLOOKUP(B244,'Base de Datos'!$E$7:$AR$401,38,0)</f>
        <v>0</v>
      </c>
    </row>
    <row r="245" spans="1:21" ht="23.25" customHeight="1" thickTop="1" thickBot="1" x14ac:dyDescent="0.3">
      <c r="A245" s="108">
        <v>239</v>
      </c>
      <c r="B245" s="324" t="str">
        <f>+'Base de Datos'!E245</f>
        <v>140317-0-2014</v>
      </c>
      <c r="C245" s="324" t="str">
        <f>+'Base de Datos'!F245</f>
        <v>FACTOR VISUAL EAT</v>
      </c>
      <c r="D245" s="325">
        <f>+'Base de Datos'!I245</f>
        <v>44544000</v>
      </c>
      <c r="E245" s="326">
        <f>+'Base de Datos'!M245</f>
        <v>41929</v>
      </c>
      <c r="F245" s="326">
        <f>+'Base de Datos'!N245</f>
        <v>42294</v>
      </c>
      <c r="G245" s="326">
        <f>+'Base de Datos'!T245</f>
        <v>42477</v>
      </c>
      <c r="H245" s="325">
        <f>+'Base de Datos'!U245</f>
        <v>66816000</v>
      </c>
      <c r="I245" s="327" t="str">
        <f>IF(VLOOKUP(B245,'Base de Datos'!$E$7:$S$303,11,0),"SI","NO")</f>
        <v>SI</v>
      </c>
      <c r="J245" s="328">
        <f t="shared" si="21"/>
        <v>0.50136986301369868</v>
      </c>
      <c r="K245" s="327" t="str">
        <f>IF(VLOOKUP(B245,'Base de Datos'!$E$7:$S$303,11,0),"SI","NO")</f>
        <v>SI</v>
      </c>
      <c r="L245" s="328">
        <f t="shared" si="22"/>
        <v>0.5</v>
      </c>
      <c r="M245" s="328">
        <f>VLOOKUP(B245,'Base de Datos'!$E$7:$Z$303,21,0)</f>
        <v>1</v>
      </c>
      <c r="N245" s="390" t="str">
        <f t="shared" ca="1" si="26"/>
        <v/>
      </c>
      <c r="O245" s="328">
        <f ca="1">VLOOKUP(B245,'Base de Datos'!$E$7:$Z$303,22,0)</f>
        <v>1</v>
      </c>
      <c r="P245" s="389">
        <f t="shared" ca="1" si="23"/>
        <v>1166</v>
      </c>
      <c r="Q245" s="402">
        <f t="shared" ca="1" si="27"/>
        <v>9.7166666666666668</v>
      </c>
      <c r="R245" s="324" t="str">
        <f ca="1">VLOOKUP(B245,'Base de Datos'!E245:AR556,33,0)</f>
        <v>TERMINO</v>
      </c>
      <c r="S245" s="327" t="str">
        <f t="shared" ca="1" si="24"/>
        <v>NO</v>
      </c>
      <c r="T245" s="324" t="str">
        <f t="shared" ca="1" si="25"/>
        <v>Liquidar</v>
      </c>
      <c r="U245" s="324">
        <f>VLOOKUP(B245,'Base de Datos'!$E$7:$AR$401,38,0)</f>
        <v>0</v>
      </c>
    </row>
    <row r="246" spans="1:21" ht="23.25" customHeight="1" thickTop="1" thickBot="1" x14ac:dyDescent="0.3">
      <c r="A246" s="108">
        <v>240</v>
      </c>
      <c r="B246" s="324" t="str">
        <f>+'Base de Datos'!E246</f>
        <v>140319-0-2014</v>
      </c>
      <c r="C246" s="324" t="str">
        <f>+'Base de Datos'!F246</f>
        <v>CANAL REGIONAL DE TELEVISION TEVEANDINA LTDA - TEVEANDINA LTDA</v>
      </c>
      <c r="D246" s="325">
        <f>+'Base de Datos'!I246</f>
        <v>818527824</v>
      </c>
      <c r="E246" s="326">
        <f>+'Base de Datos'!M246</f>
        <v>41921</v>
      </c>
      <c r="F246" s="326">
        <f>+'Base de Datos'!N246</f>
        <v>42102</v>
      </c>
      <c r="G246" s="326">
        <f>+'Base de Datos'!T246</f>
        <v>42116</v>
      </c>
      <c r="H246" s="325">
        <f>+'Base de Datos'!U246</f>
        <v>818527824</v>
      </c>
      <c r="I246" s="327" t="str">
        <f>IF(VLOOKUP(B246,'Base de Datos'!$E$7:$S$303,11,0),"SI","NO")</f>
        <v>NO</v>
      </c>
      <c r="J246" s="328" t="str">
        <f t="shared" si="21"/>
        <v/>
      </c>
      <c r="K246" s="327" t="str">
        <f>IF(VLOOKUP(B246,'Base de Datos'!$E$7:$S$303,11,0),"SI","NO")</f>
        <v>NO</v>
      </c>
      <c r="L246" s="328" t="str">
        <f t="shared" si="22"/>
        <v/>
      </c>
      <c r="M246" s="328">
        <f>VLOOKUP(B246,'Base de Datos'!$E$7:$Z$303,21,0)</f>
        <v>0.97833046662565259</v>
      </c>
      <c r="N246" s="390" t="str">
        <f t="shared" ca="1" si="26"/>
        <v/>
      </c>
      <c r="O246" s="328">
        <f ca="1">VLOOKUP(B246,'Base de Datos'!$E$7:$Z$303,22,0)</f>
        <v>1</v>
      </c>
      <c r="P246" s="389">
        <f t="shared" ca="1" si="23"/>
        <v>1527</v>
      </c>
      <c r="Q246" s="402">
        <f t="shared" ca="1" si="27"/>
        <v>12.725</v>
      </c>
      <c r="R246" s="324" t="str">
        <f ca="1">VLOOKUP(B246,'Base de Datos'!E246:AR557,33,0)</f>
        <v>TERMINO</v>
      </c>
      <c r="S246" s="327" t="str">
        <f t="shared" ca="1" si="24"/>
        <v>NO</v>
      </c>
      <c r="T246" s="324" t="str">
        <f t="shared" ca="1" si="25"/>
        <v>Liquidar</v>
      </c>
      <c r="U246" s="324">
        <f>VLOOKUP(B246,'Base de Datos'!$E$7:$AR$401,38,0)</f>
        <v>0</v>
      </c>
    </row>
    <row r="247" spans="1:21" ht="23.25" customHeight="1" thickTop="1" thickBot="1" x14ac:dyDescent="0.3">
      <c r="A247" s="108">
        <v>241</v>
      </c>
      <c r="B247" s="324" t="str">
        <f>+'Base de Datos'!E247</f>
        <v>140322-0-2014</v>
      </c>
      <c r="C247" s="324" t="str">
        <f>+'Base de Datos'!F247</f>
        <v>SUMIMAS SAS</v>
      </c>
      <c r="D247" s="325">
        <f>+'Base de Datos'!I247</f>
        <v>75520000</v>
      </c>
      <c r="E247" s="326">
        <f>+'Base de Datos'!M247</f>
        <v>41929</v>
      </c>
      <c r="F247" s="326">
        <f>+'Base de Datos'!N247</f>
        <v>42294</v>
      </c>
      <c r="G247" s="326">
        <f>+'Base de Datos'!T247</f>
        <v>42369</v>
      </c>
      <c r="H247" s="325">
        <f>+'Base de Datos'!U247</f>
        <v>75520000</v>
      </c>
      <c r="I247" s="327" t="str">
        <f>IF(VLOOKUP(B247,'Base de Datos'!$E$7:$S$303,11,0),"SI","NO")</f>
        <v>NO</v>
      </c>
      <c r="J247" s="328" t="str">
        <f t="shared" si="21"/>
        <v/>
      </c>
      <c r="K247" s="327" t="str">
        <f>IF(VLOOKUP(B247,'Base de Datos'!$E$7:$S$303,11,0),"SI","NO")</f>
        <v>NO</v>
      </c>
      <c r="L247" s="328" t="str">
        <f t="shared" si="22"/>
        <v/>
      </c>
      <c r="M247" s="328">
        <f>VLOOKUP(B247,'Base de Datos'!$E$7:$Z$303,21,0)</f>
        <v>0.99999998675847457</v>
      </c>
      <c r="N247" s="390" t="str">
        <f t="shared" ca="1" si="26"/>
        <v/>
      </c>
      <c r="O247" s="328">
        <f ca="1">VLOOKUP(B247,'Base de Datos'!$E$7:$Z$303,22,0)</f>
        <v>1</v>
      </c>
      <c r="P247" s="389">
        <f t="shared" ca="1" si="23"/>
        <v>1274</v>
      </c>
      <c r="Q247" s="402">
        <f t="shared" ca="1" si="27"/>
        <v>10.616666666666667</v>
      </c>
      <c r="R247" s="324" t="str">
        <f ca="1">VLOOKUP(B247,'Base de Datos'!E247:AR558,33,0)</f>
        <v>TERMINO</v>
      </c>
      <c r="S247" s="327" t="str">
        <f t="shared" ca="1" si="24"/>
        <v>NO</v>
      </c>
      <c r="T247" s="324" t="str">
        <f t="shared" ca="1" si="25"/>
        <v>Liquidar</v>
      </c>
      <c r="U247" s="324">
        <f>VLOOKUP(B247,'Base de Datos'!$E$7:$AR$401,38,0)</f>
        <v>0</v>
      </c>
    </row>
    <row r="248" spans="1:21" ht="23.25" customHeight="1" thickTop="1" thickBot="1" x14ac:dyDescent="0.3">
      <c r="A248" s="108">
        <v>242</v>
      </c>
      <c r="B248" s="324" t="str">
        <f>+'Base de Datos'!E248</f>
        <v>140330-0-2014</v>
      </c>
      <c r="C248" s="324" t="str">
        <f>+'Base de Datos'!F248</f>
        <v>SOLUCIONES INTEGRALES DE OFICINAS      SAS</v>
      </c>
      <c r="D248" s="325">
        <f>+'Base de Datos'!I248</f>
        <v>324800</v>
      </c>
      <c r="E248" s="326">
        <f>+'Base de Datos'!M248</f>
        <v>41939</v>
      </c>
      <c r="F248" s="326">
        <f>+'Base de Datos'!N248</f>
        <v>41970</v>
      </c>
      <c r="G248" s="326">
        <f>+'Base de Datos'!T248</f>
        <v>41970</v>
      </c>
      <c r="H248" s="325">
        <f>+'Base de Datos'!U248</f>
        <v>324800</v>
      </c>
      <c r="I248" s="327" t="str">
        <f>IF(VLOOKUP(B248,'Base de Datos'!$E$7:$S$303,11,0),"SI","NO")</f>
        <v>NO</v>
      </c>
      <c r="J248" s="328" t="str">
        <f t="shared" si="21"/>
        <v/>
      </c>
      <c r="K248" s="327" t="str">
        <f>IF(VLOOKUP(B248,'Base de Datos'!$E$7:$S$303,11,0),"SI","NO")</f>
        <v>NO</v>
      </c>
      <c r="L248" s="328" t="str">
        <f t="shared" si="22"/>
        <v/>
      </c>
      <c r="M248" s="328">
        <f>VLOOKUP(B248,'Base de Datos'!$E$7:$Z$303,21,0)</f>
        <v>1</v>
      </c>
      <c r="N248" s="390" t="str">
        <f t="shared" ca="1" si="26"/>
        <v/>
      </c>
      <c r="O248" s="328">
        <f ca="1">VLOOKUP(B248,'Base de Datos'!$E$7:$Z$303,22,0)</f>
        <v>1</v>
      </c>
      <c r="P248" s="389">
        <f t="shared" ca="1" si="23"/>
        <v>1673</v>
      </c>
      <c r="Q248" s="402">
        <f t="shared" ca="1" si="27"/>
        <v>13.941666666666666</v>
      </c>
      <c r="R248" s="324" t="str">
        <f ca="1">VLOOKUP(B248,'Base de Datos'!E248:AR559,33,0)</f>
        <v>TERMINO</v>
      </c>
      <c r="S248" s="327" t="str">
        <f t="shared" ca="1" si="24"/>
        <v>NO</v>
      </c>
      <c r="T248" s="324" t="str">
        <f t="shared" ca="1" si="25"/>
        <v>Liquidar</v>
      </c>
      <c r="U248" s="324">
        <f>VLOOKUP(B248,'Base de Datos'!$E$7:$AR$401,38,0)</f>
        <v>42145</v>
      </c>
    </row>
    <row r="249" spans="1:21" ht="23.25" customHeight="1" thickTop="1" thickBot="1" x14ac:dyDescent="0.3">
      <c r="A249" s="108">
        <v>243</v>
      </c>
      <c r="B249" s="324" t="str">
        <f>+'Base de Datos'!E249</f>
        <v>140342-0-2014</v>
      </c>
      <c r="C249" s="324" t="str">
        <f>+'Base de Datos'!F249</f>
        <v>EDITORES CONARTE SAS</v>
      </c>
      <c r="D249" s="325">
        <f>+'Base de Datos'!I249</f>
        <v>1659960</v>
      </c>
      <c r="E249" s="326">
        <f>+'Base de Datos'!M249</f>
        <v>41968</v>
      </c>
      <c r="F249" s="326">
        <f>+'Base de Datos'!N249</f>
        <v>42241</v>
      </c>
      <c r="G249" s="326">
        <f>+'Base de Datos'!T249</f>
        <v>42241</v>
      </c>
      <c r="H249" s="325">
        <f>+'Base de Datos'!U249</f>
        <v>2459960</v>
      </c>
      <c r="I249" s="327" t="str">
        <f>IF(VLOOKUP(B249,'Base de Datos'!$E$7:$S$303,11,0),"SI","NO")</f>
        <v>SI</v>
      </c>
      <c r="J249" s="328">
        <f t="shared" si="21"/>
        <v>0</v>
      </c>
      <c r="K249" s="327" t="str">
        <f>IF(VLOOKUP(B249,'Base de Datos'!$E$7:$S$303,11,0),"SI","NO")</f>
        <v>SI</v>
      </c>
      <c r="L249" s="328">
        <f t="shared" si="22"/>
        <v>0.48193932383912863</v>
      </c>
      <c r="M249" s="328">
        <f>VLOOKUP(B249,'Base de Datos'!$E$7:$Z$303,21,0)</f>
        <v>0.99915608383876164</v>
      </c>
      <c r="N249" s="390" t="str">
        <f t="shared" ca="1" si="26"/>
        <v/>
      </c>
      <c r="O249" s="328">
        <f ca="1">VLOOKUP(B249,'Base de Datos'!$E$7:$Z$303,22,0)</f>
        <v>1</v>
      </c>
      <c r="P249" s="389">
        <f t="shared" ca="1" si="23"/>
        <v>1402</v>
      </c>
      <c r="Q249" s="402">
        <f t="shared" ca="1" si="27"/>
        <v>11.683333333333334</v>
      </c>
      <c r="R249" s="324" t="str">
        <f ca="1">VLOOKUP(B249,'Base de Datos'!E249:AR560,33,0)</f>
        <v>TERMINO</v>
      </c>
      <c r="S249" s="327" t="str">
        <f t="shared" ca="1" si="24"/>
        <v>NO</v>
      </c>
      <c r="T249" s="324" t="str">
        <f t="shared" ca="1" si="25"/>
        <v>Liquidar</v>
      </c>
      <c r="U249" s="324">
        <f>VLOOKUP(B249,'Base de Datos'!$E$7:$AR$401,38,0)</f>
        <v>42368</v>
      </c>
    </row>
    <row r="250" spans="1:21" ht="23.25" customHeight="1" thickTop="1" thickBot="1" x14ac:dyDescent="0.3">
      <c r="A250" s="108">
        <v>244</v>
      </c>
      <c r="B250" s="324" t="str">
        <f>+'Base de Datos'!E250</f>
        <v>140344-0-2014</v>
      </c>
      <c r="C250" s="324" t="str">
        <f>+'Base de Datos'!F250</f>
        <v>GUSTAVO ADOLFO BARRETO CASANOVA</v>
      </c>
      <c r="D250" s="325">
        <f>+'Base de Datos'!I250</f>
        <v>20188000</v>
      </c>
      <c r="E250" s="326">
        <f>+'Base de Datos'!M250</f>
        <v>41957</v>
      </c>
      <c r="F250" s="326">
        <f>+'Base de Datos'!N250</f>
        <v>42077</v>
      </c>
      <c r="G250" s="326">
        <f>+'Base de Datos'!T250</f>
        <v>42077</v>
      </c>
      <c r="H250" s="325">
        <f>+'Base de Datos'!U250</f>
        <v>20188000</v>
      </c>
      <c r="I250" s="327" t="str">
        <f>IF(VLOOKUP(B250,'Base de Datos'!$E$7:$S$303,11,0),"SI","NO")</f>
        <v>NO</v>
      </c>
      <c r="J250" s="328" t="str">
        <f t="shared" si="21"/>
        <v/>
      </c>
      <c r="K250" s="327" t="str">
        <f>IF(VLOOKUP(B250,'Base de Datos'!$E$7:$S$303,11,0),"SI","NO")</f>
        <v>NO</v>
      </c>
      <c r="L250" s="328" t="str">
        <f t="shared" si="22"/>
        <v/>
      </c>
      <c r="M250" s="328">
        <f>VLOOKUP(B250,'Base de Datos'!$E$7:$Z$303,21,0)</f>
        <v>1</v>
      </c>
      <c r="N250" s="390" t="str">
        <f t="shared" ca="1" si="26"/>
        <v/>
      </c>
      <c r="O250" s="328">
        <f ca="1">VLOOKUP(B250,'Base de Datos'!$E$7:$Z$303,22,0)</f>
        <v>1</v>
      </c>
      <c r="P250" s="389">
        <f t="shared" ca="1" si="23"/>
        <v>1566</v>
      </c>
      <c r="Q250" s="402">
        <f t="shared" ca="1" si="27"/>
        <v>13.05</v>
      </c>
      <c r="R250" s="324" t="str">
        <f ca="1">VLOOKUP(B250,'Base de Datos'!E250:AR561,33,0)</f>
        <v>TERMINO</v>
      </c>
      <c r="S250" s="327" t="str">
        <f t="shared" ca="1" si="24"/>
        <v>NO</v>
      </c>
      <c r="T250" s="324" t="str">
        <f t="shared" ca="1" si="25"/>
        <v>Liquidar</v>
      </c>
      <c r="U250" s="324">
        <f>VLOOKUP(B250,'Base de Datos'!$E$7:$AR$401,38,0)</f>
        <v>42251</v>
      </c>
    </row>
    <row r="251" spans="1:21" ht="23.25" customHeight="1" thickTop="1" thickBot="1" x14ac:dyDescent="0.3">
      <c r="A251" s="108">
        <v>245</v>
      </c>
      <c r="B251" s="324" t="str">
        <f>+'Base de Datos'!E251</f>
        <v>140315-0-2014</v>
      </c>
      <c r="C251" s="324" t="str">
        <f>+'Base de Datos'!F251</f>
        <v>PROSEGUR TECNOLOGÍA S.A.S.</v>
      </c>
      <c r="D251" s="325">
        <f>+'Base de Datos'!I251</f>
        <v>59383678</v>
      </c>
      <c r="E251" s="326">
        <f>+'Base de Datos'!M251</f>
        <v>41941</v>
      </c>
      <c r="F251" s="326">
        <f>+'Base de Datos'!N251</f>
        <v>42033</v>
      </c>
      <c r="G251" s="326">
        <f>+'Base de Datos'!T251</f>
        <v>42184</v>
      </c>
      <c r="H251" s="325">
        <f>+'Base de Datos'!U251</f>
        <v>59383678</v>
      </c>
      <c r="I251" s="327" t="str">
        <f>IF(VLOOKUP(B251,'Base de Datos'!$E$7:$S$303,11,0),"SI","NO")</f>
        <v>NO</v>
      </c>
      <c r="J251" s="328" t="str">
        <f t="shared" si="21"/>
        <v/>
      </c>
      <c r="K251" s="327" t="str">
        <f>IF(VLOOKUP(B251,'Base de Datos'!$E$7:$S$303,11,0),"SI","NO")</f>
        <v>NO</v>
      </c>
      <c r="L251" s="328" t="str">
        <f t="shared" si="22"/>
        <v/>
      </c>
      <c r="M251" s="328">
        <f>VLOOKUP(B251,'Base de Datos'!$E$7:$Z$303,21,0)</f>
        <v>0.46763947494124564</v>
      </c>
      <c r="N251" s="390" t="str">
        <f t="shared" ca="1" si="26"/>
        <v/>
      </c>
      <c r="O251" s="328">
        <f ca="1">VLOOKUP(B251,'Base de Datos'!$E$7:$Z$303,22,0)</f>
        <v>1</v>
      </c>
      <c r="P251" s="389">
        <f t="shared" ca="1" si="23"/>
        <v>1459</v>
      </c>
      <c r="Q251" s="402">
        <f t="shared" ca="1" si="27"/>
        <v>12.158333333333333</v>
      </c>
      <c r="R251" s="324" t="str">
        <f ca="1">VLOOKUP(B251,'Base de Datos'!E251:AR562,33,0)</f>
        <v>TERMINO</v>
      </c>
      <c r="S251" s="327" t="str">
        <f t="shared" ca="1" si="24"/>
        <v>NO</v>
      </c>
      <c r="T251" s="324" t="str">
        <f t="shared" ca="1" si="25"/>
        <v>Liquidar</v>
      </c>
      <c r="U251" s="324">
        <f>VLOOKUP(B251,'Base de Datos'!$E$7:$AR$401,38,0)</f>
        <v>0</v>
      </c>
    </row>
    <row r="252" spans="1:21" ht="23.25" customHeight="1" thickTop="1" thickBot="1" x14ac:dyDescent="0.3">
      <c r="A252" s="108">
        <v>246</v>
      </c>
      <c r="B252" s="324" t="str">
        <f>+'Base de Datos'!E252</f>
        <v>140334-0-2014</v>
      </c>
      <c r="C252" s="324" t="str">
        <f>+'Base de Datos'!F252</f>
        <v>EDITORIAL EL GLOBO S.A</v>
      </c>
      <c r="D252" s="325">
        <f>+'Base de Datos'!I252</f>
        <v>764100</v>
      </c>
      <c r="E252" s="326">
        <f>+'Base de Datos'!M252</f>
        <v>41970</v>
      </c>
      <c r="F252" s="326">
        <f>+'Base de Datos'!N252</f>
        <v>42335</v>
      </c>
      <c r="G252" s="326">
        <f>+'Base de Datos'!T252</f>
        <v>42335</v>
      </c>
      <c r="H252" s="325">
        <f>+'Base de Datos'!U252</f>
        <v>764100</v>
      </c>
      <c r="I252" s="327" t="str">
        <f>IF(VLOOKUP(B252,'Base de Datos'!$E$7:$S$303,11,0),"SI","NO")</f>
        <v>NO</v>
      </c>
      <c r="J252" s="328" t="str">
        <f t="shared" si="21"/>
        <v/>
      </c>
      <c r="K252" s="327" t="str">
        <f>IF(VLOOKUP(B252,'Base de Datos'!$E$7:$S$303,11,0),"SI","NO")</f>
        <v>NO</v>
      </c>
      <c r="L252" s="328" t="str">
        <f t="shared" si="22"/>
        <v/>
      </c>
      <c r="M252" s="328">
        <f>VLOOKUP(B252,'Base de Datos'!$E$7:$Z$303,21,0)</f>
        <v>1</v>
      </c>
      <c r="N252" s="390" t="str">
        <f t="shared" ca="1" si="26"/>
        <v/>
      </c>
      <c r="O252" s="328">
        <f ca="1">VLOOKUP(B252,'Base de Datos'!$E$7:$Z$303,22,0)</f>
        <v>1</v>
      </c>
      <c r="P252" s="389">
        <f t="shared" ca="1" si="23"/>
        <v>1308</v>
      </c>
      <c r="Q252" s="402">
        <f t="shared" ca="1" si="27"/>
        <v>10.9</v>
      </c>
      <c r="R252" s="324" t="str">
        <f ca="1">VLOOKUP(B252,'Base de Datos'!E252:AR563,33,0)</f>
        <v>TERMINO</v>
      </c>
      <c r="S252" s="327" t="str">
        <f t="shared" ca="1" si="24"/>
        <v>NO</v>
      </c>
      <c r="T252" s="324" t="str">
        <f t="shared" ca="1" si="25"/>
        <v>Liquidar</v>
      </c>
      <c r="U252" s="324">
        <f>VLOOKUP(B252,'Base de Datos'!$E$7:$AR$401,38,0)</f>
        <v>0</v>
      </c>
    </row>
    <row r="253" spans="1:21" ht="23.25" customHeight="1" thickTop="1" thickBot="1" x14ac:dyDescent="0.3">
      <c r="A253" s="108">
        <v>247</v>
      </c>
      <c r="B253" s="324" t="str">
        <f>+'Base de Datos'!E253</f>
        <v>140310-0-2014</v>
      </c>
      <c r="C253" s="324" t="str">
        <f>+'Base de Datos'!F253</f>
        <v>TECOLSOF SAS</v>
      </c>
      <c r="D253" s="325">
        <f>+'Base de Datos'!I253</f>
        <v>108570688</v>
      </c>
      <c r="E253" s="326">
        <f>+'Base de Datos'!M253</f>
        <v>41935</v>
      </c>
      <c r="F253" s="326">
        <f>+'Base de Datos'!N253</f>
        <v>42117</v>
      </c>
      <c r="G253" s="326">
        <f>+'Base de Datos'!T253</f>
        <v>42208</v>
      </c>
      <c r="H253" s="325">
        <f>+'Base de Datos'!U253</f>
        <v>162856033</v>
      </c>
      <c r="I253" s="327" t="str">
        <f>IF(VLOOKUP(B253,'Base de Datos'!$E$7:$S$303,11,0),"SI","NO")</f>
        <v>SI</v>
      </c>
      <c r="J253" s="328">
        <f t="shared" si="21"/>
        <v>0.5</v>
      </c>
      <c r="K253" s="327" t="str">
        <f>IF(VLOOKUP(B253,'Base de Datos'!$E$7:$S$303,11,0),"SI","NO")</f>
        <v>SI</v>
      </c>
      <c r="L253" s="328">
        <f t="shared" si="22"/>
        <v>0.50000000921058918</v>
      </c>
      <c r="M253" s="328">
        <f>VLOOKUP(B253,'Base de Datos'!$E$7:$Z$303,21,0)</f>
        <v>0.95584773945709456</v>
      </c>
      <c r="N253" s="390" t="str">
        <f t="shared" ca="1" si="26"/>
        <v/>
      </c>
      <c r="O253" s="328">
        <f ca="1">VLOOKUP(B253,'Base de Datos'!$E$7:$Z$303,22,0)</f>
        <v>1</v>
      </c>
      <c r="P253" s="389">
        <f t="shared" ca="1" si="23"/>
        <v>1435</v>
      </c>
      <c r="Q253" s="402">
        <f t="shared" ca="1" si="27"/>
        <v>11.958333333333334</v>
      </c>
      <c r="R253" s="324" t="str">
        <f ca="1">VLOOKUP(B253,'Base de Datos'!E253:AR564,33,0)</f>
        <v>TERMINO</v>
      </c>
      <c r="S253" s="327" t="str">
        <f t="shared" ca="1" si="24"/>
        <v>NO</v>
      </c>
      <c r="T253" s="324" t="str">
        <f t="shared" ca="1" si="25"/>
        <v>Liquidar</v>
      </c>
      <c r="U253" s="324">
        <f>VLOOKUP(B253,'Base de Datos'!$E$7:$AR$401,38,0)</f>
        <v>0</v>
      </c>
    </row>
    <row r="254" spans="1:21" ht="23.25" customHeight="1" thickTop="1" thickBot="1" x14ac:dyDescent="0.3">
      <c r="A254" s="108">
        <v>248</v>
      </c>
      <c r="B254" s="324" t="str">
        <f>+'Base de Datos'!E254</f>
        <v>140313-0-2014</v>
      </c>
      <c r="C254" s="324" t="str">
        <f>+'Base de Datos'!F254</f>
        <v>M@ICROTEL LTDA</v>
      </c>
      <c r="D254" s="325">
        <f>+'Base de Datos'!I254</f>
        <v>27235640</v>
      </c>
      <c r="E254" s="326">
        <f>+'Base de Datos'!M254</f>
        <v>41969</v>
      </c>
      <c r="F254" s="326">
        <f>+'Base de Datos'!N254</f>
        <v>42334</v>
      </c>
      <c r="G254" s="326">
        <f>+'Base de Datos'!T254</f>
        <v>42334</v>
      </c>
      <c r="H254" s="325">
        <f>+'Base de Datos'!U254</f>
        <v>27235640</v>
      </c>
      <c r="I254" s="327" t="str">
        <f>IF(VLOOKUP(B254,'Base de Datos'!$E$7:$S$303,11,0),"SI","NO")</f>
        <v>NO</v>
      </c>
      <c r="J254" s="328" t="str">
        <f t="shared" si="21"/>
        <v/>
      </c>
      <c r="K254" s="327" t="str">
        <f>IF(VLOOKUP(B254,'Base de Datos'!$E$7:$S$303,11,0),"SI","NO")</f>
        <v>NO</v>
      </c>
      <c r="L254" s="328" t="str">
        <f t="shared" si="22"/>
        <v/>
      </c>
      <c r="M254" s="328">
        <f>VLOOKUP(B254,'Base de Datos'!$E$7:$Z$303,21,0)</f>
        <v>1</v>
      </c>
      <c r="N254" s="390" t="str">
        <f t="shared" ca="1" si="26"/>
        <v/>
      </c>
      <c r="O254" s="328">
        <f ca="1">VLOOKUP(B254,'Base de Datos'!$E$7:$Z$303,22,0)</f>
        <v>1</v>
      </c>
      <c r="P254" s="389">
        <f t="shared" ca="1" si="23"/>
        <v>1309</v>
      </c>
      <c r="Q254" s="402">
        <f t="shared" ca="1" si="27"/>
        <v>10.908333333333333</v>
      </c>
      <c r="R254" s="324" t="str">
        <f ca="1">VLOOKUP(B254,'Base de Datos'!E254:AR565,33,0)</f>
        <v>TERMINO</v>
      </c>
      <c r="S254" s="327" t="str">
        <f t="shared" ca="1" si="24"/>
        <v>NO</v>
      </c>
      <c r="T254" s="324" t="str">
        <f t="shared" ca="1" si="25"/>
        <v>Liquidar</v>
      </c>
      <c r="U254" s="324">
        <f>VLOOKUP(B254,'Base de Datos'!$E$7:$AR$401,38,0)</f>
        <v>0</v>
      </c>
    </row>
    <row r="255" spans="1:21" ht="23.25" customHeight="1" thickTop="1" thickBot="1" x14ac:dyDescent="0.3">
      <c r="A255" s="108">
        <v>249</v>
      </c>
      <c r="B255" s="324" t="str">
        <f>+'Base de Datos'!E255</f>
        <v>140332-0-2014</v>
      </c>
      <c r="C255" s="324" t="str">
        <f>+'Base de Datos'!F255</f>
        <v>CARLOS ALBERTO CASTELLANOS MEDINA</v>
      </c>
      <c r="D255" s="325">
        <f>+'Base de Datos'!I255</f>
        <v>39999999</v>
      </c>
      <c r="E255" s="326">
        <f>+'Base de Datos'!M255</f>
        <v>41957</v>
      </c>
      <c r="F255" s="326">
        <f>+'Base de Datos'!N255</f>
        <v>42504</v>
      </c>
      <c r="G255" s="326">
        <f>+'Base de Datos'!T255</f>
        <v>42504</v>
      </c>
      <c r="H255" s="325">
        <f>+'Base de Datos'!U255</f>
        <v>39999999</v>
      </c>
      <c r="I255" s="327" t="str">
        <f>IF(VLOOKUP(B255,'Base de Datos'!$E$7:$S$303,11,0),"SI","NO")</f>
        <v>NO</v>
      </c>
      <c r="J255" s="328" t="str">
        <f t="shared" si="21"/>
        <v/>
      </c>
      <c r="K255" s="327" t="str">
        <f>IF(VLOOKUP(B255,'Base de Datos'!$E$7:$S$303,11,0),"SI","NO")</f>
        <v>NO</v>
      </c>
      <c r="L255" s="328" t="str">
        <f t="shared" si="22"/>
        <v/>
      </c>
      <c r="M255" s="328">
        <f>VLOOKUP(B255,'Base de Datos'!$E$7:$Z$303,21,0)</f>
        <v>0.99999997499999937</v>
      </c>
      <c r="N255" s="390" t="str">
        <f t="shared" ca="1" si="26"/>
        <v/>
      </c>
      <c r="O255" s="328">
        <f ca="1">VLOOKUP(B255,'Base de Datos'!$E$7:$Z$303,22,0)</f>
        <v>1</v>
      </c>
      <c r="P255" s="389">
        <f t="shared" ca="1" si="23"/>
        <v>1139</v>
      </c>
      <c r="Q255" s="402">
        <f t="shared" ca="1" si="27"/>
        <v>9.4916666666666671</v>
      </c>
      <c r="R255" s="324" t="str">
        <f ca="1">VLOOKUP(B255,'Base de Datos'!E255:AR566,33,0)</f>
        <v>TERMINO</v>
      </c>
      <c r="S255" s="327" t="str">
        <f t="shared" ca="1" si="24"/>
        <v>NO</v>
      </c>
      <c r="T255" s="324" t="str">
        <f t="shared" ca="1" si="25"/>
        <v>Liquidar</v>
      </c>
      <c r="U255" s="324">
        <f>VLOOKUP(B255,'Base de Datos'!$E$7:$AR$401,38,0)</f>
        <v>0</v>
      </c>
    </row>
    <row r="256" spans="1:21" ht="23.25" customHeight="1" thickTop="1" thickBot="1" x14ac:dyDescent="0.3">
      <c r="A256" s="108">
        <v>250</v>
      </c>
      <c r="B256" s="324" t="str">
        <f>+'Base de Datos'!E256</f>
        <v>140345-0-2014</v>
      </c>
      <c r="C256" s="324" t="str">
        <f>+'Base de Datos'!F256</f>
        <v>JOHN KENNEDY LEON CASTIBLANCO</v>
      </c>
      <c r="D256" s="325">
        <f>+'Base de Datos'!I256</f>
        <v>17664500</v>
      </c>
      <c r="E256" s="326">
        <f>+'Base de Datos'!M256</f>
        <v>41956</v>
      </c>
      <c r="F256" s="326">
        <f>+'Base de Datos'!N256</f>
        <v>42063</v>
      </c>
      <c r="G256" s="326">
        <f>+'Base de Datos'!T256</f>
        <v>42063</v>
      </c>
      <c r="H256" s="325">
        <f>+'Base de Datos'!U256</f>
        <v>17664500</v>
      </c>
      <c r="I256" s="327" t="str">
        <f>IF(VLOOKUP(B256,'Base de Datos'!$E$7:$S$303,11,0),"SI","NO")</f>
        <v>NO</v>
      </c>
      <c r="J256" s="328" t="str">
        <f t="shared" si="21"/>
        <v/>
      </c>
      <c r="K256" s="327" t="str">
        <f>IF(VLOOKUP(B256,'Base de Datos'!$E$7:$S$303,11,0),"SI","NO")</f>
        <v>NO</v>
      </c>
      <c r="L256" s="328" t="str">
        <f t="shared" si="22"/>
        <v/>
      </c>
      <c r="M256" s="328">
        <f>VLOOKUP(B256,'Base de Datos'!$E$7:$Z$303,21,0)</f>
        <v>1</v>
      </c>
      <c r="N256" s="390" t="str">
        <f t="shared" ca="1" si="26"/>
        <v/>
      </c>
      <c r="O256" s="328">
        <f ca="1">VLOOKUP(B256,'Base de Datos'!$E$7:$Z$303,22,0)</f>
        <v>1</v>
      </c>
      <c r="P256" s="389">
        <f t="shared" ca="1" si="23"/>
        <v>1580</v>
      </c>
      <c r="Q256" s="402">
        <f t="shared" ca="1" si="27"/>
        <v>13.166666666666666</v>
      </c>
      <c r="R256" s="324" t="str">
        <f ca="1">VLOOKUP(B256,'Base de Datos'!E256:AR567,33,0)</f>
        <v>TERMINO</v>
      </c>
      <c r="S256" s="327" t="str">
        <f t="shared" ca="1" si="24"/>
        <v>NO</v>
      </c>
      <c r="T256" s="324" t="str">
        <f t="shared" ca="1" si="25"/>
        <v>Liquidar</v>
      </c>
      <c r="U256" s="324">
        <f>VLOOKUP(B256,'Base de Datos'!$E$7:$AR$401,38,0)</f>
        <v>42265</v>
      </c>
    </row>
    <row r="257" spans="1:21" ht="23.25" customHeight="1" thickTop="1" thickBot="1" x14ac:dyDescent="0.3">
      <c r="A257" s="108">
        <v>251</v>
      </c>
      <c r="B257" s="324" t="str">
        <f>+'Base de Datos'!E257</f>
        <v>140356-0-2014</v>
      </c>
      <c r="C257" s="324" t="str">
        <f>+'Base de Datos'!F257</f>
        <v>S.O.S. SOLUCIONES DE OFICINA &amp; SUMINISTROS S.A.S.</v>
      </c>
      <c r="D257" s="325">
        <f>+'Base de Datos'!I257</f>
        <v>4750000</v>
      </c>
      <c r="E257" s="326">
        <f>+'Base de Datos'!M257</f>
        <v>41968</v>
      </c>
      <c r="F257" s="326">
        <f>+'Base de Datos'!N257</f>
        <v>42060</v>
      </c>
      <c r="G257" s="326">
        <f>+'Base de Datos'!T257</f>
        <v>42060</v>
      </c>
      <c r="H257" s="325">
        <f>+'Base de Datos'!U257</f>
        <v>4750000</v>
      </c>
      <c r="I257" s="327" t="str">
        <f>IF(VLOOKUP(B257,'Base de Datos'!$E$7:$S$303,11,0),"SI","NO")</f>
        <v>NO</v>
      </c>
      <c r="J257" s="328" t="str">
        <f t="shared" si="21"/>
        <v/>
      </c>
      <c r="K257" s="327" t="str">
        <f>IF(VLOOKUP(B257,'Base de Datos'!$E$7:$S$303,11,0),"SI","NO")</f>
        <v>NO</v>
      </c>
      <c r="L257" s="328" t="str">
        <f t="shared" si="22"/>
        <v/>
      </c>
      <c r="M257" s="328">
        <f>VLOOKUP(B257,'Base de Datos'!$E$7:$Z$303,21,0)</f>
        <v>0.83761768421052629</v>
      </c>
      <c r="N257" s="390" t="str">
        <f t="shared" ca="1" si="26"/>
        <v/>
      </c>
      <c r="O257" s="328">
        <f ca="1">VLOOKUP(B257,'Base de Datos'!$E$7:$Z$303,22,0)</f>
        <v>1</v>
      </c>
      <c r="P257" s="389">
        <f t="shared" ca="1" si="23"/>
        <v>1583</v>
      </c>
      <c r="Q257" s="402">
        <f t="shared" ca="1" si="27"/>
        <v>13.191666666666666</v>
      </c>
      <c r="R257" s="324" t="str">
        <f ca="1">VLOOKUP(B257,'Base de Datos'!E257:AR568,33,0)</f>
        <v>TERMINO</v>
      </c>
      <c r="S257" s="327" t="str">
        <f t="shared" ca="1" si="24"/>
        <v>NO</v>
      </c>
      <c r="T257" s="324" t="str">
        <f t="shared" ca="1" si="25"/>
        <v>Liquidar</v>
      </c>
      <c r="U257" s="324">
        <f>VLOOKUP(B257,'Base de Datos'!$E$7:$AR$401,38,0)</f>
        <v>0</v>
      </c>
    </row>
    <row r="258" spans="1:21" ht="23.25" customHeight="1" thickTop="1" thickBot="1" x14ac:dyDescent="0.3">
      <c r="A258" s="108">
        <v>252</v>
      </c>
      <c r="B258" s="324" t="str">
        <f>+'Base de Datos'!E258</f>
        <v>140351-0-2014</v>
      </c>
      <c r="C258" s="324" t="str">
        <f>+'Base de Datos'!F258</f>
        <v>J.A. ZABALA &amp; CONSULTORES ASOCIADOS LTDA.</v>
      </c>
      <c r="D258" s="325">
        <f>+'Base de Datos'!I258</f>
        <v>506601000</v>
      </c>
      <c r="E258" s="326">
        <f>+'Base de Datos'!M258</f>
        <v>41963</v>
      </c>
      <c r="F258" s="326">
        <f>+'Base de Datos'!N258</f>
        <v>42205</v>
      </c>
      <c r="G258" s="326">
        <f>+'Base de Datos'!T258</f>
        <v>42205</v>
      </c>
      <c r="H258" s="325">
        <f>+'Base de Datos'!U258</f>
        <v>668707669</v>
      </c>
      <c r="I258" s="327" t="str">
        <f>IF(VLOOKUP(B258,'Base de Datos'!$E$7:$S$303,11,0),"SI","NO")</f>
        <v>SI</v>
      </c>
      <c r="J258" s="328">
        <f t="shared" si="21"/>
        <v>0</v>
      </c>
      <c r="K258" s="327" t="str">
        <f>IF(VLOOKUP(B258,'Base de Datos'!$E$7:$S$303,11,0),"SI","NO")</f>
        <v>SI</v>
      </c>
      <c r="L258" s="328">
        <f t="shared" si="22"/>
        <v>0.31998884526481391</v>
      </c>
      <c r="M258" s="328">
        <f>VLOOKUP(B258,'Base de Datos'!$E$7:$Z$303,21,0)</f>
        <v>0.99496066942818329</v>
      </c>
      <c r="N258" s="390" t="str">
        <f t="shared" ca="1" si="26"/>
        <v/>
      </c>
      <c r="O258" s="328">
        <f ca="1">VLOOKUP(B258,'Base de Datos'!$E$7:$Z$303,22,0)</f>
        <v>1</v>
      </c>
      <c r="P258" s="389">
        <f t="shared" ca="1" si="23"/>
        <v>1438</v>
      </c>
      <c r="Q258" s="402">
        <f t="shared" ca="1" si="27"/>
        <v>11.983333333333333</v>
      </c>
      <c r="R258" s="324" t="str">
        <f ca="1">VLOOKUP(B258,'Base de Datos'!E258:AR569,33,0)</f>
        <v>TERMINO</v>
      </c>
      <c r="S258" s="327" t="str">
        <f t="shared" ca="1" si="24"/>
        <v>NO</v>
      </c>
      <c r="T258" s="324" t="str">
        <f t="shared" ca="1" si="25"/>
        <v>Liquidar</v>
      </c>
      <c r="U258" s="324">
        <f>VLOOKUP(B258,'Base de Datos'!$E$7:$AR$401,38,0)</f>
        <v>0</v>
      </c>
    </row>
    <row r="259" spans="1:21" ht="23.25" customHeight="1" thickTop="1" thickBot="1" x14ac:dyDescent="0.3">
      <c r="A259" s="108">
        <v>253</v>
      </c>
      <c r="B259" s="324" t="str">
        <f>+'Base de Datos'!E259</f>
        <v>140367-0-2014</v>
      </c>
      <c r="C259" s="324" t="str">
        <f>+'Base de Datos'!F259</f>
        <v>CENTRO DE RECURSOS EDUCATIVOS PARA LA COMPETITIVIDAD EMPRESARIAL LTDA - CRECE</v>
      </c>
      <c r="D259" s="325">
        <f>+'Base de Datos'!I259</f>
        <v>401058400</v>
      </c>
      <c r="E259" s="326">
        <f>+'Base de Datos'!M259</f>
        <v>42031</v>
      </c>
      <c r="F259" s="326">
        <f>+'Base de Datos'!N259</f>
        <v>42274</v>
      </c>
      <c r="G259" s="326">
        <f>+'Base de Datos'!T259</f>
        <v>42335</v>
      </c>
      <c r="H259" s="325">
        <f>+'Base de Datos'!U259</f>
        <v>401058400</v>
      </c>
      <c r="I259" s="327" t="str">
        <f>IF(VLOOKUP(B259,'Base de Datos'!$E$7:$S$303,11,0),"SI","NO")</f>
        <v>NO</v>
      </c>
      <c r="J259" s="328" t="str">
        <f t="shared" si="21"/>
        <v/>
      </c>
      <c r="K259" s="327" t="str">
        <f>IF(VLOOKUP(B259,'Base de Datos'!$E$7:$S$303,11,0),"SI","NO")</f>
        <v>NO</v>
      </c>
      <c r="L259" s="328" t="str">
        <f t="shared" si="22"/>
        <v/>
      </c>
      <c r="M259" s="328">
        <f>VLOOKUP(B259,'Base de Datos'!$E$7:$Z$303,21,0)</f>
        <v>1</v>
      </c>
      <c r="N259" s="390" t="str">
        <f t="shared" ca="1" si="26"/>
        <v/>
      </c>
      <c r="O259" s="328">
        <f ca="1">VLOOKUP(B259,'Base de Datos'!$E$7:$Z$303,22,0)</f>
        <v>1</v>
      </c>
      <c r="P259" s="389">
        <f t="shared" ca="1" si="23"/>
        <v>1308</v>
      </c>
      <c r="Q259" s="402">
        <f t="shared" ca="1" si="27"/>
        <v>10.9</v>
      </c>
      <c r="R259" s="324" t="str">
        <f ca="1">VLOOKUP(B259,'Base de Datos'!E259:AR570,33,0)</f>
        <v>TERMINO</v>
      </c>
      <c r="S259" s="327" t="str">
        <f t="shared" ca="1" si="24"/>
        <v>NO</v>
      </c>
      <c r="T259" s="324" t="str">
        <f t="shared" ca="1" si="25"/>
        <v>Liquidar</v>
      </c>
      <c r="U259" s="324">
        <f>VLOOKUP(B259,'Base de Datos'!$E$7:$AR$401,38,0)</f>
        <v>0</v>
      </c>
    </row>
    <row r="260" spans="1:21" ht="23.25" customHeight="1" thickTop="1" thickBot="1" x14ac:dyDescent="0.3">
      <c r="A260" s="108">
        <v>254</v>
      </c>
      <c r="B260" s="324" t="str">
        <f>+'Base de Datos'!E260</f>
        <v>140358-0-2014</v>
      </c>
      <c r="C260" s="324" t="str">
        <f>+'Base de Datos'!F260</f>
        <v>ORGANIZACIÓN TERPEL S.A.</v>
      </c>
      <c r="D260" s="325">
        <f>+'Base de Datos'!I260</f>
        <v>171253333</v>
      </c>
      <c r="E260" s="326">
        <f>+'Base de Datos'!M260</f>
        <v>41961</v>
      </c>
      <c r="F260" s="326">
        <f>+'Base de Datos'!N260</f>
        <v>42063</v>
      </c>
      <c r="G260" s="326">
        <f>+'Base de Datos'!T260</f>
        <v>42063</v>
      </c>
      <c r="H260" s="325">
        <f>+'Base de Datos'!U260</f>
        <v>171253333</v>
      </c>
      <c r="I260" s="327" t="str">
        <f>IF(VLOOKUP(B260,'Base de Datos'!$E$7:$S$303,11,0),"SI","NO")</f>
        <v>NO</v>
      </c>
      <c r="J260" s="328" t="str">
        <f t="shared" si="21"/>
        <v/>
      </c>
      <c r="K260" s="327" t="str">
        <f>IF(VLOOKUP(B260,'Base de Datos'!$E$7:$S$303,11,0),"SI","NO")</f>
        <v>NO</v>
      </c>
      <c r="L260" s="328" t="str">
        <f t="shared" si="22"/>
        <v/>
      </c>
      <c r="M260" s="328">
        <f>VLOOKUP(B260,'Base de Datos'!$E$7:$Z$303,21,0)</f>
        <v>0.72137053823063402</v>
      </c>
      <c r="N260" s="390" t="str">
        <f t="shared" ca="1" si="26"/>
        <v/>
      </c>
      <c r="O260" s="328">
        <f ca="1">VLOOKUP(B260,'Base de Datos'!$E$7:$Z$303,22,0)</f>
        <v>1</v>
      </c>
      <c r="P260" s="389">
        <f t="shared" ca="1" si="23"/>
        <v>1580</v>
      </c>
      <c r="Q260" s="402">
        <f t="shared" ca="1" si="27"/>
        <v>13.166666666666666</v>
      </c>
      <c r="R260" s="324" t="str">
        <f ca="1">VLOOKUP(B260,'Base de Datos'!E260:AR571,33,0)</f>
        <v>TERMINO</v>
      </c>
      <c r="S260" s="327" t="str">
        <f t="shared" ca="1" si="24"/>
        <v>NO</v>
      </c>
      <c r="T260" s="324" t="str">
        <f t="shared" ca="1" si="25"/>
        <v>Liquidar</v>
      </c>
      <c r="U260" s="324">
        <f>VLOOKUP(B260,'Base de Datos'!$E$7:$AR$401,38,0)</f>
        <v>0</v>
      </c>
    </row>
    <row r="261" spans="1:21" ht="23.25" customHeight="1" thickTop="1" thickBot="1" x14ac:dyDescent="0.3">
      <c r="A261" s="108">
        <v>255</v>
      </c>
      <c r="B261" s="324" t="str">
        <f>+'Base de Datos'!E261</f>
        <v>140370-0-2014</v>
      </c>
      <c r="C261" s="324" t="str">
        <f>+'Base de Datos'!F261</f>
        <v>RIGOBERTO GÓMEZ JAIMES</v>
      </c>
      <c r="D261" s="325">
        <f>+'Base de Datos'!I261</f>
        <v>12700000</v>
      </c>
      <c r="E261" s="326">
        <f>+'Base de Datos'!M261</f>
        <v>41982</v>
      </c>
      <c r="F261" s="326">
        <f>+'Base de Datos'!N261</f>
        <v>42044</v>
      </c>
      <c r="G261" s="326">
        <f>+'Base de Datos'!T261</f>
        <v>42044</v>
      </c>
      <c r="H261" s="325">
        <f>+'Base de Datos'!U261</f>
        <v>12700000</v>
      </c>
      <c r="I261" s="327" t="str">
        <f>IF(VLOOKUP(B261,'Base de Datos'!$E$7:$S$303,11,0),"SI","NO")</f>
        <v>NO</v>
      </c>
      <c r="J261" s="328" t="str">
        <f t="shared" si="21"/>
        <v/>
      </c>
      <c r="K261" s="327" t="str">
        <f>IF(VLOOKUP(B261,'Base de Datos'!$E$7:$S$303,11,0),"SI","NO")</f>
        <v>NO</v>
      </c>
      <c r="L261" s="328" t="str">
        <f t="shared" si="22"/>
        <v/>
      </c>
      <c r="M261" s="328">
        <f>VLOOKUP(B261,'Base de Datos'!$E$7:$Z$303,21,0)</f>
        <v>0.98097637795275594</v>
      </c>
      <c r="N261" s="390" t="str">
        <f t="shared" ca="1" si="26"/>
        <v/>
      </c>
      <c r="O261" s="328">
        <f ca="1">VLOOKUP(B261,'Base de Datos'!$E$7:$Z$303,22,0)</f>
        <v>1</v>
      </c>
      <c r="P261" s="389">
        <f t="shared" ca="1" si="23"/>
        <v>1599</v>
      </c>
      <c r="Q261" s="402">
        <f t="shared" ca="1" si="27"/>
        <v>13.324999999999999</v>
      </c>
      <c r="R261" s="324" t="str">
        <f ca="1">VLOOKUP(B261,'Base de Datos'!E261:AR572,33,0)</f>
        <v>TERMINO</v>
      </c>
      <c r="S261" s="327" t="str">
        <f t="shared" ca="1" si="24"/>
        <v>NO</v>
      </c>
      <c r="T261" s="324" t="str">
        <f t="shared" ca="1" si="25"/>
        <v>Liquidar</v>
      </c>
      <c r="U261" s="324">
        <f>VLOOKUP(B261,'Base de Datos'!$E$7:$AR$401,38,0)</f>
        <v>42272</v>
      </c>
    </row>
    <row r="262" spans="1:21" ht="23.25" customHeight="1" thickTop="1" thickBot="1" x14ac:dyDescent="0.3">
      <c r="A262" s="108">
        <v>256</v>
      </c>
      <c r="B262" s="324" t="str">
        <f>+'Base de Datos'!E262</f>
        <v>140372-0-2014</v>
      </c>
      <c r="C262" s="324" t="str">
        <f>+'Base de Datos'!F262</f>
        <v>CAJA COLOMBIANA DE SUBSIDIO FAMILIAR – COLSUBSIDIO</v>
      </c>
      <c r="D262" s="325">
        <f>+'Base de Datos'!I262</f>
        <v>39424000</v>
      </c>
      <c r="E262" s="326">
        <f>+'Base de Datos'!M262</f>
        <v>41982</v>
      </c>
      <c r="F262" s="326">
        <f>+'Base de Datos'!N262</f>
        <v>42013</v>
      </c>
      <c r="G262" s="326">
        <f>+'Base de Datos'!T262</f>
        <v>42013</v>
      </c>
      <c r="H262" s="325">
        <f>+'Base de Datos'!U262</f>
        <v>39424000</v>
      </c>
      <c r="I262" s="327" t="str">
        <f>IF(VLOOKUP(B262,'Base de Datos'!$E$7:$S$303,11,0),"SI","NO")</f>
        <v>NO</v>
      </c>
      <c r="J262" s="328" t="str">
        <f t="shared" si="21"/>
        <v/>
      </c>
      <c r="K262" s="327" t="str">
        <f>IF(VLOOKUP(B262,'Base de Datos'!$E$7:$S$303,11,0),"SI","NO")</f>
        <v>NO</v>
      </c>
      <c r="L262" s="328" t="str">
        <f t="shared" si="22"/>
        <v/>
      </c>
      <c r="M262" s="328">
        <f>VLOOKUP(B262,'Base de Datos'!$E$7:$Z$303,21,0)</f>
        <v>1</v>
      </c>
      <c r="N262" s="390" t="str">
        <f t="shared" ca="1" si="26"/>
        <v/>
      </c>
      <c r="O262" s="328">
        <f ca="1">VLOOKUP(B262,'Base de Datos'!$E$7:$Z$303,22,0)</f>
        <v>1</v>
      </c>
      <c r="P262" s="389">
        <f t="shared" ca="1" si="23"/>
        <v>1630</v>
      </c>
      <c r="Q262" s="402">
        <f t="shared" ca="1" si="27"/>
        <v>13.583333333333334</v>
      </c>
      <c r="R262" s="324" t="str">
        <f ca="1">VLOOKUP(B262,'Base de Datos'!E262:AR573,33,0)</f>
        <v>TERMINO</v>
      </c>
      <c r="S262" s="327" t="str">
        <f t="shared" ca="1" si="24"/>
        <v>NO</v>
      </c>
      <c r="T262" s="324" t="str">
        <f t="shared" ca="1" si="25"/>
        <v>Liquidar</v>
      </c>
      <c r="U262" s="324">
        <f>VLOOKUP(B262,'Base de Datos'!$E$7:$AR$401,38,0)</f>
        <v>42278</v>
      </c>
    </row>
    <row r="263" spans="1:21" ht="23.25" customHeight="1" thickTop="1" thickBot="1" x14ac:dyDescent="0.3">
      <c r="A263" s="108">
        <v>257</v>
      </c>
      <c r="B263" s="324" t="str">
        <f>+'Base de Datos'!E263</f>
        <v>140377-0-2014</v>
      </c>
      <c r="C263" s="324" t="str">
        <f>+'Base de Datos'!F263</f>
        <v>GAMMA INGENIEROS S A</v>
      </c>
      <c r="D263" s="325">
        <f>+'Base de Datos'!I263</f>
        <v>187940000</v>
      </c>
      <c r="E263" s="326">
        <f>+'Base de Datos'!M263</f>
        <v>42023</v>
      </c>
      <c r="F263" s="326">
        <f>+'Base de Datos'!N263</f>
        <v>42102</v>
      </c>
      <c r="G263" s="326">
        <f>+'Base de Datos'!T263</f>
        <v>42102</v>
      </c>
      <c r="H263" s="325">
        <f>+'Base de Datos'!U263</f>
        <v>187940000</v>
      </c>
      <c r="I263" s="327" t="str">
        <f>IF(VLOOKUP(B263,'Base de Datos'!$E$7:$S$303,11,0),"SI","NO")</f>
        <v>NO</v>
      </c>
      <c r="J263" s="328" t="str">
        <f t="shared" ref="J263:J311" si="28">IF(I263=$AB$7,((G263-F263)*100%)/(F263-E263),"")</f>
        <v/>
      </c>
      <c r="K263" s="327" t="str">
        <f>IF(VLOOKUP(B263,'Base de Datos'!$E$7:$S$303,11,0),"SI","NO")</f>
        <v>NO</v>
      </c>
      <c r="L263" s="328" t="str">
        <f t="shared" ref="L263:L311" si="29">IF(K263=$AB$7,((H263-D263)*100%)/(D263),"")</f>
        <v/>
      </c>
      <c r="M263" s="328">
        <f>VLOOKUP(B263,'Base de Datos'!$E$7:$Z$303,21,0)</f>
        <v>1</v>
      </c>
      <c r="N263" s="390" t="str">
        <f t="shared" ca="1" si="26"/>
        <v/>
      </c>
      <c r="O263" s="328">
        <f ca="1">VLOOKUP(B263,'Base de Datos'!$E$7:$Z$303,22,0)</f>
        <v>1</v>
      </c>
      <c r="P263" s="389">
        <f t="shared" ref="P263:P311" ca="1" si="30">IF(R263=$AC$7,"",IFERROR(IF(R263=$AC$8,"",($C$5-G263)),""))</f>
        <v>1541</v>
      </c>
      <c r="Q263" s="402">
        <f t="shared" ca="1" si="27"/>
        <v>12.841666666666667</v>
      </c>
      <c r="R263" s="324" t="str">
        <f ca="1">VLOOKUP(B263,'Base de Datos'!E263:AR574,33,0)</f>
        <v>TERMINO</v>
      </c>
      <c r="S263" s="327" t="str">
        <f t="shared" ref="S263:S311" ca="1" si="31">IF((TODAY()-G263&lt;900),"SI","NO")</f>
        <v>NO</v>
      </c>
      <c r="T263" s="324" t="str">
        <f t="shared" ref="T263:T311" ca="1" si="32">IF(R263=$AC$8,"",IF(O263=100%,"Liquidar",IF(R263=$AC$7,"Supervisar","")))</f>
        <v>Liquidar</v>
      </c>
      <c r="U263" s="324">
        <f>VLOOKUP(B263,'Base de Datos'!$E$7:$AR$401,38,0)</f>
        <v>0</v>
      </c>
    </row>
    <row r="264" spans="1:21" ht="23.25" customHeight="1" thickTop="1" thickBot="1" x14ac:dyDescent="0.3">
      <c r="A264" s="108">
        <v>258</v>
      </c>
      <c r="B264" s="324" t="str">
        <f>+'Base de Datos'!E264</f>
        <v>140382-0-2014</v>
      </c>
      <c r="C264" s="324" t="str">
        <f>+'Base de Datos'!F264</f>
        <v>VIGILANCIA ACOSTA LIMITADA</v>
      </c>
      <c r="D264" s="325">
        <f>+'Base de Datos'!I264</f>
        <v>300000000</v>
      </c>
      <c r="E264" s="326">
        <f>+'Base de Datos'!M264</f>
        <v>41989</v>
      </c>
      <c r="F264" s="326">
        <f>+'Base de Datos'!N264</f>
        <v>42140</v>
      </c>
      <c r="G264" s="326">
        <f>+'Base de Datos'!T264</f>
        <v>42140</v>
      </c>
      <c r="H264" s="325">
        <f>+'Base de Datos'!U264</f>
        <v>300000000</v>
      </c>
      <c r="I264" s="327" t="str">
        <f>IF(VLOOKUP(B264,'Base de Datos'!$E$7:$S$303,11,0),"SI","NO")</f>
        <v>NO</v>
      </c>
      <c r="J264" s="328" t="str">
        <f t="shared" si="28"/>
        <v/>
      </c>
      <c r="K264" s="327" t="str">
        <f>IF(VLOOKUP(B264,'Base de Datos'!$E$7:$S$303,11,0),"SI","NO")</f>
        <v>NO</v>
      </c>
      <c r="L264" s="328" t="str">
        <f t="shared" si="29"/>
        <v/>
      </c>
      <c r="M264" s="328">
        <f>VLOOKUP(B264,'Base de Datos'!$E$7:$Z$303,21,0)</f>
        <v>0.79542161333333339</v>
      </c>
      <c r="N264" s="390" t="str">
        <f t="shared" ref="N264:N311" ca="1" si="33">IF(G264&lt;TODAY(),"",G264-TODAY())</f>
        <v/>
      </c>
      <c r="O264" s="328">
        <f ca="1">VLOOKUP(B264,'Base de Datos'!$E$7:$Z$303,22,0)</f>
        <v>1</v>
      </c>
      <c r="P264" s="389">
        <f t="shared" ca="1" si="30"/>
        <v>1503</v>
      </c>
      <c r="Q264" s="402">
        <f t="shared" ref="Q264:Q311" ca="1" si="34">IF(P264=0,"",(P264*100%)/120)</f>
        <v>12.525</v>
      </c>
      <c r="R264" s="324" t="str">
        <f ca="1">VLOOKUP(B264,'Base de Datos'!E264:AR575,33,0)</f>
        <v>TERMINO</v>
      </c>
      <c r="S264" s="327" t="str">
        <f t="shared" ca="1" si="31"/>
        <v>NO</v>
      </c>
      <c r="T264" s="324" t="str">
        <f t="shared" ca="1" si="32"/>
        <v>Liquidar</v>
      </c>
      <c r="U264" s="324">
        <f>VLOOKUP(B264,'Base de Datos'!$E$7:$AR$401,38,0)</f>
        <v>0</v>
      </c>
    </row>
    <row r="265" spans="1:21" ht="23.25" customHeight="1" thickTop="1" thickBot="1" x14ac:dyDescent="0.3">
      <c r="A265" s="108">
        <v>259</v>
      </c>
      <c r="B265" s="324" t="str">
        <f>+'Base de Datos'!E265</f>
        <v>140385-0-2014</v>
      </c>
      <c r="C265" s="324" t="str">
        <f>+'Base de Datos'!F265</f>
        <v>S.O.S. SOLUCIONES DE OFICINA &amp; SUMINISTROS S.A.S.</v>
      </c>
      <c r="D265" s="325">
        <f>+'Base de Datos'!I265</f>
        <v>29997466</v>
      </c>
      <c r="E265" s="326">
        <f>+'Base de Datos'!M265</f>
        <v>41988</v>
      </c>
      <c r="F265" s="326">
        <f>+'Base de Datos'!N265</f>
        <v>42109</v>
      </c>
      <c r="G265" s="326">
        <f>+'Base de Datos'!T265</f>
        <v>42109</v>
      </c>
      <c r="H265" s="325">
        <f>+'Base de Datos'!U265</f>
        <v>29997466</v>
      </c>
      <c r="I265" s="327" t="str">
        <f>IF(VLOOKUP(B265,'Base de Datos'!$E$7:$S$303,11,0),"SI","NO")</f>
        <v>NO</v>
      </c>
      <c r="J265" s="328" t="str">
        <f t="shared" si="28"/>
        <v/>
      </c>
      <c r="K265" s="327" t="str">
        <f>IF(VLOOKUP(B265,'Base de Datos'!$E$7:$S$303,11,0),"SI","NO")</f>
        <v>NO</v>
      </c>
      <c r="L265" s="328" t="str">
        <f t="shared" si="29"/>
        <v/>
      </c>
      <c r="M265" s="328">
        <f>VLOOKUP(B265,'Base de Datos'!$E$7:$Z$303,21,0)</f>
        <v>1</v>
      </c>
      <c r="N265" s="390" t="str">
        <f t="shared" ca="1" si="33"/>
        <v/>
      </c>
      <c r="O265" s="328">
        <f ca="1">VLOOKUP(B265,'Base de Datos'!$E$7:$Z$303,22,0)</f>
        <v>1</v>
      </c>
      <c r="P265" s="389">
        <f t="shared" ca="1" si="30"/>
        <v>1534</v>
      </c>
      <c r="Q265" s="402">
        <f t="shared" ca="1" si="34"/>
        <v>12.783333333333333</v>
      </c>
      <c r="R265" s="324" t="str">
        <f ca="1">VLOOKUP(B265,'Base de Datos'!E265:AR576,33,0)</f>
        <v>TERMINO</v>
      </c>
      <c r="S265" s="327" t="str">
        <f t="shared" ca="1" si="31"/>
        <v>NO</v>
      </c>
      <c r="T265" s="324" t="str">
        <f t="shared" ca="1" si="32"/>
        <v>Liquidar</v>
      </c>
      <c r="U265" s="324">
        <f>VLOOKUP(B265,'Base de Datos'!$E$7:$AR$401,38,0)</f>
        <v>0</v>
      </c>
    </row>
    <row r="266" spans="1:21" ht="23.25" customHeight="1" thickTop="1" thickBot="1" x14ac:dyDescent="0.3">
      <c r="A266" s="108">
        <v>260</v>
      </c>
      <c r="B266" s="324" t="str">
        <f>+'Base de Datos'!E266</f>
        <v>140387-0-2014</v>
      </c>
      <c r="C266" s="324" t="str">
        <f>+'Base de Datos'!F266</f>
        <v>SERVIMETERS SA</v>
      </c>
      <c r="D266" s="325">
        <f>+'Base de Datos'!I266</f>
        <v>1624000</v>
      </c>
      <c r="E266" s="326">
        <f>+'Base de Datos'!M266</f>
        <v>42037</v>
      </c>
      <c r="F266" s="326">
        <f>+'Base de Datos'!N266</f>
        <v>42279</v>
      </c>
      <c r="G266" s="326">
        <f>+'Base de Datos'!T266</f>
        <v>42279</v>
      </c>
      <c r="H266" s="325">
        <f>+'Base de Datos'!U266</f>
        <v>1624000</v>
      </c>
      <c r="I266" s="327" t="str">
        <f>IF(VLOOKUP(B266,'Base de Datos'!$E$7:$S$303,11,0),"SI","NO")</f>
        <v>NO</v>
      </c>
      <c r="J266" s="328" t="str">
        <f t="shared" si="28"/>
        <v/>
      </c>
      <c r="K266" s="327" t="str">
        <f>IF(VLOOKUP(B266,'Base de Datos'!$E$7:$S$303,11,0),"SI","NO")</f>
        <v>NO</v>
      </c>
      <c r="L266" s="328" t="str">
        <f t="shared" si="29"/>
        <v/>
      </c>
      <c r="M266" s="328">
        <f>VLOOKUP(B266,'Base de Datos'!$E$7:$Z$303,21,0)</f>
        <v>0</v>
      </c>
      <c r="N266" s="390" t="str">
        <f t="shared" ca="1" si="33"/>
        <v/>
      </c>
      <c r="O266" s="328">
        <f ca="1">VLOOKUP(B266,'Base de Datos'!$E$7:$Z$303,22,0)</f>
        <v>1</v>
      </c>
      <c r="P266" s="389">
        <f t="shared" ca="1" si="30"/>
        <v>1364</v>
      </c>
      <c r="Q266" s="402">
        <f t="shared" ca="1" si="34"/>
        <v>11.366666666666667</v>
      </c>
      <c r="R266" s="324" t="str">
        <f ca="1">VLOOKUP(B266,'Base de Datos'!E266:AR577,33,0)</f>
        <v>TERMINO</v>
      </c>
      <c r="S266" s="327" t="str">
        <f t="shared" ca="1" si="31"/>
        <v>NO</v>
      </c>
      <c r="T266" s="324" t="str">
        <f t="shared" ca="1" si="32"/>
        <v>Liquidar</v>
      </c>
      <c r="U266" s="324">
        <f>VLOOKUP(B266,'Base de Datos'!$E$7:$AR$401,38,0)</f>
        <v>0</v>
      </c>
    </row>
    <row r="267" spans="1:21" ht="23.25" customHeight="1" thickTop="1" thickBot="1" x14ac:dyDescent="0.3">
      <c r="A267" s="108">
        <v>261</v>
      </c>
      <c r="B267" s="324" t="str">
        <f>+'Base de Datos'!E267</f>
        <v>140396-0-2014</v>
      </c>
      <c r="C267" s="324" t="str">
        <f>+'Base de Datos'!F267</f>
        <v>KAWAK SAS</v>
      </c>
      <c r="D267" s="325">
        <f>+'Base de Datos'!I267</f>
        <v>64621280</v>
      </c>
      <c r="E267" s="326">
        <f>+'Base de Datos'!M267</f>
        <v>42045</v>
      </c>
      <c r="F267" s="326">
        <f>+'Base de Datos'!N267</f>
        <v>42165</v>
      </c>
      <c r="G267" s="326">
        <f>+'Base de Datos'!T267</f>
        <v>42348</v>
      </c>
      <c r="H267" s="325">
        <f>+'Base de Datos'!U267</f>
        <v>64621280</v>
      </c>
      <c r="I267" s="327" t="str">
        <f>IF(VLOOKUP(B267,'Base de Datos'!$E$7:$S$303,11,0),"SI","NO")</f>
        <v>NO</v>
      </c>
      <c r="J267" s="328" t="str">
        <f t="shared" si="28"/>
        <v/>
      </c>
      <c r="K267" s="327" t="str">
        <f>IF(VLOOKUP(B267,'Base de Datos'!$E$7:$S$303,11,0),"SI","NO")</f>
        <v>NO</v>
      </c>
      <c r="L267" s="328" t="str">
        <f t="shared" si="29"/>
        <v/>
      </c>
      <c r="M267" s="328">
        <f>VLOOKUP(B267,'Base de Datos'!$E$7:$Z$303,21,0)</f>
        <v>1</v>
      </c>
      <c r="N267" s="390" t="str">
        <f t="shared" ca="1" si="33"/>
        <v/>
      </c>
      <c r="O267" s="328">
        <f ca="1">VLOOKUP(B267,'Base de Datos'!$E$7:$Z$303,22,0)</f>
        <v>1</v>
      </c>
      <c r="P267" s="389">
        <f t="shared" ca="1" si="30"/>
        <v>1295</v>
      </c>
      <c r="Q267" s="402">
        <f t="shared" ca="1" si="34"/>
        <v>10.791666666666666</v>
      </c>
      <c r="R267" s="324" t="str">
        <f ca="1">VLOOKUP(B267,'Base de Datos'!E267:AR578,33,0)</f>
        <v>TERMINO</v>
      </c>
      <c r="S267" s="327" t="str">
        <f t="shared" ca="1" si="31"/>
        <v>NO</v>
      </c>
      <c r="T267" s="324" t="str">
        <f t="shared" ca="1" si="32"/>
        <v>Liquidar</v>
      </c>
      <c r="U267" s="324">
        <f>VLOOKUP(B267,'Base de Datos'!$E$7:$AR$401,38,0)</f>
        <v>0</v>
      </c>
    </row>
    <row r="268" spans="1:21" ht="23.25" customHeight="1" thickTop="1" thickBot="1" x14ac:dyDescent="0.3">
      <c r="A268" s="108">
        <v>262</v>
      </c>
      <c r="B268" s="324" t="str">
        <f>+'Base de Datos'!E268</f>
        <v>140422-0-2014</v>
      </c>
      <c r="C268" s="324" t="str">
        <f>+'Base de Datos'!F268</f>
        <v>ICETEX</v>
      </c>
      <c r="D268" s="325">
        <f>+'Base de Datos'!I268</f>
        <v>300000000</v>
      </c>
      <c r="E268" s="326">
        <f>+'Base de Datos'!M268</f>
        <v>42002</v>
      </c>
      <c r="F268" s="326">
        <f>+'Base de Datos'!N268</f>
        <v>43828</v>
      </c>
      <c r="G268" s="326">
        <f>+'Base de Datos'!T268</f>
        <v>43828</v>
      </c>
      <c r="H268" s="325">
        <f>+'Base de Datos'!U268</f>
        <v>1200000000</v>
      </c>
      <c r="I268" s="327" t="str">
        <f>IF(VLOOKUP(B268,'Base de Datos'!$E$7:$S$303,11,0),"SI","NO")</f>
        <v>SI</v>
      </c>
      <c r="J268" s="328">
        <f t="shared" si="28"/>
        <v>0</v>
      </c>
      <c r="K268" s="327" t="str">
        <f>IF(VLOOKUP(B268,'Base de Datos'!$E$7:$S$303,11,0),"SI","NO")</f>
        <v>SI</v>
      </c>
      <c r="L268" s="328">
        <f t="shared" si="29"/>
        <v>3</v>
      </c>
      <c r="M268" s="328">
        <f>VLOOKUP(B268,'Base de Datos'!$E$7:$Z$303,21,0)</f>
        <v>1</v>
      </c>
      <c r="N268" s="390">
        <f t="shared" ca="1" si="33"/>
        <v>185</v>
      </c>
      <c r="O268" s="328">
        <f ca="1">VLOOKUP(B268,'Base de Datos'!$E$7:$Z$303,22,0)</f>
        <v>0.89868565169769987</v>
      </c>
      <c r="P268" s="389" t="str">
        <f t="shared" ca="1" si="30"/>
        <v/>
      </c>
      <c r="Q268" s="402" t="e">
        <f t="shared" ca="1" si="34"/>
        <v>#VALUE!</v>
      </c>
      <c r="R268" s="324" t="str">
        <f ca="1">VLOOKUP(B268,'Base de Datos'!E268:AR579,33,0)</f>
        <v>EN EJECUCIÓN</v>
      </c>
      <c r="S268" s="327" t="str">
        <f t="shared" ca="1" si="31"/>
        <v>SI</v>
      </c>
      <c r="T268" s="324" t="str">
        <f t="shared" ca="1" si="32"/>
        <v>Supervisar</v>
      </c>
      <c r="U268" s="324">
        <f>VLOOKUP(B268,'Base de Datos'!$E$7:$AR$401,38,0)</f>
        <v>0</v>
      </c>
    </row>
    <row r="269" spans="1:21" ht="23.25" customHeight="1" thickTop="1" thickBot="1" x14ac:dyDescent="0.3">
      <c r="A269" s="108">
        <v>263</v>
      </c>
      <c r="B269" s="324" t="str">
        <f>+'Base de Datos'!E269</f>
        <v>140392-0-2014</v>
      </c>
      <c r="C269" s="324" t="str">
        <f>+'Base de Datos'!F269</f>
        <v>M@ICROTEL LTDA</v>
      </c>
      <c r="D269" s="325">
        <f>+'Base de Datos'!I269</f>
        <v>137450000</v>
      </c>
      <c r="E269" s="326">
        <f>+'Base de Datos'!M269</f>
        <v>42018</v>
      </c>
      <c r="F269" s="326">
        <f>+'Base de Datos'!N269</f>
        <v>42383</v>
      </c>
      <c r="G269" s="326">
        <f>+'Base de Datos'!T269</f>
        <v>42383</v>
      </c>
      <c r="H269" s="325">
        <f>+'Base de Datos'!U269</f>
        <v>137450000</v>
      </c>
      <c r="I269" s="327" t="str">
        <f>IF(VLOOKUP(B269,'Base de Datos'!$E$7:$S$303,11,0),"SI","NO")</f>
        <v>NO</v>
      </c>
      <c r="J269" s="328" t="str">
        <f t="shared" si="28"/>
        <v/>
      </c>
      <c r="K269" s="327" t="str">
        <f>IF(VLOOKUP(B269,'Base de Datos'!$E$7:$S$303,11,0),"SI","NO")</f>
        <v>NO</v>
      </c>
      <c r="L269" s="328" t="str">
        <f t="shared" si="29"/>
        <v/>
      </c>
      <c r="M269" s="328">
        <f>VLOOKUP(B269,'Base de Datos'!$E$7:$Z$303,21,0)</f>
        <v>0.99999999272462714</v>
      </c>
      <c r="N269" s="390" t="str">
        <f t="shared" ca="1" si="33"/>
        <v/>
      </c>
      <c r="O269" s="328">
        <f ca="1">VLOOKUP(B269,'Base de Datos'!$E$7:$Z$303,22,0)</f>
        <v>1</v>
      </c>
      <c r="P269" s="389">
        <f t="shared" ca="1" si="30"/>
        <v>1260</v>
      </c>
      <c r="Q269" s="402">
        <f t="shared" ca="1" si="34"/>
        <v>10.5</v>
      </c>
      <c r="R269" s="324" t="str">
        <f ca="1">VLOOKUP(B269,'Base de Datos'!E269:AR580,33,0)</f>
        <v>TERMINO</v>
      </c>
      <c r="S269" s="327" t="str">
        <f t="shared" ca="1" si="31"/>
        <v>NO</v>
      </c>
      <c r="T269" s="324" t="str">
        <f t="shared" ca="1" si="32"/>
        <v>Liquidar</v>
      </c>
      <c r="U269" s="324">
        <f>VLOOKUP(B269,'Base de Datos'!$E$7:$AR$401,38,0)</f>
        <v>0</v>
      </c>
    </row>
    <row r="270" spans="1:21" ht="23.25" customHeight="1" thickTop="1" thickBot="1" x14ac:dyDescent="0.3">
      <c r="A270" s="108">
        <v>264</v>
      </c>
      <c r="B270" s="324" t="str">
        <f>+'Base de Datos'!E270</f>
        <v>140418-0-2014</v>
      </c>
      <c r="C270" s="324" t="str">
        <f>+'Base de Datos'!F270</f>
        <v>CENTURY MEDIA SAS</v>
      </c>
      <c r="D270" s="325">
        <f>+'Base de Datos'!I270</f>
        <v>249210000</v>
      </c>
      <c r="E270" s="326">
        <f>+'Base de Datos'!M270</f>
        <v>42017</v>
      </c>
      <c r="F270" s="326">
        <f>+'Base de Datos'!N270</f>
        <v>42198</v>
      </c>
      <c r="G270" s="326">
        <f>+'Base de Datos'!T270</f>
        <v>42338</v>
      </c>
      <c r="H270" s="325">
        <f>+'Base de Datos'!U270</f>
        <v>309210000</v>
      </c>
      <c r="I270" s="327" t="str">
        <f>IF(VLOOKUP(B270,'Base de Datos'!$E$7:$S$303,11,0),"SI","NO")</f>
        <v>SI</v>
      </c>
      <c r="J270" s="328">
        <f t="shared" si="28"/>
        <v>0.77348066298342544</v>
      </c>
      <c r="K270" s="327" t="str">
        <f>IF(VLOOKUP(B270,'Base de Datos'!$E$7:$S$303,11,0),"SI","NO")</f>
        <v>SI</v>
      </c>
      <c r="L270" s="328">
        <f t="shared" si="29"/>
        <v>0.24076080414108583</v>
      </c>
      <c r="M270" s="328">
        <f>VLOOKUP(B270,'Base de Datos'!$E$7:$Z$303,21,0)</f>
        <v>1</v>
      </c>
      <c r="N270" s="390" t="str">
        <f t="shared" ca="1" si="33"/>
        <v/>
      </c>
      <c r="O270" s="328">
        <f ca="1">VLOOKUP(B270,'Base de Datos'!$E$7:$Z$303,22,0)</f>
        <v>1</v>
      </c>
      <c r="P270" s="389">
        <f t="shared" ca="1" si="30"/>
        <v>1305</v>
      </c>
      <c r="Q270" s="402">
        <f t="shared" ca="1" si="34"/>
        <v>10.875</v>
      </c>
      <c r="R270" s="324" t="str">
        <f ca="1">VLOOKUP(B270,'Base de Datos'!E270:AR581,33,0)</f>
        <v>TERMINO</v>
      </c>
      <c r="S270" s="327" t="str">
        <f t="shared" ca="1" si="31"/>
        <v>NO</v>
      </c>
      <c r="T270" s="324" t="str">
        <f t="shared" ca="1" si="32"/>
        <v>Liquidar</v>
      </c>
      <c r="U270" s="324">
        <f>VLOOKUP(B270,'Base de Datos'!$E$7:$AR$401,38,0)</f>
        <v>0</v>
      </c>
    </row>
    <row r="271" spans="1:21" ht="23.25" customHeight="1" thickTop="1" thickBot="1" x14ac:dyDescent="0.3">
      <c r="A271" s="108">
        <v>265</v>
      </c>
      <c r="B271" s="324" t="str">
        <f>+'Base de Datos'!E271</f>
        <v>150028-0-2015</v>
      </c>
      <c r="C271" s="324" t="str">
        <f>+'Base de Datos'!F271</f>
        <v>RICARDO ROJAS SANABRIA (Cesionario) / Antes: NAYIVE CARRASCO PATIÑO</v>
      </c>
      <c r="D271" s="325">
        <f>+'Base de Datos'!I271</f>
        <v>84000000</v>
      </c>
      <c r="E271" s="326">
        <f>+'Base de Datos'!M271</f>
        <v>42031</v>
      </c>
      <c r="F271" s="326">
        <f>+'Base de Datos'!N271</f>
        <v>42396</v>
      </c>
      <c r="G271" s="326">
        <f>+'Base de Datos'!T271</f>
        <v>42396</v>
      </c>
      <c r="H271" s="325">
        <f>+'Base de Datos'!U271</f>
        <v>84000000</v>
      </c>
      <c r="I271" s="327" t="str">
        <f>IF(VLOOKUP(B271,'Base de Datos'!$E$7:$S$303,11,0),"SI","NO")</f>
        <v>NO</v>
      </c>
      <c r="J271" s="328" t="str">
        <f t="shared" si="28"/>
        <v/>
      </c>
      <c r="K271" s="327" t="str">
        <f>IF(VLOOKUP(B271,'Base de Datos'!$E$7:$S$303,11,0),"SI","NO")</f>
        <v>NO</v>
      </c>
      <c r="L271" s="328" t="str">
        <f t="shared" si="29"/>
        <v/>
      </c>
      <c r="M271" s="328">
        <f>VLOOKUP(B271,'Base de Datos'!$E$7:$Z$303,21,0)</f>
        <v>1</v>
      </c>
      <c r="N271" s="390" t="str">
        <f t="shared" ca="1" si="33"/>
        <v/>
      </c>
      <c r="O271" s="328">
        <f ca="1">VLOOKUP(B271,'Base de Datos'!$E$7:$Z$303,22,0)</f>
        <v>1</v>
      </c>
      <c r="P271" s="389">
        <f t="shared" ca="1" si="30"/>
        <v>1247</v>
      </c>
      <c r="Q271" s="402">
        <f t="shared" ca="1" si="34"/>
        <v>10.391666666666667</v>
      </c>
      <c r="R271" s="324" t="str">
        <f ca="1">VLOOKUP(B271,'Base de Datos'!E271:AR582,33,0)</f>
        <v>TERMINO</v>
      </c>
      <c r="S271" s="327" t="str">
        <f t="shared" ca="1" si="31"/>
        <v>NO</v>
      </c>
      <c r="T271" s="324" t="str">
        <f t="shared" ca="1" si="32"/>
        <v>Liquidar</v>
      </c>
      <c r="U271" s="324">
        <f>VLOOKUP(B271,'Base de Datos'!$E$7:$AR$401,38,0)</f>
        <v>0</v>
      </c>
    </row>
    <row r="272" spans="1:21" ht="23.25" customHeight="1" thickTop="1" thickBot="1" x14ac:dyDescent="0.3">
      <c r="A272" s="108">
        <v>266</v>
      </c>
      <c r="B272" s="324" t="str">
        <f>+'Base de Datos'!E272</f>
        <v>140369-0-2014</v>
      </c>
      <c r="C272" s="324" t="str">
        <f>+'Base de Datos'!F272</f>
        <v>INSTITUTO COLOMBIANO DE NORMAS TÉCNICAS Y CERTIFICACIÓN ICONTEC</v>
      </c>
      <c r="D272" s="325">
        <f>+'Base de Datos'!I272</f>
        <v>4961088</v>
      </c>
      <c r="E272" s="326">
        <f>+'Base de Datos'!M272</f>
        <v>42178</v>
      </c>
      <c r="F272" s="326">
        <f>+'Base de Datos'!N272</f>
        <v>42423</v>
      </c>
      <c r="G272" s="326">
        <f>+'Base de Datos'!T272</f>
        <v>42423</v>
      </c>
      <c r="H272" s="325">
        <f>+'Base de Datos'!U272</f>
        <v>4961088</v>
      </c>
      <c r="I272" s="327" t="str">
        <f>IF(VLOOKUP(B272,'Base de Datos'!$E$7:$S$303,11,0),"SI","NO")</f>
        <v>NO</v>
      </c>
      <c r="J272" s="328" t="str">
        <f t="shared" si="28"/>
        <v/>
      </c>
      <c r="K272" s="327" t="str">
        <f>IF(VLOOKUP(B272,'Base de Datos'!$E$7:$S$303,11,0),"SI","NO")</f>
        <v>NO</v>
      </c>
      <c r="L272" s="328" t="str">
        <f t="shared" si="29"/>
        <v/>
      </c>
      <c r="M272" s="328">
        <f>VLOOKUP(B272,'Base de Datos'!$E$7:$Z$303,21,0)</f>
        <v>1</v>
      </c>
      <c r="N272" s="390" t="str">
        <f t="shared" ca="1" si="33"/>
        <v/>
      </c>
      <c r="O272" s="328">
        <f ca="1">VLOOKUP(B272,'Base de Datos'!$E$7:$Z$303,22,0)</f>
        <v>1</v>
      </c>
      <c r="P272" s="389">
        <f t="shared" ca="1" si="30"/>
        <v>1220</v>
      </c>
      <c r="Q272" s="402">
        <f t="shared" ca="1" si="34"/>
        <v>10.166666666666666</v>
      </c>
      <c r="R272" s="324" t="str">
        <f ca="1">VLOOKUP(B272,'Base de Datos'!E272:AR583,33,0)</f>
        <v>TERMINO</v>
      </c>
      <c r="S272" s="327" t="str">
        <f t="shared" ca="1" si="31"/>
        <v>NO</v>
      </c>
      <c r="T272" s="324" t="str">
        <f t="shared" ca="1" si="32"/>
        <v>Liquidar</v>
      </c>
      <c r="U272" s="324">
        <f>VLOOKUP(B272,'Base de Datos'!$E$7:$AR$401,38,0)</f>
        <v>0</v>
      </c>
    </row>
    <row r="273" spans="1:21" ht="23.25" customHeight="1" thickTop="1" thickBot="1" x14ac:dyDescent="0.3">
      <c r="A273" s="108">
        <v>267</v>
      </c>
      <c r="B273" s="324" t="str">
        <f>+'Base de Datos'!E273</f>
        <v>140390-0-2014</v>
      </c>
      <c r="C273" s="324" t="str">
        <f>+'Base de Datos'!F273</f>
        <v>UNIÓN TEMPORAL SICVEL HACIENDA 2014</v>
      </c>
      <c r="D273" s="325">
        <f>+'Base de Datos'!I273</f>
        <v>10075000</v>
      </c>
      <c r="E273" s="326">
        <f>+'Base de Datos'!M273</f>
        <v>42020</v>
      </c>
      <c r="F273" s="326">
        <f>+'Base de Datos'!N273</f>
        <v>42079</v>
      </c>
      <c r="G273" s="326">
        <f>+'Base de Datos'!T273</f>
        <v>42079</v>
      </c>
      <c r="H273" s="325">
        <f>+'Base de Datos'!U273</f>
        <v>10075000</v>
      </c>
      <c r="I273" s="327" t="str">
        <f>IF(VLOOKUP(B273,'Base de Datos'!$E$7:$S$303,11,0),"SI","NO")</f>
        <v>NO</v>
      </c>
      <c r="J273" s="328" t="str">
        <f t="shared" si="28"/>
        <v/>
      </c>
      <c r="K273" s="327" t="str">
        <f>IF(VLOOKUP(B273,'Base de Datos'!$E$7:$S$303,11,0),"SI","NO")</f>
        <v>NO</v>
      </c>
      <c r="L273" s="328" t="str">
        <f t="shared" si="29"/>
        <v/>
      </c>
      <c r="M273" s="328">
        <f>VLOOKUP(B273,'Base de Datos'!$E$7:$Z$303,21,0)</f>
        <v>1</v>
      </c>
      <c r="N273" s="390" t="str">
        <f t="shared" ca="1" si="33"/>
        <v/>
      </c>
      <c r="O273" s="328">
        <f ca="1">VLOOKUP(B273,'Base de Datos'!$E$7:$Z$303,22,0)</f>
        <v>1</v>
      </c>
      <c r="P273" s="389">
        <f t="shared" ca="1" si="30"/>
        <v>1564</v>
      </c>
      <c r="Q273" s="402">
        <f t="shared" ca="1" si="34"/>
        <v>13.033333333333333</v>
      </c>
      <c r="R273" s="324" t="str">
        <f ca="1">VLOOKUP(B273,'Base de Datos'!E273:AR584,33,0)</f>
        <v>TERMINO</v>
      </c>
      <c r="S273" s="327" t="str">
        <f t="shared" ca="1" si="31"/>
        <v>NO</v>
      </c>
      <c r="T273" s="324" t="str">
        <f t="shared" ca="1" si="32"/>
        <v>Liquidar</v>
      </c>
      <c r="U273" s="324">
        <f>VLOOKUP(B273,'Base de Datos'!$E$7:$AR$401,38,0)</f>
        <v>0</v>
      </c>
    </row>
    <row r="274" spans="1:21" ht="23.25" customHeight="1" thickTop="1" thickBot="1" x14ac:dyDescent="0.3">
      <c r="A274" s="108">
        <v>268</v>
      </c>
      <c r="B274" s="324" t="str">
        <f>+'Base de Datos'!E274</f>
        <v>150035-0-2015</v>
      </c>
      <c r="C274" s="324" t="str">
        <f>+'Base de Datos'!F274</f>
        <v>EDGAR EULICES GONZÁLEZ</v>
      </c>
      <c r="D274" s="325">
        <f>+'Base de Datos'!I274</f>
        <v>46068000</v>
      </c>
      <c r="E274" s="326">
        <f>+'Base de Datos'!M274</f>
        <v>42037</v>
      </c>
      <c r="F274" s="326">
        <f>+'Base de Datos'!N274</f>
        <v>42402</v>
      </c>
      <c r="G274" s="326">
        <f>+'Base de Datos'!T274</f>
        <v>42402</v>
      </c>
      <c r="H274" s="325">
        <f>+'Base de Datos'!U274</f>
        <v>46068000</v>
      </c>
      <c r="I274" s="327" t="str">
        <f>IF(VLOOKUP(B274,'Base de Datos'!$E$7:$S$303,11,0),"SI","NO")</f>
        <v>NO</v>
      </c>
      <c r="J274" s="328" t="str">
        <f t="shared" si="28"/>
        <v/>
      </c>
      <c r="K274" s="327" t="str">
        <f>IF(VLOOKUP(B274,'Base de Datos'!$E$7:$S$303,11,0),"SI","NO")</f>
        <v>NO</v>
      </c>
      <c r="L274" s="328" t="str">
        <f t="shared" si="29"/>
        <v/>
      </c>
      <c r="M274" s="328">
        <f>VLOOKUP(B274,'Base de Datos'!$E$7:$Z$303,21,0)</f>
        <v>1</v>
      </c>
      <c r="N274" s="390" t="str">
        <f t="shared" ca="1" si="33"/>
        <v/>
      </c>
      <c r="O274" s="328">
        <f ca="1">VLOOKUP(B274,'Base de Datos'!$E$7:$Z$303,22,0)</f>
        <v>1</v>
      </c>
      <c r="P274" s="389">
        <f t="shared" ca="1" si="30"/>
        <v>1241</v>
      </c>
      <c r="Q274" s="402">
        <f t="shared" ca="1" si="34"/>
        <v>10.341666666666667</v>
      </c>
      <c r="R274" s="324" t="str">
        <f ca="1">VLOOKUP(B274,'Base de Datos'!E274:AR585,33,0)</f>
        <v>TERMINO</v>
      </c>
      <c r="S274" s="327" t="str">
        <f t="shared" ca="1" si="31"/>
        <v>NO</v>
      </c>
      <c r="T274" s="324" t="str">
        <f t="shared" ca="1" si="32"/>
        <v>Liquidar</v>
      </c>
      <c r="U274" s="324">
        <f>VLOOKUP(B274,'Base de Datos'!$E$7:$AR$401,38,0)</f>
        <v>0</v>
      </c>
    </row>
    <row r="275" spans="1:21" ht="23.25" customHeight="1" thickTop="1" thickBot="1" x14ac:dyDescent="0.3">
      <c r="A275" s="108">
        <v>269</v>
      </c>
      <c r="B275" s="324" t="str">
        <f>+'Base de Datos'!E275</f>
        <v>140381-0-2014</v>
      </c>
      <c r="C275" s="324" t="str">
        <f>+'Base de Datos'!F275</f>
        <v>INSTITUTO DISTRITAL DEL PATRIMONIO CULTURAL - IDPC</v>
      </c>
      <c r="D275" s="325">
        <f>+'Base de Datos'!I275</f>
        <v>0</v>
      </c>
      <c r="E275" s="326">
        <f>+'Base de Datos'!M275</f>
        <v>41984</v>
      </c>
      <c r="F275" s="326">
        <f>+'Base de Datos'!N275</f>
        <v>42046</v>
      </c>
      <c r="G275" s="326">
        <f>+'Base de Datos'!T275</f>
        <v>42046</v>
      </c>
      <c r="H275" s="325">
        <f>+'Base de Datos'!U275</f>
        <v>0</v>
      </c>
      <c r="I275" s="327" t="str">
        <f>IF(VLOOKUP(B275,'Base de Datos'!$E$7:$S$303,11,0),"SI","NO")</f>
        <v>NO</v>
      </c>
      <c r="J275" s="328" t="str">
        <f t="shared" si="28"/>
        <v/>
      </c>
      <c r="K275" s="327" t="str">
        <f>IF(VLOOKUP(B275,'Base de Datos'!$E$7:$S$303,11,0),"SI","NO")</f>
        <v>NO</v>
      </c>
      <c r="L275" s="328" t="str">
        <f t="shared" si="29"/>
        <v/>
      </c>
      <c r="M275" s="328" t="e">
        <f>VLOOKUP(B275,'Base de Datos'!$E$7:$Z$303,21,0)</f>
        <v>#DIV/0!</v>
      </c>
      <c r="N275" s="390" t="str">
        <f t="shared" ca="1" si="33"/>
        <v/>
      </c>
      <c r="O275" s="328">
        <f ca="1">VLOOKUP(B275,'Base de Datos'!$E$7:$Z$303,22,0)</f>
        <v>1</v>
      </c>
      <c r="P275" s="389">
        <f t="shared" ca="1" si="30"/>
        <v>1597</v>
      </c>
      <c r="Q275" s="402">
        <f t="shared" ca="1" si="34"/>
        <v>13.308333333333334</v>
      </c>
      <c r="R275" s="324" t="str">
        <f ca="1">VLOOKUP(B275,'Base de Datos'!E275:AR586,33,0)</f>
        <v>TERMINO</v>
      </c>
      <c r="S275" s="327" t="str">
        <f t="shared" ca="1" si="31"/>
        <v>NO</v>
      </c>
      <c r="T275" s="324" t="str">
        <f t="shared" ca="1" si="32"/>
        <v>Liquidar</v>
      </c>
      <c r="U275" s="324">
        <f>VLOOKUP(B275,'Base de Datos'!$E$7:$AR$401,38,0)</f>
        <v>0</v>
      </c>
    </row>
    <row r="276" spans="1:21" ht="23.25" customHeight="1" thickTop="1" thickBot="1" x14ac:dyDescent="0.3">
      <c r="A276" s="108">
        <v>270</v>
      </c>
      <c r="B276" s="324" t="str">
        <f>+'Base de Datos'!E276</f>
        <v>150049-0-2015</v>
      </c>
      <c r="C276" s="324" t="str">
        <f>+'Base de Datos'!F276</f>
        <v>ROSA ENRIQUELINA GÓMEZ CORREDOR</v>
      </c>
      <c r="D276" s="325">
        <f>+'Base de Datos'!I276</f>
        <v>60000000</v>
      </c>
      <c r="E276" s="326">
        <f>+'Base de Datos'!M276</f>
        <v>42045</v>
      </c>
      <c r="F276" s="326">
        <f>+'Base de Datos'!N276</f>
        <v>42410</v>
      </c>
      <c r="G276" s="326">
        <f>+'Base de Datos'!T276</f>
        <v>42410</v>
      </c>
      <c r="H276" s="325">
        <f>+'Base de Datos'!U276</f>
        <v>60000000</v>
      </c>
      <c r="I276" s="327" t="str">
        <f>IF(VLOOKUP(B276,'Base de Datos'!$E$7:$S$303,11,0),"SI","NO")</f>
        <v>NO</v>
      </c>
      <c r="J276" s="328" t="str">
        <f t="shared" si="28"/>
        <v/>
      </c>
      <c r="K276" s="327" t="str">
        <f>IF(VLOOKUP(B276,'Base de Datos'!$E$7:$S$303,11,0),"SI","NO")</f>
        <v>NO</v>
      </c>
      <c r="L276" s="328" t="str">
        <f t="shared" si="29"/>
        <v/>
      </c>
      <c r="M276" s="328">
        <f>VLOOKUP(B276,'Base de Datos'!$E$7:$Z$303,21,0)</f>
        <v>1</v>
      </c>
      <c r="N276" s="390" t="str">
        <f t="shared" ca="1" si="33"/>
        <v/>
      </c>
      <c r="O276" s="328">
        <f ca="1">VLOOKUP(B276,'Base de Datos'!$E$7:$Z$303,22,0)</f>
        <v>1</v>
      </c>
      <c r="P276" s="389">
        <f t="shared" ca="1" si="30"/>
        <v>1233</v>
      </c>
      <c r="Q276" s="402">
        <f t="shared" ca="1" si="34"/>
        <v>10.275</v>
      </c>
      <c r="R276" s="324" t="str">
        <f ca="1">VLOOKUP(B276,'Base de Datos'!E276:AR587,33,0)</f>
        <v>TERMINO</v>
      </c>
      <c r="S276" s="327" t="str">
        <f t="shared" ca="1" si="31"/>
        <v>NO</v>
      </c>
      <c r="T276" s="324" t="str">
        <f t="shared" ca="1" si="32"/>
        <v>Liquidar</v>
      </c>
      <c r="U276" s="324">
        <f>VLOOKUP(B276,'Base de Datos'!$E$7:$AR$401,38,0)</f>
        <v>0</v>
      </c>
    </row>
    <row r="277" spans="1:21" ht="23.25" customHeight="1" thickTop="1" thickBot="1" x14ac:dyDescent="0.3">
      <c r="A277" s="108">
        <v>271</v>
      </c>
      <c r="B277" s="324" t="str">
        <f>+'Base de Datos'!E277</f>
        <v>150053-0-2015</v>
      </c>
      <c r="C277" s="324" t="str">
        <f>+'Base de Datos'!F277</f>
        <v xml:space="preserve">ADRIANA MARGARITA PAYARES (Cesionaria) / Antes: JEAN PAUL RUBIO MARTIN </v>
      </c>
      <c r="D277" s="325">
        <f>+'Base de Datos'!I277</f>
        <v>63654000</v>
      </c>
      <c r="E277" s="326">
        <f>+'Base de Datos'!M277</f>
        <v>42045</v>
      </c>
      <c r="F277" s="326">
        <f>+'Base de Datos'!N277</f>
        <v>42379</v>
      </c>
      <c r="G277" s="326">
        <f>+'Base de Datos'!T277</f>
        <v>42410</v>
      </c>
      <c r="H277" s="325">
        <f>+'Base de Datos'!U277</f>
        <v>63654000</v>
      </c>
      <c r="I277" s="327" t="str">
        <f>IF(VLOOKUP(B277,'Base de Datos'!$E$7:$S$303,11,0),"SI","NO")</f>
        <v>NO</v>
      </c>
      <c r="J277" s="328" t="str">
        <f t="shared" si="28"/>
        <v/>
      </c>
      <c r="K277" s="327" t="str">
        <f>IF(VLOOKUP(B277,'Base de Datos'!$E$7:$S$303,11,0),"SI","NO")</f>
        <v>NO</v>
      </c>
      <c r="L277" s="328" t="str">
        <f t="shared" si="29"/>
        <v/>
      </c>
      <c r="M277" s="328">
        <f>VLOOKUP(B277,'Base de Datos'!$E$7:$Z$303,21,0)</f>
        <v>1</v>
      </c>
      <c r="N277" s="390" t="str">
        <f t="shared" ca="1" si="33"/>
        <v/>
      </c>
      <c r="O277" s="328">
        <f ca="1">VLOOKUP(B277,'Base de Datos'!$E$7:$Z$303,22,0)</f>
        <v>1</v>
      </c>
      <c r="P277" s="389">
        <f t="shared" ca="1" si="30"/>
        <v>1233</v>
      </c>
      <c r="Q277" s="402">
        <f t="shared" ca="1" si="34"/>
        <v>10.275</v>
      </c>
      <c r="R277" s="324" t="str">
        <f ca="1">VLOOKUP(B277,'Base de Datos'!E277:AR588,33,0)</f>
        <v>TERMINO</v>
      </c>
      <c r="S277" s="327" t="str">
        <f t="shared" ca="1" si="31"/>
        <v>NO</v>
      </c>
      <c r="T277" s="324" t="str">
        <f t="shared" ca="1" si="32"/>
        <v>Liquidar</v>
      </c>
      <c r="U277" s="324">
        <f>VLOOKUP(B277,'Base de Datos'!$E$7:$AR$401,38,0)</f>
        <v>0</v>
      </c>
    </row>
    <row r="278" spans="1:21" ht="23.25" customHeight="1" thickTop="1" thickBot="1" x14ac:dyDescent="0.3">
      <c r="A278" s="108">
        <v>272</v>
      </c>
      <c r="B278" s="324" t="str">
        <f>+'Base de Datos'!E278</f>
        <v>150067-0-2015</v>
      </c>
      <c r="C278" s="324" t="str">
        <f>+'Base de Datos'!F278</f>
        <v>WIESNER FABIÁN ROBAYO SALCEDO</v>
      </c>
      <c r="D278" s="325">
        <f>+'Base de Datos'!I278</f>
        <v>48000000</v>
      </c>
      <c r="E278" s="326">
        <f>+'Base de Datos'!M278</f>
        <v>42053</v>
      </c>
      <c r="F278" s="326">
        <f>+'Base de Datos'!N278</f>
        <v>42418</v>
      </c>
      <c r="G278" s="326">
        <f>+'Base de Datos'!T278</f>
        <v>42418</v>
      </c>
      <c r="H278" s="325">
        <f>+'Base de Datos'!U278</f>
        <v>48000000</v>
      </c>
      <c r="I278" s="327" t="str">
        <f>IF(VLOOKUP(B278,'Base de Datos'!$E$7:$S$303,11,0),"SI","NO")</f>
        <v>NO</v>
      </c>
      <c r="J278" s="328" t="str">
        <f t="shared" si="28"/>
        <v/>
      </c>
      <c r="K278" s="327" t="str">
        <f>IF(VLOOKUP(B278,'Base de Datos'!$E$7:$S$303,11,0),"SI","NO")</f>
        <v>NO</v>
      </c>
      <c r="L278" s="328" t="str">
        <f t="shared" si="29"/>
        <v/>
      </c>
      <c r="M278" s="328">
        <f>VLOOKUP(B278,'Base de Datos'!$E$7:$Z$303,21,0)</f>
        <v>1</v>
      </c>
      <c r="N278" s="390" t="str">
        <f t="shared" ca="1" si="33"/>
        <v/>
      </c>
      <c r="O278" s="328">
        <f ca="1">VLOOKUP(B278,'Base de Datos'!$E$7:$Z$303,22,0)</f>
        <v>1</v>
      </c>
      <c r="P278" s="389">
        <f t="shared" ca="1" si="30"/>
        <v>1225</v>
      </c>
      <c r="Q278" s="402">
        <f t="shared" ca="1" si="34"/>
        <v>10.208333333333334</v>
      </c>
      <c r="R278" s="324" t="str">
        <f ca="1">VLOOKUP(B278,'Base de Datos'!E278:AR589,33,0)</f>
        <v>TERMINO</v>
      </c>
      <c r="S278" s="327" t="str">
        <f t="shared" ca="1" si="31"/>
        <v>NO</v>
      </c>
      <c r="T278" s="324" t="str">
        <f t="shared" ca="1" si="32"/>
        <v>Liquidar</v>
      </c>
      <c r="U278" s="324">
        <f>VLOOKUP(B278,'Base de Datos'!$E$7:$AR$401,38,0)</f>
        <v>0</v>
      </c>
    </row>
    <row r="279" spans="1:21" ht="23.25" customHeight="1" thickTop="1" thickBot="1" x14ac:dyDescent="0.3">
      <c r="A279" s="108">
        <v>273</v>
      </c>
      <c r="B279" s="324" t="str">
        <f>+'Base de Datos'!E279</f>
        <v>150076-0-2015</v>
      </c>
      <c r="C279" s="324" t="str">
        <f>+'Base de Datos'!F279</f>
        <v>JUDITH HERNÁNDEZ VILLALBA</v>
      </c>
      <c r="D279" s="325">
        <f>+'Base de Datos'!I279</f>
        <v>63654000</v>
      </c>
      <c r="E279" s="326">
        <f>+'Base de Datos'!M279</f>
        <v>42054</v>
      </c>
      <c r="F279" s="326">
        <f>+'Base de Datos'!N279</f>
        <v>42419</v>
      </c>
      <c r="G279" s="326">
        <f>+'Base de Datos'!T279</f>
        <v>42419</v>
      </c>
      <c r="H279" s="325">
        <f>+'Base de Datos'!U279</f>
        <v>63654000</v>
      </c>
      <c r="I279" s="327" t="str">
        <f>IF(VLOOKUP(B279,'Base de Datos'!$E$7:$S$303,11,0),"SI","NO")</f>
        <v>NO</v>
      </c>
      <c r="J279" s="328" t="str">
        <f t="shared" si="28"/>
        <v/>
      </c>
      <c r="K279" s="327" t="str">
        <f>IF(VLOOKUP(B279,'Base de Datos'!$E$7:$S$303,11,0),"SI","NO")</f>
        <v>NO</v>
      </c>
      <c r="L279" s="328" t="str">
        <f t="shared" si="29"/>
        <v/>
      </c>
      <c r="M279" s="328">
        <f>VLOOKUP(B279,'Base de Datos'!$E$7:$Z$303,21,0)</f>
        <v>1</v>
      </c>
      <c r="N279" s="390" t="str">
        <f t="shared" ca="1" si="33"/>
        <v/>
      </c>
      <c r="O279" s="328">
        <f ca="1">VLOOKUP(B279,'Base de Datos'!$E$7:$Z$303,22,0)</f>
        <v>1</v>
      </c>
      <c r="P279" s="389">
        <f t="shared" ca="1" si="30"/>
        <v>1224</v>
      </c>
      <c r="Q279" s="402">
        <f t="shared" ca="1" si="34"/>
        <v>10.199999999999999</v>
      </c>
      <c r="R279" s="324" t="str">
        <f ca="1">VLOOKUP(B279,'Base de Datos'!E279:AR590,33,0)</f>
        <v>TERMINO</v>
      </c>
      <c r="S279" s="327" t="str">
        <f t="shared" ca="1" si="31"/>
        <v>NO</v>
      </c>
      <c r="T279" s="324" t="str">
        <f t="shared" ca="1" si="32"/>
        <v>Liquidar</v>
      </c>
      <c r="U279" s="324">
        <f>VLOOKUP(B279,'Base de Datos'!$E$7:$AR$401,38,0)</f>
        <v>0</v>
      </c>
    </row>
    <row r="280" spans="1:21" ht="23.25" customHeight="1" thickTop="1" thickBot="1" x14ac:dyDescent="0.3">
      <c r="A280" s="108">
        <v>274</v>
      </c>
      <c r="B280" s="324" t="str">
        <f>+'Base de Datos'!E280</f>
        <v>150073-0-2015</v>
      </c>
      <c r="C280" s="324" t="str">
        <f>+'Base de Datos'!F280</f>
        <v>ELVIN ALEXANDER AVEBDAÑO FONSECA (Cesionario) / JAVIER ANDRÉS VIDAL MELO (Antes)</v>
      </c>
      <c r="D280" s="325">
        <f>+'Base de Datos'!I280</f>
        <v>60000000</v>
      </c>
      <c r="E280" s="326">
        <f>+'Base de Datos'!M280</f>
        <v>42054</v>
      </c>
      <c r="F280" s="326">
        <f>+'Base de Datos'!N280</f>
        <v>42419</v>
      </c>
      <c r="G280" s="326">
        <f>+'Base de Datos'!T280</f>
        <v>42419</v>
      </c>
      <c r="H280" s="325">
        <f>+'Base de Datos'!U280</f>
        <v>60000000</v>
      </c>
      <c r="I280" s="327" t="str">
        <f>IF(VLOOKUP(B280,'Base de Datos'!$E$7:$S$303,11,0),"SI","NO")</f>
        <v>NO</v>
      </c>
      <c r="J280" s="328" t="str">
        <f t="shared" si="28"/>
        <v/>
      </c>
      <c r="K280" s="327" t="str">
        <f>IF(VLOOKUP(B280,'Base de Datos'!$E$7:$S$303,11,0),"SI","NO")</f>
        <v>NO</v>
      </c>
      <c r="L280" s="328" t="str">
        <f t="shared" si="29"/>
        <v/>
      </c>
      <c r="M280" s="328">
        <f>VLOOKUP(B280,'Base de Datos'!$E$7:$Z$303,21,0)</f>
        <v>1</v>
      </c>
      <c r="N280" s="390" t="str">
        <f t="shared" ca="1" si="33"/>
        <v/>
      </c>
      <c r="O280" s="328">
        <f ca="1">VLOOKUP(B280,'Base de Datos'!$E$7:$Z$303,22,0)</f>
        <v>1</v>
      </c>
      <c r="P280" s="389">
        <f t="shared" ca="1" si="30"/>
        <v>1224</v>
      </c>
      <c r="Q280" s="402">
        <f t="shared" ca="1" si="34"/>
        <v>10.199999999999999</v>
      </c>
      <c r="R280" s="324" t="str">
        <f ca="1">VLOOKUP(B280,'Base de Datos'!E280:AR591,33,0)</f>
        <v>TERMINO</v>
      </c>
      <c r="S280" s="327" t="str">
        <f t="shared" ca="1" si="31"/>
        <v>NO</v>
      </c>
      <c r="T280" s="324" t="str">
        <f t="shared" ca="1" si="32"/>
        <v>Liquidar</v>
      </c>
      <c r="U280" s="324">
        <f>VLOOKUP(B280,'Base de Datos'!$E$7:$AR$401,38,0)</f>
        <v>0</v>
      </c>
    </row>
    <row r="281" spans="1:21" ht="23.25" customHeight="1" thickTop="1" thickBot="1" x14ac:dyDescent="0.3">
      <c r="A281" s="108">
        <v>275</v>
      </c>
      <c r="B281" s="324" t="str">
        <f>+'Base de Datos'!E281</f>
        <v>150080-0-2015</v>
      </c>
      <c r="C281" s="324" t="str">
        <f>+'Base de Datos'!F281</f>
        <v>LIZETH  GONZÁLEZ VARGAS</v>
      </c>
      <c r="D281" s="325">
        <f>+'Base de Datos'!I281</f>
        <v>43260000</v>
      </c>
      <c r="E281" s="326">
        <f>+'Base de Datos'!M281</f>
        <v>42060</v>
      </c>
      <c r="F281" s="326">
        <f>+'Base de Datos'!N281</f>
        <v>42425</v>
      </c>
      <c r="G281" s="326">
        <f>+'Base de Datos'!T281</f>
        <v>42425</v>
      </c>
      <c r="H281" s="325">
        <f>+'Base de Datos'!U281</f>
        <v>43260000</v>
      </c>
      <c r="I281" s="327" t="str">
        <f>IF(VLOOKUP(B281,'Base de Datos'!$E$7:$S$303,11,0),"SI","NO")</f>
        <v>NO</v>
      </c>
      <c r="J281" s="328" t="str">
        <f t="shared" si="28"/>
        <v/>
      </c>
      <c r="K281" s="327" t="str">
        <f>IF(VLOOKUP(B281,'Base de Datos'!$E$7:$S$303,11,0),"SI","NO")</f>
        <v>NO</v>
      </c>
      <c r="L281" s="328" t="str">
        <f t="shared" si="29"/>
        <v/>
      </c>
      <c r="M281" s="328">
        <f>VLOOKUP(B281,'Base de Datos'!$E$7:$Z$303,21,0)</f>
        <v>1</v>
      </c>
      <c r="N281" s="390" t="str">
        <f t="shared" ca="1" si="33"/>
        <v/>
      </c>
      <c r="O281" s="328">
        <f ca="1">VLOOKUP(B281,'Base de Datos'!$E$7:$Z$303,22,0)</f>
        <v>1</v>
      </c>
      <c r="P281" s="389">
        <f t="shared" ca="1" si="30"/>
        <v>1218</v>
      </c>
      <c r="Q281" s="402">
        <f t="shared" ca="1" si="34"/>
        <v>10.15</v>
      </c>
      <c r="R281" s="324" t="str">
        <f ca="1">VLOOKUP(B281,'Base de Datos'!E281:AR592,33,0)</f>
        <v>TERMINO</v>
      </c>
      <c r="S281" s="327" t="str">
        <f t="shared" ca="1" si="31"/>
        <v>NO</v>
      </c>
      <c r="T281" s="324" t="str">
        <f t="shared" ca="1" si="32"/>
        <v>Liquidar</v>
      </c>
      <c r="U281" s="324">
        <f>VLOOKUP(B281,'Base de Datos'!$E$7:$AR$401,38,0)</f>
        <v>0</v>
      </c>
    </row>
    <row r="282" spans="1:21" ht="23.25" customHeight="1" thickTop="1" thickBot="1" x14ac:dyDescent="0.3">
      <c r="A282" s="108">
        <v>276</v>
      </c>
      <c r="B282" s="324" t="str">
        <f>+'Base de Datos'!E282</f>
        <v>150081-0-2015</v>
      </c>
      <c r="C282" s="324" t="str">
        <f>+'Base de Datos'!F282</f>
        <v>LEIDY YONETH RIVERA GONZALEZ (Cesionario) / LUISA FERNANDA GUTIÉRREZ RAMÍREZ (Antes)</v>
      </c>
      <c r="D282" s="325">
        <f>+'Base de Datos'!I282</f>
        <v>63654000</v>
      </c>
      <c r="E282" s="326">
        <f>+'Base de Datos'!M282</f>
        <v>42060</v>
      </c>
      <c r="F282" s="326">
        <f>+'Base de Datos'!N282</f>
        <v>42425</v>
      </c>
      <c r="G282" s="326">
        <f>+'Base de Datos'!T282</f>
        <v>42530</v>
      </c>
      <c r="H282" s="325">
        <f>+'Base de Datos'!U282</f>
        <v>63654000</v>
      </c>
      <c r="I282" s="327" t="str">
        <f>IF(VLOOKUP(B282,'Base de Datos'!$E$7:$S$303,11,0),"SI","NO")</f>
        <v>NO</v>
      </c>
      <c r="J282" s="328" t="str">
        <f t="shared" si="28"/>
        <v/>
      </c>
      <c r="K282" s="327" t="str">
        <f>IF(VLOOKUP(B282,'Base de Datos'!$E$7:$S$303,11,0),"SI","NO")</f>
        <v>NO</v>
      </c>
      <c r="L282" s="328" t="str">
        <f t="shared" si="29"/>
        <v/>
      </c>
      <c r="M282" s="328">
        <f>VLOOKUP(B282,'Base de Datos'!$E$7:$Z$303,21,0)</f>
        <v>0.98611111634775506</v>
      </c>
      <c r="N282" s="390" t="str">
        <f t="shared" ca="1" si="33"/>
        <v/>
      </c>
      <c r="O282" s="328">
        <f ca="1">VLOOKUP(B282,'Base de Datos'!$E$7:$Z$303,22,0)</f>
        <v>1</v>
      </c>
      <c r="P282" s="389">
        <f t="shared" ca="1" si="30"/>
        <v>1113</v>
      </c>
      <c r="Q282" s="402">
        <f t="shared" ca="1" si="34"/>
        <v>9.2750000000000004</v>
      </c>
      <c r="R282" s="324" t="str">
        <f ca="1">VLOOKUP(B282,'Base de Datos'!E282:AR593,33,0)</f>
        <v>TERMINO</v>
      </c>
      <c r="S282" s="327" t="str">
        <f t="shared" ca="1" si="31"/>
        <v>NO</v>
      </c>
      <c r="T282" s="324" t="str">
        <f t="shared" ca="1" si="32"/>
        <v>Liquidar</v>
      </c>
      <c r="U282" s="324">
        <f>VLOOKUP(B282,'Base de Datos'!$E$7:$AR$401,38,0)</f>
        <v>0</v>
      </c>
    </row>
    <row r="283" spans="1:21" ht="23.25" customHeight="1" thickTop="1" thickBot="1" x14ac:dyDescent="0.3">
      <c r="A283" s="108">
        <v>277</v>
      </c>
      <c r="B283" s="324" t="str">
        <f>+'Base de Datos'!E283</f>
        <v>150083-0-2015</v>
      </c>
      <c r="C283" s="324" t="str">
        <f>+'Base de Datos'!F283</f>
        <v>DIANA MARCELA REYES</v>
      </c>
      <c r="D283" s="325">
        <f>+'Base de Datos'!I283</f>
        <v>30900000</v>
      </c>
      <c r="E283" s="326">
        <f>+'Base de Datos'!M283</f>
        <v>42065</v>
      </c>
      <c r="F283" s="326">
        <f>+'Base de Datos'!N283</f>
        <v>42431</v>
      </c>
      <c r="G283" s="326">
        <f>+'Base de Datos'!T283</f>
        <v>42431</v>
      </c>
      <c r="H283" s="325">
        <f>+'Base de Datos'!U283</f>
        <v>30900000</v>
      </c>
      <c r="I283" s="327" t="str">
        <f>IF(VLOOKUP(B283,'Base de Datos'!$E$7:$S$303,11,0),"SI","NO")</f>
        <v>NO</v>
      </c>
      <c r="J283" s="328" t="str">
        <f t="shared" si="28"/>
        <v/>
      </c>
      <c r="K283" s="327" t="str">
        <f>IF(VLOOKUP(B283,'Base de Datos'!$E$7:$S$303,11,0),"SI","NO")</f>
        <v>NO</v>
      </c>
      <c r="L283" s="328" t="str">
        <f t="shared" si="29"/>
        <v/>
      </c>
      <c r="M283" s="328">
        <f>VLOOKUP(B283,'Base de Datos'!$E$7:$Z$303,21,0)</f>
        <v>1</v>
      </c>
      <c r="N283" s="390" t="str">
        <f t="shared" ca="1" si="33"/>
        <v/>
      </c>
      <c r="O283" s="328">
        <f ca="1">VLOOKUP(B283,'Base de Datos'!$E$7:$Z$303,22,0)</f>
        <v>1</v>
      </c>
      <c r="P283" s="389">
        <f t="shared" ca="1" si="30"/>
        <v>1212</v>
      </c>
      <c r="Q283" s="402">
        <f t="shared" ca="1" si="34"/>
        <v>10.1</v>
      </c>
      <c r="R283" s="324" t="str">
        <f ca="1">VLOOKUP(B283,'Base de Datos'!E283:AR594,33,0)</f>
        <v>TERMINO</v>
      </c>
      <c r="S283" s="327" t="str">
        <f t="shared" ca="1" si="31"/>
        <v>NO</v>
      </c>
      <c r="T283" s="324" t="str">
        <f t="shared" ca="1" si="32"/>
        <v>Liquidar</v>
      </c>
      <c r="U283" s="324">
        <f>VLOOKUP(B283,'Base de Datos'!$E$7:$AR$401,38,0)</f>
        <v>0</v>
      </c>
    </row>
    <row r="284" spans="1:21" ht="23.25" customHeight="1" thickTop="1" thickBot="1" x14ac:dyDescent="0.3">
      <c r="A284" s="108">
        <v>278</v>
      </c>
      <c r="B284" s="324" t="str">
        <f>+'Base de Datos'!E284</f>
        <v>150097-0-2015</v>
      </c>
      <c r="C284" s="324" t="str">
        <f>+'Base de Datos'!F284</f>
        <v>ORGANIZACIÓN TERPEL S.A.</v>
      </c>
      <c r="D284" s="325">
        <f>+'Base de Datos'!I284</f>
        <v>444600000</v>
      </c>
      <c r="E284" s="326">
        <f>+'Base de Datos'!M284</f>
        <v>42064</v>
      </c>
      <c r="F284" s="326">
        <f>+'Base de Datos'!N284</f>
        <v>42339</v>
      </c>
      <c r="G284" s="326">
        <f>+'Base de Datos'!T284</f>
        <v>42339</v>
      </c>
      <c r="H284" s="325">
        <f>+'Base de Datos'!U284</f>
        <v>444600000</v>
      </c>
      <c r="I284" s="327" t="str">
        <f>IF(VLOOKUP(B284,'Base de Datos'!$E$7:$S$303,11,0),"SI","NO")</f>
        <v>NO</v>
      </c>
      <c r="J284" s="328" t="str">
        <f t="shared" si="28"/>
        <v/>
      </c>
      <c r="K284" s="327" t="str">
        <f>IF(VLOOKUP(B284,'Base de Datos'!$E$7:$S$303,11,0),"SI","NO")</f>
        <v>NO</v>
      </c>
      <c r="L284" s="328" t="str">
        <f t="shared" si="29"/>
        <v/>
      </c>
      <c r="M284" s="328">
        <f>VLOOKUP(B284,'Base de Datos'!$E$7:$Z$303,21,0)</f>
        <v>0.82172098965362128</v>
      </c>
      <c r="N284" s="390" t="str">
        <f t="shared" ca="1" si="33"/>
        <v/>
      </c>
      <c r="O284" s="328">
        <f ca="1">VLOOKUP(B284,'Base de Datos'!$E$7:$Z$303,22,0)</f>
        <v>1</v>
      </c>
      <c r="P284" s="389">
        <f t="shared" ca="1" si="30"/>
        <v>1304</v>
      </c>
      <c r="Q284" s="402">
        <f t="shared" ca="1" si="34"/>
        <v>10.866666666666667</v>
      </c>
      <c r="R284" s="324" t="str">
        <f ca="1">VLOOKUP(B284,'Base de Datos'!E284:AR595,33,0)</f>
        <v>TERMINO</v>
      </c>
      <c r="S284" s="327" t="str">
        <f t="shared" ca="1" si="31"/>
        <v>NO</v>
      </c>
      <c r="T284" s="324" t="str">
        <f t="shared" ca="1" si="32"/>
        <v>Liquidar</v>
      </c>
      <c r="U284" s="324">
        <f>VLOOKUP(B284,'Base de Datos'!$E$7:$AR$401,38,0)</f>
        <v>0</v>
      </c>
    </row>
    <row r="285" spans="1:21" ht="23.25" customHeight="1" thickTop="1" thickBot="1" x14ac:dyDescent="0.3">
      <c r="A285" s="108">
        <v>279</v>
      </c>
      <c r="B285" s="324" t="str">
        <f>+'Base de Datos'!E285</f>
        <v>150100-0-2015</v>
      </c>
      <c r="C285" s="324" t="str">
        <f>+'Base de Datos'!F285</f>
        <v>KHAANKO NORBERTO RUIZ RODRÍGUEZ</v>
      </c>
      <c r="D285" s="325">
        <f>+'Base de Datos'!I285</f>
        <v>38400000</v>
      </c>
      <c r="E285" s="326">
        <f>+'Base de Datos'!M285</f>
        <v>42073</v>
      </c>
      <c r="F285" s="326">
        <f>+'Base de Datos'!N285</f>
        <v>42439</v>
      </c>
      <c r="G285" s="326">
        <f>+'Base de Datos'!T285</f>
        <v>42439</v>
      </c>
      <c r="H285" s="325">
        <f>+'Base de Datos'!U285</f>
        <v>38400000</v>
      </c>
      <c r="I285" s="327" t="str">
        <f>IF(VLOOKUP(B285,'Base de Datos'!$E$7:$S$303,11,0),"SI","NO")</f>
        <v>NO</v>
      </c>
      <c r="J285" s="328" t="str">
        <f t="shared" si="28"/>
        <v/>
      </c>
      <c r="K285" s="327" t="str">
        <f>IF(VLOOKUP(B285,'Base de Datos'!$E$7:$S$303,11,0),"SI","NO")</f>
        <v>NO</v>
      </c>
      <c r="L285" s="328" t="str">
        <f t="shared" si="29"/>
        <v/>
      </c>
      <c r="M285" s="328">
        <f>VLOOKUP(B285,'Base de Datos'!$E$7:$Z$303,21,0)</f>
        <v>1</v>
      </c>
      <c r="N285" s="390" t="str">
        <f t="shared" ca="1" si="33"/>
        <v/>
      </c>
      <c r="O285" s="328">
        <f ca="1">VLOOKUP(B285,'Base de Datos'!$E$7:$Z$303,22,0)</f>
        <v>1</v>
      </c>
      <c r="P285" s="389">
        <f t="shared" ca="1" si="30"/>
        <v>1204</v>
      </c>
      <c r="Q285" s="402">
        <f t="shared" ca="1" si="34"/>
        <v>10.033333333333333</v>
      </c>
      <c r="R285" s="324" t="str">
        <f ca="1">VLOOKUP(B285,'Base de Datos'!E285:AR596,33,0)</f>
        <v>TERMINO</v>
      </c>
      <c r="S285" s="327" t="str">
        <f t="shared" ca="1" si="31"/>
        <v>NO</v>
      </c>
      <c r="T285" s="324" t="str">
        <f t="shared" ca="1" si="32"/>
        <v>Liquidar</v>
      </c>
      <c r="U285" s="324">
        <f>VLOOKUP(B285,'Base de Datos'!$E$7:$AR$401,38,0)</f>
        <v>0</v>
      </c>
    </row>
    <row r="286" spans="1:21" ht="23.25" customHeight="1" thickTop="1" thickBot="1" x14ac:dyDescent="0.3">
      <c r="A286" s="108">
        <v>280</v>
      </c>
      <c r="B286" s="324" t="str">
        <f>+'Base de Datos'!E286</f>
        <v>150101-0-2015</v>
      </c>
      <c r="C286" s="324" t="str">
        <f>+'Base de Datos'!F286</f>
        <v>GLORIA CATALINA ROSERO TOLEDO</v>
      </c>
      <c r="D286" s="325">
        <f>+'Base de Datos'!I286</f>
        <v>78000000</v>
      </c>
      <c r="E286" s="326">
        <f>+'Base de Datos'!M286</f>
        <v>42066</v>
      </c>
      <c r="F286" s="326">
        <f>+'Base de Datos'!N286</f>
        <v>42432</v>
      </c>
      <c r="G286" s="326">
        <f>+'Base de Datos'!T286</f>
        <v>42432</v>
      </c>
      <c r="H286" s="325">
        <f>+'Base de Datos'!U286</f>
        <v>78000000</v>
      </c>
      <c r="I286" s="327" t="str">
        <f>IF(VLOOKUP(B286,'Base de Datos'!$E$7:$S$303,11,0),"SI","NO")</f>
        <v>NO</v>
      </c>
      <c r="J286" s="328" t="str">
        <f t="shared" si="28"/>
        <v/>
      </c>
      <c r="K286" s="327" t="str">
        <f>IF(VLOOKUP(B286,'Base de Datos'!$E$7:$S$303,11,0),"SI","NO")</f>
        <v>NO</v>
      </c>
      <c r="L286" s="328" t="str">
        <f t="shared" si="29"/>
        <v/>
      </c>
      <c r="M286" s="328">
        <f>VLOOKUP(B286,'Base de Datos'!$E$7:$Z$303,21,0)</f>
        <v>1</v>
      </c>
      <c r="N286" s="390" t="str">
        <f t="shared" ca="1" si="33"/>
        <v/>
      </c>
      <c r="O286" s="328">
        <f ca="1">VLOOKUP(B286,'Base de Datos'!$E$7:$Z$303,22,0)</f>
        <v>1</v>
      </c>
      <c r="P286" s="389">
        <f t="shared" ca="1" si="30"/>
        <v>1211</v>
      </c>
      <c r="Q286" s="402">
        <f t="shared" ca="1" si="34"/>
        <v>10.091666666666667</v>
      </c>
      <c r="R286" s="324" t="str">
        <f ca="1">VLOOKUP(B286,'Base de Datos'!E286:AR597,33,0)</f>
        <v>TERMINO</v>
      </c>
      <c r="S286" s="327" t="str">
        <f t="shared" ca="1" si="31"/>
        <v>NO</v>
      </c>
      <c r="T286" s="324" t="str">
        <f t="shared" ca="1" si="32"/>
        <v>Liquidar</v>
      </c>
      <c r="U286" s="324">
        <f>VLOOKUP(B286,'Base de Datos'!$E$7:$AR$401,38,0)</f>
        <v>0</v>
      </c>
    </row>
    <row r="287" spans="1:21" ht="23.25" customHeight="1" thickTop="1" thickBot="1" x14ac:dyDescent="0.3">
      <c r="A287" s="108">
        <v>281</v>
      </c>
      <c r="B287" s="324" t="str">
        <f>+'Base de Datos'!E287</f>
        <v>150102-0-2015</v>
      </c>
      <c r="C287" s="324" t="str">
        <f>+'Base de Datos'!F287</f>
        <v>LINA MARÍA GONZÁLEZ RUIZ</v>
      </c>
      <c r="D287" s="325">
        <f>+'Base de Datos'!I287</f>
        <v>30900000</v>
      </c>
      <c r="E287" s="326">
        <f>+'Base de Datos'!M287</f>
        <v>42073</v>
      </c>
      <c r="F287" s="326">
        <f>+'Base de Datos'!N287</f>
        <v>42439</v>
      </c>
      <c r="G287" s="326">
        <f>+'Base de Datos'!T287</f>
        <v>42439</v>
      </c>
      <c r="H287" s="325">
        <f>+'Base de Datos'!U287</f>
        <v>30900000</v>
      </c>
      <c r="I287" s="327" t="str">
        <f>IF(VLOOKUP(B287,'Base de Datos'!$E$7:$S$303,11,0),"SI","NO")</f>
        <v>NO</v>
      </c>
      <c r="J287" s="328" t="str">
        <f t="shared" si="28"/>
        <v/>
      </c>
      <c r="K287" s="327" t="str">
        <f>IF(VLOOKUP(B287,'Base de Datos'!$E$7:$S$303,11,0),"SI","NO")</f>
        <v>NO</v>
      </c>
      <c r="L287" s="328" t="str">
        <f t="shared" si="29"/>
        <v/>
      </c>
      <c r="M287" s="328">
        <f>VLOOKUP(B287,'Base de Datos'!$E$7:$Z$303,21,0)</f>
        <v>1</v>
      </c>
      <c r="N287" s="390" t="str">
        <f t="shared" ca="1" si="33"/>
        <v/>
      </c>
      <c r="O287" s="328">
        <f ca="1">VLOOKUP(B287,'Base de Datos'!$E$7:$Z$303,22,0)</f>
        <v>1</v>
      </c>
      <c r="P287" s="389">
        <f t="shared" ca="1" si="30"/>
        <v>1204</v>
      </c>
      <c r="Q287" s="402">
        <f t="shared" ca="1" si="34"/>
        <v>10.033333333333333</v>
      </c>
      <c r="R287" s="324" t="str">
        <f ca="1">VLOOKUP(B287,'Base de Datos'!E287:AR598,33,0)</f>
        <v>TERMINO</v>
      </c>
      <c r="S287" s="327" t="str">
        <f t="shared" ca="1" si="31"/>
        <v>NO</v>
      </c>
      <c r="T287" s="324" t="str">
        <f t="shared" ca="1" si="32"/>
        <v>Liquidar</v>
      </c>
      <c r="U287" s="324">
        <f>VLOOKUP(B287,'Base de Datos'!$E$7:$AR$401,38,0)</f>
        <v>0</v>
      </c>
    </row>
    <row r="288" spans="1:21" ht="23.25" customHeight="1" thickTop="1" thickBot="1" x14ac:dyDescent="0.3">
      <c r="A288" s="108">
        <v>282</v>
      </c>
      <c r="B288" s="324" t="str">
        <f>+'Base de Datos'!E289</f>
        <v>150113-0-2015</v>
      </c>
      <c r="C288" s="324" t="str">
        <f>+'Base de Datos'!F289</f>
        <v>JARGU S.A. CORREDORES DE SEGUROS</v>
      </c>
      <c r="D288" s="325">
        <f>+'Base de Datos'!I289</f>
        <v>0</v>
      </c>
      <c r="E288" s="326">
        <f>+'Base de Datos'!M289</f>
        <v>0</v>
      </c>
      <c r="F288" s="326">
        <f>+'Base de Datos'!N289</f>
        <v>0</v>
      </c>
      <c r="G288" s="326">
        <f>+'Base de Datos'!T289</f>
        <v>0</v>
      </c>
      <c r="H288" s="325">
        <f>+'Base de Datos'!U289</f>
        <v>0</v>
      </c>
      <c r="I288" s="327" t="str">
        <f>IF(VLOOKUP(B288,'Base de Datos'!$E$7:$S$303,11,0),"SI","NO")</f>
        <v>NO</v>
      </c>
      <c r="J288" s="328" t="str">
        <f t="shared" si="28"/>
        <v/>
      </c>
      <c r="K288" s="327" t="str">
        <f>IF(VLOOKUP(B288,'Base de Datos'!$E$7:$S$303,11,0),"SI","NO")</f>
        <v>NO</v>
      </c>
      <c r="L288" s="328" t="str">
        <f t="shared" si="29"/>
        <v/>
      </c>
      <c r="M288" s="328" t="e">
        <f>VLOOKUP(B288,'Base de Datos'!$E$7:$Z$303,21,0)</f>
        <v>#DIV/0!</v>
      </c>
      <c r="N288" s="390" t="str">
        <f t="shared" ca="1" si="33"/>
        <v/>
      </c>
      <c r="O288" s="328" t="e">
        <f ca="1">VLOOKUP(B288,'Base de Datos'!$E$7:$Z$303,22,0)</f>
        <v>#DIV/0!</v>
      </c>
      <c r="P288" s="389">
        <f t="shared" ca="1" si="30"/>
        <v>43643</v>
      </c>
      <c r="Q288" s="402">
        <f t="shared" ca="1" si="34"/>
        <v>363.69166666666666</v>
      </c>
      <c r="R288" s="324" t="str">
        <f ca="1">VLOOKUP(B288,'Base de Datos'!E288:AR599,33,0)</f>
        <v>TERMINO</v>
      </c>
      <c r="S288" s="327" t="str">
        <f t="shared" ca="1" si="31"/>
        <v>NO</v>
      </c>
      <c r="T288" s="324" t="e">
        <f t="shared" ca="1" si="32"/>
        <v>#DIV/0!</v>
      </c>
      <c r="U288" s="324">
        <f>VLOOKUP(B288,'Base de Datos'!$E$7:$AR$401,38,0)</f>
        <v>0</v>
      </c>
    </row>
    <row r="289" spans="1:21" ht="23.25" customHeight="1" thickTop="1" thickBot="1" x14ac:dyDescent="0.3">
      <c r="A289" s="108">
        <v>283</v>
      </c>
      <c r="B289" s="324" t="str">
        <f>+'Base de Datos'!E290</f>
        <v>150124-0-2015</v>
      </c>
      <c r="C289" s="324" t="str">
        <f>+'Base de Datos'!F290</f>
        <v>DPC LTDA PUBLICACIONES DESPACHOS PÚBLICOS DE COLOMBIA LTDA</v>
      </c>
      <c r="D289" s="325">
        <f>+'Base de Datos'!I290</f>
        <v>4100000</v>
      </c>
      <c r="E289" s="326">
        <f>+'Base de Datos'!M290</f>
        <v>42088</v>
      </c>
      <c r="F289" s="326">
        <f>+'Base de Datos'!N290</f>
        <v>42241</v>
      </c>
      <c r="G289" s="326">
        <f>+'Base de Datos'!T290</f>
        <v>42241</v>
      </c>
      <c r="H289" s="325">
        <f>+'Base de Datos'!U290</f>
        <v>4100000</v>
      </c>
      <c r="I289" s="327" t="str">
        <f>IF(VLOOKUP(B289,'Base de Datos'!$E$7:$S$303,11,0),"SI","NO")</f>
        <v>NO</v>
      </c>
      <c r="J289" s="328" t="str">
        <f t="shared" si="28"/>
        <v/>
      </c>
      <c r="K289" s="327" t="str">
        <f>IF(VLOOKUP(B289,'Base de Datos'!$E$7:$S$303,11,0),"SI","NO")</f>
        <v>NO</v>
      </c>
      <c r="L289" s="328" t="str">
        <f t="shared" si="29"/>
        <v/>
      </c>
      <c r="M289" s="328">
        <f>VLOOKUP(B289,'Base de Datos'!$E$7:$Z$303,21,0)</f>
        <v>1</v>
      </c>
      <c r="N289" s="390" t="str">
        <f t="shared" ca="1" si="33"/>
        <v/>
      </c>
      <c r="O289" s="328">
        <f ca="1">VLOOKUP(B289,'Base de Datos'!$E$7:$Z$303,22,0)</f>
        <v>1</v>
      </c>
      <c r="P289" s="389">
        <f t="shared" ca="1" si="30"/>
        <v>1402</v>
      </c>
      <c r="Q289" s="402">
        <f t="shared" ca="1" si="34"/>
        <v>11.683333333333334</v>
      </c>
      <c r="R289" s="324" t="str">
        <f ca="1">VLOOKUP(B289,'Base de Datos'!E289:AR600,33,0)</f>
        <v>TERMINO</v>
      </c>
      <c r="S289" s="327" t="str">
        <f t="shared" ca="1" si="31"/>
        <v>NO</v>
      </c>
      <c r="T289" s="324" t="str">
        <f t="shared" ca="1" si="32"/>
        <v>Liquidar</v>
      </c>
      <c r="U289" s="324">
        <f>VLOOKUP(B289,'Base de Datos'!$E$7:$AR$401,38,0)</f>
        <v>42304</v>
      </c>
    </row>
    <row r="290" spans="1:21" ht="23.25" customHeight="1" thickTop="1" thickBot="1" x14ac:dyDescent="0.3">
      <c r="A290" s="108">
        <v>284</v>
      </c>
      <c r="B290" s="324" t="str">
        <f>+'Base de Datos'!E291</f>
        <v>150123-0-2015</v>
      </c>
      <c r="C290" s="324" t="str">
        <f>+'Base de Datos'!F291</f>
        <v>CASA EDITORIAL EL TIEMPO SA</v>
      </c>
      <c r="D290" s="325">
        <f>+'Base de Datos'!I291</f>
        <v>1226994</v>
      </c>
      <c r="E290" s="326">
        <f>+'Base de Datos'!M291</f>
        <v>42082</v>
      </c>
      <c r="F290" s="326">
        <f>+'Base de Datos'!N291</f>
        <v>42447</v>
      </c>
      <c r="G290" s="326">
        <f>+'Base de Datos'!T291</f>
        <v>42447</v>
      </c>
      <c r="H290" s="325">
        <f>+'Base de Datos'!U291</f>
        <v>1226994</v>
      </c>
      <c r="I290" s="327" t="str">
        <f>IF(VLOOKUP(B290,'Base de Datos'!$E$7:$S$303,11,0),"SI","NO")</f>
        <v>NO</v>
      </c>
      <c r="J290" s="328" t="str">
        <f t="shared" si="28"/>
        <v/>
      </c>
      <c r="K290" s="327" t="str">
        <f>IF(VLOOKUP(B290,'Base de Datos'!$E$7:$S$303,11,0),"SI","NO")</f>
        <v>NO</v>
      </c>
      <c r="L290" s="328" t="str">
        <f t="shared" si="29"/>
        <v/>
      </c>
      <c r="M290" s="328">
        <f>VLOOKUP(B290,'Base de Datos'!$E$7:$Z$303,21,0)</f>
        <v>1</v>
      </c>
      <c r="N290" s="390" t="str">
        <f t="shared" ca="1" si="33"/>
        <v/>
      </c>
      <c r="O290" s="328">
        <f ca="1">VLOOKUP(B290,'Base de Datos'!$E$7:$Z$303,22,0)</f>
        <v>1</v>
      </c>
      <c r="P290" s="389">
        <f t="shared" ca="1" si="30"/>
        <v>1196</v>
      </c>
      <c r="Q290" s="402">
        <f t="shared" ca="1" si="34"/>
        <v>9.9666666666666668</v>
      </c>
      <c r="R290" s="324" t="str">
        <f ca="1">VLOOKUP(B290,'Base de Datos'!E290:AR601,33,0)</f>
        <v>TERMINO</v>
      </c>
      <c r="S290" s="327" t="str">
        <f t="shared" ca="1" si="31"/>
        <v>NO</v>
      </c>
      <c r="T290" s="324" t="str">
        <f t="shared" ca="1" si="32"/>
        <v>Liquidar</v>
      </c>
      <c r="U290" s="324">
        <f>VLOOKUP(B290,'Base de Datos'!$E$7:$AR$401,38,0)</f>
        <v>0</v>
      </c>
    </row>
    <row r="291" spans="1:21" ht="23.25" customHeight="1" thickTop="1" thickBot="1" x14ac:dyDescent="0.3">
      <c r="A291" s="108">
        <v>285</v>
      </c>
      <c r="B291" s="324" t="str">
        <f>+'Base de Datos'!E292</f>
        <v>150128-0-2015</v>
      </c>
      <c r="C291" s="324" t="str">
        <f>+'Base de Datos'!F292</f>
        <v>PASSWORD CONSULTING SERVICES S.A.S.</v>
      </c>
      <c r="D291" s="325">
        <f>+'Base de Datos'!I292</f>
        <v>334080000</v>
      </c>
      <c r="E291" s="326">
        <f>+'Base de Datos'!M292</f>
        <v>42104</v>
      </c>
      <c r="F291" s="326">
        <f>+'Base de Datos'!N292</f>
        <v>42287</v>
      </c>
      <c r="G291" s="326">
        <f>+'Base de Datos'!T292</f>
        <v>42348</v>
      </c>
      <c r="H291" s="325">
        <f>+'Base de Datos'!U292</f>
        <v>334080000</v>
      </c>
      <c r="I291" s="327" t="str">
        <f>IF(VLOOKUP(B291,'Base de Datos'!$E$7:$S$303,11,0),"SI","NO")</f>
        <v>NO</v>
      </c>
      <c r="J291" s="328" t="str">
        <f t="shared" si="28"/>
        <v/>
      </c>
      <c r="K291" s="327" t="str">
        <f>IF(VLOOKUP(B291,'Base de Datos'!$E$7:$S$303,11,0),"SI","NO")</f>
        <v>NO</v>
      </c>
      <c r="L291" s="328" t="str">
        <f t="shared" si="29"/>
        <v/>
      </c>
      <c r="M291" s="328">
        <f>VLOOKUP(B291,'Base de Datos'!$E$7:$Z$303,21,0)</f>
        <v>1</v>
      </c>
      <c r="N291" s="390" t="str">
        <f t="shared" ca="1" si="33"/>
        <v/>
      </c>
      <c r="O291" s="328">
        <f ca="1">VLOOKUP(B291,'Base de Datos'!$E$7:$Z$303,22,0)</f>
        <v>1</v>
      </c>
      <c r="P291" s="389">
        <f t="shared" ca="1" si="30"/>
        <v>1295</v>
      </c>
      <c r="Q291" s="402">
        <f t="shared" ca="1" si="34"/>
        <v>10.791666666666666</v>
      </c>
      <c r="R291" s="324" t="str">
        <f ca="1">VLOOKUP(B291,'Base de Datos'!E291:AR602,33,0)</f>
        <v>TERMINO</v>
      </c>
      <c r="S291" s="327" t="str">
        <f t="shared" ca="1" si="31"/>
        <v>NO</v>
      </c>
      <c r="T291" s="324" t="str">
        <f t="shared" ca="1" si="32"/>
        <v>Liquidar</v>
      </c>
      <c r="U291" s="324">
        <f>VLOOKUP(B291,'Base de Datos'!$E$7:$AR$401,38,0)</f>
        <v>0</v>
      </c>
    </row>
    <row r="292" spans="1:21" ht="23.25" customHeight="1" thickTop="1" thickBot="1" x14ac:dyDescent="0.3">
      <c r="A292" s="108">
        <v>286</v>
      </c>
      <c r="B292" s="324" t="str">
        <f>+'Base de Datos'!E293</f>
        <v>150129-0-2015</v>
      </c>
      <c r="C292" s="324" t="str">
        <f>+'Base de Datos'!F293</f>
        <v>DIEGO ALEJANDRO RUBIO RAMOS</v>
      </c>
      <c r="D292" s="325">
        <f>+'Base de Datos'!I293</f>
        <v>7442000</v>
      </c>
      <c r="E292" s="326">
        <f>+'Base de Datos'!M293</f>
        <v>42111</v>
      </c>
      <c r="F292" s="326">
        <f>+'Base de Datos'!N293</f>
        <v>42477</v>
      </c>
      <c r="G292" s="326">
        <f>+'Base de Datos'!T293</f>
        <v>42477</v>
      </c>
      <c r="H292" s="325">
        <f>+'Base de Datos'!U293</f>
        <v>7442000</v>
      </c>
      <c r="I292" s="327" t="str">
        <f>IF(VLOOKUP(B292,'Base de Datos'!$E$7:$S$303,11,0),"SI","NO")</f>
        <v>NO</v>
      </c>
      <c r="J292" s="328" t="str">
        <f t="shared" si="28"/>
        <v/>
      </c>
      <c r="K292" s="327" t="str">
        <f>IF(VLOOKUP(B292,'Base de Datos'!$E$7:$S$303,11,0),"SI","NO")</f>
        <v>NO</v>
      </c>
      <c r="L292" s="328" t="str">
        <f t="shared" si="29"/>
        <v/>
      </c>
      <c r="M292" s="328">
        <f>VLOOKUP(B292,'Base de Datos'!$E$7:$Z$303,21,0)</f>
        <v>0.70532115022843322</v>
      </c>
      <c r="N292" s="390" t="str">
        <f t="shared" ca="1" si="33"/>
        <v/>
      </c>
      <c r="O292" s="328">
        <f ca="1">VLOOKUP(B292,'Base de Datos'!$E$7:$Z$303,22,0)</f>
        <v>1</v>
      </c>
      <c r="P292" s="389">
        <f t="shared" ca="1" si="30"/>
        <v>1166</v>
      </c>
      <c r="Q292" s="402">
        <f t="shared" ca="1" si="34"/>
        <v>9.7166666666666668</v>
      </c>
      <c r="R292" s="324" t="str">
        <f ca="1">VLOOKUP(B292,'Base de Datos'!E292:AR603,33,0)</f>
        <v>TERMINO</v>
      </c>
      <c r="S292" s="327" t="str">
        <f t="shared" ca="1" si="31"/>
        <v>NO</v>
      </c>
      <c r="T292" s="324" t="str">
        <f t="shared" ca="1" si="32"/>
        <v>Liquidar</v>
      </c>
      <c r="U292" s="324">
        <f>VLOOKUP(B292,'Base de Datos'!$E$7:$AR$401,38,0)</f>
        <v>0</v>
      </c>
    </row>
    <row r="293" spans="1:21" ht="23.25" customHeight="1" thickTop="1" thickBot="1" x14ac:dyDescent="0.3">
      <c r="A293" s="108">
        <v>287</v>
      </c>
      <c r="B293" s="324" t="str">
        <f>+'Base de Datos'!E294</f>
        <v>150192-0-2015</v>
      </c>
      <c r="C293" s="324" t="str">
        <f>+'Base de Datos'!F294</f>
        <v>INVERSIONES MATAY SAS</v>
      </c>
      <c r="D293" s="325">
        <f>+'Base de Datos'!I294</f>
        <v>379200000</v>
      </c>
      <c r="E293" s="326">
        <f>+'Base de Datos'!M294</f>
        <v>42109</v>
      </c>
      <c r="F293" s="326">
        <f>+'Base de Datos'!N294</f>
        <v>42429</v>
      </c>
      <c r="G293" s="326">
        <f>+'Base de Datos'!T294</f>
        <v>42582</v>
      </c>
      <c r="H293" s="325">
        <f>+'Base de Datos'!U294</f>
        <v>559200000</v>
      </c>
      <c r="I293" s="327" t="str">
        <f>IF(VLOOKUP(B293,'Base de Datos'!$E$7:$S$303,11,0),"SI","NO")</f>
        <v>SI</v>
      </c>
      <c r="J293" s="328">
        <f t="shared" si="28"/>
        <v>0.47812500000000002</v>
      </c>
      <c r="K293" s="327" t="str">
        <f>IF(VLOOKUP(B293,'Base de Datos'!$E$7:$S$303,11,0),"SI","NO")</f>
        <v>SI</v>
      </c>
      <c r="L293" s="328">
        <f t="shared" si="29"/>
        <v>0.47468354430379744</v>
      </c>
      <c r="M293" s="328">
        <f>VLOOKUP(B293,'Base de Datos'!$E$7:$Z$303,21,0)</f>
        <v>1</v>
      </c>
      <c r="N293" s="390" t="str">
        <f t="shared" ca="1" si="33"/>
        <v/>
      </c>
      <c r="O293" s="328">
        <f ca="1">VLOOKUP(B293,'Base de Datos'!$E$7:$Z$303,22,0)</f>
        <v>1</v>
      </c>
      <c r="P293" s="389">
        <f t="shared" ca="1" si="30"/>
        <v>1061</v>
      </c>
      <c r="Q293" s="402">
        <f t="shared" ca="1" si="34"/>
        <v>8.8416666666666668</v>
      </c>
      <c r="R293" s="324" t="str">
        <f ca="1">VLOOKUP(B293,'Base de Datos'!E293:AR604,33,0)</f>
        <v>TERMINO</v>
      </c>
      <c r="S293" s="327" t="str">
        <f t="shared" ca="1" si="31"/>
        <v>NO</v>
      </c>
      <c r="T293" s="324" t="str">
        <f t="shared" ca="1" si="32"/>
        <v>Liquidar</v>
      </c>
      <c r="U293" s="324">
        <f>VLOOKUP(B293,'Base de Datos'!$E$7:$AR$401,38,0)</f>
        <v>0</v>
      </c>
    </row>
    <row r="294" spans="1:21" ht="23.25" customHeight="1" thickTop="1" thickBot="1" x14ac:dyDescent="0.3">
      <c r="A294" s="108">
        <v>288</v>
      </c>
      <c r="B294" s="324" t="str">
        <f>+'Base de Datos'!E295</f>
        <v>150152-0-2015</v>
      </c>
      <c r="C294" s="324" t="str">
        <f>+'Base de Datos'!F295</f>
        <v>REPRESENTACIONES E INVERSIONES AGUAFILTERS J F LTDA</v>
      </c>
      <c r="D294" s="325">
        <f>+'Base de Datos'!I295</f>
        <v>3035520</v>
      </c>
      <c r="E294" s="326">
        <f>+'Base de Datos'!M295</f>
        <v>42121</v>
      </c>
      <c r="F294" s="326">
        <f>+'Base de Datos'!N295</f>
        <v>42487</v>
      </c>
      <c r="G294" s="326">
        <f>+'Base de Datos'!T295</f>
        <v>42487</v>
      </c>
      <c r="H294" s="325">
        <f>+'Base de Datos'!U295</f>
        <v>3035520</v>
      </c>
      <c r="I294" s="327" t="str">
        <f>IF(VLOOKUP(B294,'Base de Datos'!$E$7:$S$303,11,0),"SI","NO")</f>
        <v>NO</v>
      </c>
      <c r="J294" s="328" t="str">
        <f t="shared" si="28"/>
        <v/>
      </c>
      <c r="K294" s="327" t="str">
        <f>IF(VLOOKUP(B294,'Base de Datos'!$E$7:$S$303,11,0),"SI","NO")</f>
        <v>NO</v>
      </c>
      <c r="L294" s="328" t="str">
        <f t="shared" si="29"/>
        <v/>
      </c>
      <c r="M294" s="328">
        <f>VLOOKUP(B294,'Base de Datos'!$E$7:$Z$303,21,0)</f>
        <v>0.66183421621336702</v>
      </c>
      <c r="N294" s="390" t="str">
        <f t="shared" ca="1" si="33"/>
        <v/>
      </c>
      <c r="O294" s="328">
        <f ca="1">VLOOKUP(B294,'Base de Datos'!$E$7:$Z$303,22,0)</f>
        <v>1</v>
      </c>
      <c r="P294" s="389">
        <f t="shared" ca="1" si="30"/>
        <v>1156</v>
      </c>
      <c r="Q294" s="402">
        <f t="shared" ca="1" si="34"/>
        <v>9.6333333333333329</v>
      </c>
      <c r="R294" s="324" t="str">
        <f ca="1">VLOOKUP(B294,'Base de Datos'!E294:AR605,33,0)</f>
        <v>TERMINO</v>
      </c>
      <c r="S294" s="327" t="str">
        <f t="shared" ca="1" si="31"/>
        <v>NO</v>
      </c>
      <c r="T294" s="324" t="str">
        <f t="shared" ca="1" si="32"/>
        <v>Liquidar</v>
      </c>
      <c r="U294" s="324">
        <f>VLOOKUP(B294,'Base de Datos'!$E$7:$AR$401,38,0)</f>
        <v>0</v>
      </c>
    </row>
    <row r="295" spans="1:21" ht="23.25" customHeight="1" thickTop="1" thickBot="1" x14ac:dyDescent="0.3">
      <c r="A295" s="108">
        <v>289</v>
      </c>
      <c r="B295" s="324" t="str">
        <f>+'Base de Datos'!E296</f>
        <v>150168-0-2015</v>
      </c>
      <c r="C295" s="324" t="str">
        <f>+'Base de Datos'!F296</f>
        <v>MONRAK INGENIERIA LIMITADA</v>
      </c>
      <c r="D295" s="325">
        <f>+'Base de Datos'!I296</f>
        <v>4721200</v>
      </c>
      <c r="E295" s="326">
        <f>+'Base de Datos'!M296</f>
        <v>42116</v>
      </c>
      <c r="F295" s="326">
        <f>+'Base de Datos'!N296</f>
        <v>42451</v>
      </c>
      <c r="G295" s="326">
        <f>+'Base de Datos'!T296</f>
        <v>42451</v>
      </c>
      <c r="H295" s="325">
        <f>+'Base de Datos'!U296</f>
        <v>4721200</v>
      </c>
      <c r="I295" s="327" t="str">
        <f>IF(VLOOKUP(B295,'Base de Datos'!$E$7:$S$303,11,0),"SI","NO")</f>
        <v>NO</v>
      </c>
      <c r="J295" s="328" t="str">
        <f t="shared" si="28"/>
        <v/>
      </c>
      <c r="K295" s="327" t="str">
        <f>IF(VLOOKUP(B295,'Base de Datos'!$E$7:$S$303,11,0),"SI","NO")</f>
        <v>NO</v>
      </c>
      <c r="L295" s="328" t="str">
        <f t="shared" si="29"/>
        <v/>
      </c>
      <c r="M295" s="328">
        <f>VLOOKUP(B295,'Base de Datos'!$E$7:$Z$303,21,0)</f>
        <v>1</v>
      </c>
      <c r="N295" s="390" t="str">
        <f t="shared" ca="1" si="33"/>
        <v/>
      </c>
      <c r="O295" s="328">
        <f ca="1">VLOOKUP(B295,'Base de Datos'!$E$7:$Z$303,22,0)</f>
        <v>1</v>
      </c>
      <c r="P295" s="389">
        <f t="shared" ca="1" si="30"/>
        <v>1192</v>
      </c>
      <c r="Q295" s="402">
        <f t="shared" ca="1" si="34"/>
        <v>9.9333333333333336</v>
      </c>
      <c r="R295" s="324" t="str">
        <f ca="1">VLOOKUP(B295,'Base de Datos'!E295:AR606,33,0)</f>
        <v>TERMINO</v>
      </c>
      <c r="S295" s="327" t="str">
        <f t="shared" ca="1" si="31"/>
        <v>NO</v>
      </c>
      <c r="T295" s="324" t="str">
        <f t="shared" ca="1" si="32"/>
        <v>Liquidar</v>
      </c>
      <c r="U295" s="324">
        <f>VLOOKUP(B295,'Base de Datos'!$E$7:$AR$401,38,0)</f>
        <v>0</v>
      </c>
    </row>
    <row r="296" spans="1:21" ht="23.25" customHeight="1" thickTop="1" thickBot="1" x14ac:dyDescent="0.3">
      <c r="A296" s="108">
        <v>290</v>
      </c>
      <c r="B296" s="324" t="str">
        <f>+'Base de Datos'!E297</f>
        <v>150141-0-2015</v>
      </c>
      <c r="C296" s="324" t="str">
        <f>+'Base de Datos'!F297</f>
        <v>MIGUEL ANDRÉS GUTIÉRREZ ROMERO</v>
      </c>
      <c r="D296" s="325">
        <f>+'Base de Datos'!I297</f>
        <v>28000000</v>
      </c>
      <c r="E296" s="326">
        <f>+'Base de Datos'!M297</f>
        <v>42116</v>
      </c>
      <c r="F296" s="326">
        <f>+'Base de Datos'!N297</f>
        <v>42482</v>
      </c>
      <c r="G296" s="326">
        <f>+'Base de Datos'!T297</f>
        <v>42482</v>
      </c>
      <c r="H296" s="325">
        <f>+'Base de Datos'!U297</f>
        <v>28000000</v>
      </c>
      <c r="I296" s="327" t="str">
        <f>IF(VLOOKUP(B296,'Base de Datos'!$E$7:$S$303,11,0),"SI","NO")</f>
        <v>NO</v>
      </c>
      <c r="J296" s="328" t="str">
        <f t="shared" si="28"/>
        <v/>
      </c>
      <c r="K296" s="327" t="str">
        <f>IF(VLOOKUP(B296,'Base de Datos'!$E$7:$S$303,11,0),"SI","NO")</f>
        <v>NO</v>
      </c>
      <c r="L296" s="328" t="str">
        <f t="shared" si="29"/>
        <v/>
      </c>
      <c r="M296" s="328">
        <f>VLOOKUP(B296,'Base de Datos'!$E$7:$Z$303,21,0)</f>
        <v>0.9999877857142857</v>
      </c>
      <c r="N296" s="390" t="str">
        <f t="shared" ca="1" si="33"/>
        <v/>
      </c>
      <c r="O296" s="328">
        <f ca="1">VLOOKUP(B296,'Base de Datos'!$E$7:$Z$303,22,0)</f>
        <v>1</v>
      </c>
      <c r="P296" s="389">
        <f t="shared" ca="1" si="30"/>
        <v>1161</v>
      </c>
      <c r="Q296" s="402">
        <f t="shared" ca="1" si="34"/>
        <v>9.6750000000000007</v>
      </c>
      <c r="R296" s="324" t="str">
        <f ca="1">VLOOKUP(B296,'Base de Datos'!E296:AR607,33,0)</f>
        <v>TERMINO</v>
      </c>
      <c r="S296" s="327" t="str">
        <f t="shared" ca="1" si="31"/>
        <v>NO</v>
      </c>
      <c r="T296" s="324" t="str">
        <f t="shared" ca="1" si="32"/>
        <v>Liquidar</v>
      </c>
      <c r="U296" s="324">
        <f>VLOOKUP(B296,'Base de Datos'!$E$7:$AR$401,38,0)</f>
        <v>0</v>
      </c>
    </row>
    <row r="297" spans="1:21" ht="23.25" customHeight="1" thickTop="1" thickBot="1" x14ac:dyDescent="0.3">
      <c r="A297" s="108">
        <v>291</v>
      </c>
      <c r="B297" s="324" t="str">
        <f>+'Base de Datos'!E298</f>
        <v>150198-0-2015</v>
      </c>
      <c r="C297" s="324" t="str">
        <f>+'Base de Datos'!F298</f>
        <v>UNIDAD NACIONAL DE PROTECCIÓN UNP</v>
      </c>
      <c r="D297" s="325">
        <f>+'Base de Datos'!I298</f>
        <v>4174276985</v>
      </c>
      <c r="E297" s="326">
        <f>+'Base de Datos'!M298</f>
        <v>42117</v>
      </c>
      <c r="F297" s="326">
        <f>+'Base de Datos'!N298</f>
        <v>42468</v>
      </c>
      <c r="G297" s="326">
        <f>+'Base de Datos'!T298</f>
        <v>42468</v>
      </c>
      <c r="H297" s="325">
        <f>+'Base de Datos'!U298</f>
        <v>4174276985</v>
      </c>
      <c r="I297" s="327" t="str">
        <f>IF(VLOOKUP(B297,'Base de Datos'!$E$7:$S$303,11,0),"SI","NO")</f>
        <v>NO</v>
      </c>
      <c r="J297" s="328" t="str">
        <f t="shared" si="28"/>
        <v/>
      </c>
      <c r="K297" s="327" t="str">
        <f>IF(VLOOKUP(B297,'Base de Datos'!$E$7:$S$303,11,0),"SI","NO")</f>
        <v>NO</v>
      </c>
      <c r="L297" s="328" t="str">
        <f t="shared" si="29"/>
        <v/>
      </c>
      <c r="M297" s="328">
        <f>VLOOKUP(B297,'Base de Datos'!$E$7:$Z$303,21,0)</f>
        <v>0.90000000035934369</v>
      </c>
      <c r="N297" s="390" t="str">
        <f t="shared" ca="1" si="33"/>
        <v/>
      </c>
      <c r="O297" s="328">
        <f ca="1">VLOOKUP(B297,'Base de Datos'!$E$7:$Z$303,22,0)</f>
        <v>1</v>
      </c>
      <c r="P297" s="389">
        <f t="shared" ca="1" si="30"/>
        <v>1175</v>
      </c>
      <c r="Q297" s="402">
        <f t="shared" ca="1" si="34"/>
        <v>9.7916666666666661</v>
      </c>
      <c r="R297" s="324" t="str">
        <f ca="1">VLOOKUP(B297,'Base de Datos'!E297:AR608,33,0)</f>
        <v>TERMINO</v>
      </c>
      <c r="S297" s="327" t="str">
        <f t="shared" ca="1" si="31"/>
        <v>NO</v>
      </c>
      <c r="T297" s="324" t="str">
        <f t="shared" ca="1" si="32"/>
        <v>Liquidar</v>
      </c>
      <c r="U297" s="324">
        <f>VLOOKUP(B297,'Base de Datos'!$E$7:$AR$401,38,0)</f>
        <v>0</v>
      </c>
    </row>
    <row r="298" spans="1:21" ht="23.25" customHeight="1" thickTop="1" thickBot="1" x14ac:dyDescent="0.3">
      <c r="A298" s="108">
        <v>292</v>
      </c>
      <c r="B298" s="324" t="str">
        <f>+'Base de Datos'!E299</f>
        <v>150191-0-2015</v>
      </c>
      <c r="C298" s="324" t="str">
        <f>+'Base de Datos'!F299</f>
        <v>HERNANDO  BULLA ORJUELA</v>
      </c>
      <c r="D298" s="325">
        <f>+'Base de Datos'!I299</f>
        <v>27620000</v>
      </c>
      <c r="E298" s="326">
        <f>+'Base de Datos'!M299</f>
        <v>42137</v>
      </c>
      <c r="F298" s="326">
        <f>+'Base de Datos'!N299</f>
        <v>42503</v>
      </c>
      <c r="G298" s="326">
        <f>+'Base de Datos'!T299</f>
        <v>42531</v>
      </c>
      <c r="H298" s="325">
        <f>+'Base de Datos'!U299</f>
        <v>41620000</v>
      </c>
      <c r="I298" s="327" t="str">
        <f>IF(VLOOKUP(B298,'Base de Datos'!$E$7:$S$303,11,0),"SI","NO")</f>
        <v>SI</v>
      </c>
      <c r="J298" s="328">
        <f t="shared" si="28"/>
        <v>7.650273224043716E-2</v>
      </c>
      <c r="K298" s="327" t="str">
        <f>IF(VLOOKUP(B298,'Base de Datos'!$E$7:$S$303,11,0),"SI","NO")</f>
        <v>SI</v>
      </c>
      <c r="L298" s="328">
        <f t="shared" si="29"/>
        <v>0.50687907313540914</v>
      </c>
      <c r="M298" s="328">
        <f>VLOOKUP(B298,'Base de Datos'!$E$7:$Z$303,21,0)</f>
        <v>0.97246033157135991</v>
      </c>
      <c r="N298" s="390" t="str">
        <f t="shared" ca="1" si="33"/>
        <v/>
      </c>
      <c r="O298" s="328">
        <f ca="1">VLOOKUP(B298,'Base de Datos'!$E$7:$Z$303,22,0)</f>
        <v>1</v>
      </c>
      <c r="P298" s="389">
        <f t="shared" ca="1" si="30"/>
        <v>1112</v>
      </c>
      <c r="Q298" s="402">
        <f t="shared" ca="1" si="34"/>
        <v>9.2666666666666675</v>
      </c>
      <c r="R298" s="324" t="str">
        <f ca="1">VLOOKUP(B298,'Base de Datos'!E298:AR609,33,0)</f>
        <v>TERMINO</v>
      </c>
      <c r="S298" s="327" t="str">
        <f t="shared" ca="1" si="31"/>
        <v>NO</v>
      </c>
      <c r="T298" s="324" t="str">
        <f t="shared" ca="1" si="32"/>
        <v>Liquidar</v>
      </c>
      <c r="U298" s="324">
        <f>VLOOKUP(B298,'Base de Datos'!$E$7:$AR$401,38,0)</f>
        <v>0</v>
      </c>
    </row>
    <row r="299" spans="1:21" ht="23.25" customHeight="1" thickTop="1" thickBot="1" x14ac:dyDescent="0.3">
      <c r="A299" s="108">
        <v>293</v>
      </c>
      <c r="B299" s="324" t="str">
        <f>+'Base de Datos'!E300</f>
        <v>150209-0-2015</v>
      </c>
      <c r="C299" s="324" t="str">
        <f>+'Base de Datos'!F300</f>
        <v>A&amp;V EXPRESS S.A.</v>
      </c>
      <c r="D299" s="325">
        <f>+'Base de Datos'!I300</f>
        <v>33500000</v>
      </c>
      <c r="E299" s="326">
        <f>+'Base de Datos'!M300</f>
        <v>42130</v>
      </c>
      <c r="F299" s="326">
        <f>+'Base de Datos'!N300</f>
        <v>42496</v>
      </c>
      <c r="G299" s="326">
        <f>+'Base de Datos'!T300</f>
        <v>42510</v>
      </c>
      <c r="H299" s="325">
        <f>+'Base de Datos'!U300</f>
        <v>33500000</v>
      </c>
      <c r="I299" s="327" t="str">
        <f>IF(VLOOKUP(B299,'Base de Datos'!$E$7:$S$303,11,0),"SI","NO")</f>
        <v>NO</v>
      </c>
      <c r="J299" s="328" t="str">
        <f t="shared" si="28"/>
        <v/>
      </c>
      <c r="K299" s="327" t="str">
        <f>IF(VLOOKUP(B299,'Base de Datos'!$E$7:$S$303,11,0),"SI","NO")</f>
        <v>NO</v>
      </c>
      <c r="L299" s="328" t="str">
        <f t="shared" si="29"/>
        <v/>
      </c>
      <c r="M299" s="328">
        <f>VLOOKUP(B299,'Base de Datos'!$E$7:$Z$303,21,0)</f>
        <v>0.85613817910447765</v>
      </c>
      <c r="N299" s="390" t="str">
        <f t="shared" ca="1" si="33"/>
        <v/>
      </c>
      <c r="O299" s="328">
        <f ca="1">VLOOKUP(B299,'Base de Datos'!$E$7:$Z$303,22,0)</f>
        <v>1</v>
      </c>
      <c r="P299" s="389">
        <f t="shared" ca="1" si="30"/>
        <v>1133</v>
      </c>
      <c r="Q299" s="402">
        <f t="shared" ca="1" si="34"/>
        <v>9.4416666666666664</v>
      </c>
      <c r="R299" s="324" t="str">
        <f ca="1">VLOOKUP(B299,'Base de Datos'!E299:AR610,33,0)</f>
        <v>TERMINO</v>
      </c>
      <c r="S299" s="327" t="str">
        <f t="shared" ca="1" si="31"/>
        <v>NO</v>
      </c>
      <c r="T299" s="324" t="str">
        <f t="shared" ca="1" si="32"/>
        <v>Liquidar</v>
      </c>
      <c r="U299" s="324">
        <f>VLOOKUP(B299,'Base de Datos'!$E$7:$AR$401,38,0)</f>
        <v>0</v>
      </c>
    </row>
    <row r="300" spans="1:21" ht="23.25" customHeight="1" thickTop="1" thickBot="1" x14ac:dyDescent="0.3">
      <c r="A300" s="108">
        <v>294</v>
      </c>
      <c r="B300" s="324" t="str">
        <f>+'Base de Datos'!E301</f>
        <v>150200-0-2015</v>
      </c>
      <c r="C300" s="324" t="str">
        <f>+'Base de Datos'!F301</f>
        <v>INGELECTRO SAS</v>
      </c>
      <c r="D300" s="325">
        <f>+'Base de Datos'!I301</f>
        <v>12975945</v>
      </c>
      <c r="E300" s="326">
        <f>+'Base de Datos'!M301</f>
        <v>42135</v>
      </c>
      <c r="F300" s="326">
        <f>+'Base de Datos'!N301</f>
        <v>42258</v>
      </c>
      <c r="G300" s="326">
        <f>+'Base de Datos'!T301</f>
        <v>42258</v>
      </c>
      <c r="H300" s="325">
        <f>+'Base de Datos'!U301</f>
        <v>12975945</v>
      </c>
      <c r="I300" s="327" t="str">
        <f>IF(VLOOKUP(B300,'Base de Datos'!$E$7:$S$303,11,0),"SI","NO")</f>
        <v>NO</v>
      </c>
      <c r="J300" s="328" t="str">
        <f t="shared" si="28"/>
        <v/>
      </c>
      <c r="K300" s="327" t="str">
        <f>IF(VLOOKUP(B300,'Base de Datos'!$E$7:$S$303,11,0),"SI","NO")</f>
        <v>NO</v>
      </c>
      <c r="L300" s="328" t="str">
        <f t="shared" si="29"/>
        <v/>
      </c>
      <c r="M300" s="328">
        <f>VLOOKUP(B300,'Base de Datos'!$E$7:$Z$303,21,0)</f>
        <v>1</v>
      </c>
      <c r="N300" s="390" t="str">
        <f t="shared" ca="1" si="33"/>
        <v/>
      </c>
      <c r="O300" s="328">
        <f ca="1">VLOOKUP(B300,'Base de Datos'!$E$7:$Z$303,22,0)</f>
        <v>1</v>
      </c>
      <c r="P300" s="389">
        <f t="shared" ca="1" si="30"/>
        <v>1385</v>
      </c>
      <c r="Q300" s="402">
        <f t="shared" ca="1" si="34"/>
        <v>11.541666666666666</v>
      </c>
      <c r="R300" s="324" t="str">
        <f ca="1">VLOOKUP(B300,'Base de Datos'!E300:AR611,33,0)</f>
        <v>TERMINO</v>
      </c>
      <c r="S300" s="327" t="str">
        <f t="shared" ca="1" si="31"/>
        <v>NO</v>
      </c>
      <c r="T300" s="324" t="str">
        <f t="shared" ca="1" si="32"/>
        <v>Liquidar</v>
      </c>
      <c r="U300" s="324">
        <f>VLOOKUP(B300,'Base de Datos'!$E$7:$AR$401,38,0)</f>
        <v>0</v>
      </c>
    </row>
    <row r="301" spans="1:21" ht="23.25" customHeight="1" thickTop="1" thickBot="1" x14ac:dyDescent="0.3">
      <c r="A301" s="108">
        <v>295</v>
      </c>
      <c r="B301" s="324" t="str">
        <f>+'Base de Datos'!E302</f>
        <v>150193-0-2015</v>
      </c>
      <c r="C301" s="324" t="str">
        <f>+'Base de Datos'!F302</f>
        <v>SOMOS LA OPTIMIZACION EMPRESARIAL A SU SERVICIO- SOPT SAS</v>
      </c>
      <c r="D301" s="325">
        <f>+'Base de Datos'!I302</f>
        <v>11000000</v>
      </c>
      <c r="E301" s="326">
        <f>+'Base de Datos'!M302</f>
        <v>42135</v>
      </c>
      <c r="F301" s="326">
        <f>+'Base de Datos'!N302</f>
        <v>42501</v>
      </c>
      <c r="G301" s="326">
        <f>+'Base de Datos'!T302</f>
        <v>42532</v>
      </c>
      <c r="H301" s="325">
        <f>+'Base de Datos'!U302</f>
        <v>11000000</v>
      </c>
      <c r="I301" s="327" t="str">
        <f>IF(VLOOKUP(B301,'Base de Datos'!$E$7:$S$303,11,0),"SI","NO")</f>
        <v>NO</v>
      </c>
      <c r="J301" s="328" t="str">
        <f t="shared" si="28"/>
        <v/>
      </c>
      <c r="K301" s="327" t="str">
        <f>IF(VLOOKUP(B301,'Base de Datos'!$E$7:$S$303,11,0),"SI","NO")</f>
        <v>NO</v>
      </c>
      <c r="L301" s="328" t="str">
        <f t="shared" si="29"/>
        <v/>
      </c>
      <c r="M301" s="328">
        <f>VLOOKUP(B301,'Base de Datos'!$E$7:$Z$303,21,0)</f>
        <v>0.68055218181818178</v>
      </c>
      <c r="N301" s="390" t="str">
        <f t="shared" ca="1" si="33"/>
        <v/>
      </c>
      <c r="O301" s="328">
        <f ca="1">VLOOKUP(B301,'Base de Datos'!$E$7:$Z$303,22,0)</f>
        <v>1</v>
      </c>
      <c r="P301" s="389">
        <f t="shared" ca="1" si="30"/>
        <v>1111</v>
      </c>
      <c r="Q301" s="402">
        <f t="shared" ca="1" si="34"/>
        <v>9.2583333333333329</v>
      </c>
      <c r="R301" s="324" t="str">
        <f ca="1">VLOOKUP(B301,'Base de Datos'!E301:AR612,33,0)</f>
        <v>TERMINO</v>
      </c>
      <c r="S301" s="327" t="str">
        <f t="shared" ca="1" si="31"/>
        <v>NO</v>
      </c>
      <c r="T301" s="324" t="str">
        <f t="shared" ca="1" si="32"/>
        <v>Liquidar</v>
      </c>
      <c r="U301" s="324">
        <f>VLOOKUP(B301,'Base de Datos'!$E$7:$AR$401,38,0)</f>
        <v>0</v>
      </c>
    </row>
    <row r="302" spans="1:21" ht="23.25" customHeight="1" thickTop="1" thickBot="1" x14ac:dyDescent="0.3">
      <c r="A302" s="108">
        <v>296</v>
      </c>
      <c r="B302" s="324" t="str">
        <f>+'Base de Datos'!E303</f>
        <v>150189-0-2015</v>
      </c>
      <c r="C302" s="324" t="str">
        <f>+'Base de Datos'!F303</f>
        <v>UNIPLES S.A.</v>
      </c>
      <c r="D302" s="325">
        <f>+'Base de Datos'!I303</f>
        <v>10514762</v>
      </c>
      <c r="E302" s="326">
        <f>+'Base de Datos'!M303</f>
        <v>42117</v>
      </c>
      <c r="F302" s="326">
        <f>+'Base de Datos'!N303</f>
        <v>42147</v>
      </c>
      <c r="G302" s="326">
        <f>+'Base de Datos'!T303</f>
        <v>42147</v>
      </c>
      <c r="H302" s="325">
        <f>+'Base de Datos'!U303</f>
        <v>10514762</v>
      </c>
      <c r="I302" s="327" t="str">
        <f>IF(VLOOKUP(B302,'Base de Datos'!$E$7:$S$303,11,0),"SI","NO")</f>
        <v>NO</v>
      </c>
      <c r="J302" s="328" t="str">
        <f t="shared" si="28"/>
        <v/>
      </c>
      <c r="K302" s="327" t="str">
        <f>IF(VLOOKUP(B302,'Base de Datos'!$E$7:$S$303,11,0),"SI","NO")</f>
        <v>NO</v>
      </c>
      <c r="L302" s="328" t="str">
        <f t="shared" si="29"/>
        <v/>
      </c>
      <c r="M302" s="328">
        <f>VLOOKUP(B302,'Base de Datos'!$E$7:$Z$303,21,0)</f>
        <v>1</v>
      </c>
      <c r="N302" s="390" t="str">
        <f t="shared" ca="1" si="33"/>
        <v/>
      </c>
      <c r="O302" s="328">
        <f ca="1">VLOOKUP(B302,'Base de Datos'!$E$7:$Z$303,22,0)</f>
        <v>1</v>
      </c>
      <c r="P302" s="389">
        <f t="shared" ca="1" si="30"/>
        <v>1496</v>
      </c>
      <c r="Q302" s="402">
        <f t="shared" ca="1" si="34"/>
        <v>12.466666666666667</v>
      </c>
      <c r="R302" s="324" t="str">
        <f ca="1">VLOOKUP(B302,'Base de Datos'!E302:AR613,33,0)</f>
        <v>TERMINO</v>
      </c>
      <c r="S302" s="327" t="str">
        <f t="shared" ca="1" si="31"/>
        <v>NO</v>
      </c>
      <c r="T302" s="324" t="str">
        <f t="shared" ca="1" si="32"/>
        <v>Liquidar</v>
      </c>
      <c r="U302" s="324">
        <f>VLOOKUP(B302,'Base de Datos'!$E$7:$AR$401,38,0)</f>
        <v>0</v>
      </c>
    </row>
    <row r="303" spans="1:21" ht="23.25" customHeight="1" thickTop="1" thickBot="1" x14ac:dyDescent="0.3">
      <c r="A303" s="108">
        <v>297</v>
      </c>
      <c r="B303" s="324" t="str">
        <f>+'Base de Datos'!E304</f>
        <v>150215-0-2015</v>
      </c>
      <c r="C303" s="324" t="str">
        <f>+'Base de Datos'!F304</f>
        <v>MODULARES OFIMA LTDA</v>
      </c>
      <c r="D303" s="325">
        <f>+'Base de Datos'!I304</f>
        <v>5874000</v>
      </c>
      <c r="E303" s="326">
        <f>+'Base de Datos'!M304</f>
        <v>42149</v>
      </c>
      <c r="F303" s="326">
        <f>+'Base de Datos'!N304</f>
        <v>42515</v>
      </c>
      <c r="G303" s="326">
        <f>+'Base de Datos'!T304</f>
        <v>42515</v>
      </c>
      <c r="H303" s="325">
        <f>+'Base de Datos'!U304</f>
        <v>5874000</v>
      </c>
      <c r="I303" s="327" t="e">
        <f>IF(VLOOKUP(B303,'Base de Datos'!$E$7:$S$303,11,0),"SI","NO")</f>
        <v>#N/A</v>
      </c>
      <c r="J303" s="328" t="e">
        <f t="shared" si="28"/>
        <v>#N/A</v>
      </c>
      <c r="K303" s="327" t="e">
        <f>IF(VLOOKUP(B303,'Base de Datos'!$E$7:$S$303,11,0),"SI","NO")</f>
        <v>#N/A</v>
      </c>
      <c r="L303" s="328" t="e">
        <f t="shared" si="29"/>
        <v>#N/A</v>
      </c>
      <c r="M303" s="328" t="e">
        <f>VLOOKUP(B303,'Base de Datos'!$E$7:$Z$303,21,0)</f>
        <v>#N/A</v>
      </c>
      <c r="N303" s="390" t="str">
        <f t="shared" ca="1" si="33"/>
        <v/>
      </c>
      <c r="O303" s="328" t="e">
        <f>VLOOKUP(B303,'Base de Datos'!$E$7:$Z$303,22,0)</f>
        <v>#N/A</v>
      </c>
      <c r="P303" s="389">
        <f t="shared" ca="1" si="30"/>
        <v>1128</v>
      </c>
      <c r="Q303" s="402">
        <f t="shared" ca="1" si="34"/>
        <v>9.4</v>
      </c>
      <c r="R303" s="324" t="str">
        <f ca="1">VLOOKUP(B303,'Base de Datos'!E303:AR614,33,0)</f>
        <v>TERMINO</v>
      </c>
      <c r="S303" s="327" t="str">
        <f t="shared" ca="1" si="31"/>
        <v>NO</v>
      </c>
      <c r="T303" s="324" t="e">
        <f t="shared" ca="1" si="32"/>
        <v>#N/A</v>
      </c>
      <c r="U303" s="324">
        <f>VLOOKUP(B303,'Base de Datos'!$E$7:$AR$401,38,0)</f>
        <v>0</v>
      </c>
    </row>
    <row r="304" spans="1:21" ht="23.25" customHeight="1" thickTop="1" thickBot="1" x14ac:dyDescent="0.3">
      <c r="A304" s="108">
        <v>298</v>
      </c>
      <c r="B304" s="324" t="str">
        <f>+'Base de Datos'!E305</f>
        <v>150219-0-2015</v>
      </c>
      <c r="C304" s="324" t="str">
        <f>+'Base de Datos'!F305</f>
        <v>MITSUBISHI ELECTRIC DE COLOMBIA LTDA</v>
      </c>
      <c r="D304" s="325">
        <f>+'Base de Datos'!I305</f>
        <v>14210000</v>
      </c>
      <c r="E304" s="326">
        <f>+'Base de Datos'!M305</f>
        <v>42149</v>
      </c>
      <c r="F304" s="326">
        <f>+'Base de Datos'!N305</f>
        <v>42454</v>
      </c>
      <c r="G304" s="326">
        <f>+'Base de Datos'!T305</f>
        <v>42454</v>
      </c>
      <c r="H304" s="325">
        <f>+'Base de Datos'!U305</f>
        <v>18836508</v>
      </c>
      <c r="I304" s="327" t="e">
        <f>IF(VLOOKUP(B304,'Base de Datos'!$E$7:$S$303,11,0),"SI","NO")</f>
        <v>#N/A</v>
      </c>
      <c r="J304" s="328" t="e">
        <f t="shared" si="28"/>
        <v>#N/A</v>
      </c>
      <c r="K304" s="327" t="e">
        <f>IF(VLOOKUP(B304,'Base de Datos'!$E$7:$S$303,11,0),"SI","NO")</f>
        <v>#N/A</v>
      </c>
      <c r="L304" s="328" t="e">
        <f t="shared" si="29"/>
        <v>#N/A</v>
      </c>
      <c r="M304" s="328" t="e">
        <f>VLOOKUP(B304,'Base de Datos'!$E$7:$Z$303,21,0)</f>
        <v>#N/A</v>
      </c>
      <c r="N304" s="390" t="str">
        <f t="shared" ca="1" si="33"/>
        <v/>
      </c>
      <c r="O304" s="328" t="e">
        <f>VLOOKUP(B304,'Base de Datos'!$E$7:$Z$303,22,0)</f>
        <v>#N/A</v>
      </c>
      <c r="P304" s="389">
        <f t="shared" ca="1" si="30"/>
        <v>1189</v>
      </c>
      <c r="Q304" s="402">
        <f t="shared" ca="1" si="34"/>
        <v>9.9083333333333332</v>
      </c>
      <c r="R304" s="324" t="str">
        <f ca="1">VLOOKUP(B304,'Base de Datos'!E304:AR615,33,0)</f>
        <v>TERMINO</v>
      </c>
      <c r="S304" s="327" t="str">
        <f t="shared" ca="1" si="31"/>
        <v>NO</v>
      </c>
      <c r="T304" s="324" t="e">
        <f t="shared" ca="1" si="32"/>
        <v>#N/A</v>
      </c>
      <c r="U304" s="324">
        <f>VLOOKUP(B304,'Base de Datos'!$E$7:$AR$401,38,0)</f>
        <v>0</v>
      </c>
    </row>
    <row r="305" spans="1:21" ht="23.25" customHeight="1" thickTop="1" thickBot="1" x14ac:dyDescent="0.3">
      <c r="A305" s="108">
        <v>299</v>
      </c>
      <c r="B305" s="324" t="str">
        <f>+'Base de Datos'!E306</f>
        <v>150221-0-2015</v>
      </c>
      <c r="C305" s="324" t="str">
        <f>+'Base de Datos'!F306</f>
        <v>SGS COLOMBIA S.A.</v>
      </c>
      <c r="D305" s="325">
        <f>+'Base de Datos'!I306</f>
        <v>7714000</v>
      </c>
      <c r="E305" s="326">
        <f>+'Base de Datos'!M306</f>
        <v>42144</v>
      </c>
      <c r="F305" s="326">
        <f>+'Base de Datos'!N306</f>
        <v>42236</v>
      </c>
      <c r="G305" s="326">
        <f>+'Base de Datos'!T306</f>
        <v>42236</v>
      </c>
      <c r="H305" s="325">
        <f>+'Base de Datos'!U306</f>
        <v>7714000</v>
      </c>
      <c r="I305" s="327" t="e">
        <f>IF(VLOOKUP(B305,'Base de Datos'!$E$7:$S$303,11,0),"SI","NO")</f>
        <v>#N/A</v>
      </c>
      <c r="J305" s="328" t="e">
        <f t="shared" si="28"/>
        <v>#N/A</v>
      </c>
      <c r="K305" s="327" t="e">
        <f>IF(VLOOKUP(B305,'Base de Datos'!$E$7:$S$303,11,0),"SI","NO")</f>
        <v>#N/A</v>
      </c>
      <c r="L305" s="328" t="e">
        <f t="shared" si="29"/>
        <v>#N/A</v>
      </c>
      <c r="M305" s="328" t="e">
        <f>VLOOKUP(B305,'Base de Datos'!$E$7:$Z$303,21,0)</f>
        <v>#N/A</v>
      </c>
      <c r="N305" s="390" t="str">
        <f t="shared" ca="1" si="33"/>
        <v/>
      </c>
      <c r="O305" s="328" t="e">
        <f>VLOOKUP(B305,'Base de Datos'!$E$7:$Z$303,22,0)</f>
        <v>#N/A</v>
      </c>
      <c r="P305" s="389">
        <f t="shared" ca="1" si="30"/>
        <v>1407</v>
      </c>
      <c r="Q305" s="402">
        <f t="shared" ca="1" si="34"/>
        <v>11.725</v>
      </c>
      <c r="R305" s="324" t="str">
        <f ca="1">VLOOKUP(B305,'Base de Datos'!E305:AR616,33,0)</f>
        <v>TERMINO</v>
      </c>
      <c r="S305" s="327" t="str">
        <f t="shared" ca="1" si="31"/>
        <v>NO</v>
      </c>
      <c r="T305" s="324" t="e">
        <f t="shared" ca="1" si="32"/>
        <v>#N/A</v>
      </c>
      <c r="U305" s="324">
        <f>VLOOKUP(B305,'Base de Datos'!$E$7:$AR$401,38,0)</f>
        <v>0</v>
      </c>
    </row>
    <row r="306" spans="1:21" ht="23.25" customHeight="1" thickTop="1" thickBot="1" x14ac:dyDescent="0.3">
      <c r="A306" s="108">
        <v>300</v>
      </c>
      <c r="B306" s="324" t="str">
        <f>+'Base de Datos'!E307</f>
        <v>150211-0-2015</v>
      </c>
      <c r="C306" s="324" t="str">
        <f>+'Base de Datos'!F307</f>
        <v>SEAN ELECTRONICA LIMITADA</v>
      </c>
      <c r="D306" s="325">
        <f>+'Base de Datos'!I307</f>
        <v>60000000</v>
      </c>
      <c r="E306" s="326">
        <f>+'Base de Datos'!M307</f>
        <v>42156</v>
      </c>
      <c r="F306" s="326">
        <f>+'Base de Datos'!N307</f>
        <v>42522</v>
      </c>
      <c r="G306" s="326">
        <f>+'Base de Datos'!T307</f>
        <v>42644</v>
      </c>
      <c r="H306" s="325">
        <f>+'Base de Datos'!U307</f>
        <v>68000000</v>
      </c>
      <c r="I306" s="327" t="e">
        <f>IF(VLOOKUP(B306,'Base de Datos'!$E$7:$S$303,11,0),"SI","NO")</f>
        <v>#N/A</v>
      </c>
      <c r="J306" s="328" t="e">
        <f t="shared" si="28"/>
        <v>#N/A</v>
      </c>
      <c r="K306" s="327" t="e">
        <f>IF(VLOOKUP(B306,'Base de Datos'!$E$7:$S$303,11,0),"SI","NO")</f>
        <v>#N/A</v>
      </c>
      <c r="L306" s="328" t="e">
        <f t="shared" si="29"/>
        <v>#N/A</v>
      </c>
      <c r="M306" s="328" t="e">
        <f>VLOOKUP(B306,'Base de Datos'!$E$7:$Z$303,21,0)</f>
        <v>#N/A</v>
      </c>
      <c r="N306" s="390" t="str">
        <f t="shared" ca="1" si="33"/>
        <v/>
      </c>
      <c r="O306" s="328" t="e">
        <f>VLOOKUP(B306,'Base de Datos'!$E$7:$Z$303,22,0)</f>
        <v>#N/A</v>
      </c>
      <c r="P306" s="389">
        <f t="shared" ca="1" si="30"/>
        <v>999</v>
      </c>
      <c r="Q306" s="402">
        <f t="shared" ca="1" si="34"/>
        <v>8.3249999999999993</v>
      </c>
      <c r="R306" s="324" t="str">
        <f ca="1">VLOOKUP(B306,'Base de Datos'!E306:AR617,33,0)</f>
        <v>TERMINO</v>
      </c>
      <c r="S306" s="327" t="str">
        <f t="shared" ca="1" si="31"/>
        <v>NO</v>
      </c>
      <c r="T306" s="324" t="e">
        <f t="shared" ca="1" si="32"/>
        <v>#N/A</v>
      </c>
      <c r="U306" s="324">
        <f>VLOOKUP(B306,'Base de Datos'!$E$7:$AR$401,38,0)</f>
        <v>0</v>
      </c>
    </row>
    <row r="307" spans="1:21" ht="23.25" customHeight="1" thickTop="1" thickBot="1" x14ac:dyDescent="0.3">
      <c r="A307" s="108">
        <v>301</v>
      </c>
      <c r="B307" s="324" t="str">
        <f>+'Base de Datos'!E308</f>
        <v>150223-0-2015</v>
      </c>
      <c r="C307" s="324" t="str">
        <f>+'Base de Datos'!F308</f>
        <v>SECURITYCOM SAS</v>
      </c>
      <c r="D307" s="325">
        <f>+'Base de Datos'!I308</f>
        <v>2000000</v>
      </c>
      <c r="E307" s="326">
        <f>+'Base de Datos'!M308</f>
        <v>42150</v>
      </c>
      <c r="F307" s="326">
        <f>+'Base de Datos'!N308</f>
        <v>42455</v>
      </c>
      <c r="G307" s="326">
        <f>+'Base de Datos'!T308</f>
        <v>42455</v>
      </c>
      <c r="H307" s="325">
        <f>+'Base de Datos'!U308</f>
        <v>2000000</v>
      </c>
      <c r="I307" s="327" t="e">
        <f>IF(VLOOKUP(B307,'Base de Datos'!$E$7:$S$303,11,0),"SI","NO")</f>
        <v>#N/A</v>
      </c>
      <c r="J307" s="328" t="e">
        <f t="shared" si="28"/>
        <v>#N/A</v>
      </c>
      <c r="K307" s="327" t="e">
        <f>IF(VLOOKUP(B307,'Base de Datos'!$E$7:$S$303,11,0),"SI","NO")</f>
        <v>#N/A</v>
      </c>
      <c r="L307" s="328" t="e">
        <f t="shared" si="29"/>
        <v>#N/A</v>
      </c>
      <c r="M307" s="328" t="e">
        <f>VLOOKUP(B307,'Base de Datos'!$E$7:$Z$303,21,0)</f>
        <v>#N/A</v>
      </c>
      <c r="N307" s="390" t="str">
        <f t="shared" ca="1" si="33"/>
        <v/>
      </c>
      <c r="O307" s="328" t="e">
        <f>VLOOKUP(B307,'Base de Datos'!$E$7:$Z$303,22,0)</f>
        <v>#N/A</v>
      </c>
      <c r="P307" s="389">
        <f t="shared" ca="1" si="30"/>
        <v>1188</v>
      </c>
      <c r="Q307" s="402">
        <f t="shared" ca="1" si="34"/>
        <v>9.9</v>
      </c>
      <c r="R307" s="324" t="str">
        <f ca="1">VLOOKUP(B307,'Base de Datos'!E307:AR618,33,0)</f>
        <v>TERMINO</v>
      </c>
      <c r="S307" s="327" t="str">
        <f t="shared" ca="1" si="31"/>
        <v>NO</v>
      </c>
      <c r="T307" s="324" t="e">
        <f t="shared" ca="1" si="32"/>
        <v>#N/A</v>
      </c>
      <c r="U307" s="324">
        <f>VLOOKUP(B307,'Base de Datos'!$E$7:$AR$401,38,0)</f>
        <v>0</v>
      </c>
    </row>
    <row r="308" spans="1:21" ht="23.25" customHeight="1" thickTop="1" thickBot="1" x14ac:dyDescent="0.3">
      <c r="A308" s="108">
        <v>302</v>
      </c>
      <c r="B308" s="324" t="str">
        <f>+'Base de Datos'!E309</f>
        <v>150226-0-2015</v>
      </c>
      <c r="C308" s="324" t="str">
        <f>+'Base de Datos'!F309</f>
        <v>COOPERATIVA DE VIGILANTES STARCOOP CTA</v>
      </c>
      <c r="D308" s="325">
        <f>+'Base de Datos'!I309</f>
        <v>566000000</v>
      </c>
      <c r="E308" s="326">
        <f>+'Base de Datos'!M309</f>
        <v>42141</v>
      </c>
      <c r="F308" s="326">
        <f>+'Base de Datos'!N309</f>
        <v>42507</v>
      </c>
      <c r="G308" s="326">
        <f>+'Base de Datos'!T309</f>
        <v>42582</v>
      </c>
      <c r="H308" s="325">
        <f>+'Base de Datos'!U309</f>
        <v>566000000</v>
      </c>
      <c r="I308" s="327" t="e">
        <f>IF(VLOOKUP(B308,'Base de Datos'!$E$7:$S$303,11,0),"SI","NO")</f>
        <v>#N/A</v>
      </c>
      <c r="J308" s="328" t="e">
        <f t="shared" si="28"/>
        <v>#N/A</v>
      </c>
      <c r="K308" s="327" t="e">
        <f>IF(VLOOKUP(B308,'Base de Datos'!$E$7:$S$303,11,0),"SI","NO")</f>
        <v>#N/A</v>
      </c>
      <c r="L308" s="328" t="e">
        <f t="shared" si="29"/>
        <v>#N/A</v>
      </c>
      <c r="M308" s="328" t="e">
        <f>VLOOKUP(B308,'Base de Datos'!$E$7:$Z$303,21,0)</f>
        <v>#N/A</v>
      </c>
      <c r="N308" s="390" t="str">
        <f t="shared" ca="1" si="33"/>
        <v/>
      </c>
      <c r="O308" s="328" t="e">
        <f>VLOOKUP(B308,'Base de Datos'!$E$7:$Z$303,22,0)</f>
        <v>#N/A</v>
      </c>
      <c r="P308" s="389">
        <f t="shared" ca="1" si="30"/>
        <v>1061</v>
      </c>
      <c r="Q308" s="402">
        <f t="shared" ca="1" si="34"/>
        <v>8.8416666666666668</v>
      </c>
      <c r="R308" s="324" t="str">
        <f ca="1">VLOOKUP(B308,'Base de Datos'!E308:AR619,33,0)</f>
        <v>TERMINO</v>
      </c>
      <c r="S308" s="327" t="str">
        <f t="shared" ca="1" si="31"/>
        <v>NO</v>
      </c>
      <c r="T308" s="324" t="e">
        <f t="shared" ca="1" si="32"/>
        <v>#N/A</v>
      </c>
      <c r="U308" s="324">
        <f>VLOOKUP(B308,'Base de Datos'!$E$7:$AR$401,38,0)</f>
        <v>0</v>
      </c>
    </row>
    <row r="309" spans="1:21" ht="23.25" customHeight="1" thickTop="1" thickBot="1" x14ac:dyDescent="0.3">
      <c r="A309" s="108">
        <v>303</v>
      </c>
      <c r="B309" s="324" t="str">
        <f>+'Base de Datos'!E310</f>
        <v>150214-0-2015</v>
      </c>
      <c r="C309" s="324" t="str">
        <f>+'Base de Datos'!F310</f>
        <v>CARLOS FERNANDO IBARRA VALLEJO</v>
      </c>
      <c r="D309" s="325">
        <f>+'Base de Datos'!I310</f>
        <v>18000000</v>
      </c>
      <c r="E309" s="326">
        <f>+'Base de Datos'!M310</f>
        <v>42137</v>
      </c>
      <c r="F309" s="326">
        <f>+'Base de Datos'!N310</f>
        <v>42413</v>
      </c>
      <c r="G309" s="326">
        <f>+'Base de Datos'!T310</f>
        <v>42413</v>
      </c>
      <c r="H309" s="325">
        <f>+'Base de Datos'!U310</f>
        <v>18000000</v>
      </c>
      <c r="I309" s="327" t="e">
        <f>IF(VLOOKUP(B309,'Base de Datos'!$E$7:$S$303,11,0),"SI","NO")</f>
        <v>#N/A</v>
      </c>
      <c r="J309" s="328" t="e">
        <f t="shared" si="28"/>
        <v>#N/A</v>
      </c>
      <c r="K309" s="327" t="e">
        <f>IF(VLOOKUP(B309,'Base de Datos'!$E$7:$S$303,11,0),"SI","NO")</f>
        <v>#N/A</v>
      </c>
      <c r="L309" s="328" t="e">
        <f t="shared" si="29"/>
        <v>#N/A</v>
      </c>
      <c r="M309" s="328" t="e">
        <f>VLOOKUP(B309,'Base de Datos'!$E$7:$Z$303,21,0)</f>
        <v>#N/A</v>
      </c>
      <c r="N309" s="390" t="str">
        <f t="shared" ca="1" si="33"/>
        <v/>
      </c>
      <c r="O309" s="328" t="e">
        <f>VLOOKUP(B309,'Base de Datos'!$E$7:$Z$303,22,0)</f>
        <v>#N/A</v>
      </c>
      <c r="P309" s="389">
        <f t="shared" ca="1" si="30"/>
        <v>1230</v>
      </c>
      <c r="Q309" s="402">
        <f t="shared" ca="1" si="34"/>
        <v>10.25</v>
      </c>
      <c r="R309" s="324" t="str">
        <f ca="1">VLOOKUP(B309,'Base de Datos'!E309:AR620,33,0)</f>
        <v>TERMINO</v>
      </c>
      <c r="S309" s="327" t="str">
        <f t="shared" ca="1" si="31"/>
        <v>NO</v>
      </c>
      <c r="T309" s="324" t="e">
        <f t="shared" ca="1" si="32"/>
        <v>#N/A</v>
      </c>
      <c r="U309" s="324">
        <f>VLOOKUP(B309,'Base de Datos'!$E$7:$AR$401,38,0)</f>
        <v>0</v>
      </c>
    </row>
    <row r="310" spans="1:21" ht="23.25" customHeight="1" thickTop="1" thickBot="1" x14ac:dyDescent="0.3">
      <c r="A310" s="108">
        <v>304</v>
      </c>
      <c r="B310" s="324" t="str">
        <f>+'Base de Datos'!E311</f>
        <v>150225-0-2015</v>
      </c>
      <c r="C310" s="324" t="str">
        <f>+'Base de Datos'!F311</f>
        <v>CANAL REGIONAL DE TELEVISION TEVEANDINA LTDA - TEVEANDINA LTDA</v>
      </c>
      <c r="D310" s="325">
        <f>+'Base de Datos'!I311</f>
        <v>1291938453</v>
      </c>
      <c r="E310" s="326">
        <f>+'Base de Datos'!M311</f>
        <v>42139</v>
      </c>
      <c r="F310" s="326">
        <f>+'Base de Datos'!N311</f>
        <v>42421</v>
      </c>
      <c r="G310" s="326">
        <f>+'Base de Datos'!T311</f>
        <v>42450</v>
      </c>
      <c r="H310" s="325">
        <f>+'Base de Datos'!U311</f>
        <v>1433352777</v>
      </c>
      <c r="I310" s="327" t="e">
        <f>IF(VLOOKUP(B310,'Base de Datos'!$E$7:$S$303,11,0),"SI","NO")</f>
        <v>#N/A</v>
      </c>
      <c r="J310" s="328" t="e">
        <f t="shared" si="28"/>
        <v>#N/A</v>
      </c>
      <c r="K310" s="327" t="e">
        <f>IF(VLOOKUP(B310,'Base de Datos'!$E$7:$S$303,11,0),"SI","NO")</f>
        <v>#N/A</v>
      </c>
      <c r="L310" s="328" t="e">
        <f t="shared" si="29"/>
        <v>#N/A</v>
      </c>
      <c r="M310" s="328" t="e">
        <f>VLOOKUP(B310,'Base de Datos'!$E$7:$Z$303,21,0)</f>
        <v>#N/A</v>
      </c>
      <c r="N310" s="390" t="str">
        <f t="shared" ca="1" si="33"/>
        <v/>
      </c>
      <c r="O310" s="328" t="e">
        <f>VLOOKUP(B310,'Base de Datos'!$E$7:$Z$303,22,0)</f>
        <v>#N/A</v>
      </c>
      <c r="P310" s="389">
        <f t="shared" ca="1" si="30"/>
        <v>1193</v>
      </c>
      <c r="Q310" s="402">
        <f t="shared" ca="1" si="34"/>
        <v>9.9416666666666664</v>
      </c>
      <c r="R310" s="324" t="str">
        <f ca="1">VLOOKUP(B310,'Base de Datos'!E310:AR621,33,0)</f>
        <v>TERMINO</v>
      </c>
      <c r="S310" s="327" t="str">
        <f t="shared" ca="1" si="31"/>
        <v>NO</v>
      </c>
      <c r="T310" s="324" t="e">
        <f t="shared" ca="1" si="32"/>
        <v>#N/A</v>
      </c>
      <c r="U310" s="324">
        <f>VLOOKUP(B310,'Base de Datos'!$E$7:$AR$401,38,0)</f>
        <v>0</v>
      </c>
    </row>
    <row r="311" spans="1:21" ht="23.25" customHeight="1" thickTop="1" thickBot="1" x14ac:dyDescent="0.3">
      <c r="A311" s="108">
        <v>305</v>
      </c>
      <c r="B311" s="324" t="str">
        <f>+'Base de Datos'!E312</f>
        <v>150228-0-2015</v>
      </c>
      <c r="C311" s="324" t="str">
        <f>+'Base de Datos'!F312</f>
        <v xml:space="preserve">REVISTA EL CONGRESO SIGLO XXI </v>
      </c>
      <c r="D311" s="325">
        <f>+'Base de Datos'!I312</f>
        <v>7800000</v>
      </c>
      <c r="E311" s="326">
        <f>+'Base de Datos'!M312</f>
        <v>42145</v>
      </c>
      <c r="F311" s="326">
        <f>+'Base de Datos'!N312</f>
        <v>42511</v>
      </c>
      <c r="G311" s="326">
        <f>+'Base de Datos'!T312</f>
        <v>42511</v>
      </c>
      <c r="H311" s="325">
        <f>+'Base de Datos'!U312</f>
        <v>7800000</v>
      </c>
      <c r="I311" s="327" t="e">
        <f>IF(VLOOKUP(B311,'Base de Datos'!$E$7:$S$303,11,0),"SI","NO")</f>
        <v>#N/A</v>
      </c>
      <c r="J311" s="328" t="e">
        <f t="shared" si="28"/>
        <v>#N/A</v>
      </c>
      <c r="K311" s="327" t="e">
        <f>IF(VLOOKUP(B311,'Base de Datos'!$E$7:$S$303,11,0),"SI","NO")</f>
        <v>#N/A</v>
      </c>
      <c r="L311" s="328" t="e">
        <f t="shared" si="29"/>
        <v>#N/A</v>
      </c>
      <c r="M311" s="328" t="e">
        <f>VLOOKUP(B311,'Base de Datos'!$E$7:$Z$303,21,0)</f>
        <v>#N/A</v>
      </c>
      <c r="N311" s="390" t="str">
        <f t="shared" ca="1" si="33"/>
        <v/>
      </c>
      <c r="O311" s="328" t="e">
        <f>VLOOKUP(B311,'Base de Datos'!$E$7:$Z$303,22,0)</f>
        <v>#N/A</v>
      </c>
      <c r="P311" s="389">
        <f t="shared" ca="1" si="30"/>
        <v>1132</v>
      </c>
      <c r="Q311" s="402">
        <f t="shared" ca="1" si="34"/>
        <v>9.4333333333333336</v>
      </c>
      <c r="R311" s="324" t="str">
        <f ca="1">VLOOKUP(B311,'Base de Datos'!E311:AR622,33,0)</f>
        <v>TERMINO</v>
      </c>
      <c r="S311" s="327" t="str">
        <f t="shared" ca="1" si="31"/>
        <v>NO</v>
      </c>
      <c r="T311" s="324" t="e">
        <f t="shared" ca="1" si="32"/>
        <v>#N/A</v>
      </c>
      <c r="U311" s="324">
        <f>VLOOKUP(B311,'Base de Datos'!$E$7:$AR$401,38,0)</f>
        <v>0</v>
      </c>
    </row>
    <row r="312" spans="1:21" ht="12" thickTop="1" x14ac:dyDescent="0.25"/>
  </sheetData>
  <autoFilter ref="A6:U311"/>
  <dataConsolidate/>
  <mergeCells count="4">
    <mergeCell ref="K5:L5"/>
    <mergeCell ref="I5:J5"/>
    <mergeCell ref="B2:U2"/>
    <mergeCell ref="B3:U3"/>
  </mergeCells>
  <conditionalFormatting sqref="F7:F311">
    <cfRule type="expression" priority="14">
      <formula>$D$4</formula>
    </cfRule>
  </conditionalFormatting>
  <conditionalFormatting sqref="P7:Q311">
    <cfRule type="cellIs" dxfId="235" priority="2" operator="between">
      <formula>$Y$17</formula>
      <formula>$Y$18</formula>
    </cfRule>
    <cfRule type="cellIs" dxfId="234" priority="3" operator="between">
      <formula>$Y$15</formula>
      <formula>$Y$16</formula>
    </cfRule>
    <cfRule type="cellIs" dxfId="233" priority="4" operator="between">
      <formula>$Y$13</formula>
      <formula>$Y$14</formula>
    </cfRule>
    <cfRule type="cellIs" dxfId="232" priority="5" operator="between">
      <formula>$Y$11</formula>
      <formula>$Y$12</formula>
    </cfRule>
    <cfRule type="cellIs" dxfId="231" priority="6" operator="between">
      <formula>$Y$9</formula>
      <formula>$Y$10</formula>
    </cfRule>
    <cfRule type="cellIs" dxfId="230" priority="7" operator="between">
      <formula>$Y$7</formula>
      <formula>$Y$8</formula>
    </cfRule>
    <cfRule type="cellIs" dxfId="229" priority="12" operator="between">
      <formula>$Z$7</formula>
      <formula>$Z$8</formula>
    </cfRule>
    <cfRule type="cellIs" dxfId="228" priority="13" operator="between">
      <formula>$Y$7</formula>
      <formula>$Y$8</formula>
    </cfRule>
  </conditionalFormatting>
  <conditionalFormatting sqref="M7:N311">
    <cfRule type="iconSet" priority="11">
      <iconSet iconSet="3Symbols2">
        <cfvo type="percent" val="0"/>
        <cfvo type="percent" val="40"/>
        <cfvo type="percent" val="71"/>
      </iconSet>
    </cfRule>
  </conditionalFormatting>
  <conditionalFormatting sqref="M7:M311">
    <cfRule type="iconSet" priority="10">
      <iconSet iconSet="3Symbols2">
        <cfvo type="percent" val="0"/>
        <cfvo type="percent" val="33"/>
        <cfvo type="percent" val="67"/>
      </iconSet>
    </cfRule>
  </conditionalFormatting>
  <conditionalFormatting sqref="O7:O311">
    <cfRule type="iconSet" priority="9">
      <iconSet iconSet="3Symbols2" reverse="1">
        <cfvo type="percent" val="0"/>
        <cfvo type="percent" val="33"/>
        <cfvo type="percent" val="67"/>
      </iconSet>
    </cfRule>
  </conditionalFormatting>
  <conditionalFormatting sqref="N7:N311">
    <cfRule type="iconSet" priority="8">
      <iconSet iconSet="3Symbols">
        <cfvo type="percent" val="0"/>
        <cfvo type="num" val="33"/>
        <cfvo type="num" val="80"/>
      </iconSet>
    </cfRule>
  </conditionalFormatting>
  <dataValidations count="4">
    <dataValidation allowBlank="1" showInputMessage="1" showErrorMessage="1" prompt="Es la fecha de terminación estipulada en la acta de inicio_x000a_" sqref="F6"/>
    <dataValidation allowBlank="1" showInputMessage="1" showErrorMessage="1" prompt="Es el valor que resulta de la sumatoria entre el valor del contrato y las adiciones, si las hubo." sqref="H6"/>
    <dataValidation allowBlank="1" showInputMessage="1" showErrorMessage="1" prompt="Corresponde al grado de avance en la ejecución financiera del contrato" sqref="M6:N6"/>
    <dataValidation allowBlank="1" showInputMessage="1" showErrorMessage="1" prompt="Corresponde al grado de avance en el tiempo programado para la ejecución del contrato. " sqref="O6:Q6"/>
  </dataValidations>
  <pageMargins left="0.7" right="0.7" top="0.75" bottom="0.75" header="0.3" footer="0.3"/>
  <pageSetup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22" operator="containsText" id="{B7765FB6-A889-4F8E-84FB-2189DD207EC9}">
            <xm:f>NOT(ISERROR(SEARCH($AB$7,I7)))</xm:f>
            <xm:f>$AB$7</xm:f>
            <x14:dxf>
              <fill>
                <patternFill>
                  <bgColor theme="9" tint="0.39994506668294322"/>
                </patternFill>
              </fill>
            </x14:dxf>
          </x14:cfRule>
          <xm:sqref>I7:I311</xm:sqref>
        </x14:conditionalFormatting>
        <x14:conditionalFormatting xmlns:xm="http://schemas.microsoft.com/office/excel/2006/main">
          <x14:cfRule type="containsText" priority="21" operator="containsText" id="{A30179B9-BBDC-41C9-8938-8C0DA4B8A8FA}">
            <xm:f>NOT(ISERROR(SEARCH($AB$7,K7)))</xm:f>
            <xm:f>$AB$7</xm:f>
            <x14:dxf>
              <fill>
                <patternFill>
                  <bgColor theme="9" tint="0.39994506668294322"/>
                </patternFill>
              </fill>
            </x14:dxf>
          </x14:cfRule>
          <xm:sqref>K7:K311</xm:sqref>
        </x14:conditionalFormatting>
        <x14:conditionalFormatting xmlns:xm="http://schemas.microsoft.com/office/excel/2006/main">
          <x14:cfRule type="containsText" priority="1" operator="containsText" id="{D43F1A57-DD0D-4912-8D36-6E72FC3033D4}">
            <xm:f>NOT(ISERROR(SEARCH($AB$8,S7)))</xm:f>
            <xm:f>$AB$8</xm:f>
            <x14:dxf>
              <font>
                <b/>
                <i val="0"/>
                <color rgb="FFFF0000"/>
              </font>
              <fill>
                <patternFill patternType="none">
                  <bgColor auto="1"/>
                </patternFill>
              </fill>
            </x14:dxf>
          </x14:cfRule>
          <x14:cfRule type="containsText" priority="20" operator="containsText" id="{DDD49CB8-FF76-47D5-9FF0-0C406248EC3B}">
            <xm:f>NOT(ISERROR(SEARCH($AB$7,S7)))</xm:f>
            <xm:f>$AB$7</xm:f>
            <x14:dxf>
              <font>
                <b/>
                <i val="0"/>
                <color rgb="FF00B050"/>
              </font>
            </x14:dxf>
          </x14:cfRule>
          <xm:sqref>S7:S311</xm:sqref>
        </x14:conditionalFormatting>
        <x14:conditionalFormatting xmlns:xm="http://schemas.microsoft.com/office/excel/2006/main">
          <x14:cfRule type="iconSet" priority="18" id="{921116A0-D794-41BD-9CC2-6B7B7390E88A}">
            <x14:iconSet iconSet="3Symbols2" custom="1">
              <x14:cfvo type="percent">
                <xm:f>0</xm:f>
              </x14:cfvo>
              <x14:cfvo type="percent">
                <xm:f>70</xm:f>
              </x14:cfvo>
              <x14:cfvo type="percent">
                <xm:f>90</xm:f>
              </x14:cfvo>
              <x14:cfIcon iconSet="3Symbols2" iconId="2"/>
              <x14:cfIcon iconSet="3Symbols2" iconId="1"/>
              <x14:cfIcon iconSet="3Symbols2" iconId="0"/>
            </x14:iconSet>
          </x14:cfRule>
          <xm:sqref>M7:N311</xm:sqref>
        </x14:conditionalFormatting>
        <x14:conditionalFormatting xmlns:xm="http://schemas.microsoft.com/office/excel/2006/main">
          <x14:cfRule type="iconSet" priority="16" id="{F6885A50-D9AE-445E-9EC9-1E7A72C7F72E}">
            <x14:iconSet custom="1">
              <x14:cfvo type="percent">
                <xm:f>0</xm:f>
              </x14:cfvo>
              <x14:cfvo type="percent">
                <xm:f>40</xm:f>
              </x14:cfvo>
              <x14:cfvo type="percent">
                <xm:f>45</xm:f>
              </x14:cfvo>
              <x14:cfIcon iconSet="3TrafficLights1" iconId="2"/>
              <x14:cfIcon iconSet="3TrafficLights1" iconId="1"/>
              <x14:cfIcon iconSet="3TrafficLights1" iconId="0"/>
            </x14:iconSet>
          </x14:cfRule>
          <xm:sqref>L7:L311</xm:sqref>
        </x14:conditionalFormatting>
      </x14:conditionalFormatting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BB330"/>
  <sheetViews>
    <sheetView workbookViewId="0">
      <pane xSplit="7" ySplit="6" topLeftCell="H7" activePane="bottomRight" state="frozen"/>
      <selection pane="topRight" activeCell="H1" sqref="H1"/>
      <selection pane="bottomLeft" activeCell="A5" sqref="A5"/>
      <selection pane="bottomRight" activeCell="G91" sqref="G91"/>
    </sheetView>
  </sheetViews>
  <sheetFormatPr baseColWidth="10" defaultRowHeight="11.25" x14ac:dyDescent="0.25"/>
  <cols>
    <col min="1" max="1" width="3.42578125" style="467" customWidth="1"/>
    <col min="2" max="2" width="4.28515625" style="108" customWidth="1"/>
    <col min="3" max="3" width="13.7109375" style="243" bestFit="1" customWidth="1"/>
    <col min="4" max="4" width="8.42578125" style="108" customWidth="1"/>
    <col min="5" max="5" width="19.85546875" style="243" customWidth="1"/>
    <col min="6" max="6" width="13.28515625" style="429" customWidth="1"/>
    <col min="7" max="7" width="26.85546875" style="282" customWidth="1"/>
    <col min="8" max="8" width="11.7109375" style="282" customWidth="1"/>
    <col min="9" max="9" width="13" style="282" customWidth="1"/>
    <col min="10" max="10" width="13.140625" style="282" customWidth="1"/>
    <col min="11" max="12" width="11.42578125" style="243"/>
    <col min="13" max="13" width="11.42578125" style="431"/>
    <col min="14" max="17" width="11.42578125" style="243"/>
    <col min="18" max="18" width="13.140625" style="243" customWidth="1"/>
    <col min="19" max="19" width="11.42578125" style="243"/>
    <col min="20" max="20" width="18.42578125" style="243" customWidth="1"/>
    <col min="21" max="21" width="21.85546875" style="243" customWidth="1"/>
    <col min="22" max="22" width="12.5703125" style="429" customWidth="1"/>
    <col min="23" max="23" width="13.140625" style="243" customWidth="1"/>
    <col min="24" max="24" width="12.5703125" style="430" customWidth="1"/>
    <col min="25" max="25" width="12.42578125" style="430" customWidth="1"/>
    <col min="26" max="26" width="14.7109375" style="243" customWidth="1"/>
    <col min="27" max="27" width="14.7109375" style="451" customWidth="1"/>
    <col min="28" max="29" width="14.7109375" style="243" customWidth="1"/>
    <col min="30" max="30" width="14.7109375" style="430" customWidth="1"/>
    <col min="31" max="31" width="12.5703125" style="429" customWidth="1"/>
    <col min="32" max="32" width="15.7109375" style="429" customWidth="1"/>
    <col min="33" max="33" width="12.5703125" style="243" customWidth="1"/>
    <col min="34" max="35" width="11.42578125" style="243" customWidth="1"/>
    <col min="36" max="36" width="11.42578125" style="430"/>
    <col min="37" max="37" width="15.7109375" style="243" bestFit="1" customWidth="1"/>
    <col min="38" max="38" width="23.7109375" style="243" customWidth="1"/>
    <col min="39" max="39" width="14.7109375" style="429" bestFit="1" customWidth="1"/>
    <col min="40" max="40" width="13.42578125" style="243" bestFit="1" customWidth="1"/>
    <col min="41" max="42" width="11.42578125" style="430"/>
    <col min="43" max="43" width="11.42578125" style="457"/>
    <col min="44" max="44" width="11.42578125" style="451"/>
    <col min="45" max="45" width="11.42578125" style="457"/>
    <col min="46" max="46" width="11.42578125" style="243"/>
    <col min="47" max="47" width="11.42578125" style="431"/>
    <col min="48" max="48" width="14.7109375" style="429" bestFit="1" customWidth="1"/>
    <col min="49" max="49" width="13" style="243" customWidth="1"/>
    <col min="50" max="50" width="12.5703125" style="243" bestFit="1" customWidth="1"/>
    <col min="51" max="51" width="11.42578125" style="462"/>
    <col min="52" max="52" width="11.42578125" style="243"/>
    <col min="53" max="53" width="14.7109375" style="467" bestFit="1" customWidth="1"/>
    <col min="54" max="54" width="14.85546875" style="243" bestFit="1" customWidth="1"/>
    <col min="55" max="16384" width="11.42578125" style="243"/>
  </cols>
  <sheetData>
    <row r="1" spans="1:54" s="467" customFormat="1" ht="12" thickBot="1" x14ac:dyDescent="0.3">
      <c r="B1" s="125"/>
      <c r="D1" s="125"/>
      <c r="G1" s="329"/>
      <c r="H1" s="329"/>
      <c r="I1" s="329"/>
      <c r="J1" s="329"/>
      <c r="V1" s="468"/>
      <c r="X1" s="469"/>
      <c r="Y1" s="469"/>
      <c r="AA1" s="470"/>
      <c r="AD1" s="469"/>
      <c r="AE1" s="468"/>
      <c r="AF1" s="468"/>
      <c r="AJ1" s="469"/>
      <c r="AM1" s="468"/>
      <c r="AO1" s="469"/>
      <c r="AP1" s="469"/>
      <c r="AQ1" s="471"/>
      <c r="AR1" s="470"/>
      <c r="AS1" s="471"/>
      <c r="AU1" s="472"/>
      <c r="AV1" s="468"/>
      <c r="AY1" s="473"/>
    </row>
    <row r="2" spans="1:54" s="467" customFormat="1" ht="24.75" customHeight="1" thickTop="1" x14ac:dyDescent="0.25">
      <c r="B2" s="1173" t="s">
        <v>1774</v>
      </c>
      <c r="C2" s="1174"/>
      <c r="D2" s="1174"/>
      <c r="E2" s="1174"/>
      <c r="F2" s="1174"/>
      <c r="G2" s="1174"/>
      <c r="H2" s="1174"/>
      <c r="I2" s="1174"/>
      <c r="J2" s="1174"/>
      <c r="K2" s="1174"/>
      <c r="L2" s="1174"/>
      <c r="M2" s="1174"/>
      <c r="N2" s="1174"/>
      <c r="O2" s="1174"/>
      <c r="P2" s="1174"/>
      <c r="Q2" s="1174"/>
      <c r="R2" s="1174"/>
      <c r="S2" s="1174"/>
      <c r="T2" s="1174"/>
      <c r="U2" s="1174"/>
      <c r="V2" s="1174"/>
      <c r="W2" s="1174"/>
      <c r="X2" s="1174"/>
      <c r="Y2" s="1174"/>
      <c r="Z2" s="1174"/>
      <c r="AA2" s="1174"/>
      <c r="AB2" s="1174"/>
      <c r="AC2" s="1174"/>
      <c r="AD2" s="1174"/>
      <c r="AE2" s="1174"/>
      <c r="AF2" s="1174"/>
      <c r="AG2" s="1174"/>
      <c r="AH2" s="1174"/>
      <c r="AI2" s="1174"/>
      <c r="AJ2" s="1174"/>
      <c r="AK2" s="1174"/>
      <c r="AL2" s="1174"/>
      <c r="AM2" s="1174"/>
      <c r="AN2" s="1174"/>
      <c r="AO2" s="1174"/>
      <c r="AP2" s="1174"/>
      <c r="AQ2" s="1174"/>
      <c r="AR2" s="1174"/>
      <c r="AS2" s="1174"/>
      <c r="AT2" s="1174"/>
      <c r="AU2" s="1174"/>
      <c r="AV2" s="1174"/>
      <c r="AW2" s="1174"/>
      <c r="AX2" s="1174"/>
      <c r="AY2" s="1174"/>
      <c r="AZ2" s="1175"/>
    </row>
    <row r="3" spans="1:54" s="467" customFormat="1" ht="24.75" customHeight="1" x14ac:dyDescent="0.25">
      <c r="B3" s="1176" t="s">
        <v>1796</v>
      </c>
      <c r="C3" s="1177"/>
      <c r="D3" s="1177"/>
      <c r="E3" s="1177"/>
      <c r="F3" s="1177"/>
      <c r="G3" s="1177"/>
      <c r="H3" s="1177"/>
      <c r="I3" s="1177"/>
      <c r="J3" s="1177"/>
      <c r="K3" s="1177"/>
      <c r="L3" s="1177"/>
      <c r="M3" s="1177"/>
      <c r="N3" s="1177"/>
      <c r="O3" s="1177"/>
      <c r="P3" s="1177"/>
      <c r="Q3" s="1177"/>
      <c r="R3" s="1177"/>
      <c r="S3" s="1177"/>
      <c r="T3" s="1177"/>
      <c r="U3" s="1177"/>
      <c r="V3" s="1177"/>
      <c r="W3" s="1177"/>
      <c r="X3" s="1177"/>
      <c r="Y3" s="1177"/>
      <c r="Z3" s="1177"/>
      <c r="AA3" s="1177"/>
      <c r="AB3" s="1177"/>
      <c r="AC3" s="1177"/>
      <c r="AD3" s="1177"/>
      <c r="AE3" s="1177"/>
      <c r="AF3" s="1177"/>
      <c r="AG3" s="1177"/>
      <c r="AH3" s="1177"/>
      <c r="AI3" s="1177"/>
      <c r="AJ3" s="1177"/>
      <c r="AK3" s="1177"/>
      <c r="AL3" s="1177"/>
      <c r="AM3" s="1177"/>
      <c r="AN3" s="1177"/>
      <c r="AO3" s="1177"/>
      <c r="AP3" s="1177"/>
      <c r="AQ3" s="1177"/>
      <c r="AR3" s="1177"/>
      <c r="AS3" s="1177"/>
      <c r="AT3" s="1177"/>
      <c r="AU3" s="1177"/>
      <c r="AV3" s="1177"/>
      <c r="AW3" s="1177"/>
      <c r="AX3" s="1177"/>
      <c r="AY3" s="1177"/>
      <c r="AZ3" s="1178"/>
    </row>
    <row r="4" spans="1:54" s="467" customFormat="1" ht="24.75" customHeight="1" thickBot="1" x14ac:dyDescent="0.3">
      <c r="B4" s="521"/>
      <c r="C4" s="522"/>
      <c r="D4" s="522"/>
      <c r="E4" s="522"/>
      <c r="F4" s="522"/>
      <c r="G4" s="522"/>
      <c r="H4" s="522"/>
      <c r="I4" s="522"/>
      <c r="J4" s="522"/>
      <c r="K4" s="522"/>
      <c r="L4" s="522"/>
      <c r="M4" s="522"/>
      <c r="N4" s="522"/>
      <c r="O4" s="522"/>
      <c r="P4" s="522"/>
      <c r="Q4" s="522"/>
      <c r="R4" s="522"/>
      <c r="S4" s="522"/>
      <c r="T4" s="522"/>
      <c r="U4" s="522"/>
      <c r="V4" s="522"/>
      <c r="W4" s="522"/>
      <c r="X4" s="522"/>
      <c r="Y4" s="522"/>
      <c r="Z4" s="522"/>
      <c r="AA4" s="522"/>
      <c r="AB4" s="522"/>
      <c r="AC4" s="522"/>
      <c r="AD4" s="522"/>
      <c r="AE4" s="522"/>
      <c r="AF4" s="522"/>
      <c r="AG4" s="522"/>
      <c r="AH4" s="522"/>
      <c r="AI4" s="522"/>
      <c r="AJ4" s="522"/>
      <c r="AK4" s="522"/>
      <c r="AL4" s="522"/>
      <c r="AM4" s="522"/>
      <c r="AN4" s="522"/>
      <c r="AO4" s="522"/>
      <c r="AP4" s="522"/>
      <c r="AQ4" s="522"/>
      <c r="AR4" s="522"/>
      <c r="AS4" s="522"/>
      <c r="AT4" s="522"/>
      <c r="AU4" s="522"/>
      <c r="AV4" s="522"/>
      <c r="AW4" s="522"/>
      <c r="AX4" s="522"/>
      <c r="AY4" s="522"/>
      <c r="AZ4" s="523"/>
    </row>
    <row r="5" spans="1:54" s="467" customFormat="1" ht="12" thickTop="1" x14ac:dyDescent="0.25">
      <c r="B5" s="125"/>
      <c r="D5" s="125"/>
      <c r="G5" s="329"/>
      <c r="H5" s="329"/>
      <c r="I5" s="329"/>
      <c r="J5" s="329"/>
      <c r="V5" s="468"/>
      <c r="X5" s="469"/>
      <c r="Y5" s="469"/>
      <c r="AA5" s="470"/>
      <c r="AD5" s="469"/>
      <c r="AE5" s="468"/>
      <c r="AF5" s="468"/>
      <c r="AJ5" s="469"/>
      <c r="AM5" s="468"/>
      <c r="AO5" s="469"/>
      <c r="AP5" s="469"/>
      <c r="AQ5" s="471"/>
      <c r="AR5" s="470"/>
      <c r="AS5" s="471"/>
      <c r="AU5" s="472"/>
      <c r="AV5" s="468"/>
      <c r="AY5" s="473"/>
    </row>
    <row r="6" spans="1:54" s="520" customFormat="1" ht="45" x14ac:dyDescent="0.25">
      <c r="A6" s="504"/>
      <c r="B6" s="505" t="s">
        <v>1689</v>
      </c>
      <c r="C6" s="505" t="s">
        <v>1690</v>
      </c>
      <c r="D6" s="505" t="s">
        <v>1693</v>
      </c>
      <c r="E6" s="505" t="s">
        <v>1691</v>
      </c>
      <c r="F6" s="505" t="s">
        <v>1692</v>
      </c>
      <c r="G6" s="505" t="s">
        <v>1694</v>
      </c>
      <c r="H6" s="505" t="s">
        <v>1775</v>
      </c>
      <c r="I6" s="505" t="s">
        <v>1695</v>
      </c>
      <c r="J6" s="506" t="s">
        <v>1733</v>
      </c>
      <c r="K6" s="507" t="s">
        <v>1696</v>
      </c>
      <c r="L6" s="507" t="s">
        <v>1697</v>
      </c>
      <c r="M6" s="507" t="s">
        <v>1698</v>
      </c>
      <c r="N6" s="507" t="s">
        <v>1699</v>
      </c>
      <c r="O6" s="507" t="s">
        <v>1700</v>
      </c>
      <c r="P6" s="507" t="s">
        <v>1701</v>
      </c>
      <c r="Q6" s="507" t="s">
        <v>1702</v>
      </c>
      <c r="R6" s="508" t="s">
        <v>1818</v>
      </c>
      <c r="S6" s="508" t="s">
        <v>1722</v>
      </c>
      <c r="T6" s="509" t="s">
        <v>1724</v>
      </c>
      <c r="U6" s="509" t="s">
        <v>1704</v>
      </c>
      <c r="V6" s="510" t="s">
        <v>1705</v>
      </c>
      <c r="W6" s="509" t="s">
        <v>1706</v>
      </c>
      <c r="X6" s="511" t="s">
        <v>1707</v>
      </c>
      <c r="Y6" s="511" t="s">
        <v>1708</v>
      </c>
      <c r="Z6" s="509" t="s">
        <v>1727</v>
      </c>
      <c r="AA6" s="512" t="s">
        <v>1728</v>
      </c>
      <c r="AB6" s="509" t="s">
        <v>1725</v>
      </c>
      <c r="AC6" s="509" t="s">
        <v>1726</v>
      </c>
      <c r="AD6" s="511" t="s">
        <v>1729</v>
      </c>
      <c r="AE6" s="510" t="s">
        <v>1730</v>
      </c>
      <c r="AF6" s="510" t="s">
        <v>1738</v>
      </c>
      <c r="AG6" s="509" t="s">
        <v>1709</v>
      </c>
      <c r="AH6" s="509" t="s">
        <v>1731</v>
      </c>
      <c r="AI6" s="513" t="s">
        <v>1732</v>
      </c>
      <c r="AJ6" s="514" t="s">
        <v>1723</v>
      </c>
      <c r="AK6" s="515" t="s">
        <v>1703</v>
      </c>
      <c r="AL6" s="515" t="s">
        <v>1704</v>
      </c>
      <c r="AM6" s="516" t="s">
        <v>1705</v>
      </c>
      <c r="AN6" s="515" t="s">
        <v>1706</v>
      </c>
      <c r="AO6" s="514" t="s">
        <v>1707</v>
      </c>
      <c r="AP6" s="514" t="s">
        <v>1708</v>
      </c>
      <c r="AQ6" s="517" t="s">
        <v>1727</v>
      </c>
      <c r="AR6" s="518" t="s">
        <v>1728</v>
      </c>
      <c r="AS6" s="517" t="s">
        <v>1725</v>
      </c>
      <c r="AT6" s="515" t="s">
        <v>1726</v>
      </c>
      <c r="AU6" s="514" t="s">
        <v>1729</v>
      </c>
      <c r="AV6" s="516" t="s">
        <v>1730</v>
      </c>
      <c r="AW6" s="515" t="s">
        <v>1738</v>
      </c>
      <c r="AX6" s="515" t="s">
        <v>1709</v>
      </c>
      <c r="AY6" s="519" t="s">
        <v>1731</v>
      </c>
      <c r="AZ6" s="515" t="s">
        <v>1732</v>
      </c>
      <c r="BA6" s="504"/>
    </row>
    <row r="7" spans="1:54" ht="55.5" hidden="1" customHeight="1" x14ac:dyDescent="0.25">
      <c r="B7" s="433">
        <v>1</v>
      </c>
      <c r="C7" s="441" t="s">
        <v>1642</v>
      </c>
      <c r="D7" s="433">
        <v>122</v>
      </c>
      <c r="E7" s="441" t="s">
        <v>1643</v>
      </c>
      <c r="F7" s="442">
        <f>VLOOKUP(D7,'Presupuesto - PAA 2015'!$B$10:$E$265,4,0)</f>
        <v>2365972</v>
      </c>
      <c r="G7" s="434" t="str">
        <f>VLOOKUP(D7,'[4]Seguimiento Plan'!$C$2:$R$101,16,0)</f>
        <v>Realizar las auditorías de seguimiento a los Subsistemas de Gestión Ambiental y Seguridad y Salud Ocupacional bajo las normas ISO 14001:2004 y OHSAS 18001:2007</v>
      </c>
      <c r="H7" s="434" t="s">
        <v>1776</v>
      </c>
      <c r="I7" s="434" t="s">
        <v>1710</v>
      </c>
      <c r="J7" s="443" t="s">
        <v>908</v>
      </c>
      <c r="K7" s="444" t="s">
        <v>390</v>
      </c>
      <c r="L7" s="444" t="str">
        <f>VLOOKUP(D7,'[4]Seguimiento Plan'!$C$2:$AJ$101,30,0)</f>
        <v>SI</v>
      </c>
      <c r="M7" s="445">
        <f>VLOOKUP(D7,'[4]Seguimiento Plan'!$C$2:$AJ$101,31,0)</f>
        <v>42066</v>
      </c>
      <c r="N7" s="444"/>
      <c r="O7" s="446"/>
      <c r="P7" s="446"/>
      <c r="Q7" s="446"/>
      <c r="R7" s="447"/>
      <c r="S7" s="447"/>
      <c r="T7" s="344" t="s">
        <v>304</v>
      </c>
      <c r="U7" s="450" t="str">
        <f>IF(ISERROR(VLOOKUP(T7,'Base de Datos'!$E$7:$AR$302,3,0))=TRUE," ",(VLOOKUP(T7,'Base de Datos'!$E$7:$AR$302,2,0)))</f>
        <v>COTECNA CERTIFICADORA SEVICES LIMITADA</v>
      </c>
      <c r="V7" s="453">
        <f>IF(ISERROR(VLOOKUP(T7,'Base de Datos'!$E$7:$AR$302,5,0))=TRUE," ",(VLOOKUP(T7,'Base de Datos'!$E$7:$AR$302,5,0)))</f>
        <v>2228070</v>
      </c>
      <c r="W7" s="450">
        <f>IF(ISERROR(VLOOKUP(T7,'Base de Datos'!$E$7:$AR$302,19,0))=TRUE," ",(VLOOKUP(T7,'Base de Datos'!$E$7:$AR$302,19,0)))</f>
        <v>0</v>
      </c>
      <c r="X7" s="455" t="str">
        <f>IF(ISERROR(VLOOKUP(T7,'Base de Datos'!$E$7:$AR$302,8,0))=TRUE," ",(VLOOKUP(T7,'Base de Datos'!$E$7:$AR$302,8,0)))</f>
        <v xml:space="preserve"> </v>
      </c>
      <c r="Y7" s="455">
        <f>IF(ISERROR(VLOOKUP(T7,'Base de Datos'!$E$7:$AR$302,9,0))=TRUE," ",(VLOOKUP(T7,'Base de Datos'!$E$7:$AR$302,9,0)))</f>
        <v>41842</v>
      </c>
      <c r="Z7" s="449">
        <f>IF(ISERROR(VLOOKUP(T7,'Base de Datos'!$E$7:$AR$302,10,0))=TRUE," ",(VLOOKUP(T7,'Base de Datos'!$E$7:$AR$302,10,0)))</f>
        <v>41965</v>
      </c>
      <c r="AA7" s="452">
        <f>IF(ISERROR(VLOOKUP(T7,'Base de Datos'!$E$7:$AR$302,11,0))=TRUE," ",(VLOOKUP(T7,'Base de Datos'!$E$7:$AR$302,11,0)))</f>
        <v>0</v>
      </c>
      <c r="AB7" s="449">
        <f>IF(ISERROR(VLOOKUP(T7,'Base de Datos'!$E$7:$AR$302,12,0))=TRUE," ",(VLOOKUP(T7,'Base de Datos'!$E$7:$AR$302,12,0)))</f>
        <v>0</v>
      </c>
      <c r="AC7" s="449">
        <f>IF(ISERROR(VLOOKUP(T7,'Base de Datos'!$E$7:$AR$302,12,0))=TRUE," ",(VLOOKUP(T7,'Base de Datos'!$E$7:$AR$302,12,0)))</f>
        <v>0</v>
      </c>
      <c r="AD7" s="455" t="str">
        <f>IF(ISERROR(VLOOKUP(T7,'Base de Datos'!$E$7:$AR$302,15,0))=TRUE," ",(VLOOKUP(T7,'Base de Datos'!$E$7:$AR$302,15,0)))</f>
        <v/>
      </c>
      <c r="AE7" s="460">
        <f>IF(ISERROR(VLOOKUP(T7,'Base de Datos'!$E$7:$AR$302,16,0))=TRUE," ",(VLOOKUP(T7,'Base de Datos'!$E$7:$AR$302,16,0)))</f>
        <v>41965</v>
      </c>
      <c r="AF7" s="460">
        <f>IF(ISERROR(VLOOKUP(T7,'Base de Datos'!$E$7:$AR$302,17,0))=TRUE," ",(VLOOKUP(T7,'Base de Datos'!$E$7:$AR$302,17,0)))</f>
        <v>2228070</v>
      </c>
      <c r="AG7" s="460">
        <f>IF(ISERROR(VLOOKUP(T7,'Base de Datos'!$E$7:$AR$302,18,0))=TRUE," ",(VLOOKUP(T7,'Base de Datos'!$E$7:$AR$302,18,0)))</f>
        <v>2228070</v>
      </c>
      <c r="AH7" s="461" t="str">
        <f>IF(ISERROR(VLOOKUP(T7,'Base de Datos'!$E$7:$AR$302,20,0))=TRUE," ",(VLOOKUP(T7,'Base de Datos'!$E$7:$AR$302,20,0)))</f>
        <v>El servicio será cancelado una vez realizada la auditoría de seguimiento y entrega del informe de resultado de la auditoría, previa presentación de la factura y aprobación de la misma, junto con la certificación de cumplimiento de recibo a satisfacción expedida por el supervisor del contrato.</v>
      </c>
      <c r="AI7" s="461">
        <f>IF(ISERROR(VLOOKUP(T7,'Base de Datos'!$E$7:$AR$302,21,0))=TRUE," ",(VLOOKUP(T7,'Base de Datos'!$E$7:$AR$302,21,0)))</f>
        <v>1</v>
      </c>
      <c r="AJ7" s="464">
        <v>42158</v>
      </c>
      <c r="AK7" s="450" t="str">
        <f>IF(ISERROR(VLOOKUP(D7,'Base de Datos'!$C$7:$AR$400,2,0))=TRUE," ",(VLOOKUP(D7,'Base de Datos'!$C$7:$AR$400,2,0)))</f>
        <v>2015122</v>
      </c>
      <c r="AL7" s="450" t="str">
        <f>IF(ISERROR(VLOOKUP(D7,'Base de Datos'!$C$7:$AR$400,3,0))=TRUE," ",(VLOOKUP(D7,'Base de Datos'!$C$7:$AR$400,3,0)))</f>
        <v>150244-0-2015</v>
      </c>
      <c r="AM7" s="453" t="str">
        <f>IF(ISERROR(VLOOKUP(D7,'Base de Datos'!$C$7:$AR$3761,6,0))=TRUE," ",(VLOOKUP(D7,'Base de Datos'!$C$7:$AR$400,6,0)))</f>
        <v>Realizar las auditorías de seguimiento a los sistemas de Gestión Ambiental y Seguridad y Salud Ocupacional del Concejo de Bogotá, bajo las normas ISO 14001:2004 y OHSAS 18001:2007</v>
      </c>
      <c r="AN7" s="453">
        <f>IF(ISERROR(VLOOKUP(D7,'Base de Datos'!$C$7:$AR$400,20,0))=TRUE," ",(VLOOKUP(D7,'Base de Datos'!$C$7:$AR$400,19,0)))</f>
        <v>2365972</v>
      </c>
      <c r="AO7" s="456">
        <f>IF(ISERROR(VLOOKUP(D7,'Base de Datos'!$C$7:$AR$400,9,0))=TRUE," ",(VLOOKUP(D7,'Base de Datos'!$C$7:$AR$400,9,0)))</f>
        <v>2015</v>
      </c>
      <c r="AP7" s="456">
        <f>IF(ISERROR(VLOOKUP(D7,'Base de Datos'!$C$7:$AR$400,10,0))=TRUE," ",(VLOOKUP(D7,'Base de Datos'!$C$7:$AR$400,10,0)))</f>
        <v>42158</v>
      </c>
      <c r="AQ7" s="458">
        <f>IF(ISERROR(VLOOKUP(D7,'Base de Datos'!$C$7:$AR$400,11,0))=TRUE," ",(VLOOKUP(D7,'Base de Datos'!$C$7:$AR$400,11,0)))</f>
        <v>42174</v>
      </c>
      <c r="AR7" s="459">
        <f>IF(ISERROR(VLOOKUP(D7,'Base de Datos'!$C$7:$AR$400,12,0))=TRUE," ",(VLOOKUP(D7,'Base de Datos'!$C$7:$AR$400,12,0)))</f>
        <v>42296</v>
      </c>
      <c r="AS7" s="458">
        <f>IF(ISERROR(VLOOKUP(D7,'Base de Datos'!$C$7:$AR$400,13,0))=TRUE," ",(VLOOKUP(D7,'Base de Datos'!$C$7:$AR$400,13,0)))</f>
        <v>0</v>
      </c>
      <c r="AT7" s="458">
        <f>IF(ISERROR(VLOOKUP(D7,'Base de Datos'!$C$7:$AR$400,14,0))=TRUE," ",(VLOOKUP(D7,'Base de Datos'!$C$7:$AR$400,14,0)))</f>
        <v>0</v>
      </c>
      <c r="AU7" s="456" t="str">
        <f>IF(ISERROR(VLOOKUP(D7,'Base de Datos'!$C$7:$AR$400,16,0))=TRUE," ",(VLOOKUP(D7,'Base de Datos'!$C$7:$AR$400,16,0)))</f>
        <v/>
      </c>
      <c r="AV7" s="460" t="str">
        <f>IF(ISERROR(VLOOKUP(D7,'Base de Datos'!$C$7:$AR$400,17,0))=TRUE," ",(VLOOKUP(D7,'Base de Datos'!$C$7:$AR$400,17,0)))</f>
        <v/>
      </c>
      <c r="AW7" s="460">
        <f>IF(ISERROR(VLOOKUP(D7,'Base de Datos'!$C$7:$AR$400,18,0))=TRUE," ",(VLOOKUP(D7,'Base de Datos'!$C$7:$AR$400,18,0)))</f>
        <v>42296</v>
      </c>
      <c r="AX7" s="460">
        <f>IF(ISERROR(VLOOKUP(D7,'Base de Datos'!$C$7:$AR$400,19,0))=TRUE," ",(VLOOKUP(D7,'Base de Datos'!$C$7:$AR$400,19,0)))</f>
        <v>2365972</v>
      </c>
      <c r="AY7" s="463">
        <f>IF(ISERROR(VLOOKUP(D7,'Base de Datos'!$C$7:$AR$400,21,0))=TRUE," ",(VLOOKUP(D7,'Base de Datos'!$C$7:$AR$400,21,0)))</f>
        <v>0</v>
      </c>
      <c r="AZ7" s="463" t="str">
        <f>IF(ISERROR(VLOOKUP(D7,'Base de Datos'!$C$7:$AR$400,22,0))=TRUE," ",(VLOOKUP(D7,'Base de Datos'!$C$7:$AR$400,22,0)))</f>
        <v>Una vez realizada la auditoría</v>
      </c>
      <c r="BA7" s="470"/>
      <c r="BB7" s="480"/>
    </row>
    <row r="8" spans="1:54" ht="55.5" hidden="1" customHeight="1" x14ac:dyDescent="0.25">
      <c r="B8" s="433">
        <v>2</v>
      </c>
      <c r="C8" s="441" t="s">
        <v>1642</v>
      </c>
      <c r="D8" s="433">
        <v>123</v>
      </c>
      <c r="E8" s="441" t="s">
        <v>1643</v>
      </c>
      <c r="F8" s="442">
        <f>VLOOKUP(D8,'Presupuesto - PAA 2015'!$B$10:$E$265,4,0)</f>
        <v>7714000</v>
      </c>
      <c r="G8" s="434" t="str">
        <f>VLOOKUP(D8,'[4]Seguimiento Plan'!$C$2:$R$101,16,0)</f>
        <v>Realizar las auditorías para la recertificación del Sistema de Gestión de Calidad del Concejo de Bogotá.</v>
      </c>
      <c r="H8" s="434" t="s">
        <v>1776</v>
      </c>
      <c r="I8" s="434" t="s">
        <v>1710</v>
      </c>
      <c r="J8" s="443" t="s">
        <v>909</v>
      </c>
      <c r="K8" s="444" t="s">
        <v>390</v>
      </c>
      <c r="L8" s="444" t="str">
        <f>VLOOKUP(D8,'[4]Seguimiento Plan'!$C$2:$AJ$101,30,0)</f>
        <v>SI</v>
      </c>
      <c r="M8" s="445">
        <f>VLOOKUP(D8,'[4]Seguimiento Plan'!$C$2:$AJ$101,31,0)</f>
        <v>42066</v>
      </c>
      <c r="N8" s="444"/>
      <c r="O8" s="446"/>
      <c r="P8" s="446"/>
      <c r="Q8" s="446"/>
      <c r="R8" s="447"/>
      <c r="S8" s="465" t="s">
        <v>1745</v>
      </c>
      <c r="T8" s="448"/>
      <c r="U8" s="450" t="str">
        <f>IF(ISERROR(VLOOKUP(T8,'Base de Datos'!$E$7:$AR$302,3,0))=TRUE," ",(VLOOKUP(T8,'Base de Datos'!$E$7:$AR$302,2,0)))</f>
        <v xml:space="preserve"> </v>
      </c>
      <c r="V8" s="453" t="str">
        <f>IF(ISERROR(VLOOKUP(T8,'Base de Datos'!$E$7:$AR$302,5,0))=TRUE," ",(VLOOKUP(T8,'Base de Datos'!$E$7:$AR$302,5,0)))</f>
        <v xml:space="preserve"> </v>
      </c>
      <c r="W8" s="450" t="str">
        <f>IF(ISERROR(VLOOKUP(T8,'Base de Datos'!$E$7:$AR$302,19,0))=TRUE," ",(VLOOKUP(T8,'Base de Datos'!$E$7:$AR$302,19,0)))</f>
        <v xml:space="preserve"> </v>
      </c>
      <c r="X8" s="455" t="str">
        <f>IF(ISERROR(VLOOKUP(T8,'Base de Datos'!$E$7:$AR$302,8,0))=TRUE," ",(VLOOKUP(T8,'Base de Datos'!$E$7:$AR$302,8,0)))</f>
        <v xml:space="preserve"> </v>
      </c>
      <c r="Y8" s="455" t="str">
        <f>IF(ISERROR(VLOOKUP(T8,'Base de Datos'!$E$7:$AR$302,9,0))=TRUE," ",(VLOOKUP(T8,'Base de Datos'!$E$7:$AR$302,9,0)))</f>
        <v xml:space="preserve"> </v>
      </c>
      <c r="Z8" s="449" t="str">
        <f>IF(ISERROR(VLOOKUP(T8,'Base de Datos'!$E$7:$AR$302,10,0))=TRUE," ",(VLOOKUP(T8,'Base de Datos'!$E$7:$AR$302,10,0)))</f>
        <v xml:space="preserve"> </v>
      </c>
      <c r="AA8" s="452" t="str">
        <f>IF(ISERROR(VLOOKUP(T8,'Base de Datos'!$E$7:$AR$302,11,0))=TRUE," ",(VLOOKUP(T8,'Base de Datos'!$E$7:$AR$302,11,0)))</f>
        <v xml:space="preserve"> </v>
      </c>
      <c r="AB8" s="449" t="str">
        <f>IF(ISERROR(VLOOKUP(T8,'Base de Datos'!$E$7:$AR$302,12,0))=TRUE," ",(VLOOKUP(T8,'Base de Datos'!$E$7:$AR$302,12,0)))</f>
        <v xml:space="preserve"> </v>
      </c>
      <c r="AC8" s="449" t="str">
        <f>IF(ISERROR(VLOOKUP(T8,'Base de Datos'!$E$7:$AR$302,12,0))=TRUE," ",(VLOOKUP(T8,'Base de Datos'!$E$7:$AR$302,12,0)))</f>
        <v xml:space="preserve"> </v>
      </c>
      <c r="AD8" s="455" t="str">
        <f>IF(ISERROR(VLOOKUP(T8,'Base de Datos'!$E$7:$AR$302,15,0))=TRUE," ",(VLOOKUP(T8,'Base de Datos'!$E$7:$AR$302,15,0)))</f>
        <v xml:space="preserve"> </v>
      </c>
      <c r="AE8" s="460" t="str">
        <f>IF(ISERROR(VLOOKUP(T8,'Base de Datos'!$E$7:$AR$302,16,0))=TRUE," ",(VLOOKUP(T8,'Base de Datos'!$E$7:$AR$302,16,0)))</f>
        <v xml:space="preserve"> </v>
      </c>
      <c r="AF8" s="460" t="str">
        <f>IF(ISERROR(VLOOKUP(T8,'Base de Datos'!$E$7:$AR$302,17,0))=TRUE," ",(VLOOKUP(T8,'Base de Datos'!$E$7:$AR$302,17,0)))</f>
        <v xml:space="preserve"> </v>
      </c>
      <c r="AG8" s="460" t="str">
        <f>IF(ISERROR(VLOOKUP(T8,'Base de Datos'!$E$7:$AR$302,18,0))=TRUE," ",(VLOOKUP(T8,'Base de Datos'!$E$7:$AR$302,18,0)))</f>
        <v xml:space="preserve"> </v>
      </c>
      <c r="AH8" s="461" t="str">
        <f>IF(ISERROR(VLOOKUP(T8,'Base de Datos'!$E$7:$AR$302,20,0))=TRUE," ",(VLOOKUP(T8,'Base de Datos'!$E$7:$AR$302,20,0)))</f>
        <v xml:space="preserve"> </v>
      </c>
      <c r="AI8" s="461" t="str">
        <f>IF(ISERROR(VLOOKUP(T8,'Base de Datos'!$E$7:$AR$302,21,0))=TRUE," ",(VLOOKUP(T8,'Base de Datos'!$E$7:$AR$302,21,0)))</f>
        <v xml:space="preserve"> </v>
      </c>
      <c r="AJ8" s="464">
        <v>42132</v>
      </c>
      <c r="AK8" s="450" t="str">
        <f>IF(ISERROR(VLOOKUP(D8,'Base de Datos'!$C$7:$AR$400,2,0))=TRUE," ",(VLOOKUP(D8,'Base de Datos'!$C$7:$AR$400,2,0)))</f>
        <v>2015123</v>
      </c>
      <c r="AL8" s="450" t="str">
        <f>IF(ISERROR(VLOOKUP(D8,'Base de Datos'!$C$7:$AR$400,3,0))=TRUE," ",(VLOOKUP(D8,'Base de Datos'!$C$7:$AR$400,3,0)))</f>
        <v>150221-0-2015</v>
      </c>
      <c r="AM8" s="453" t="str">
        <f>IF(ISERROR(VLOOKUP(D8,'Base de Datos'!$C$7:$AR$3761,6,0))=TRUE," ",(VLOOKUP(D8,'Base de Datos'!$C$7:$AR$400,6,0)))</f>
        <v>Realizar las auditorías para la recertificación del Sistema de Gestión de Calidad del Concejo de Bogotá.</v>
      </c>
      <c r="AN8" s="453">
        <f>IF(ISERROR(VLOOKUP(D8,'Base de Datos'!$C$7:$AR$400,20,0))=TRUE," ",(VLOOKUP(D8,'Base de Datos'!$C$7:$AR$400,19,0)))</f>
        <v>7714000</v>
      </c>
      <c r="AO8" s="456">
        <f>IF(ISERROR(VLOOKUP(D8,'Base de Datos'!$C$7:$AR$400,9,0))=TRUE," ",(VLOOKUP(D8,'Base de Datos'!$C$7:$AR$400,9,0)))</f>
        <v>2015</v>
      </c>
      <c r="AP8" s="456">
        <f>IF(ISERROR(VLOOKUP(D8,'Base de Datos'!$C$7:$AR$400,10,0))=TRUE," ",(VLOOKUP(D8,'Base de Datos'!$C$7:$AR$400,10,0)))</f>
        <v>42132</v>
      </c>
      <c r="AQ8" s="458">
        <f>IF(ISERROR(VLOOKUP(D8,'Base de Datos'!$C$7:$AR$400,11,0))=TRUE," ",(VLOOKUP(D8,'Base de Datos'!$C$7:$AR$400,11,0)))</f>
        <v>42144</v>
      </c>
      <c r="AR8" s="459">
        <f>IF(ISERROR(VLOOKUP(D8,'Base de Datos'!$C$7:$AR$400,12,0))=TRUE," ",(VLOOKUP(D8,'Base de Datos'!$C$7:$AR$400,12,0)))</f>
        <v>42236</v>
      </c>
      <c r="AS8" s="458">
        <f>IF(ISERROR(VLOOKUP(D8,'Base de Datos'!$C$7:$AR$400,13,0))=TRUE," ",(VLOOKUP(D8,'Base de Datos'!$C$7:$AR$400,13,0)))</f>
        <v>0</v>
      </c>
      <c r="AT8" s="458">
        <f>IF(ISERROR(VLOOKUP(D8,'Base de Datos'!$C$7:$AR$400,14,0))=TRUE," ",(VLOOKUP(D8,'Base de Datos'!$C$7:$AR$400,14,0)))</f>
        <v>0</v>
      </c>
      <c r="AU8" s="456" t="str">
        <f>IF(ISERROR(VLOOKUP(D8,'Base de Datos'!$C$7:$AR$400,16,0))=TRUE," ",(VLOOKUP(D8,'Base de Datos'!$C$7:$AR$400,16,0)))</f>
        <v/>
      </c>
      <c r="AV8" s="460" t="str">
        <f>IF(ISERROR(VLOOKUP(D8,'Base de Datos'!$C$7:$AR$400,17,0))=TRUE," ",(VLOOKUP(D8,'Base de Datos'!$C$7:$AR$400,17,0)))</f>
        <v/>
      </c>
      <c r="AW8" s="460">
        <f>IF(ISERROR(VLOOKUP(D8,'Base de Datos'!$C$7:$AR$400,18,0))=TRUE," ",(VLOOKUP(D8,'Base de Datos'!$C$7:$AR$400,18,0)))</f>
        <v>42236</v>
      </c>
      <c r="AX8" s="460">
        <f>IF(ISERROR(VLOOKUP(D8,'Base de Datos'!$C$7:$AR$400,19,0))=TRUE," ",(VLOOKUP(D8,'Base de Datos'!$C$7:$AR$400,19,0)))</f>
        <v>7714000</v>
      </c>
      <c r="AY8" s="463">
        <f>IF(ISERROR(VLOOKUP(D8,'Base de Datos'!$C$7:$AR$400,21,0))=TRUE," ",(VLOOKUP(D8,'Base de Datos'!$C$7:$AR$400,21,0)))</f>
        <v>0</v>
      </c>
      <c r="AZ8" s="463" t="str">
        <f>IF(ISERROR(VLOOKUP(D8,'Base de Datos'!$C$7:$AR$400,22,0))=TRUE," ",(VLOOKUP(D8,'Base de Datos'!$C$7:$AR$400,22,0)))</f>
        <v>Un pago, una vez realizada la auditoría</v>
      </c>
      <c r="BA8" s="470"/>
      <c r="BB8" s="480"/>
    </row>
    <row r="9" spans="1:54" ht="55.5" hidden="1" customHeight="1" x14ac:dyDescent="0.25">
      <c r="B9" s="433">
        <v>3</v>
      </c>
      <c r="C9" s="441" t="s">
        <v>1642</v>
      </c>
      <c r="D9" s="433">
        <v>124</v>
      </c>
      <c r="E9" s="441" t="s">
        <v>1643</v>
      </c>
      <c r="F9" s="442">
        <f>VLOOKUP(D9,'Presupuesto - PAA 2015'!$B$10:$E$265,4,0)</f>
        <v>60000000</v>
      </c>
      <c r="G9" s="434" t="str">
        <f>VLOOKUP(D9,'[4]Seguimiento Plan'!$C$2:$R$101,16,0)</f>
        <v>Prestar los servicios profesionales para acompañar la definición, contratación y seguimiento a los temas de infraestructura física que requiera el Concejo de Bogotá.</v>
      </c>
      <c r="H9" s="434" t="s">
        <v>1776</v>
      </c>
      <c r="I9" s="434" t="s">
        <v>1711</v>
      </c>
      <c r="J9" s="443" t="s">
        <v>908</v>
      </c>
      <c r="K9" s="444" t="s">
        <v>390</v>
      </c>
      <c r="L9" s="444" t="str">
        <f>VLOOKUP(D9,'[4]Seguimiento Plan'!$C$2:$AJ$101,30,0)</f>
        <v>SI</v>
      </c>
      <c r="M9" s="445">
        <f>VLOOKUP(D9,'[4]Seguimiento Plan'!$C$2:$AJ$101,31,0)</f>
        <v>42013</v>
      </c>
      <c r="N9" s="444"/>
      <c r="O9" s="446"/>
      <c r="P9" s="446"/>
      <c r="Q9" s="446"/>
      <c r="R9" s="447"/>
      <c r="S9" s="465" t="s">
        <v>1550</v>
      </c>
      <c r="T9" s="448" t="s">
        <v>254</v>
      </c>
      <c r="U9" s="450" t="str">
        <f>IF(ISERROR(VLOOKUP(T9,'Base de Datos'!$E$7:$AR$302,3,0))=TRUE," ",(VLOOKUP(T9,'Base de Datos'!$E$7:$AR$302,2,0)))</f>
        <v>ROSA ENRIQUELINA GÓMEZ CORREDOR</v>
      </c>
      <c r="V9" s="453">
        <f>IF(ISERROR(VLOOKUP(T9,'Base de Datos'!$E$7:$AR$302,5,0))=TRUE," ",(VLOOKUP(T9,'Base de Datos'!$E$7:$AR$302,5,0)))</f>
        <v>42800000</v>
      </c>
      <c r="W9" s="450">
        <f>IF(ISERROR(VLOOKUP(T9,'Base de Datos'!$E$7:$AR$302,19,0))=TRUE," ",(VLOOKUP(T9,'Base de Datos'!$E$7:$AR$302,19,0)))</f>
        <v>0</v>
      </c>
      <c r="X9" s="455" t="str">
        <f>IF(ISERROR(VLOOKUP(T9,'Base de Datos'!$E$7:$AR$302,8,0))=TRUE," ",(VLOOKUP(T9,'Base de Datos'!$E$7:$AR$302,8,0)))</f>
        <v xml:space="preserve"> </v>
      </c>
      <c r="Y9" s="455">
        <f>IF(ISERROR(VLOOKUP(T9,'Base de Datos'!$E$7:$AR$302,9,0))=TRUE," ",(VLOOKUP(T9,'Base de Datos'!$E$7:$AR$302,9,0)))</f>
        <v>41701</v>
      </c>
      <c r="Z9" s="449">
        <f>IF(ISERROR(VLOOKUP(T9,'Base de Datos'!$E$7:$AR$302,10,0))=TRUE," ",(VLOOKUP(T9,'Base de Datos'!$E$7:$AR$302,10,0)))</f>
        <v>42006</v>
      </c>
      <c r="AA9" s="452">
        <f>IF(ISERROR(VLOOKUP(T9,'Base de Datos'!$E$7:$AR$302,11,0))=TRUE," ",(VLOOKUP(T9,'Base de Datos'!$E$7:$AR$302,11,0)))</f>
        <v>0</v>
      </c>
      <c r="AB9" s="449">
        <f>IF(ISERROR(VLOOKUP(T9,'Base de Datos'!$E$7:$AR$302,12,0))=TRUE," ",(VLOOKUP(T9,'Base de Datos'!$E$7:$AR$302,12,0)))</f>
        <v>0</v>
      </c>
      <c r="AC9" s="449">
        <f>IF(ISERROR(VLOOKUP(T9,'Base de Datos'!$E$7:$AR$302,12,0))=TRUE," ",(VLOOKUP(T9,'Base de Datos'!$E$7:$AR$302,12,0)))</f>
        <v>0</v>
      </c>
      <c r="AD9" s="455" t="str">
        <f>IF(ISERROR(VLOOKUP(T9,'Base de Datos'!$E$7:$AR$302,15,0))=TRUE," ",(VLOOKUP(T9,'Base de Datos'!$E$7:$AR$302,15,0)))</f>
        <v/>
      </c>
      <c r="AE9" s="460">
        <f>IF(ISERROR(VLOOKUP(T9,'Base de Datos'!$E$7:$AR$302,16,0))=TRUE," ",(VLOOKUP(T9,'Base de Datos'!$E$7:$AR$302,16,0)))</f>
        <v>42006</v>
      </c>
      <c r="AF9" s="460">
        <f>IF(ISERROR(VLOOKUP(T9,'Base de Datos'!$E$7:$AR$302,17,0))=TRUE," ",(VLOOKUP(T9,'Base de Datos'!$E$7:$AR$302,17,0)))</f>
        <v>42800000</v>
      </c>
      <c r="AG9" s="460">
        <f>IF(ISERROR(VLOOKUP(T9,'Base de Datos'!$E$7:$AR$302,18,0))=TRUE," ",(VLOOKUP(T9,'Base de Datos'!$E$7:$AR$302,18,0)))</f>
        <v>42800000</v>
      </c>
      <c r="AH9" s="461" t="str">
        <f>IF(ISERROR(VLOOKUP(T9,'Base de Datos'!$E$7:$AR$302,20,0))=TRUE," ",(VLOOKUP(T9,'Base de Datos'!$E$7:$AR$302,20,0)))</f>
        <v>El pago de los honorarios se efectuará así: a) El primer pago vencido se cancelará en proporción a los días ejecutados en el mes en que se inicie la ejecución del contrato. b) Nueve (09) mensualidades vencidas de  Cuatro millones Ciento Sesenta Mil Pesos ($4.160.000) M/CTE, previa presentación del informe de actividades, del respectivo período, aprobado por el supervisor. c) En el último pago se cancelará el saldo del presente contrato previa presentación del informe final aprobado por el supervisor del contrato.</v>
      </c>
      <c r="AI9" s="461">
        <f>IF(ISERROR(VLOOKUP(T9,'Base de Datos'!$E$7:$AR$302,21,0))=TRUE," ",(VLOOKUP(T9,'Base de Datos'!$E$7:$AR$302,21,0)))</f>
        <v>1</v>
      </c>
      <c r="AJ9" s="455">
        <v>42044</v>
      </c>
      <c r="AK9" s="450" t="str">
        <f>IF(ISERROR(VLOOKUP(D9,'Base de Datos'!$C$7:$AR$400,2,0))=TRUE," ",(VLOOKUP(D9,'Base de Datos'!$C$7:$AR$400,2,0)))</f>
        <v>2015124</v>
      </c>
      <c r="AL9" s="450" t="str">
        <f>IF(ISERROR(VLOOKUP(D9,'Base de Datos'!$C$7:$AR$400,3,0))=TRUE," ",(VLOOKUP(D9,'Base de Datos'!$C$7:$AR$400,3,0)))</f>
        <v>150049-0-2015</v>
      </c>
      <c r="AM9" s="453" t="str">
        <f>IF(ISERROR(VLOOKUP(D9,'Base de Datos'!$C$7:$AR$3761,6,0))=TRUE," ",(VLOOKUP(D9,'Base de Datos'!$C$7:$AR$400,6,0)))</f>
        <v>Prestar los servicios profesionales para acompañar la definición, contratación y seguimiento de los temas de infraestructura física que requiera el Concejo de Bogotá, D.C.</v>
      </c>
      <c r="AN9" s="453">
        <f>IF(ISERROR(VLOOKUP(D9,'Base de Datos'!$C$7:$AR$400,20,0))=TRUE," ",(VLOOKUP(D9,'Base de Datos'!$C$7:$AR$400,19,0)))</f>
        <v>60000000</v>
      </c>
      <c r="AO9" s="456">
        <f>IF(ISERROR(VLOOKUP(D9,'Base de Datos'!$C$7:$AR$400,9,0))=TRUE," ",(VLOOKUP(D9,'Base de Datos'!$C$7:$AR$400,9,0)))</f>
        <v>2015</v>
      </c>
      <c r="AP9" s="456">
        <f>IF(ISERROR(VLOOKUP(D9,'Base de Datos'!$C$7:$AR$400,10,0))=TRUE," ",(VLOOKUP(D9,'Base de Datos'!$C$7:$AR$400,10,0)))</f>
        <v>42044</v>
      </c>
      <c r="AQ9" s="458">
        <f>IF(ISERROR(VLOOKUP(D9,'Base de Datos'!$C$7:$AR$400,11,0))=TRUE," ",(VLOOKUP(D9,'Base de Datos'!$C$7:$AR$400,11,0)))</f>
        <v>42045</v>
      </c>
      <c r="AR9" s="459">
        <f>IF(ISERROR(VLOOKUP(D9,'Base de Datos'!$C$7:$AR$400,12,0))=TRUE," ",(VLOOKUP(D9,'Base de Datos'!$C$7:$AR$400,12,0)))</f>
        <v>42410</v>
      </c>
      <c r="AS9" s="458">
        <f>IF(ISERROR(VLOOKUP(D9,'Base de Datos'!$C$7:$AR$400,13,0))=TRUE," ",(VLOOKUP(D9,'Base de Datos'!$C$7:$AR$400,13,0)))</f>
        <v>0</v>
      </c>
      <c r="AT9" s="458">
        <f>IF(ISERROR(VLOOKUP(D9,'Base de Datos'!$C$7:$AR$400,14,0))=TRUE," ",(VLOOKUP(D9,'Base de Datos'!$C$7:$AR$400,14,0)))</f>
        <v>0</v>
      </c>
      <c r="AU9" s="456" t="str">
        <f>IF(ISERROR(VLOOKUP(D9,'Base de Datos'!$C$7:$AR$400,16,0))=TRUE," ",(VLOOKUP(D9,'Base de Datos'!$C$7:$AR$400,16,0)))</f>
        <v/>
      </c>
      <c r="AV9" s="460" t="str">
        <f>IF(ISERROR(VLOOKUP(D9,'Base de Datos'!$C$7:$AR$400,17,0))=TRUE," ",(VLOOKUP(D9,'Base de Datos'!$C$7:$AR$400,17,0)))</f>
        <v/>
      </c>
      <c r="AW9" s="460">
        <f>IF(ISERROR(VLOOKUP(D9,'Base de Datos'!$C$7:$AR$400,18,0))=TRUE," ",(VLOOKUP(D9,'Base de Datos'!$C$7:$AR$400,18,0)))</f>
        <v>42410</v>
      </c>
      <c r="AX9" s="460">
        <f>IF(ISERROR(VLOOKUP(D9,'Base de Datos'!$C$7:$AR$400,19,0))=TRUE," ",(VLOOKUP(D9,'Base de Datos'!$C$7:$AR$400,19,0)))</f>
        <v>60000000</v>
      </c>
      <c r="AY9" s="463">
        <f>IF(ISERROR(VLOOKUP(D9,'Base de Datos'!$C$7:$AR$400,21,0))=TRUE," ",(VLOOKUP(D9,'Base de Datos'!$C$7:$AR$400,21,0)))</f>
        <v>0</v>
      </c>
      <c r="AZ9" s="463" t="str">
        <f>IF(ISERROR(VLOOKUP(D9,'Base de Datos'!$C$7:$AR$400,22,0))=TRUE," ",(VLOOKUP(D9,'Base de Datos'!$C$7:$AR$400,22,0)))</f>
        <v>Mensual</v>
      </c>
      <c r="BA9" s="470"/>
      <c r="BB9" s="480"/>
    </row>
    <row r="10" spans="1:54" ht="55.5" hidden="1" customHeight="1" x14ac:dyDescent="0.25">
      <c r="B10" s="433">
        <v>4</v>
      </c>
      <c r="C10" s="441" t="s">
        <v>1642</v>
      </c>
      <c r="D10" s="433">
        <v>125</v>
      </c>
      <c r="E10" s="441" t="s">
        <v>1643</v>
      </c>
      <c r="F10" s="442">
        <f>VLOOKUP(D10,'Presupuesto - PAA 2015'!$B$10:$E$265,4,0)</f>
        <v>63654000</v>
      </c>
      <c r="G10" s="434" t="str">
        <f>VLOOKUP(D10,'[4]Seguimiento Plan'!$C$2:$R$101,16,0)</f>
        <v xml:space="preserve">Prestar los servicios profesionales para apoyar  en la supervisión de los contratos que le sean asignadas al Concejo de Bogotá, implementando mecanismos que le permitan contribuir efectivamente al seguimiento técnico, administrativo, financiero, contable </v>
      </c>
      <c r="H10" s="434" t="s">
        <v>1776</v>
      </c>
      <c r="I10" s="434" t="s">
        <v>1711</v>
      </c>
      <c r="J10" s="443" t="s">
        <v>908</v>
      </c>
      <c r="K10" s="444" t="s">
        <v>390</v>
      </c>
      <c r="L10" s="444" t="str">
        <f>VLOOKUP(D10,'[4]Seguimiento Plan'!$C$2:$AJ$101,30,0)</f>
        <v>SI</v>
      </c>
      <c r="M10" s="445">
        <f>VLOOKUP(D10,'[4]Seguimiento Plan'!$C$2:$AJ$101,31,0)</f>
        <v>42025</v>
      </c>
      <c r="N10" s="444"/>
      <c r="O10" s="446"/>
      <c r="P10" s="446"/>
      <c r="Q10" s="446"/>
      <c r="R10" s="524"/>
      <c r="S10" s="351" t="s">
        <v>1558</v>
      </c>
      <c r="T10" s="448"/>
      <c r="U10" s="450" t="str">
        <f>IF(ISERROR(VLOOKUP(T10,'Base de Datos'!$E$7:$AR$302,3,0))=TRUE," ",(VLOOKUP(T10,'Base de Datos'!$E$7:$AR$302,2,0)))</f>
        <v xml:space="preserve"> </v>
      </c>
      <c r="V10" s="453" t="str">
        <f>IF(ISERROR(VLOOKUP(T10,'Base de Datos'!$E$7:$AR$302,5,0))=TRUE," ",(VLOOKUP(T10,'Base de Datos'!$E$7:$AR$302,5,0)))</f>
        <v xml:space="preserve"> </v>
      </c>
      <c r="W10" s="450" t="str">
        <f>IF(ISERROR(VLOOKUP(T10,'Base de Datos'!$E$7:$AR$302,19,0))=TRUE," ",(VLOOKUP(T10,'Base de Datos'!$E$7:$AR$302,19,0)))</f>
        <v xml:space="preserve"> </v>
      </c>
      <c r="X10" s="455" t="str">
        <f>IF(ISERROR(VLOOKUP(T10,'Base de Datos'!$E$7:$AR$302,8,0))=TRUE," ",(VLOOKUP(T10,'Base de Datos'!$E$7:$AR$302,8,0)))</f>
        <v xml:space="preserve"> </v>
      </c>
      <c r="Y10" s="455" t="str">
        <f>IF(ISERROR(VLOOKUP(T10,'Base de Datos'!$E$7:$AR$302,9,0))=TRUE," ",(VLOOKUP(T10,'Base de Datos'!$E$7:$AR$302,9,0)))</f>
        <v xml:space="preserve"> </v>
      </c>
      <c r="Z10" s="449" t="str">
        <f>IF(ISERROR(VLOOKUP(T10,'Base de Datos'!$E$7:$AR$302,10,0))=TRUE," ",(VLOOKUP(T10,'Base de Datos'!$E$7:$AR$302,10,0)))</f>
        <v xml:space="preserve"> </v>
      </c>
      <c r="AA10" s="452" t="str">
        <f>IF(ISERROR(VLOOKUP(T10,'Base de Datos'!$E$7:$AR$302,11,0))=TRUE," ",(VLOOKUP(T10,'Base de Datos'!$E$7:$AR$302,11,0)))</f>
        <v xml:space="preserve"> </v>
      </c>
      <c r="AB10" s="449" t="str">
        <f>IF(ISERROR(VLOOKUP(T10,'Base de Datos'!$E$7:$AR$302,12,0))=TRUE," ",(VLOOKUP(T10,'Base de Datos'!$E$7:$AR$302,12,0)))</f>
        <v xml:space="preserve"> </v>
      </c>
      <c r="AC10" s="449" t="str">
        <f>IF(ISERROR(VLOOKUP(T10,'Base de Datos'!$E$7:$AR$302,12,0))=TRUE," ",(VLOOKUP(T10,'Base de Datos'!$E$7:$AR$302,12,0)))</f>
        <v xml:space="preserve"> </v>
      </c>
      <c r="AD10" s="455" t="str">
        <f>IF(ISERROR(VLOOKUP(T10,'Base de Datos'!$E$7:$AR$302,15,0))=TRUE," ",(VLOOKUP(T10,'Base de Datos'!$E$7:$AR$302,15,0)))</f>
        <v xml:space="preserve"> </v>
      </c>
      <c r="AE10" s="460" t="str">
        <f>IF(ISERROR(VLOOKUP(T10,'Base de Datos'!$E$7:$AR$302,16,0))=TRUE," ",(VLOOKUP(T10,'Base de Datos'!$E$7:$AR$302,16,0)))</f>
        <v xml:space="preserve"> </v>
      </c>
      <c r="AF10" s="460" t="str">
        <f>IF(ISERROR(VLOOKUP(T10,'Base de Datos'!$E$7:$AR$302,17,0))=TRUE," ",(VLOOKUP(T10,'Base de Datos'!$E$7:$AR$302,17,0)))</f>
        <v xml:space="preserve"> </v>
      </c>
      <c r="AG10" s="460" t="str">
        <f>IF(ISERROR(VLOOKUP(T10,'Base de Datos'!$E$7:$AR$302,18,0))=TRUE," ",(VLOOKUP(T10,'Base de Datos'!$E$7:$AR$302,18,0)))</f>
        <v xml:space="preserve"> </v>
      </c>
      <c r="AH10" s="461" t="str">
        <f>IF(ISERROR(VLOOKUP(T10,'Base de Datos'!$E$7:$AR$302,20,0))=TRUE," ",(VLOOKUP(T10,'Base de Datos'!$E$7:$AR$302,20,0)))</f>
        <v xml:space="preserve"> </v>
      </c>
      <c r="AI10" s="461" t="str">
        <f>IF(ISERROR(VLOOKUP(T10,'Base de Datos'!$E$7:$AR$302,21,0))=TRUE," ",(VLOOKUP(T10,'Base de Datos'!$E$7:$AR$302,21,0)))</f>
        <v xml:space="preserve"> </v>
      </c>
      <c r="AJ10" s="455">
        <v>42054</v>
      </c>
      <c r="AK10" s="450" t="str">
        <f>IF(ISERROR(VLOOKUP(D10,'Base de Datos'!$C$7:$AR$400,2,0))=TRUE," ",(VLOOKUP(D10,'Base de Datos'!$C$7:$AR$400,2,0)))</f>
        <v>2015125</v>
      </c>
      <c r="AL10" s="450" t="str">
        <f>IF(ISERROR(VLOOKUP(D10,'Base de Datos'!$C$7:$AR$400,3,0))=TRUE," ",(VLOOKUP(D10,'Base de Datos'!$C$7:$AR$400,3,0)))</f>
        <v>150081-0-2015</v>
      </c>
      <c r="AM10" s="453" t="str">
        <f>IF(ISERROR(VLOOKUP(D10,'Base de Datos'!$C$7:$AR$3761,6,0))=TRUE," ",(VLOOKUP(D10,'Base de Datos'!$C$7:$AR$400,6,0)))</f>
        <v>Apoyar en la supervisión de los contratos que le sean asignados al Concejo de Bogotá, implementando mecanismos que le permitan contribuir efectivamente al seguimiento técnico administrativo, financiero, contable y jurídico sobre el cumplimiento de cada contrato.</v>
      </c>
      <c r="AN10" s="453">
        <f>IF(ISERROR(VLOOKUP(D10,'Base de Datos'!$C$7:$AR$400,20,0))=TRUE," ",(VLOOKUP(D10,'Base de Datos'!$C$7:$AR$400,19,0)))</f>
        <v>63654000</v>
      </c>
      <c r="AO10" s="456">
        <f>IF(ISERROR(VLOOKUP(D10,'Base de Datos'!$C$7:$AR$400,9,0))=TRUE," ",(VLOOKUP(D10,'Base de Datos'!$C$7:$AR$400,9,0)))</f>
        <v>2015</v>
      </c>
      <c r="AP10" s="456">
        <f>IF(ISERROR(VLOOKUP(D10,'Base de Datos'!$C$7:$AR$400,10,0))=TRUE," ",(VLOOKUP(D10,'Base de Datos'!$C$7:$AR$400,10,0)))</f>
        <v>42054</v>
      </c>
      <c r="AQ10" s="458">
        <f>IF(ISERROR(VLOOKUP(D10,'Base de Datos'!$C$7:$AR$400,11,0))=TRUE," ",(VLOOKUP(D10,'Base de Datos'!$C$7:$AR$400,11,0)))</f>
        <v>42060</v>
      </c>
      <c r="AR10" s="459">
        <f>IF(ISERROR(VLOOKUP(D10,'Base de Datos'!$C$7:$AR$400,12,0))=TRUE," ",(VLOOKUP(D10,'Base de Datos'!$C$7:$AR$400,12,0)))</f>
        <v>42425</v>
      </c>
      <c r="AS10" s="458">
        <f>IF(ISERROR(VLOOKUP(D10,'Base de Datos'!$C$7:$AR$400,13,0))=TRUE," ",(VLOOKUP(D10,'Base de Datos'!$C$7:$AR$400,13,0)))</f>
        <v>0</v>
      </c>
      <c r="AT10" s="458">
        <f>IF(ISERROR(VLOOKUP(D10,'Base de Datos'!$C$7:$AR$400,14,0))=TRUE," ",(VLOOKUP(D10,'Base de Datos'!$C$7:$AR$400,14,0)))</f>
        <v>0</v>
      </c>
      <c r="AU10" s="456" t="str">
        <f>IF(ISERROR(VLOOKUP(D10,'Base de Datos'!$C$7:$AR$400,16,0))=TRUE," ",(VLOOKUP(D10,'Base de Datos'!$C$7:$AR$400,16,0)))</f>
        <v>3 meses y 14 días</v>
      </c>
      <c r="AV10" s="460">
        <f>IF(ISERROR(VLOOKUP(D10,'Base de Datos'!$C$7:$AR$400,17,0))=TRUE," ",(VLOOKUP(D10,'Base de Datos'!$C$7:$AR$400,17,0)))</f>
        <v>42530</v>
      </c>
      <c r="AW10" s="460">
        <f>IF(ISERROR(VLOOKUP(D10,'Base de Datos'!$C$7:$AR$400,18,0))=TRUE," ",(VLOOKUP(D10,'Base de Datos'!$C$7:$AR$400,18,0)))</f>
        <v>42530</v>
      </c>
      <c r="AX10" s="460">
        <f>IF(ISERROR(VLOOKUP(D10,'Base de Datos'!$C$7:$AR$400,19,0))=TRUE," ",(VLOOKUP(D10,'Base de Datos'!$C$7:$AR$400,19,0)))</f>
        <v>63654000</v>
      </c>
      <c r="AY10" s="463">
        <f>IF(ISERROR(VLOOKUP(D10,'Base de Datos'!$C$7:$AR$400,21,0))=TRUE," ",(VLOOKUP(D10,'Base de Datos'!$C$7:$AR$400,21,0)))</f>
        <v>884083</v>
      </c>
      <c r="AZ10" s="463" t="str">
        <f>IF(ISERROR(VLOOKUP(D10,'Base de Datos'!$C$7:$AR$400,22,0))=TRUE," ",(VLOOKUP(D10,'Base de Datos'!$C$7:$AR$400,22,0)))</f>
        <v>Mensual</v>
      </c>
      <c r="BA10" s="470"/>
      <c r="BB10" s="480"/>
    </row>
    <row r="11" spans="1:54" ht="55.5" hidden="1" customHeight="1" x14ac:dyDescent="0.25">
      <c r="B11" s="433">
        <v>5</v>
      </c>
      <c r="C11" s="441" t="s">
        <v>1642</v>
      </c>
      <c r="D11" s="433">
        <v>126</v>
      </c>
      <c r="E11" s="441" t="s">
        <v>1643</v>
      </c>
      <c r="F11" s="442">
        <f>VLOOKUP(D11,'Presupuesto - PAA 2015'!$B$10:$E$265,4,0)</f>
        <v>48000000</v>
      </c>
      <c r="G11" s="434" t="str">
        <f>VLOOKUP(D11,'[4]Seguimiento Plan'!$C$2:$R$101,16,0)</f>
        <v>Prestar los servicios profesionales para la actualización, administración, publicación y salvaguarda de la información publicada en la página WEB oficial del Concejo de Bogotá D.C.</v>
      </c>
      <c r="H11" s="434" t="s">
        <v>1776</v>
      </c>
      <c r="I11" s="434" t="s">
        <v>1711</v>
      </c>
      <c r="J11" s="443" t="s">
        <v>908</v>
      </c>
      <c r="K11" s="444" t="s">
        <v>390</v>
      </c>
      <c r="L11" s="444" t="str">
        <f>VLOOKUP(D11,'[4]Seguimiento Plan'!$C$2:$AJ$101,30,0)</f>
        <v>SI</v>
      </c>
      <c r="M11" s="445">
        <f>VLOOKUP(D11,'[4]Seguimiento Plan'!$C$2:$AJ$101,31,0)</f>
        <v>42013</v>
      </c>
      <c r="N11" s="444"/>
      <c r="O11" s="446"/>
      <c r="P11" s="446"/>
      <c r="Q11" s="446"/>
      <c r="R11" s="524"/>
      <c r="S11" s="351" t="s">
        <v>1554</v>
      </c>
      <c r="T11" s="448" t="s">
        <v>267</v>
      </c>
      <c r="U11" s="450" t="str">
        <f>IF(ISERROR(VLOOKUP(T11,'Base de Datos'!$E$7:$AR$302,3,0))=TRUE," ",(VLOOKUP(T11,'Base de Datos'!$E$7:$AR$302,2,0)))</f>
        <v>WIESNER FABIÁN ROBAYO SALCEDO</v>
      </c>
      <c r="V11" s="453">
        <f>IF(ISERROR(VLOOKUP(T11,'Base de Datos'!$E$7:$AR$302,5,0))=TRUE," ",(VLOOKUP(T11,'Base de Datos'!$E$7:$AR$302,5,0)))</f>
        <v>38830000</v>
      </c>
      <c r="W11" s="450">
        <f>IF(ISERROR(VLOOKUP(T11,'Base de Datos'!$E$7:$AR$302,19,0))=TRUE," ",(VLOOKUP(T11,'Base de Datos'!$E$7:$AR$302,19,0)))</f>
        <v>0</v>
      </c>
      <c r="X11" s="455" t="str">
        <f>IF(ISERROR(VLOOKUP(T11,'Base de Datos'!$E$7:$AR$302,8,0))=TRUE," ",(VLOOKUP(T11,'Base de Datos'!$E$7:$AR$302,8,0)))</f>
        <v xml:space="preserve"> </v>
      </c>
      <c r="Y11" s="455">
        <f>IF(ISERROR(VLOOKUP(T11,'Base de Datos'!$E$7:$AR$302,9,0))=TRUE," ",(VLOOKUP(T11,'Base de Datos'!$E$7:$AR$302,9,0)))</f>
        <v>41708</v>
      </c>
      <c r="Z11" s="449">
        <f>IF(ISERROR(VLOOKUP(T11,'Base de Datos'!$E$7:$AR$302,10,0))=TRUE," ",(VLOOKUP(T11,'Base de Datos'!$E$7:$AR$302,10,0)))</f>
        <v>42013</v>
      </c>
      <c r="AA11" s="452">
        <f>IF(ISERROR(VLOOKUP(T11,'Base de Datos'!$E$7:$AR$302,11,0))=TRUE," ",(VLOOKUP(T11,'Base de Datos'!$E$7:$AR$302,11,0)))</f>
        <v>0</v>
      </c>
      <c r="AB11" s="449">
        <f>IF(ISERROR(VLOOKUP(T11,'Base de Datos'!$E$7:$AR$302,12,0))=TRUE," ",(VLOOKUP(T11,'Base de Datos'!$E$7:$AR$302,12,0)))</f>
        <v>0</v>
      </c>
      <c r="AC11" s="449">
        <f>IF(ISERROR(VLOOKUP(T11,'Base de Datos'!$E$7:$AR$302,12,0))=TRUE," ",(VLOOKUP(T11,'Base de Datos'!$E$7:$AR$302,12,0)))</f>
        <v>0</v>
      </c>
      <c r="AD11" s="455" t="str">
        <f>IF(ISERROR(VLOOKUP(T11,'Base de Datos'!$E$7:$AR$302,15,0))=TRUE," ",(VLOOKUP(T11,'Base de Datos'!$E$7:$AR$302,15,0)))</f>
        <v/>
      </c>
      <c r="AE11" s="460">
        <f>IF(ISERROR(VLOOKUP(T11,'Base de Datos'!$E$7:$AR$302,16,0))=TRUE," ",(VLOOKUP(T11,'Base de Datos'!$E$7:$AR$302,16,0)))</f>
        <v>42013</v>
      </c>
      <c r="AF11" s="460">
        <f>IF(ISERROR(VLOOKUP(T11,'Base de Datos'!$E$7:$AR$302,17,0))=TRUE," ",(VLOOKUP(T11,'Base de Datos'!$E$7:$AR$302,17,0)))</f>
        <v>38830000</v>
      </c>
      <c r="AG11" s="460">
        <f>IF(ISERROR(VLOOKUP(T11,'Base de Datos'!$E$7:$AR$302,18,0))=TRUE," ",(VLOOKUP(T11,'Base de Datos'!$E$7:$AR$302,18,0)))</f>
        <v>38830000</v>
      </c>
      <c r="AH11" s="461" t="str">
        <f>IF(ISERROR(VLOOKUP(T11,'Base de Datos'!$E$7:$AR$302,20,0))=TRUE," ",(VLOOKUP(T11,'Base de Datos'!$E$7:$AR$302,20,0)))</f>
        <v xml:space="preserve">El pago de los honorarios se efectuará así: a) El primer pago vencido se cancelará en proporción a los días ejecutados en el mes en que se inicie la ejecución del contrato. b) Nueve (9) mensualidades vencidas de TRES MILLONES OCHOCIENTOS OCHENTA Y TRES MIL PESOS M/CTE ($ 3.883.000), previa presentación del informe de actividades, del respectivo período, aprobado por el supervisor. c) En el último pago se cancelará el saldo del presente contrato previa presentación del informe final aprobado por el </v>
      </c>
      <c r="AI11" s="461">
        <f>IF(ISERROR(VLOOKUP(T11,'Base de Datos'!$E$7:$AR$302,21,0))=TRUE," ",(VLOOKUP(T11,'Base de Datos'!$E$7:$AR$302,21,0)))</f>
        <v>1</v>
      </c>
      <c r="AJ11" s="455">
        <v>42051</v>
      </c>
      <c r="AK11" s="450" t="str">
        <f>IF(ISERROR(VLOOKUP(D11,'Base de Datos'!$C$7:$AR$400,2,0))=TRUE," ",(VLOOKUP(D11,'Base de Datos'!$C$7:$AR$400,2,0)))</f>
        <v>2015126</v>
      </c>
      <c r="AL11" s="450" t="str">
        <f>IF(ISERROR(VLOOKUP(D11,'Base de Datos'!$C$7:$AR$400,3,0))=TRUE," ",(VLOOKUP(D11,'Base de Datos'!$C$7:$AR$400,3,0)))</f>
        <v>150067-0-2015</v>
      </c>
      <c r="AM11" s="453" t="str">
        <f>IF(ISERROR(VLOOKUP(D11,'Base de Datos'!$C$7:$AR$3761,6,0))=TRUE," ",(VLOOKUP(D11,'Base de Datos'!$C$7:$AR$400,6,0)))</f>
        <v>Prestar servicios profesionales para la actualización, administración, publicación y salvaguarda de la información publicada en la pagina WEB oficial del Concejo de Bogotá D. C.</v>
      </c>
      <c r="AN11" s="453">
        <f>IF(ISERROR(VLOOKUP(D11,'Base de Datos'!$C$7:$AR$400,20,0))=TRUE," ",(VLOOKUP(D11,'Base de Datos'!$C$7:$AR$400,19,0)))</f>
        <v>48000000</v>
      </c>
      <c r="AO11" s="456">
        <f>IF(ISERROR(VLOOKUP(D11,'Base de Datos'!$C$7:$AR$400,9,0))=TRUE," ",(VLOOKUP(D11,'Base de Datos'!$C$7:$AR$400,9,0)))</f>
        <v>2015</v>
      </c>
      <c r="AP11" s="456">
        <f>IF(ISERROR(VLOOKUP(D11,'Base de Datos'!$C$7:$AR$400,10,0))=TRUE," ",(VLOOKUP(D11,'Base de Datos'!$C$7:$AR$400,10,0)))</f>
        <v>42051</v>
      </c>
      <c r="AQ11" s="458">
        <f>IF(ISERROR(VLOOKUP(D11,'Base de Datos'!$C$7:$AR$400,11,0))=TRUE," ",(VLOOKUP(D11,'Base de Datos'!$C$7:$AR$400,11,0)))</f>
        <v>42053</v>
      </c>
      <c r="AR11" s="459">
        <f>IF(ISERROR(VLOOKUP(D11,'Base de Datos'!$C$7:$AR$400,12,0))=TRUE," ",(VLOOKUP(D11,'Base de Datos'!$C$7:$AR$400,12,0)))</f>
        <v>42418</v>
      </c>
      <c r="AS11" s="458">
        <f>IF(ISERROR(VLOOKUP(D11,'Base de Datos'!$C$7:$AR$400,13,0))=TRUE," ",(VLOOKUP(D11,'Base de Datos'!$C$7:$AR$400,13,0)))</f>
        <v>0</v>
      </c>
      <c r="AT11" s="458">
        <f>IF(ISERROR(VLOOKUP(D11,'Base de Datos'!$C$7:$AR$400,14,0))=TRUE," ",(VLOOKUP(D11,'Base de Datos'!$C$7:$AR$400,14,0)))</f>
        <v>0</v>
      </c>
      <c r="AU11" s="456" t="str">
        <f>IF(ISERROR(VLOOKUP(D11,'Base de Datos'!$C$7:$AR$400,16,0))=TRUE," ",(VLOOKUP(D11,'Base de Datos'!$C$7:$AR$400,16,0)))</f>
        <v/>
      </c>
      <c r="AV11" s="460" t="str">
        <f>IF(ISERROR(VLOOKUP(D11,'Base de Datos'!$C$7:$AR$400,17,0))=TRUE," ",(VLOOKUP(D11,'Base de Datos'!$C$7:$AR$400,17,0)))</f>
        <v/>
      </c>
      <c r="AW11" s="460">
        <f>IF(ISERROR(VLOOKUP(D11,'Base de Datos'!$C$7:$AR$400,18,0))=TRUE," ",(VLOOKUP(D11,'Base de Datos'!$C$7:$AR$400,18,0)))</f>
        <v>42418</v>
      </c>
      <c r="AX11" s="460">
        <f>IF(ISERROR(VLOOKUP(D11,'Base de Datos'!$C$7:$AR$400,19,0))=TRUE," ",(VLOOKUP(D11,'Base de Datos'!$C$7:$AR$400,19,0)))</f>
        <v>48000000</v>
      </c>
      <c r="AY11" s="463">
        <f>IF(ISERROR(VLOOKUP(D11,'Base de Datos'!$C$7:$AR$400,21,0))=TRUE," ",(VLOOKUP(D11,'Base de Datos'!$C$7:$AR$400,21,0)))</f>
        <v>0</v>
      </c>
      <c r="AZ11" s="463" t="str">
        <f>IF(ISERROR(VLOOKUP(D11,'Base de Datos'!$C$7:$AR$400,22,0))=TRUE," ",(VLOOKUP(D11,'Base de Datos'!$C$7:$AR$400,22,0)))</f>
        <v>Mensual</v>
      </c>
      <c r="BA11" s="470"/>
      <c r="BB11" s="480"/>
    </row>
    <row r="12" spans="1:54" ht="55.5" hidden="1" customHeight="1" x14ac:dyDescent="0.25">
      <c r="B12" s="433">
        <v>6</v>
      </c>
      <c r="C12" s="441" t="s">
        <v>1642</v>
      </c>
      <c r="D12" s="433">
        <v>127</v>
      </c>
      <c r="E12" s="441" t="s">
        <v>1643</v>
      </c>
      <c r="F12" s="442">
        <f>VLOOKUP(D12,'Presupuesto - PAA 2015'!$B$10:$E$265,4,0)</f>
        <v>78000000</v>
      </c>
      <c r="G12" s="434" t="str">
        <f>VLOOKUP(D12,'[4]Seguimiento Plan'!$C$2:$R$101,16,0)</f>
        <v>Prestar los servicios profesionales para la consolidación y actualización de la estrategia de depuración normativa del Concejo de Bogotá D.C.</v>
      </c>
      <c r="H12" s="434" t="s">
        <v>1776</v>
      </c>
      <c r="I12" s="434" t="s">
        <v>1711</v>
      </c>
      <c r="J12" s="443" t="s">
        <v>908</v>
      </c>
      <c r="K12" s="444" t="s">
        <v>390</v>
      </c>
      <c r="L12" s="444" t="str">
        <f>VLOOKUP(D12,'[4]Seguimiento Plan'!$C$2:$AJ$101,30,0)</f>
        <v>SI</v>
      </c>
      <c r="M12" s="445">
        <f>VLOOKUP(D12,'[4]Seguimiento Plan'!$C$2:$AJ$101,31,0)</f>
        <v>42033</v>
      </c>
      <c r="N12" s="444"/>
      <c r="O12" s="446"/>
      <c r="P12" s="446"/>
      <c r="Q12" s="446"/>
      <c r="R12" s="524"/>
      <c r="S12" s="351" t="s">
        <v>1581</v>
      </c>
      <c r="T12" s="448"/>
      <c r="U12" s="450" t="str">
        <f>IF(ISERROR(VLOOKUP(T12,'Base de Datos'!$E$7:$AR$302,3,0))=TRUE," ",(VLOOKUP(T12,'Base de Datos'!$E$7:$AR$302,2,0)))</f>
        <v xml:space="preserve"> </v>
      </c>
      <c r="V12" s="453" t="str">
        <f>IF(ISERROR(VLOOKUP(T12,'Base de Datos'!$E$7:$AR$302,5,0))=TRUE," ",(VLOOKUP(T12,'Base de Datos'!$E$7:$AR$302,5,0)))</f>
        <v xml:space="preserve"> </v>
      </c>
      <c r="W12" s="450" t="str">
        <f>IF(ISERROR(VLOOKUP(T12,'Base de Datos'!$E$7:$AR$302,19,0))=TRUE," ",(VLOOKUP(T12,'Base de Datos'!$E$7:$AR$302,19,0)))</f>
        <v xml:space="preserve"> </v>
      </c>
      <c r="X12" s="455" t="str">
        <f>IF(ISERROR(VLOOKUP(T12,'Base de Datos'!$E$7:$AR$302,8,0))=TRUE," ",(VLOOKUP(T12,'Base de Datos'!$E$7:$AR$302,8,0)))</f>
        <v xml:space="preserve"> </v>
      </c>
      <c r="Y12" s="455" t="str">
        <f>IF(ISERROR(VLOOKUP(T12,'Base de Datos'!$E$7:$AR$302,9,0))=TRUE," ",(VLOOKUP(T12,'Base de Datos'!$E$7:$AR$302,9,0)))</f>
        <v xml:space="preserve"> </v>
      </c>
      <c r="Z12" s="449" t="str">
        <f>IF(ISERROR(VLOOKUP(T12,'Base de Datos'!$E$7:$AR$302,10,0))=TRUE," ",(VLOOKUP(T12,'Base de Datos'!$E$7:$AR$302,10,0)))</f>
        <v xml:space="preserve"> </v>
      </c>
      <c r="AA12" s="452" t="str">
        <f>IF(ISERROR(VLOOKUP(T12,'Base de Datos'!$E$7:$AR$302,11,0))=TRUE," ",(VLOOKUP(T12,'Base de Datos'!$E$7:$AR$302,11,0)))</f>
        <v xml:space="preserve"> </v>
      </c>
      <c r="AB12" s="449" t="str">
        <f>IF(ISERROR(VLOOKUP(T12,'Base de Datos'!$E$7:$AR$302,12,0))=TRUE," ",(VLOOKUP(T12,'Base de Datos'!$E$7:$AR$302,12,0)))</f>
        <v xml:space="preserve"> </v>
      </c>
      <c r="AC12" s="449" t="str">
        <f>IF(ISERROR(VLOOKUP(T12,'Base de Datos'!$E$7:$AR$302,12,0))=TRUE," ",(VLOOKUP(T12,'Base de Datos'!$E$7:$AR$302,12,0)))</f>
        <v xml:space="preserve"> </v>
      </c>
      <c r="AD12" s="455" t="str">
        <f>IF(ISERROR(VLOOKUP(T12,'Base de Datos'!$E$7:$AR$302,15,0))=TRUE," ",(VLOOKUP(T12,'Base de Datos'!$E$7:$AR$302,15,0)))</f>
        <v xml:space="preserve"> </v>
      </c>
      <c r="AE12" s="460" t="str">
        <f>IF(ISERROR(VLOOKUP(T12,'Base de Datos'!$E$7:$AR$302,16,0))=TRUE," ",(VLOOKUP(T12,'Base de Datos'!$E$7:$AR$302,16,0)))</f>
        <v xml:space="preserve"> </v>
      </c>
      <c r="AF12" s="460" t="str">
        <f>IF(ISERROR(VLOOKUP(T12,'Base de Datos'!$E$7:$AR$302,17,0))=TRUE," ",(VLOOKUP(T12,'Base de Datos'!$E$7:$AR$302,17,0)))</f>
        <v xml:space="preserve"> </v>
      </c>
      <c r="AG12" s="460" t="str">
        <f>IF(ISERROR(VLOOKUP(T12,'Base de Datos'!$E$7:$AR$302,18,0))=TRUE," ",(VLOOKUP(T12,'Base de Datos'!$E$7:$AR$302,18,0)))</f>
        <v xml:space="preserve"> </v>
      </c>
      <c r="AH12" s="461" t="str">
        <f>IF(ISERROR(VLOOKUP(T12,'Base de Datos'!$E$7:$AR$302,20,0))=TRUE," ",(VLOOKUP(T12,'Base de Datos'!$E$7:$AR$302,20,0)))</f>
        <v xml:space="preserve"> </v>
      </c>
      <c r="AI12" s="461" t="str">
        <f>IF(ISERROR(VLOOKUP(T12,'Base de Datos'!$E$7:$AR$302,21,0))=TRUE," ",(VLOOKUP(T12,'Base de Datos'!$E$7:$AR$302,21,0)))</f>
        <v xml:space="preserve"> </v>
      </c>
      <c r="AJ12" s="455">
        <v>42066</v>
      </c>
      <c r="AK12" s="450" t="str">
        <f>IF(ISERROR(VLOOKUP(D12,'Base de Datos'!$C$7:$AR$400,2,0))=TRUE," ",(VLOOKUP(D12,'Base de Datos'!$C$7:$AR$400,2,0)))</f>
        <v>2015127</v>
      </c>
      <c r="AL12" s="450" t="str">
        <f>IF(ISERROR(VLOOKUP(D12,'Base de Datos'!$C$7:$AR$400,3,0))=TRUE," ",(VLOOKUP(D12,'Base de Datos'!$C$7:$AR$400,3,0)))</f>
        <v>150101-0-2015</v>
      </c>
      <c r="AM12" s="453" t="str">
        <f>IF(ISERROR(VLOOKUP(D12,'Base de Datos'!$C$7:$AR$3761,6,0))=TRUE," ",(VLOOKUP(D12,'Base de Datos'!$C$7:$AR$400,6,0)))</f>
        <v>Prestar los servicios profesionales para la consolidación y actualización de la estrategia de la depuración normativa del Concejo de Bogotá D.C.</v>
      </c>
      <c r="AN12" s="453">
        <f>IF(ISERROR(VLOOKUP(D12,'Base de Datos'!$C$7:$AR$400,20,0))=TRUE," ",(VLOOKUP(D12,'Base de Datos'!$C$7:$AR$400,19,0)))</f>
        <v>78000000</v>
      </c>
      <c r="AO12" s="456">
        <f>IF(ISERROR(VLOOKUP(D12,'Base de Datos'!$C$7:$AR$400,9,0))=TRUE," ",(VLOOKUP(D12,'Base de Datos'!$C$7:$AR$400,9,0)))</f>
        <v>2015</v>
      </c>
      <c r="AP12" s="456">
        <f>IF(ISERROR(VLOOKUP(D12,'Base de Datos'!$C$7:$AR$400,10,0))=TRUE," ",(VLOOKUP(D12,'Base de Datos'!$C$7:$AR$400,10,0)))</f>
        <v>42066</v>
      </c>
      <c r="AQ12" s="458">
        <f>IF(ISERROR(VLOOKUP(D12,'Base de Datos'!$C$7:$AR$400,11,0))=TRUE," ",(VLOOKUP(D12,'Base de Datos'!$C$7:$AR$400,11,0)))</f>
        <v>42066</v>
      </c>
      <c r="AR12" s="459">
        <f>IF(ISERROR(VLOOKUP(D12,'Base de Datos'!$C$7:$AR$400,12,0))=TRUE," ",(VLOOKUP(D12,'Base de Datos'!$C$7:$AR$400,12,0)))</f>
        <v>42432</v>
      </c>
      <c r="AS12" s="458">
        <f>IF(ISERROR(VLOOKUP(D12,'Base de Datos'!$C$7:$AR$400,13,0))=TRUE," ",(VLOOKUP(D12,'Base de Datos'!$C$7:$AR$400,13,0)))</f>
        <v>0</v>
      </c>
      <c r="AT12" s="458">
        <f>IF(ISERROR(VLOOKUP(D12,'Base de Datos'!$C$7:$AR$400,14,0))=TRUE," ",(VLOOKUP(D12,'Base de Datos'!$C$7:$AR$400,14,0)))</f>
        <v>0</v>
      </c>
      <c r="AU12" s="456" t="str">
        <f>IF(ISERROR(VLOOKUP(D12,'Base de Datos'!$C$7:$AR$400,16,0))=TRUE," ",(VLOOKUP(D12,'Base de Datos'!$C$7:$AR$400,16,0)))</f>
        <v/>
      </c>
      <c r="AV12" s="460" t="str">
        <f>IF(ISERROR(VLOOKUP(D12,'Base de Datos'!$C$7:$AR$400,17,0))=TRUE," ",(VLOOKUP(D12,'Base de Datos'!$C$7:$AR$400,17,0)))</f>
        <v/>
      </c>
      <c r="AW12" s="460">
        <f>IF(ISERROR(VLOOKUP(D12,'Base de Datos'!$C$7:$AR$400,18,0))=TRUE," ",(VLOOKUP(D12,'Base de Datos'!$C$7:$AR$400,18,0)))</f>
        <v>42432</v>
      </c>
      <c r="AX12" s="460">
        <f>IF(ISERROR(VLOOKUP(D12,'Base de Datos'!$C$7:$AR$400,19,0))=TRUE," ",(VLOOKUP(D12,'Base de Datos'!$C$7:$AR$400,19,0)))</f>
        <v>78000000</v>
      </c>
      <c r="AY12" s="463">
        <f>IF(ISERROR(VLOOKUP(D12,'Base de Datos'!$C$7:$AR$400,21,0))=TRUE," ",(VLOOKUP(D12,'Base de Datos'!$C$7:$AR$400,21,0)))</f>
        <v>0</v>
      </c>
      <c r="AZ12" s="463" t="str">
        <f>IF(ISERROR(VLOOKUP(D12,'Base de Datos'!$C$7:$AR$400,22,0))=TRUE," ",(VLOOKUP(D12,'Base de Datos'!$C$7:$AR$400,22,0)))</f>
        <v>Mensual</v>
      </c>
      <c r="BA12" s="470"/>
      <c r="BB12" s="480"/>
    </row>
    <row r="13" spans="1:54" ht="55.5" hidden="1" customHeight="1" x14ac:dyDescent="0.25">
      <c r="B13" s="433">
        <v>7</v>
      </c>
      <c r="C13" s="441" t="s">
        <v>1642</v>
      </c>
      <c r="D13" s="433">
        <v>128</v>
      </c>
      <c r="E13" s="441" t="s">
        <v>1643</v>
      </c>
      <c r="F13" s="442">
        <f>VLOOKUP(D13,'Presupuesto - PAA 2015'!$B$10:$E$265,4,0)</f>
        <v>38400000</v>
      </c>
      <c r="G13" s="434" t="str">
        <f>VLOOKUP(D13,'[4]Seguimiento Plan'!$C$2:$R$101,16,0)</f>
        <v>Prestar los servicios profesionales para apoyar el proceso de sistemas y seguridad informática del Concejo de Bogotá con especial énfasis en la identificación y mitigación de riesgos.</v>
      </c>
      <c r="H13" s="434" t="s">
        <v>1776</v>
      </c>
      <c r="I13" s="434" t="s">
        <v>1711</v>
      </c>
      <c r="J13" s="443" t="s">
        <v>908</v>
      </c>
      <c r="K13" s="444" t="s">
        <v>390</v>
      </c>
      <c r="L13" s="444" t="str">
        <f>VLOOKUP(D13,'[4]Seguimiento Plan'!$C$2:$AJ$101,30,0)</f>
        <v>SI</v>
      </c>
      <c r="M13" s="445">
        <f>VLOOKUP(D13,'[4]Seguimiento Plan'!$C$2:$AJ$101,31,0)</f>
        <v>42013</v>
      </c>
      <c r="N13" s="444"/>
      <c r="O13" s="446"/>
      <c r="P13" s="446"/>
      <c r="Q13" s="446"/>
      <c r="R13" s="524"/>
      <c r="S13" s="351" t="s">
        <v>1580</v>
      </c>
      <c r="T13" s="448" t="s">
        <v>171</v>
      </c>
      <c r="U13" s="450" t="str">
        <f>IF(ISERROR(VLOOKUP(T13,'Base de Datos'!$E$7:$AR$302,3,0))=TRUE," ",(VLOOKUP(T13,'Base de Datos'!$E$7:$AR$302,2,0)))</f>
        <v>KHAANKO NORBERTO RUIZ RODRÍGUEZ</v>
      </c>
      <c r="V13" s="453">
        <f>IF(ISERROR(VLOOKUP(T13,'Base de Datos'!$E$7:$AR$302,5,0))=TRUE," ",(VLOOKUP(T13,'Base de Datos'!$E$7:$AR$302,5,0)))</f>
        <v>29819999</v>
      </c>
      <c r="W13" s="450">
        <f>IF(ISERROR(VLOOKUP(T13,'Base de Datos'!$E$7:$AR$302,19,0))=TRUE," ",(VLOOKUP(T13,'Base de Datos'!$E$7:$AR$302,19,0)))</f>
        <v>0</v>
      </c>
      <c r="X13" s="455" t="str">
        <f>IF(ISERROR(VLOOKUP(T13,'Base de Datos'!$E$7:$AR$302,8,0))=TRUE," ",(VLOOKUP(T13,'Base de Datos'!$E$7:$AR$302,8,0)))</f>
        <v xml:space="preserve"> </v>
      </c>
      <c r="Y13" s="455">
        <f>IF(ISERROR(VLOOKUP(T13,'Base de Datos'!$E$7:$AR$302,9,0))=TRUE," ",(VLOOKUP(T13,'Base de Datos'!$E$7:$AR$302,9,0)))</f>
        <v>41675</v>
      </c>
      <c r="Z13" s="449">
        <f>IF(ISERROR(VLOOKUP(T13,'Base de Datos'!$E$7:$AR$302,10,0))=TRUE," ",(VLOOKUP(T13,'Base de Datos'!$E$7:$AR$302,10,0)))</f>
        <v>42008</v>
      </c>
      <c r="AA13" s="452">
        <f>IF(ISERROR(VLOOKUP(T13,'Base de Datos'!$E$7:$AR$302,11,0))=TRUE," ",(VLOOKUP(T13,'Base de Datos'!$E$7:$AR$302,11,0)))</f>
        <v>0</v>
      </c>
      <c r="AB13" s="449">
        <f>IF(ISERROR(VLOOKUP(T13,'Base de Datos'!$E$7:$AR$302,12,0))=TRUE," ",(VLOOKUP(T13,'Base de Datos'!$E$7:$AR$302,12,0)))</f>
        <v>0</v>
      </c>
      <c r="AC13" s="449">
        <f>IF(ISERROR(VLOOKUP(T13,'Base de Datos'!$E$7:$AR$302,12,0))=TRUE," ",(VLOOKUP(T13,'Base de Datos'!$E$7:$AR$302,12,0)))</f>
        <v>0</v>
      </c>
      <c r="AD13" s="455" t="str">
        <f>IF(ISERROR(VLOOKUP(T13,'Base de Datos'!$E$7:$AR$302,15,0))=TRUE," ",(VLOOKUP(T13,'Base de Datos'!$E$7:$AR$302,15,0)))</f>
        <v/>
      </c>
      <c r="AE13" s="460">
        <f>IF(ISERROR(VLOOKUP(T13,'Base de Datos'!$E$7:$AR$302,16,0))=TRUE," ",(VLOOKUP(T13,'Base de Datos'!$E$7:$AR$302,16,0)))</f>
        <v>42008</v>
      </c>
      <c r="AF13" s="460">
        <f>IF(ISERROR(VLOOKUP(T13,'Base de Datos'!$E$7:$AR$302,17,0))=TRUE," ",(VLOOKUP(T13,'Base de Datos'!$E$7:$AR$302,17,0)))</f>
        <v>29819999</v>
      </c>
      <c r="AG13" s="460">
        <f>IF(ISERROR(VLOOKUP(T13,'Base de Datos'!$E$7:$AR$302,18,0))=TRUE," ",(VLOOKUP(T13,'Base de Datos'!$E$7:$AR$302,18,0)))</f>
        <v>29819999</v>
      </c>
      <c r="AH13" s="461" t="str">
        <f>IF(ISERROR(VLOOKUP(T13,'Base de Datos'!$E$7:$AR$302,20,0))=TRUE," ",(VLOOKUP(T13,'Base de Datos'!$E$7:$AR$302,20,0)))</f>
        <v>El pago de los honorarios se efectuará así: a) El primer pago vencido se cancelará en proporción a los días ejecutados en el mes en que se inicie la ejecución del contrato. b) Diez (10) mensualidades vencidas de DOS MILLONES SETECIENTOS DIEZ MIL NOVECIENTOS NUEVE MIL PESOS M/CTE ($ 2.710.909), previa presentación del informe de actividades, del respectivo período, aprobado por el supervisor. c) En el último pago se cancelará el saldo del presente contrato previa presentación del informe final aprobado por el supervisor.</v>
      </c>
      <c r="AI13" s="461">
        <f>IF(ISERROR(VLOOKUP(T13,'Base de Datos'!$E$7:$AR$302,21,0))=TRUE," ",(VLOOKUP(T13,'Base de Datos'!$E$7:$AR$302,21,0)))</f>
        <v>1</v>
      </c>
      <c r="AJ13" s="455">
        <v>42062</v>
      </c>
      <c r="AK13" s="450" t="str">
        <f>IF(ISERROR(VLOOKUP(D13,'Base de Datos'!$C$7:$AR$400,2,0))=TRUE," ",(VLOOKUP(D13,'Base de Datos'!$C$7:$AR$400,2,0)))</f>
        <v>2015128</v>
      </c>
      <c r="AL13" s="450" t="str">
        <f>IF(ISERROR(VLOOKUP(D13,'Base de Datos'!$C$7:$AR$400,3,0))=TRUE," ",(VLOOKUP(D13,'Base de Datos'!$C$7:$AR$400,3,0)))</f>
        <v>150100-0-2015</v>
      </c>
      <c r="AM13" s="453" t="str">
        <f>IF(ISERROR(VLOOKUP(D13,'Base de Datos'!$C$7:$AR$3761,6,0))=TRUE," ",(VLOOKUP(D13,'Base de Datos'!$C$7:$AR$400,6,0)))</f>
        <v>Prestar servicios profesionales para apoyar el proceso de sistemas y seguridad informática del Concejo de Bogotá con especial énfasis en la identificación y mitigación de riesgos.</v>
      </c>
      <c r="AN13" s="453">
        <f>IF(ISERROR(VLOOKUP(D13,'Base de Datos'!$C$7:$AR$400,20,0))=TRUE," ",(VLOOKUP(D13,'Base de Datos'!$C$7:$AR$400,19,0)))</f>
        <v>38400000</v>
      </c>
      <c r="AO13" s="456">
        <f>IF(ISERROR(VLOOKUP(D13,'Base de Datos'!$C$7:$AR$400,9,0))=TRUE," ",(VLOOKUP(D13,'Base de Datos'!$C$7:$AR$400,9,0)))</f>
        <v>2015</v>
      </c>
      <c r="AP13" s="456">
        <f>IF(ISERROR(VLOOKUP(D13,'Base de Datos'!$C$7:$AR$400,10,0))=TRUE," ",(VLOOKUP(D13,'Base de Datos'!$C$7:$AR$400,10,0)))</f>
        <v>42062</v>
      </c>
      <c r="AQ13" s="458">
        <f>IF(ISERROR(VLOOKUP(D13,'Base de Datos'!$C$7:$AR$400,11,0))=TRUE," ",(VLOOKUP(D13,'Base de Datos'!$C$7:$AR$400,11,0)))</f>
        <v>42073</v>
      </c>
      <c r="AR13" s="459">
        <f>IF(ISERROR(VLOOKUP(D13,'Base de Datos'!$C$7:$AR$400,12,0))=TRUE," ",(VLOOKUP(D13,'Base de Datos'!$C$7:$AR$400,12,0)))</f>
        <v>42439</v>
      </c>
      <c r="AS13" s="458">
        <f>IF(ISERROR(VLOOKUP(D13,'Base de Datos'!$C$7:$AR$400,13,0))=TRUE," ",(VLOOKUP(D13,'Base de Datos'!$C$7:$AR$400,13,0)))</f>
        <v>0</v>
      </c>
      <c r="AT13" s="458">
        <f>IF(ISERROR(VLOOKUP(D13,'Base de Datos'!$C$7:$AR$400,14,0))=TRUE," ",(VLOOKUP(D13,'Base de Datos'!$C$7:$AR$400,14,0)))</f>
        <v>0</v>
      </c>
      <c r="AU13" s="456" t="str">
        <f>IF(ISERROR(VLOOKUP(D13,'Base de Datos'!$C$7:$AR$400,16,0))=TRUE," ",(VLOOKUP(D13,'Base de Datos'!$C$7:$AR$400,16,0)))</f>
        <v/>
      </c>
      <c r="AV13" s="460" t="str">
        <f>IF(ISERROR(VLOOKUP(D13,'Base de Datos'!$C$7:$AR$400,17,0))=TRUE," ",(VLOOKUP(D13,'Base de Datos'!$C$7:$AR$400,17,0)))</f>
        <v/>
      </c>
      <c r="AW13" s="460">
        <f>IF(ISERROR(VLOOKUP(D13,'Base de Datos'!$C$7:$AR$400,18,0))=TRUE," ",(VLOOKUP(D13,'Base de Datos'!$C$7:$AR$400,18,0)))</f>
        <v>42439</v>
      </c>
      <c r="AX13" s="460">
        <f>IF(ISERROR(VLOOKUP(D13,'Base de Datos'!$C$7:$AR$400,19,0))=TRUE," ",(VLOOKUP(D13,'Base de Datos'!$C$7:$AR$400,19,0)))</f>
        <v>38400000</v>
      </c>
      <c r="AY13" s="463">
        <f>IF(ISERROR(VLOOKUP(D13,'Base de Datos'!$C$7:$AR$400,21,0))=TRUE," ",(VLOOKUP(D13,'Base de Datos'!$C$7:$AR$400,21,0)))</f>
        <v>0</v>
      </c>
      <c r="AZ13" s="463" t="str">
        <f>IF(ISERROR(VLOOKUP(D13,'Base de Datos'!$C$7:$AR$400,22,0))=TRUE," ",(VLOOKUP(D13,'Base de Datos'!$C$7:$AR$400,22,0)))</f>
        <v>Mensual</v>
      </c>
      <c r="BA13" s="470"/>
      <c r="BB13" s="480"/>
    </row>
    <row r="14" spans="1:54" ht="55.5" hidden="1" customHeight="1" x14ac:dyDescent="0.25">
      <c r="B14" s="433">
        <v>8</v>
      </c>
      <c r="C14" s="441" t="s">
        <v>1642</v>
      </c>
      <c r="D14" s="433">
        <v>129</v>
      </c>
      <c r="E14" s="441" t="s">
        <v>1643</v>
      </c>
      <c r="F14" s="442">
        <f>VLOOKUP(D14,'Presupuesto - PAA 2015'!$B$10:$E$265,4,0)</f>
        <v>46068000</v>
      </c>
      <c r="G14" s="434" t="str">
        <f>VLOOKUP(D14,'[4]Seguimiento Plan'!$C$2:$R$101,16,0)</f>
        <v>Prestar los servicios profesionales para acompañar al Concejo de Bogotá D.C. en la revisión y estudio de las historias laborales de los funcionarios para la definición técnica y jurídica del cumplimiento de requisitos en los diferentes regímenes de pensió</v>
      </c>
      <c r="H14" s="434" t="s">
        <v>1776</v>
      </c>
      <c r="I14" s="434" t="s">
        <v>1711</v>
      </c>
      <c r="J14" s="443" t="s">
        <v>908</v>
      </c>
      <c r="K14" s="444" t="s">
        <v>390</v>
      </c>
      <c r="L14" s="444" t="str">
        <f>VLOOKUP(D14,'[4]Seguimiento Plan'!$C$2:$AJ$101,30,0)</f>
        <v>SI</v>
      </c>
      <c r="M14" s="445">
        <f>VLOOKUP(D14,'[4]Seguimiento Plan'!$C$2:$AJ$101,31,0)</f>
        <v>42013</v>
      </c>
      <c r="N14" s="444"/>
      <c r="O14" s="446"/>
      <c r="P14" s="446"/>
      <c r="Q14" s="446"/>
      <c r="R14" s="447"/>
      <c r="S14" s="465" t="s">
        <v>1767</v>
      </c>
      <c r="T14" s="448" t="s">
        <v>257</v>
      </c>
      <c r="U14" s="450" t="str">
        <f>IF(ISERROR(VLOOKUP(T14,'Base de Datos'!$E$7:$AR$302,3,0))=TRUE," ",(VLOOKUP(T14,'Base de Datos'!$E$7:$AR$302,2,0)))</f>
        <v>EDGAR EULICES GONZÁLEZ</v>
      </c>
      <c r="V14" s="453">
        <f>IF(ISERROR(VLOOKUP(T14,'Base de Datos'!$E$7:$AR$302,5,0))=TRUE," ",(VLOOKUP(T14,'Base de Datos'!$E$7:$AR$302,5,0)))</f>
        <v>40997000</v>
      </c>
      <c r="W14" s="450">
        <f>IF(ISERROR(VLOOKUP(T14,'Base de Datos'!$E$7:$AR$302,19,0))=TRUE," ",(VLOOKUP(T14,'Base de Datos'!$E$7:$AR$302,19,0)))</f>
        <v>0</v>
      </c>
      <c r="X14" s="455" t="str">
        <f>IF(ISERROR(VLOOKUP(T14,'Base de Datos'!$E$7:$AR$302,8,0))=TRUE," ",(VLOOKUP(T14,'Base de Datos'!$E$7:$AR$302,8,0)))</f>
        <v xml:space="preserve"> </v>
      </c>
      <c r="Y14" s="455">
        <f>IF(ISERROR(VLOOKUP(T14,'Base de Datos'!$E$7:$AR$302,9,0))=TRUE," ",(VLOOKUP(T14,'Base de Datos'!$E$7:$AR$302,9,0)))</f>
        <v>41675</v>
      </c>
      <c r="Z14" s="449">
        <f>IF(ISERROR(VLOOKUP(T14,'Base de Datos'!$E$7:$AR$302,10,0))=TRUE," ",(VLOOKUP(T14,'Base de Datos'!$E$7:$AR$302,10,0)))</f>
        <v>42008</v>
      </c>
      <c r="AA14" s="452">
        <f>IF(ISERROR(VLOOKUP(T14,'Base de Datos'!$E$7:$AR$302,11,0))=TRUE," ",(VLOOKUP(T14,'Base de Datos'!$E$7:$AR$302,11,0)))</f>
        <v>0</v>
      </c>
      <c r="AB14" s="449">
        <f>IF(ISERROR(VLOOKUP(T14,'Base de Datos'!$E$7:$AR$302,12,0))=TRUE," ",(VLOOKUP(T14,'Base de Datos'!$E$7:$AR$302,12,0)))</f>
        <v>0</v>
      </c>
      <c r="AC14" s="449">
        <f>IF(ISERROR(VLOOKUP(T14,'Base de Datos'!$E$7:$AR$302,12,0))=TRUE," ",(VLOOKUP(T14,'Base de Datos'!$E$7:$AR$302,12,0)))</f>
        <v>0</v>
      </c>
      <c r="AD14" s="455" t="str">
        <f>IF(ISERROR(VLOOKUP(T14,'Base de Datos'!$E$7:$AR$302,15,0))=TRUE," ",(VLOOKUP(T14,'Base de Datos'!$E$7:$AR$302,15,0)))</f>
        <v/>
      </c>
      <c r="AE14" s="460">
        <f>IF(ISERROR(VLOOKUP(T14,'Base de Datos'!$E$7:$AR$302,16,0))=TRUE," ",(VLOOKUP(T14,'Base de Datos'!$E$7:$AR$302,16,0)))</f>
        <v>42008</v>
      </c>
      <c r="AF14" s="460">
        <f>IF(ISERROR(VLOOKUP(T14,'Base de Datos'!$E$7:$AR$302,17,0))=TRUE," ",(VLOOKUP(T14,'Base de Datos'!$E$7:$AR$302,17,0)))</f>
        <v>40997000</v>
      </c>
      <c r="AG14" s="460">
        <f>IF(ISERROR(VLOOKUP(T14,'Base de Datos'!$E$7:$AR$302,18,0))=TRUE," ",(VLOOKUP(T14,'Base de Datos'!$E$7:$AR$302,18,0)))</f>
        <v>40997000</v>
      </c>
      <c r="AH14" s="461" t="str">
        <f>IF(ISERROR(VLOOKUP(T14,'Base de Datos'!$E$7:$AR$302,20,0))=TRUE," ",(VLOOKUP(T14,'Base de Datos'!$E$7:$AR$302,20,0)))</f>
        <v xml:space="preserve">El pago de los honorarios se efectuará así: a) El primer pago vencido se cancelará en proporción a los días ejecutados en el mes en que se inicie la ejecución del contrato. b) Seis (06) mensualidades vencidas de  Tres Millones Cuatrocientos Veintisiete Mil Pesos ($3.427.000) M/CTE, previa presentación del informe de actividades, del respectivo período, aprobado por el supervisor. c) En el último pago se cancelará el saldo del presente contrato previa presentación del informe final aprobado por el supervisor del contrato. </v>
      </c>
      <c r="AI14" s="461">
        <f>IF(ISERROR(VLOOKUP(T14,'Base de Datos'!$E$7:$AR$302,21,0))=TRUE," ",(VLOOKUP(T14,'Base de Datos'!$E$7:$AR$302,21,0)))</f>
        <v>1</v>
      </c>
      <c r="AJ14" s="455">
        <v>42033</v>
      </c>
      <c r="AK14" s="450" t="str">
        <f>IF(ISERROR(VLOOKUP(D14,'Base de Datos'!$C$7:$AR$400,2,0))=TRUE," ",(VLOOKUP(D14,'Base de Datos'!$C$7:$AR$400,2,0)))</f>
        <v>2015129</v>
      </c>
      <c r="AL14" s="450" t="str">
        <f>IF(ISERROR(VLOOKUP(D14,'Base de Datos'!$C$7:$AR$400,3,0))=TRUE," ",(VLOOKUP(D14,'Base de Datos'!$C$7:$AR$400,3,0)))</f>
        <v>150035-0-2015</v>
      </c>
      <c r="AM14" s="453" t="str">
        <f>IF(ISERROR(VLOOKUP(D14,'Base de Datos'!$C$7:$AR$3761,6,0))=TRUE," ",(VLOOKUP(D14,'Base de Datos'!$C$7:$AR$400,6,0)))</f>
        <v>Prestar servicios profesionales para acompañar al Concejo de Bogotá D.C., en la revisión y estudio de las historias laborales de los funcionarios para la definición técnica y jurídica del cumplimiento de requisitos en los diferentes regímenes de pensión.</v>
      </c>
      <c r="AN14" s="453">
        <f>IF(ISERROR(VLOOKUP(D14,'Base de Datos'!$C$7:$AR$400,20,0))=TRUE," ",(VLOOKUP(D14,'Base de Datos'!$C$7:$AR$400,19,0)))</f>
        <v>46068000</v>
      </c>
      <c r="AO14" s="456">
        <f>IF(ISERROR(VLOOKUP(D14,'Base de Datos'!$C$7:$AR$400,9,0))=TRUE," ",(VLOOKUP(D14,'Base de Datos'!$C$7:$AR$400,9,0)))</f>
        <v>2015</v>
      </c>
      <c r="AP14" s="456">
        <f>IF(ISERROR(VLOOKUP(D14,'Base de Datos'!$C$7:$AR$400,10,0))=TRUE," ",(VLOOKUP(D14,'Base de Datos'!$C$7:$AR$400,10,0)))</f>
        <v>42033</v>
      </c>
      <c r="AQ14" s="458">
        <f>IF(ISERROR(VLOOKUP(D14,'Base de Datos'!$C$7:$AR$400,11,0))=TRUE," ",(VLOOKUP(D14,'Base de Datos'!$C$7:$AR$400,11,0)))</f>
        <v>42037</v>
      </c>
      <c r="AR14" s="459">
        <f>IF(ISERROR(VLOOKUP(D14,'Base de Datos'!$C$7:$AR$400,12,0))=TRUE," ",(VLOOKUP(D14,'Base de Datos'!$C$7:$AR$400,12,0)))</f>
        <v>42402</v>
      </c>
      <c r="AS14" s="458">
        <f>IF(ISERROR(VLOOKUP(D14,'Base de Datos'!$C$7:$AR$400,13,0))=TRUE," ",(VLOOKUP(D14,'Base de Datos'!$C$7:$AR$400,13,0)))</f>
        <v>0</v>
      </c>
      <c r="AT14" s="458">
        <f>IF(ISERROR(VLOOKUP(D14,'Base de Datos'!$C$7:$AR$400,14,0))=TRUE," ",(VLOOKUP(D14,'Base de Datos'!$C$7:$AR$400,14,0)))</f>
        <v>0</v>
      </c>
      <c r="AU14" s="456" t="str">
        <f>IF(ISERROR(VLOOKUP(D14,'Base de Datos'!$C$7:$AR$400,16,0))=TRUE," ",(VLOOKUP(D14,'Base de Datos'!$C$7:$AR$400,16,0)))</f>
        <v/>
      </c>
      <c r="AV14" s="460" t="str">
        <f>IF(ISERROR(VLOOKUP(D14,'Base de Datos'!$C$7:$AR$400,17,0))=TRUE," ",(VLOOKUP(D14,'Base de Datos'!$C$7:$AR$400,17,0)))</f>
        <v/>
      </c>
      <c r="AW14" s="460">
        <f>IF(ISERROR(VLOOKUP(D14,'Base de Datos'!$C$7:$AR$400,18,0))=TRUE," ",(VLOOKUP(D14,'Base de Datos'!$C$7:$AR$400,18,0)))</f>
        <v>42402</v>
      </c>
      <c r="AX14" s="460">
        <f>IF(ISERROR(VLOOKUP(D14,'Base de Datos'!$C$7:$AR$400,19,0))=TRUE," ",(VLOOKUP(D14,'Base de Datos'!$C$7:$AR$400,19,0)))</f>
        <v>46068000</v>
      </c>
      <c r="AY14" s="463">
        <f>IF(ISERROR(VLOOKUP(D14,'Base de Datos'!$C$7:$AR$400,21,0))=TRUE," ",(VLOOKUP(D14,'Base de Datos'!$C$7:$AR$400,21,0)))</f>
        <v>0</v>
      </c>
      <c r="AZ14" s="463" t="str">
        <f>IF(ISERROR(VLOOKUP(D14,'Base de Datos'!$C$7:$AR$400,22,0))=TRUE," ",(VLOOKUP(D14,'Base de Datos'!$C$7:$AR$400,22,0)))</f>
        <v>Mensual</v>
      </c>
      <c r="BA14" s="470"/>
      <c r="BB14" s="480"/>
    </row>
    <row r="15" spans="1:54" ht="55.5" hidden="1" customHeight="1" x14ac:dyDescent="0.25">
      <c r="B15" s="433">
        <v>9</v>
      </c>
      <c r="C15" s="441" t="s">
        <v>1642</v>
      </c>
      <c r="D15" s="433">
        <v>130</v>
      </c>
      <c r="E15" s="441" t="s">
        <v>1643</v>
      </c>
      <c r="F15" s="442">
        <f>VLOOKUP(D15,'Presupuesto - PAA 2015'!$B$10:$E$265,4,0)</f>
        <v>60000000</v>
      </c>
      <c r="G15" s="434" t="str">
        <f>VLOOKUP(D15,'[4]Seguimiento Plan'!$C$2:$R$101,16,0)</f>
        <v>Prestar los servicios profesionales para elaborar las especificaciones y condiciones técnicas de los procesos para la adquisición de bienes y servicios y apoyar la funcion de supervision de los contratos</v>
      </c>
      <c r="H15" s="434" t="s">
        <v>1776</v>
      </c>
      <c r="I15" s="434" t="s">
        <v>1711</v>
      </c>
      <c r="J15" s="443" t="s">
        <v>908</v>
      </c>
      <c r="K15" s="444" t="s">
        <v>390</v>
      </c>
      <c r="L15" s="444" t="str">
        <f>VLOOKUP(D15,'[4]Seguimiento Plan'!$C$2:$AJ$101,30,0)</f>
        <v>SI</v>
      </c>
      <c r="M15" s="445">
        <f>VLOOKUP(D15,'[4]Seguimiento Plan'!$C$2:$AJ$101,31,0)</f>
        <v>42025</v>
      </c>
      <c r="N15" s="444"/>
      <c r="O15" s="446"/>
      <c r="P15" s="446"/>
      <c r="Q15" s="446"/>
      <c r="R15" s="524"/>
      <c r="S15" s="351" t="s">
        <v>1608</v>
      </c>
      <c r="T15" s="448"/>
      <c r="U15" s="450" t="str">
        <f>IF(ISERROR(VLOOKUP(T15,'Base de Datos'!$E$7:$AR$302,3,0))=TRUE," ",(VLOOKUP(T15,'Base de Datos'!$E$7:$AR$302,2,0)))</f>
        <v xml:space="preserve"> </v>
      </c>
      <c r="V15" s="453" t="str">
        <f>IF(ISERROR(VLOOKUP(T15,'Base de Datos'!$E$7:$AR$302,5,0))=TRUE," ",(VLOOKUP(T15,'Base de Datos'!$E$7:$AR$302,5,0)))</f>
        <v xml:space="preserve"> </v>
      </c>
      <c r="W15" s="450" t="str">
        <f>IF(ISERROR(VLOOKUP(T15,'Base de Datos'!$E$7:$AR$302,19,0))=TRUE," ",(VLOOKUP(T15,'Base de Datos'!$E$7:$AR$302,19,0)))</f>
        <v xml:space="preserve"> </v>
      </c>
      <c r="X15" s="455" t="str">
        <f>IF(ISERROR(VLOOKUP(T15,'Base de Datos'!$E$7:$AR$302,8,0))=TRUE," ",(VLOOKUP(T15,'Base de Datos'!$E$7:$AR$302,8,0)))</f>
        <v xml:space="preserve"> </v>
      </c>
      <c r="Y15" s="455" t="str">
        <f>IF(ISERROR(VLOOKUP(T15,'Base de Datos'!$E$7:$AR$302,9,0))=TRUE," ",(VLOOKUP(T15,'Base de Datos'!$E$7:$AR$302,9,0)))</f>
        <v xml:space="preserve"> </v>
      </c>
      <c r="Z15" s="449" t="str">
        <f>IF(ISERROR(VLOOKUP(T15,'Base de Datos'!$E$7:$AR$302,10,0))=TRUE," ",(VLOOKUP(T15,'Base de Datos'!$E$7:$AR$302,10,0)))</f>
        <v xml:space="preserve"> </v>
      </c>
      <c r="AA15" s="452" t="str">
        <f>IF(ISERROR(VLOOKUP(T15,'Base de Datos'!$E$7:$AR$302,11,0))=TRUE," ",(VLOOKUP(T15,'Base de Datos'!$E$7:$AR$302,11,0)))</f>
        <v xml:space="preserve"> </v>
      </c>
      <c r="AB15" s="449" t="str">
        <f>IF(ISERROR(VLOOKUP(T15,'Base de Datos'!$E$7:$AR$302,12,0))=TRUE," ",(VLOOKUP(T15,'Base de Datos'!$E$7:$AR$302,12,0)))</f>
        <v xml:space="preserve"> </v>
      </c>
      <c r="AC15" s="449" t="str">
        <f>IF(ISERROR(VLOOKUP(T15,'Base de Datos'!$E$7:$AR$302,12,0))=TRUE," ",(VLOOKUP(T15,'Base de Datos'!$E$7:$AR$302,12,0)))</f>
        <v xml:space="preserve"> </v>
      </c>
      <c r="AD15" s="455" t="str">
        <f>IF(ISERROR(VLOOKUP(T15,'Base de Datos'!$E$7:$AR$302,15,0))=TRUE," ",(VLOOKUP(T15,'Base de Datos'!$E$7:$AR$302,15,0)))</f>
        <v xml:space="preserve"> </v>
      </c>
      <c r="AE15" s="460" t="str">
        <f>IF(ISERROR(VLOOKUP(T15,'Base de Datos'!$E$7:$AR$302,16,0))=TRUE," ",(VLOOKUP(T15,'Base de Datos'!$E$7:$AR$302,16,0)))</f>
        <v xml:space="preserve"> </v>
      </c>
      <c r="AF15" s="460" t="str">
        <f>IF(ISERROR(VLOOKUP(T15,'Base de Datos'!$E$7:$AR$302,17,0))=TRUE," ",(VLOOKUP(T15,'Base de Datos'!$E$7:$AR$302,17,0)))</f>
        <v xml:space="preserve"> </v>
      </c>
      <c r="AG15" s="460" t="str">
        <f>IF(ISERROR(VLOOKUP(T15,'Base de Datos'!$E$7:$AR$302,18,0))=TRUE," ",(VLOOKUP(T15,'Base de Datos'!$E$7:$AR$302,18,0)))</f>
        <v xml:space="preserve"> </v>
      </c>
      <c r="AH15" s="461" t="str">
        <f>IF(ISERROR(VLOOKUP(T15,'Base de Datos'!$E$7:$AR$302,20,0))=TRUE," ",(VLOOKUP(T15,'Base de Datos'!$E$7:$AR$302,20,0)))</f>
        <v xml:space="preserve"> </v>
      </c>
      <c r="AI15" s="461" t="str">
        <f>IF(ISERROR(VLOOKUP(T15,'Base de Datos'!$E$7:$AR$302,21,0))=TRUE," ",(VLOOKUP(T15,'Base de Datos'!$E$7:$AR$302,21,0)))</f>
        <v xml:space="preserve"> </v>
      </c>
      <c r="AJ15" s="455">
        <v>42052</v>
      </c>
      <c r="AK15" s="450" t="str">
        <f>IF(ISERROR(VLOOKUP(D15,'Base de Datos'!$C$7:$AR$400,2,0))=TRUE," ",(VLOOKUP(D15,'Base de Datos'!$C$7:$AR$400,2,0)))</f>
        <v>2015130</v>
      </c>
      <c r="AL15" s="450" t="str">
        <f>IF(ISERROR(VLOOKUP(D15,'Base de Datos'!$C$7:$AR$400,3,0))=TRUE," ",(VLOOKUP(D15,'Base de Datos'!$C$7:$AR$400,3,0)))</f>
        <v>150073-0-2015</v>
      </c>
      <c r="AM15" s="453" t="str">
        <f>IF(ISERROR(VLOOKUP(D15,'Base de Datos'!$C$7:$AR$3761,6,0))=TRUE," ",(VLOOKUP(D15,'Base de Datos'!$C$7:$AR$400,6,0)))</f>
        <v>Prestar los servicios profesionales para elaborar las especificaciones técnicas y condiciones técnicas de los procesos para la adquisición de bienes y servicios y apoyar la función de supervisión de los contratos.</v>
      </c>
      <c r="AN15" s="453">
        <f>IF(ISERROR(VLOOKUP(D15,'Base de Datos'!$C$7:$AR$400,20,0))=TRUE," ",(VLOOKUP(D15,'Base de Datos'!$C$7:$AR$400,19,0)))</f>
        <v>60000000</v>
      </c>
      <c r="AO15" s="456">
        <f>IF(ISERROR(VLOOKUP(D15,'Base de Datos'!$C$7:$AR$400,9,0))=TRUE," ",(VLOOKUP(D15,'Base de Datos'!$C$7:$AR$400,9,0)))</f>
        <v>2015</v>
      </c>
      <c r="AP15" s="456">
        <f>IF(ISERROR(VLOOKUP(D15,'Base de Datos'!$C$7:$AR$400,10,0))=TRUE," ",(VLOOKUP(D15,'Base de Datos'!$C$7:$AR$400,10,0)))</f>
        <v>42052</v>
      </c>
      <c r="AQ15" s="458">
        <f>IF(ISERROR(VLOOKUP(D15,'Base de Datos'!$C$7:$AR$400,11,0))=TRUE," ",(VLOOKUP(D15,'Base de Datos'!$C$7:$AR$400,11,0)))</f>
        <v>42054</v>
      </c>
      <c r="AR15" s="459">
        <f>IF(ISERROR(VLOOKUP(D15,'Base de Datos'!$C$7:$AR$400,12,0))=TRUE," ",(VLOOKUP(D15,'Base de Datos'!$C$7:$AR$400,12,0)))</f>
        <v>42419</v>
      </c>
      <c r="AS15" s="458">
        <f>IF(ISERROR(VLOOKUP(D15,'Base de Datos'!$C$7:$AR$400,13,0))=TRUE," ",(VLOOKUP(D15,'Base de Datos'!$C$7:$AR$400,13,0)))</f>
        <v>0</v>
      </c>
      <c r="AT15" s="458">
        <f>IF(ISERROR(VLOOKUP(D15,'Base de Datos'!$C$7:$AR$400,14,0))=TRUE," ",(VLOOKUP(D15,'Base de Datos'!$C$7:$AR$400,14,0)))</f>
        <v>0</v>
      </c>
      <c r="AU15" s="456" t="str">
        <f>IF(ISERROR(VLOOKUP(D15,'Base de Datos'!$C$7:$AR$400,16,0))=TRUE," ",(VLOOKUP(D15,'Base de Datos'!$C$7:$AR$400,16,0)))</f>
        <v/>
      </c>
      <c r="AV15" s="460" t="str">
        <f>IF(ISERROR(VLOOKUP(D15,'Base de Datos'!$C$7:$AR$400,17,0))=TRUE," ",(VLOOKUP(D15,'Base de Datos'!$C$7:$AR$400,17,0)))</f>
        <v/>
      </c>
      <c r="AW15" s="460">
        <f>IF(ISERROR(VLOOKUP(D15,'Base de Datos'!$C$7:$AR$400,18,0))=TRUE," ",(VLOOKUP(D15,'Base de Datos'!$C$7:$AR$400,18,0)))</f>
        <v>42419</v>
      </c>
      <c r="AX15" s="460">
        <f>IF(ISERROR(VLOOKUP(D15,'Base de Datos'!$C$7:$AR$400,19,0))=TRUE," ",(VLOOKUP(D15,'Base de Datos'!$C$7:$AR$400,19,0)))</f>
        <v>60000000</v>
      </c>
      <c r="AY15" s="463">
        <f>IF(ISERROR(VLOOKUP(D15,'Base de Datos'!$C$7:$AR$400,21,0))=TRUE," ",(VLOOKUP(D15,'Base de Datos'!$C$7:$AR$400,21,0)))</f>
        <v>0</v>
      </c>
      <c r="AZ15" s="463" t="str">
        <f>IF(ISERROR(VLOOKUP(D15,'Base de Datos'!$C$7:$AR$400,22,0))=TRUE," ",(VLOOKUP(D15,'Base de Datos'!$C$7:$AR$400,22,0)))</f>
        <v>Mensual</v>
      </c>
      <c r="BA15" s="470"/>
      <c r="BB15" s="480"/>
    </row>
    <row r="16" spans="1:54" ht="55.5" hidden="1" customHeight="1" x14ac:dyDescent="0.25">
      <c r="B16" s="433">
        <v>10</v>
      </c>
      <c r="C16" s="441" t="s">
        <v>1642</v>
      </c>
      <c r="D16" s="433">
        <v>131</v>
      </c>
      <c r="E16" s="441" t="s">
        <v>1643</v>
      </c>
      <c r="F16" s="442">
        <f>VLOOKUP(D16,'Presupuesto - PAA 2015'!$B$10:$E$265,4,0)</f>
        <v>30900000</v>
      </c>
      <c r="G16" s="434" t="str">
        <f>VLOOKUP(D16,'[4]Seguimiento Plan'!$C$2:$R$101,16,0)</f>
        <v>Prestar los servicios profesionales para apoyar la gestión administrativa, documental y contractual en los asuntos de competencia del Concejo de Bogotá.</v>
      </c>
      <c r="H16" s="434" t="s">
        <v>1776</v>
      </c>
      <c r="I16" s="434" t="s">
        <v>1711</v>
      </c>
      <c r="J16" s="443" t="s">
        <v>908</v>
      </c>
      <c r="K16" s="444" t="s">
        <v>390</v>
      </c>
      <c r="L16" s="444" t="str">
        <f>VLOOKUP(D16,'[4]Seguimiento Plan'!$C$2:$AJ$101,30,0)</f>
        <v>SI</v>
      </c>
      <c r="M16" s="445">
        <f>VLOOKUP(D16,'[4]Seguimiento Plan'!$C$2:$AJ$101,31,0)</f>
        <v>42033</v>
      </c>
      <c r="N16" s="444"/>
      <c r="O16" s="446"/>
      <c r="P16" s="446"/>
      <c r="Q16" s="446"/>
      <c r="R16" s="524"/>
      <c r="S16" s="351" t="s">
        <v>1584</v>
      </c>
      <c r="T16" s="343" t="s">
        <v>1071</v>
      </c>
      <c r="U16" s="450" t="str">
        <f>IF(ISERROR(VLOOKUP(T16,'Base de Datos'!$E$7:$AR$302,3,0))=TRUE," ",(VLOOKUP(T16,'Base de Datos'!$E$7:$AR$302,2,0)))</f>
        <v>CRISTIAN DAVID PARDO MARTINEZ</v>
      </c>
      <c r="V16" s="453">
        <f>IF(ISERROR(VLOOKUP(T16,'Base de Datos'!$E$7:$AR$302,5,0))=TRUE," ",(VLOOKUP(T16,'Base de Datos'!$E$7:$AR$302,5,0)))</f>
        <v>10000000</v>
      </c>
      <c r="W16" s="450">
        <f>IF(ISERROR(VLOOKUP(T16,'Base de Datos'!$E$7:$AR$302,19,0))=TRUE," ",(VLOOKUP(T16,'Base de Datos'!$E$7:$AR$302,19,0)))</f>
        <v>0</v>
      </c>
      <c r="X16" s="455" t="str">
        <f>IF(ISERROR(VLOOKUP(T16,'Base de Datos'!$E$7:$AR$302,8,0))=TRUE," ",(VLOOKUP(T16,'Base de Datos'!$E$7:$AR$302,8,0)))</f>
        <v xml:space="preserve"> </v>
      </c>
      <c r="Y16" s="455">
        <f>IF(ISERROR(VLOOKUP(T16,'Base de Datos'!$E$7:$AR$302,9,0))=TRUE," ",(VLOOKUP(T16,'Base de Datos'!$E$7:$AR$302,9,0)))</f>
        <v>41911</v>
      </c>
      <c r="Z16" s="449">
        <f>IF(ISERROR(VLOOKUP(T16,'Base de Datos'!$E$7:$AR$302,10,0))=TRUE," ",(VLOOKUP(T16,'Base de Datos'!$E$7:$AR$302,10,0)))</f>
        <v>42033</v>
      </c>
      <c r="AA16" s="452">
        <f>IF(ISERROR(VLOOKUP(T16,'Base de Datos'!$E$7:$AR$302,11,0))=TRUE," ",(VLOOKUP(T16,'Base de Datos'!$E$7:$AR$302,11,0)))</f>
        <v>0</v>
      </c>
      <c r="AB16" s="449">
        <f>IF(ISERROR(VLOOKUP(T16,'Base de Datos'!$E$7:$AR$302,12,0))=TRUE," ",(VLOOKUP(T16,'Base de Datos'!$E$7:$AR$302,12,0)))</f>
        <v>0</v>
      </c>
      <c r="AC16" s="449">
        <f>IF(ISERROR(VLOOKUP(T16,'Base de Datos'!$E$7:$AR$302,12,0))=TRUE," ",(VLOOKUP(T16,'Base de Datos'!$E$7:$AR$302,12,0)))</f>
        <v>0</v>
      </c>
      <c r="AD16" s="455" t="str">
        <f>IF(ISERROR(VLOOKUP(T16,'Base de Datos'!$E$7:$AR$302,15,0))=TRUE," ",(VLOOKUP(T16,'Base de Datos'!$E$7:$AR$302,15,0)))</f>
        <v/>
      </c>
      <c r="AE16" s="460">
        <f>IF(ISERROR(VLOOKUP(T16,'Base de Datos'!$E$7:$AR$302,16,0))=TRUE," ",(VLOOKUP(T16,'Base de Datos'!$E$7:$AR$302,16,0)))</f>
        <v>42033</v>
      </c>
      <c r="AF16" s="460">
        <f>IF(ISERROR(VLOOKUP(T16,'Base de Datos'!$E$7:$AR$302,17,0))=TRUE," ",(VLOOKUP(T16,'Base de Datos'!$E$7:$AR$302,17,0)))</f>
        <v>10000000</v>
      </c>
      <c r="AG16" s="460">
        <f>IF(ISERROR(VLOOKUP(T16,'Base de Datos'!$E$7:$AR$302,18,0))=TRUE," ",(VLOOKUP(T16,'Base de Datos'!$E$7:$AR$302,18,0)))</f>
        <v>10000000</v>
      </c>
      <c r="AH16" s="461" t="str">
        <f>IF(ISERROR(VLOOKUP(T16,'Base de Datos'!$E$7:$AR$302,20,0))=TRUE," ",(VLOOKUP(T16,'Base de Datos'!$E$7:$AR$302,20,0)))</f>
        <v>El pago de los honorarios se efectuará así: a) El primer pago vencido se cancelará en proporción a los días ejecutados en el mes en que se inicie la ejecución del contrato. b) tres (3) mensualidades vencidas de ($2.500.000) pesos M/CTE, previa presentación del informe de actividades, del respectivo período, aprobado por el supervisor o interventor. c) En el último pago se cancelará el saldo del presente contrato previa presentación del informe final aprobado por el supervisor o interventor del contrato, según corresponda.</v>
      </c>
      <c r="AI16" s="461">
        <f>IF(ISERROR(VLOOKUP(T16,'Base de Datos'!$E$7:$AR$302,21,0))=TRUE," ",(VLOOKUP(T16,'Base de Datos'!$E$7:$AR$302,21,0)))</f>
        <v>1</v>
      </c>
      <c r="AJ16" s="455">
        <v>42066</v>
      </c>
      <c r="AK16" s="450" t="str">
        <f>IF(ISERROR(VLOOKUP(D16,'Base de Datos'!$C$7:$AR$400,2,0))=TRUE," ",(VLOOKUP(D16,'Base de Datos'!$C$7:$AR$400,2,0)))</f>
        <v>2015131</v>
      </c>
      <c r="AL16" s="450" t="str">
        <f>IF(ISERROR(VLOOKUP(D16,'Base de Datos'!$C$7:$AR$400,3,0))=TRUE," ",(VLOOKUP(D16,'Base de Datos'!$C$7:$AR$400,3,0)))</f>
        <v>150102-0-2015</v>
      </c>
      <c r="AM16" s="453" t="str">
        <f>IF(ISERROR(VLOOKUP(D16,'Base de Datos'!$C$7:$AR$3761,6,0))=TRUE," ",(VLOOKUP(D16,'Base de Datos'!$C$7:$AR$400,6,0)))</f>
        <v>Prestar servicios profesionales para apoyar la gestión administrativa, documental y contractual en los asuntos de competencia de la Dirección Financiera del Concejo de Bogotá, D.C.</v>
      </c>
      <c r="AN16" s="453">
        <f>IF(ISERROR(VLOOKUP(D16,'Base de Datos'!$C$7:$AR$400,20,0))=TRUE," ",(VLOOKUP(D16,'Base de Datos'!$C$7:$AR$400,19,0)))</f>
        <v>30900000</v>
      </c>
      <c r="AO16" s="456">
        <f>IF(ISERROR(VLOOKUP(D16,'Base de Datos'!$C$7:$AR$400,9,0))=TRUE," ",(VLOOKUP(D16,'Base de Datos'!$C$7:$AR$400,9,0)))</f>
        <v>2015</v>
      </c>
      <c r="AP16" s="456">
        <f>IF(ISERROR(VLOOKUP(D16,'Base de Datos'!$C$7:$AR$400,10,0))=TRUE," ",(VLOOKUP(D16,'Base de Datos'!$C$7:$AR$400,10,0)))</f>
        <v>42066</v>
      </c>
      <c r="AQ16" s="458">
        <f>IF(ISERROR(VLOOKUP(D16,'Base de Datos'!$C$7:$AR$400,11,0))=TRUE," ",(VLOOKUP(D16,'Base de Datos'!$C$7:$AR$400,11,0)))</f>
        <v>42073</v>
      </c>
      <c r="AR16" s="459">
        <f>IF(ISERROR(VLOOKUP(D16,'Base de Datos'!$C$7:$AR$400,12,0))=TRUE," ",(VLOOKUP(D16,'Base de Datos'!$C$7:$AR$400,12,0)))</f>
        <v>42439</v>
      </c>
      <c r="AS16" s="458">
        <f>IF(ISERROR(VLOOKUP(D16,'Base de Datos'!$C$7:$AR$400,13,0))=TRUE," ",(VLOOKUP(D16,'Base de Datos'!$C$7:$AR$400,13,0)))</f>
        <v>0</v>
      </c>
      <c r="AT16" s="458">
        <f>IF(ISERROR(VLOOKUP(D16,'Base de Datos'!$C$7:$AR$400,14,0))=TRUE," ",(VLOOKUP(D16,'Base de Datos'!$C$7:$AR$400,14,0)))</f>
        <v>0</v>
      </c>
      <c r="AU16" s="456" t="str">
        <f>IF(ISERROR(VLOOKUP(D16,'Base de Datos'!$C$7:$AR$400,16,0))=TRUE," ",(VLOOKUP(D16,'Base de Datos'!$C$7:$AR$400,16,0)))</f>
        <v/>
      </c>
      <c r="AV16" s="460" t="str">
        <f>IF(ISERROR(VLOOKUP(D16,'Base de Datos'!$C$7:$AR$400,17,0))=TRUE," ",(VLOOKUP(D16,'Base de Datos'!$C$7:$AR$400,17,0)))</f>
        <v/>
      </c>
      <c r="AW16" s="460">
        <f>IF(ISERROR(VLOOKUP(D16,'Base de Datos'!$C$7:$AR$400,18,0))=TRUE," ",(VLOOKUP(D16,'Base de Datos'!$C$7:$AR$400,18,0)))</f>
        <v>42439</v>
      </c>
      <c r="AX16" s="460">
        <f>IF(ISERROR(VLOOKUP(D16,'Base de Datos'!$C$7:$AR$400,19,0))=TRUE," ",(VLOOKUP(D16,'Base de Datos'!$C$7:$AR$400,19,0)))</f>
        <v>30900000</v>
      </c>
      <c r="AY16" s="463">
        <f>IF(ISERROR(VLOOKUP(D16,'Base de Datos'!$C$7:$AR$400,21,0))=TRUE," ",(VLOOKUP(D16,'Base de Datos'!$C$7:$AR$400,21,0)))</f>
        <v>0</v>
      </c>
      <c r="AZ16" s="463" t="str">
        <f>IF(ISERROR(VLOOKUP(D16,'Base de Datos'!$C$7:$AR$400,22,0))=TRUE," ",(VLOOKUP(D16,'Base de Datos'!$C$7:$AR$400,22,0)))</f>
        <v>Mensual</v>
      </c>
      <c r="BA16" s="470"/>
      <c r="BB16" s="480"/>
    </row>
    <row r="17" spans="2:54" ht="55.5" hidden="1" customHeight="1" x14ac:dyDescent="0.25">
      <c r="B17" s="433">
        <v>11</v>
      </c>
      <c r="C17" s="441" t="s">
        <v>1642</v>
      </c>
      <c r="D17" s="433">
        <v>132</v>
      </c>
      <c r="E17" s="441" t="s">
        <v>1643</v>
      </c>
      <c r="F17" s="442">
        <f>VLOOKUP(D17,'Presupuesto - PAA 2015'!$B$10:$E$265,4,0)</f>
        <v>30900000</v>
      </c>
      <c r="G17" s="434" t="str">
        <f>VLOOKUP(D17,'[4]Seguimiento Plan'!$C$2:$R$101,16,0)</f>
        <v>Prestar los servicios profesionales para acompañar a la Oficina de Comunicaciones del Concejo de Bogotá en la implementación de estrategias comunicativas</v>
      </c>
      <c r="H17" s="434" t="s">
        <v>1776</v>
      </c>
      <c r="I17" s="434" t="s">
        <v>1711</v>
      </c>
      <c r="J17" s="443" t="s">
        <v>908</v>
      </c>
      <c r="K17" s="444" t="s">
        <v>390</v>
      </c>
      <c r="L17" s="444" t="str">
        <f>VLOOKUP(D17,'[4]Seguimiento Plan'!$C$2:$AJ$101,30,0)</f>
        <v>SI</v>
      </c>
      <c r="M17" s="445">
        <f>VLOOKUP(D17,'[4]Seguimiento Plan'!$C$2:$AJ$101,31,0)</f>
        <v>42025</v>
      </c>
      <c r="N17" s="444"/>
      <c r="O17" s="446"/>
      <c r="P17" s="446"/>
      <c r="Q17" s="446"/>
      <c r="R17" s="524"/>
      <c r="S17" s="351" t="s">
        <v>1576</v>
      </c>
      <c r="T17" s="448"/>
      <c r="U17" s="450" t="str">
        <f>IF(ISERROR(VLOOKUP(T17,'Base de Datos'!$E$7:$AR$302,3,0))=TRUE," ",(VLOOKUP(T17,'Base de Datos'!$E$7:$AR$302,2,0)))</f>
        <v xml:space="preserve"> </v>
      </c>
      <c r="V17" s="453" t="str">
        <f>IF(ISERROR(VLOOKUP(T17,'Base de Datos'!$E$7:$AR$302,5,0))=TRUE," ",(VLOOKUP(T17,'Base de Datos'!$E$7:$AR$302,5,0)))</f>
        <v xml:space="preserve"> </v>
      </c>
      <c r="W17" s="450" t="str">
        <f>IF(ISERROR(VLOOKUP(T17,'Base de Datos'!$E$7:$AR$302,19,0))=TRUE," ",(VLOOKUP(T17,'Base de Datos'!$E$7:$AR$302,19,0)))</f>
        <v xml:space="preserve"> </v>
      </c>
      <c r="X17" s="455" t="str">
        <f>IF(ISERROR(VLOOKUP(T17,'Base de Datos'!$E$7:$AR$302,8,0))=TRUE," ",(VLOOKUP(T17,'Base de Datos'!$E$7:$AR$302,8,0)))</f>
        <v xml:space="preserve"> </v>
      </c>
      <c r="Y17" s="455" t="str">
        <f>IF(ISERROR(VLOOKUP(T17,'Base de Datos'!$E$7:$AR$302,9,0))=TRUE," ",(VLOOKUP(T17,'Base de Datos'!$E$7:$AR$302,9,0)))</f>
        <v xml:space="preserve"> </v>
      </c>
      <c r="Z17" s="449" t="str">
        <f>IF(ISERROR(VLOOKUP(T17,'Base de Datos'!$E$7:$AR$302,10,0))=TRUE," ",(VLOOKUP(T17,'Base de Datos'!$E$7:$AR$302,10,0)))</f>
        <v xml:space="preserve"> </v>
      </c>
      <c r="AA17" s="452" t="str">
        <f>IF(ISERROR(VLOOKUP(T17,'Base de Datos'!$E$7:$AR$302,11,0))=TRUE," ",(VLOOKUP(T17,'Base de Datos'!$E$7:$AR$302,11,0)))</f>
        <v xml:space="preserve"> </v>
      </c>
      <c r="AB17" s="449" t="str">
        <f>IF(ISERROR(VLOOKUP(T17,'Base de Datos'!$E$7:$AR$302,12,0))=TRUE," ",(VLOOKUP(T17,'Base de Datos'!$E$7:$AR$302,12,0)))</f>
        <v xml:space="preserve"> </v>
      </c>
      <c r="AC17" s="449" t="str">
        <f>IF(ISERROR(VLOOKUP(T17,'Base de Datos'!$E$7:$AR$302,12,0))=TRUE," ",(VLOOKUP(T17,'Base de Datos'!$E$7:$AR$302,12,0)))</f>
        <v xml:space="preserve"> </v>
      </c>
      <c r="AD17" s="455" t="str">
        <f>IF(ISERROR(VLOOKUP(T17,'Base de Datos'!$E$7:$AR$302,15,0))=TRUE," ",(VLOOKUP(T17,'Base de Datos'!$E$7:$AR$302,15,0)))</f>
        <v xml:space="preserve"> </v>
      </c>
      <c r="AE17" s="460" t="str">
        <f>IF(ISERROR(VLOOKUP(T17,'Base de Datos'!$E$7:$AR$302,16,0))=TRUE," ",(VLOOKUP(T17,'Base de Datos'!$E$7:$AR$302,16,0)))</f>
        <v xml:space="preserve"> </v>
      </c>
      <c r="AF17" s="460" t="str">
        <f>IF(ISERROR(VLOOKUP(T17,'Base de Datos'!$E$7:$AR$302,17,0))=TRUE," ",(VLOOKUP(T17,'Base de Datos'!$E$7:$AR$302,17,0)))</f>
        <v xml:space="preserve"> </v>
      </c>
      <c r="AG17" s="460" t="str">
        <f>IF(ISERROR(VLOOKUP(T17,'Base de Datos'!$E$7:$AR$302,18,0))=TRUE," ",(VLOOKUP(T17,'Base de Datos'!$E$7:$AR$302,18,0)))</f>
        <v xml:space="preserve"> </v>
      </c>
      <c r="AH17" s="461" t="str">
        <f>IF(ISERROR(VLOOKUP(T17,'Base de Datos'!$E$7:$AR$302,20,0))=TRUE," ",(VLOOKUP(T17,'Base de Datos'!$E$7:$AR$302,20,0)))</f>
        <v xml:space="preserve"> </v>
      </c>
      <c r="AI17" s="461" t="str">
        <f>IF(ISERROR(VLOOKUP(T17,'Base de Datos'!$E$7:$AR$302,21,0))=TRUE," ",(VLOOKUP(T17,'Base de Datos'!$E$7:$AR$302,21,0)))</f>
        <v xml:space="preserve"> </v>
      </c>
      <c r="AJ17" s="455">
        <v>42055</v>
      </c>
      <c r="AK17" s="450" t="str">
        <f>IF(ISERROR(VLOOKUP(D17,'Base de Datos'!$C$7:$AR$400,2,0))=TRUE," ",(VLOOKUP(D17,'Base de Datos'!$C$7:$AR$400,2,0)))</f>
        <v>2015132</v>
      </c>
      <c r="AL17" s="450" t="str">
        <f>IF(ISERROR(VLOOKUP(D17,'Base de Datos'!$C$7:$AR$400,3,0))=TRUE," ",(VLOOKUP(D17,'Base de Datos'!$C$7:$AR$400,3,0)))</f>
        <v>150083-0-2015</v>
      </c>
      <c r="AM17" s="453" t="str">
        <f>IF(ISERROR(VLOOKUP(D17,'Base de Datos'!$C$7:$AR$3761,6,0))=TRUE," ",(VLOOKUP(D17,'Base de Datos'!$C$7:$AR$400,6,0)))</f>
        <v>Prestar servicios profesionales para acompañar la Oficina de Comunicaciones del Concejo de Bogotá en la implementación de estrategias comunicativas.</v>
      </c>
      <c r="AN17" s="453">
        <f>IF(ISERROR(VLOOKUP(D17,'Base de Datos'!$C$7:$AR$400,20,0))=TRUE," ",(VLOOKUP(D17,'Base de Datos'!$C$7:$AR$400,19,0)))</f>
        <v>30900000</v>
      </c>
      <c r="AO17" s="456">
        <f>IF(ISERROR(VLOOKUP(D17,'Base de Datos'!$C$7:$AR$400,9,0))=TRUE," ",(VLOOKUP(D17,'Base de Datos'!$C$7:$AR$400,9,0)))</f>
        <v>2015</v>
      </c>
      <c r="AP17" s="456">
        <f>IF(ISERROR(VLOOKUP(D17,'Base de Datos'!$C$7:$AR$400,10,0))=TRUE," ",(VLOOKUP(D17,'Base de Datos'!$C$7:$AR$400,10,0)))</f>
        <v>42055</v>
      </c>
      <c r="AQ17" s="458">
        <f>IF(ISERROR(VLOOKUP(D17,'Base de Datos'!$C$7:$AR$400,11,0))=TRUE," ",(VLOOKUP(D17,'Base de Datos'!$C$7:$AR$400,11,0)))</f>
        <v>42065</v>
      </c>
      <c r="AR17" s="459">
        <f>IF(ISERROR(VLOOKUP(D17,'Base de Datos'!$C$7:$AR$400,12,0))=TRUE," ",(VLOOKUP(D17,'Base de Datos'!$C$7:$AR$400,12,0)))</f>
        <v>42431</v>
      </c>
      <c r="AS17" s="458">
        <f>IF(ISERROR(VLOOKUP(D17,'Base de Datos'!$C$7:$AR$400,13,0))=TRUE," ",(VLOOKUP(D17,'Base de Datos'!$C$7:$AR$400,13,0)))</f>
        <v>0</v>
      </c>
      <c r="AT17" s="458">
        <f>IF(ISERROR(VLOOKUP(D17,'Base de Datos'!$C$7:$AR$400,14,0))=TRUE," ",(VLOOKUP(D17,'Base de Datos'!$C$7:$AR$400,14,0)))</f>
        <v>0</v>
      </c>
      <c r="AU17" s="456" t="str">
        <f>IF(ISERROR(VLOOKUP(D17,'Base de Datos'!$C$7:$AR$400,16,0))=TRUE," ",(VLOOKUP(D17,'Base de Datos'!$C$7:$AR$400,16,0)))</f>
        <v/>
      </c>
      <c r="AV17" s="460" t="str">
        <f>IF(ISERROR(VLOOKUP(D17,'Base de Datos'!$C$7:$AR$400,17,0))=TRUE," ",(VLOOKUP(D17,'Base de Datos'!$C$7:$AR$400,17,0)))</f>
        <v/>
      </c>
      <c r="AW17" s="460">
        <f>IF(ISERROR(VLOOKUP(D17,'Base de Datos'!$C$7:$AR$400,18,0))=TRUE," ",(VLOOKUP(D17,'Base de Datos'!$C$7:$AR$400,18,0)))</f>
        <v>42431</v>
      </c>
      <c r="AX17" s="460">
        <f>IF(ISERROR(VLOOKUP(D17,'Base de Datos'!$C$7:$AR$400,19,0))=TRUE," ",(VLOOKUP(D17,'Base de Datos'!$C$7:$AR$400,19,0)))</f>
        <v>30900000</v>
      </c>
      <c r="AY17" s="463">
        <f>IF(ISERROR(VLOOKUP(D17,'Base de Datos'!$C$7:$AR$400,21,0))=TRUE," ",(VLOOKUP(D17,'Base de Datos'!$C$7:$AR$400,21,0)))</f>
        <v>0</v>
      </c>
      <c r="AZ17" s="463" t="str">
        <f>IF(ISERROR(VLOOKUP(D17,'Base de Datos'!$C$7:$AR$400,22,0))=TRUE," ",(VLOOKUP(D17,'Base de Datos'!$C$7:$AR$400,22,0)))</f>
        <v>Mensual</v>
      </c>
      <c r="BA17" s="470"/>
      <c r="BB17" s="480"/>
    </row>
    <row r="18" spans="2:54" ht="55.5" hidden="1" customHeight="1" x14ac:dyDescent="0.25">
      <c r="B18" s="433">
        <v>12</v>
      </c>
      <c r="C18" s="441" t="s">
        <v>1642</v>
      </c>
      <c r="D18" s="433">
        <v>133</v>
      </c>
      <c r="E18" s="441" t="s">
        <v>1643</v>
      </c>
      <c r="F18" s="442">
        <f>VLOOKUP(D18,'Presupuesto - PAA 2015'!$B$10:$E$265,4,0)</f>
        <v>63654000</v>
      </c>
      <c r="G18" s="434" t="str">
        <f>VLOOKUP(D18,'[4]Seguimiento Plan'!$C$2:$R$101,16,0)</f>
        <v>Prestar los servicios profesionales para  apoyar al Concejo de Bogotá en el enlace con la Unidad Ejecutora 04 de la Secretaría Distrital de Hacienda para la liquidación y cierre de los expedientes contractuales</v>
      </c>
      <c r="H18" s="434" t="s">
        <v>1776</v>
      </c>
      <c r="I18" s="434" t="s">
        <v>1711</v>
      </c>
      <c r="J18" s="443" t="s">
        <v>908</v>
      </c>
      <c r="K18" s="444" t="s">
        <v>390</v>
      </c>
      <c r="L18" s="444" t="str">
        <f>VLOOKUP(D18,'[4]Seguimiento Plan'!$C$2:$AJ$101,30,0)</f>
        <v>SI</v>
      </c>
      <c r="M18" s="445">
        <f>VLOOKUP(D18,'[4]Seguimiento Plan'!$C$2:$AJ$101,31,0)</f>
        <v>42020</v>
      </c>
      <c r="N18" s="444"/>
      <c r="O18" s="446"/>
      <c r="P18" s="446"/>
      <c r="Q18" s="446"/>
      <c r="R18" s="524"/>
      <c r="S18" s="351" t="s">
        <v>1567</v>
      </c>
      <c r="T18" s="448"/>
      <c r="U18" s="450" t="str">
        <f>IF(ISERROR(VLOOKUP(T18,'Base de Datos'!$E$7:$AR$302,3,0))=TRUE," ",(VLOOKUP(T18,'Base de Datos'!$E$7:$AR$302,2,0)))</f>
        <v xml:space="preserve"> </v>
      </c>
      <c r="V18" s="453" t="str">
        <f>IF(ISERROR(VLOOKUP(T18,'Base de Datos'!$E$7:$AR$302,5,0))=TRUE," ",(VLOOKUP(T18,'Base de Datos'!$E$7:$AR$302,5,0)))</f>
        <v xml:space="preserve"> </v>
      </c>
      <c r="W18" s="450" t="str">
        <f>IF(ISERROR(VLOOKUP(T18,'Base de Datos'!$E$7:$AR$302,19,0))=TRUE," ",(VLOOKUP(T18,'Base de Datos'!$E$7:$AR$302,19,0)))</f>
        <v xml:space="preserve"> </v>
      </c>
      <c r="X18" s="455" t="str">
        <f>IF(ISERROR(VLOOKUP(T18,'Base de Datos'!$E$7:$AR$302,8,0))=TRUE," ",(VLOOKUP(T18,'Base de Datos'!$E$7:$AR$302,8,0)))</f>
        <v xml:space="preserve"> </v>
      </c>
      <c r="Y18" s="455" t="str">
        <f>IF(ISERROR(VLOOKUP(T18,'Base de Datos'!$E$7:$AR$302,9,0))=TRUE," ",(VLOOKUP(T18,'Base de Datos'!$E$7:$AR$302,9,0)))</f>
        <v xml:space="preserve"> </v>
      </c>
      <c r="Z18" s="449" t="str">
        <f>IF(ISERROR(VLOOKUP(T18,'Base de Datos'!$E$7:$AR$302,10,0))=TRUE," ",(VLOOKUP(T18,'Base de Datos'!$E$7:$AR$302,10,0)))</f>
        <v xml:space="preserve"> </v>
      </c>
      <c r="AA18" s="452" t="str">
        <f>IF(ISERROR(VLOOKUP(T18,'Base de Datos'!$E$7:$AR$302,11,0))=TRUE," ",(VLOOKUP(T18,'Base de Datos'!$E$7:$AR$302,11,0)))</f>
        <v xml:space="preserve"> </v>
      </c>
      <c r="AB18" s="449" t="str">
        <f>IF(ISERROR(VLOOKUP(T18,'Base de Datos'!$E$7:$AR$302,12,0))=TRUE," ",(VLOOKUP(T18,'Base de Datos'!$E$7:$AR$302,12,0)))</f>
        <v xml:space="preserve"> </v>
      </c>
      <c r="AC18" s="449" t="str">
        <f>IF(ISERROR(VLOOKUP(T18,'Base de Datos'!$E$7:$AR$302,12,0))=TRUE," ",(VLOOKUP(T18,'Base de Datos'!$E$7:$AR$302,12,0)))</f>
        <v xml:space="preserve"> </v>
      </c>
      <c r="AD18" s="455" t="str">
        <f>IF(ISERROR(VLOOKUP(T18,'Base de Datos'!$E$7:$AR$302,15,0))=TRUE," ",(VLOOKUP(T18,'Base de Datos'!$E$7:$AR$302,15,0)))</f>
        <v xml:space="preserve"> </v>
      </c>
      <c r="AE18" s="460" t="str">
        <f>IF(ISERROR(VLOOKUP(T18,'Base de Datos'!$E$7:$AR$302,16,0))=TRUE," ",(VLOOKUP(T18,'Base de Datos'!$E$7:$AR$302,16,0)))</f>
        <v xml:space="preserve"> </v>
      </c>
      <c r="AF18" s="460" t="str">
        <f>IF(ISERROR(VLOOKUP(T18,'Base de Datos'!$E$7:$AR$302,17,0))=TRUE," ",(VLOOKUP(T18,'Base de Datos'!$E$7:$AR$302,17,0)))</f>
        <v xml:space="preserve"> </v>
      </c>
      <c r="AG18" s="460" t="str">
        <f>IF(ISERROR(VLOOKUP(T18,'Base de Datos'!$E$7:$AR$302,18,0))=TRUE," ",(VLOOKUP(T18,'Base de Datos'!$E$7:$AR$302,18,0)))</f>
        <v xml:space="preserve"> </v>
      </c>
      <c r="AH18" s="461" t="str">
        <f>IF(ISERROR(VLOOKUP(T18,'Base de Datos'!$E$7:$AR$302,20,0))=TRUE," ",(VLOOKUP(T18,'Base de Datos'!$E$7:$AR$302,20,0)))</f>
        <v xml:space="preserve"> </v>
      </c>
      <c r="AI18" s="461" t="str">
        <f>IF(ISERROR(VLOOKUP(T18,'Base de Datos'!$E$7:$AR$302,21,0))=TRUE," ",(VLOOKUP(T18,'Base de Datos'!$E$7:$AR$302,21,0)))</f>
        <v xml:space="preserve"> </v>
      </c>
      <c r="AJ18" s="455">
        <v>42053</v>
      </c>
      <c r="AK18" s="450" t="str">
        <f>IF(ISERROR(VLOOKUP(D18,'Base de Datos'!$C$7:$AR$400,2,0))=TRUE," ",(VLOOKUP(D18,'Base de Datos'!$C$7:$AR$400,2,0)))</f>
        <v>2015133</v>
      </c>
      <c r="AL18" s="450" t="str">
        <f>IF(ISERROR(VLOOKUP(D18,'Base de Datos'!$C$7:$AR$400,3,0))=TRUE," ",(VLOOKUP(D18,'Base de Datos'!$C$7:$AR$400,3,0)))</f>
        <v>150076-0-2015</v>
      </c>
      <c r="AM18" s="453" t="str">
        <f>IF(ISERROR(VLOOKUP(D18,'Base de Datos'!$C$7:$AR$3761,6,0))=TRUE," ",(VLOOKUP(D18,'Base de Datos'!$C$7:$AR$400,6,0)))</f>
        <v>Prestar servicios profesionales para apoyar al Concejo de Bogotá en el enlace con la Unidad Ejecutora 04 de la Secretaría Distrital de Hacienda para la liquidación y cierre de los expedientes contractuales.</v>
      </c>
      <c r="AN18" s="453">
        <f>IF(ISERROR(VLOOKUP(D18,'Base de Datos'!$C$7:$AR$400,20,0))=TRUE," ",(VLOOKUP(D18,'Base de Datos'!$C$7:$AR$400,19,0)))</f>
        <v>63654000</v>
      </c>
      <c r="AO18" s="456">
        <f>IF(ISERROR(VLOOKUP(D18,'Base de Datos'!$C$7:$AR$400,9,0))=TRUE," ",(VLOOKUP(D18,'Base de Datos'!$C$7:$AR$400,9,0)))</f>
        <v>2015</v>
      </c>
      <c r="AP18" s="456">
        <f>IF(ISERROR(VLOOKUP(D18,'Base de Datos'!$C$7:$AR$400,10,0))=TRUE," ",(VLOOKUP(D18,'Base de Datos'!$C$7:$AR$400,10,0)))</f>
        <v>42053</v>
      </c>
      <c r="AQ18" s="458">
        <f>IF(ISERROR(VLOOKUP(D18,'Base de Datos'!$C$7:$AR$400,11,0))=TRUE," ",(VLOOKUP(D18,'Base de Datos'!$C$7:$AR$400,11,0)))</f>
        <v>42054</v>
      </c>
      <c r="AR18" s="459">
        <f>IF(ISERROR(VLOOKUP(D18,'Base de Datos'!$C$7:$AR$400,12,0))=TRUE," ",(VLOOKUP(D18,'Base de Datos'!$C$7:$AR$400,12,0)))</f>
        <v>42419</v>
      </c>
      <c r="AS18" s="458">
        <f>IF(ISERROR(VLOOKUP(D18,'Base de Datos'!$C$7:$AR$400,13,0))=TRUE," ",(VLOOKUP(D18,'Base de Datos'!$C$7:$AR$400,13,0)))</f>
        <v>0</v>
      </c>
      <c r="AT18" s="458">
        <f>IF(ISERROR(VLOOKUP(D18,'Base de Datos'!$C$7:$AR$400,14,0))=TRUE," ",(VLOOKUP(D18,'Base de Datos'!$C$7:$AR$400,14,0)))</f>
        <v>0</v>
      </c>
      <c r="AU18" s="456" t="str">
        <f>IF(ISERROR(VLOOKUP(D18,'Base de Datos'!$C$7:$AR$400,16,0))=TRUE," ",(VLOOKUP(D18,'Base de Datos'!$C$7:$AR$400,16,0)))</f>
        <v/>
      </c>
      <c r="AV18" s="460" t="str">
        <f>IF(ISERROR(VLOOKUP(D18,'Base de Datos'!$C$7:$AR$400,17,0))=TRUE," ",(VLOOKUP(D18,'Base de Datos'!$C$7:$AR$400,17,0)))</f>
        <v/>
      </c>
      <c r="AW18" s="460">
        <f>IF(ISERROR(VLOOKUP(D18,'Base de Datos'!$C$7:$AR$400,18,0))=TRUE," ",(VLOOKUP(D18,'Base de Datos'!$C$7:$AR$400,18,0)))</f>
        <v>42419</v>
      </c>
      <c r="AX18" s="460">
        <f>IF(ISERROR(VLOOKUP(D18,'Base de Datos'!$C$7:$AR$400,19,0))=TRUE," ",(VLOOKUP(D18,'Base de Datos'!$C$7:$AR$400,19,0)))</f>
        <v>63654000</v>
      </c>
      <c r="AY18" s="463">
        <f>IF(ISERROR(VLOOKUP(D18,'Base de Datos'!$C$7:$AR$400,21,0))=TRUE," ",(VLOOKUP(D18,'Base de Datos'!$C$7:$AR$400,21,0)))</f>
        <v>0</v>
      </c>
      <c r="AZ18" s="463" t="str">
        <f>IF(ISERROR(VLOOKUP(D18,'Base de Datos'!$C$7:$AR$400,22,0))=TRUE," ",(VLOOKUP(D18,'Base de Datos'!$C$7:$AR$400,22,0)))</f>
        <v>Mensual</v>
      </c>
      <c r="BA18" s="470"/>
      <c r="BB18" s="480"/>
    </row>
    <row r="19" spans="2:54" ht="55.5" hidden="1" customHeight="1" x14ac:dyDescent="0.25">
      <c r="B19" s="433">
        <v>13</v>
      </c>
      <c r="C19" s="441" t="s">
        <v>1642</v>
      </c>
      <c r="D19" s="433">
        <v>134</v>
      </c>
      <c r="E19" s="441" t="s">
        <v>1643</v>
      </c>
      <c r="F19" s="442">
        <f>VLOOKUP(D19,'Presupuesto - PAA 2015'!$B$10:$E$265,4,0)</f>
        <v>6660000</v>
      </c>
      <c r="G19" s="434" t="str">
        <f>VLOOKUP(D19,'[4]Seguimiento Plan'!$C$2:$R$101,16,0)</f>
        <v>Prestar los servicios para la elaboracion del retrato sobre lienzo al oleo del Presidente de la Mesa Directiva del Concejo de Bogota.</v>
      </c>
      <c r="H19" s="434" t="s">
        <v>1776</v>
      </c>
      <c r="I19" s="434" t="s">
        <v>1710</v>
      </c>
      <c r="J19" s="443" t="s">
        <v>908</v>
      </c>
      <c r="K19" s="444"/>
      <c r="L19" s="444"/>
      <c r="M19" s="445"/>
      <c r="N19" s="444"/>
      <c r="O19" s="446"/>
      <c r="P19" s="446"/>
      <c r="Q19" s="446"/>
      <c r="R19" s="447"/>
      <c r="S19" s="447"/>
      <c r="T19" s="448"/>
      <c r="U19" s="450" t="str">
        <f>IF(ISERROR(VLOOKUP(T19,'Base de Datos'!$E$7:$AR$302,3,0))=TRUE," ",(VLOOKUP(T19,'Base de Datos'!$E$7:$AR$302,2,0)))</f>
        <v xml:space="preserve"> </v>
      </c>
      <c r="V19" s="453" t="str">
        <f>IF(ISERROR(VLOOKUP(T19,'Base de Datos'!$E$7:$AR$302,5,0))=TRUE," ",(VLOOKUP(T19,'Base de Datos'!$E$7:$AR$302,5,0)))</f>
        <v xml:space="preserve"> </v>
      </c>
      <c r="W19" s="450" t="str">
        <f>IF(ISERROR(VLOOKUP(T19,'Base de Datos'!$E$7:$AR$302,19,0))=TRUE," ",(VLOOKUP(T19,'Base de Datos'!$E$7:$AR$302,19,0)))</f>
        <v xml:space="preserve"> </v>
      </c>
      <c r="X19" s="455" t="str">
        <f>IF(ISERROR(VLOOKUP(T19,'Base de Datos'!$E$7:$AR$302,8,0))=TRUE," ",(VLOOKUP(T19,'Base de Datos'!$E$7:$AR$302,8,0)))</f>
        <v xml:space="preserve"> </v>
      </c>
      <c r="Y19" s="455" t="str">
        <f>IF(ISERROR(VLOOKUP(T19,'Base de Datos'!$E$7:$AR$302,9,0))=TRUE," ",(VLOOKUP(T19,'Base de Datos'!$E$7:$AR$302,9,0)))</f>
        <v xml:space="preserve"> </v>
      </c>
      <c r="Z19" s="449" t="str">
        <f>IF(ISERROR(VLOOKUP(T19,'Base de Datos'!$E$7:$AR$302,10,0))=TRUE," ",(VLOOKUP(T19,'Base de Datos'!$E$7:$AR$302,10,0)))</f>
        <v xml:space="preserve"> </v>
      </c>
      <c r="AA19" s="452" t="str">
        <f>IF(ISERROR(VLOOKUP(T19,'Base de Datos'!$E$7:$AR$302,11,0))=TRUE," ",(VLOOKUP(T19,'Base de Datos'!$E$7:$AR$302,11,0)))</f>
        <v xml:space="preserve"> </v>
      </c>
      <c r="AB19" s="449" t="str">
        <f>IF(ISERROR(VLOOKUP(T19,'Base de Datos'!$E$7:$AR$302,12,0))=TRUE," ",(VLOOKUP(T19,'Base de Datos'!$E$7:$AR$302,12,0)))</f>
        <v xml:space="preserve"> </v>
      </c>
      <c r="AC19" s="449" t="str">
        <f>IF(ISERROR(VLOOKUP(T19,'Base de Datos'!$E$7:$AR$302,12,0))=TRUE," ",(VLOOKUP(T19,'Base de Datos'!$E$7:$AR$302,12,0)))</f>
        <v xml:space="preserve"> </v>
      </c>
      <c r="AD19" s="455" t="str">
        <f>IF(ISERROR(VLOOKUP(T19,'Base de Datos'!$E$7:$AR$302,15,0))=TRUE," ",(VLOOKUP(T19,'Base de Datos'!$E$7:$AR$302,15,0)))</f>
        <v xml:space="preserve"> </v>
      </c>
      <c r="AE19" s="460" t="str">
        <f>IF(ISERROR(VLOOKUP(T19,'Base de Datos'!$E$7:$AR$302,16,0))=TRUE," ",(VLOOKUP(T19,'Base de Datos'!$E$7:$AR$302,16,0)))</f>
        <v xml:space="preserve"> </v>
      </c>
      <c r="AF19" s="460" t="str">
        <f>IF(ISERROR(VLOOKUP(T19,'Base de Datos'!$E$7:$AR$302,17,0))=TRUE," ",(VLOOKUP(T19,'Base de Datos'!$E$7:$AR$302,17,0)))</f>
        <v xml:space="preserve"> </v>
      </c>
      <c r="AG19" s="460" t="str">
        <f>IF(ISERROR(VLOOKUP(T19,'Base de Datos'!$E$7:$AR$302,18,0))=TRUE," ",(VLOOKUP(T19,'Base de Datos'!$E$7:$AR$302,18,0)))</f>
        <v xml:space="preserve"> </v>
      </c>
      <c r="AH19" s="461" t="str">
        <f>IF(ISERROR(VLOOKUP(T19,'Base de Datos'!$E$7:$AR$302,20,0))=TRUE," ",(VLOOKUP(T19,'Base de Datos'!$E$7:$AR$302,20,0)))</f>
        <v xml:space="preserve"> </v>
      </c>
      <c r="AI19" s="461" t="str">
        <f>IF(ISERROR(VLOOKUP(T19,'Base de Datos'!$E$7:$AR$302,21,0))=TRUE," ",(VLOOKUP(T19,'Base de Datos'!$E$7:$AR$302,21,0)))</f>
        <v xml:space="preserve"> </v>
      </c>
      <c r="AJ19" s="450"/>
      <c r="AK19" s="450" t="str">
        <f>IF(ISERROR(VLOOKUP(D19,'Base de Datos'!$C$7:$AR$400,2,0))=TRUE," ",(VLOOKUP(D19,'Base de Datos'!$C$7:$AR$400,2,0)))</f>
        <v>2015134</v>
      </c>
      <c r="AL19" s="450" t="str">
        <f>IF(ISERROR(VLOOKUP(D19,'Base de Datos'!$C$7:$AR$400,3,0))=TRUE," ",(VLOOKUP(D19,'Base de Datos'!$C$7:$AR$400,3,0)))</f>
        <v>150369-0-2015</v>
      </c>
      <c r="AM19" s="453" t="str">
        <f>IF(ISERROR(VLOOKUP(D19,'Base de Datos'!$C$7:$AR$3761,6,0))=TRUE," ",(VLOOKUP(D19,'Base de Datos'!$C$7:$AR$400,6,0)))</f>
        <v>PRESTAR LOS SERVICIOS PARA LA ELABORACIÓN DEL RETRATO SOBRE LIENZO AL ÓLEO DEL PRESIDENTE DE LA MESA DIRECTIVA DEL CONCEJO DE BOGOTÁ.</v>
      </c>
      <c r="AN19" s="453">
        <f>IF(ISERROR(VLOOKUP(D19,'Base de Datos'!$C$7:$AR$400,20,0))=TRUE," ",(VLOOKUP(D19,'Base de Datos'!$C$7:$AR$400,19,0)))</f>
        <v>6660000</v>
      </c>
      <c r="AO19" s="456">
        <f>IF(ISERROR(VLOOKUP(D19,'Base de Datos'!$C$7:$AR$400,9,0))=TRUE," ",(VLOOKUP(D19,'Base de Datos'!$C$7:$AR$400,9,0)))</f>
        <v>2015</v>
      </c>
      <c r="AP19" s="456">
        <f>IF(ISERROR(VLOOKUP(D19,'Base de Datos'!$C$7:$AR$400,10,0))=TRUE," ",(VLOOKUP(D19,'Base de Datos'!$C$7:$AR$400,10,0)))</f>
        <v>42284</v>
      </c>
      <c r="AQ19" s="458">
        <f>IF(ISERROR(VLOOKUP(D19,'Base de Datos'!$C$7:$AR$400,11,0))=TRUE," ",(VLOOKUP(D19,'Base de Datos'!$C$7:$AR$400,11,0)))</f>
        <v>42303</v>
      </c>
      <c r="AR19" s="459">
        <f>IF(ISERROR(VLOOKUP(D19,'Base de Datos'!$C$7:$AR$400,12,0))=TRUE," ",(VLOOKUP(D19,'Base de Datos'!$C$7:$AR$400,12,0)))</f>
        <v>42364</v>
      </c>
      <c r="AS19" s="458">
        <f>IF(ISERROR(VLOOKUP(D19,'Base de Datos'!$C$7:$AR$400,13,0))=TRUE," ",(VLOOKUP(D19,'Base de Datos'!$C$7:$AR$400,13,0)))</f>
        <v>0</v>
      </c>
      <c r="AT19" s="458">
        <f>IF(ISERROR(VLOOKUP(D19,'Base de Datos'!$C$7:$AR$400,14,0))=TRUE," ",(VLOOKUP(D19,'Base de Datos'!$C$7:$AR$400,14,0)))</f>
        <v>0</v>
      </c>
      <c r="AU19" s="456" t="str">
        <f>IF(ISERROR(VLOOKUP(D19,'Base de Datos'!$C$7:$AR$400,16,0))=TRUE," ",(VLOOKUP(D19,'Base de Datos'!$C$7:$AR$400,16,0)))</f>
        <v/>
      </c>
      <c r="AV19" s="460" t="str">
        <f>IF(ISERROR(VLOOKUP(D19,'Base de Datos'!$C$7:$AR$400,17,0))=TRUE," ",(VLOOKUP(D19,'Base de Datos'!$C$7:$AR$400,17,0)))</f>
        <v/>
      </c>
      <c r="AW19" s="460">
        <f>IF(ISERROR(VLOOKUP(D19,'Base de Datos'!$C$7:$AR$400,18,0))=TRUE," ",(VLOOKUP(D19,'Base de Datos'!$C$7:$AR$400,18,0)))</f>
        <v>42364</v>
      </c>
      <c r="AX19" s="460">
        <f>IF(ISERROR(VLOOKUP(D19,'Base de Datos'!$C$7:$AR$400,19,0))=TRUE," ",(VLOOKUP(D19,'Base de Datos'!$C$7:$AR$400,19,0)))</f>
        <v>6660000</v>
      </c>
      <c r="AY19" s="463">
        <f>IF(ISERROR(VLOOKUP(D19,'Base de Datos'!$C$7:$AR$400,21,0))=TRUE," ",(VLOOKUP(D19,'Base de Datos'!$C$7:$AR$400,21,0)))</f>
        <v>60000</v>
      </c>
      <c r="AZ19" s="463" t="str">
        <f>IF(ISERROR(VLOOKUP(D19,'Base de Datos'!$C$7:$AR$400,22,0))=TRUE," ",(VLOOKUP(D19,'Base de Datos'!$C$7:$AR$400,22,0)))</f>
        <v>Un único pago</v>
      </c>
      <c r="BA19" s="470"/>
      <c r="BB19" s="480"/>
    </row>
    <row r="20" spans="2:54" ht="55.5" hidden="1" customHeight="1" x14ac:dyDescent="0.25">
      <c r="B20" s="433">
        <v>14</v>
      </c>
      <c r="C20" s="441" t="s">
        <v>1642</v>
      </c>
      <c r="D20" s="433">
        <v>135</v>
      </c>
      <c r="E20" s="441" t="s">
        <v>1643</v>
      </c>
      <c r="F20" s="442">
        <f>VLOOKUP(D20,'Presupuesto - PAA 2015'!$B$10:$E$265,4,0)</f>
        <v>84000000</v>
      </c>
      <c r="G20" s="434" t="str">
        <f>VLOOKUP(D20,'[4]Seguimiento Plan'!$C$2:$R$101,16,0)</f>
        <v>Prestar los servicios profesionales para realizar acompañamiento y seguimiento a los procesos de adquisición de bienes y servicios y seguimiento a la ejecución de contratos para el Concejo de Bogotá D. C.</v>
      </c>
      <c r="H20" s="434" t="s">
        <v>1776</v>
      </c>
      <c r="I20" s="434" t="s">
        <v>1711</v>
      </c>
      <c r="J20" s="443" t="s">
        <v>908</v>
      </c>
      <c r="K20" s="444" t="s">
        <v>390</v>
      </c>
      <c r="L20" s="444" t="str">
        <f>VLOOKUP(D20,'[4]Seguimiento Plan'!$C$2:$AJ$101,30,0)</f>
        <v>SI</v>
      </c>
      <c r="M20" s="445">
        <f>VLOOKUP(D20,'[4]Seguimiento Plan'!$C$2:$AJ$101,31,0)</f>
        <v>42013</v>
      </c>
      <c r="N20" s="444"/>
      <c r="O20" s="446"/>
      <c r="P20" s="446"/>
      <c r="Q20" s="446"/>
      <c r="R20" s="447"/>
      <c r="S20" s="465" t="s">
        <v>1536</v>
      </c>
      <c r="T20" s="344" t="s">
        <v>555</v>
      </c>
      <c r="U20" s="450" t="str">
        <f>IF(ISERROR(VLOOKUP(T20,'Base de Datos'!$E$7:$AR$302,3,0))=TRUE," ",(VLOOKUP(T20,'Base de Datos'!$E$7:$AR$302,2,0)))</f>
        <v>NAYIVE CARRASCO PATIÑO</v>
      </c>
      <c r="V20" s="453">
        <f>IF(ISERROR(VLOOKUP(T20,'Base de Datos'!$E$7:$AR$302,5,0))=TRUE," ",(VLOOKUP(T20,'Base de Datos'!$E$7:$AR$302,5,0)))</f>
        <v>25000000</v>
      </c>
      <c r="W20" s="450">
        <f>IF(ISERROR(VLOOKUP(T20,'Base de Datos'!$E$7:$AR$302,19,0))=TRUE," ",(VLOOKUP(T20,'Base de Datos'!$E$7:$AR$302,19,0)))</f>
        <v>0</v>
      </c>
      <c r="X20" s="455" t="str">
        <f>IF(ISERROR(VLOOKUP(T20,'Base de Datos'!$E$7:$AR$302,8,0))=TRUE," ",(VLOOKUP(T20,'Base de Datos'!$E$7:$AR$302,8,0)))</f>
        <v xml:space="preserve"> </v>
      </c>
      <c r="Y20" s="455">
        <f>IF(ISERROR(VLOOKUP(T20,'Base de Datos'!$E$7:$AR$302,9,0))=TRUE," ",(VLOOKUP(T20,'Base de Datos'!$E$7:$AR$302,9,0)))</f>
        <v>41891</v>
      </c>
      <c r="Z20" s="449">
        <f>IF(ISERROR(VLOOKUP(T20,'Base de Datos'!$E$7:$AR$302,10,0))=TRUE," ",(VLOOKUP(T20,'Base de Datos'!$E$7:$AR$302,10,0)))</f>
        <v>42013</v>
      </c>
      <c r="AA20" s="452">
        <f>IF(ISERROR(VLOOKUP(T20,'Base de Datos'!$E$7:$AR$302,11,0))=TRUE," ",(VLOOKUP(T20,'Base de Datos'!$E$7:$AR$302,11,0)))</f>
        <v>0</v>
      </c>
      <c r="AB20" s="449">
        <f>IF(ISERROR(VLOOKUP(T20,'Base de Datos'!$E$7:$AR$302,12,0))=TRUE," ",(VLOOKUP(T20,'Base de Datos'!$E$7:$AR$302,12,0)))</f>
        <v>0</v>
      </c>
      <c r="AC20" s="449">
        <f>IF(ISERROR(VLOOKUP(T20,'Base de Datos'!$E$7:$AR$302,12,0))=TRUE," ",(VLOOKUP(T20,'Base de Datos'!$E$7:$AR$302,12,0)))</f>
        <v>0</v>
      </c>
      <c r="AD20" s="455" t="str">
        <f>IF(ISERROR(VLOOKUP(T20,'Base de Datos'!$E$7:$AR$302,15,0))=TRUE," ",(VLOOKUP(T20,'Base de Datos'!$E$7:$AR$302,15,0)))</f>
        <v/>
      </c>
      <c r="AE20" s="460">
        <f>IF(ISERROR(VLOOKUP(T20,'Base de Datos'!$E$7:$AR$302,16,0))=TRUE," ",(VLOOKUP(T20,'Base de Datos'!$E$7:$AR$302,16,0)))</f>
        <v>42013</v>
      </c>
      <c r="AF20" s="460">
        <f>IF(ISERROR(VLOOKUP(T20,'Base de Datos'!$E$7:$AR$302,17,0))=TRUE," ",(VLOOKUP(T20,'Base de Datos'!$E$7:$AR$302,17,0)))</f>
        <v>25000000</v>
      </c>
      <c r="AG20" s="460">
        <f>IF(ISERROR(VLOOKUP(T20,'Base de Datos'!$E$7:$AR$302,18,0))=TRUE," ",(VLOOKUP(T20,'Base de Datos'!$E$7:$AR$302,18,0)))</f>
        <v>25000000</v>
      </c>
      <c r="AH20" s="461" t="str">
        <f>IF(ISERROR(VLOOKUP(T20,'Base de Datos'!$E$7:$AR$302,20,0))=TRUE," ",(VLOOKUP(T20,'Base de Datos'!$E$7:$AR$302,20,0)))</f>
        <v xml:space="preserve">a) El primer pago vencido se cancelará en proporción a los días ejecutados en el mes en que se inicie la ejecución del contrato.
b) Tres (3) mensualidades vencidas de SEIS MILLONES DOSCIENTOS CINCUENTA MIL ($6.250.000) Pesos, previa presentación del informe de actividades, del respectivo periodo, aprobado por el supervisor.
c) En el último pago se cancelara el saldo del presente contrato previa presentación del informe final aprobado por el Supervisor. 
</v>
      </c>
      <c r="AI20" s="461">
        <f>IF(ISERROR(VLOOKUP(T20,'Base de Datos'!$E$7:$AR$302,21,0))=TRUE," ",(VLOOKUP(T20,'Base de Datos'!$E$7:$AR$302,21,0)))</f>
        <v>1</v>
      </c>
      <c r="AJ20" s="455">
        <v>42027</v>
      </c>
      <c r="AK20" s="450" t="str">
        <f>IF(ISERROR(VLOOKUP(D20,'Base de Datos'!$C$7:$AR$400,2,0))=TRUE," ",(VLOOKUP(D20,'Base de Datos'!$C$7:$AR$400,2,0)))</f>
        <v>2015135</v>
      </c>
      <c r="AL20" s="450" t="str">
        <f>IF(ISERROR(VLOOKUP(D20,'Base de Datos'!$C$7:$AR$400,3,0))=TRUE," ",(VLOOKUP(D20,'Base de Datos'!$C$7:$AR$400,3,0)))</f>
        <v>150028-0-2015</v>
      </c>
      <c r="AM20" s="453" t="str">
        <f>IF(ISERROR(VLOOKUP(D20,'Base de Datos'!$C$7:$AR$3761,6,0))=TRUE," ",(VLOOKUP(D20,'Base de Datos'!$C$7:$AR$400,6,0)))</f>
        <v>Prestar Servicios Profesionales para realizar acompañamiento y seguimiento a los procesos de adquisición de bienes y servicios y seguimiento a la ejecución de contratos para el Concejo de Bogotá, D.C.</v>
      </c>
      <c r="AN20" s="453">
        <f>IF(ISERROR(VLOOKUP(D20,'Base de Datos'!$C$7:$AR$400,20,0))=TRUE," ",(VLOOKUP(D20,'Base de Datos'!$C$7:$AR$400,19,0)))</f>
        <v>84000000</v>
      </c>
      <c r="AO20" s="456">
        <f>IF(ISERROR(VLOOKUP(D20,'Base de Datos'!$C$7:$AR$400,9,0))=TRUE," ",(VLOOKUP(D20,'Base de Datos'!$C$7:$AR$400,9,0)))</f>
        <v>2015</v>
      </c>
      <c r="AP20" s="456">
        <f>IF(ISERROR(VLOOKUP(D20,'Base de Datos'!$C$7:$AR$400,10,0))=TRUE," ",(VLOOKUP(D20,'Base de Datos'!$C$7:$AR$400,10,0)))</f>
        <v>42027</v>
      </c>
      <c r="AQ20" s="458">
        <f>IF(ISERROR(VLOOKUP(D20,'Base de Datos'!$C$7:$AR$400,11,0))=TRUE," ",(VLOOKUP(D20,'Base de Datos'!$C$7:$AR$400,11,0)))</f>
        <v>42031</v>
      </c>
      <c r="AR20" s="459">
        <f>IF(ISERROR(VLOOKUP(D20,'Base de Datos'!$C$7:$AR$400,12,0))=TRUE," ",(VLOOKUP(D20,'Base de Datos'!$C$7:$AR$400,12,0)))</f>
        <v>42396</v>
      </c>
      <c r="AS20" s="458">
        <f>IF(ISERROR(VLOOKUP(D20,'Base de Datos'!$C$7:$AR$400,13,0))=TRUE," ",(VLOOKUP(D20,'Base de Datos'!$C$7:$AR$400,13,0)))</f>
        <v>0</v>
      </c>
      <c r="AT20" s="458">
        <f>IF(ISERROR(VLOOKUP(D20,'Base de Datos'!$C$7:$AR$400,14,0))=TRUE," ",(VLOOKUP(D20,'Base de Datos'!$C$7:$AR$400,14,0)))</f>
        <v>0</v>
      </c>
      <c r="AU20" s="456" t="str">
        <f>IF(ISERROR(VLOOKUP(D20,'Base de Datos'!$C$7:$AR$400,16,0))=TRUE," ",(VLOOKUP(D20,'Base de Datos'!$C$7:$AR$400,16,0)))</f>
        <v/>
      </c>
      <c r="AV20" s="460" t="str">
        <f>IF(ISERROR(VLOOKUP(D20,'Base de Datos'!$C$7:$AR$400,17,0))=TRUE," ",(VLOOKUP(D20,'Base de Datos'!$C$7:$AR$400,17,0)))</f>
        <v/>
      </c>
      <c r="AW20" s="460">
        <f>IF(ISERROR(VLOOKUP(D20,'Base de Datos'!$C$7:$AR$400,18,0))=TRUE," ",(VLOOKUP(D20,'Base de Datos'!$C$7:$AR$400,18,0)))</f>
        <v>42396</v>
      </c>
      <c r="AX20" s="460">
        <f>IF(ISERROR(VLOOKUP(D20,'Base de Datos'!$C$7:$AR$400,19,0))=TRUE," ",(VLOOKUP(D20,'Base de Datos'!$C$7:$AR$400,19,0)))</f>
        <v>84000000</v>
      </c>
      <c r="AY20" s="463">
        <f>IF(ISERROR(VLOOKUP(D20,'Base de Datos'!$C$7:$AR$400,21,0))=TRUE," ",(VLOOKUP(D20,'Base de Datos'!$C$7:$AR$400,21,0)))</f>
        <v>0</v>
      </c>
      <c r="AZ20" s="463" t="str">
        <f>IF(ISERROR(VLOOKUP(D20,'Base de Datos'!$C$7:$AR$400,22,0))=TRUE," ",(VLOOKUP(D20,'Base de Datos'!$C$7:$AR$400,22,0)))</f>
        <v>Mensual</v>
      </c>
      <c r="BA20" s="470"/>
      <c r="BB20" s="480"/>
    </row>
    <row r="21" spans="2:54" ht="55.5" hidden="1" customHeight="1" x14ac:dyDescent="0.25">
      <c r="B21" s="433">
        <v>15</v>
      </c>
      <c r="C21" s="441" t="s">
        <v>1642</v>
      </c>
      <c r="D21" s="433">
        <v>136</v>
      </c>
      <c r="E21" s="441" t="s">
        <v>1643</v>
      </c>
      <c r="F21" s="442">
        <f>VLOOKUP(D21,'Presupuesto - PAA 2015'!$B$10:$E$265,4,0)</f>
        <v>43260000</v>
      </c>
      <c r="G21" s="434" t="str">
        <f>VLOOKUP(D21,'[4]Seguimiento Plan'!$C$2:$R$101,16,0)</f>
        <v>Prestar los servicios profesionales para sistematizar y consolidar la informacion de los trámites contractuales a cargo del proceso administrativo y finanaciero del Concejo de Bogotá</v>
      </c>
      <c r="H21" s="434" t="s">
        <v>1776</v>
      </c>
      <c r="I21" s="434" t="s">
        <v>1711</v>
      </c>
      <c r="J21" s="443" t="s">
        <v>908</v>
      </c>
      <c r="K21" s="444" t="s">
        <v>390</v>
      </c>
      <c r="L21" s="444" t="str">
        <f>VLOOKUP(D21,'[4]Seguimiento Plan'!$C$2:$AJ$101,30,0)</f>
        <v>SI</v>
      </c>
      <c r="M21" s="445">
        <f>VLOOKUP(D21,'[4]Seguimiento Plan'!$C$2:$AJ$101,31,0)</f>
        <v>42025</v>
      </c>
      <c r="N21" s="444"/>
      <c r="O21" s="446"/>
      <c r="P21" s="446"/>
      <c r="Q21" s="446"/>
      <c r="R21" s="524"/>
      <c r="S21" s="351" t="s">
        <v>1557</v>
      </c>
      <c r="T21" s="346" t="s">
        <v>1069</v>
      </c>
      <c r="U21" s="450" t="str">
        <f>IF(ISERROR(VLOOKUP(T21,'Base de Datos'!$E$7:$AR$302,3,0))=TRUE," ",(VLOOKUP(T21,'Base de Datos'!$E$7:$AR$302,2,0)))</f>
        <v>LIZETH  GONZÁLEZ VARGAS</v>
      </c>
      <c r="V21" s="453">
        <f>IF(ISERROR(VLOOKUP(T21,'Base de Datos'!$E$7:$AR$302,5,0))=TRUE," ",(VLOOKUP(T21,'Base de Datos'!$E$7:$AR$302,5,0)))</f>
        <v>17500000</v>
      </c>
      <c r="W21" s="450">
        <f>IF(ISERROR(VLOOKUP(T21,'Base de Datos'!$E$7:$AR$302,19,0))=TRUE," ",(VLOOKUP(T21,'Base de Datos'!$E$7:$AR$302,19,0)))</f>
        <v>0</v>
      </c>
      <c r="X21" s="455" t="str">
        <f>IF(ISERROR(VLOOKUP(T21,'Base de Datos'!$E$7:$AR$302,8,0))=TRUE," ",(VLOOKUP(T21,'Base de Datos'!$E$7:$AR$302,8,0)))</f>
        <v xml:space="preserve"> </v>
      </c>
      <c r="Y21" s="455">
        <f>IF(ISERROR(VLOOKUP(T21,'Base de Datos'!$E$7:$AR$302,9,0))=TRUE," ",(VLOOKUP(T21,'Base de Datos'!$E$7:$AR$302,9,0)))</f>
        <v>41900</v>
      </c>
      <c r="Z21" s="449">
        <f>IF(ISERROR(VLOOKUP(T21,'Base de Datos'!$E$7:$AR$302,10,0))=TRUE," ",(VLOOKUP(T21,'Base de Datos'!$E$7:$AR$302,10,0)))</f>
        <v>42053</v>
      </c>
      <c r="AA21" s="452">
        <f>IF(ISERROR(VLOOKUP(T21,'Base de Datos'!$E$7:$AR$302,11,0))=TRUE," ",(VLOOKUP(T21,'Base de Datos'!$E$7:$AR$302,11,0)))</f>
        <v>0</v>
      </c>
      <c r="AB21" s="449">
        <f>IF(ISERROR(VLOOKUP(T21,'Base de Datos'!$E$7:$AR$302,12,0))=TRUE," ",(VLOOKUP(T21,'Base de Datos'!$E$7:$AR$302,12,0)))</f>
        <v>0</v>
      </c>
      <c r="AC21" s="449">
        <f>IF(ISERROR(VLOOKUP(T21,'Base de Datos'!$E$7:$AR$302,12,0))=TRUE," ",(VLOOKUP(T21,'Base de Datos'!$E$7:$AR$302,12,0)))</f>
        <v>0</v>
      </c>
      <c r="AD21" s="455" t="str">
        <f>IF(ISERROR(VLOOKUP(T21,'Base de Datos'!$E$7:$AR$302,15,0))=TRUE," ",(VLOOKUP(T21,'Base de Datos'!$E$7:$AR$302,15,0)))</f>
        <v/>
      </c>
      <c r="AE21" s="460">
        <f>IF(ISERROR(VLOOKUP(T21,'Base de Datos'!$E$7:$AR$302,16,0))=TRUE," ",(VLOOKUP(T21,'Base de Datos'!$E$7:$AR$302,16,0)))</f>
        <v>42053</v>
      </c>
      <c r="AF21" s="460">
        <f>IF(ISERROR(VLOOKUP(T21,'Base de Datos'!$E$7:$AR$302,17,0))=TRUE," ",(VLOOKUP(T21,'Base de Datos'!$E$7:$AR$302,17,0)))</f>
        <v>17500000</v>
      </c>
      <c r="AG21" s="460">
        <f>IF(ISERROR(VLOOKUP(T21,'Base de Datos'!$E$7:$AR$302,18,0))=TRUE," ",(VLOOKUP(T21,'Base de Datos'!$E$7:$AR$302,18,0)))</f>
        <v>17500000</v>
      </c>
      <c r="AH21" s="461" t="str">
        <f>IF(ISERROR(VLOOKUP(T21,'Base de Datos'!$E$7:$AR$302,20,0))=TRUE," ",(VLOOKUP(T21,'Base de Datos'!$E$7:$AR$302,20,0)))</f>
        <v>El pago de los honorarios se efectuará así: a) El primer pago vencido se cancelará en proporción a los días ejecutados en el mes en que se inicie la ejecución del contrato. b) cuatro (4) mensualidades vencidas de ($3.500.000) pesos M/CTE, previa presentación del informe de actividades, del respectivo período, aprobado por el supervisor o interventor. c) En el último pago se cancelará el saldo del presente contrato previa presentación del informe final aprobado por el supervisor o interventor del contrato, según corresponda</v>
      </c>
      <c r="AI21" s="461">
        <f>IF(ISERROR(VLOOKUP(T21,'Base de Datos'!$E$7:$AR$302,21,0))=TRUE," ",(VLOOKUP(T21,'Base de Datos'!$E$7:$AR$302,21,0)))</f>
        <v>1</v>
      </c>
      <c r="AJ21" s="455">
        <v>42054</v>
      </c>
      <c r="AK21" s="450" t="str">
        <f>IF(ISERROR(VLOOKUP(D21,'Base de Datos'!$C$7:$AR$400,2,0))=TRUE," ",(VLOOKUP(D21,'Base de Datos'!$C$7:$AR$400,2,0)))</f>
        <v>2015136</v>
      </c>
      <c r="AL21" s="450" t="str">
        <f>IF(ISERROR(VLOOKUP(D21,'Base de Datos'!$C$7:$AR$400,3,0))=TRUE," ",(VLOOKUP(D21,'Base de Datos'!$C$7:$AR$400,3,0)))</f>
        <v>150080-0-2015</v>
      </c>
      <c r="AM21" s="453" t="str">
        <f>IF(ISERROR(VLOOKUP(D21,'Base de Datos'!$C$7:$AR$3761,6,0))=TRUE," ",(VLOOKUP(D21,'Base de Datos'!$C$7:$AR$400,6,0)))</f>
        <v>Prestar los servicios profesionales para sistematizar y consolidar la información de los trámites contractuales a cargo del proceso administrativo y financiero del Concejo de Bogotá, D.C.</v>
      </c>
      <c r="AN21" s="453">
        <f>IF(ISERROR(VLOOKUP(D21,'Base de Datos'!$C$7:$AR$400,20,0))=TRUE," ",(VLOOKUP(D21,'Base de Datos'!$C$7:$AR$400,19,0)))</f>
        <v>43260000</v>
      </c>
      <c r="AO21" s="456">
        <f>IF(ISERROR(VLOOKUP(D21,'Base de Datos'!$C$7:$AR$400,9,0))=TRUE," ",(VLOOKUP(D21,'Base de Datos'!$C$7:$AR$400,9,0)))</f>
        <v>2015</v>
      </c>
      <c r="AP21" s="456">
        <f>IF(ISERROR(VLOOKUP(D21,'Base de Datos'!$C$7:$AR$400,10,0))=TRUE," ",(VLOOKUP(D21,'Base de Datos'!$C$7:$AR$400,10,0)))</f>
        <v>42054</v>
      </c>
      <c r="AQ21" s="458">
        <f>IF(ISERROR(VLOOKUP(D21,'Base de Datos'!$C$7:$AR$400,11,0))=TRUE," ",(VLOOKUP(D21,'Base de Datos'!$C$7:$AR$400,11,0)))</f>
        <v>42060</v>
      </c>
      <c r="AR21" s="459">
        <f>IF(ISERROR(VLOOKUP(D21,'Base de Datos'!$C$7:$AR$400,12,0))=TRUE," ",(VLOOKUP(D21,'Base de Datos'!$C$7:$AR$400,12,0)))</f>
        <v>42425</v>
      </c>
      <c r="AS21" s="458">
        <f>IF(ISERROR(VLOOKUP(D21,'Base de Datos'!$C$7:$AR$400,13,0))=TRUE," ",(VLOOKUP(D21,'Base de Datos'!$C$7:$AR$400,13,0)))</f>
        <v>0</v>
      </c>
      <c r="AT21" s="458">
        <f>IF(ISERROR(VLOOKUP(D21,'Base de Datos'!$C$7:$AR$400,14,0))=TRUE," ",(VLOOKUP(D21,'Base de Datos'!$C$7:$AR$400,14,0)))</f>
        <v>0</v>
      </c>
      <c r="AU21" s="456" t="str">
        <f>IF(ISERROR(VLOOKUP(D21,'Base de Datos'!$C$7:$AR$400,16,0))=TRUE," ",(VLOOKUP(D21,'Base de Datos'!$C$7:$AR$400,16,0)))</f>
        <v/>
      </c>
      <c r="AV21" s="460" t="str">
        <f>IF(ISERROR(VLOOKUP(D21,'Base de Datos'!$C$7:$AR$400,17,0))=TRUE," ",(VLOOKUP(D21,'Base de Datos'!$C$7:$AR$400,17,0)))</f>
        <v/>
      </c>
      <c r="AW21" s="460">
        <f>IF(ISERROR(VLOOKUP(D21,'Base de Datos'!$C$7:$AR$400,18,0))=TRUE," ",(VLOOKUP(D21,'Base de Datos'!$C$7:$AR$400,18,0)))</f>
        <v>42425</v>
      </c>
      <c r="AX21" s="460">
        <f>IF(ISERROR(VLOOKUP(D21,'Base de Datos'!$C$7:$AR$400,19,0))=TRUE," ",(VLOOKUP(D21,'Base de Datos'!$C$7:$AR$400,19,0)))</f>
        <v>43260000</v>
      </c>
      <c r="AY21" s="463">
        <f>IF(ISERROR(VLOOKUP(D21,'Base de Datos'!$C$7:$AR$400,21,0))=TRUE," ",(VLOOKUP(D21,'Base de Datos'!$C$7:$AR$400,21,0)))</f>
        <v>0</v>
      </c>
      <c r="AZ21" s="463" t="str">
        <f>IF(ISERROR(VLOOKUP(D21,'Base de Datos'!$C$7:$AR$400,22,0))=TRUE," ",(VLOOKUP(D21,'Base de Datos'!$C$7:$AR$400,22,0)))</f>
        <v>Mensual</v>
      </c>
      <c r="BA21" s="470"/>
      <c r="BB21" s="480"/>
    </row>
    <row r="22" spans="2:54" ht="55.5" hidden="1" customHeight="1" x14ac:dyDescent="0.25">
      <c r="B22" s="433">
        <v>16</v>
      </c>
      <c r="C22" s="441" t="s">
        <v>1642</v>
      </c>
      <c r="D22" s="433">
        <v>137</v>
      </c>
      <c r="E22" s="441" t="s">
        <v>1643</v>
      </c>
      <c r="F22" s="442">
        <f>VLOOKUP(D22,'Presupuesto - PAA 2015'!$B$10:$E$265,4,0)</f>
        <v>63654000</v>
      </c>
      <c r="G22" s="434" t="str">
        <f>VLOOKUP(D22,'[4]Seguimiento Plan'!$C$2:$R$101,16,0)</f>
        <v>Prestar los servicios profesionales para acompañar la definición de especificaciones y condiciones técnicas para la adquisición de bienes y servicios relacionadas con tecnología e informática</v>
      </c>
      <c r="H22" s="434" t="s">
        <v>1776</v>
      </c>
      <c r="I22" s="434" t="s">
        <v>1711</v>
      </c>
      <c r="J22" s="443" t="s">
        <v>908</v>
      </c>
      <c r="K22" s="444" t="s">
        <v>390</v>
      </c>
      <c r="L22" s="444" t="str">
        <f>VLOOKUP(D22,'[4]Seguimiento Plan'!$C$2:$AJ$101,30,0)</f>
        <v>SI</v>
      </c>
      <c r="M22" s="445">
        <f>VLOOKUP(D22,'[4]Seguimiento Plan'!$C$2:$AJ$101,31,0)</f>
        <v>42025</v>
      </c>
      <c r="N22" s="444"/>
      <c r="O22" s="446"/>
      <c r="P22" s="446"/>
      <c r="Q22" s="446"/>
      <c r="R22" s="524"/>
      <c r="S22" s="351" t="s">
        <v>1552</v>
      </c>
      <c r="T22" s="448"/>
      <c r="U22" s="450" t="str">
        <f>IF(ISERROR(VLOOKUP(T22,'Base de Datos'!$E$7:$AR$302,3,0))=TRUE," ",(VLOOKUP(T22,'Base de Datos'!$E$7:$AR$302,2,0)))</f>
        <v xml:space="preserve"> </v>
      </c>
      <c r="V22" s="453" t="str">
        <f>IF(ISERROR(VLOOKUP(T22,'Base de Datos'!$E$7:$AR$302,5,0))=TRUE," ",(VLOOKUP(T22,'Base de Datos'!$E$7:$AR$302,5,0)))</f>
        <v xml:space="preserve"> </v>
      </c>
      <c r="W22" s="450" t="str">
        <f>IF(ISERROR(VLOOKUP(T22,'Base de Datos'!$E$7:$AR$302,19,0))=TRUE," ",(VLOOKUP(T22,'Base de Datos'!$E$7:$AR$302,19,0)))</f>
        <v xml:space="preserve"> </v>
      </c>
      <c r="X22" s="455" t="str">
        <f>IF(ISERROR(VLOOKUP(T22,'Base de Datos'!$E$7:$AR$302,8,0))=TRUE," ",(VLOOKUP(T22,'Base de Datos'!$E$7:$AR$302,8,0)))</f>
        <v xml:space="preserve"> </v>
      </c>
      <c r="Y22" s="455" t="str">
        <f>IF(ISERROR(VLOOKUP(T22,'Base de Datos'!$E$7:$AR$302,9,0))=TRUE," ",(VLOOKUP(T22,'Base de Datos'!$E$7:$AR$302,9,0)))</f>
        <v xml:space="preserve"> </v>
      </c>
      <c r="Z22" s="449" t="str">
        <f>IF(ISERROR(VLOOKUP(T22,'Base de Datos'!$E$7:$AR$302,10,0))=TRUE," ",(VLOOKUP(T22,'Base de Datos'!$E$7:$AR$302,10,0)))</f>
        <v xml:space="preserve"> </v>
      </c>
      <c r="AA22" s="452" t="str">
        <f>IF(ISERROR(VLOOKUP(T22,'Base de Datos'!$E$7:$AR$302,11,0))=TRUE," ",(VLOOKUP(T22,'Base de Datos'!$E$7:$AR$302,11,0)))</f>
        <v xml:space="preserve"> </v>
      </c>
      <c r="AB22" s="449" t="str">
        <f>IF(ISERROR(VLOOKUP(T22,'Base de Datos'!$E$7:$AR$302,12,0))=TRUE," ",(VLOOKUP(T22,'Base de Datos'!$E$7:$AR$302,12,0)))</f>
        <v xml:space="preserve"> </v>
      </c>
      <c r="AC22" s="449" t="str">
        <f>IF(ISERROR(VLOOKUP(T22,'Base de Datos'!$E$7:$AR$302,12,0))=TRUE," ",(VLOOKUP(T22,'Base de Datos'!$E$7:$AR$302,12,0)))</f>
        <v xml:space="preserve"> </v>
      </c>
      <c r="AD22" s="455" t="str">
        <f>IF(ISERROR(VLOOKUP(T22,'Base de Datos'!$E$7:$AR$302,15,0))=TRUE," ",(VLOOKUP(T22,'Base de Datos'!$E$7:$AR$302,15,0)))</f>
        <v xml:space="preserve"> </v>
      </c>
      <c r="AE22" s="460" t="str">
        <f>IF(ISERROR(VLOOKUP(T22,'Base de Datos'!$E$7:$AR$302,16,0))=TRUE," ",(VLOOKUP(T22,'Base de Datos'!$E$7:$AR$302,16,0)))</f>
        <v xml:space="preserve"> </v>
      </c>
      <c r="AF22" s="460" t="str">
        <f>IF(ISERROR(VLOOKUP(T22,'Base de Datos'!$E$7:$AR$302,17,0))=TRUE," ",(VLOOKUP(T22,'Base de Datos'!$E$7:$AR$302,17,0)))</f>
        <v xml:space="preserve"> </v>
      </c>
      <c r="AG22" s="460" t="str">
        <f>IF(ISERROR(VLOOKUP(T22,'Base de Datos'!$E$7:$AR$302,18,0))=TRUE," ",(VLOOKUP(T22,'Base de Datos'!$E$7:$AR$302,18,0)))</f>
        <v xml:space="preserve"> </v>
      </c>
      <c r="AH22" s="461" t="str">
        <f>IF(ISERROR(VLOOKUP(T22,'Base de Datos'!$E$7:$AR$302,20,0))=TRUE," ",(VLOOKUP(T22,'Base de Datos'!$E$7:$AR$302,20,0)))</f>
        <v xml:space="preserve"> </v>
      </c>
      <c r="AI22" s="461" t="str">
        <f>IF(ISERROR(VLOOKUP(T22,'Base de Datos'!$E$7:$AR$302,21,0))=TRUE," ",(VLOOKUP(T22,'Base de Datos'!$E$7:$AR$302,21,0)))</f>
        <v xml:space="preserve"> </v>
      </c>
      <c r="AJ22" s="455">
        <v>42044</v>
      </c>
      <c r="AK22" s="450" t="str">
        <f>IF(ISERROR(VLOOKUP(D22,'Base de Datos'!$C$7:$AR$400,2,0))=TRUE," ",(VLOOKUP(D22,'Base de Datos'!$C$7:$AR$400,2,0)))</f>
        <v>2015137</v>
      </c>
      <c r="AL22" s="450" t="str">
        <f>IF(ISERROR(VLOOKUP(D22,'Base de Datos'!$C$7:$AR$400,3,0))=TRUE," ",(VLOOKUP(D22,'Base de Datos'!$C$7:$AR$400,3,0)))</f>
        <v>150053-0-2015</v>
      </c>
      <c r="AM22" s="453" t="str">
        <f>IF(ISERROR(VLOOKUP(D22,'Base de Datos'!$C$7:$AR$3761,6,0))=TRUE," ",(VLOOKUP(D22,'Base de Datos'!$C$7:$AR$400,6,0)))</f>
        <v>Prestar los servicios profesionales par acompañar la definición de especificaciones y condiciones técnicas para la definición de especificaciones y condiciones técnicas para la adquisición de bienes y servicios, relacionadas con tecnología e informática.</v>
      </c>
      <c r="AN22" s="453">
        <f>IF(ISERROR(VLOOKUP(D22,'Base de Datos'!$C$7:$AR$400,20,0))=TRUE," ",(VLOOKUP(D22,'Base de Datos'!$C$7:$AR$400,19,0)))</f>
        <v>63654000</v>
      </c>
      <c r="AO22" s="456">
        <f>IF(ISERROR(VLOOKUP(D22,'Base de Datos'!$C$7:$AR$400,9,0))=TRUE," ",(VLOOKUP(D22,'Base de Datos'!$C$7:$AR$400,9,0)))</f>
        <v>2015</v>
      </c>
      <c r="AP22" s="456">
        <f>IF(ISERROR(VLOOKUP(D22,'Base de Datos'!$C$7:$AR$400,10,0))=TRUE," ",(VLOOKUP(D22,'Base de Datos'!$C$7:$AR$400,10,0)))</f>
        <v>42044</v>
      </c>
      <c r="AQ22" s="458">
        <f>IF(ISERROR(VLOOKUP(D22,'Base de Datos'!$C$7:$AR$400,11,0))=TRUE," ",(VLOOKUP(D22,'Base de Datos'!$C$7:$AR$400,11,0)))</f>
        <v>42045</v>
      </c>
      <c r="AR22" s="459">
        <f>IF(ISERROR(VLOOKUP(D22,'Base de Datos'!$C$7:$AR$400,12,0))=TRUE," ",(VLOOKUP(D22,'Base de Datos'!$C$7:$AR$400,12,0)))</f>
        <v>42379</v>
      </c>
      <c r="AS22" s="458">
        <f>IF(ISERROR(VLOOKUP(D22,'Base de Datos'!$C$7:$AR$400,13,0))=TRUE," ",(VLOOKUP(D22,'Base de Datos'!$C$7:$AR$400,13,0)))</f>
        <v>0</v>
      </c>
      <c r="AT22" s="458">
        <f>IF(ISERROR(VLOOKUP(D22,'Base de Datos'!$C$7:$AR$400,14,0))=TRUE," ",(VLOOKUP(D22,'Base de Datos'!$C$7:$AR$400,14,0)))</f>
        <v>0</v>
      </c>
      <c r="AU22" s="456" t="str">
        <f>IF(ISERROR(VLOOKUP(D22,'Base de Datos'!$C$7:$AR$400,16,0))=TRUE," ",(VLOOKUP(D22,'Base de Datos'!$C$7:$AR$400,16,0)))</f>
        <v>1 mes</v>
      </c>
      <c r="AV22" s="460">
        <f>IF(ISERROR(VLOOKUP(D22,'Base de Datos'!$C$7:$AR$400,17,0))=TRUE," ",(VLOOKUP(D22,'Base de Datos'!$C$7:$AR$400,17,0)))</f>
        <v>42410</v>
      </c>
      <c r="AW22" s="460">
        <f>IF(ISERROR(VLOOKUP(D22,'Base de Datos'!$C$7:$AR$400,18,0))=TRUE," ",(VLOOKUP(D22,'Base de Datos'!$C$7:$AR$400,18,0)))</f>
        <v>42410</v>
      </c>
      <c r="AX22" s="460">
        <f>IF(ISERROR(VLOOKUP(D22,'Base de Datos'!$C$7:$AR$400,19,0))=TRUE," ",(VLOOKUP(D22,'Base de Datos'!$C$7:$AR$400,19,0)))</f>
        <v>63654000</v>
      </c>
      <c r="AY22" s="463">
        <f>IF(ISERROR(VLOOKUP(D22,'Base de Datos'!$C$7:$AR$400,21,0))=TRUE," ",(VLOOKUP(D22,'Base de Datos'!$C$7:$AR$400,21,0)))</f>
        <v>0</v>
      </c>
      <c r="AZ22" s="463" t="str">
        <f>IF(ISERROR(VLOOKUP(D22,'Base de Datos'!$C$7:$AR$400,22,0))=TRUE," ",(VLOOKUP(D22,'Base de Datos'!$C$7:$AR$400,22,0)))</f>
        <v>Mensual</v>
      </c>
      <c r="BA22" s="470"/>
      <c r="BB22" s="480"/>
    </row>
    <row r="23" spans="2:54" ht="71.25" hidden="1" customHeight="1" x14ac:dyDescent="0.25">
      <c r="B23" s="433">
        <v>17</v>
      </c>
      <c r="C23" s="441" t="s">
        <v>1642</v>
      </c>
      <c r="D23" s="433">
        <v>274</v>
      </c>
      <c r="E23" s="441" t="s">
        <v>1645</v>
      </c>
      <c r="F23" s="442">
        <f>VLOOKUP(D23,'Presupuesto - PAA 2015'!$B$10:$E$265,4,0)</f>
        <v>18000000</v>
      </c>
      <c r="G23" s="434" t="str">
        <f>VLOOKUP(D23,'[4]Seguimiento Plan'!$C$2:$R$101,16,0)</f>
        <v>Prestar los servicios de apoyo al Concejo de Bogota D.C., en la elaboracion y actualizacion  para el control en el proceso de depuracion y actualizacion de la normativa de los acuerdos Distritales.</v>
      </c>
      <c r="H23" s="434" t="s">
        <v>1776</v>
      </c>
      <c r="I23" s="434" t="s">
        <v>1710</v>
      </c>
      <c r="J23" s="443" t="s">
        <v>908</v>
      </c>
      <c r="K23" s="444" t="s">
        <v>390</v>
      </c>
      <c r="L23" s="444" t="str">
        <f>VLOOKUP(D23,'[4]Seguimiento Plan'!$C$2:$AJ$101,30,0)</f>
        <v>SI</v>
      </c>
      <c r="M23" s="445"/>
      <c r="N23" s="444"/>
      <c r="O23" s="446"/>
      <c r="P23" s="446"/>
      <c r="Q23" s="446"/>
      <c r="R23" s="447"/>
      <c r="S23" s="447"/>
      <c r="T23" s="448"/>
      <c r="U23" s="450" t="str">
        <f>IF(ISERROR(VLOOKUP(T23,'Base de Datos'!$E$7:$AR$302,3,0))=TRUE," ",(VLOOKUP(T23,'Base de Datos'!$E$7:$AR$302,2,0)))</f>
        <v xml:space="preserve"> </v>
      </c>
      <c r="V23" s="453" t="str">
        <f>IF(ISERROR(VLOOKUP(T23,'Base de Datos'!$E$7:$AR$302,5,0))=TRUE," ",(VLOOKUP(T23,'Base de Datos'!$E$7:$AR$302,5,0)))</f>
        <v xml:space="preserve"> </v>
      </c>
      <c r="W23" s="450" t="str">
        <f>IF(ISERROR(VLOOKUP(T23,'Base de Datos'!$E$7:$AR$302,19,0))=TRUE," ",(VLOOKUP(T23,'Base de Datos'!$E$7:$AR$302,19,0)))</f>
        <v xml:space="preserve"> </v>
      </c>
      <c r="X23" s="455" t="str">
        <f>IF(ISERROR(VLOOKUP(T23,'Base de Datos'!$E$7:$AR$302,8,0))=TRUE," ",(VLOOKUP(T23,'Base de Datos'!$E$7:$AR$302,8,0)))</f>
        <v xml:space="preserve"> </v>
      </c>
      <c r="Y23" s="455" t="str">
        <f>IF(ISERROR(VLOOKUP(T23,'Base de Datos'!$E$7:$AR$302,9,0))=TRUE," ",(VLOOKUP(T23,'Base de Datos'!$E$7:$AR$302,9,0)))</f>
        <v xml:space="preserve"> </v>
      </c>
      <c r="Z23" s="449" t="str">
        <f>IF(ISERROR(VLOOKUP(T23,'Base de Datos'!$E$7:$AR$302,10,0))=TRUE," ",(VLOOKUP(T23,'Base de Datos'!$E$7:$AR$302,10,0)))</f>
        <v xml:space="preserve"> </v>
      </c>
      <c r="AA23" s="452" t="str">
        <f>IF(ISERROR(VLOOKUP(T23,'Base de Datos'!$E$7:$AR$302,11,0))=TRUE," ",(VLOOKUP(T23,'Base de Datos'!$E$7:$AR$302,11,0)))</f>
        <v xml:space="preserve"> </v>
      </c>
      <c r="AB23" s="449" t="str">
        <f>IF(ISERROR(VLOOKUP(T23,'Base de Datos'!$E$7:$AR$302,12,0))=TRUE," ",(VLOOKUP(T23,'Base de Datos'!$E$7:$AR$302,12,0)))</f>
        <v xml:space="preserve"> </v>
      </c>
      <c r="AC23" s="449" t="str">
        <f>IF(ISERROR(VLOOKUP(T23,'Base de Datos'!$E$7:$AR$302,12,0))=TRUE," ",(VLOOKUP(T23,'Base de Datos'!$E$7:$AR$302,12,0)))</f>
        <v xml:space="preserve"> </v>
      </c>
      <c r="AD23" s="455" t="str">
        <f>IF(ISERROR(VLOOKUP(T23,'Base de Datos'!$E$7:$AR$302,15,0))=TRUE," ",(VLOOKUP(T23,'Base de Datos'!$E$7:$AR$302,15,0)))</f>
        <v xml:space="preserve"> </v>
      </c>
      <c r="AE23" s="460" t="str">
        <f>IF(ISERROR(VLOOKUP(T23,'Base de Datos'!$E$7:$AR$302,16,0))=TRUE," ",(VLOOKUP(T23,'Base de Datos'!$E$7:$AR$302,16,0)))</f>
        <v xml:space="preserve"> </v>
      </c>
      <c r="AF23" s="460" t="str">
        <f>IF(ISERROR(VLOOKUP(T23,'Base de Datos'!$E$7:$AR$302,17,0))=TRUE," ",(VLOOKUP(T23,'Base de Datos'!$E$7:$AR$302,17,0)))</f>
        <v xml:space="preserve"> </v>
      </c>
      <c r="AG23" s="460" t="str">
        <f>IF(ISERROR(VLOOKUP(T23,'Base de Datos'!$E$7:$AR$302,18,0))=TRUE," ",(VLOOKUP(T23,'Base de Datos'!$E$7:$AR$302,18,0)))</f>
        <v xml:space="preserve"> </v>
      </c>
      <c r="AH23" s="461" t="str">
        <f>IF(ISERROR(VLOOKUP(T23,'Base de Datos'!$E$7:$AR$302,20,0))=TRUE," ",(VLOOKUP(T23,'Base de Datos'!$E$7:$AR$302,20,0)))</f>
        <v xml:space="preserve"> </v>
      </c>
      <c r="AI23" s="461" t="str">
        <f>IF(ISERROR(VLOOKUP(T23,'Base de Datos'!$E$7:$AR$302,21,0))=TRUE," ",(VLOOKUP(T23,'Base de Datos'!$E$7:$AR$302,21,0)))</f>
        <v xml:space="preserve"> </v>
      </c>
      <c r="AJ23" s="464">
        <v>42130</v>
      </c>
      <c r="AK23" s="450" t="str">
        <f>IF(ISERROR(VLOOKUP(D23,'Base de Datos'!$C$7:$AR$400,2,0))=TRUE," ",(VLOOKUP(D23,'Base de Datos'!$C$7:$AR$400,2,0)))</f>
        <v>2015274</v>
      </c>
      <c r="AL23" s="450" t="str">
        <f>IF(ISERROR(VLOOKUP(D23,'Base de Datos'!$C$7:$AR$400,3,0))=TRUE," ",(VLOOKUP(D23,'Base de Datos'!$C$7:$AR$400,3,0)))</f>
        <v>150214-0-2015</v>
      </c>
      <c r="AM23" s="453" t="str">
        <f>IF(ISERROR(VLOOKUP(D23,'Base de Datos'!$C$7:$AR$3761,6,0))=TRUE," ",(VLOOKUP(D23,'Base de Datos'!$C$7:$AR$400,6,0)))</f>
        <v>Prestar servicios de apoyo al Concejo de Bogotá D.C., en la elaboración y actualización de las bases de datos para el control y depuración de los acuerdos distritales.</v>
      </c>
      <c r="AN23" s="453">
        <f>IF(ISERROR(VLOOKUP(D23,'Base de Datos'!$C$7:$AR$400,20,0))=TRUE," ",(VLOOKUP(D23,'Base de Datos'!$C$7:$AR$400,19,0)))</f>
        <v>18000000</v>
      </c>
      <c r="AO23" s="456">
        <f>IF(ISERROR(VLOOKUP(D23,'Base de Datos'!$C$7:$AR$400,9,0))=TRUE," ",(VLOOKUP(D23,'Base de Datos'!$C$7:$AR$400,9,0)))</f>
        <v>2015</v>
      </c>
      <c r="AP23" s="456">
        <f>IF(ISERROR(VLOOKUP(D23,'Base de Datos'!$C$7:$AR$400,10,0))=TRUE," ",(VLOOKUP(D23,'Base de Datos'!$C$7:$AR$400,10,0)))</f>
        <v>42130</v>
      </c>
      <c r="AQ23" s="458">
        <f>IF(ISERROR(VLOOKUP(D23,'Base de Datos'!$C$7:$AR$400,11,0))=TRUE," ",(VLOOKUP(D23,'Base de Datos'!$C$7:$AR$400,11,0)))</f>
        <v>42137</v>
      </c>
      <c r="AR23" s="459">
        <f>IF(ISERROR(VLOOKUP(D23,'Base de Datos'!$C$7:$AR$400,12,0))=TRUE," ",(VLOOKUP(D23,'Base de Datos'!$C$7:$AR$400,12,0)))</f>
        <v>42413</v>
      </c>
      <c r="AS23" s="458">
        <f>IF(ISERROR(VLOOKUP(D23,'Base de Datos'!$C$7:$AR$400,13,0))=TRUE," ",(VLOOKUP(D23,'Base de Datos'!$C$7:$AR$400,13,0)))</f>
        <v>0</v>
      </c>
      <c r="AT23" s="458">
        <f>IF(ISERROR(VLOOKUP(D23,'Base de Datos'!$C$7:$AR$400,14,0))=TRUE," ",(VLOOKUP(D23,'Base de Datos'!$C$7:$AR$400,14,0)))</f>
        <v>0</v>
      </c>
      <c r="AU23" s="456" t="str">
        <f>IF(ISERROR(VLOOKUP(D23,'Base de Datos'!$C$7:$AR$400,16,0))=TRUE," ",(VLOOKUP(D23,'Base de Datos'!$C$7:$AR$400,16,0)))</f>
        <v/>
      </c>
      <c r="AV23" s="460" t="str">
        <f>IF(ISERROR(VLOOKUP(D23,'Base de Datos'!$C$7:$AR$400,17,0))=TRUE," ",(VLOOKUP(D23,'Base de Datos'!$C$7:$AR$400,17,0)))</f>
        <v/>
      </c>
      <c r="AW23" s="460">
        <f>IF(ISERROR(VLOOKUP(D23,'Base de Datos'!$C$7:$AR$400,18,0))=TRUE," ",(VLOOKUP(D23,'Base de Datos'!$C$7:$AR$400,18,0)))</f>
        <v>42413</v>
      </c>
      <c r="AX23" s="460">
        <f>IF(ISERROR(VLOOKUP(D23,'Base de Datos'!$C$7:$AR$400,19,0))=TRUE," ",(VLOOKUP(D23,'Base de Datos'!$C$7:$AR$400,19,0)))</f>
        <v>18000000</v>
      </c>
      <c r="AY23" s="463">
        <f>IF(ISERROR(VLOOKUP(D23,'Base de Datos'!$C$7:$AR$400,21,0))=TRUE," ",(VLOOKUP(D23,'Base de Datos'!$C$7:$AR$400,21,0)))</f>
        <v>0</v>
      </c>
      <c r="AZ23" s="463" t="str">
        <f>IF(ISERROR(VLOOKUP(D23,'Base de Datos'!$C$7:$AR$400,22,0))=TRUE," ",(VLOOKUP(D23,'Base de Datos'!$C$7:$AR$400,22,0)))</f>
        <v>Mensual</v>
      </c>
      <c r="BA23" s="470"/>
      <c r="BB23" s="480"/>
    </row>
    <row r="24" spans="2:54" ht="55.5" hidden="1" customHeight="1" x14ac:dyDescent="0.25">
      <c r="B24" s="433">
        <v>18</v>
      </c>
      <c r="C24" s="441" t="s">
        <v>1642</v>
      </c>
      <c r="D24" s="433">
        <v>53</v>
      </c>
      <c r="E24" s="441" t="s">
        <v>1648</v>
      </c>
      <c r="F24" s="442" t="str">
        <f>VLOOKUP(D24,'Presupuesto - PAA 2015'!$B$10:$E$265,4,0)</f>
        <v>Se unifican 53 y 56</v>
      </c>
      <c r="G24" s="434" t="str">
        <f>VLOOKUP(D24,'[4]Seguimiento Plan'!$C$2:$R$101,16,0)</f>
        <v>Prestar el servicio integral de servicios de impresión para la Secretaría Distrital de Hacienda y el Concejo de Bogotá.</v>
      </c>
      <c r="H24" s="434" t="s">
        <v>1777</v>
      </c>
      <c r="I24" s="434" t="s">
        <v>1710</v>
      </c>
      <c r="J24" s="443" t="s">
        <v>1734</v>
      </c>
      <c r="K24" s="444" t="s">
        <v>390</v>
      </c>
      <c r="L24" s="444" t="str">
        <f>VLOOKUP(D24,'[4]Seguimiento Plan'!$C$2:$AJ$101,30,0)</f>
        <v>SI</v>
      </c>
      <c r="M24" s="445">
        <f>VLOOKUP(D24,'[4]Seguimiento Plan'!$C$2:$AJ$101,31,0)</f>
        <v>42009</v>
      </c>
      <c r="N24" s="444" t="s">
        <v>1797</v>
      </c>
      <c r="O24" s="446"/>
      <c r="P24" s="446"/>
      <c r="Q24" s="446"/>
      <c r="R24" s="447"/>
      <c r="S24" s="447"/>
      <c r="T24" s="448"/>
      <c r="U24" s="450" t="str">
        <f>IF(ISERROR(VLOOKUP(T24,'Base de Datos'!$E$7:$AR$302,3,0))=TRUE," ",(VLOOKUP(T24,'Base de Datos'!$E$7:$AR$302,2,0)))</f>
        <v xml:space="preserve"> </v>
      </c>
      <c r="V24" s="453" t="str">
        <f>IF(ISERROR(VLOOKUP(T24,'Base de Datos'!$E$7:$AR$302,5,0))=TRUE," ",(VLOOKUP(T24,'Base de Datos'!$E$7:$AR$302,5,0)))</f>
        <v xml:space="preserve"> </v>
      </c>
      <c r="W24" s="450" t="str">
        <f>IF(ISERROR(VLOOKUP(T24,'Base de Datos'!$E$7:$AR$302,19,0))=TRUE," ",(VLOOKUP(T24,'Base de Datos'!$E$7:$AR$302,19,0)))</f>
        <v xml:space="preserve"> </v>
      </c>
      <c r="X24" s="455" t="str">
        <f>IF(ISERROR(VLOOKUP(T24,'Base de Datos'!$E$7:$AR$302,8,0))=TRUE," ",(VLOOKUP(T24,'Base de Datos'!$E$7:$AR$302,8,0)))</f>
        <v xml:space="preserve"> </v>
      </c>
      <c r="Y24" s="455" t="str">
        <f>IF(ISERROR(VLOOKUP(T24,'Base de Datos'!$E$7:$AR$302,9,0))=TRUE," ",(VLOOKUP(T24,'Base de Datos'!$E$7:$AR$302,9,0)))</f>
        <v xml:space="preserve"> </v>
      </c>
      <c r="Z24" s="449" t="str">
        <f>IF(ISERROR(VLOOKUP(T24,'Base de Datos'!$E$7:$AR$302,10,0))=TRUE," ",(VLOOKUP(T24,'Base de Datos'!$E$7:$AR$302,10,0)))</f>
        <v xml:space="preserve"> </v>
      </c>
      <c r="AA24" s="452" t="str">
        <f>IF(ISERROR(VLOOKUP(T24,'Base de Datos'!$E$7:$AR$302,11,0))=TRUE," ",(VLOOKUP(T24,'Base de Datos'!$E$7:$AR$302,11,0)))</f>
        <v xml:space="preserve"> </v>
      </c>
      <c r="AB24" s="449" t="str">
        <f>IF(ISERROR(VLOOKUP(T24,'Base de Datos'!$E$7:$AR$302,12,0))=TRUE," ",(VLOOKUP(T24,'Base de Datos'!$E$7:$AR$302,12,0)))</f>
        <v xml:space="preserve"> </v>
      </c>
      <c r="AC24" s="449" t="str">
        <f>IF(ISERROR(VLOOKUP(T24,'Base de Datos'!$E$7:$AR$302,12,0))=TRUE," ",(VLOOKUP(T24,'Base de Datos'!$E$7:$AR$302,12,0)))</f>
        <v xml:space="preserve"> </v>
      </c>
      <c r="AD24" s="455" t="str">
        <f>IF(ISERROR(VLOOKUP(T24,'Base de Datos'!$E$7:$AR$302,15,0))=TRUE," ",(VLOOKUP(T24,'Base de Datos'!$E$7:$AR$302,15,0)))</f>
        <v xml:space="preserve"> </v>
      </c>
      <c r="AE24" s="460" t="str">
        <f>IF(ISERROR(VLOOKUP(T24,'Base de Datos'!$E$7:$AR$302,16,0))=TRUE," ",(VLOOKUP(T24,'Base de Datos'!$E$7:$AR$302,16,0)))</f>
        <v xml:space="preserve"> </v>
      </c>
      <c r="AF24" s="460" t="str">
        <f>IF(ISERROR(VLOOKUP(T24,'Base de Datos'!$E$7:$AR$302,17,0))=TRUE," ",(VLOOKUP(T24,'Base de Datos'!$E$7:$AR$302,17,0)))</f>
        <v xml:space="preserve"> </v>
      </c>
      <c r="AG24" s="460" t="str">
        <f>IF(ISERROR(VLOOKUP(T24,'Base de Datos'!$E$7:$AR$302,18,0))=TRUE," ",(VLOOKUP(T24,'Base de Datos'!$E$7:$AR$302,18,0)))</f>
        <v xml:space="preserve"> </v>
      </c>
      <c r="AH24" s="461" t="str">
        <f>IF(ISERROR(VLOOKUP(T24,'Base de Datos'!$E$7:$AR$302,20,0))=TRUE," ",(VLOOKUP(T24,'Base de Datos'!$E$7:$AR$302,20,0)))</f>
        <v xml:space="preserve"> </v>
      </c>
      <c r="AI24" s="461" t="str">
        <f>IF(ISERROR(VLOOKUP(T24,'Base de Datos'!$E$7:$AR$302,21,0))=TRUE," ",(VLOOKUP(T24,'Base de Datos'!$E$7:$AR$302,21,0)))</f>
        <v xml:space="preserve"> </v>
      </c>
      <c r="AJ24" s="450"/>
      <c r="AK24" s="450" t="str">
        <f>IF(ISERROR(VLOOKUP(D24,'Base de Datos'!$C$7:$AR$400,2,0))=TRUE," ",(VLOOKUP(D24,'Base de Datos'!$C$7:$AR$400,2,0)))</f>
        <v xml:space="preserve"> </v>
      </c>
      <c r="AL24" s="450" t="str">
        <f>IF(ISERROR(VLOOKUP(D24,'Base de Datos'!$C$7:$AR$400,3,0))=TRUE," ",(VLOOKUP(D24,'Base de Datos'!$C$7:$AR$400,3,0)))</f>
        <v xml:space="preserve"> </v>
      </c>
      <c r="AM24" s="453" t="str">
        <f>IF(ISERROR(VLOOKUP(D24,'Base de Datos'!$C$7:$AR$3761,6,0))=TRUE," ",(VLOOKUP(D24,'Base de Datos'!$C$7:$AR$400,6,0)))</f>
        <v xml:space="preserve"> </v>
      </c>
      <c r="AN24" s="453" t="str">
        <f>IF(ISERROR(VLOOKUP(D24,'Base de Datos'!$C$7:$AR$400,20,0))=TRUE," ",(VLOOKUP(D24,'Base de Datos'!$C$7:$AR$400,19,0)))</f>
        <v xml:space="preserve"> </v>
      </c>
      <c r="AO24" s="456" t="str">
        <f>IF(ISERROR(VLOOKUP(D24,'Base de Datos'!$C$7:$AR$400,9,0))=TRUE," ",(VLOOKUP(D24,'Base de Datos'!$C$7:$AR$400,9,0)))</f>
        <v xml:space="preserve"> </v>
      </c>
      <c r="AP24" s="456" t="str">
        <f>IF(ISERROR(VLOOKUP(D24,'Base de Datos'!$C$7:$AR$400,10,0))=TRUE," ",(VLOOKUP(D24,'Base de Datos'!$C$7:$AR$400,10,0)))</f>
        <v xml:space="preserve"> </v>
      </c>
      <c r="AQ24" s="458" t="str">
        <f>IF(ISERROR(VLOOKUP(D24,'Base de Datos'!$C$7:$AR$400,11,0))=TRUE," ",(VLOOKUP(D24,'Base de Datos'!$C$7:$AR$400,11,0)))</f>
        <v xml:space="preserve"> </v>
      </c>
      <c r="AR24" s="459" t="str">
        <f>IF(ISERROR(VLOOKUP(D24,'Base de Datos'!$C$7:$AR$400,12,0))=TRUE," ",(VLOOKUP(D24,'Base de Datos'!$C$7:$AR$400,12,0)))</f>
        <v xml:space="preserve"> </v>
      </c>
      <c r="AS24" s="458" t="str">
        <f>IF(ISERROR(VLOOKUP(D24,'Base de Datos'!$C$7:$AR$400,13,0))=TRUE," ",(VLOOKUP(D24,'Base de Datos'!$C$7:$AR$400,13,0)))</f>
        <v xml:space="preserve"> </v>
      </c>
      <c r="AT24" s="458" t="str">
        <f>IF(ISERROR(VLOOKUP(D24,'Base de Datos'!$C$7:$AR$400,14,0))=TRUE," ",(VLOOKUP(D24,'Base de Datos'!$C$7:$AR$400,14,0)))</f>
        <v xml:space="preserve"> </v>
      </c>
      <c r="AU24" s="456" t="str">
        <f>IF(ISERROR(VLOOKUP(D24,'Base de Datos'!$C$7:$AR$400,16,0))=TRUE," ",(VLOOKUP(D24,'Base de Datos'!$C$7:$AR$400,16,0)))</f>
        <v xml:space="preserve"> </v>
      </c>
      <c r="AV24" s="460" t="str">
        <f>IF(ISERROR(VLOOKUP(D24,'Base de Datos'!$C$7:$AR$400,17,0))=TRUE," ",(VLOOKUP(D24,'Base de Datos'!$C$7:$AR$400,17,0)))</f>
        <v xml:space="preserve"> </v>
      </c>
      <c r="AW24" s="460" t="str">
        <f>IF(ISERROR(VLOOKUP(D24,'Base de Datos'!$C$7:$AR$400,18,0))=TRUE," ",(VLOOKUP(D24,'Base de Datos'!$C$7:$AR$400,18,0)))</f>
        <v xml:space="preserve"> </v>
      </c>
      <c r="AX24" s="460" t="str">
        <f>IF(ISERROR(VLOOKUP(D24,'Base de Datos'!$C$7:$AR$400,19,0))=TRUE," ",(VLOOKUP(D24,'Base de Datos'!$C$7:$AR$400,19,0)))</f>
        <v xml:space="preserve"> </v>
      </c>
      <c r="AY24" s="463" t="str">
        <f>IF(ISERROR(VLOOKUP(D24,'Base de Datos'!$C$7:$AR$400,21,0))=TRUE," ",(VLOOKUP(D24,'Base de Datos'!$C$7:$AR$400,21,0)))</f>
        <v xml:space="preserve"> </v>
      </c>
      <c r="AZ24" s="463" t="str">
        <f>IF(ISERROR(VLOOKUP(D24,'Base de Datos'!$C$7:$AR$400,22,0))=TRUE," ",(VLOOKUP(D24,'Base de Datos'!$C$7:$AR$400,22,0)))</f>
        <v xml:space="preserve"> </v>
      </c>
      <c r="BA24" s="470"/>
      <c r="BB24" s="480"/>
    </row>
    <row r="25" spans="2:54" ht="66.75" hidden="1" customHeight="1" x14ac:dyDescent="0.25">
      <c r="B25" s="433">
        <v>19</v>
      </c>
      <c r="C25" s="441" t="s">
        <v>1642</v>
      </c>
      <c r="D25" s="433">
        <v>54</v>
      </c>
      <c r="E25" s="441" t="s">
        <v>1648</v>
      </c>
      <c r="F25" s="442">
        <f>VLOOKUP(D25,'Presupuesto - PAA 2015'!$B$10:$E$265,4,0)</f>
        <v>60000000</v>
      </c>
      <c r="G25" s="434" t="str">
        <f>VLOOKUP(D25,'[4]Seguimiento Plan'!$C$2:$R$101,16,0)</f>
        <v>Prestar los servicios de mantenimientos, soporte y actualización con el suministro de repuestos para la infraestructura de telecomunicaciones, cableado estructurado (voz y datos), fibra óptica, energía normal y regulada de la Secretaría Distrital de Hacie</v>
      </c>
      <c r="H25" s="434" t="s">
        <v>1777</v>
      </c>
      <c r="I25" s="434" t="s">
        <v>1710</v>
      </c>
      <c r="J25" s="443" t="s">
        <v>1734</v>
      </c>
      <c r="K25" s="444" t="s">
        <v>390</v>
      </c>
      <c r="L25" s="444" t="str">
        <f>VLOOKUP(D25,'[4]Seguimiento Plan'!$C$2:$AJ$101,30,0)</f>
        <v>SI</v>
      </c>
      <c r="M25" s="445">
        <f>VLOOKUP(D25,'[4]Seguimiento Plan'!$C$2:$AJ$101,31,0)</f>
        <v>41983</v>
      </c>
      <c r="N25" s="444" t="s">
        <v>1798</v>
      </c>
      <c r="O25" s="446"/>
      <c r="P25" s="446"/>
      <c r="Q25" s="446"/>
      <c r="R25" s="447"/>
      <c r="S25" s="465" t="s">
        <v>1765</v>
      </c>
      <c r="T25" s="448"/>
      <c r="U25" s="450" t="str">
        <f>IF(ISERROR(VLOOKUP(T25,'Base de Datos'!$E$7:$AR$302,3,0))=TRUE," ",(VLOOKUP(T25,'Base de Datos'!$E$7:$AR$302,2,0)))</f>
        <v xml:space="preserve"> </v>
      </c>
      <c r="V25" s="453" t="str">
        <f>IF(ISERROR(VLOOKUP(T25,'Base de Datos'!$E$7:$AR$302,5,0))=TRUE," ",(VLOOKUP(T25,'Base de Datos'!$E$7:$AR$302,5,0)))</f>
        <v xml:space="preserve"> </v>
      </c>
      <c r="W25" s="450" t="str">
        <f>IF(ISERROR(VLOOKUP(T25,'Base de Datos'!$E$7:$AR$302,19,0))=TRUE," ",(VLOOKUP(T25,'Base de Datos'!$E$7:$AR$302,19,0)))</f>
        <v xml:space="preserve"> </v>
      </c>
      <c r="X25" s="455" t="str">
        <f>IF(ISERROR(VLOOKUP(T25,'Base de Datos'!$E$7:$AR$302,8,0))=TRUE," ",(VLOOKUP(T25,'Base de Datos'!$E$7:$AR$302,8,0)))</f>
        <v xml:space="preserve"> </v>
      </c>
      <c r="Y25" s="455" t="str">
        <f>IF(ISERROR(VLOOKUP(T25,'Base de Datos'!$E$7:$AR$302,9,0))=TRUE," ",(VLOOKUP(T25,'Base de Datos'!$E$7:$AR$302,9,0)))</f>
        <v xml:space="preserve"> </v>
      </c>
      <c r="Z25" s="449" t="str">
        <f>IF(ISERROR(VLOOKUP(T25,'Base de Datos'!$E$7:$AR$302,10,0))=TRUE," ",(VLOOKUP(T25,'Base de Datos'!$E$7:$AR$302,10,0)))</f>
        <v xml:space="preserve"> </v>
      </c>
      <c r="AA25" s="452" t="str">
        <f>IF(ISERROR(VLOOKUP(T25,'Base de Datos'!$E$7:$AR$302,11,0))=TRUE," ",(VLOOKUP(T25,'Base de Datos'!$E$7:$AR$302,11,0)))</f>
        <v xml:space="preserve"> </v>
      </c>
      <c r="AB25" s="449" t="str">
        <f>IF(ISERROR(VLOOKUP(T25,'Base de Datos'!$E$7:$AR$302,12,0))=TRUE," ",(VLOOKUP(T25,'Base de Datos'!$E$7:$AR$302,12,0)))</f>
        <v xml:space="preserve"> </v>
      </c>
      <c r="AC25" s="449" t="str">
        <f>IF(ISERROR(VLOOKUP(T25,'Base de Datos'!$E$7:$AR$302,12,0))=TRUE," ",(VLOOKUP(T25,'Base de Datos'!$E$7:$AR$302,12,0)))</f>
        <v xml:space="preserve"> </v>
      </c>
      <c r="AD25" s="455" t="str">
        <f>IF(ISERROR(VLOOKUP(T25,'Base de Datos'!$E$7:$AR$302,15,0))=TRUE," ",(VLOOKUP(T25,'Base de Datos'!$E$7:$AR$302,15,0)))</f>
        <v xml:space="preserve"> </v>
      </c>
      <c r="AE25" s="460" t="str">
        <f>IF(ISERROR(VLOOKUP(T25,'Base de Datos'!$E$7:$AR$302,16,0))=TRUE," ",(VLOOKUP(T25,'Base de Datos'!$E$7:$AR$302,16,0)))</f>
        <v xml:space="preserve"> </v>
      </c>
      <c r="AF25" s="460" t="str">
        <f>IF(ISERROR(VLOOKUP(T25,'Base de Datos'!$E$7:$AR$302,17,0))=TRUE," ",(VLOOKUP(T25,'Base de Datos'!$E$7:$AR$302,17,0)))</f>
        <v xml:space="preserve"> </v>
      </c>
      <c r="AG25" s="460" t="str">
        <f>IF(ISERROR(VLOOKUP(T25,'Base de Datos'!$E$7:$AR$302,18,0))=TRUE," ",(VLOOKUP(T25,'Base de Datos'!$E$7:$AR$302,18,0)))</f>
        <v xml:space="preserve"> </v>
      </c>
      <c r="AH25" s="461" t="str">
        <f>IF(ISERROR(VLOOKUP(T25,'Base de Datos'!$E$7:$AR$302,20,0))=TRUE," ",(VLOOKUP(T25,'Base de Datos'!$E$7:$AR$302,20,0)))</f>
        <v xml:space="preserve"> </v>
      </c>
      <c r="AI25" s="461" t="str">
        <f>IF(ISERROR(VLOOKUP(T25,'Base de Datos'!$E$7:$AR$302,21,0))=TRUE," ",(VLOOKUP(T25,'Base de Datos'!$E$7:$AR$302,21,0)))</f>
        <v xml:space="preserve"> </v>
      </c>
      <c r="AJ25" s="464">
        <v>42128</v>
      </c>
      <c r="AK25" s="450" t="str">
        <f>IF(ISERROR(VLOOKUP(D25,'Base de Datos'!$C$7:$AR$400,2,0))=TRUE," ",(VLOOKUP(D25,'Base de Datos'!$C$7:$AR$400,2,0)))</f>
        <v>201554</v>
      </c>
      <c r="AL25" s="450" t="str">
        <f>IF(ISERROR(VLOOKUP(D25,'Base de Datos'!$C$7:$AR$400,3,0))=TRUE," ",(VLOOKUP(D25,'Base de Datos'!$C$7:$AR$400,3,0)))</f>
        <v>150211-0-2015</v>
      </c>
      <c r="AM25" s="453" t="str">
        <f>IF(ISERROR(VLOOKUP(D25,'Base de Datos'!$C$7:$AR$3761,6,0))=TRUE," ",(VLOOKUP(D25,'Base de Datos'!$C$7:$AR$400,6,0)))</f>
        <v>Prestar los servicios de mantenimientos, soporte y actualización con el suministro de repuestos para la infraestructura de telecomunicaciones, cableado estructurado (voz y datos), fibra óptica, energía normal y regulada del Concejo de Bogota D.C.</v>
      </c>
      <c r="AN25" s="453">
        <f>IF(ISERROR(VLOOKUP(D25,'Base de Datos'!$C$7:$AR$400,20,0))=TRUE," ",(VLOOKUP(D25,'Base de Datos'!$C$7:$AR$400,19,0)))</f>
        <v>68000000</v>
      </c>
      <c r="AO25" s="456">
        <f>IF(ISERROR(VLOOKUP(D25,'Base de Datos'!$C$7:$AR$400,9,0))=TRUE," ",(VLOOKUP(D25,'Base de Datos'!$C$7:$AR$400,9,0)))</f>
        <v>2015</v>
      </c>
      <c r="AP25" s="456">
        <f>IF(ISERROR(VLOOKUP(D25,'Base de Datos'!$C$7:$AR$400,10,0))=TRUE," ",(VLOOKUP(D25,'Base de Datos'!$C$7:$AR$400,10,0)))</f>
        <v>42128</v>
      </c>
      <c r="AQ25" s="458">
        <f>IF(ISERROR(VLOOKUP(D25,'Base de Datos'!$C$7:$AR$400,11,0))=TRUE," ",(VLOOKUP(D25,'Base de Datos'!$C$7:$AR$400,11,0)))</f>
        <v>42156</v>
      </c>
      <c r="AR25" s="459">
        <f>IF(ISERROR(VLOOKUP(D25,'Base de Datos'!$C$7:$AR$400,12,0))=TRUE," ",(VLOOKUP(D25,'Base de Datos'!$C$7:$AR$400,12,0)))</f>
        <v>42522</v>
      </c>
      <c r="AS25" s="458">
        <f>IF(ISERROR(VLOOKUP(D25,'Base de Datos'!$C$7:$AR$400,13,0))=TRUE," ",(VLOOKUP(D25,'Base de Datos'!$C$7:$AR$400,13,0)))</f>
        <v>1</v>
      </c>
      <c r="AT25" s="458">
        <f>IF(ISERROR(VLOOKUP(D25,'Base de Datos'!$C$7:$AR$400,14,0))=TRUE," ",(VLOOKUP(D25,'Base de Datos'!$C$7:$AR$400,14,0)))</f>
        <v>8000000</v>
      </c>
      <c r="AU25" s="456" t="str">
        <f>IF(ISERROR(VLOOKUP(D25,'Base de Datos'!$C$7:$AR$400,16,0))=TRUE," ",(VLOOKUP(D25,'Base de Datos'!$C$7:$AR$400,16,0)))</f>
        <v>4 meses</v>
      </c>
      <c r="AV25" s="460">
        <f>IF(ISERROR(VLOOKUP(D25,'Base de Datos'!$C$7:$AR$400,17,0))=TRUE," ",(VLOOKUP(D25,'Base de Datos'!$C$7:$AR$400,17,0)))</f>
        <v>42644</v>
      </c>
      <c r="AW25" s="460">
        <f>IF(ISERROR(VLOOKUP(D25,'Base de Datos'!$C$7:$AR$400,18,0))=TRUE," ",(VLOOKUP(D25,'Base de Datos'!$C$7:$AR$400,18,0)))</f>
        <v>42644</v>
      </c>
      <c r="AX25" s="460">
        <f>IF(ISERROR(VLOOKUP(D25,'Base de Datos'!$C$7:$AR$400,19,0))=TRUE," ",(VLOOKUP(D25,'Base de Datos'!$C$7:$AR$400,19,0)))</f>
        <v>68000000</v>
      </c>
      <c r="AY25" s="463">
        <f>IF(ISERROR(VLOOKUP(D25,'Base de Datos'!$C$7:$AR$400,21,0))=TRUE," ",(VLOOKUP(D25,'Base de Datos'!$C$7:$AR$400,21,0)))</f>
        <v>455345</v>
      </c>
      <c r="AZ25" s="463" t="str">
        <f>IF(ISERROR(VLOOKUP(D25,'Base de Datos'!$C$7:$AR$400,22,0))=TRUE," ",(VLOOKUP(D25,'Base de Datos'!$C$7:$AR$400,22,0)))</f>
        <v>Pagos mensuales de acuerdo a los servicios por demanda</v>
      </c>
      <c r="BA25" s="470"/>
      <c r="BB25" s="480"/>
    </row>
    <row r="26" spans="2:54" ht="55.5" hidden="1" customHeight="1" x14ac:dyDescent="0.25">
      <c r="B26" s="433">
        <v>20</v>
      </c>
      <c r="C26" s="441" t="s">
        <v>1642</v>
      </c>
      <c r="D26" s="433">
        <v>55</v>
      </c>
      <c r="E26" s="441" t="s">
        <v>1648</v>
      </c>
      <c r="F26" s="442">
        <f>VLOOKUP(D26,'Presupuesto - PAA 2015'!$B$10:$E$265,4,0)</f>
        <v>10514762</v>
      </c>
      <c r="G26" s="434" t="str">
        <f>VLOOKUP(D26,'[4]Seguimiento Plan'!$C$2:$R$101,16,0)</f>
        <v>Adquisición de medios magnéticos para copias de respaldo para la Secretaría Distrital de Hacienda y el Concejo de Bogotá.</v>
      </c>
      <c r="H26" s="434" t="s">
        <v>1777</v>
      </c>
      <c r="I26" s="434" t="s">
        <v>1712</v>
      </c>
      <c r="J26" s="443" t="s">
        <v>909</v>
      </c>
      <c r="K26" s="444" t="s">
        <v>390</v>
      </c>
      <c r="L26" s="444" t="str">
        <f>VLOOKUP(D26,'[4]Seguimiento Plan'!$C$2:$AJ$101,30,0)</f>
        <v>SI</v>
      </c>
      <c r="M26" s="445">
        <f>VLOOKUP(D26,'[4]Seguimiento Plan'!$C$2:$AJ$101,31,0)</f>
        <v>42018</v>
      </c>
      <c r="N26" s="444" t="s">
        <v>1799</v>
      </c>
      <c r="O26" s="446"/>
      <c r="P26" s="446"/>
      <c r="Q26" s="466">
        <v>42083</v>
      </c>
      <c r="R26" s="525"/>
      <c r="S26" s="465" t="s">
        <v>1760</v>
      </c>
      <c r="T26" s="448" t="s">
        <v>289</v>
      </c>
      <c r="U26" s="450" t="str">
        <f>IF(ISERROR(VLOOKUP(T26,'Base de Datos'!$E$7:$AR$302,3,0))=TRUE," ",(VLOOKUP(T26,'Base de Datos'!$E$7:$AR$302,2,0)))</f>
        <v>UNIPLES S.A.</v>
      </c>
      <c r="V26" s="453">
        <f>IF(ISERROR(VLOOKUP(T26,'Base de Datos'!$E$7:$AR$302,5,0))=TRUE," ",(VLOOKUP(T26,'Base de Datos'!$E$7:$AR$302,5,0)))</f>
        <v>9998117</v>
      </c>
      <c r="W26" s="450">
        <f>IF(ISERROR(VLOOKUP(T26,'Base de Datos'!$E$7:$AR$302,19,0))=TRUE," ",(VLOOKUP(T26,'Base de Datos'!$E$7:$AR$302,19,0)))</f>
        <v>20</v>
      </c>
      <c r="X26" s="455" t="str">
        <f>IF(ISERROR(VLOOKUP(T26,'Base de Datos'!$E$7:$AR$302,8,0))=TRUE," ",(VLOOKUP(T26,'Base de Datos'!$E$7:$AR$302,8,0)))</f>
        <v xml:space="preserve"> </v>
      </c>
      <c r="Y26" s="455">
        <f>IF(ISERROR(VLOOKUP(T26,'Base de Datos'!$E$7:$AR$302,9,0))=TRUE," ",(VLOOKUP(T26,'Base de Datos'!$E$7:$AR$302,9,0)))</f>
        <v>41794</v>
      </c>
      <c r="Z26" s="449">
        <f>IF(ISERROR(VLOOKUP(T26,'Base de Datos'!$E$7:$AR$302,10,0))=TRUE," ",(VLOOKUP(T26,'Base de Datos'!$E$7:$AR$302,10,0)))</f>
        <v>41855</v>
      </c>
      <c r="AA26" s="452">
        <f>IF(ISERROR(VLOOKUP(T26,'Base de Datos'!$E$7:$AR$302,11,0))=TRUE," ",(VLOOKUP(T26,'Base de Datos'!$E$7:$AR$302,11,0)))</f>
        <v>0</v>
      </c>
      <c r="AB26" s="449">
        <f>IF(ISERROR(VLOOKUP(T26,'Base de Datos'!$E$7:$AR$302,12,0))=TRUE," ",(VLOOKUP(T26,'Base de Datos'!$E$7:$AR$302,12,0)))</f>
        <v>0</v>
      </c>
      <c r="AC26" s="449">
        <f>IF(ISERROR(VLOOKUP(T26,'Base de Datos'!$E$7:$AR$302,12,0))=TRUE," ",(VLOOKUP(T26,'Base de Datos'!$E$7:$AR$302,12,0)))</f>
        <v>0</v>
      </c>
      <c r="AD26" s="455" t="str">
        <f>IF(ISERROR(VLOOKUP(T26,'Base de Datos'!$E$7:$AR$302,15,0))=TRUE," ",(VLOOKUP(T26,'Base de Datos'!$E$7:$AR$302,15,0)))</f>
        <v/>
      </c>
      <c r="AE26" s="460">
        <f>IF(ISERROR(VLOOKUP(T26,'Base de Datos'!$E$7:$AR$302,16,0))=TRUE," ",(VLOOKUP(T26,'Base de Datos'!$E$7:$AR$302,16,0)))</f>
        <v>41855</v>
      </c>
      <c r="AF26" s="460">
        <f>IF(ISERROR(VLOOKUP(T26,'Base de Datos'!$E$7:$AR$302,17,0))=TRUE," ",(VLOOKUP(T26,'Base de Datos'!$E$7:$AR$302,17,0)))</f>
        <v>9998117</v>
      </c>
      <c r="AG26" s="460">
        <f>IF(ISERROR(VLOOKUP(T26,'Base de Datos'!$E$7:$AR$302,18,0))=TRUE," ",(VLOOKUP(T26,'Base de Datos'!$E$7:$AR$302,18,0)))</f>
        <v>9998097</v>
      </c>
      <c r="AH26" s="461" t="str">
        <f>IF(ISERROR(VLOOKUP(T26,'Base de Datos'!$E$7:$AR$302,20,0))=TRUE," ",(VLOOKUP(T26,'Base de Datos'!$E$7:$AR$302,20,0)))</f>
        <v>Un (1) único pagocontra entrega asatisfacción de los bienes, previa presentación de la factura acompañada del acta de recibo a satisfacción del supervisor donde se especifiquen las cantidades entregadas.</v>
      </c>
      <c r="AI26" s="461">
        <f>IF(ISERROR(VLOOKUP(T26,'Base de Datos'!$E$7:$AR$302,21,0))=TRUE," ",(VLOOKUP(T26,'Base de Datos'!$E$7:$AR$302,21,0)))</f>
        <v>0.99999799962332903</v>
      </c>
      <c r="AJ26" s="464">
        <v>42108</v>
      </c>
      <c r="AK26" s="450" t="str">
        <f>IF(ISERROR(VLOOKUP(D26,'Base de Datos'!$C$7:$AR$400,2,0))=TRUE," ",(VLOOKUP(D26,'Base de Datos'!$C$7:$AR$400,2,0)))</f>
        <v>201555</v>
      </c>
      <c r="AL26" s="450" t="str">
        <f>IF(ISERROR(VLOOKUP(D26,'Base de Datos'!$C$7:$AR$400,3,0))=TRUE," ",(VLOOKUP(D26,'Base de Datos'!$C$7:$AR$400,3,0)))</f>
        <v>150189-0-2015</v>
      </c>
      <c r="AM26" s="453" t="str">
        <f>IF(ISERROR(VLOOKUP(D26,'Base de Datos'!$C$7:$AR$3761,6,0))=TRUE," ",(VLOOKUP(D26,'Base de Datos'!$C$7:$AR$400,6,0)))</f>
        <v>Adquisición de medios magnéticos para copias de respaldo para el Concejo de Bogotá D.C</v>
      </c>
      <c r="AN26" s="453">
        <f>IF(ISERROR(VLOOKUP(D26,'Base de Datos'!$C$7:$AR$400,20,0))=TRUE," ",(VLOOKUP(D26,'Base de Datos'!$C$7:$AR$400,19,0)))</f>
        <v>10514762</v>
      </c>
      <c r="AO26" s="456">
        <f>IF(ISERROR(VLOOKUP(D26,'Base de Datos'!$C$7:$AR$400,9,0))=TRUE," ",(VLOOKUP(D26,'Base de Datos'!$C$7:$AR$400,9,0)))</f>
        <v>2015</v>
      </c>
      <c r="AP26" s="456">
        <f>IF(ISERROR(VLOOKUP(D26,'Base de Datos'!$C$7:$AR$400,10,0))=TRUE," ",(VLOOKUP(D26,'Base de Datos'!$C$7:$AR$400,10,0)))</f>
        <v>42108</v>
      </c>
      <c r="AQ26" s="458">
        <f>IF(ISERROR(VLOOKUP(D26,'Base de Datos'!$C$7:$AR$400,11,0))=TRUE," ",(VLOOKUP(D26,'Base de Datos'!$C$7:$AR$400,11,0)))</f>
        <v>42117</v>
      </c>
      <c r="AR26" s="459">
        <f>IF(ISERROR(VLOOKUP(D26,'Base de Datos'!$C$7:$AR$400,12,0))=TRUE," ",(VLOOKUP(D26,'Base de Datos'!$C$7:$AR$400,12,0)))</f>
        <v>42147</v>
      </c>
      <c r="AS26" s="458">
        <f>IF(ISERROR(VLOOKUP(D26,'Base de Datos'!$C$7:$AR$400,13,0))=TRUE," ",(VLOOKUP(D26,'Base de Datos'!$C$7:$AR$400,13,0)))</f>
        <v>0</v>
      </c>
      <c r="AT26" s="458">
        <f>IF(ISERROR(VLOOKUP(D26,'Base de Datos'!$C$7:$AR$400,14,0))=TRUE," ",(VLOOKUP(D26,'Base de Datos'!$C$7:$AR$400,14,0)))</f>
        <v>0</v>
      </c>
      <c r="AU26" s="456" t="str">
        <f>IF(ISERROR(VLOOKUP(D26,'Base de Datos'!$C$7:$AR$400,16,0))=TRUE," ",(VLOOKUP(D26,'Base de Datos'!$C$7:$AR$400,16,0)))</f>
        <v/>
      </c>
      <c r="AV26" s="460" t="str">
        <f>IF(ISERROR(VLOOKUP(D26,'Base de Datos'!$C$7:$AR$400,17,0))=TRUE," ",(VLOOKUP(D26,'Base de Datos'!$C$7:$AR$400,17,0)))</f>
        <v/>
      </c>
      <c r="AW26" s="460">
        <f>IF(ISERROR(VLOOKUP(D26,'Base de Datos'!$C$7:$AR$400,18,0))=TRUE," ",(VLOOKUP(D26,'Base de Datos'!$C$7:$AR$400,18,0)))</f>
        <v>42147</v>
      </c>
      <c r="AX26" s="460">
        <f>IF(ISERROR(VLOOKUP(D26,'Base de Datos'!$C$7:$AR$400,19,0))=TRUE," ",(VLOOKUP(D26,'Base de Datos'!$C$7:$AR$400,19,0)))</f>
        <v>10514762</v>
      </c>
      <c r="AY26" s="463">
        <f>IF(ISERROR(VLOOKUP(D26,'Base de Datos'!$C$7:$AR$400,21,0))=TRUE," ",(VLOOKUP(D26,'Base de Datos'!$C$7:$AR$400,21,0)))</f>
        <v>0</v>
      </c>
      <c r="AZ26" s="463" t="str">
        <f>IF(ISERROR(VLOOKUP(D26,'Base de Datos'!$C$7:$AR$400,22,0))=TRUE," ",(VLOOKUP(D26,'Base de Datos'!$C$7:$AR$400,22,0)))</f>
        <v>Un pago a contra entrega a satisfacción</v>
      </c>
      <c r="BA26" s="470"/>
      <c r="BB26" s="480"/>
    </row>
    <row r="27" spans="2:54" ht="55.5" hidden="1" customHeight="1" x14ac:dyDescent="0.25">
      <c r="B27" s="433"/>
      <c r="C27" s="441" t="s">
        <v>1642</v>
      </c>
      <c r="D27" s="433">
        <v>57</v>
      </c>
      <c r="E27" s="441" t="s">
        <v>1648</v>
      </c>
      <c r="F27" s="442">
        <f>VLOOKUP(D27,'Presupuesto - PAA 2015'!$B$10:$E$265,4,0)</f>
        <v>154954934</v>
      </c>
      <c r="G27" s="434" t="s">
        <v>1937</v>
      </c>
      <c r="H27" s="434" t="s">
        <v>1777</v>
      </c>
      <c r="I27" s="434" t="s">
        <v>1710</v>
      </c>
      <c r="J27" s="443" t="s">
        <v>1734</v>
      </c>
      <c r="K27" s="444"/>
      <c r="L27" s="444"/>
      <c r="M27" s="445"/>
      <c r="N27" s="444"/>
      <c r="O27" s="446"/>
      <c r="P27" s="446"/>
      <c r="Q27" s="466"/>
      <c r="R27" s="525"/>
      <c r="S27" s="465" t="s">
        <v>2157</v>
      </c>
      <c r="T27" s="524"/>
      <c r="U27" s="450"/>
      <c r="V27" s="453"/>
      <c r="W27" s="450"/>
      <c r="X27" s="455"/>
      <c r="Y27" s="455"/>
      <c r="Z27" s="449"/>
      <c r="AA27" s="452"/>
      <c r="AB27" s="449"/>
      <c r="AC27" s="449"/>
      <c r="AD27" s="455"/>
      <c r="AE27" s="460"/>
      <c r="AF27" s="460"/>
      <c r="AG27" s="460"/>
      <c r="AH27" s="461"/>
      <c r="AI27" s="461"/>
      <c r="AJ27" s="464"/>
      <c r="AK27" s="450"/>
      <c r="AL27" s="450"/>
      <c r="AM27" s="453"/>
      <c r="AN27" s="453"/>
      <c r="AO27" s="456"/>
      <c r="AP27" s="456"/>
      <c r="AQ27" s="458"/>
      <c r="AR27" s="459"/>
      <c r="AS27" s="458"/>
      <c r="AT27" s="458"/>
      <c r="AU27" s="456"/>
      <c r="AV27" s="460"/>
      <c r="AW27" s="460"/>
      <c r="AX27" s="460"/>
      <c r="AY27" s="463"/>
      <c r="AZ27" s="463"/>
      <c r="BA27" s="470"/>
      <c r="BB27" s="480"/>
    </row>
    <row r="28" spans="2:54" ht="55.5" hidden="1" customHeight="1" x14ac:dyDescent="0.25">
      <c r="B28" s="433">
        <v>21</v>
      </c>
      <c r="C28" s="441" t="s">
        <v>1642</v>
      </c>
      <c r="D28" s="433">
        <v>58</v>
      </c>
      <c r="E28" s="441" t="s">
        <v>1648</v>
      </c>
      <c r="F28" s="442">
        <f>VLOOKUP(D28,'Presupuesto - PAA 2015'!$B$10:$E$265,4,0)</f>
        <v>450880</v>
      </c>
      <c r="G28" s="434" t="str">
        <f>VLOOKUP(D28,'[4]Seguimiento Plan'!$C$2:$R$101,16,0)</f>
        <v>Prestar los servicios de mantenimiento y actualizacion  de módulo de contabilidad programa SIIGO.-</v>
      </c>
      <c r="H28" s="434" t="s">
        <v>1777</v>
      </c>
      <c r="I28" s="434" t="s">
        <v>1710</v>
      </c>
      <c r="J28" s="443" t="s">
        <v>908</v>
      </c>
      <c r="K28" s="444" t="s">
        <v>390</v>
      </c>
      <c r="L28" s="444" t="str">
        <f>VLOOKUP(D28,'[4]Seguimiento Plan'!$C$2:$AJ$101,30,0)</f>
        <v>SI</v>
      </c>
      <c r="M28" s="445">
        <f>VLOOKUP(D28,'[4]Seguimiento Plan'!$C$2:$AJ$101,31,0)</f>
        <v>42081</v>
      </c>
      <c r="N28" s="444" t="s">
        <v>1800</v>
      </c>
      <c r="O28" s="446"/>
      <c r="P28" s="446"/>
      <c r="Q28" s="446"/>
      <c r="R28" s="447"/>
      <c r="S28" s="705" t="s">
        <v>2067</v>
      </c>
      <c r="T28" s="347" t="s">
        <v>1119</v>
      </c>
      <c r="U28" s="450" t="str">
        <f>IF(ISERROR(VLOOKUP(T28,'Base de Datos'!$E$7:$AR$302,3,0))=TRUE," ",(VLOOKUP(T28,'Base de Datos'!$E$7:$AR$302,2,0)))</f>
        <v>SOLUCIONES EN INGENIERIA Y SOFTWARE SAS</v>
      </c>
      <c r="V28" s="453">
        <f>IF(ISERROR(VLOOKUP(T28,'Base de Datos'!$E$7:$AR$302,5,0))=TRUE," ",(VLOOKUP(T28,'Base de Datos'!$E$7:$AR$302,5,0)))</f>
        <v>812500</v>
      </c>
      <c r="W28" s="450">
        <f>IF(ISERROR(VLOOKUP(T28,'Base de Datos'!$E$7:$AR$302,19,0))=TRUE," ",(VLOOKUP(T28,'Base de Datos'!$E$7:$AR$302,19,0)))</f>
        <v>0</v>
      </c>
      <c r="X28" s="455" t="str">
        <f>IF(ISERROR(VLOOKUP(T28,'Base de Datos'!$E$7:$AR$302,8,0))=TRUE," ",(VLOOKUP(T28,'Base de Datos'!$E$7:$AR$302,8,0)))</f>
        <v xml:space="preserve"> </v>
      </c>
      <c r="Y28" s="455">
        <f>IF(ISERROR(VLOOKUP(T28,'Base de Datos'!$E$7:$AR$302,9,0))=TRUE," ",(VLOOKUP(T28,'Base de Datos'!$E$7:$AR$302,9,0)))</f>
        <v>41928</v>
      </c>
      <c r="Z28" s="449">
        <f>IF(ISERROR(VLOOKUP(T28,'Base de Datos'!$E$7:$AR$302,10,0))=TRUE," ",(VLOOKUP(T28,'Base de Datos'!$E$7:$AR$302,10,0)))</f>
        <v>42004</v>
      </c>
      <c r="AA28" s="452">
        <f>IF(ISERROR(VLOOKUP(T28,'Base de Datos'!$E$7:$AR$302,11,0))=TRUE," ",(VLOOKUP(T28,'Base de Datos'!$E$7:$AR$302,11,0)))</f>
        <v>0</v>
      </c>
      <c r="AB28" s="449">
        <f>IF(ISERROR(VLOOKUP(T28,'Base de Datos'!$E$7:$AR$302,12,0))=TRUE," ",(VLOOKUP(T28,'Base de Datos'!$E$7:$AR$302,12,0)))</f>
        <v>0</v>
      </c>
      <c r="AC28" s="449">
        <f>IF(ISERROR(VLOOKUP(T28,'Base de Datos'!$E$7:$AR$302,12,0))=TRUE," ",(VLOOKUP(T28,'Base de Datos'!$E$7:$AR$302,12,0)))</f>
        <v>0</v>
      </c>
      <c r="AD28" s="455" t="str">
        <f>IF(ISERROR(VLOOKUP(T28,'Base de Datos'!$E$7:$AR$302,15,0))=TRUE," ",(VLOOKUP(T28,'Base de Datos'!$E$7:$AR$302,15,0)))</f>
        <v/>
      </c>
      <c r="AE28" s="460">
        <f>IF(ISERROR(VLOOKUP(T28,'Base de Datos'!$E$7:$AR$302,16,0))=TRUE," ",(VLOOKUP(T28,'Base de Datos'!$E$7:$AR$302,16,0)))</f>
        <v>42004</v>
      </c>
      <c r="AF28" s="460">
        <f>IF(ISERROR(VLOOKUP(T28,'Base de Datos'!$E$7:$AR$302,17,0))=TRUE," ",(VLOOKUP(T28,'Base de Datos'!$E$7:$AR$302,17,0)))</f>
        <v>812500</v>
      </c>
      <c r="AG28" s="460">
        <f>IF(ISERROR(VLOOKUP(T28,'Base de Datos'!$E$7:$AR$302,18,0))=TRUE," ",(VLOOKUP(T28,'Base de Datos'!$E$7:$AR$302,18,0)))</f>
        <v>812500</v>
      </c>
      <c r="AH28" s="461">
        <f>IF(ISERROR(VLOOKUP(T28,'Base de Datos'!$E$7:$AR$302,20,0))=TRUE," ",(VLOOKUP(T28,'Base de Datos'!$E$7:$AR$302,20,0)))</f>
        <v>0</v>
      </c>
      <c r="AI28" s="461">
        <f>IF(ISERROR(VLOOKUP(T28,'Base de Datos'!$E$7:$AR$302,21,0))=TRUE," ",(VLOOKUP(T28,'Base de Datos'!$E$7:$AR$302,21,0)))</f>
        <v>1</v>
      </c>
      <c r="AJ28" s="464">
        <v>42194</v>
      </c>
      <c r="AK28" s="450" t="str">
        <f>IF(ISERROR(VLOOKUP(D28,'Base de Datos'!$C$7:$AR$400,2,0))=TRUE," ",(VLOOKUP(D28,'Base de Datos'!$C$7:$AR$400,2,0)))</f>
        <v>201558</v>
      </c>
      <c r="AL28" s="450" t="str">
        <f>IF(ISERROR(VLOOKUP(D28,'Base de Datos'!$C$7:$AR$400,3,0))=TRUE," ",(VLOOKUP(D28,'Base de Datos'!$C$7:$AR$400,3,0)))</f>
        <v>150312-0-2015</v>
      </c>
      <c r="AM28" s="453" t="str">
        <f>IF(ISERROR(VLOOKUP(D28,'Base de Datos'!$C$7:$AR$3761,6,0))=TRUE," ",(VLOOKUP(D28,'Base de Datos'!$C$7:$AR$400,6,0)))</f>
        <v xml:space="preserve">Prestar los servicios de mantenimiento y actualización de módulo de contabilidad programa SIIGO </v>
      </c>
      <c r="AN28" s="453">
        <f>IF(ISERROR(VLOOKUP(D28,'Base de Datos'!$C$7:$AR$400,20,0))=TRUE," ",(VLOOKUP(D28,'Base de Datos'!$C$7:$AR$400,19,0)))</f>
        <v>450880</v>
      </c>
      <c r="AO28" s="456">
        <f>IF(ISERROR(VLOOKUP(D28,'Base de Datos'!$C$7:$AR$400,9,0))=TRUE," ",(VLOOKUP(D28,'Base de Datos'!$C$7:$AR$400,9,0)))</f>
        <v>2015</v>
      </c>
      <c r="AP28" s="456">
        <f>IF(ISERROR(VLOOKUP(D28,'Base de Datos'!$C$7:$AR$400,10,0))=TRUE," ",(VLOOKUP(D28,'Base de Datos'!$C$7:$AR$400,10,0)))</f>
        <v>42194</v>
      </c>
      <c r="AQ28" s="458">
        <f>IF(ISERROR(VLOOKUP(D28,'Base de Datos'!$C$7:$AR$400,11,0))=TRUE," ",(VLOOKUP(D28,'Base de Datos'!$C$7:$AR$400,11,0)))</f>
        <v>42219</v>
      </c>
      <c r="AR28" s="459">
        <f>IF(ISERROR(VLOOKUP(D28,'Base de Datos'!$C$7:$AR$400,12,0))=TRUE," ",(VLOOKUP(D28,'Base de Datos'!$C$7:$AR$400,12,0)))</f>
        <v>42311</v>
      </c>
      <c r="AS28" s="458">
        <f>IF(ISERROR(VLOOKUP(D28,'Base de Datos'!$C$7:$AR$400,13,0))=TRUE," ",(VLOOKUP(D28,'Base de Datos'!$C$7:$AR$400,13,0)))</f>
        <v>0</v>
      </c>
      <c r="AT28" s="458">
        <f>IF(ISERROR(VLOOKUP(D28,'Base de Datos'!$C$7:$AR$400,14,0))=TRUE," ",(VLOOKUP(D28,'Base de Datos'!$C$7:$AR$400,14,0)))</f>
        <v>0</v>
      </c>
      <c r="AU28" s="456" t="str">
        <f>IF(ISERROR(VLOOKUP(D28,'Base de Datos'!$C$7:$AR$400,16,0))=TRUE," ",(VLOOKUP(D28,'Base de Datos'!$C$7:$AR$400,16,0)))</f>
        <v/>
      </c>
      <c r="AV28" s="460" t="str">
        <f>IF(ISERROR(VLOOKUP(D28,'Base de Datos'!$C$7:$AR$400,17,0))=TRUE," ",(VLOOKUP(D28,'Base de Datos'!$C$7:$AR$400,17,0)))</f>
        <v/>
      </c>
      <c r="AW28" s="460">
        <f>IF(ISERROR(VLOOKUP(D28,'Base de Datos'!$C$7:$AR$400,18,0))=TRUE," ",(VLOOKUP(D28,'Base de Datos'!$C$7:$AR$400,18,0)))</f>
        <v>42311</v>
      </c>
      <c r="AX28" s="460">
        <f>IF(ISERROR(VLOOKUP(D28,'Base de Datos'!$C$7:$AR$400,19,0))=TRUE," ",(VLOOKUP(D28,'Base de Datos'!$C$7:$AR$400,19,0)))</f>
        <v>450880</v>
      </c>
      <c r="AY28" s="463">
        <f>IF(ISERROR(VLOOKUP(D28,'Base de Datos'!$C$7:$AR$400,21,0))=TRUE," ",(VLOOKUP(D28,'Base de Datos'!$C$7:$AR$400,21,0)))</f>
        <v>0</v>
      </c>
      <c r="AZ28" s="463" t="str">
        <f>IF(ISERROR(VLOOKUP(D28,'Base de Datos'!$C$7:$AR$400,22,0))=TRUE," ",(VLOOKUP(D28,'Base de Datos'!$C$7:$AR$400,22,0)))</f>
        <v>Único pago</v>
      </c>
      <c r="BA28" s="470"/>
      <c r="BB28" s="480"/>
    </row>
    <row r="29" spans="2:54" ht="55.5" hidden="1" customHeight="1" x14ac:dyDescent="0.25">
      <c r="B29" s="433">
        <v>22</v>
      </c>
      <c r="C29" s="441" t="s">
        <v>1642</v>
      </c>
      <c r="D29" s="433">
        <v>59</v>
      </c>
      <c r="E29" s="441" t="s">
        <v>1648</v>
      </c>
      <c r="F29" s="442">
        <f>VLOOKUP(D29,'Presupuesto - PAA 2015'!$B$10:$E$265,4,0)</f>
        <v>20136071</v>
      </c>
      <c r="G29" s="434" t="str">
        <f>VLOOKUP(D29,'[4]Seguimiento Plan'!$C$2:$R$101,16,0)</f>
        <v>Prestar los servicios de mantenimiento preventivo, correctivo y soporte técnico especializado para sistema biométrico y control de horarios.</v>
      </c>
      <c r="H29" s="434" t="s">
        <v>1777</v>
      </c>
      <c r="I29" s="434" t="s">
        <v>1710</v>
      </c>
      <c r="J29" s="443" t="s">
        <v>909</v>
      </c>
      <c r="K29" s="444" t="s">
        <v>390</v>
      </c>
      <c r="L29" s="444" t="str">
        <f>VLOOKUP(D29,'[4]Seguimiento Plan'!$C$2:$AJ$101,30,0)</f>
        <v>SI</v>
      </c>
      <c r="M29" s="445">
        <f>VLOOKUP(D29,'[4]Seguimiento Plan'!$C$2:$AJ$101,31,0)</f>
        <v>41940</v>
      </c>
      <c r="N29" s="444" t="s">
        <v>1801</v>
      </c>
      <c r="O29" s="446"/>
      <c r="P29" s="446"/>
      <c r="Q29" s="446"/>
      <c r="R29" s="447"/>
      <c r="S29" s="704" t="s">
        <v>2052</v>
      </c>
      <c r="T29" s="448"/>
      <c r="U29" s="450" t="str">
        <f>IF(ISERROR(VLOOKUP(T29,'Base de Datos'!$E$7:$AR$302,3,0))=TRUE," ",(VLOOKUP(T29,'Base de Datos'!$E$7:$AR$302,2,0)))</f>
        <v xml:space="preserve"> </v>
      </c>
      <c r="V29" s="453" t="str">
        <f>IF(ISERROR(VLOOKUP(T29,'Base de Datos'!$E$7:$AR$302,5,0))=TRUE," ",(VLOOKUP(T29,'Base de Datos'!$E$7:$AR$302,5,0)))</f>
        <v xml:space="preserve"> </v>
      </c>
      <c r="W29" s="450" t="str">
        <f>IF(ISERROR(VLOOKUP(T29,'Base de Datos'!$E$7:$AR$302,19,0))=TRUE," ",(VLOOKUP(T29,'Base de Datos'!$E$7:$AR$302,19,0)))</f>
        <v xml:space="preserve"> </v>
      </c>
      <c r="X29" s="455" t="str">
        <f>IF(ISERROR(VLOOKUP(T29,'Base de Datos'!$E$7:$AR$302,8,0))=TRUE," ",(VLOOKUP(T29,'Base de Datos'!$E$7:$AR$302,8,0)))</f>
        <v xml:space="preserve"> </v>
      </c>
      <c r="Y29" s="455" t="str">
        <f>IF(ISERROR(VLOOKUP(T29,'Base de Datos'!$E$7:$AR$302,9,0))=TRUE," ",(VLOOKUP(T29,'Base de Datos'!$E$7:$AR$302,9,0)))</f>
        <v xml:space="preserve"> </v>
      </c>
      <c r="Z29" s="449" t="str">
        <f>IF(ISERROR(VLOOKUP(T29,'Base de Datos'!$E$7:$AR$302,10,0))=TRUE," ",(VLOOKUP(T29,'Base de Datos'!$E$7:$AR$302,10,0)))</f>
        <v xml:space="preserve"> </v>
      </c>
      <c r="AA29" s="452" t="str">
        <f>IF(ISERROR(VLOOKUP(T29,'Base de Datos'!$E$7:$AR$302,11,0))=TRUE," ",(VLOOKUP(T29,'Base de Datos'!$E$7:$AR$302,11,0)))</f>
        <v xml:space="preserve"> </v>
      </c>
      <c r="AB29" s="449" t="str">
        <f>IF(ISERROR(VLOOKUP(T29,'Base de Datos'!$E$7:$AR$302,12,0))=TRUE," ",(VLOOKUP(T29,'Base de Datos'!$E$7:$AR$302,12,0)))</f>
        <v xml:space="preserve"> </v>
      </c>
      <c r="AC29" s="449" t="str">
        <f>IF(ISERROR(VLOOKUP(T29,'Base de Datos'!$E$7:$AR$302,12,0))=TRUE," ",(VLOOKUP(T29,'Base de Datos'!$E$7:$AR$302,12,0)))</f>
        <v xml:space="preserve"> </v>
      </c>
      <c r="AD29" s="455" t="str">
        <f>IF(ISERROR(VLOOKUP(T29,'Base de Datos'!$E$7:$AR$302,15,0))=TRUE," ",(VLOOKUP(T29,'Base de Datos'!$E$7:$AR$302,15,0)))</f>
        <v xml:space="preserve"> </v>
      </c>
      <c r="AE29" s="460" t="str">
        <f>IF(ISERROR(VLOOKUP(T29,'Base de Datos'!$E$7:$AR$302,16,0))=TRUE," ",(VLOOKUP(T29,'Base de Datos'!$E$7:$AR$302,16,0)))</f>
        <v xml:space="preserve"> </v>
      </c>
      <c r="AF29" s="460" t="str">
        <f>IF(ISERROR(VLOOKUP(T29,'Base de Datos'!$E$7:$AR$302,17,0))=TRUE," ",(VLOOKUP(T29,'Base de Datos'!$E$7:$AR$302,17,0)))</f>
        <v xml:space="preserve"> </v>
      </c>
      <c r="AG29" s="460" t="str">
        <f>IF(ISERROR(VLOOKUP(T29,'Base de Datos'!$E$7:$AR$302,18,0))=TRUE," ",(VLOOKUP(T29,'Base de Datos'!$E$7:$AR$302,18,0)))</f>
        <v xml:space="preserve"> </v>
      </c>
      <c r="AH29" s="461" t="str">
        <f>IF(ISERROR(VLOOKUP(T29,'Base de Datos'!$E$7:$AR$302,20,0))=TRUE," ",(VLOOKUP(T29,'Base de Datos'!$E$7:$AR$302,20,0)))</f>
        <v xml:space="preserve"> </v>
      </c>
      <c r="AI29" s="461" t="str">
        <f>IF(ISERROR(VLOOKUP(T29,'Base de Datos'!$E$7:$AR$302,21,0))=TRUE," ",(VLOOKUP(T29,'Base de Datos'!$E$7:$AR$302,21,0)))</f>
        <v xml:space="preserve"> </v>
      </c>
      <c r="AJ29" s="464">
        <v>42209</v>
      </c>
      <c r="AK29" s="450" t="str">
        <f>IF(ISERROR(VLOOKUP(D29,'Base de Datos'!$C$7:$AR$400,2,0))=TRUE," ",(VLOOKUP(D29,'Base de Datos'!$C$7:$AR$400,2,0)))</f>
        <v>201559</v>
      </c>
      <c r="AL29" s="450" t="str">
        <f>IF(ISERROR(VLOOKUP(D29,'Base de Datos'!$C$7:$AR$400,3,0))=TRUE," ",(VLOOKUP(D29,'Base de Datos'!$C$7:$AR$400,3,0)))</f>
        <v>150322-0-2015</v>
      </c>
      <c r="AM29" s="453" t="str">
        <f>IF(ISERROR(VLOOKUP(D29,'Base de Datos'!$C$7:$AR$3761,6,0))=TRUE," ",(VLOOKUP(D29,'Base de Datos'!$C$7:$AR$400,6,0)))</f>
        <v>Prestar los servicios de mantenimiento preventivo, correctivo y soporte técnico especializado para sistema biométrico del Concejo de Bogotá</v>
      </c>
      <c r="AN29" s="453">
        <f>IF(ISERROR(VLOOKUP(D29,'Base de Datos'!$C$7:$AR$400,20,0))=TRUE," ",(VLOOKUP(D29,'Base de Datos'!$C$7:$AR$400,19,0)))</f>
        <v>20136071</v>
      </c>
      <c r="AO29" s="456">
        <f>IF(ISERROR(VLOOKUP(D29,'Base de Datos'!$C$7:$AR$400,9,0))=TRUE," ",(VLOOKUP(D29,'Base de Datos'!$C$7:$AR$400,9,0)))</f>
        <v>2015</v>
      </c>
      <c r="AP29" s="456">
        <f>IF(ISERROR(VLOOKUP(D29,'Base de Datos'!$C$7:$AR$400,10,0))=TRUE," ",(VLOOKUP(D29,'Base de Datos'!$C$7:$AR$400,10,0)))</f>
        <v>42209</v>
      </c>
      <c r="AQ29" s="458">
        <f>IF(ISERROR(VLOOKUP(D29,'Base de Datos'!$C$7:$AR$400,11,0))=TRUE," ",(VLOOKUP(D29,'Base de Datos'!$C$7:$AR$400,11,0)))</f>
        <v>42221</v>
      </c>
      <c r="AR29" s="459">
        <f>IF(ISERROR(VLOOKUP(D29,'Base de Datos'!$C$7:$AR$400,12,0))=TRUE," ",(VLOOKUP(D29,'Base de Datos'!$C$7:$AR$400,12,0)))</f>
        <v>42587</v>
      </c>
      <c r="AS29" s="458">
        <f>IF(ISERROR(VLOOKUP(D29,'Base de Datos'!$C$7:$AR$400,13,0))=TRUE," ",(VLOOKUP(D29,'Base de Datos'!$C$7:$AR$400,13,0)))</f>
        <v>0</v>
      </c>
      <c r="AT29" s="458">
        <f>IF(ISERROR(VLOOKUP(D29,'Base de Datos'!$C$7:$AR$400,14,0))=TRUE," ",(VLOOKUP(D29,'Base de Datos'!$C$7:$AR$400,14,0)))</f>
        <v>0</v>
      </c>
      <c r="AU29" s="456" t="str">
        <f>IF(ISERROR(VLOOKUP(D29,'Base de Datos'!$C$7:$AR$400,16,0))=TRUE," ",(VLOOKUP(D29,'Base de Datos'!$C$7:$AR$400,16,0)))</f>
        <v/>
      </c>
      <c r="AV29" s="460" t="str">
        <f>IF(ISERROR(VLOOKUP(D29,'Base de Datos'!$C$7:$AR$400,17,0))=TRUE," ",(VLOOKUP(D29,'Base de Datos'!$C$7:$AR$400,17,0)))</f>
        <v/>
      </c>
      <c r="AW29" s="460">
        <f>IF(ISERROR(VLOOKUP(D29,'Base de Datos'!$C$7:$AR$400,18,0))=TRUE," ",(VLOOKUP(D29,'Base de Datos'!$C$7:$AR$400,18,0)))</f>
        <v>42587</v>
      </c>
      <c r="AX29" s="460">
        <f>IF(ISERROR(VLOOKUP(D29,'Base de Datos'!$C$7:$AR$400,19,0))=TRUE," ",(VLOOKUP(D29,'Base de Datos'!$C$7:$AR$400,19,0)))</f>
        <v>20136071</v>
      </c>
      <c r="AY29" s="463">
        <f>IF(ISERROR(VLOOKUP(D29,'Base de Datos'!$C$7:$AR$400,21,0))=TRUE," ",(VLOOKUP(D29,'Base de Datos'!$C$7:$AR$400,21,0)))</f>
        <v>9196142</v>
      </c>
      <c r="AZ29" s="463" t="str">
        <f>IF(ISERROR(VLOOKUP(D29,'Base de Datos'!$C$7:$AR$400,22,0))=TRUE," ",(VLOOKUP(D29,'Base de Datos'!$C$7:$AR$400,22,0)))</f>
        <v>De acuerdo a los servicios recibidos.</v>
      </c>
      <c r="BA29" s="470"/>
      <c r="BB29" s="480"/>
    </row>
    <row r="30" spans="2:54" ht="55.5" hidden="1" customHeight="1" x14ac:dyDescent="0.25">
      <c r="B30" s="433">
        <v>23</v>
      </c>
      <c r="C30" s="441" t="s">
        <v>1642</v>
      </c>
      <c r="D30" s="433">
        <v>60</v>
      </c>
      <c r="E30" s="441" t="s">
        <v>1648</v>
      </c>
      <c r="F30" s="442">
        <f>VLOOKUP(D30,'Presupuesto - PAA 2015'!$B$10:$E$265,4,0)</f>
        <v>85933385</v>
      </c>
      <c r="G30" s="434" t="s">
        <v>2119</v>
      </c>
      <c r="H30" s="434" t="s">
        <v>1777</v>
      </c>
      <c r="I30" s="434" t="s">
        <v>1710</v>
      </c>
      <c r="J30" s="443" t="s">
        <v>909</v>
      </c>
      <c r="K30" s="444" t="s">
        <v>390</v>
      </c>
      <c r="L30" s="444" t="str">
        <f>VLOOKUP(D30,'[4]Seguimiento Plan'!$C$2:$AJ$101,30,0)</f>
        <v>SI</v>
      </c>
      <c r="M30" s="445">
        <f>VLOOKUP(D30,'[4]Seguimiento Plan'!$C$2:$AJ$101,31,0)</f>
        <v>42065</v>
      </c>
      <c r="N30" s="444"/>
      <c r="O30" s="446"/>
      <c r="P30" s="446"/>
      <c r="Q30" s="446"/>
      <c r="R30" s="447"/>
      <c r="S30" s="447"/>
      <c r="T30" s="448"/>
      <c r="U30" s="450" t="str">
        <f>IF(ISERROR(VLOOKUP(T30,'Base de Datos'!$E$7:$AR$302,3,0))=TRUE," ",(VLOOKUP(T30,'Base de Datos'!$E$7:$AR$302,2,0)))</f>
        <v xml:space="preserve"> </v>
      </c>
      <c r="V30" s="453" t="str">
        <f>IF(ISERROR(VLOOKUP(T30,'Base de Datos'!$E$7:$AR$302,5,0))=TRUE," ",(VLOOKUP(T30,'Base de Datos'!$E$7:$AR$302,5,0)))</f>
        <v xml:space="preserve"> </v>
      </c>
      <c r="W30" s="450" t="str">
        <f>IF(ISERROR(VLOOKUP(T30,'Base de Datos'!$E$7:$AR$302,19,0))=TRUE," ",(VLOOKUP(T30,'Base de Datos'!$E$7:$AR$302,19,0)))</f>
        <v xml:space="preserve"> </v>
      </c>
      <c r="X30" s="455" t="str">
        <f>IF(ISERROR(VLOOKUP(T30,'Base de Datos'!$E$7:$AR$302,8,0))=TRUE," ",(VLOOKUP(T30,'Base de Datos'!$E$7:$AR$302,8,0)))</f>
        <v xml:space="preserve"> </v>
      </c>
      <c r="Y30" s="455" t="str">
        <f>IF(ISERROR(VLOOKUP(T30,'Base de Datos'!$E$7:$AR$302,9,0))=TRUE," ",(VLOOKUP(T30,'Base de Datos'!$E$7:$AR$302,9,0)))</f>
        <v xml:space="preserve"> </v>
      </c>
      <c r="Z30" s="449" t="str">
        <f>IF(ISERROR(VLOOKUP(T30,'Base de Datos'!$E$7:$AR$302,10,0))=TRUE," ",(VLOOKUP(T30,'Base de Datos'!$E$7:$AR$302,10,0)))</f>
        <v xml:space="preserve"> </v>
      </c>
      <c r="AA30" s="452" t="str">
        <f>IF(ISERROR(VLOOKUP(T30,'Base de Datos'!$E$7:$AR$302,11,0))=TRUE," ",(VLOOKUP(T30,'Base de Datos'!$E$7:$AR$302,11,0)))</f>
        <v xml:space="preserve"> </v>
      </c>
      <c r="AB30" s="449" t="str">
        <f>IF(ISERROR(VLOOKUP(T30,'Base de Datos'!$E$7:$AR$302,12,0))=TRUE," ",(VLOOKUP(T30,'Base de Datos'!$E$7:$AR$302,12,0)))</f>
        <v xml:space="preserve"> </v>
      </c>
      <c r="AC30" s="449" t="str">
        <f>IF(ISERROR(VLOOKUP(T30,'Base de Datos'!$E$7:$AR$302,12,0))=TRUE," ",(VLOOKUP(T30,'Base de Datos'!$E$7:$AR$302,12,0)))</f>
        <v xml:space="preserve"> </v>
      </c>
      <c r="AD30" s="455" t="str">
        <f>IF(ISERROR(VLOOKUP(T30,'Base de Datos'!$E$7:$AR$302,15,0))=TRUE," ",(VLOOKUP(T30,'Base de Datos'!$E$7:$AR$302,15,0)))</f>
        <v xml:space="preserve"> </v>
      </c>
      <c r="AE30" s="460" t="str">
        <f>IF(ISERROR(VLOOKUP(T30,'Base de Datos'!$E$7:$AR$302,16,0))=TRUE," ",(VLOOKUP(T30,'Base de Datos'!$E$7:$AR$302,16,0)))</f>
        <v xml:space="preserve"> </v>
      </c>
      <c r="AF30" s="460" t="str">
        <f>IF(ISERROR(VLOOKUP(T30,'Base de Datos'!$E$7:$AR$302,17,0))=TRUE," ",(VLOOKUP(T30,'Base de Datos'!$E$7:$AR$302,17,0)))</f>
        <v xml:space="preserve"> </v>
      </c>
      <c r="AG30" s="460" t="str">
        <f>IF(ISERROR(VLOOKUP(T30,'Base de Datos'!$E$7:$AR$302,18,0))=TRUE," ",(VLOOKUP(T30,'Base de Datos'!$E$7:$AR$302,18,0)))</f>
        <v xml:space="preserve"> </v>
      </c>
      <c r="AH30" s="461" t="str">
        <f>IF(ISERROR(VLOOKUP(T30,'Base de Datos'!$E$7:$AR$302,20,0))=TRUE," ",(VLOOKUP(T30,'Base de Datos'!$E$7:$AR$302,20,0)))</f>
        <v xml:space="preserve"> </v>
      </c>
      <c r="AI30" s="461" t="str">
        <f>IF(ISERROR(VLOOKUP(T30,'Base de Datos'!$E$7:$AR$302,21,0))=TRUE," ",(VLOOKUP(T30,'Base de Datos'!$E$7:$AR$302,21,0)))</f>
        <v xml:space="preserve"> </v>
      </c>
      <c r="AJ30" s="450"/>
      <c r="AK30" s="450" t="str">
        <f>IF(ISERROR(VLOOKUP(D30,'Base de Datos'!$C$7:$AR$400,2,0))=TRUE," ",(VLOOKUP(D30,'Base de Datos'!$C$7:$AR$400,2,0)))</f>
        <v>201560</v>
      </c>
      <c r="AL30" s="450" t="str">
        <f>IF(ISERROR(VLOOKUP(D30,'Base de Datos'!$C$7:$AR$400,3,0))=TRUE," ",(VLOOKUP(D30,'Base de Datos'!$C$7:$AR$400,3,0)))</f>
        <v>150314-0-2015</v>
      </c>
      <c r="AM30" s="453" t="str">
        <f>IF(ISERROR(VLOOKUP(D30,'Base de Datos'!$C$7:$AR$3761,6,0))=TRUE," ",(VLOOKUP(D30,'Base de Datos'!$C$7:$AR$400,6,0)))</f>
        <v>Contratar los servicios de mantenimiento preventivo y correctivo con repuestos y bienes fungibles para los elementos del centro de cómputo y centros de cableado del Concejo de Bogotá D.C., de conformidad con lo establecido en el Pliego de Condiciones del Proceso de Selección Abreviada -Subasta Inversa Electrónica No. SDH-SIE-08-2015 y la propuesta presentada por el contratista.</v>
      </c>
      <c r="AN30" s="453">
        <f>IF(ISERROR(VLOOKUP(D30,'Base de Datos'!$C$7:$AR$400,20,0))=TRUE," ",(VLOOKUP(D30,'Base de Datos'!$C$7:$AR$400,19,0)))</f>
        <v>85933385</v>
      </c>
      <c r="AO30" s="456">
        <f>IF(ISERROR(VLOOKUP(D30,'Base de Datos'!$C$7:$AR$400,9,0))=TRUE," ",(VLOOKUP(D30,'Base de Datos'!$C$7:$AR$400,9,0)))</f>
        <v>2015</v>
      </c>
      <c r="AP30" s="456">
        <f>IF(ISERROR(VLOOKUP(D30,'Base de Datos'!$C$7:$AR$400,10,0))=TRUE," ",(VLOOKUP(D30,'Base de Datos'!$C$7:$AR$400,10,0)))</f>
        <v>42200</v>
      </c>
      <c r="AQ30" s="458">
        <f>IF(ISERROR(VLOOKUP(D30,'Base de Datos'!$C$7:$AR$400,11,0))=TRUE," ",(VLOOKUP(D30,'Base de Datos'!$C$7:$AR$400,11,0)))</f>
        <v>42209</v>
      </c>
      <c r="AR30" s="459">
        <f>IF(ISERROR(VLOOKUP(D30,'Base de Datos'!$C$7:$AR$400,12,0))=TRUE," ",(VLOOKUP(D30,'Base de Datos'!$C$7:$AR$400,12,0)))</f>
        <v>42575</v>
      </c>
      <c r="AS30" s="458">
        <f>IF(ISERROR(VLOOKUP(D30,'Base de Datos'!$C$7:$AR$400,13,0))=TRUE," ",(VLOOKUP(D30,'Base de Datos'!$C$7:$AR$400,13,0)))</f>
        <v>0</v>
      </c>
      <c r="AT30" s="458">
        <f>IF(ISERROR(VLOOKUP(D30,'Base de Datos'!$C$7:$AR$400,14,0))=TRUE," ",(VLOOKUP(D30,'Base de Datos'!$C$7:$AR$400,14,0)))</f>
        <v>0</v>
      </c>
      <c r="AU30" s="456" t="str">
        <f>IF(ISERROR(VLOOKUP(D30,'Base de Datos'!$C$7:$AR$400,16,0))=TRUE," ",(VLOOKUP(D30,'Base de Datos'!$C$7:$AR$400,16,0)))</f>
        <v/>
      </c>
      <c r="AV30" s="460" t="str">
        <f>IF(ISERROR(VLOOKUP(D30,'Base de Datos'!$C$7:$AR$400,17,0))=TRUE," ",(VLOOKUP(D30,'Base de Datos'!$C$7:$AR$400,17,0)))</f>
        <v/>
      </c>
      <c r="AW30" s="460">
        <f>IF(ISERROR(VLOOKUP(D30,'Base de Datos'!$C$7:$AR$400,18,0))=TRUE," ",(VLOOKUP(D30,'Base de Datos'!$C$7:$AR$400,18,0)))</f>
        <v>42575</v>
      </c>
      <c r="AX30" s="460">
        <f>IF(ISERROR(VLOOKUP(D30,'Base de Datos'!$C$7:$AR$400,19,0))=TRUE," ",(VLOOKUP(D30,'Base de Datos'!$C$7:$AR$400,19,0)))</f>
        <v>85933385</v>
      </c>
      <c r="AY30" s="463">
        <f>IF(ISERROR(VLOOKUP(D30,'Base de Datos'!$C$7:$AR$400,21,0))=TRUE," ",(VLOOKUP(D30,'Base de Datos'!$C$7:$AR$400,21,0)))</f>
        <v>5096153</v>
      </c>
      <c r="AZ30" s="463">
        <f>IF(ISERROR(VLOOKUP(D30,'Base de Datos'!$C$7:$AR$400,22,0))=TRUE," ",(VLOOKUP(D30,'Base de Datos'!$C$7:$AR$400,22,0)))</f>
        <v>0</v>
      </c>
      <c r="BA30" s="470"/>
      <c r="BB30" s="480"/>
    </row>
    <row r="31" spans="2:54" ht="55.5" hidden="1" customHeight="1" x14ac:dyDescent="0.25">
      <c r="B31" s="433">
        <v>24</v>
      </c>
      <c r="C31" s="441" t="s">
        <v>1642</v>
      </c>
      <c r="D31" s="433">
        <v>61</v>
      </c>
      <c r="E31" s="441" t="s">
        <v>1648</v>
      </c>
      <c r="F31" s="442">
        <f>VLOOKUP(D31,'Presupuesto - PAA 2015'!$B$10:$E$265,4,0)</f>
        <v>40610000</v>
      </c>
      <c r="G31" s="434" t="str">
        <f>VLOOKUP(D31,'[4]Seguimiento Plan'!$C$2:$R$101,16,0)</f>
        <v>Adición y prórroga al contrato 140317 -2014 que tiene por objeto:  Prestar el servicio de actualización, mantenimiento y soporte al sitio WEB e intranet del Concejo de Bogotá.</v>
      </c>
      <c r="H31" s="434" t="s">
        <v>1777</v>
      </c>
      <c r="I31" s="434" t="s">
        <v>1710</v>
      </c>
      <c r="J31" s="443" t="s">
        <v>590</v>
      </c>
      <c r="K31" s="444"/>
      <c r="L31" s="444"/>
      <c r="M31" s="445"/>
      <c r="N31" s="444"/>
      <c r="O31" s="446"/>
      <c r="P31" s="446"/>
      <c r="Q31" s="446"/>
      <c r="R31" s="447"/>
      <c r="S31" s="447"/>
      <c r="T31" s="347" t="s">
        <v>1158</v>
      </c>
      <c r="U31" s="450" t="str">
        <f>IF(ISERROR(VLOOKUP(T31,'Base de Datos'!$E$7:$AR$302,3,0))=TRUE," ",(VLOOKUP(T31,'Base de Datos'!$E$7:$AR$302,2,0)))</f>
        <v>FACTOR VISUAL EAT</v>
      </c>
      <c r="V31" s="453">
        <f>IF(ISERROR(VLOOKUP(T31,'Base de Datos'!$E$7:$AR$302,5,0))=TRUE," ",(VLOOKUP(T31,'Base de Datos'!$E$7:$AR$302,5,0)))</f>
        <v>44544000</v>
      </c>
      <c r="W31" s="450">
        <f>IF(ISERROR(VLOOKUP(T31,'Base de Datos'!$E$7:$AR$302,19,0))=TRUE," ",(VLOOKUP(T31,'Base de Datos'!$E$7:$AR$302,19,0)))</f>
        <v>0</v>
      </c>
      <c r="X31" s="455" t="str">
        <f>IF(ISERROR(VLOOKUP(T31,'Base de Datos'!$E$7:$AR$302,8,0))=TRUE," ",(VLOOKUP(T31,'Base de Datos'!$E$7:$AR$302,8,0)))</f>
        <v xml:space="preserve"> </v>
      </c>
      <c r="Y31" s="455">
        <f>IF(ISERROR(VLOOKUP(T31,'Base de Datos'!$E$7:$AR$302,9,0))=TRUE," ",(VLOOKUP(T31,'Base de Datos'!$E$7:$AR$302,9,0)))</f>
        <v>41929</v>
      </c>
      <c r="Z31" s="449">
        <f>IF(ISERROR(VLOOKUP(T31,'Base de Datos'!$E$7:$AR$302,10,0))=TRUE," ",(VLOOKUP(T31,'Base de Datos'!$E$7:$AR$302,10,0)))</f>
        <v>42294</v>
      </c>
      <c r="AA31" s="452">
        <f>IF(ISERROR(VLOOKUP(T31,'Base de Datos'!$E$7:$AR$302,11,0))=TRUE," ",(VLOOKUP(T31,'Base de Datos'!$E$7:$AR$302,11,0)))</f>
        <v>1</v>
      </c>
      <c r="AB31" s="449">
        <f>IF(ISERROR(VLOOKUP(T31,'Base de Datos'!$E$7:$AR$302,12,0))=TRUE," ",(VLOOKUP(T31,'Base de Datos'!$E$7:$AR$302,12,0)))</f>
        <v>22272000</v>
      </c>
      <c r="AC31" s="449">
        <f>IF(ISERROR(VLOOKUP(T31,'Base de Datos'!$E$7:$AR$302,12,0))=TRUE," ",(VLOOKUP(T31,'Base de Datos'!$E$7:$AR$302,12,0)))</f>
        <v>22272000</v>
      </c>
      <c r="AD31" s="455">
        <f>IF(ISERROR(VLOOKUP(T31,'Base de Datos'!$E$7:$AR$302,15,0))=TRUE," ",(VLOOKUP(T31,'Base de Datos'!$E$7:$AR$302,15,0)))</f>
        <v>42477</v>
      </c>
      <c r="AE31" s="460">
        <f>IF(ISERROR(VLOOKUP(T31,'Base de Datos'!$E$7:$AR$302,16,0))=TRUE," ",(VLOOKUP(T31,'Base de Datos'!$E$7:$AR$302,16,0)))</f>
        <v>42477</v>
      </c>
      <c r="AF31" s="460">
        <f>IF(ISERROR(VLOOKUP(T31,'Base de Datos'!$E$7:$AR$302,17,0))=TRUE," ",(VLOOKUP(T31,'Base de Datos'!$E$7:$AR$302,17,0)))</f>
        <v>66816000</v>
      </c>
      <c r="AG31" s="460">
        <f>IF(ISERROR(VLOOKUP(T31,'Base de Datos'!$E$7:$AR$302,18,0))=TRUE," ",(VLOOKUP(T31,'Base de Datos'!$E$7:$AR$302,18,0)))</f>
        <v>66816000</v>
      </c>
      <c r="AH31" s="461" t="str">
        <f>IF(ISERROR(VLOOKUP(T31,'Base de Datos'!$E$7:$AR$302,20,0))=TRUE," ",(VLOOKUP(T31,'Base de Datos'!$E$7:$AR$302,20,0)))</f>
        <v xml:space="preserve">a) Un primer pago por valor de $4.176.000 incluido Iva, correspondiente a la entrega de la actualización de las licencias, previo ingreso de las licencias al Almacén e instalación, así como la certificación de recibido a satisfacción por parte del supervisor, conforme a la propuesta económica remitida por el Contratista.
b) Se realizarán doce (12) mensualidades vencidas de Tres Millones Trescientos Sesenta y Cuatro Mil pesos ($3.364.000.oo) cada una incluido Iva, correspondientes al mantenimiento y soporte mensual.  
</v>
      </c>
      <c r="AI31" s="461">
        <f>IF(ISERROR(VLOOKUP(T31,'Base de Datos'!$E$7:$AR$302,21,0))=TRUE," ",(VLOOKUP(T31,'Base de Datos'!$E$7:$AR$302,21,0)))</f>
        <v>1</v>
      </c>
      <c r="AJ31" s="450"/>
      <c r="AK31" s="450" t="str">
        <f>IF(ISERROR(VLOOKUP(D31,'Base de Datos'!$C$7:$AR$400,2,0))=TRUE," ",(VLOOKUP(D31,'Base de Datos'!$C$7:$AR$400,2,0)))</f>
        <v xml:space="preserve"> </v>
      </c>
      <c r="AL31" s="450" t="str">
        <f>IF(ISERROR(VLOOKUP(D31,'Base de Datos'!$C$7:$AR$400,3,0))=TRUE," ",(VLOOKUP(D31,'Base de Datos'!$C$7:$AR$400,3,0)))</f>
        <v xml:space="preserve"> </v>
      </c>
      <c r="AM31" s="453" t="e">
        <f>IF(ISERROR(VLOOKUP(D31,'Base de Datos'!$C$7:$AR$3761,6,0))=TRUE," ",(VLOOKUP(D31,'Base de Datos'!$C$7:$AR$400,6,0)))</f>
        <v>#N/A</v>
      </c>
      <c r="AN31" s="453" t="str">
        <f>IF(ISERROR(VLOOKUP(D31,'Base de Datos'!$C$7:$AR$400,20,0))=TRUE," ",(VLOOKUP(D31,'Base de Datos'!$C$7:$AR$400,19,0)))</f>
        <v xml:space="preserve"> </v>
      </c>
      <c r="AO31" s="456" t="str">
        <f>IF(ISERROR(VLOOKUP(D31,'Base de Datos'!$C$7:$AR$400,9,0))=TRUE," ",(VLOOKUP(D31,'Base de Datos'!$C$7:$AR$400,9,0)))</f>
        <v xml:space="preserve"> </v>
      </c>
      <c r="AP31" s="456" t="str">
        <f>IF(ISERROR(VLOOKUP(D31,'Base de Datos'!$C$7:$AR$400,10,0))=TRUE," ",(VLOOKUP(D31,'Base de Datos'!$C$7:$AR$400,10,0)))</f>
        <v xml:space="preserve"> </v>
      </c>
      <c r="AQ31" s="458" t="str">
        <f>IF(ISERROR(VLOOKUP(D31,'Base de Datos'!$C$7:$AR$400,11,0))=TRUE," ",(VLOOKUP(D31,'Base de Datos'!$C$7:$AR$400,11,0)))</f>
        <v xml:space="preserve"> </v>
      </c>
      <c r="AR31" s="459" t="str">
        <f>IF(ISERROR(VLOOKUP(D31,'Base de Datos'!$C$7:$AR$400,12,0))=TRUE," ",(VLOOKUP(D31,'Base de Datos'!$C$7:$AR$400,12,0)))</f>
        <v xml:space="preserve"> </v>
      </c>
      <c r="AS31" s="458" t="str">
        <f>IF(ISERROR(VLOOKUP(D31,'Base de Datos'!$C$7:$AR$400,13,0))=TRUE," ",(VLOOKUP(D31,'Base de Datos'!$C$7:$AR$400,13,0)))</f>
        <v xml:space="preserve"> </v>
      </c>
      <c r="AT31" s="458" t="str">
        <f>IF(ISERROR(VLOOKUP(D31,'Base de Datos'!$C$7:$AR$400,14,0))=TRUE," ",(VLOOKUP(D31,'Base de Datos'!$C$7:$AR$400,14,0)))</f>
        <v xml:space="preserve"> </v>
      </c>
      <c r="AU31" s="456" t="str">
        <f>IF(ISERROR(VLOOKUP(D31,'Base de Datos'!$C$7:$AR$400,16,0))=TRUE," ",(VLOOKUP(D31,'Base de Datos'!$C$7:$AR$400,16,0)))</f>
        <v xml:space="preserve"> </v>
      </c>
      <c r="AV31" s="460" t="str">
        <f>IF(ISERROR(VLOOKUP(D31,'Base de Datos'!$C$7:$AR$400,17,0))=TRUE," ",(VLOOKUP(D31,'Base de Datos'!$C$7:$AR$400,17,0)))</f>
        <v xml:space="preserve"> </v>
      </c>
      <c r="AW31" s="460" t="str">
        <f>IF(ISERROR(VLOOKUP(D31,'Base de Datos'!$C$7:$AR$400,18,0))=TRUE," ",(VLOOKUP(D31,'Base de Datos'!$C$7:$AR$400,18,0)))</f>
        <v xml:space="preserve"> </v>
      </c>
      <c r="AX31" s="460" t="str">
        <f>IF(ISERROR(VLOOKUP(D31,'Base de Datos'!$C$7:$AR$400,19,0))=TRUE," ",(VLOOKUP(D31,'Base de Datos'!$C$7:$AR$400,19,0)))</f>
        <v xml:space="preserve"> </v>
      </c>
      <c r="AY31" s="463" t="str">
        <f>IF(ISERROR(VLOOKUP(D31,'Base de Datos'!$C$7:$AR$400,21,0))=TRUE," ",(VLOOKUP(D31,'Base de Datos'!$C$7:$AR$400,21,0)))</f>
        <v xml:space="preserve"> </v>
      </c>
      <c r="AZ31" s="463" t="str">
        <f>IF(ISERROR(VLOOKUP(D31,'Base de Datos'!$C$7:$AR$400,22,0))=TRUE," ",(VLOOKUP(D31,'Base de Datos'!$C$7:$AR$400,22,0)))</f>
        <v xml:space="preserve"> </v>
      </c>
      <c r="BA31" s="470"/>
      <c r="BB31" s="480"/>
    </row>
    <row r="32" spans="2:54" ht="55.5" hidden="1" customHeight="1" x14ac:dyDescent="0.25">
      <c r="B32" s="433">
        <v>25</v>
      </c>
      <c r="C32" s="441" t="s">
        <v>1642</v>
      </c>
      <c r="D32" s="433">
        <v>62</v>
      </c>
      <c r="E32" s="441" t="s">
        <v>1648</v>
      </c>
      <c r="F32" s="442">
        <f>VLOOKUP(D32,'Presupuesto - PAA 2015'!$B$10:$E$265,4,0)</f>
        <v>194667840</v>
      </c>
      <c r="G32" s="434" t="str">
        <f>VLOOKUP(D32,'[4]Seguimiento Plan'!$C$2:$R$101,16,0)</f>
        <v>Prestar los servicios de mantenimieto, actualización y soporte de licencias y plataforma del sistema de voto electrónico del Concejo de Bogotá D.C</v>
      </c>
      <c r="H32" s="434" t="s">
        <v>1777</v>
      </c>
      <c r="I32" s="434" t="s">
        <v>1710</v>
      </c>
      <c r="J32" s="443" t="s">
        <v>913</v>
      </c>
      <c r="K32" s="444" t="s">
        <v>390</v>
      </c>
      <c r="L32" s="444" t="str">
        <f>VLOOKUP(D32,'[4]Seguimiento Plan'!$C$2:$AJ$101,30,0)</f>
        <v>SI</v>
      </c>
      <c r="M32" s="445">
        <f>VLOOKUP(D32,'[4]Seguimiento Plan'!$C$2:$AJ$101,31,0)</f>
        <v>42065</v>
      </c>
      <c r="N32" s="444" t="s">
        <v>1802</v>
      </c>
      <c r="O32" s="446"/>
      <c r="P32" s="446"/>
      <c r="Q32" s="446"/>
      <c r="R32" s="447"/>
      <c r="S32" s="465"/>
      <c r="T32" s="350" t="s">
        <v>1351</v>
      </c>
      <c r="U32" s="450" t="str">
        <f>IF(ISERROR(VLOOKUP(T32,'Base de Datos'!$E$7:$AR$302,3,0))=TRUE," ",(VLOOKUP(T32,'Base de Datos'!$E$7:$AR$302,2,0)))</f>
        <v>PROSEGUR TECNOLOGÍA S.A.S.</v>
      </c>
      <c r="V32" s="453">
        <f>IF(ISERROR(VLOOKUP(T32,'Base de Datos'!$E$7:$AR$302,5,0))=TRUE," ",(VLOOKUP(T32,'Base de Datos'!$E$7:$AR$302,5,0)))</f>
        <v>59383678</v>
      </c>
      <c r="W32" s="450">
        <f>IF(ISERROR(VLOOKUP(T32,'Base de Datos'!$E$7:$AR$302,19,0))=TRUE," ",(VLOOKUP(T32,'Base de Datos'!$E$7:$AR$302,19,0)))</f>
        <v>31613526</v>
      </c>
      <c r="X32" s="455" t="str">
        <f>IF(ISERROR(VLOOKUP(T32,'Base de Datos'!$E$7:$AR$302,8,0))=TRUE," ",(VLOOKUP(T32,'Base de Datos'!$E$7:$AR$302,8,0)))</f>
        <v xml:space="preserve"> </v>
      </c>
      <c r="Y32" s="455">
        <f>IF(ISERROR(VLOOKUP(T32,'Base de Datos'!$E$7:$AR$302,9,0))=TRUE," ",(VLOOKUP(T32,'Base de Datos'!$E$7:$AR$302,9,0)))</f>
        <v>41941</v>
      </c>
      <c r="Z32" s="449">
        <f>IF(ISERROR(VLOOKUP(T32,'Base de Datos'!$E$7:$AR$302,10,0))=TRUE," ",(VLOOKUP(T32,'Base de Datos'!$E$7:$AR$302,10,0)))</f>
        <v>42033</v>
      </c>
      <c r="AA32" s="452">
        <f>IF(ISERROR(VLOOKUP(T32,'Base de Datos'!$E$7:$AR$302,11,0))=TRUE," ",(VLOOKUP(T32,'Base de Datos'!$E$7:$AR$302,11,0)))</f>
        <v>0</v>
      </c>
      <c r="AB32" s="449">
        <f>IF(ISERROR(VLOOKUP(T32,'Base de Datos'!$E$7:$AR$302,12,0))=TRUE," ",(VLOOKUP(T32,'Base de Datos'!$E$7:$AR$302,12,0)))</f>
        <v>0</v>
      </c>
      <c r="AC32" s="449">
        <f>IF(ISERROR(VLOOKUP(T32,'Base de Datos'!$E$7:$AR$302,12,0))=TRUE," ",(VLOOKUP(T32,'Base de Datos'!$E$7:$AR$302,12,0)))</f>
        <v>0</v>
      </c>
      <c r="AD32" s="455">
        <f>IF(ISERROR(VLOOKUP(T32,'Base de Datos'!$E$7:$AR$302,15,0))=TRUE," ",(VLOOKUP(T32,'Base de Datos'!$E$7:$AR$302,15,0)))</f>
        <v>42184</v>
      </c>
      <c r="AE32" s="460">
        <f>IF(ISERROR(VLOOKUP(T32,'Base de Datos'!$E$7:$AR$302,16,0))=TRUE," ",(VLOOKUP(T32,'Base de Datos'!$E$7:$AR$302,16,0)))</f>
        <v>42184</v>
      </c>
      <c r="AF32" s="460">
        <f>IF(ISERROR(VLOOKUP(T32,'Base de Datos'!$E$7:$AR$302,17,0))=TRUE," ",(VLOOKUP(T32,'Base de Datos'!$E$7:$AR$302,17,0)))</f>
        <v>59383678</v>
      </c>
      <c r="AG32" s="460">
        <f>IF(ISERROR(VLOOKUP(T32,'Base de Datos'!$E$7:$AR$302,18,0))=TRUE," ",(VLOOKUP(T32,'Base de Datos'!$E$7:$AR$302,18,0)))</f>
        <v>27770152</v>
      </c>
      <c r="AH32" s="461" t="str">
        <f>IF(ISERROR(VLOOKUP(T32,'Base de Datos'!$E$7:$AR$302,20,0))=TRUE," ",(VLOOKUP(T32,'Base de Datos'!$E$7:$AR$302,20,0)))</f>
        <v>Por entrega</v>
      </c>
      <c r="AI32" s="461">
        <f>IF(ISERROR(VLOOKUP(T32,'Base de Datos'!$E$7:$AR$302,21,0))=TRUE," ",(VLOOKUP(T32,'Base de Datos'!$E$7:$AR$302,21,0)))</f>
        <v>0.46763947494124564</v>
      </c>
      <c r="AJ32" s="454"/>
      <c r="AK32" s="450" t="str">
        <f>IF(ISERROR(VLOOKUP(D32,'Base de Datos'!$C$7:$AR$400,2,0))=TRUE," ",(VLOOKUP(D32,'Base de Datos'!$C$7:$AR$400,2,0)))</f>
        <v>201562</v>
      </c>
      <c r="AL32" s="450" t="str">
        <f>IF(ISERROR(VLOOKUP(D32,'Base de Datos'!$C$7:$AR$400,3,0))=TRUE," ",(VLOOKUP(D32,'Base de Datos'!$C$7:$AR$400,3,0)))</f>
        <v>150405-0-2015</v>
      </c>
      <c r="AM32" s="453" t="str">
        <f>IF(ISERROR(VLOOKUP(D32,'Base de Datos'!$C$7:$AR$3761,6,0))=TRUE," ",(VLOOKUP(D32,'Base de Datos'!$C$7:$AR$400,6,0)))</f>
        <v>Prestar los servicios de valoración y mantenimiento preventivo de la plataforma del sistema de voto electrónico del Concejo de Bogotá D.C.</v>
      </c>
      <c r="AN32" s="453">
        <f>IF(ISERROR(VLOOKUP(D32,'Base de Datos'!$C$7:$AR$400,20,0))=TRUE," ",(VLOOKUP(D32,'Base de Datos'!$C$7:$AR$400,19,0)))</f>
        <v>64250000</v>
      </c>
      <c r="AO32" s="456">
        <f>IF(ISERROR(VLOOKUP(D32,'Base de Datos'!$C$7:$AR$400,9,0))=TRUE," ",(VLOOKUP(D32,'Base de Datos'!$C$7:$AR$400,9,0)))</f>
        <v>2015</v>
      </c>
      <c r="AP32" s="456">
        <f>IF(ISERROR(VLOOKUP(D32,'Base de Datos'!$C$7:$AR$400,10,0))=TRUE," ",(VLOOKUP(D32,'Base de Datos'!$C$7:$AR$400,10,0)))</f>
        <v>42359</v>
      </c>
      <c r="AQ32" s="458">
        <f>IF(ISERROR(VLOOKUP(D32,'Base de Datos'!$C$7:$AR$400,11,0))=TRUE," ",(VLOOKUP(D32,'Base de Datos'!$C$7:$AR$400,11,0)))</f>
        <v>42384</v>
      </c>
      <c r="AR32" s="459">
        <f>IF(ISERROR(VLOOKUP(D32,'Base de Datos'!$C$7:$AR$400,12,0))=TRUE," ",(VLOOKUP(D32,'Base de Datos'!$C$7:$AR$400,12,0)))</f>
        <v>42505</v>
      </c>
      <c r="AS32" s="458">
        <f>IF(ISERROR(VLOOKUP(D32,'Base de Datos'!$C$7:$AR$400,13,0))=TRUE," ",(VLOOKUP(D32,'Base de Datos'!$C$7:$AR$400,13,0)))</f>
        <v>0</v>
      </c>
      <c r="AT32" s="458">
        <f>IF(ISERROR(VLOOKUP(D32,'Base de Datos'!$C$7:$AR$400,14,0))=TRUE," ",(VLOOKUP(D32,'Base de Datos'!$C$7:$AR$400,14,0)))</f>
        <v>0</v>
      </c>
      <c r="AU32" s="456" t="str">
        <f>IF(ISERROR(VLOOKUP(D32,'Base de Datos'!$C$7:$AR$400,16,0))=TRUE," ",(VLOOKUP(D32,'Base de Datos'!$C$7:$AR$400,16,0)))</f>
        <v>1 mes</v>
      </c>
      <c r="AV32" s="460">
        <f>IF(ISERROR(VLOOKUP(D32,'Base de Datos'!$C$7:$AR$400,17,0))=TRUE," ",(VLOOKUP(D32,'Base de Datos'!$C$7:$AR$400,17,0)))</f>
        <v>42536</v>
      </c>
      <c r="AW32" s="460">
        <f>IF(ISERROR(VLOOKUP(D32,'Base de Datos'!$C$7:$AR$400,18,0))=TRUE," ",(VLOOKUP(D32,'Base de Datos'!$C$7:$AR$400,18,0)))</f>
        <v>42536</v>
      </c>
      <c r="AX32" s="460">
        <f>IF(ISERROR(VLOOKUP(D32,'Base de Datos'!$C$7:$AR$400,19,0))=TRUE," ",(VLOOKUP(D32,'Base de Datos'!$C$7:$AR$400,19,0)))</f>
        <v>64250000</v>
      </c>
      <c r="AY32" s="463">
        <f>IF(ISERROR(VLOOKUP(D32,'Base de Datos'!$C$7:$AR$400,21,0))=TRUE," ",(VLOOKUP(D32,'Base de Datos'!$C$7:$AR$400,21,0)))</f>
        <v>0</v>
      </c>
      <c r="AZ32" s="463" t="str">
        <f>IF(ISERROR(VLOOKUP(D32,'Base de Datos'!$C$7:$AR$400,22,0))=TRUE," ",(VLOOKUP(D32,'Base de Datos'!$C$7:$AR$400,22,0)))</f>
        <v>Un pago del 100% por la etapa de valoración y mantenimiento preventivo; pagos por demanda de los repuestos, partes, accesorios, elementos, equipos y/o software.</v>
      </c>
      <c r="BA32" s="470"/>
      <c r="BB32" s="480"/>
    </row>
    <row r="33" spans="2:54" ht="55.5" hidden="1" customHeight="1" x14ac:dyDescent="0.25">
      <c r="B33" s="433">
        <v>26</v>
      </c>
      <c r="C33" s="441" t="s">
        <v>1642</v>
      </c>
      <c r="D33" s="433">
        <v>63</v>
      </c>
      <c r="E33" s="441" t="s">
        <v>1648</v>
      </c>
      <c r="F33" s="442">
        <f>VLOOKUP(D33,'Presupuesto - PAA 2015'!$B$10:$E$265,4,0)</f>
        <v>213397762</v>
      </c>
      <c r="G33" s="434" t="str">
        <f>VLOOKUP(D33,'[4]Seguimiento Plan'!$C$2:$R$101,16,0)</f>
        <v>Prestar los servicios de administración y soporte técnico para la plataforma Oracle y Microsoft del Concejo de Bogotá-</v>
      </c>
      <c r="H33" s="434" t="s">
        <v>1777</v>
      </c>
      <c r="I33" s="434" t="s">
        <v>1710</v>
      </c>
      <c r="J33" s="443" t="s">
        <v>913</v>
      </c>
      <c r="K33" s="444" t="s">
        <v>390</v>
      </c>
      <c r="L33" s="444" t="str">
        <f>VLOOKUP(D33,'[4]Seguimiento Plan'!$C$2:$AJ$101,30,0)</f>
        <v>SI</v>
      </c>
      <c r="M33" s="445">
        <f>VLOOKUP(D33,'[4]Seguimiento Plan'!$C$2:$AJ$101,31,0)</f>
        <v>42065</v>
      </c>
      <c r="N33" s="444" t="s">
        <v>1803</v>
      </c>
      <c r="O33" s="446"/>
      <c r="P33" s="446"/>
      <c r="Q33" s="446"/>
      <c r="R33" s="447"/>
      <c r="S33" s="447" t="s">
        <v>2023</v>
      </c>
      <c r="T33" s="448"/>
      <c r="U33" s="450" t="str">
        <f>IF(ISERROR(VLOOKUP(T33,'Base de Datos'!$E$7:$AR$302,3,0))=TRUE," ",(VLOOKUP(T33,'Base de Datos'!$E$7:$AR$302,2,0)))</f>
        <v xml:space="preserve"> </v>
      </c>
      <c r="V33" s="453" t="str">
        <f>IF(ISERROR(VLOOKUP(T33,'Base de Datos'!$E$7:$AR$302,5,0))=TRUE," ",(VLOOKUP(T33,'Base de Datos'!$E$7:$AR$302,5,0)))</f>
        <v xml:space="preserve"> </v>
      </c>
      <c r="W33" s="450" t="str">
        <f>IF(ISERROR(VLOOKUP(T33,'Base de Datos'!$E$7:$AR$302,19,0))=TRUE," ",(VLOOKUP(T33,'Base de Datos'!$E$7:$AR$302,19,0)))</f>
        <v xml:space="preserve"> </v>
      </c>
      <c r="X33" s="455" t="str">
        <f>IF(ISERROR(VLOOKUP(T33,'Base de Datos'!$E$7:$AR$302,8,0))=TRUE," ",(VLOOKUP(T33,'Base de Datos'!$E$7:$AR$302,8,0)))</f>
        <v xml:space="preserve"> </v>
      </c>
      <c r="Y33" s="455" t="str">
        <f>IF(ISERROR(VLOOKUP(T33,'Base de Datos'!$E$7:$AR$302,9,0))=TRUE," ",(VLOOKUP(T33,'Base de Datos'!$E$7:$AR$302,9,0)))</f>
        <v xml:space="preserve"> </v>
      </c>
      <c r="Z33" s="449" t="str">
        <f>IF(ISERROR(VLOOKUP(T33,'Base de Datos'!$E$7:$AR$302,10,0))=TRUE," ",(VLOOKUP(T33,'Base de Datos'!$E$7:$AR$302,10,0)))</f>
        <v xml:space="preserve"> </v>
      </c>
      <c r="AA33" s="452" t="str">
        <f>IF(ISERROR(VLOOKUP(T33,'Base de Datos'!$E$7:$AR$302,11,0))=TRUE," ",(VLOOKUP(T33,'Base de Datos'!$E$7:$AR$302,11,0)))</f>
        <v xml:space="preserve"> </v>
      </c>
      <c r="AB33" s="449" t="str">
        <f>IF(ISERROR(VLOOKUP(T33,'Base de Datos'!$E$7:$AR$302,12,0))=TRUE," ",(VLOOKUP(T33,'Base de Datos'!$E$7:$AR$302,12,0)))</f>
        <v xml:space="preserve"> </v>
      </c>
      <c r="AC33" s="449" t="str">
        <f>IF(ISERROR(VLOOKUP(T33,'Base de Datos'!$E$7:$AR$302,12,0))=TRUE," ",(VLOOKUP(T33,'Base de Datos'!$E$7:$AR$302,12,0)))</f>
        <v xml:space="preserve"> </v>
      </c>
      <c r="AD33" s="455" t="str">
        <f>IF(ISERROR(VLOOKUP(T33,'Base de Datos'!$E$7:$AR$302,15,0))=TRUE," ",(VLOOKUP(T33,'Base de Datos'!$E$7:$AR$302,15,0)))</f>
        <v xml:space="preserve"> </v>
      </c>
      <c r="AE33" s="460" t="str">
        <f>IF(ISERROR(VLOOKUP(T33,'Base de Datos'!$E$7:$AR$302,16,0))=TRUE," ",(VLOOKUP(T33,'Base de Datos'!$E$7:$AR$302,16,0)))</f>
        <v xml:space="preserve"> </v>
      </c>
      <c r="AF33" s="460" t="str">
        <f>IF(ISERROR(VLOOKUP(T33,'Base de Datos'!$E$7:$AR$302,17,0))=TRUE," ",(VLOOKUP(T33,'Base de Datos'!$E$7:$AR$302,17,0)))</f>
        <v xml:space="preserve"> </v>
      </c>
      <c r="AG33" s="460" t="str">
        <f>IF(ISERROR(VLOOKUP(T33,'Base de Datos'!$E$7:$AR$302,18,0))=TRUE," ",(VLOOKUP(T33,'Base de Datos'!$E$7:$AR$302,18,0)))</f>
        <v xml:space="preserve"> </v>
      </c>
      <c r="AH33" s="461" t="str">
        <f>IF(ISERROR(VLOOKUP(T33,'Base de Datos'!$E$7:$AR$302,20,0))=TRUE," ",(VLOOKUP(T33,'Base de Datos'!$E$7:$AR$302,20,0)))</f>
        <v xml:space="preserve"> </v>
      </c>
      <c r="AI33" s="461" t="str">
        <f>IF(ISERROR(VLOOKUP(T33,'Base de Datos'!$E$7:$AR$302,21,0))=TRUE," ",(VLOOKUP(T33,'Base de Datos'!$E$7:$AR$302,21,0)))</f>
        <v xml:space="preserve"> </v>
      </c>
      <c r="AJ33" s="464">
        <v>42165</v>
      </c>
      <c r="AK33" s="450" t="str">
        <f>IF(ISERROR(VLOOKUP(D33,'Base de Datos'!$C$7:$AR$400,2,0))=TRUE," ",(VLOOKUP(D33,'Base de Datos'!$C$7:$AR$400,2,0)))</f>
        <v>201563</v>
      </c>
      <c r="AL33" s="450" t="str">
        <f>IF(ISERROR(VLOOKUP(D33,'Base de Datos'!$C$7:$AR$400,3,0))=TRUE," ",(VLOOKUP(D33,'Base de Datos'!$C$7:$AR$400,3,0)))</f>
        <v>150249-0-2015</v>
      </c>
      <c r="AM33" s="453" t="str">
        <f>IF(ISERROR(VLOOKUP(D33,'Base de Datos'!$C$7:$AR$3761,6,0))=TRUE," ",(VLOOKUP(D33,'Base de Datos'!$C$7:$AR$400,6,0)))</f>
        <v>Prestar los servicios de administración y soporte técnico para la plataforma Microsoft del Concejo de Bogotá, de conformidad con lo establecido en los documentos y estudios previos y la propuesta presentada por el contratista.</v>
      </c>
      <c r="AN33" s="453">
        <f>IF(ISERROR(VLOOKUP(D33,'Base de Datos'!$C$7:$AR$400,20,0))=TRUE," ",(VLOOKUP(D33,'Base de Datos'!$C$7:$AR$400,19,0)))</f>
        <v>213397762</v>
      </c>
      <c r="AO33" s="456">
        <f>IF(ISERROR(VLOOKUP(D33,'Base de Datos'!$C$7:$AR$400,9,0))=TRUE," ",(VLOOKUP(D33,'Base de Datos'!$C$7:$AR$400,9,0)))</f>
        <v>2015</v>
      </c>
      <c r="AP33" s="456">
        <f>IF(ISERROR(VLOOKUP(D33,'Base de Datos'!$C$7:$AR$400,10,0))=TRUE," ",(VLOOKUP(D33,'Base de Datos'!$C$7:$AR$400,10,0)))</f>
        <v>42165</v>
      </c>
      <c r="AQ33" s="458">
        <f>IF(ISERROR(VLOOKUP(D33,'Base de Datos'!$C$7:$AR$400,11,0))=TRUE," ",(VLOOKUP(D33,'Base de Datos'!$C$7:$AR$400,11,0)))</f>
        <v>42181</v>
      </c>
      <c r="AR33" s="459">
        <f>IF(ISERROR(VLOOKUP(D33,'Base de Datos'!$C$7:$AR$400,12,0))=TRUE," ",(VLOOKUP(D33,'Base de Datos'!$C$7:$AR$400,12,0)))</f>
        <v>42537</v>
      </c>
      <c r="AS33" s="458">
        <f>IF(ISERROR(VLOOKUP(D33,'Base de Datos'!$C$7:$AR$400,13,0))=TRUE," ",(VLOOKUP(D33,'Base de Datos'!$C$7:$AR$400,13,0)))</f>
        <v>0</v>
      </c>
      <c r="AT33" s="458">
        <f>IF(ISERROR(VLOOKUP(D33,'Base de Datos'!$C$7:$AR$400,14,0))=TRUE," ",(VLOOKUP(D33,'Base de Datos'!$C$7:$AR$400,14,0)))</f>
        <v>0</v>
      </c>
      <c r="AU33" s="456" t="str">
        <f>IF(ISERROR(VLOOKUP(D33,'Base de Datos'!$C$7:$AR$400,16,0))=TRUE," ",(VLOOKUP(D33,'Base de Datos'!$C$7:$AR$400,16,0)))</f>
        <v/>
      </c>
      <c r="AV33" s="460" t="str">
        <f>IF(ISERROR(VLOOKUP(D33,'Base de Datos'!$C$7:$AR$400,17,0))=TRUE," ",(VLOOKUP(D33,'Base de Datos'!$C$7:$AR$400,17,0)))</f>
        <v/>
      </c>
      <c r="AW33" s="460">
        <f>IF(ISERROR(VLOOKUP(D33,'Base de Datos'!$C$7:$AR$400,18,0))=TRUE," ",(VLOOKUP(D33,'Base de Datos'!$C$7:$AR$400,18,0)))</f>
        <v>42537</v>
      </c>
      <c r="AX33" s="460">
        <f>IF(ISERROR(VLOOKUP(D33,'Base de Datos'!$C$7:$AR$400,19,0))=TRUE," ",(VLOOKUP(D33,'Base de Datos'!$C$7:$AR$400,19,0)))</f>
        <v>213397762</v>
      </c>
      <c r="AY33" s="463">
        <f>IF(ISERROR(VLOOKUP(D33,'Base de Datos'!$C$7:$AR$400,21,0))=TRUE," ",(VLOOKUP(D33,'Base de Datos'!$C$7:$AR$400,21,0)))</f>
        <v>4</v>
      </c>
      <c r="AZ33" s="463">
        <f>IF(ISERROR(VLOOKUP(D33,'Base de Datos'!$C$7:$AR$400,22,0))=TRUE," ",(VLOOKUP(D33,'Base de Datos'!$C$7:$AR$400,22,0)))</f>
        <v>0</v>
      </c>
      <c r="BA33" s="470"/>
      <c r="BB33" s="480"/>
    </row>
    <row r="34" spans="2:54" ht="55.5" hidden="1" customHeight="1" x14ac:dyDescent="0.25">
      <c r="B34" s="433">
        <v>27</v>
      </c>
      <c r="C34" s="441" t="s">
        <v>1642</v>
      </c>
      <c r="D34" s="433">
        <v>64</v>
      </c>
      <c r="E34" s="441" t="s">
        <v>1648</v>
      </c>
      <c r="F34" s="442">
        <f>VLOOKUP(D34,'Presupuesto - PAA 2015'!$B$10:$E$265,4,0)</f>
        <v>8300000</v>
      </c>
      <c r="G34" s="434" t="str">
        <f>VLOOKUP(D34,'[4]Seguimiento Plan'!$C$2:$R$101,16,0)</f>
        <v>Adición y prórroga al contrato 140252-2014 que tiene por objeto: Contratar la actualización, mantenimiento y soporte de licencias de software antivirus para la plataforma del Concejo de Bogotá.</v>
      </c>
      <c r="H34" s="434" t="s">
        <v>1777</v>
      </c>
      <c r="I34" s="434" t="s">
        <v>1710</v>
      </c>
      <c r="J34" s="443" t="s">
        <v>590</v>
      </c>
      <c r="K34" s="444"/>
      <c r="L34" s="444"/>
      <c r="M34" s="445"/>
      <c r="N34" s="444"/>
      <c r="O34" s="446"/>
      <c r="P34" s="446"/>
      <c r="Q34" s="446"/>
      <c r="R34" s="447"/>
      <c r="S34" s="447"/>
      <c r="T34" s="345" t="s">
        <v>1162</v>
      </c>
      <c r="U34" s="450" t="str">
        <f>IF(ISERROR(VLOOKUP(T34,'Base de Datos'!$E$7:$AR$302,3,0))=TRUE," ",(VLOOKUP(T34,'Base de Datos'!$E$7:$AR$302,2,0)))</f>
        <v>LINALCA INFORMATICA</v>
      </c>
      <c r="V34" s="453">
        <f>IF(ISERROR(VLOOKUP(T34,'Base de Datos'!$E$7:$AR$302,5,0))=TRUE," ",(VLOOKUP(T34,'Base de Datos'!$E$7:$AR$302,5,0)))</f>
        <v>16592327</v>
      </c>
      <c r="W34" s="450">
        <f>IF(ISERROR(VLOOKUP(T34,'Base de Datos'!$E$7:$AR$302,19,0))=TRUE," ",(VLOOKUP(T34,'Base de Datos'!$E$7:$AR$302,19,0)))</f>
        <v>1659232</v>
      </c>
      <c r="X34" s="455" t="str">
        <f>IF(ISERROR(VLOOKUP(T34,'Base de Datos'!$E$7:$AR$302,8,0))=TRUE," ",(VLOOKUP(T34,'Base de Datos'!$E$7:$AR$302,8,0)))</f>
        <v xml:space="preserve"> </v>
      </c>
      <c r="Y34" s="455">
        <f>IF(ISERROR(VLOOKUP(T34,'Base de Datos'!$E$7:$AR$302,9,0))=TRUE," ",(VLOOKUP(T34,'Base de Datos'!$E$7:$AR$302,9,0)))</f>
        <v>41936</v>
      </c>
      <c r="Z34" s="449">
        <f>IF(ISERROR(VLOOKUP(T34,'Base de Datos'!$E$7:$AR$302,10,0))=TRUE," ",(VLOOKUP(T34,'Base de Datos'!$E$7:$AR$302,10,0)))</f>
        <v>42301</v>
      </c>
      <c r="AA34" s="452">
        <f>IF(ISERROR(VLOOKUP(T34,'Base de Datos'!$E$7:$AR$302,11,0))=TRUE," ",(VLOOKUP(T34,'Base de Datos'!$E$7:$AR$302,11,0)))</f>
        <v>0</v>
      </c>
      <c r="AB34" s="449">
        <f>IF(ISERROR(VLOOKUP(T34,'Base de Datos'!$E$7:$AR$302,12,0))=TRUE," ",(VLOOKUP(T34,'Base de Datos'!$E$7:$AR$302,12,0)))</f>
        <v>0</v>
      </c>
      <c r="AC34" s="449">
        <f>IF(ISERROR(VLOOKUP(T34,'Base de Datos'!$E$7:$AR$302,12,0))=TRUE," ",(VLOOKUP(T34,'Base de Datos'!$E$7:$AR$302,12,0)))</f>
        <v>0</v>
      </c>
      <c r="AD34" s="455" t="str">
        <f>IF(ISERROR(VLOOKUP(T34,'Base de Datos'!$E$7:$AR$302,15,0))=TRUE," ",(VLOOKUP(T34,'Base de Datos'!$E$7:$AR$302,15,0)))</f>
        <v/>
      </c>
      <c r="AE34" s="460">
        <f>IF(ISERROR(VLOOKUP(T34,'Base de Datos'!$E$7:$AR$302,16,0))=TRUE," ",(VLOOKUP(T34,'Base de Datos'!$E$7:$AR$302,16,0)))</f>
        <v>42301</v>
      </c>
      <c r="AF34" s="460">
        <f>IF(ISERROR(VLOOKUP(T34,'Base de Datos'!$E$7:$AR$302,17,0))=TRUE," ",(VLOOKUP(T34,'Base de Datos'!$E$7:$AR$302,17,0)))</f>
        <v>16592327</v>
      </c>
      <c r="AG34" s="460">
        <f>IF(ISERROR(VLOOKUP(T34,'Base de Datos'!$E$7:$AR$302,18,0))=TRUE," ",(VLOOKUP(T34,'Base de Datos'!$E$7:$AR$302,18,0)))</f>
        <v>14933095</v>
      </c>
      <c r="AH34" s="461" t="str">
        <f>IF(ISERROR(VLOOKUP(T34,'Base de Datos'!$E$7:$AR$302,20,0))=TRUE," ",(VLOOKUP(T34,'Base de Datos'!$E$7:$AR$302,20,0)))</f>
        <v>Se efectuarán los siguientes pagos, tanto para la Secretaría Distrital de Hacienda como para el Concejo de Bogotá.
a) Un pago inicial correspondiente al 70% del valor del contrato, contra entrega del documento para la actualización de las licencias y funcionamiento del software antivirus de forma satisfactoria.
b) Un Segundo pago del 15% al tercer mes de ejecución del contrato, correspondiente al servicio de soporte y mantenimiento de las licencias software antivirus.
c) Ultimo pago del 15% al sexto mes de ejecución del contrato, correspondiente al servicio de soporte y mantenimiento de las licencias software antivirus.</v>
      </c>
      <c r="AI34" s="461">
        <f>IF(ISERROR(VLOOKUP(T34,'Base de Datos'!$E$7:$AR$302,21,0))=TRUE," ",(VLOOKUP(T34,'Base de Datos'!$E$7:$AR$302,21,0)))</f>
        <v>0.90000004218817531</v>
      </c>
      <c r="AJ34" s="450"/>
      <c r="AK34" s="450" t="str">
        <f>IF(ISERROR(VLOOKUP(D34,'Base de Datos'!$C$7:$AR$400,2,0))=TRUE," ",(VLOOKUP(D34,'Base de Datos'!$C$7:$AR$400,2,0)))</f>
        <v xml:space="preserve"> </v>
      </c>
      <c r="AL34" s="450" t="str">
        <f>IF(ISERROR(VLOOKUP(D34,'Base de Datos'!$C$7:$AR$400,3,0))=TRUE," ",(VLOOKUP(D34,'Base de Datos'!$C$7:$AR$400,3,0)))</f>
        <v xml:space="preserve"> </v>
      </c>
      <c r="AM34" s="453" t="e">
        <f>IF(ISERROR(VLOOKUP(D34,'Base de Datos'!$C$7:$AR$3761,6,0))=TRUE," ",(VLOOKUP(D34,'Base de Datos'!$C$7:$AR$400,6,0)))</f>
        <v>#N/A</v>
      </c>
      <c r="AN34" s="453" t="str">
        <f>IF(ISERROR(VLOOKUP(D34,'Base de Datos'!$C$7:$AR$400,20,0))=TRUE," ",(VLOOKUP(D34,'Base de Datos'!$C$7:$AR$400,19,0)))</f>
        <v xml:space="preserve"> </v>
      </c>
      <c r="AO34" s="456" t="str">
        <f>IF(ISERROR(VLOOKUP(D34,'Base de Datos'!$C$7:$AR$400,9,0))=TRUE," ",(VLOOKUP(D34,'Base de Datos'!$C$7:$AR$400,9,0)))</f>
        <v xml:space="preserve"> </v>
      </c>
      <c r="AP34" s="456" t="str">
        <f>IF(ISERROR(VLOOKUP(D34,'Base de Datos'!$C$7:$AR$400,10,0))=TRUE," ",(VLOOKUP(D34,'Base de Datos'!$C$7:$AR$400,10,0)))</f>
        <v xml:space="preserve"> </v>
      </c>
      <c r="AQ34" s="458" t="str">
        <f>IF(ISERROR(VLOOKUP(D34,'Base de Datos'!$C$7:$AR$400,11,0))=TRUE," ",(VLOOKUP(D34,'Base de Datos'!$C$7:$AR$400,11,0)))</f>
        <v xml:space="preserve"> </v>
      </c>
      <c r="AR34" s="459" t="str">
        <f>IF(ISERROR(VLOOKUP(D34,'Base de Datos'!$C$7:$AR$400,12,0))=TRUE," ",(VLOOKUP(D34,'Base de Datos'!$C$7:$AR$400,12,0)))</f>
        <v xml:space="preserve"> </v>
      </c>
      <c r="AS34" s="458" t="str">
        <f>IF(ISERROR(VLOOKUP(D34,'Base de Datos'!$C$7:$AR$400,13,0))=TRUE," ",(VLOOKUP(D34,'Base de Datos'!$C$7:$AR$400,13,0)))</f>
        <v xml:space="preserve"> </v>
      </c>
      <c r="AT34" s="458" t="str">
        <f>IF(ISERROR(VLOOKUP(D34,'Base de Datos'!$C$7:$AR$400,14,0))=TRUE," ",(VLOOKUP(D34,'Base de Datos'!$C$7:$AR$400,14,0)))</f>
        <v xml:space="preserve"> </v>
      </c>
      <c r="AU34" s="456" t="str">
        <f>IF(ISERROR(VLOOKUP(D34,'Base de Datos'!$C$7:$AR$400,16,0))=TRUE," ",(VLOOKUP(D34,'Base de Datos'!$C$7:$AR$400,16,0)))</f>
        <v xml:space="preserve"> </v>
      </c>
      <c r="AV34" s="460" t="str">
        <f>IF(ISERROR(VLOOKUP(D34,'Base de Datos'!$C$7:$AR$400,17,0))=TRUE," ",(VLOOKUP(D34,'Base de Datos'!$C$7:$AR$400,17,0)))</f>
        <v xml:space="preserve"> </v>
      </c>
      <c r="AW34" s="460" t="str">
        <f>IF(ISERROR(VLOOKUP(D34,'Base de Datos'!$C$7:$AR$400,18,0))=TRUE," ",(VLOOKUP(D34,'Base de Datos'!$C$7:$AR$400,18,0)))</f>
        <v xml:space="preserve"> </v>
      </c>
      <c r="AX34" s="460" t="str">
        <f>IF(ISERROR(VLOOKUP(D34,'Base de Datos'!$C$7:$AR$400,19,0))=TRUE," ",(VLOOKUP(D34,'Base de Datos'!$C$7:$AR$400,19,0)))</f>
        <v xml:space="preserve"> </v>
      </c>
      <c r="AY34" s="463" t="str">
        <f>IF(ISERROR(VLOOKUP(D34,'Base de Datos'!$C$7:$AR$400,21,0))=TRUE," ",(VLOOKUP(D34,'Base de Datos'!$C$7:$AR$400,21,0)))</f>
        <v xml:space="preserve"> </v>
      </c>
      <c r="AZ34" s="463" t="str">
        <f>IF(ISERROR(VLOOKUP(D34,'Base de Datos'!$C$7:$AR$400,22,0))=TRUE," ",(VLOOKUP(D34,'Base de Datos'!$C$7:$AR$400,22,0)))</f>
        <v xml:space="preserve"> </v>
      </c>
      <c r="BA34" s="470"/>
      <c r="BB34" s="480"/>
    </row>
    <row r="35" spans="2:54" ht="55.5" hidden="1" customHeight="1" x14ac:dyDescent="0.25">
      <c r="B35" s="433">
        <v>28</v>
      </c>
      <c r="C35" s="441" t="s">
        <v>1642</v>
      </c>
      <c r="D35" s="433">
        <v>65</v>
      </c>
      <c r="E35" s="441" t="s">
        <v>1648</v>
      </c>
      <c r="F35" s="442">
        <f>VLOOKUP(D35,'Presupuesto - PAA 2015'!$B$10:$E$265,4,0)</f>
        <v>22500000</v>
      </c>
      <c r="G35" s="434" t="str">
        <f>VLOOKUP(D35,'[4]Seguimiento Plan'!$C$2:$R$101,16,0)</f>
        <v>Adición y prórroga al contrato 140317 suscrito con Factor Visual E A T cuyo objeto es: Prestar el servicio de actualización, mantenimiento y soporte al sitio web  e intranet"</v>
      </c>
      <c r="H35" s="434" t="s">
        <v>1777</v>
      </c>
      <c r="I35" s="434" t="s">
        <v>1710</v>
      </c>
      <c r="J35" s="443" t="s">
        <v>590</v>
      </c>
      <c r="K35" s="444"/>
      <c r="L35" s="444"/>
      <c r="M35" s="445"/>
      <c r="N35" s="444"/>
      <c r="O35" s="446"/>
      <c r="P35" s="446"/>
      <c r="Q35" s="446"/>
      <c r="R35" s="447"/>
      <c r="S35" s="447"/>
      <c r="T35" s="347" t="s">
        <v>1158</v>
      </c>
      <c r="U35" s="450" t="str">
        <f>IF(ISERROR(VLOOKUP(T35,'Base de Datos'!$E$7:$AR$302,3,0))=TRUE," ",(VLOOKUP(T35,'Base de Datos'!$E$7:$AR$302,2,0)))</f>
        <v>FACTOR VISUAL EAT</v>
      </c>
      <c r="V35" s="453">
        <f>IF(ISERROR(VLOOKUP(T35,'Base de Datos'!$E$7:$AR$302,5,0))=TRUE," ",(VLOOKUP(T35,'Base de Datos'!$E$7:$AR$302,5,0)))</f>
        <v>44544000</v>
      </c>
      <c r="W35" s="450">
        <f>IF(ISERROR(VLOOKUP(T35,'Base de Datos'!$E$7:$AR$302,19,0))=TRUE," ",(VLOOKUP(T35,'Base de Datos'!$E$7:$AR$302,19,0)))</f>
        <v>0</v>
      </c>
      <c r="X35" s="455" t="str">
        <f>IF(ISERROR(VLOOKUP(T35,'Base de Datos'!$E$7:$AR$302,8,0))=TRUE," ",(VLOOKUP(T35,'Base de Datos'!$E$7:$AR$302,8,0)))</f>
        <v xml:space="preserve"> </v>
      </c>
      <c r="Y35" s="455">
        <f>IF(ISERROR(VLOOKUP(T35,'Base de Datos'!$E$7:$AR$302,9,0))=TRUE," ",(VLOOKUP(T35,'Base de Datos'!$E$7:$AR$302,9,0)))</f>
        <v>41929</v>
      </c>
      <c r="Z35" s="449">
        <f>IF(ISERROR(VLOOKUP(T35,'Base de Datos'!$E$7:$AR$302,10,0))=TRUE," ",(VLOOKUP(T35,'Base de Datos'!$E$7:$AR$302,10,0)))</f>
        <v>42294</v>
      </c>
      <c r="AA35" s="452">
        <f>IF(ISERROR(VLOOKUP(T35,'Base de Datos'!$E$7:$AR$302,11,0))=TRUE," ",(VLOOKUP(T35,'Base de Datos'!$E$7:$AR$302,11,0)))</f>
        <v>1</v>
      </c>
      <c r="AB35" s="449">
        <f>IF(ISERROR(VLOOKUP(T35,'Base de Datos'!$E$7:$AR$302,12,0))=TRUE," ",(VLOOKUP(T35,'Base de Datos'!$E$7:$AR$302,12,0)))</f>
        <v>22272000</v>
      </c>
      <c r="AC35" s="449">
        <f>IF(ISERROR(VLOOKUP(T35,'Base de Datos'!$E$7:$AR$302,12,0))=TRUE," ",(VLOOKUP(T35,'Base de Datos'!$E$7:$AR$302,12,0)))</f>
        <v>22272000</v>
      </c>
      <c r="AD35" s="455">
        <f>IF(ISERROR(VLOOKUP(T35,'Base de Datos'!$E$7:$AR$302,15,0))=TRUE," ",(VLOOKUP(T35,'Base de Datos'!$E$7:$AR$302,15,0)))</f>
        <v>42477</v>
      </c>
      <c r="AE35" s="460">
        <f>IF(ISERROR(VLOOKUP(T35,'Base de Datos'!$E$7:$AR$302,16,0))=TRUE," ",(VLOOKUP(T35,'Base de Datos'!$E$7:$AR$302,16,0)))</f>
        <v>42477</v>
      </c>
      <c r="AF35" s="460">
        <f>IF(ISERROR(VLOOKUP(T35,'Base de Datos'!$E$7:$AR$302,17,0))=TRUE," ",(VLOOKUP(T35,'Base de Datos'!$E$7:$AR$302,17,0)))</f>
        <v>66816000</v>
      </c>
      <c r="AG35" s="460">
        <f>IF(ISERROR(VLOOKUP(T35,'Base de Datos'!$E$7:$AR$302,18,0))=TRUE," ",(VLOOKUP(T35,'Base de Datos'!$E$7:$AR$302,18,0)))</f>
        <v>66816000</v>
      </c>
      <c r="AH35" s="461" t="str">
        <f>IF(ISERROR(VLOOKUP(T35,'Base de Datos'!$E$7:$AR$302,20,0))=TRUE," ",(VLOOKUP(T35,'Base de Datos'!$E$7:$AR$302,20,0)))</f>
        <v xml:space="preserve">a) Un primer pago por valor de $4.176.000 incluido Iva, correspondiente a la entrega de la actualización de las licencias, previo ingreso de las licencias al Almacén e instalación, así como la certificación de recibido a satisfacción por parte del supervisor, conforme a la propuesta económica remitida por el Contratista.
b) Se realizarán doce (12) mensualidades vencidas de Tres Millones Trescientos Sesenta y Cuatro Mil pesos ($3.364.000.oo) cada una incluido Iva, correspondientes al mantenimiento y soporte mensual.  
</v>
      </c>
      <c r="AI35" s="461">
        <f>IF(ISERROR(VLOOKUP(T35,'Base de Datos'!$E$7:$AR$302,21,0))=TRUE," ",(VLOOKUP(T35,'Base de Datos'!$E$7:$AR$302,21,0)))</f>
        <v>1</v>
      </c>
      <c r="AJ35" s="450"/>
      <c r="AK35" s="450" t="str">
        <f>IF(ISERROR(VLOOKUP(D35,'Base de Datos'!$C$7:$AR$400,2,0))=TRUE," ",(VLOOKUP(D35,'Base de Datos'!$C$7:$AR$400,2,0)))</f>
        <v xml:space="preserve"> </v>
      </c>
      <c r="AL35" s="450" t="str">
        <f>IF(ISERROR(VLOOKUP(D35,'Base de Datos'!$C$7:$AR$400,3,0))=TRUE," ",(VLOOKUP(D35,'Base de Datos'!$C$7:$AR$400,3,0)))</f>
        <v xml:space="preserve"> </v>
      </c>
      <c r="AM35" s="453" t="e">
        <f>IF(ISERROR(VLOOKUP(D35,'Base de Datos'!$C$7:$AR$3761,6,0))=TRUE," ",(VLOOKUP(D35,'Base de Datos'!$C$7:$AR$400,6,0)))</f>
        <v>#N/A</v>
      </c>
      <c r="AN35" s="453" t="str">
        <f>IF(ISERROR(VLOOKUP(D35,'Base de Datos'!$C$7:$AR$400,20,0))=TRUE," ",(VLOOKUP(D35,'Base de Datos'!$C$7:$AR$400,19,0)))</f>
        <v xml:space="preserve"> </v>
      </c>
      <c r="AO35" s="456" t="str">
        <f>IF(ISERROR(VLOOKUP(D35,'Base de Datos'!$C$7:$AR$400,9,0))=TRUE," ",(VLOOKUP(D35,'Base de Datos'!$C$7:$AR$400,9,0)))</f>
        <v xml:space="preserve"> </v>
      </c>
      <c r="AP35" s="456" t="str">
        <f>IF(ISERROR(VLOOKUP(D35,'Base de Datos'!$C$7:$AR$400,10,0))=TRUE," ",(VLOOKUP(D35,'Base de Datos'!$C$7:$AR$400,10,0)))</f>
        <v xml:space="preserve"> </v>
      </c>
      <c r="AQ35" s="458" t="str">
        <f>IF(ISERROR(VLOOKUP(D35,'Base de Datos'!$C$7:$AR$400,11,0))=TRUE," ",(VLOOKUP(D35,'Base de Datos'!$C$7:$AR$400,11,0)))</f>
        <v xml:space="preserve"> </v>
      </c>
      <c r="AR35" s="459" t="str">
        <f>IF(ISERROR(VLOOKUP(D35,'Base de Datos'!$C$7:$AR$400,12,0))=TRUE," ",(VLOOKUP(D35,'Base de Datos'!$C$7:$AR$400,12,0)))</f>
        <v xml:space="preserve"> </v>
      </c>
      <c r="AS35" s="458" t="str">
        <f>IF(ISERROR(VLOOKUP(D35,'Base de Datos'!$C$7:$AR$400,13,0))=TRUE," ",(VLOOKUP(D35,'Base de Datos'!$C$7:$AR$400,13,0)))</f>
        <v xml:space="preserve"> </v>
      </c>
      <c r="AT35" s="458" t="str">
        <f>IF(ISERROR(VLOOKUP(D35,'Base de Datos'!$C$7:$AR$400,14,0))=TRUE," ",(VLOOKUP(D35,'Base de Datos'!$C$7:$AR$400,14,0)))</f>
        <v xml:space="preserve"> </v>
      </c>
      <c r="AU35" s="456" t="str">
        <f>IF(ISERROR(VLOOKUP(D35,'Base de Datos'!$C$7:$AR$400,16,0))=TRUE," ",(VLOOKUP(D35,'Base de Datos'!$C$7:$AR$400,16,0)))</f>
        <v xml:space="preserve"> </v>
      </c>
      <c r="AV35" s="460" t="str">
        <f>IF(ISERROR(VLOOKUP(D35,'Base de Datos'!$C$7:$AR$400,17,0))=TRUE," ",(VLOOKUP(D35,'Base de Datos'!$C$7:$AR$400,17,0)))</f>
        <v xml:space="preserve"> </v>
      </c>
      <c r="AW35" s="460" t="str">
        <f>IF(ISERROR(VLOOKUP(D35,'Base de Datos'!$C$7:$AR$400,18,0))=TRUE," ",(VLOOKUP(D35,'Base de Datos'!$C$7:$AR$400,18,0)))</f>
        <v xml:space="preserve"> </v>
      </c>
      <c r="AX35" s="460" t="str">
        <f>IF(ISERROR(VLOOKUP(D35,'Base de Datos'!$C$7:$AR$400,19,0))=TRUE," ",(VLOOKUP(D35,'Base de Datos'!$C$7:$AR$400,19,0)))</f>
        <v xml:space="preserve"> </v>
      </c>
      <c r="AY35" s="463" t="str">
        <f>IF(ISERROR(VLOOKUP(D35,'Base de Datos'!$C$7:$AR$400,21,0))=TRUE," ",(VLOOKUP(D35,'Base de Datos'!$C$7:$AR$400,21,0)))</f>
        <v xml:space="preserve"> </v>
      </c>
      <c r="AZ35" s="463" t="str">
        <f>IF(ISERROR(VLOOKUP(D35,'Base de Datos'!$C$7:$AR$400,22,0))=TRUE," ",(VLOOKUP(D35,'Base de Datos'!$C$7:$AR$400,22,0)))</f>
        <v xml:space="preserve"> </v>
      </c>
      <c r="BA35" s="470"/>
      <c r="BB35" s="480"/>
    </row>
    <row r="36" spans="2:54" ht="101.25" hidden="1" x14ac:dyDescent="0.25">
      <c r="B36" s="433">
        <v>29</v>
      </c>
      <c r="C36" s="441" t="s">
        <v>1642</v>
      </c>
      <c r="D36" s="433">
        <v>277</v>
      </c>
      <c r="E36" s="441" t="s">
        <v>1648</v>
      </c>
      <c r="F36" s="442">
        <f>VLOOKUP(D36,'Presupuesto - PAA 2015'!$B$10:$E$265,4,0)</f>
        <v>12975945</v>
      </c>
      <c r="G36" s="548" t="s">
        <v>1779</v>
      </c>
      <c r="H36" s="548" t="s">
        <v>1777</v>
      </c>
      <c r="I36" s="548" t="s">
        <v>1710</v>
      </c>
      <c r="J36" s="549" t="s">
        <v>909</v>
      </c>
      <c r="K36" s="550" t="s">
        <v>390</v>
      </c>
      <c r="L36" s="550" t="s">
        <v>390</v>
      </c>
      <c r="M36" s="445"/>
      <c r="N36" s="444"/>
      <c r="O36" s="446"/>
      <c r="P36" s="446"/>
      <c r="Q36" s="446"/>
      <c r="R36" s="447"/>
      <c r="S36" s="465" t="s">
        <v>1747</v>
      </c>
      <c r="T36" s="347"/>
      <c r="U36" s="450" t="str">
        <f>IF(ISERROR(VLOOKUP(T36,'Base de Datos'!$E$7:$AR$302,3,0))=TRUE," ",(VLOOKUP(T36,'Base de Datos'!$E$7:$AR$302,2,0)))</f>
        <v xml:space="preserve"> </v>
      </c>
      <c r="V36" s="453" t="str">
        <f>IF(ISERROR(VLOOKUP(T36,'Base de Datos'!$E$7:$AR$302,5,0))=TRUE," ",(VLOOKUP(T36,'Base de Datos'!$E$7:$AR$302,5,0)))</f>
        <v xml:space="preserve"> </v>
      </c>
      <c r="W36" s="450" t="str">
        <f>IF(ISERROR(VLOOKUP(T36,'Base de Datos'!$E$7:$AR$302,19,0))=TRUE," ",(VLOOKUP(T36,'Base de Datos'!$E$7:$AR$302,19,0)))</f>
        <v xml:space="preserve"> </v>
      </c>
      <c r="X36" s="455" t="str">
        <f>IF(ISERROR(VLOOKUP(T36,'Base de Datos'!$E$7:$AR$302,8,0))=TRUE," ",(VLOOKUP(T36,'Base de Datos'!$E$7:$AR$302,8,0)))</f>
        <v xml:space="preserve"> </v>
      </c>
      <c r="Y36" s="455" t="str">
        <f>IF(ISERROR(VLOOKUP(T36,'Base de Datos'!$E$7:$AR$302,9,0))=TRUE," ",(VLOOKUP(T36,'Base de Datos'!$E$7:$AR$302,9,0)))</f>
        <v xml:space="preserve"> </v>
      </c>
      <c r="Z36" s="449" t="str">
        <f>IF(ISERROR(VLOOKUP(T36,'Base de Datos'!$E$7:$AR$302,10,0))=TRUE," ",(VLOOKUP(T36,'Base de Datos'!$E$7:$AR$302,10,0)))</f>
        <v xml:space="preserve"> </v>
      </c>
      <c r="AA36" s="452" t="str">
        <f>IF(ISERROR(VLOOKUP(T36,'Base de Datos'!$E$7:$AR$302,11,0))=TRUE," ",(VLOOKUP(T36,'Base de Datos'!$E$7:$AR$302,11,0)))</f>
        <v xml:space="preserve"> </v>
      </c>
      <c r="AB36" s="449" t="str">
        <f>IF(ISERROR(VLOOKUP(T36,'Base de Datos'!$E$7:$AR$302,12,0))=TRUE," ",(VLOOKUP(T36,'Base de Datos'!$E$7:$AR$302,12,0)))</f>
        <v xml:space="preserve"> </v>
      </c>
      <c r="AC36" s="449" t="str">
        <f>IF(ISERROR(VLOOKUP(T36,'Base de Datos'!$E$7:$AR$302,12,0))=TRUE," ",(VLOOKUP(T36,'Base de Datos'!$E$7:$AR$302,12,0)))</f>
        <v xml:space="preserve"> </v>
      </c>
      <c r="AD36" s="455" t="str">
        <f>IF(ISERROR(VLOOKUP(T36,'Base de Datos'!$E$7:$AR$302,15,0))=TRUE," ",(VLOOKUP(T36,'Base de Datos'!$E$7:$AR$302,15,0)))</f>
        <v xml:space="preserve"> </v>
      </c>
      <c r="AE36" s="460" t="str">
        <f>IF(ISERROR(VLOOKUP(T36,'Base de Datos'!$E$7:$AR$302,16,0))=TRUE," ",(VLOOKUP(T36,'Base de Datos'!$E$7:$AR$302,16,0)))</f>
        <v xml:space="preserve"> </v>
      </c>
      <c r="AF36" s="460" t="str">
        <f>IF(ISERROR(VLOOKUP(T36,'Base de Datos'!$E$7:$AR$302,17,0))=TRUE," ",(VLOOKUP(T36,'Base de Datos'!$E$7:$AR$302,17,0)))</f>
        <v xml:space="preserve"> </v>
      </c>
      <c r="AG36" s="460" t="str">
        <f>IF(ISERROR(VLOOKUP(T36,'Base de Datos'!$E$7:$AR$302,18,0))=TRUE," ",(VLOOKUP(T36,'Base de Datos'!$E$7:$AR$302,18,0)))</f>
        <v xml:space="preserve"> </v>
      </c>
      <c r="AH36" s="461" t="str">
        <f>IF(ISERROR(VLOOKUP(T36,'Base de Datos'!$E$7:$AR$302,20,0))=TRUE," ",(VLOOKUP(T36,'Base de Datos'!$E$7:$AR$302,20,0)))</f>
        <v xml:space="preserve"> </v>
      </c>
      <c r="AI36" s="461" t="str">
        <f>IF(ISERROR(VLOOKUP(T36,'Base de Datos'!$E$7:$AR$302,21,0))=TRUE," ",(VLOOKUP(T36,'Base de Datos'!$E$7:$AR$302,21,0)))</f>
        <v xml:space="preserve"> </v>
      </c>
      <c r="AJ36" s="454">
        <v>42117</v>
      </c>
      <c r="AK36" s="450" t="str">
        <f>IF(ISERROR(VLOOKUP(D36,'Base de Datos'!$C$7:$AR$400,2,0))=TRUE," ",(VLOOKUP(D36,'Base de Datos'!$C$7:$AR$400,2,0)))</f>
        <v>2015277</v>
      </c>
      <c r="AL36" s="450" t="str">
        <f>IF(ISERROR(VLOOKUP(D36,'Base de Datos'!$C$7:$AR$400,3,0))=TRUE," ",(VLOOKUP(D36,'Base de Datos'!$C$7:$AR$400,3,0)))</f>
        <v>150200-0-2015</v>
      </c>
      <c r="AM36" s="453" t="str">
        <f>IF(ISERROR(VLOOKUP(D36,'Base de Datos'!$C$7:$AR$3761,6,0))=TRUE," ",(VLOOKUP(D36,'Base de Datos'!$C$7:$AR$400,6,0)))</f>
        <v>Adquirir elementos de hardware para el sistema de voto electrónico del Concejo de Bogotá, de conformidad con lo establecido en la presente invitación pública</v>
      </c>
      <c r="AN36" s="453">
        <f>IF(ISERROR(VLOOKUP(D36,'Base de Datos'!$C$7:$AR$400,20,0))=TRUE," ",(VLOOKUP(D36,'Base de Datos'!$C$7:$AR$400,19,0)))</f>
        <v>12975945</v>
      </c>
      <c r="AO36" s="456">
        <f>IF(ISERROR(VLOOKUP(D36,'Base de Datos'!$C$7:$AR$400,9,0))=TRUE," ",(VLOOKUP(D36,'Base de Datos'!$C$7:$AR$400,9,0)))</f>
        <v>2015</v>
      </c>
      <c r="AP36" s="456">
        <f>IF(ISERROR(VLOOKUP(D36,'Base de Datos'!$C$7:$AR$400,10,0))=TRUE," ",(VLOOKUP(D36,'Base de Datos'!$C$7:$AR$400,10,0)))</f>
        <v>42117</v>
      </c>
      <c r="AQ36" s="458">
        <f>IF(ISERROR(VLOOKUP(D36,'Base de Datos'!$C$7:$AR$400,11,0))=TRUE," ",(VLOOKUP(D36,'Base de Datos'!$C$7:$AR$400,11,0)))</f>
        <v>42135</v>
      </c>
      <c r="AR36" s="459">
        <f>IF(ISERROR(VLOOKUP(D36,'Base de Datos'!$C$7:$AR$400,12,0))=TRUE," ",(VLOOKUP(D36,'Base de Datos'!$C$7:$AR$400,12,0)))</f>
        <v>42258</v>
      </c>
      <c r="AS36" s="458">
        <f>IF(ISERROR(VLOOKUP(D36,'Base de Datos'!$C$7:$AR$400,13,0))=TRUE," ",(VLOOKUP(D36,'Base de Datos'!$C$7:$AR$400,13,0)))</f>
        <v>0</v>
      </c>
      <c r="AT36" s="458">
        <f>IF(ISERROR(VLOOKUP(D36,'Base de Datos'!$C$7:$AR$400,14,0))=TRUE," ",(VLOOKUP(D36,'Base de Datos'!$C$7:$AR$400,14,0)))</f>
        <v>0</v>
      </c>
      <c r="AU36" s="456" t="str">
        <f>IF(ISERROR(VLOOKUP(D36,'Base de Datos'!$C$7:$AR$400,16,0))=TRUE," ",(VLOOKUP(D36,'Base de Datos'!$C$7:$AR$400,16,0)))</f>
        <v/>
      </c>
      <c r="AV36" s="460" t="str">
        <f>IF(ISERROR(VLOOKUP(D36,'Base de Datos'!$C$7:$AR$400,17,0))=TRUE," ",(VLOOKUP(D36,'Base de Datos'!$C$7:$AR$400,17,0)))</f>
        <v/>
      </c>
      <c r="AW36" s="460">
        <f>IF(ISERROR(VLOOKUP(D36,'Base de Datos'!$C$7:$AR$400,18,0))=TRUE," ",(VLOOKUP(D36,'Base de Datos'!$C$7:$AR$400,18,0)))</f>
        <v>42258</v>
      </c>
      <c r="AX36" s="460">
        <f>IF(ISERROR(VLOOKUP(D36,'Base de Datos'!$C$7:$AR$400,19,0))=TRUE," ",(VLOOKUP(D36,'Base de Datos'!$C$7:$AR$400,19,0)))</f>
        <v>12975945</v>
      </c>
      <c r="AY36" s="463">
        <f>IF(ISERROR(VLOOKUP(D36,'Base de Datos'!$C$7:$AR$400,21,0))=TRUE," ",(VLOOKUP(D36,'Base de Datos'!$C$7:$AR$400,21,0)))</f>
        <v>0</v>
      </c>
      <c r="AZ36" s="463">
        <f>IF(ISERROR(VLOOKUP(D36,'Base de Datos'!$C$7:$AR$400,22,0))=TRUE," ",(VLOOKUP(D36,'Base de Datos'!$C$7:$AR$400,22,0)))</f>
        <v>0</v>
      </c>
      <c r="BA36" s="470"/>
      <c r="BB36" s="480"/>
    </row>
    <row r="37" spans="2:54" ht="45" hidden="1" customHeight="1" x14ac:dyDescent="0.25">
      <c r="B37" s="433">
        <v>30</v>
      </c>
      <c r="C37" s="441" t="s">
        <v>1642</v>
      </c>
      <c r="D37" s="433">
        <v>282</v>
      </c>
      <c r="E37" s="441" t="s">
        <v>1648</v>
      </c>
      <c r="F37" s="442">
        <f>VLOOKUP(D37,'Presupuesto - PAA 2015'!$B$10:$E$265,4,0)</f>
        <v>436000000</v>
      </c>
      <c r="G37" s="434" t="s">
        <v>1780</v>
      </c>
      <c r="H37" s="434" t="s">
        <v>1777</v>
      </c>
      <c r="I37" s="434" t="s">
        <v>1710</v>
      </c>
      <c r="J37" s="443" t="s">
        <v>1736</v>
      </c>
      <c r="K37" s="444" t="s">
        <v>390</v>
      </c>
      <c r="L37" s="444" t="s">
        <v>390</v>
      </c>
      <c r="M37" s="445"/>
      <c r="N37" s="444"/>
      <c r="O37" s="446"/>
      <c r="P37" s="446"/>
      <c r="Q37" s="446"/>
      <c r="R37" s="447"/>
      <c r="S37" s="465" t="s">
        <v>1983</v>
      </c>
      <c r="T37" s="347"/>
      <c r="U37" s="450" t="str">
        <f>IF(ISERROR(VLOOKUP(T37,'Base de Datos'!$E$7:$AR$302,3,0))=TRUE," ",(VLOOKUP(T37,'Base de Datos'!$E$7:$AR$302,2,0)))</f>
        <v xml:space="preserve"> </v>
      </c>
      <c r="V37" s="453" t="str">
        <f>IF(ISERROR(VLOOKUP(T37,'Base de Datos'!$E$7:$AR$302,5,0))=TRUE," ",(VLOOKUP(T37,'Base de Datos'!$E$7:$AR$302,5,0)))</f>
        <v xml:space="preserve"> </v>
      </c>
      <c r="W37" s="450" t="str">
        <f>IF(ISERROR(VLOOKUP(T37,'Base de Datos'!$E$7:$AR$302,19,0))=TRUE," ",(VLOOKUP(T37,'Base de Datos'!$E$7:$AR$302,19,0)))</f>
        <v xml:space="preserve"> </v>
      </c>
      <c r="X37" s="455" t="str">
        <f>IF(ISERROR(VLOOKUP(T37,'Base de Datos'!$E$7:$AR$302,8,0))=TRUE," ",(VLOOKUP(T37,'Base de Datos'!$E$7:$AR$302,8,0)))</f>
        <v xml:space="preserve"> </v>
      </c>
      <c r="Y37" s="455" t="str">
        <f>IF(ISERROR(VLOOKUP(T37,'Base de Datos'!$E$7:$AR$302,9,0))=TRUE," ",(VLOOKUP(T37,'Base de Datos'!$E$7:$AR$302,9,0)))</f>
        <v xml:space="preserve"> </v>
      </c>
      <c r="Z37" s="449" t="str">
        <f>IF(ISERROR(VLOOKUP(T37,'Base de Datos'!$E$7:$AR$302,10,0))=TRUE," ",(VLOOKUP(T37,'Base de Datos'!$E$7:$AR$302,10,0)))</f>
        <v xml:space="preserve"> </v>
      </c>
      <c r="AA37" s="452" t="str">
        <f>IF(ISERROR(VLOOKUP(T37,'Base de Datos'!$E$7:$AR$302,11,0))=TRUE," ",(VLOOKUP(T37,'Base de Datos'!$E$7:$AR$302,11,0)))</f>
        <v xml:space="preserve"> </v>
      </c>
      <c r="AB37" s="449" t="str">
        <f>IF(ISERROR(VLOOKUP(T37,'Base de Datos'!$E$7:$AR$302,12,0))=TRUE," ",(VLOOKUP(T37,'Base de Datos'!$E$7:$AR$302,12,0)))</f>
        <v xml:space="preserve"> </v>
      </c>
      <c r="AC37" s="449" t="str">
        <f>IF(ISERROR(VLOOKUP(T37,'Base de Datos'!$E$7:$AR$302,12,0))=TRUE," ",(VLOOKUP(T37,'Base de Datos'!$E$7:$AR$302,12,0)))</f>
        <v xml:space="preserve"> </v>
      </c>
      <c r="AD37" s="455" t="str">
        <f>IF(ISERROR(VLOOKUP(T37,'Base de Datos'!$E$7:$AR$302,15,0))=TRUE," ",(VLOOKUP(T37,'Base de Datos'!$E$7:$AR$302,15,0)))</f>
        <v xml:space="preserve"> </v>
      </c>
      <c r="AE37" s="460" t="str">
        <f>IF(ISERROR(VLOOKUP(T37,'Base de Datos'!$E$7:$AR$302,16,0))=TRUE," ",(VLOOKUP(T37,'Base de Datos'!$E$7:$AR$302,16,0)))</f>
        <v xml:space="preserve"> </v>
      </c>
      <c r="AF37" s="460" t="str">
        <f>IF(ISERROR(VLOOKUP(T37,'Base de Datos'!$E$7:$AR$302,17,0))=TRUE," ",(VLOOKUP(T37,'Base de Datos'!$E$7:$AR$302,17,0)))</f>
        <v xml:space="preserve"> </v>
      </c>
      <c r="AG37" s="460" t="str">
        <f>IF(ISERROR(VLOOKUP(T37,'Base de Datos'!$E$7:$AR$302,18,0))=TRUE," ",(VLOOKUP(T37,'Base de Datos'!$E$7:$AR$302,18,0)))</f>
        <v xml:space="preserve"> </v>
      </c>
      <c r="AH37" s="461" t="str">
        <f>IF(ISERROR(VLOOKUP(T37,'Base de Datos'!$E$7:$AR$302,20,0))=TRUE," ",(VLOOKUP(T37,'Base de Datos'!$E$7:$AR$302,20,0)))</f>
        <v xml:space="preserve"> </v>
      </c>
      <c r="AI37" s="461" t="str">
        <f>IF(ISERROR(VLOOKUP(T37,'Base de Datos'!$E$7:$AR$302,21,0))=TRUE," ",(VLOOKUP(T37,'Base de Datos'!$E$7:$AR$302,21,0)))</f>
        <v xml:space="preserve"> </v>
      </c>
      <c r="AJ37" s="450"/>
      <c r="AK37" s="450" t="str">
        <f>IF(ISERROR(VLOOKUP(D37,'Base de Datos'!$C$7:$AR$400,2,0))=TRUE," ",(VLOOKUP(D37,'Base de Datos'!$C$7:$AR$400,2,0)))</f>
        <v>2015282</v>
      </c>
      <c r="AL37" s="450" t="str">
        <f>IF(ISERROR(VLOOKUP(D37,'Base de Datos'!$C$7:$AR$400,3,0))=TRUE," ",(VLOOKUP(D37,'Base de Datos'!$C$7:$AR$400,3,0)))</f>
        <v>150344-0-2015</v>
      </c>
      <c r="AM37" s="453" t="str">
        <f>IF(ISERROR(VLOOKUP(D37,'Base de Datos'!$C$7:$AR$3761,6,0))=TRUE," ",(VLOOKUP(D37,'Base de Datos'!$C$7:$AR$400,6,0)))</f>
        <v>Contratar el outsourcing integral para los servicios de gestión de mesa de ayuda y gestión de impresión para el Concejo de Bogotá, de conformidad con el alcance del objeto y lo señalado en el pliego de condiciones del proceso de selección SDH-LP-02-2015, sus anexos técnicos y la propuesta</v>
      </c>
      <c r="AN37" s="453">
        <f>IF(ISERROR(VLOOKUP(D37,'Base de Datos'!$C$7:$AR$400,20,0))=TRUE," ",(VLOOKUP(D37,'Base de Datos'!$C$7:$AR$400,19,0)))</f>
        <v>518574616</v>
      </c>
      <c r="AO37" s="456">
        <f>IF(ISERROR(VLOOKUP(D37,'Base de Datos'!$C$7:$AR$400,9,0))=TRUE," ",(VLOOKUP(D37,'Base de Datos'!$C$7:$AR$400,9,0)))</f>
        <v>2015</v>
      </c>
      <c r="AP37" s="456">
        <f>IF(ISERROR(VLOOKUP(D37,'Base de Datos'!$C$7:$AR$400,10,0))=TRUE," ",(VLOOKUP(D37,'Base de Datos'!$C$7:$AR$400,10,0)))</f>
        <v>42240</v>
      </c>
      <c r="AQ37" s="458">
        <f>IF(ISERROR(VLOOKUP(D37,'Base de Datos'!$C$7:$AR$400,11,0))=TRUE," ",(VLOOKUP(D37,'Base de Datos'!$C$7:$AR$400,11,0)))</f>
        <v>42261</v>
      </c>
      <c r="AR37" s="459">
        <f>IF(ISERROR(VLOOKUP(D37,'Base de Datos'!$C$7:$AR$400,12,0))=TRUE," ",(VLOOKUP(D37,'Base de Datos'!$C$7:$AR$400,12,0)))</f>
        <v>42565</v>
      </c>
      <c r="AS37" s="458">
        <f>IF(ISERROR(VLOOKUP(D37,'Base de Datos'!$C$7:$AR$400,13,0))=TRUE," ",(VLOOKUP(D37,'Base de Datos'!$C$7:$AR$400,13,0)))</f>
        <v>2</v>
      </c>
      <c r="AT37" s="458">
        <f>IF(ISERROR(VLOOKUP(D37,'Base de Datos'!$C$7:$AR$400,14,0))=TRUE," ",(VLOOKUP(D37,'Base de Datos'!$C$7:$AR$400,14,0)))</f>
        <v>136483034</v>
      </c>
      <c r="AU37" s="456" t="str">
        <f>IF(ISERROR(VLOOKUP(D37,'Base de Datos'!$C$7:$AR$400,16,0))=TRUE," ",(VLOOKUP(D37,'Base de Datos'!$C$7:$AR$400,16,0)))</f>
        <v>4 meses</v>
      </c>
      <c r="AV37" s="460">
        <f>IF(ISERROR(VLOOKUP(D37,'Base de Datos'!$C$7:$AR$400,17,0))=TRUE," ",(VLOOKUP(D37,'Base de Datos'!$C$7:$AR$400,17,0)))</f>
        <v>42688</v>
      </c>
      <c r="AW37" s="460">
        <f>IF(ISERROR(VLOOKUP(D37,'Base de Datos'!$C$7:$AR$400,18,0))=TRUE," ",(VLOOKUP(D37,'Base de Datos'!$C$7:$AR$400,18,0)))</f>
        <v>42688</v>
      </c>
      <c r="AX37" s="460">
        <f>IF(ISERROR(VLOOKUP(D37,'Base de Datos'!$C$7:$AR$400,19,0))=TRUE," ",(VLOOKUP(D37,'Base de Datos'!$C$7:$AR$400,19,0)))</f>
        <v>518574616</v>
      </c>
      <c r="AY37" s="463">
        <f>IF(ISERROR(VLOOKUP(D37,'Base de Datos'!$C$7:$AR$400,21,0))=TRUE," ",(VLOOKUP(D37,'Base de Datos'!$C$7:$AR$400,21,0)))</f>
        <v>70143071</v>
      </c>
      <c r="AZ37" s="463" t="str">
        <f>IF(ISERROR(VLOOKUP(D37,'Base de Datos'!$C$7:$AR$400,22,0))=TRUE," ",(VLOOKUP(D37,'Base de Datos'!$C$7:$AR$400,22,0)))</f>
        <v>Pagos mes vencido por servicios, pago respuestos de acuerdo a la demanda</v>
      </c>
      <c r="BA37" s="470"/>
      <c r="BB37" s="480"/>
    </row>
    <row r="38" spans="2:54" ht="54" hidden="1" customHeight="1" x14ac:dyDescent="0.25">
      <c r="B38" s="433">
        <v>31</v>
      </c>
      <c r="C38" s="441" t="s">
        <v>1642</v>
      </c>
      <c r="D38" s="433">
        <v>284</v>
      </c>
      <c r="E38" s="441" t="s">
        <v>1648</v>
      </c>
      <c r="F38" s="442">
        <f>VLOOKUP(D38,'Presupuesto - PAA 2015'!$B$10:$E$265,4,0)</f>
        <v>54285345</v>
      </c>
      <c r="G38" s="434" t="s">
        <v>1781</v>
      </c>
      <c r="H38" s="434" t="s">
        <v>1777</v>
      </c>
      <c r="I38" s="434" t="s">
        <v>1710</v>
      </c>
      <c r="J38" s="443" t="s">
        <v>590</v>
      </c>
      <c r="K38" s="444" t="s">
        <v>390</v>
      </c>
      <c r="L38" s="444" t="s">
        <v>390</v>
      </c>
      <c r="M38" s="445"/>
      <c r="N38" s="444"/>
      <c r="O38" s="446"/>
      <c r="P38" s="446"/>
      <c r="Q38" s="446"/>
      <c r="R38" s="447"/>
      <c r="S38" s="447"/>
      <c r="T38" s="347"/>
      <c r="U38" s="450" t="str">
        <f>IF(ISERROR(VLOOKUP(T38,'Base de Datos'!$E$7:$AR$302,3,0))=TRUE," ",(VLOOKUP(T38,'Base de Datos'!$E$7:$AR$302,2,0)))</f>
        <v xml:space="preserve"> </v>
      </c>
      <c r="V38" s="453" t="str">
        <f>IF(ISERROR(VLOOKUP(T38,'Base de Datos'!$E$7:$AR$302,5,0))=TRUE," ",(VLOOKUP(T38,'Base de Datos'!$E$7:$AR$302,5,0)))</f>
        <v xml:space="preserve"> </v>
      </c>
      <c r="W38" s="450" t="str">
        <f>IF(ISERROR(VLOOKUP(T38,'Base de Datos'!$E$7:$AR$302,19,0))=TRUE," ",(VLOOKUP(T38,'Base de Datos'!$E$7:$AR$302,19,0)))</f>
        <v xml:space="preserve"> </v>
      </c>
      <c r="X38" s="455" t="str">
        <f>IF(ISERROR(VLOOKUP(T38,'Base de Datos'!$E$7:$AR$302,8,0))=TRUE," ",(VLOOKUP(T38,'Base de Datos'!$E$7:$AR$302,8,0)))</f>
        <v xml:space="preserve"> </v>
      </c>
      <c r="Y38" s="455" t="str">
        <f>IF(ISERROR(VLOOKUP(T38,'Base de Datos'!$E$7:$AR$302,9,0))=TRUE," ",(VLOOKUP(T38,'Base de Datos'!$E$7:$AR$302,9,0)))</f>
        <v xml:space="preserve"> </v>
      </c>
      <c r="Z38" s="449" t="str">
        <f>IF(ISERROR(VLOOKUP(T38,'Base de Datos'!$E$7:$AR$302,10,0))=TRUE," ",(VLOOKUP(T38,'Base de Datos'!$E$7:$AR$302,10,0)))</f>
        <v xml:space="preserve"> </v>
      </c>
      <c r="AA38" s="452" t="str">
        <f>IF(ISERROR(VLOOKUP(T38,'Base de Datos'!$E$7:$AR$302,11,0))=TRUE," ",(VLOOKUP(T38,'Base de Datos'!$E$7:$AR$302,11,0)))</f>
        <v xml:space="preserve"> </v>
      </c>
      <c r="AB38" s="449" t="str">
        <f>IF(ISERROR(VLOOKUP(T38,'Base de Datos'!$E$7:$AR$302,12,0))=TRUE," ",(VLOOKUP(T38,'Base de Datos'!$E$7:$AR$302,12,0)))</f>
        <v xml:space="preserve"> </v>
      </c>
      <c r="AC38" s="449" t="str">
        <f>IF(ISERROR(VLOOKUP(T38,'Base de Datos'!$E$7:$AR$302,12,0))=TRUE," ",(VLOOKUP(T38,'Base de Datos'!$E$7:$AR$302,12,0)))</f>
        <v xml:space="preserve"> </v>
      </c>
      <c r="AD38" s="455" t="str">
        <f>IF(ISERROR(VLOOKUP(T38,'Base de Datos'!$E$7:$AR$302,15,0))=TRUE," ",(VLOOKUP(T38,'Base de Datos'!$E$7:$AR$302,15,0)))</f>
        <v xml:space="preserve"> </v>
      </c>
      <c r="AE38" s="460" t="str">
        <f>IF(ISERROR(VLOOKUP(T38,'Base de Datos'!$E$7:$AR$302,16,0))=TRUE," ",(VLOOKUP(T38,'Base de Datos'!$E$7:$AR$302,16,0)))</f>
        <v xml:space="preserve"> </v>
      </c>
      <c r="AF38" s="460" t="str">
        <f>IF(ISERROR(VLOOKUP(T38,'Base de Datos'!$E$7:$AR$302,17,0))=TRUE," ",(VLOOKUP(T38,'Base de Datos'!$E$7:$AR$302,17,0)))</f>
        <v xml:space="preserve"> </v>
      </c>
      <c r="AG38" s="460" t="str">
        <f>IF(ISERROR(VLOOKUP(T38,'Base de Datos'!$E$7:$AR$302,18,0))=TRUE," ",(VLOOKUP(T38,'Base de Datos'!$E$7:$AR$302,18,0)))</f>
        <v xml:space="preserve"> </v>
      </c>
      <c r="AH38" s="461" t="str">
        <f>IF(ISERROR(VLOOKUP(T38,'Base de Datos'!$E$7:$AR$302,20,0))=TRUE," ",(VLOOKUP(T38,'Base de Datos'!$E$7:$AR$302,20,0)))</f>
        <v xml:space="preserve"> </v>
      </c>
      <c r="AI38" s="461" t="str">
        <f>IF(ISERROR(VLOOKUP(T38,'Base de Datos'!$E$7:$AR$302,21,0))=TRUE," ",(VLOOKUP(T38,'Base de Datos'!$E$7:$AR$302,21,0)))</f>
        <v xml:space="preserve"> </v>
      </c>
      <c r="AJ38" s="450"/>
      <c r="AK38" s="450" t="str">
        <f>IF(ISERROR(VLOOKUP(D38,'Base de Datos'!$C$7:$AR$400,2,0))=TRUE," ",(VLOOKUP(D38,'Base de Datos'!$C$7:$AR$400,2,0)))</f>
        <v xml:space="preserve"> </v>
      </c>
      <c r="AL38" s="450" t="str">
        <f>IF(ISERROR(VLOOKUP(D38,'Base de Datos'!$C$7:$AR$400,3,0))=TRUE," ",(VLOOKUP(D38,'Base de Datos'!$C$7:$AR$400,3,0)))</f>
        <v xml:space="preserve"> </v>
      </c>
      <c r="AM38" s="453" t="str">
        <f>IF(ISERROR(VLOOKUP(D38,'Base de Datos'!$C$7:$AR$3761,6,0))=TRUE," ",(VLOOKUP(D38,'Base de Datos'!$C$7:$AR$400,6,0)))</f>
        <v xml:space="preserve"> </v>
      </c>
      <c r="AN38" s="453" t="str">
        <f>IF(ISERROR(VLOOKUP(D38,'Base de Datos'!$C$7:$AR$400,20,0))=TRUE," ",(VLOOKUP(D38,'Base de Datos'!$C$7:$AR$400,19,0)))</f>
        <v xml:space="preserve"> </v>
      </c>
      <c r="AO38" s="456" t="str">
        <f>IF(ISERROR(VLOOKUP(D38,'Base de Datos'!$C$7:$AR$400,9,0))=TRUE," ",(VLOOKUP(D38,'Base de Datos'!$C$7:$AR$400,9,0)))</f>
        <v xml:space="preserve"> </v>
      </c>
      <c r="AP38" s="456" t="str">
        <f>IF(ISERROR(VLOOKUP(D38,'Base de Datos'!$C$7:$AR$400,10,0))=TRUE," ",(VLOOKUP(D38,'Base de Datos'!$C$7:$AR$400,10,0)))</f>
        <v xml:space="preserve"> </v>
      </c>
      <c r="AQ38" s="458" t="str">
        <f>IF(ISERROR(VLOOKUP(D38,'Base de Datos'!$C$7:$AR$400,11,0))=TRUE," ",(VLOOKUP(D38,'Base de Datos'!$C$7:$AR$400,11,0)))</f>
        <v xml:space="preserve"> </v>
      </c>
      <c r="AR38" s="459" t="str">
        <f>IF(ISERROR(VLOOKUP(D38,'Base de Datos'!$C$7:$AR$400,12,0))=TRUE," ",(VLOOKUP(D38,'Base de Datos'!$C$7:$AR$400,12,0)))</f>
        <v xml:space="preserve"> </v>
      </c>
      <c r="AS38" s="458" t="str">
        <f>IF(ISERROR(VLOOKUP(D38,'Base de Datos'!$C$7:$AR$400,13,0))=TRUE," ",(VLOOKUP(D38,'Base de Datos'!$C$7:$AR$400,13,0)))</f>
        <v xml:space="preserve"> </v>
      </c>
      <c r="AT38" s="458" t="str">
        <f>IF(ISERROR(VLOOKUP(D38,'Base de Datos'!$C$7:$AR$400,14,0))=TRUE," ",(VLOOKUP(D38,'Base de Datos'!$C$7:$AR$400,14,0)))</f>
        <v xml:space="preserve"> </v>
      </c>
      <c r="AU38" s="456" t="str">
        <f>IF(ISERROR(VLOOKUP(D38,'Base de Datos'!$C$7:$AR$400,16,0))=TRUE," ",(VLOOKUP(D38,'Base de Datos'!$C$7:$AR$400,16,0)))</f>
        <v xml:space="preserve"> </v>
      </c>
      <c r="AV38" s="460" t="str">
        <f>IF(ISERROR(VLOOKUP(D38,'Base de Datos'!$C$7:$AR$400,17,0))=TRUE," ",(VLOOKUP(D38,'Base de Datos'!$C$7:$AR$400,17,0)))</f>
        <v xml:space="preserve"> </v>
      </c>
      <c r="AW38" s="460" t="str">
        <f>IF(ISERROR(VLOOKUP(D38,'Base de Datos'!$C$7:$AR$400,18,0))=TRUE," ",(VLOOKUP(D38,'Base de Datos'!$C$7:$AR$400,18,0)))</f>
        <v xml:space="preserve"> </v>
      </c>
      <c r="AX38" s="460" t="str">
        <f>IF(ISERROR(VLOOKUP(D38,'Base de Datos'!$C$7:$AR$400,19,0))=TRUE," ",(VLOOKUP(D38,'Base de Datos'!$C$7:$AR$400,19,0)))</f>
        <v xml:space="preserve"> </v>
      </c>
      <c r="AY38" s="463" t="str">
        <f>IF(ISERROR(VLOOKUP(D38,'Base de Datos'!$C$7:$AR$400,21,0))=TRUE," ",(VLOOKUP(D38,'Base de Datos'!$C$7:$AR$400,21,0)))</f>
        <v xml:space="preserve"> </v>
      </c>
      <c r="AZ38" s="463" t="str">
        <f>IF(ISERROR(VLOOKUP(D38,'Base de Datos'!$C$7:$AR$400,22,0))=TRUE," ",(VLOOKUP(D38,'Base de Datos'!$C$7:$AR$400,22,0)))</f>
        <v xml:space="preserve"> </v>
      </c>
      <c r="BA38" s="470"/>
      <c r="BB38" s="480"/>
    </row>
    <row r="39" spans="2:54" ht="55.5" hidden="1" customHeight="1" x14ac:dyDescent="0.25">
      <c r="B39" s="433">
        <v>32</v>
      </c>
      <c r="C39" s="441" t="s">
        <v>1642</v>
      </c>
      <c r="D39" s="433">
        <v>162</v>
      </c>
      <c r="E39" s="441" t="s">
        <v>1649</v>
      </c>
      <c r="F39" s="442">
        <f>VLOOKUP(D39,'Presupuesto - PAA 2015'!$B$10:$E$265,4,0)</f>
        <v>444600000</v>
      </c>
      <c r="G39" s="434" t="str">
        <f>VLOOKUP(D39,'[4]Seguimiento Plan'!$C$2:$R$101,16,0)</f>
        <v>Suministro de combustible para la Secretaría Distrital de Hacienda y Concejo de Bogotá</v>
      </c>
      <c r="H39" s="434" t="s">
        <v>1776</v>
      </c>
      <c r="I39" s="434" t="s">
        <v>1713</v>
      </c>
      <c r="J39" s="443" t="s">
        <v>1735</v>
      </c>
      <c r="K39" s="444" t="s">
        <v>390</v>
      </c>
      <c r="L39" s="444" t="str">
        <f>VLOOKUP(D39,'[4]Seguimiento Plan'!$C$2:$AJ$101,30,0)</f>
        <v>SI</v>
      </c>
      <c r="M39" s="445">
        <f>VLOOKUP(D39,'[4]Seguimiento Plan'!$C$2:$AJ$101,31,0)</f>
        <v>41991</v>
      </c>
      <c r="N39" s="444"/>
      <c r="O39" s="446"/>
      <c r="P39" s="446"/>
      <c r="Q39" s="446"/>
      <c r="R39" s="447"/>
      <c r="S39" s="447"/>
      <c r="T39" s="481" t="s">
        <v>1477</v>
      </c>
      <c r="U39" s="450" t="str">
        <f>IF(ISERROR(VLOOKUP(T39,'Base de Datos'!$E$7:$AR$302,3,0))=TRUE," ",(VLOOKUP(T39,'Base de Datos'!$E$7:$AR$302,2,0)))</f>
        <v>ORGANIZACIÓN TERPEL S.A.</v>
      </c>
      <c r="V39" s="453">
        <f>IF(ISERROR(VLOOKUP(T39,'Base de Datos'!$E$7:$AR$302,5,0))=TRUE," ",(VLOOKUP(T39,'Base de Datos'!$E$7:$AR$302,5,0)))</f>
        <v>171253333</v>
      </c>
      <c r="W39" s="450">
        <f>IF(ISERROR(VLOOKUP(T39,'Base de Datos'!$E$7:$AR$302,19,0))=TRUE," ",(VLOOKUP(T39,'Base de Datos'!$E$7:$AR$302,19,0)))</f>
        <v>47716224</v>
      </c>
      <c r="X39" s="455" t="str">
        <f>IF(ISERROR(VLOOKUP(T39,'Base de Datos'!$E$7:$AR$302,8,0))=TRUE," ",(VLOOKUP(T39,'Base de Datos'!$E$7:$AR$302,8,0)))</f>
        <v xml:space="preserve"> </v>
      </c>
      <c r="Y39" s="455">
        <f>IF(ISERROR(VLOOKUP(T39,'Base de Datos'!$E$7:$AR$302,9,0))=TRUE," ",(VLOOKUP(T39,'Base de Datos'!$E$7:$AR$302,9,0)))</f>
        <v>41961</v>
      </c>
      <c r="Z39" s="449">
        <f>IF(ISERROR(VLOOKUP(T39,'Base de Datos'!$E$7:$AR$302,10,0))=TRUE," ",(VLOOKUP(T39,'Base de Datos'!$E$7:$AR$302,10,0)))</f>
        <v>42063</v>
      </c>
      <c r="AA39" s="452">
        <f>IF(ISERROR(VLOOKUP(T39,'Base de Datos'!$E$7:$AR$302,11,0))=TRUE," ",(VLOOKUP(T39,'Base de Datos'!$E$7:$AR$302,11,0)))</f>
        <v>0</v>
      </c>
      <c r="AB39" s="449">
        <f>IF(ISERROR(VLOOKUP(T39,'Base de Datos'!$E$7:$AR$302,12,0))=TRUE," ",(VLOOKUP(T39,'Base de Datos'!$E$7:$AR$302,12,0)))</f>
        <v>0</v>
      </c>
      <c r="AC39" s="449">
        <f>IF(ISERROR(VLOOKUP(T39,'Base de Datos'!$E$7:$AR$302,12,0))=TRUE," ",(VLOOKUP(T39,'Base de Datos'!$E$7:$AR$302,12,0)))</f>
        <v>0</v>
      </c>
      <c r="AD39" s="455" t="str">
        <f>IF(ISERROR(VLOOKUP(T39,'Base de Datos'!$E$7:$AR$302,15,0))=TRUE," ",(VLOOKUP(T39,'Base de Datos'!$E$7:$AR$302,15,0)))</f>
        <v/>
      </c>
      <c r="AE39" s="460">
        <f>IF(ISERROR(VLOOKUP(T39,'Base de Datos'!$E$7:$AR$302,16,0))=TRUE," ",(VLOOKUP(T39,'Base de Datos'!$E$7:$AR$302,16,0)))</f>
        <v>42063</v>
      </c>
      <c r="AF39" s="460">
        <f>IF(ISERROR(VLOOKUP(T39,'Base de Datos'!$E$7:$AR$302,17,0))=TRUE," ",(VLOOKUP(T39,'Base de Datos'!$E$7:$AR$302,17,0)))</f>
        <v>171253333</v>
      </c>
      <c r="AG39" s="460">
        <f>IF(ISERROR(VLOOKUP(T39,'Base de Datos'!$E$7:$AR$302,18,0))=TRUE," ",(VLOOKUP(T39,'Base de Datos'!$E$7:$AR$302,18,0)))</f>
        <v>123537109</v>
      </c>
      <c r="AH39" s="461" t="str">
        <f>IF(ISERROR(VLOOKUP(T39,'Base de Datos'!$E$7:$AR$302,20,0))=TRUE," ",(VLOOKUP(T39,'Base de Datos'!$E$7:$AR$302,20,0)))</f>
        <v>Quincenal</v>
      </c>
      <c r="AI39" s="461">
        <f>IF(ISERROR(VLOOKUP(T39,'Base de Datos'!$E$7:$AR$302,21,0))=TRUE," ",(VLOOKUP(T39,'Base de Datos'!$E$7:$AR$302,21,0)))</f>
        <v>0.72137053823063402</v>
      </c>
      <c r="AJ39" s="455"/>
      <c r="AK39" s="450" t="str">
        <f>IF(ISERROR(VLOOKUP(D39,'Base de Datos'!$C$7:$AR$400,2,0))=TRUE," ",(VLOOKUP(D39,'Base de Datos'!$C$7:$AR$400,2,0)))</f>
        <v>2015162</v>
      </c>
      <c r="AL39" s="450" t="str">
        <f>IF(ISERROR(VLOOKUP(D39,'Base de Datos'!$C$7:$AR$400,3,0))=TRUE," ",(VLOOKUP(D39,'Base de Datos'!$C$7:$AR$400,3,0)))</f>
        <v>150097-0-2015</v>
      </c>
      <c r="AM39" s="453" t="str">
        <f>IF(ISERROR(VLOOKUP(D39,'Base de Datos'!$C$7:$AR$3761,6,0))=TRUE," ",(VLOOKUP(D39,'Base de Datos'!$C$7:$AR$400,6,0)))</f>
        <v>Suministro de combustible para el Concejo de Bogotá D.C.</v>
      </c>
      <c r="AN39" s="453">
        <f>IF(ISERROR(VLOOKUP(D39,'Base de Datos'!$C$7:$AR$400,20,0))=TRUE," ",(VLOOKUP(D39,'Base de Datos'!$C$7:$AR$400,19,0)))</f>
        <v>444600000</v>
      </c>
      <c r="AO39" s="456">
        <f>IF(ISERROR(VLOOKUP(D39,'Base de Datos'!$C$7:$AR$400,9,0))=TRUE," ",(VLOOKUP(D39,'Base de Datos'!$C$7:$AR$400,9,0)))</f>
        <v>2015</v>
      </c>
      <c r="AP39" s="456">
        <f>IF(ISERROR(VLOOKUP(D39,'Base de Datos'!$C$7:$AR$400,10,0))=TRUE," ",(VLOOKUP(D39,'Base de Datos'!$C$7:$AR$400,10,0)))</f>
        <v>0</v>
      </c>
      <c r="AQ39" s="458">
        <f>IF(ISERROR(VLOOKUP(D39,'Base de Datos'!$C$7:$AR$400,11,0))=TRUE," ",(VLOOKUP(D39,'Base de Datos'!$C$7:$AR$400,11,0)))</f>
        <v>42064</v>
      </c>
      <c r="AR39" s="459">
        <f>IF(ISERROR(VLOOKUP(D39,'Base de Datos'!$C$7:$AR$400,12,0))=TRUE," ",(VLOOKUP(D39,'Base de Datos'!$C$7:$AR$400,12,0)))</f>
        <v>42339</v>
      </c>
      <c r="AS39" s="458">
        <f>IF(ISERROR(VLOOKUP(D39,'Base de Datos'!$C$7:$AR$400,13,0))=TRUE," ",(VLOOKUP(D39,'Base de Datos'!$C$7:$AR$400,13,0)))</f>
        <v>0</v>
      </c>
      <c r="AT39" s="458">
        <f>IF(ISERROR(VLOOKUP(D39,'Base de Datos'!$C$7:$AR$400,14,0))=TRUE," ",(VLOOKUP(D39,'Base de Datos'!$C$7:$AR$400,14,0)))</f>
        <v>0</v>
      </c>
      <c r="AU39" s="456" t="str">
        <f>IF(ISERROR(VLOOKUP(D39,'Base de Datos'!$C$7:$AR$400,16,0))=TRUE," ",(VLOOKUP(D39,'Base de Datos'!$C$7:$AR$400,16,0)))</f>
        <v/>
      </c>
      <c r="AV39" s="460" t="str">
        <f>IF(ISERROR(VLOOKUP(D39,'Base de Datos'!$C$7:$AR$400,17,0))=TRUE," ",(VLOOKUP(D39,'Base de Datos'!$C$7:$AR$400,17,0)))</f>
        <v/>
      </c>
      <c r="AW39" s="460">
        <f>IF(ISERROR(VLOOKUP(D39,'Base de Datos'!$C$7:$AR$400,18,0))=TRUE," ",(VLOOKUP(D39,'Base de Datos'!$C$7:$AR$400,18,0)))</f>
        <v>42339</v>
      </c>
      <c r="AX39" s="460">
        <f>IF(ISERROR(VLOOKUP(D39,'Base de Datos'!$C$7:$AR$400,19,0))=TRUE," ",(VLOOKUP(D39,'Base de Datos'!$C$7:$AR$400,19,0)))</f>
        <v>444600000</v>
      </c>
      <c r="AY39" s="463">
        <f>IF(ISERROR(VLOOKUP(D39,'Base de Datos'!$C$7:$AR$400,21,0))=TRUE," ",(VLOOKUP(D39,'Base de Datos'!$C$7:$AR$400,21,0)))</f>
        <v>79262848</v>
      </c>
      <c r="AZ39" s="463">
        <f>IF(ISERROR(VLOOKUP(D39,'Base de Datos'!$C$7:$AR$400,22,0))=TRUE," ",(VLOOKUP(D39,'Base de Datos'!$C$7:$AR$400,22,0)))</f>
        <v>0</v>
      </c>
      <c r="BA39" s="470"/>
      <c r="BB39" s="480"/>
    </row>
    <row r="40" spans="2:54" ht="55.5" hidden="1" customHeight="1" x14ac:dyDescent="0.25">
      <c r="B40" s="433">
        <v>33</v>
      </c>
      <c r="C40" s="441" t="s">
        <v>1642</v>
      </c>
      <c r="D40" s="433">
        <v>163</v>
      </c>
      <c r="E40" s="441" t="s">
        <v>1649</v>
      </c>
      <c r="F40" s="442">
        <f>VLOOKUP(D40,'Presupuesto - PAA 2015'!$B$10:$E$265,4,0)</f>
        <v>0</v>
      </c>
      <c r="G40" s="434" t="str">
        <f>VLOOKUP(D40,'[4]Seguimiento Plan'!$C$2:$R$101,16,0)</f>
        <v>Suministro de ACPM para la Secretaría Distrital de Hacienda y el Concejo de Bogotá</v>
      </c>
      <c r="H40" s="434" t="s">
        <v>1776</v>
      </c>
      <c r="I40" s="434" t="s">
        <v>1713</v>
      </c>
      <c r="J40" s="443" t="s">
        <v>909</v>
      </c>
      <c r="K40" s="444"/>
      <c r="L40" s="444" t="s">
        <v>590</v>
      </c>
      <c r="M40" s="445"/>
      <c r="N40" s="444"/>
      <c r="O40" s="446"/>
      <c r="P40" s="446"/>
      <c r="Q40" s="446"/>
      <c r="R40" s="447"/>
      <c r="S40" s="447"/>
      <c r="T40" s="448"/>
      <c r="U40" s="450" t="str">
        <f>IF(ISERROR(VLOOKUP(T40,'Base de Datos'!$E$7:$AR$302,3,0))=TRUE," ",(VLOOKUP(T40,'Base de Datos'!$E$7:$AR$302,2,0)))</f>
        <v xml:space="preserve"> </v>
      </c>
      <c r="V40" s="453" t="str">
        <f>IF(ISERROR(VLOOKUP(T40,'Base de Datos'!$E$7:$AR$302,5,0))=TRUE," ",(VLOOKUP(T40,'Base de Datos'!$E$7:$AR$302,5,0)))</f>
        <v xml:space="preserve"> </v>
      </c>
      <c r="W40" s="450" t="str">
        <f>IF(ISERROR(VLOOKUP(T40,'Base de Datos'!$E$7:$AR$302,19,0))=TRUE," ",(VLOOKUP(T40,'Base de Datos'!$E$7:$AR$302,19,0)))</f>
        <v xml:space="preserve"> </v>
      </c>
      <c r="X40" s="455" t="str">
        <f>IF(ISERROR(VLOOKUP(T40,'Base de Datos'!$E$7:$AR$302,8,0))=TRUE," ",(VLOOKUP(T40,'Base de Datos'!$E$7:$AR$302,8,0)))</f>
        <v xml:space="preserve"> </v>
      </c>
      <c r="Y40" s="455" t="str">
        <f>IF(ISERROR(VLOOKUP(T40,'Base de Datos'!$E$7:$AR$302,9,0))=TRUE," ",(VLOOKUP(T40,'Base de Datos'!$E$7:$AR$302,9,0)))</f>
        <v xml:space="preserve"> </v>
      </c>
      <c r="Z40" s="449" t="str">
        <f>IF(ISERROR(VLOOKUP(T40,'Base de Datos'!$E$7:$AR$302,10,0))=TRUE," ",(VLOOKUP(T40,'Base de Datos'!$E$7:$AR$302,10,0)))</f>
        <v xml:space="preserve"> </v>
      </c>
      <c r="AA40" s="452" t="str">
        <f>IF(ISERROR(VLOOKUP(T40,'Base de Datos'!$E$7:$AR$302,11,0))=TRUE," ",(VLOOKUP(T40,'Base de Datos'!$E$7:$AR$302,11,0)))</f>
        <v xml:space="preserve"> </v>
      </c>
      <c r="AB40" s="449" t="str">
        <f>IF(ISERROR(VLOOKUP(T40,'Base de Datos'!$E$7:$AR$302,12,0))=TRUE," ",(VLOOKUP(T40,'Base de Datos'!$E$7:$AR$302,12,0)))</f>
        <v xml:space="preserve"> </v>
      </c>
      <c r="AC40" s="449" t="str">
        <f>IF(ISERROR(VLOOKUP(T40,'Base de Datos'!$E$7:$AR$302,12,0))=TRUE," ",(VLOOKUP(T40,'Base de Datos'!$E$7:$AR$302,12,0)))</f>
        <v xml:space="preserve"> </v>
      </c>
      <c r="AD40" s="455" t="str">
        <f>IF(ISERROR(VLOOKUP(T40,'Base de Datos'!$E$7:$AR$302,15,0))=TRUE," ",(VLOOKUP(T40,'Base de Datos'!$E$7:$AR$302,15,0)))</f>
        <v xml:space="preserve"> </v>
      </c>
      <c r="AE40" s="460" t="str">
        <f>IF(ISERROR(VLOOKUP(T40,'Base de Datos'!$E$7:$AR$302,16,0))=TRUE," ",(VLOOKUP(T40,'Base de Datos'!$E$7:$AR$302,16,0)))</f>
        <v xml:space="preserve"> </v>
      </c>
      <c r="AF40" s="460" t="str">
        <f>IF(ISERROR(VLOOKUP(T40,'Base de Datos'!$E$7:$AR$302,17,0))=TRUE," ",(VLOOKUP(T40,'Base de Datos'!$E$7:$AR$302,17,0)))</f>
        <v xml:space="preserve"> </v>
      </c>
      <c r="AG40" s="460" t="str">
        <f>IF(ISERROR(VLOOKUP(T40,'Base de Datos'!$E$7:$AR$302,18,0))=TRUE," ",(VLOOKUP(T40,'Base de Datos'!$E$7:$AR$302,18,0)))</f>
        <v xml:space="preserve"> </v>
      </c>
      <c r="AH40" s="461" t="str">
        <f>IF(ISERROR(VLOOKUP(T40,'Base de Datos'!$E$7:$AR$302,20,0))=TRUE," ",(VLOOKUP(T40,'Base de Datos'!$E$7:$AR$302,20,0)))</f>
        <v xml:space="preserve"> </v>
      </c>
      <c r="AI40" s="461" t="str">
        <f>IF(ISERROR(VLOOKUP(T40,'Base de Datos'!$E$7:$AR$302,21,0))=TRUE," ",(VLOOKUP(T40,'Base de Datos'!$E$7:$AR$302,21,0)))</f>
        <v xml:space="preserve"> </v>
      </c>
      <c r="AJ40" s="450"/>
      <c r="AK40" s="450" t="str">
        <f>IF(ISERROR(VLOOKUP(D40,'Base de Datos'!$C$7:$AR$400,2,0))=TRUE," ",(VLOOKUP(D40,'Base de Datos'!$C$7:$AR$400,2,0)))</f>
        <v xml:space="preserve"> </v>
      </c>
      <c r="AL40" s="450" t="str">
        <f>IF(ISERROR(VLOOKUP(D40,'Base de Datos'!$C$7:$AR$400,3,0))=TRUE," ",(VLOOKUP(D40,'Base de Datos'!$C$7:$AR$400,3,0)))</f>
        <v xml:space="preserve"> </v>
      </c>
      <c r="AM40" s="453" t="e">
        <f>IF(ISERROR(VLOOKUP(D40,'Base de Datos'!$C$7:$AR$3761,6,0))=TRUE," ",(VLOOKUP(D40,'Base de Datos'!$C$7:$AR$400,6,0)))</f>
        <v>#N/A</v>
      </c>
      <c r="AN40" s="453" t="str">
        <f>IF(ISERROR(VLOOKUP(D40,'Base de Datos'!$C$7:$AR$400,20,0))=TRUE," ",(VLOOKUP(D40,'Base de Datos'!$C$7:$AR$400,19,0)))</f>
        <v xml:space="preserve"> </v>
      </c>
      <c r="AO40" s="456" t="str">
        <f>IF(ISERROR(VLOOKUP(D40,'Base de Datos'!$C$7:$AR$400,9,0))=TRUE," ",(VLOOKUP(D40,'Base de Datos'!$C$7:$AR$400,9,0)))</f>
        <v xml:space="preserve"> </v>
      </c>
      <c r="AP40" s="456" t="str">
        <f>IF(ISERROR(VLOOKUP(D40,'Base de Datos'!$C$7:$AR$400,10,0))=TRUE," ",(VLOOKUP(D40,'Base de Datos'!$C$7:$AR$400,10,0)))</f>
        <v xml:space="preserve"> </v>
      </c>
      <c r="AQ40" s="458" t="str">
        <f>IF(ISERROR(VLOOKUP(D40,'Base de Datos'!$C$7:$AR$400,11,0))=TRUE," ",(VLOOKUP(D40,'Base de Datos'!$C$7:$AR$400,11,0)))</f>
        <v xml:space="preserve"> </v>
      </c>
      <c r="AR40" s="459" t="str">
        <f>IF(ISERROR(VLOOKUP(D40,'Base de Datos'!$C$7:$AR$400,12,0))=TRUE," ",(VLOOKUP(D40,'Base de Datos'!$C$7:$AR$400,12,0)))</f>
        <v xml:space="preserve"> </v>
      </c>
      <c r="AS40" s="458" t="str">
        <f>IF(ISERROR(VLOOKUP(D40,'Base de Datos'!$C$7:$AR$400,13,0))=TRUE," ",(VLOOKUP(D40,'Base de Datos'!$C$7:$AR$400,13,0)))</f>
        <v xml:space="preserve"> </v>
      </c>
      <c r="AT40" s="458" t="str">
        <f>IF(ISERROR(VLOOKUP(D40,'Base de Datos'!$C$7:$AR$400,14,0))=TRUE," ",(VLOOKUP(D40,'Base de Datos'!$C$7:$AR$400,14,0)))</f>
        <v xml:space="preserve"> </v>
      </c>
      <c r="AU40" s="456" t="str">
        <f>IF(ISERROR(VLOOKUP(D40,'Base de Datos'!$C$7:$AR$400,16,0))=TRUE," ",(VLOOKUP(D40,'Base de Datos'!$C$7:$AR$400,16,0)))</f>
        <v xml:space="preserve"> </v>
      </c>
      <c r="AV40" s="460" t="str">
        <f>IF(ISERROR(VLOOKUP(D40,'Base de Datos'!$C$7:$AR$400,17,0))=TRUE," ",(VLOOKUP(D40,'Base de Datos'!$C$7:$AR$400,17,0)))</f>
        <v xml:space="preserve"> </v>
      </c>
      <c r="AW40" s="460" t="str">
        <f>IF(ISERROR(VLOOKUP(D40,'Base de Datos'!$C$7:$AR$400,18,0))=TRUE," ",(VLOOKUP(D40,'Base de Datos'!$C$7:$AR$400,18,0)))</f>
        <v xml:space="preserve"> </v>
      </c>
      <c r="AX40" s="460" t="str">
        <f>IF(ISERROR(VLOOKUP(D40,'Base de Datos'!$C$7:$AR$400,19,0))=TRUE," ",(VLOOKUP(D40,'Base de Datos'!$C$7:$AR$400,19,0)))</f>
        <v xml:space="preserve"> </v>
      </c>
      <c r="AY40" s="463" t="str">
        <f>IF(ISERROR(VLOOKUP(D40,'Base de Datos'!$C$7:$AR$400,21,0))=TRUE," ",(VLOOKUP(D40,'Base de Datos'!$C$7:$AR$400,21,0)))</f>
        <v xml:space="preserve"> </v>
      </c>
      <c r="AZ40" s="463" t="str">
        <f>IF(ISERROR(VLOOKUP(D40,'Base de Datos'!$C$7:$AR$400,22,0))=TRUE," ",(VLOOKUP(D40,'Base de Datos'!$C$7:$AR$400,22,0)))</f>
        <v xml:space="preserve"> </v>
      </c>
      <c r="BA40" s="470"/>
      <c r="BB40" s="480"/>
    </row>
    <row r="41" spans="2:54" ht="55.5" hidden="1" customHeight="1" x14ac:dyDescent="0.25">
      <c r="B41" s="433">
        <v>34</v>
      </c>
      <c r="C41" s="441" t="s">
        <v>1642</v>
      </c>
      <c r="D41" s="433">
        <v>164</v>
      </c>
      <c r="E41" s="441" t="s">
        <v>1649</v>
      </c>
      <c r="F41" s="442">
        <f>VLOOKUP(D41,'Presupuesto - PAA 2015'!$B$10:$E$265,4,0)</f>
        <v>3415000</v>
      </c>
      <c r="G41" s="434" t="str">
        <f>VLOOKUP(D41,'[4]Seguimiento Plan'!$C$2:$R$101,16,0)</f>
        <v>Prestar los servicios de mantenimiento preventivo para los vehículos de la Secretaría de Hacienda y del Concejo de Bogotá.-</v>
      </c>
      <c r="H41" s="434" t="s">
        <v>1776</v>
      </c>
      <c r="I41" s="434" t="s">
        <v>1710</v>
      </c>
      <c r="J41" s="443" t="s">
        <v>909</v>
      </c>
      <c r="K41" s="444" t="s">
        <v>390</v>
      </c>
      <c r="L41" s="444" t="str">
        <f>VLOOKUP(D41,'[4]Seguimiento Plan'!$C$2:$AJ$101,30,0)</f>
        <v>SI</v>
      </c>
      <c r="M41" s="445">
        <f>VLOOKUP(D41,'[4]Seguimiento Plan'!$C$2:$AJ$101,31,0)</f>
        <v>42025</v>
      </c>
      <c r="N41" s="444"/>
      <c r="O41" s="446"/>
      <c r="P41" s="446"/>
      <c r="Q41" s="446"/>
      <c r="R41" s="447" t="s">
        <v>1945</v>
      </c>
      <c r="S41" s="465" t="s">
        <v>1944</v>
      </c>
      <c r="T41" s="448"/>
      <c r="U41" s="450" t="str">
        <f>IF(ISERROR(VLOOKUP(T41,'Base de Datos'!$E$7:$AR$302,3,0))=TRUE," ",(VLOOKUP(T41,'Base de Datos'!$E$7:$AR$302,2,0)))</f>
        <v xml:space="preserve"> </v>
      </c>
      <c r="V41" s="453" t="str">
        <f>IF(ISERROR(VLOOKUP(T41,'Base de Datos'!$E$7:$AR$302,5,0))=TRUE," ",(VLOOKUP(T41,'Base de Datos'!$E$7:$AR$302,5,0)))</f>
        <v xml:space="preserve"> </v>
      </c>
      <c r="W41" s="450" t="str">
        <f>IF(ISERROR(VLOOKUP(T41,'Base de Datos'!$E$7:$AR$302,19,0))=TRUE," ",(VLOOKUP(T41,'Base de Datos'!$E$7:$AR$302,19,0)))</f>
        <v xml:space="preserve"> </v>
      </c>
      <c r="X41" s="455" t="str">
        <f>IF(ISERROR(VLOOKUP(T41,'Base de Datos'!$E$7:$AR$302,8,0))=TRUE," ",(VLOOKUP(T41,'Base de Datos'!$E$7:$AR$302,8,0)))</f>
        <v xml:space="preserve"> </v>
      </c>
      <c r="Y41" s="455" t="str">
        <f>IF(ISERROR(VLOOKUP(T41,'Base de Datos'!$E$7:$AR$302,9,0))=TRUE," ",(VLOOKUP(T41,'Base de Datos'!$E$7:$AR$302,9,0)))</f>
        <v xml:space="preserve"> </v>
      </c>
      <c r="Z41" s="449" t="str">
        <f>IF(ISERROR(VLOOKUP(T41,'Base de Datos'!$E$7:$AR$302,10,0))=TRUE," ",(VLOOKUP(T41,'Base de Datos'!$E$7:$AR$302,10,0)))</f>
        <v xml:space="preserve"> </v>
      </c>
      <c r="AA41" s="452" t="str">
        <f>IF(ISERROR(VLOOKUP(T41,'Base de Datos'!$E$7:$AR$302,11,0))=TRUE," ",(VLOOKUP(T41,'Base de Datos'!$E$7:$AR$302,11,0)))</f>
        <v xml:space="preserve"> </v>
      </c>
      <c r="AB41" s="449" t="str">
        <f>IF(ISERROR(VLOOKUP(T41,'Base de Datos'!$E$7:$AR$302,12,0))=TRUE," ",(VLOOKUP(T41,'Base de Datos'!$E$7:$AR$302,12,0)))</f>
        <v xml:space="preserve"> </v>
      </c>
      <c r="AC41" s="449" t="str">
        <f>IF(ISERROR(VLOOKUP(T41,'Base de Datos'!$E$7:$AR$302,12,0))=TRUE," ",(VLOOKUP(T41,'Base de Datos'!$E$7:$AR$302,12,0)))</f>
        <v xml:space="preserve"> </v>
      </c>
      <c r="AD41" s="455" t="str">
        <f>IF(ISERROR(VLOOKUP(T41,'Base de Datos'!$E$7:$AR$302,15,0))=TRUE," ",(VLOOKUP(T41,'Base de Datos'!$E$7:$AR$302,15,0)))</f>
        <v xml:space="preserve"> </v>
      </c>
      <c r="AE41" s="460" t="str">
        <f>IF(ISERROR(VLOOKUP(T41,'Base de Datos'!$E$7:$AR$302,16,0))=TRUE," ",(VLOOKUP(T41,'Base de Datos'!$E$7:$AR$302,16,0)))</f>
        <v xml:space="preserve"> </v>
      </c>
      <c r="AF41" s="460" t="str">
        <f>IF(ISERROR(VLOOKUP(T41,'Base de Datos'!$E$7:$AR$302,17,0))=TRUE," ",(VLOOKUP(T41,'Base de Datos'!$E$7:$AR$302,17,0)))</f>
        <v xml:space="preserve"> </v>
      </c>
      <c r="AG41" s="460" t="str">
        <f>IF(ISERROR(VLOOKUP(T41,'Base de Datos'!$E$7:$AR$302,18,0))=TRUE," ",(VLOOKUP(T41,'Base de Datos'!$E$7:$AR$302,18,0)))</f>
        <v xml:space="preserve"> </v>
      </c>
      <c r="AH41" s="461" t="str">
        <f>IF(ISERROR(VLOOKUP(T41,'Base de Datos'!$E$7:$AR$302,20,0))=TRUE," ",(VLOOKUP(T41,'Base de Datos'!$E$7:$AR$302,20,0)))</f>
        <v xml:space="preserve"> </v>
      </c>
      <c r="AI41" s="461" t="str">
        <f>IF(ISERROR(VLOOKUP(T41,'Base de Datos'!$E$7:$AR$302,21,0))=TRUE," ",(VLOOKUP(T41,'Base de Datos'!$E$7:$AR$302,21,0)))</f>
        <v xml:space="preserve"> </v>
      </c>
      <c r="AJ41" s="450"/>
      <c r="AK41" s="450" t="str">
        <f>IF(ISERROR(VLOOKUP(D41,'Base de Datos'!$C$7:$AR$400,2,0))=TRUE," ",(VLOOKUP(D41,'Base de Datos'!$C$7:$AR$400,2,0)))</f>
        <v>2015164</v>
      </c>
      <c r="AL41" s="450" t="str">
        <f>IF(ISERROR(VLOOKUP(D41,'Base de Datos'!$C$7:$AR$400,3,0))=TRUE," ",(VLOOKUP(D41,'Base de Datos'!$C$7:$AR$400,3,0)))</f>
        <v>150358-0-2015</v>
      </c>
      <c r="AM41" s="453" t="str">
        <f>IF(ISERROR(VLOOKUP(D41,'Base de Datos'!$C$7:$AR$3761,6,0))=TRUE," ",(VLOOKUP(D41,'Base de Datos'!$C$7:$AR$400,6,0)))</f>
        <v>Prestar el servicio de mantenimiento periódico preventivo del parque automotor al servicio del Concejo de Bogotá D.C., de conformidad con lo establecido en la presente invitación pública.</v>
      </c>
      <c r="AN41" s="453">
        <f>IF(ISERROR(VLOOKUP(D41,'Base de Datos'!$C$7:$AR$400,20,0))=TRUE," ",(VLOOKUP(D41,'Base de Datos'!$C$7:$AR$400,19,0)))</f>
        <v>28805000</v>
      </c>
      <c r="AO41" s="456">
        <f>IF(ISERROR(VLOOKUP(D41,'Base de Datos'!$C$7:$AR$400,9,0))=TRUE," ",(VLOOKUP(D41,'Base de Datos'!$C$7:$AR$400,9,0)))</f>
        <v>2015</v>
      </c>
      <c r="AP41" s="456">
        <f>IF(ISERROR(VLOOKUP(D41,'Base de Datos'!$C$7:$AR$400,10,0))=TRUE," ",(VLOOKUP(D41,'Base de Datos'!$C$7:$AR$400,10,0)))</f>
        <v>42268</v>
      </c>
      <c r="AQ41" s="458">
        <f>IF(ISERROR(VLOOKUP(D41,'Base de Datos'!$C$7:$AR$400,11,0))=TRUE," ",(VLOOKUP(D41,'Base de Datos'!$C$7:$AR$400,11,0)))</f>
        <v>42296</v>
      </c>
      <c r="AR41" s="459">
        <f>IF(ISERROR(VLOOKUP(D41,'Base de Datos'!$C$7:$AR$400,12,0))=TRUE," ",(VLOOKUP(D41,'Base de Datos'!$C$7:$AR$400,12,0)))</f>
        <v>42662</v>
      </c>
      <c r="AS41" s="458">
        <f>IF(ISERROR(VLOOKUP(D41,'Base de Datos'!$C$7:$AR$400,13,0))=TRUE," ",(VLOOKUP(D41,'Base de Datos'!$C$7:$AR$400,13,0)))</f>
        <v>0</v>
      </c>
      <c r="AT41" s="458">
        <f>IF(ISERROR(VLOOKUP(D41,'Base de Datos'!$C$7:$AR$400,14,0))=TRUE," ",(VLOOKUP(D41,'Base de Datos'!$C$7:$AR$400,14,0)))</f>
        <v>0</v>
      </c>
      <c r="AU41" s="456" t="str">
        <f>IF(ISERROR(VLOOKUP(D41,'Base de Datos'!$C$7:$AR$400,16,0))=TRUE," ",(VLOOKUP(D41,'Base de Datos'!$C$7:$AR$400,16,0)))</f>
        <v>2 meses     12 días calendario</v>
      </c>
      <c r="AV41" s="460">
        <f>IF(ISERROR(VLOOKUP(D41,'Base de Datos'!$C$7:$AR$400,17,0))=TRUE," ",(VLOOKUP(D41,'Base de Datos'!$C$7:$AR$400,17,0)))</f>
        <v>42735</v>
      </c>
      <c r="AW41" s="460">
        <f>IF(ISERROR(VLOOKUP(D41,'Base de Datos'!$C$7:$AR$400,18,0))=TRUE," ",(VLOOKUP(D41,'Base de Datos'!$C$7:$AR$400,18,0)))</f>
        <v>42735</v>
      </c>
      <c r="AX41" s="460">
        <f>IF(ISERROR(VLOOKUP(D41,'Base de Datos'!$C$7:$AR$400,19,0))=TRUE," ",(VLOOKUP(D41,'Base de Datos'!$C$7:$AR$400,19,0)))</f>
        <v>28805000</v>
      </c>
      <c r="AY41" s="463">
        <f>IF(ISERROR(VLOOKUP(D41,'Base de Datos'!$C$7:$AR$400,21,0))=TRUE," ",(VLOOKUP(D41,'Base de Datos'!$C$7:$AR$400,21,0)))</f>
        <v>16510251</v>
      </c>
      <c r="AZ41" s="463" t="str">
        <f>IF(ISERROR(VLOOKUP(D41,'Base de Datos'!$C$7:$AR$400,22,0))=TRUE," ",(VLOOKUP(D41,'Base de Datos'!$C$7:$AR$400,22,0)))</f>
        <v>Pagos mensuales de acuerdo a los servicios e insumos efectivamente prestados</v>
      </c>
      <c r="BA41" s="470"/>
      <c r="BB41" s="480"/>
    </row>
    <row r="42" spans="2:54" ht="55.5" hidden="1" customHeight="1" x14ac:dyDescent="0.25">
      <c r="B42" s="433">
        <v>35</v>
      </c>
      <c r="C42" s="441" t="s">
        <v>1642</v>
      </c>
      <c r="D42" s="433">
        <v>165</v>
      </c>
      <c r="E42" s="441" t="s">
        <v>1650</v>
      </c>
      <c r="F42" s="442">
        <f>VLOOKUP(D42,'Presupuesto - PAA 2015'!$B$10:$E$265,4,0)</f>
        <v>133000000</v>
      </c>
      <c r="G42" s="434" t="str">
        <f>VLOOKUP(D42,'[4]Seguimiento Plan'!$C$2:$R$101,16,0)</f>
        <v>Prestar los servicios integrales de aseo y cafetería y servicio de fumigación para las instalaciones de la Secretaría Distrital de Hacienda de Bogotá, D.C., zonas comunes del Centro Administrativo Distrital - CAD y del Concejo de Bogotá D.C</v>
      </c>
      <c r="H42" s="434" t="s">
        <v>1776</v>
      </c>
      <c r="I42" s="434" t="s">
        <v>1710</v>
      </c>
      <c r="J42" s="443" t="s">
        <v>1734</v>
      </c>
      <c r="K42" s="444" t="s">
        <v>390</v>
      </c>
      <c r="L42" s="444" t="str">
        <f>VLOOKUP(D42,'[4]Seguimiento Plan'!$C$2:$AJ$101,30,0)</f>
        <v>SI</v>
      </c>
      <c r="M42" s="445">
        <f>VLOOKUP(D42,'[4]Seguimiento Plan'!$C$2:$AJ$101,31,0)</f>
        <v>42009</v>
      </c>
      <c r="N42" s="444"/>
      <c r="O42" s="446"/>
      <c r="P42" s="446"/>
      <c r="Q42" s="466">
        <v>42079</v>
      </c>
      <c r="R42" s="525"/>
      <c r="S42" s="465" t="s">
        <v>1759</v>
      </c>
      <c r="T42" s="343" t="s">
        <v>287</v>
      </c>
      <c r="U42" s="450" t="str">
        <f>IF(ISERROR(VLOOKUP(T42,'Base de Datos'!$E$7:$AR$302,3,0))=TRUE," ",(VLOOKUP(T42,'Base de Datos'!$E$7:$AR$302,2,0)))</f>
        <v xml:space="preserve">UNIÓN TEMPORAL EMINSER-SOLOASEO </v>
      </c>
      <c r="V42" s="453">
        <f>IF(ISERROR(VLOOKUP(T42,'Base de Datos'!$E$7:$AR$302,5,0))=TRUE," ",(VLOOKUP(T42,'Base de Datos'!$E$7:$AR$302,5,0)))</f>
        <v>337487000</v>
      </c>
      <c r="W42" s="450">
        <f>IF(ISERROR(VLOOKUP(T42,'Base de Datos'!$E$7:$AR$302,19,0))=TRUE," ",(VLOOKUP(T42,'Base de Datos'!$E$7:$AR$302,19,0)))</f>
        <v>2</v>
      </c>
      <c r="X42" s="455" t="str">
        <f>IF(ISERROR(VLOOKUP(T42,'Base de Datos'!$E$7:$AR$302,8,0))=TRUE," ",(VLOOKUP(T42,'Base de Datos'!$E$7:$AR$302,8,0)))</f>
        <v xml:space="preserve"> </v>
      </c>
      <c r="Y42" s="455">
        <f>IF(ISERROR(VLOOKUP(T42,'Base de Datos'!$E$7:$AR$302,9,0))=TRUE," ",(VLOOKUP(T42,'Base de Datos'!$E$7:$AR$302,9,0)))</f>
        <v>41811</v>
      </c>
      <c r="Z42" s="449">
        <f>IF(ISERROR(VLOOKUP(T42,'Base de Datos'!$E$7:$AR$302,10,0))=TRUE," ",(VLOOKUP(T42,'Base de Datos'!$E$7:$AR$302,10,0)))</f>
        <v>42130</v>
      </c>
      <c r="AA42" s="452">
        <f>IF(ISERROR(VLOOKUP(T42,'Base de Datos'!$E$7:$AR$302,11,0))=TRUE," ",(VLOOKUP(T42,'Base de Datos'!$E$7:$AR$302,11,0)))</f>
        <v>0</v>
      </c>
      <c r="AB42" s="449">
        <f>IF(ISERROR(VLOOKUP(T42,'Base de Datos'!$E$7:$AR$302,12,0))=TRUE," ",(VLOOKUP(T42,'Base de Datos'!$E$7:$AR$302,12,0)))</f>
        <v>0</v>
      </c>
      <c r="AC42" s="449">
        <f>IF(ISERROR(VLOOKUP(T42,'Base de Datos'!$E$7:$AR$302,12,0))=TRUE," ",(VLOOKUP(T42,'Base de Datos'!$E$7:$AR$302,12,0)))</f>
        <v>0</v>
      </c>
      <c r="AD42" s="455">
        <f>IF(ISERROR(VLOOKUP(T42,'Base de Datos'!$E$7:$AR$302,15,0))=TRUE," ",(VLOOKUP(T42,'Base de Datos'!$E$7:$AR$302,15,0)))</f>
        <v>42186</v>
      </c>
      <c r="AE42" s="460">
        <f>IF(ISERROR(VLOOKUP(T42,'Base de Datos'!$E$7:$AR$302,16,0))=TRUE," ",(VLOOKUP(T42,'Base de Datos'!$E$7:$AR$302,16,0)))</f>
        <v>42186</v>
      </c>
      <c r="AF42" s="460">
        <f>IF(ISERROR(VLOOKUP(T42,'Base de Datos'!$E$7:$AR$302,17,0))=TRUE," ",(VLOOKUP(T42,'Base de Datos'!$E$7:$AR$302,17,0)))</f>
        <v>337487000</v>
      </c>
      <c r="AG42" s="460">
        <f>IF(ISERROR(VLOOKUP(T42,'Base de Datos'!$E$7:$AR$302,18,0))=TRUE," ",(VLOOKUP(T42,'Base de Datos'!$E$7:$AR$302,18,0)))</f>
        <v>337486998</v>
      </c>
      <c r="AH42" s="461" t="str">
        <f>IF(ISERROR(VLOOKUP(T42,'Base de Datos'!$E$7:$AR$302,20,0))=TRUE," ",(VLOOKUP(T42,'Base de Datos'!$E$7:$AR$302,20,0)))</f>
        <v xml:space="preserve">Las Entidades efectuarán los pagos correspondiente a los servicios prestados por mensualidades vencidas de acuerdo con los servicios prestados y elementos suministrados dentro del período, previa presentación de las facturas respectivas y aprobación de las mismas por parte del supervisor del contrato, acompañadas de las correspondientes certificaciones de cumplimiento a satisfacción expedidas por el mismo en las cuales conste el valor a pagar por el contratista. El primer pago se deberá facturar por los días de servicio prestados del primer mes, los siguientes serán por mensualidades vencidas, de acuerdo a los bienes y servicios prestados
EJEMPLOS
Pago Anticipado del   ____% (NO aplica a Prestación de servicios)
Anticipo del          ____% (NO aplica a Prestación de servicios)
Pagos parciales del   ____% contra entregas parciales
                ____% contra entrega final a satisfacción y firma del acta de liquidación.
En todo caso,  un anticipo o el pago anticipado no podrá ser superior al 50% del valor del contrato.
Los pagos se efectuarán dentro de los diez (10) días hábiles  siguientes a la radicación en la Subdirección Financiera de la certificación de cumplimiento a satisfacción del objeto y obligaciones, expedida por el interventor del contrato, acompañada de los respectivos recibos de pago por concepto de aportes al Sistema de Seguridad Social Integral en Salud y Pensión, aportes parafiscales: Sena, ICBF y Cajas de Compensación Familiar, cuando corresponda.
</v>
      </c>
      <c r="AI42" s="461">
        <f>IF(ISERROR(VLOOKUP(T42,'Base de Datos'!$E$7:$AR$302,21,0))=TRUE," ",(VLOOKUP(T42,'Base de Datos'!$E$7:$AR$302,21,0)))</f>
        <v>0.99999999407384577</v>
      </c>
      <c r="AJ42" s="450"/>
      <c r="AK42" s="450" t="str">
        <f>IF(ISERROR(VLOOKUP(D42,'Base de Datos'!$C$7:$AR$400,2,0))=TRUE," ",(VLOOKUP(D42,'Base de Datos'!$C$7:$AR$400,2,0)))</f>
        <v>2015165</v>
      </c>
      <c r="AL42" s="450" t="str">
        <f>IF(ISERROR(VLOOKUP(D42,'Base de Datos'!$C$7:$AR$400,3,0))=TRUE," ",(VLOOKUP(D42,'Base de Datos'!$C$7:$AR$400,3,0)))</f>
        <v>150265-0-2015</v>
      </c>
      <c r="AM42" s="453" t="str">
        <f>IF(ISERROR(VLOOKUP(D42,'Base de Datos'!$C$7:$AR$3761,6,0))=TRUE," ",(VLOOKUP(D42,'Base de Datos'!$C$7:$AR$400,6,0)))</f>
        <v>Prestar los servicios integrales de aseo y cafetería y el servicio integral de fumigación para las instalaciones del Concejo de Bogotá, D.C. y en los inmuebles por los que la Entidad sea legalmente responsable, de conformidad con lo establecido en el pliego de condiciones del proceso de Subasta Inversa Electrónica No. SDH-SIE-05-2015 y la propuesta presentada por el contratista.</v>
      </c>
      <c r="AN42" s="453">
        <f>IF(ISERROR(VLOOKUP(D42,'Base de Datos'!$C$7:$AR$400,20,0))=TRUE," ",(VLOOKUP(D42,'Base de Datos'!$C$7:$AR$400,19,0)))</f>
        <v>434000000</v>
      </c>
      <c r="AO42" s="456">
        <f>IF(ISERROR(VLOOKUP(D42,'Base de Datos'!$C$7:$AR$400,9,0))=TRUE," ",(VLOOKUP(D42,'Base de Datos'!$C$7:$AR$400,9,0)))</f>
        <v>2015</v>
      </c>
      <c r="AP42" s="456">
        <f>IF(ISERROR(VLOOKUP(D42,'Base de Datos'!$C$7:$AR$400,10,0))=TRUE," ",(VLOOKUP(D42,'Base de Datos'!$C$7:$AR$400,10,0)))</f>
        <v>42174</v>
      </c>
      <c r="AQ42" s="458">
        <f>IF(ISERROR(VLOOKUP(D42,'Base de Datos'!$C$7:$AR$400,11,0))=TRUE," ",(VLOOKUP(D42,'Base de Datos'!$C$7:$AR$400,11,0)))</f>
        <v>42187</v>
      </c>
      <c r="AR42" s="459">
        <f>IF(ISERROR(VLOOKUP(D42,'Base de Datos'!$C$7:$AR$400,12,0))=TRUE," ",(VLOOKUP(D42,'Base de Datos'!$C$7:$AR$400,12,0)))</f>
        <v>42492</v>
      </c>
      <c r="AS42" s="458">
        <f>IF(ISERROR(VLOOKUP(D42,'Base de Datos'!$C$7:$AR$400,13,0))=TRUE," ",(VLOOKUP(D42,'Base de Datos'!$C$7:$AR$400,13,0)))</f>
        <v>2</v>
      </c>
      <c r="AT42" s="458">
        <f>IF(ISERROR(VLOOKUP(D42,'Base de Datos'!$C$7:$AR$400,14,0))=TRUE," ",(VLOOKUP(D42,'Base de Datos'!$C$7:$AR$400,14,0)))</f>
        <v>92000000</v>
      </c>
      <c r="AU42" s="456" t="str">
        <f>IF(ISERROR(VLOOKUP(D42,'Base de Datos'!$C$7:$AR$400,16,0))=TRUE," ",(VLOOKUP(D42,'Base de Datos'!$C$7:$AR$400,16,0)))</f>
        <v>7 meses          23 días</v>
      </c>
      <c r="AV42" s="460">
        <f>IF(ISERROR(VLOOKUP(D42,'Base de Datos'!$C$7:$AR$400,17,0))=TRUE," ",(VLOOKUP(D42,'Base de Datos'!$C$7:$AR$400,17,0)))</f>
        <v>42728</v>
      </c>
      <c r="AW42" s="460">
        <f>IF(ISERROR(VLOOKUP(D42,'Base de Datos'!$C$7:$AR$400,18,0))=TRUE," ",(VLOOKUP(D42,'Base de Datos'!$C$7:$AR$400,18,0)))</f>
        <v>42728</v>
      </c>
      <c r="AX42" s="460">
        <f>IF(ISERROR(VLOOKUP(D42,'Base de Datos'!$C$7:$AR$400,19,0))=TRUE," ",(VLOOKUP(D42,'Base de Datos'!$C$7:$AR$400,19,0)))</f>
        <v>434000000</v>
      </c>
      <c r="AY42" s="463">
        <f>IF(ISERROR(VLOOKUP(D42,'Base de Datos'!$C$7:$AR$400,21,0))=TRUE," ",(VLOOKUP(D42,'Base de Datos'!$C$7:$AR$400,21,0)))</f>
        <v>59275152</v>
      </c>
      <c r="AZ42" s="463">
        <f>IF(ISERROR(VLOOKUP(D42,'Base de Datos'!$C$7:$AR$400,22,0))=TRUE," ",(VLOOKUP(D42,'Base de Datos'!$C$7:$AR$400,22,0)))</f>
        <v>0</v>
      </c>
      <c r="BA42" s="470"/>
      <c r="BB42" s="480"/>
    </row>
    <row r="43" spans="2:54" ht="55.5" hidden="1" customHeight="1" x14ac:dyDescent="0.25">
      <c r="B43" s="433">
        <v>36</v>
      </c>
      <c r="C43" s="441" t="s">
        <v>1642</v>
      </c>
      <c r="D43" s="433">
        <v>166</v>
      </c>
      <c r="E43" s="441" t="s">
        <v>1650</v>
      </c>
      <c r="F43" s="442">
        <f>VLOOKUP(D43,'Presupuesto - PAA 2015'!$B$10:$E$265,4,0)</f>
        <v>5000000</v>
      </c>
      <c r="G43" s="434" t="str">
        <f>VLOOKUP(D43,'[4]Seguimiento Plan'!$C$2:$R$101,16,0)</f>
        <v>Suministro de elementos para protección y embalaje de documentos para la Secretaria Distrital de Hacienda y del Concejo de Bogotá</v>
      </c>
      <c r="H43" s="434" t="s">
        <v>1776</v>
      </c>
      <c r="I43" s="434" t="s">
        <v>1713</v>
      </c>
      <c r="J43" s="443" t="s">
        <v>909</v>
      </c>
      <c r="K43" s="444" t="s">
        <v>390</v>
      </c>
      <c r="L43" s="444" t="str">
        <f>VLOOKUP(D43,'[4]Seguimiento Plan'!$C$2:$AJ$101,30,0)</f>
        <v>SI</v>
      </c>
      <c r="M43" s="445">
        <f>VLOOKUP(D43,'[4]Seguimiento Plan'!$C$2:$AJ$101,31,0)</f>
        <v>42065</v>
      </c>
      <c r="N43" s="444" t="s">
        <v>1804</v>
      </c>
      <c r="O43" s="446"/>
      <c r="P43" s="446"/>
      <c r="Q43" s="446"/>
      <c r="R43" s="447"/>
      <c r="S43" s="465" t="s">
        <v>1843</v>
      </c>
      <c r="T43" s="448"/>
      <c r="U43" s="450" t="str">
        <f>IF(ISERROR(VLOOKUP(T43,'Base de Datos'!$E$7:$AR$302,3,0))=TRUE," ",(VLOOKUP(T43,'Base de Datos'!$E$7:$AR$302,2,0)))</f>
        <v xml:space="preserve"> </v>
      </c>
      <c r="V43" s="453" t="str">
        <f>IF(ISERROR(VLOOKUP(T43,'Base de Datos'!$E$7:$AR$302,5,0))=TRUE," ",(VLOOKUP(T43,'Base de Datos'!$E$7:$AR$302,5,0)))</f>
        <v xml:space="preserve"> </v>
      </c>
      <c r="W43" s="450" t="str">
        <f>IF(ISERROR(VLOOKUP(T43,'Base de Datos'!$E$7:$AR$302,19,0))=TRUE," ",(VLOOKUP(T43,'Base de Datos'!$E$7:$AR$302,19,0)))</f>
        <v xml:space="preserve"> </v>
      </c>
      <c r="X43" s="455" t="str">
        <f>IF(ISERROR(VLOOKUP(T43,'Base de Datos'!$E$7:$AR$302,8,0))=TRUE," ",(VLOOKUP(T43,'Base de Datos'!$E$7:$AR$302,8,0)))</f>
        <v xml:space="preserve"> </v>
      </c>
      <c r="Y43" s="455" t="str">
        <f>IF(ISERROR(VLOOKUP(T43,'Base de Datos'!$E$7:$AR$302,9,0))=TRUE," ",(VLOOKUP(T43,'Base de Datos'!$E$7:$AR$302,9,0)))</f>
        <v xml:space="preserve"> </v>
      </c>
      <c r="Z43" s="449" t="str">
        <f>IF(ISERROR(VLOOKUP(T43,'Base de Datos'!$E$7:$AR$302,10,0))=TRUE," ",(VLOOKUP(T43,'Base de Datos'!$E$7:$AR$302,10,0)))</f>
        <v xml:space="preserve"> </v>
      </c>
      <c r="AA43" s="452" t="str">
        <f>IF(ISERROR(VLOOKUP(T43,'Base de Datos'!$E$7:$AR$302,11,0))=TRUE," ",(VLOOKUP(T43,'Base de Datos'!$E$7:$AR$302,11,0)))</f>
        <v xml:space="preserve"> </v>
      </c>
      <c r="AB43" s="449" t="str">
        <f>IF(ISERROR(VLOOKUP(T43,'Base de Datos'!$E$7:$AR$302,12,0))=TRUE," ",(VLOOKUP(T43,'Base de Datos'!$E$7:$AR$302,12,0)))</f>
        <v xml:space="preserve"> </v>
      </c>
      <c r="AC43" s="449" t="str">
        <f>IF(ISERROR(VLOOKUP(T43,'Base de Datos'!$E$7:$AR$302,12,0))=TRUE," ",(VLOOKUP(T43,'Base de Datos'!$E$7:$AR$302,12,0)))</f>
        <v xml:space="preserve"> </v>
      </c>
      <c r="AD43" s="455" t="str">
        <f>IF(ISERROR(VLOOKUP(T43,'Base de Datos'!$E$7:$AR$302,15,0))=TRUE," ",(VLOOKUP(T43,'Base de Datos'!$E$7:$AR$302,15,0)))</f>
        <v xml:space="preserve"> </v>
      </c>
      <c r="AE43" s="460" t="str">
        <f>IF(ISERROR(VLOOKUP(T43,'Base de Datos'!$E$7:$AR$302,16,0))=TRUE," ",(VLOOKUP(T43,'Base de Datos'!$E$7:$AR$302,16,0)))</f>
        <v xml:space="preserve"> </v>
      </c>
      <c r="AF43" s="460" t="str">
        <f>IF(ISERROR(VLOOKUP(T43,'Base de Datos'!$E$7:$AR$302,17,0))=TRUE," ",(VLOOKUP(T43,'Base de Datos'!$E$7:$AR$302,17,0)))</f>
        <v xml:space="preserve"> </v>
      </c>
      <c r="AG43" s="460" t="str">
        <f>IF(ISERROR(VLOOKUP(T43,'Base de Datos'!$E$7:$AR$302,18,0))=TRUE," ",(VLOOKUP(T43,'Base de Datos'!$E$7:$AR$302,18,0)))</f>
        <v xml:space="preserve"> </v>
      </c>
      <c r="AH43" s="461" t="str">
        <f>IF(ISERROR(VLOOKUP(T43,'Base de Datos'!$E$7:$AR$302,20,0))=TRUE," ",(VLOOKUP(T43,'Base de Datos'!$E$7:$AR$302,20,0)))</f>
        <v xml:space="preserve"> </v>
      </c>
      <c r="AI43" s="461" t="str">
        <f>IF(ISERROR(VLOOKUP(T43,'Base de Datos'!$E$7:$AR$302,21,0))=TRUE," ",(VLOOKUP(T43,'Base de Datos'!$E$7:$AR$302,21,0)))</f>
        <v xml:space="preserve"> </v>
      </c>
      <c r="AJ43" s="464">
        <v>42149</v>
      </c>
      <c r="AK43" s="450" t="str">
        <f>IF(ISERROR(VLOOKUP(D43,'Base de Datos'!$C$7:$AR$400,2,0))=TRUE," ",(VLOOKUP(D43,'Base de Datos'!$C$7:$AR$400,2,0)))</f>
        <v>2015166</v>
      </c>
      <c r="AL43" s="450" t="str">
        <f>IF(ISERROR(VLOOKUP(D43,'Base de Datos'!$C$7:$AR$400,3,0))=TRUE," ",(VLOOKUP(D43,'Base de Datos'!$C$7:$AR$400,3,0)))</f>
        <v>150232-0-2015</v>
      </c>
      <c r="AM43" s="453" t="str">
        <f>IF(ISERROR(VLOOKUP(D43,'Base de Datos'!$C$7:$AR$3761,6,0))=TRUE," ",(VLOOKUP(D43,'Base de Datos'!$C$7:$AR$400,6,0)))</f>
        <v>Suministrar cajas y carpetas para el embalaje de los documentos de archivo para el Concejo de Bogotá, D.C, de conformidad con lo establecido en la presente invitación pública.</v>
      </c>
      <c r="AN43" s="453">
        <f>IF(ISERROR(VLOOKUP(D43,'Base de Datos'!$C$7:$AR$400,20,0))=TRUE," ",(VLOOKUP(D43,'Base de Datos'!$C$7:$AR$400,19,0)))</f>
        <v>5000000</v>
      </c>
      <c r="AO43" s="456">
        <f>IF(ISERROR(VLOOKUP(D43,'Base de Datos'!$C$7:$AR$400,9,0))=TRUE," ",(VLOOKUP(D43,'Base de Datos'!$C$7:$AR$400,9,0)))</f>
        <v>2015</v>
      </c>
      <c r="AP43" s="456">
        <f>IF(ISERROR(VLOOKUP(D43,'Base de Datos'!$C$7:$AR$400,10,0))=TRUE," ",(VLOOKUP(D43,'Base de Datos'!$C$7:$AR$400,10,0)))</f>
        <v>42149</v>
      </c>
      <c r="AQ43" s="458">
        <f>IF(ISERROR(VLOOKUP(D43,'Base de Datos'!$C$7:$AR$400,11,0))=TRUE," ",(VLOOKUP(D43,'Base de Datos'!$C$7:$AR$400,11,0)))</f>
        <v>42160</v>
      </c>
      <c r="AR43" s="459">
        <f>IF(ISERROR(VLOOKUP(D43,'Base de Datos'!$C$7:$AR$400,12,0))=TRUE," ",(VLOOKUP(D43,'Base de Datos'!$C$7:$AR$400,12,0)))</f>
        <v>42252</v>
      </c>
      <c r="AS43" s="458">
        <f>IF(ISERROR(VLOOKUP(D43,'Base de Datos'!$C$7:$AR$400,13,0))=TRUE," ",(VLOOKUP(D43,'Base de Datos'!$C$7:$AR$400,13,0)))</f>
        <v>0</v>
      </c>
      <c r="AT43" s="458">
        <f>IF(ISERROR(VLOOKUP(D43,'Base de Datos'!$C$7:$AR$400,14,0))=TRUE," ",(VLOOKUP(D43,'Base de Datos'!$C$7:$AR$400,14,0)))</f>
        <v>0</v>
      </c>
      <c r="AU43" s="456" t="str">
        <f>IF(ISERROR(VLOOKUP(D43,'Base de Datos'!$C$7:$AR$400,16,0))=TRUE," ",(VLOOKUP(D43,'Base de Datos'!$C$7:$AR$400,16,0)))</f>
        <v/>
      </c>
      <c r="AV43" s="460" t="str">
        <f>IF(ISERROR(VLOOKUP(D43,'Base de Datos'!$C$7:$AR$400,17,0))=TRUE," ",(VLOOKUP(D43,'Base de Datos'!$C$7:$AR$400,17,0)))</f>
        <v/>
      </c>
      <c r="AW43" s="460">
        <f>IF(ISERROR(VLOOKUP(D43,'Base de Datos'!$C$7:$AR$400,18,0))=TRUE," ",(VLOOKUP(D43,'Base de Datos'!$C$7:$AR$400,18,0)))</f>
        <v>42252</v>
      </c>
      <c r="AX43" s="460">
        <f>IF(ISERROR(VLOOKUP(D43,'Base de Datos'!$C$7:$AR$400,19,0))=TRUE," ",(VLOOKUP(D43,'Base de Datos'!$C$7:$AR$400,19,0)))</f>
        <v>5000000</v>
      </c>
      <c r="AY43" s="463">
        <f>IF(ISERROR(VLOOKUP(D43,'Base de Datos'!$C$7:$AR$400,21,0))=TRUE," ",(VLOOKUP(D43,'Base de Datos'!$C$7:$AR$400,21,0)))</f>
        <v>1510024</v>
      </c>
      <c r="AZ43" s="463" t="str">
        <f>IF(ISERROR(VLOOKUP(D43,'Base de Datos'!$C$7:$AR$400,22,0))=TRUE," ",(VLOOKUP(D43,'Base de Datos'!$C$7:$AR$400,22,0)))</f>
        <v>Pagos mensuales de acuerdo a las entregas realizadas según cronograma</v>
      </c>
      <c r="BA43" s="470"/>
      <c r="BB43" s="480"/>
    </row>
    <row r="44" spans="2:54" ht="55.5" hidden="1" customHeight="1" x14ac:dyDescent="0.25">
      <c r="B44" s="433">
        <v>37</v>
      </c>
      <c r="C44" s="441" t="s">
        <v>1642</v>
      </c>
      <c r="D44" s="433">
        <v>167</v>
      </c>
      <c r="E44" s="441" t="s">
        <v>1650</v>
      </c>
      <c r="F44" s="442">
        <f>VLOOKUP(D44,'Presupuesto - PAA 2015'!$B$10:$E$265,4,0)</f>
        <v>69400000</v>
      </c>
      <c r="G44" s="434" t="str">
        <f>VLOOKUP(D44,'[4]Seguimiento Plan'!$C$2:$R$101,16,0)</f>
        <v>Suministro de papelería, útiles de escritorio para la Secretaría Distrital de Hacienda y el Concejo de Bogotá--</v>
      </c>
      <c r="H44" s="434" t="s">
        <v>1776</v>
      </c>
      <c r="I44" s="434" t="s">
        <v>1713</v>
      </c>
      <c r="J44" s="443" t="s">
        <v>1734</v>
      </c>
      <c r="K44" s="444" t="s">
        <v>390</v>
      </c>
      <c r="L44" s="444" t="str">
        <f>VLOOKUP(D44,'[4]Seguimiento Plan'!$C$2:$AJ$101,30,0)</f>
        <v>SI</v>
      </c>
      <c r="M44" s="445">
        <f>VLOOKUP(D44,'[4]Seguimiento Plan'!$C$2:$AJ$101,31,0)</f>
        <v>0</v>
      </c>
      <c r="N44" s="444"/>
      <c r="O44" s="446"/>
      <c r="P44" s="446"/>
      <c r="Q44" s="446"/>
      <c r="R44" s="447"/>
      <c r="S44" s="465" t="s">
        <v>1752</v>
      </c>
      <c r="T44" s="448" t="s">
        <v>1494</v>
      </c>
      <c r="U44" s="450" t="str">
        <f>IF(ISERROR(VLOOKUP(T44,'Base de Datos'!$E$7:$AR$302,3,0))=TRUE," ",(VLOOKUP(T44,'Base de Datos'!$E$7:$AR$302,2,0)))</f>
        <v>S.O.S. SOLUCIONES DE OFICINA &amp; SUMINISTROS S.A.S.</v>
      </c>
      <c r="V44" s="453">
        <f>IF(ISERROR(VLOOKUP(T44,'Base de Datos'!$E$7:$AR$302,5,0))=TRUE," ",(VLOOKUP(T44,'Base de Datos'!$E$7:$AR$302,5,0)))</f>
        <v>29997466</v>
      </c>
      <c r="W44" s="450">
        <f>IF(ISERROR(VLOOKUP(T44,'Base de Datos'!$E$7:$AR$302,19,0))=TRUE," ",(VLOOKUP(T44,'Base de Datos'!$E$7:$AR$302,19,0)))</f>
        <v>0</v>
      </c>
      <c r="X44" s="455" t="str">
        <f>IF(ISERROR(VLOOKUP(T44,'Base de Datos'!$E$7:$AR$302,8,0))=TRUE," ",(VLOOKUP(T44,'Base de Datos'!$E$7:$AR$302,8,0)))</f>
        <v xml:space="preserve"> </v>
      </c>
      <c r="Y44" s="455">
        <f>IF(ISERROR(VLOOKUP(T44,'Base de Datos'!$E$7:$AR$302,9,0))=TRUE," ",(VLOOKUP(T44,'Base de Datos'!$E$7:$AR$302,9,0)))</f>
        <v>41988</v>
      </c>
      <c r="Z44" s="449">
        <f>IF(ISERROR(VLOOKUP(T44,'Base de Datos'!$E$7:$AR$302,10,0))=TRUE," ",(VLOOKUP(T44,'Base de Datos'!$E$7:$AR$302,10,0)))</f>
        <v>42109</v>
      </c>
      <c r="AA44" s="452">
        <f>IF(ISERROR(VLOOKUP(T44,'Base de Datos'!$E$7:$AR$302,11,0))=TRUE," ",(VLOOKUP(T44,'Base de Datos'!$E$7:$AR$302,11,0)))</f>
        <v>0</v>
      </c>
      <c r="AB44" s="449">
        <f>IF(ISERROR(VLOOKUP(T44,'Base de Datos'!$E$7:$AR$302,12,0))=TRUE," ",(VLOOKUP(T44,'Base de Datos'!$E$7:$AR$302,12,0)))</f>
        <v>0</v>
      </c>
      <c r="AC44" s="449">
        <f>IF(ISERROR(VLOOKUP(T44,'Base de Datos'!$E$7:$AR$302,12,0))=TRUE," ",(VLOOKUP(T44,'Base de Datos'!$E$7:$AR$302,12,0)))</f>
        <v>0</v>
      </c>
      <c r="AD44" s="455" t="str">
        <f>IF(ISERROR(VLOOKUP(T44,'Base de Datos'!$E$7:$AR$302,15,0))=TRUE," ",(VLOOKUP(T44,'Base de Datos'!$E$7:$AR$302,15,0)))</f>
        <v/>
      </c>
      <c r="AE44" s="460">
        <f>IF(ISERROR(VLOOKUP(T44,'Base de Datos'!$E$7:$AR$302,16,0))=TRUE," ",(VLOOKUP(T44,'Base de Datos'!$E$7:$AR$302,16,0)))</f>
        <v>42109</v>
      </c>
      <c r="AF44" s="460">
        <f>IF(ISERROR(VLOOKUP(T44,'Base de Datos'!$E$7:$AR$302,17,0))=TRUE," ",(VLOOKUP(T44,'Base de Datos'!$E$7:$AR$302,17,0)))</f>
        <v>29997466</v>
      </c>
      <c r="AG44" s="460">
        <f>IF(ISERROR(VLOOKUP(T44,'Base de Datos'!$E$7:$AR$302,18,0))=TRUE," ",(VLOOKUP(T44,'Base de Datos'!$E$7:$AR$302,18,0)))</f>
        <v>29997466</v>
      </c>
      <c r="AH44" s="461" t="str">
        <f>IF(ISERROR(VLOOKUP(T44,'Base de Datos'!$E$7:$AR$302,20,0))=TRUE," ",(VLOOKUP(T44,'Base de Datos'!$E$7:$AR$302,20,0)))</f>
        <v>Previa entrega de productos</v>
      </c>
      <c r="AI44" s="461">
        <f>IF(ISERROR(VLOOKUP(T44,'Base de Datos'!$E$7:$AR$302,21,0))=TRUE," ",(VLOOKUP(T44,'Base de Datos'!$E$7:$AR$302,21,0)))</f>
        <v>1</v>
      </c>
      <c r="AJ44" s="464">
        <v>42167</v>
      </c>
      <c r="AK44" s="450" t="str">
        <f>IF(ISERROR(VLOOKUP(D44,'Base de Datos'!$C$7:$AR$400,2,0))=TRUE," ",(VLOOKUP(D44,'Base de Datos'!$C$7:$AR$400,2,0)))</f>
        <v>2015167</v>
      </c>
      <c r="AL44" s="450" t="str">
        <f>IF(ISERROR(VLOOKUP(D44,'Base de Datos'!$C$7:$AR$400,3,0))=TRUE," ",(VLOOKUP(D44,'Base de Datos'!$C$7:$AR$400,3,0)))</f>
        <v>150252-0-2015</v>
      </c>
      <c r="AM44" s="453" t="str">
        <f>IF(ISERROR(VLOOKUP(D44,'Base de Datos'!$C$7:$AR$3761,6,0))=TRUE," ",(VLOOKUP(D44,'Base de Datos'!$C$7:$AR$400,6,0)))</f>
        <v>Suministrar papelería y útiles de escritorio en la modalidad de proveeduría integral para el Concejo de Bogotá.</v>
      </c>
      <c r="AN44" s="453">
        <f>IF(ISERROR(VLOOKUP(D44,'Base de Datos'!$C$7:$AR$400,20,0))=TRUE," ",(VLOOKUP(D44,'Base de Datos'!$C$7:$AR$400,19,0)))</f>
        <v>69400000</v>
      </c>
      <c r="AO44" s="456">
        <f>IF(ISERROR(VLOOKUP(D44,'Base de Datos'!$C$7:$AR$400,9,0))=TRUE," ",(VLOOKUP(D44,'Base de Datos'!$C$7:$AR$400,9,0)))</f>
        <v>2015</v>
      </c>
      <c r="AP44" s="456">
        <f>IF(ISERROR(VLOOKUP(D44,'Base de Datos'!$C$7:$AR$400,10,0))=TRUE," ",(VLOOKUP(D44,'Base de Datos'!$C$7:$AR$400,10,0)))</f>
        <v>42167</v>
      </c>
      <c r="AQ44" s="458">
        <f>IF(ISERROR(VLOOKUP(D44,'Base de Datos'!$C$7:$AR$400,11,0))=TRUE," ",(VLOOKUP(D44,'Base de Datos'!$C$7:$AR$400,11,0)))</f>
        <v>42186</v>
      </c>
      <c r="AR44" s="459">
        <f>IF(ISERROR(VLOOKUP(D44,'Base de Datos'!$C$7:$AR$400,12,0))=TRUE," ",(VLOOKUP(D44,'Base de Datos'!$C$7:$AR$400,12,0)))</f>
        <v>42491</v>
      </c>
      <c r="AS44" s="458">
        <f>IF(ISERROR(VLOOKUP(D44,'Base de Datos'!$C$7:$AR$400,13,0))=TRUE," ",(VLOOKUP(D44,'Base de Datos'!$C$7:$AR$400,13,0)))</f>
        <v>0</v>
      </c>
      <c r="AT44" s="458">
        <f>IF(ISERROR(VLOOKUP(D44,'Base de Datos'!$C$7:$AR$400,14,0))=TRUE," ",(VLOOKUP(D44,'Base de Datos'!$C$7:$AR$400,14,0)))</f>
        <v>0</v>
      </c>
      <c r="AU44" s="456" t="str">
        <f>IF(ISERROR(VLOOKUP(D44,'Base de Datos'!$C$7:$AR$400,16,0))=TRUE," ",(VLOOKUP(D44,'Base de Datos'!$C$7:$AR$400,16,0)))</f>
        <v>4 meses y 15 días</v>
      </c>
      <c r="AV44" s="460">
        <f>IF(ISERROR(VLOOKUP(D44,'Base de Datos'!$C$7:$AR$400,17,0))=TRUE," ",(VLOOKUP(D44,'Base de Datos'!$C$7:$AR$400,17,0)))</f>
        <v>42629</v>
      </c>
      <c r="AW44" s="460">
        <f>IF(ISERROR(VLOOKUP(D44,'Base de Datos'!$C$7:$AR$400,18,0))=TRUE," ",(VLOOKUP(D44,'Base de Datos'!$C$7:$AR$400,18,0)))</f>
        <v>42629</v>
      </c>
      <c r="AX44" s="460">
        <f>IF(ISERROR(VLOOKUP(D44,'Base de Datos'!$C$7:$AR$400,19,0))=TRUE," ",(VLOOKUP(D44,'Base de Datos'!$C$7:$AR$400,19,0)))</f>
        <v>69400000</v>
      </c>
      <c r="AY44" s="463">
        <f>IF(ISERROR(VLOOKUP(D44,'Base de Datos'!$C$7:$AR$400,21,0))=TRUE," ",(VLOOKUP(D44,'Base de Datos'!$C$7:$AR$400,21,0)))</f>
        <v>102</v>
      </c>
      <c r="AZ44" s="463" t="str">
        <f>IF(ISERROR(VLOOKUP(D44,'Base de Datos'!$C$7:$AR$400,22,0))=TRUE," ",(VLOOKUP(D44,'Base de Datos'!$C$7:$AR$400,22,0)))</f>
        <v>Mensualidades de acuerdo a los suministros</v>
      </c>
      <c r="BA44" s="470"/>
      <c r="BB44" s="480"/>
    </row>
    <row r="45" spans="2:54" ht="55.5" hidden="1" customHeight="1" x14ac:dyDescent="0.25">
      <c r="B45" s="433">
        <v>38</v>
      </c>
      <c r="C45" s="441" t="s">
        <v>1642</v>
      </c>
      <c r="D45" s="433">
        <v>266</v>
      </c>
      <c r="E45" s="441" t="s">
        <v>1650</v>
      </c>
      <c r="F45" s="442">
        <f>VLOOKUP(D45,'Presupuesto - PAA 2015'!$B$10:$E$265,4,0)</f>
        <v>812000</v>
      </c>
      <c r="G45" s="434" t="str">
        <f>VLOOKUP(D45,'[4]Seguimiento Plan'!$C$2:$R$101,16,0)</f>
        <v>Adquisicion de diademas biauriculares para el  Concejo de Bogotá D.C.</v>
      </c>
      <c r="H45" s="434" t="s">
        <v>1776</v>
      </c>
      <c r="I45" s="434" t="s">
        <v>1712</v>
      </c>
      <c r="J45" s="443" t="s">
        <v>909</v>
      </c>
      <c r="K45" s="444" t="s">
        <v>390</v>
      </c>
      <c r="L45" s="444" t="str">
        <f>VLOOKUP(D45,'[4]Seguimiento Plan'!$C$2:$AJ$101,30,0)</f>
        <v>SI</v>
      </c>
      <c r="M45" s="445" t="s">
        <v>1242</v>
      </c>
      <c r="N45" s="444"/>
      <c r="O45" s="446"/>
      <c r="P45" s="446"/>
      <c r="Q45" s="446"/>
      <c r="R45" s="447"/>
      <c r="S45" s="704" t="s">
        <v>2085</v>
      </c>
      <c r="T45" s="448"/>
      <c r="U45" s="450" t="str">
        <f>IF(ISERROR(VLOOKUP(T45,'Base de Datos'!$E$7:$AR$302,3,0))=TRUE," ",(VLOOKUP(T45,'Base de Datos'!$E$7:$AR$302,2,0)))</f>
        <v xml:space="preserve"> </v>
      </c>
      <c r="V45" s="453" t="str">
        <f>IF(ISERROR(VLOOKUP(T45,'Base de Datos'!$E$7:$AR$302,5,0))=TRUE," ",(VLOOKUP(T45,'Base de Datos'!$E$7:$AR$302,5,0)))</f>
        <v xml:space="preserve"> </v>
      </c>
      <c r="W45" s="450" t="str">
        <f>IF(ISERROR(VLOOKUP(T45,'Base de Datos'!$E$7:$AR$302,19,0))=TRUE," ",(VLOOKUP(T45,'Base de Datos'!$E$7:$AR$302,19,0)))</f>
        <v xml:space="preserve"> </v>
      </c>
      <c r="X45" s="455" t="str">
        <f>IF(ISERROR(VLOOKUP(T45,'Base de Datos'!$E$7:$AR$302,8,0))=TRUE," ",(VLOOKUP(T45,'Base de Datos'!$E$7:$AR$302,8,0)))</f>
        <v xml:space="preserve"> </v>
      </c>
      <c r="Y45" s="455" t="str">
        <f>IF(ISERROR(VLOOKUP(T45,'Base de Datos'!$E$7:$AR$302,9,0))=TRUE," ",(VLOOKUP(T45,'Base de Datos'!$E$7:$AR$302,9,0)))</f>
        <v xml:space="preserve"> </v>
      </c>
      <c r="Z45" s="449" t="str">
        <f>IF(ISERROR(VLOOKUP(T45,'Base de Datos'!$E$7:$AR$302,10,0))=TRUE," ",(VLOOKUP(T45,'Base de Datos'!$E$7:$AR$302,10,0)))</f>
        <v xml:space="preserve"> </v>
      </c>
      <c r="AA45" s="452" t="str">
        <f>IF(ISERROR(VLOOKUP(T45,'Base de Datos'!$E$7:$AR$302,11,0))=TRUE," ",(VLOOKUP(T45,'Base de Datos'!$E$7:$AR$302,11,0)))</f>
        <v xml:space="preserve"> </v>
      </c>
      <c r="AB45" s="449" t="str">
        <f>IF(ISERROR(VLOOKUP(T45,'Base de Datos'!$E$7:$AR$302,12,0))=TRUE," ",(VLOOKUP(T45,'Base de Datos'!$E$7:$AR$302,12,0)))</f>
        <v xml:space="preserve"> </v>
      </c>
      <c r="AC45" s="449" t="str">
        <f>IF(ISERROR(VLOOKUP(T45,'Base de Datos'!$E$7:$AR$302,12,0))=TRUE," ",(VLOOKUP(T45,'Base de Datos'!$E$7:$AR$302,12,0)))</f>
        <v xml:space="preserve"> </v>
      </c>
      <c r="AD45" s="455" t="str">
        <f>IF(ISERROR(VLOOKUP(T45,'Base de Datos'!$E$7:$AR$302,15,0))=TRUE," ",(VLOOKUP(T45,'Base de Datos'!$E$7:$AR$302,15,0)))</f>
        <v xml:space="preserve"> </v>
      </c>
      <c r="AE45" s="460" t="str">
        <f>IF(ISERROR(VLOOKUP(T45,'Base de Datos'!$E$7:$AR$302,16,0))=TRUE," ",(VLOOKUP(T45,'Base de Datos'!$E$7:$AR$302,16,0)))</f>
        <v xml:space="preserve"> </v>
      </c>
      <c r="AF45" s="460" t="str">
        <f>IF(ISERROR(VLOOKUP(T45,'Base de Datos'!$E$7:$AR$302,17,0))=TRUE," ",(VLOOKUP(T45,'Base de Datos'!$E$7:$AR$302,17,0)))</f>
        <v xml:space="preserve"> </v>
      </c>
      <c r="AG45" s="460" t="str">
        <f>IF(ISERROR(VLOOKUP(T45,'Base de Datos'!$E$7:$AR$302,18,0))=TRUE," ",(VLOOKUP(T45,'Base de Datos'!$E$7:$AR$302,18,0)))</f>
        <v xml:space="preserve"> </v>
      </c>
      <c r="AH45" s="461" t="str">
        <f>IF(ISERROR(VLOOKUP(T45,'Base de Datos'!$E$7:$AR$302,20,0))=TRUE," ",(VLOOKUP(T45,'Base de Datos'!$E$7:$AR$302,20,0)))</f>
        <v xml:space="preserve"> </v>
      </c>
      <c r="AI45" s="461" t="str">
        <f>IF(ISERROR(VLOOKUP(T45,'Base de Datos'!$E$7:$AR$302,21,0))=TRUE," ",(VLOOKUP(T45,'Base de Datos'!$E$7:$AR$302,21,0)))</f>
        <v xml:space="preserve"> </v>
      </c>
      <c r="AJ45" s="450"/>
      <c r="AK45" s="450" t="str">
        <f>IF(ISERROR(VLOOKUP(D45,'Base de Datos'!$C$7:$AR$400,2,0))=TRUE," ",(VLOOKUP(D45,'Base de Datos'!$C$7:$AR$400,2,0)))</f>
        <v>2015266</v>
      </c>
      <c r="AL45" s="450" t="str">
        <f>IF(ISERROR(VLOOKUP(D45,'Base de Datos'!$C$7:$AR$400,3,0))=TRUE," ",(VLOOKUP(D45,'Base de Datos'!$C$7:$AR$400,3,0)))</f>
        <v>150331-0-2015</v>
      </c>
      <c r="AM45" s="453" t="str">
        <f>IF(ISERROR(VLOOKUP(D45,'Base de Datos'!$C$7:$AR$3761,6,0))=TRUE," ",(VLOOKUP(D45,'Base de Datos'!$C$7:$AR$400,6,0)))</f>
        <v xml:space="preserve">Adquisición de audífonos biauriculares para el Concejo de Bogotá D.C </v>
      </c>
      <c r="AN45" s="453">
        <f>IF(ISERROR(VLOOKUP(D45,'Base de Datos'!$C$7:$AR$400,20,0))=TRUE," ",(VLOOKUP(D45,'Base de Datos'!$C$7:$AR$400,19,0)))</f>
        <v>812000</v>
      </c>
      <c r="AO45" s="456">
        <f>IF(ISERROR(VLOOKUP(D45,'Base de Datos'!$C$7:$AR$400,9,0))=TRUE," ",(VLOOKUP(D45,'Base de Datos'!$C$7:$AR$400,9,0)))</f>
        <v>2015</v>
      </c>
      <c r="AP45" s="456">
        <f>IF(ISERROR(VLOOKUP(D45,'Base de Datos'!$C$7:$AR$400,10,0))=TRUE," ",(VLOOKUP(D45,'Base de Datos'!$C$7:$AR$400,10,0)))</f>
        <v>42220</v>
      </c>
      <c r="AQ45" s="458">
        <f>IF(ISERROR(VLOOKUP(D45,'Base de Datos'!$C$7:$AR$400,11,0))=TRUE," ",(VLOOKUP(D45,'Base de Datos'!$C$7:$AR$400,11,0)))</f>
        <v>42235</v>
      </c>
      <c r="AR45" s="459">
        <f>IF(ISERROR(VLOOKUP(D45,'Base de Datos'!$C$7:$AR$400,12,0))=TRUE," ",(VLOOKUP(D45,'Base de Datos'!$C$7:$AR$400,12,0)))</f>
        <v>42265</v>
      </c>
      <c r="AS45" s="458">
        <f>IF(ISERROR(VLOOKUP(D45,'Base de Datos'!$C$7:$AR$400,13,0))=TRUE," ",(VLOOKUP(D45,'Base de Datos'!$C$7:$AR$400,13,0)))</f>
        <v>0</v>
      </c>
      <c r="AT45" s="458">
        <f>IF(ISERROR(VLOOKUP(D45,'Base de Datos'!$C$7:$AR$400,14,0))=TRUE," ",(VLOOKUP(D45,'Base de Datos'!$C$7:$AR$400,14,0)))</f>
        <v>0</v>
      </c>
      <c r="AU45" s="456" t="str">
        <f>IF(ISERROR(VLOOKUP(D45,'Base de Datos'!$C$7:$AR$400,16,0))=TRUE," ",(VLOOKUP(D45,'Base de Datos'!$C$7:$AR$400,16,0)))</f>
        <v/>
      </c>
      <c r="AV45" s="460" t="str">
        <f>IF(ISERROR(VLOOKUP(D45,'Base de Datos'!$C$7:$AR$400,17,0))=TRUE," ",(VLOOKUP(D45,'Base de Datos'!$C$7:$AR$400,17,0)))</f>
        <v/>
      </c>
      <c r="AW45" s="460">
        <f>IF(ISERROR(VLOOKUP(D45,'Base de Datos'!$C$7:$AR$400,18,0))=TRUE," ",(VLOOKUP(D45,'Base de Datos'!$C$7:$AR$400,18,0)))</f>
        <v>42265</v>
      </c>
      <c r="AX45" s="460">
        <f>IF(ISERROR(VLOOKUP(D45,'Base de Datos'!$C$7:$AR$400,19,0))=TRUE," ",(VLOOKUP(D45,'Base de Datos'!$C$7:$AR$400,19,0)))</f>
        <v>812000</v>
      </c>
      <c r="AY45" s="463">
        <f>IF(ISERROR(VLOOKUP(D45,'Base de Datos'!$C$7:$AR$400,21,0))=TRUE," ",(VLOOKUP(D45,'Base de Datos'!$C$7:$AR$400,21,0)))</f>
        <v>0</v>
      </c>
      <c r="AZ45" s="463" t="str">
        <f>IF(ISERROR(VLOOKUP(D45,'Base de Datos'!$C$7:$AR$400,22,0))=TRUE," ",(VLOOKUP(D45,'Base de Datos'!$C$7:$AR$400,22,0)))</f>
        <v>Un único pago</v>
      </c>
      <c r="BA45" s="470"/>
      <c r="BB45" s="480"/>
    </row>
    <row r="46" spans="2:54" ht="55.5" hidden="1" customHeight="1" x14ac:dyDescent="0.25">
      <c r="B46" s="433">
        <v>39</v>
      </c>
      <c r="C46" s="441" t="s">
        <v>1642</v>
      </c>
      <c r="D46" s="433">
        <v>68</v>
      </c>
      <c r="E46" s="441" t="s">
        <v>1652</v>
      </c>
      <c r="F46" s="442">
        <f>VLOOKUP(D46,'Presupuesto - PAA 2015'!$B$10:$E$265,4,0)</f>
        <v>150000000</v>
      </c>
      <c r="G46" s="434" t="str">
        <f>VLOOKUP(D46,'[4]Seguimiento Plan'!$C$2:$R$101,16,0)</f>
        <v>Prestar los servicios de conectividad de canales de comunicación dedicados e Internet y servicios complementarios para la Secretaría Distrital de Hacienda y el Concejo de Bogotá.</v>
      </c>
      <c r="H46" s="434" t="s">
        <v>1777</v>
      </c>
      <c r="I46" s="434" t="s">
        <v>1710</v>
      </c>
      <c r="J46" s="443" t="s">
        <v>908</v>
      </c>
      <c r="K46" s="444" t="s">
        <v>390</v>
      </c>
      <c r="L46" s="444" t="str">
        <f>VLOOKUP(D46,'[4]Seguimiento Plan'!$C$2:$AJ$101,30,0)</f>
        <v>SI</v>
      </c>
      <c r="M46" s="445">
        <f>VLOOKUP(D46,'[4]Seguimiento Plan'!$C$2:$AJ$101,31,0)</f>
        <v>42081</v>
      </c>
      <c r="N46" s="444"/>
      <c r="O46" s="446"/>
      <c r="P46" s="446"/>
      <c r="Q46" s="446"/>
      <c r="R46" s="550" t="s">
        <v>1805</v>
      </c>
      <c r="S46" s="447"/>
      <c r="T46" s="448"/>
      <c r="U46" s="450" t="str">
        <f>IF(ISERROR(VLOOKUP(T46,'Base de Datos'!$E$7:$AR$302,3,0))=TRUE," ",(VLOOKUP(T46,'Base de Datos'!$E$7:$AR$302,2,0)))</f>
        <v xml:space="preserve"> </v>
      </c>
      <c r="V46" s="453" t="str">
        <f>IF(ISERROR(VLOOKUP(T46,'Base de Datos'!$E$7:$AR$302,5,0))=TRUE," ",(VLOOKUP(T46,'Base de Datos'!$E$7:$AR$302,5,0)))</f>
        <v xml:space="preserve"> </v>
      </c>
      <c r="W46" s="450" t="str">
        <f>IF(ISERROR(VLOOKUP(T46,'Base de Datos'!$E$7:$AR$302,19,0))=TRUE," ",(VLOOKUP(T46,'Base de Datos'!$E$7:$AR$302,19,0)))</f>
        <v xml:space="preserve"> </v>
      </c>
      <c r="X46" s="455" t="str">
        <f>IF(ISERROR(VLOOKUP(T46,'Base de Datos'!$E$7:$AR$302,8,0))=TRUE," ",(VLOOKUP(T46,'Base de Datos'!$E$7:$AR$302,8,0)))</f>
        <v xml:space="preserve"> </v>
      </c>
      <c r="Y46" s="455" t="str">
        <f>IF(ISERROR(VLOOKUP(T46,'Base de Datos'!$E$7:$AR$302,9,0))=TRUE," ",(VLOOKUP(T46,'Base de Datos'!$E$7:$AR$302,9,0)))</f>
        <v xml:space="preserve"> </v>
      </c>
      <c r="Z46" s="449" t="str">
        <f>IF(ISERROR(VLOOKUP(T46,'Base de Datos'!$E$7:$AR$302,10,0))=TRUE," ",(VLOOKUP(T46,'Base de Datos'!$E$7:$AR$302,10,0)))</f>
        <v xml:space="preserve"> </v>
      </c>
      <c r="AA46" s="452" t="str">
        <f>IF(ISERROR(VLOOKUP(T46,'Base de Datos'!$E$7:$AR$302,11,0))=TRUE," ",(VLOOKUP(T46,'Base de Datos'!$E$7:$AR$302,11,0)))</f>
        <v xml:space="preserve"> </v>
      </c>
      <c r="AB46" s="449" t="str">
        <f>IF(ISERROR(VLOOKUP(T46,'Base de Datos'!$E$7:$AR$302,12,0))=TRUE," ",(VLOOKUP(T46,'Base de Datos'!$E$7:$AR$302,12,0)))</f>
        <v xml:space="preserve"> </v>
      </c>
      <c r="AC46" s="449" t="str">
        <f>IF(ISERROR(VLOOKUP(T46,'Base de Datos'!$E$7:$AR$302,12,0))=TRUE," ",(VLOOKUP(T46,'Base de Datos'!$E$7:$AR$302,12,0)))</f>
        <v xml:space="preserve"> </v>
      </c>
      <c r="AD46" s="455" t="str">
        <f>IF(ISERROR(VLOOKUP(T46,'Base de Datos'!$E$7:$AR$302,15,0))=TRUE," ",(VLOOKUP(T46,'Base de Datos'!$E$7:$AR$302,15,0)))</f>
        <v xml:space="preserve"> </v>
      </c>
      <c r="AE46" s="460" t="str">
        <f>IF(ISERROR(VLOOKUP(T46,'Base de Datos'!$E$7:$AR$302,16,0))=TRUE," ",(VLOOKUP(T46,'Base de Datos'!$E$7:$AR$302,16,0)))</f>
        <v xml:space="preserve"> </v>
      </c>
      <c r="AF46" s="460" t="str">
        <f>IF(ISERROR(VLOOKUP(T46,'Base de Datos'!$E$7:$AR$302,17,0))=TRUE," ",(VLOOKUP(T46,'Base de Datos'!$E$7:$AR$302,17,0)))</f>
        <v xml:space="preserve"> </v>
      </c>
      <c r="AG46" s="460" t="str">
        <f>IF(ISERROR(VLOOKUP(T46,'Base de Datos'!$E$7:$AR$302,18,0))=TRUE," ",(VLOOKUP(T46,'Base de Datos'!$E$7:$AR$302,18,0)))</f>
        <v xml:space="preserve"> </v>
      </c>
      <c r="AH46" s="461" t="str">
        <f>IF(ISERROR(VLOOKUP(T46,'Base de Datos'!$E$7:$AR$302,20,0))=TRUE," ",(VLOOKUP(T46,'Base de Datos'!$E$7:$AR$302,20,0)))</f>
        <v xml:space="preserve"> </v>
      </c>
      <c r="AI46" s="461" t="str">
        <f>IF(ISERROR(VLOOKUP(T46,'Base de Datos'!$E$7:$AR$302,21,0))=TRUE," ",(VLOOKUP(T46,'Base de Datos'!$E$7:$AR$302,21,0)))</f>
        <v xml:space="preserve"> </v>
      </c>
      <c r="AJ46" s="464">
        <v>42066</v>
      </c>
      <c r="AK46" s="450" t="str">
        <f>IF(ISERROR(VLOOKUP(D46,'Base de Datos'!$C$7:$AR$400,2,0))=TRUE," ",(VLOOKUP(D46,'Base de Datos'!$C$7:$AR$400,2,0)))</f>
        <v>201568</v>
      </c>
      <c r="AL46" s="450" t="str">
        <f>IF(ISERROR(VLOOKUP(D46,'Base de Datos'!$C$7:$AR$400,3,0))=TRUE," ",(VLOOKUP(D46,'Base de Datos'!$C$7:$AR$400,3,0)))</f>
        <v>150104-0-2015</v>
      </c>
      <c r="AM46" s="453" t="str">
        <f>IF(ISERROR(VLOOKUP(D46,'Base de Datos'!$C$7:$AR$3761,6,0))=TRUE," ",(VLOOKUP(D46,'Base de Datos'!$C$7:$AR$400,6,0)))</f>
        <v>Prestar los servicios de conectividad de canales de comunicación dedicados e Internet y servicios complementarios para el Concejo de Bogotá de confirmidad con lo establecido en los Estudios Previos y Anexo 1 Ficha Técnica.</v>
      </c>
      <c r="AN46" s="453">
        <f>IF(ISERROR(VLOOKUP(D46,'Base de Datos'!$C$7:$AR$400,20,0))=TRUE," ",(VLOOKUP(D46,'Base de Datos'!$C$7:$AR$400,19,0)))</f>
        <v>150000000</v>
      </c>
      <c r="AO46" s="456">
        <f>IF(ISERROR(VLOOKUP(D46,'Base de Datos'!$C$7:$AR$400,9,0))=TRUE," ",(VLOOKUP(D46,'Base de Datos'!$C$7:$AR$400,9,0)))</f>
        <v>2015</v>
      </c>
      <c r="AP46" s="456">
        <f>IF(ISERROR(VLOOKUP(D46,'Base de Datos'!$C$7:$AR$400,10,0))=TRUE," ",(VLOOKUP(D46,'Base de Datos'!$C$7:$AR$400,10,0)))</f>
        <v>42066</v>
      </c>
      <c r="AQ46" s="458">
        <f>IF(ISERROR(VLOOKUP(D46,'Base de Datos'!$C$7:$AR$400,11,0))=TRUE," ",(VLOOKUP(D46,'Base de Datos'!$C$7:$AR$400,11,0)))</f>
        <v>42090</v>
      </c>
      <c r="AR46" s="459">
        <f>IF(ISERROR(VLOOKUP(D46,'Base de Datos'!$C$7:$AR$400,12,0))=TRUE," ",(VLOOKUP(D46,'Base de Datos'!$C$7:$AR$400,12,0)))</f>
        <v>42456</v>
      </c>
      <c r="AS46" s="458">
        <f>IF(ISERROR(VLOOKUP(D46,'Base de Datos'!$C$7:$AR$400,13,0))=TRUE," ",(VLOOKUP(D46,'Base de Datos'!$C$7:$AR$400,13,0)))</f>
        <v>0</v>
      </c>
      <c r="AT46" s="458">
        <f>IF(ISERROR(VLOOKUP(D46,'Base de Datos'!$C$7:$AR$400,14,0))=TRUE," ",(VLOOKUP(D46,'Base de Datos'!$C$7:$AR$400,14,0)))</f>
        <v>0</v>
      </c>
      <c r="AU46" s="456" t="str">
        <f>IF(ISERROR(VLOOKUP(D46,'Base de Datos'!$C$7:$AR$400,16,0))=TRUE," ",(VLOOKUP(D46,'Base de Datos'!$C$7:$AR$400,16,0)))</f>
        <v/>
      </c>
      <c r="AV46" s="460" t="str">
        <f>IF(ISERROR(VLOOKUP(D46,'Base de Datos'!$C$7:$AR$400,17,0))=TRUE," ",(VLOOKUP(D46,'Base de Datos'!$C$7:$AR$400,17,0)))</f>
        <v/>
      </c>
      <c r="AW46" s="460">
        <f>IF(ISERROR(VLOOKUP(D46,'Base de Datos'!$C$7:$AR$400,18,0))=TRUE," ",(VLOOKUP(D46,'Base de Datos'!$C$7:$AR$400,18,0)))</f>
        <v>42456</v>
      </c>
      <c r="AX46" s="460">
        <f>IF(ISERROR(VLOOKUP(D46,'Base de Datos'!$C$7:$AR$400,19,0))=TRUE," ",(VLOOKUP(D46,'Base de Datos'!$C$7:$AR$400,19,0)))</f>
        <v>150000000</v>
      </c>
      <c r="AY46" s="463">
        <f>IF(ISERROR(VLOOKUP(D46,'Base de Datos'!$C$7:$AR$400,21,0))=TRUE," ",(VLOOKUP(D46,'Base de Datos'!$C$7:$AR$400,21,0)))</f>
        <v>0</v>
      </c>
      <c r="AZ46" s="463" t="str">
        <f>IF(ISERROR(VLOOKUP(D46,'Base de Datos'!$C$7:$AR$400,22,0))=TRUE," ",(VLOOKUP(D46,'Base de Datos'!$C$7:$AR$400,22,0)))</f>
        <v xml:space="preserve">Pagos mensuales vencidos  </v>
      </c>
      <c r="BA46" s="470"/>
      <c r="BB46" s="480"/>
    </row>
    <row r="47" spans="2:54" ht="55.5" hidden="1" customHeight="1" x14ac:dyDescent="0.25">
      <c r="B47" s="433">
        <v>40</v>
      </c>
      <c r="C47" s="441" t="s">
        <v>1642</v>
      </c>
      <c r="D47" s="433">
        <v>138</v>
      </c>
      <c r="E47" s="441" t="s">
        <v>1652</v>
      </c>
      <c r="F47" s="442">
        <f>VLOOKUP(D47,'Presupuesto - PAA 2015'!$B$10:$E$265,4,0)</f>
        <v>5100746</v>
      </c>
      <c r="G47" s="434" t="str">
        <f>VLOOKUP(D47,'[4]Seguimiento Plan'!$C$2:$R$101,16,0)</f>
        <v>Adición y prórroga al contrato 140197 suscrito con A&amp;V EXPRESS S A cuyo objeto es  la prestación del servicio de  correspondencia  para el Concejo  de Bogotá</v>
      </c>
      <c r="H47" s="434" t="s">
        <v>1776</v>
      </c>
      <c r="I47" s="434" t="s">
        <v>1710</v>
      </c>
      <c r="J47" s="443" t="s">
        <v>590</v>
      </c>
      <c r="K47" s="444" t="s">
        <v>390</v>
      </c>
      <c r="L47" s="444" t="str">
        <f>VLOOKUP(D47,'[4]Seguimiento Plan'!$C$2:$AJ$101,30,0)</f>
        <v>SI</v>
      </c>
      <c r="M47" s="445">
        <f>VLOOKUP(D47,'[4]Seguimiento Plan'!$C$2:$AJ$101,31,0)</f>
        <v>0</v>
      </c>
      <c r="N47" s="444"/>
      <c r="O47" s="446"/>
      <c r="P47" s="446"/>
      <c r="Q47" s="446"/>
      <c r="R47" s="447"/>
      <c r="S47" s="447"/>
      <c r="T47" s="448" t="s">
        <v>283</v>
      </c>
      <c r="U47" s="450" t="str">
        <f>IF(ISERROR(VLOOKUP(T47,'Base de Datos'!$E$7:$AR$302,3,0))=TRUE," ",(VLOOKUP(T47,'Base de Datos'!$E$7:$AR$302,2,0)))</f>
        <v>A&amp;V EXPRESS S.A.</v>
      </c>
      <c r="V47" s="453">
        <f>IF(ISERROR(VLOOKUP(T47,'Base de Datos'!$E$7:$AR$302,5,0))=TRUE," ",(VLOOKUP(T47,'Base de Datos'!$E$7:$AR$302,5,0)))</f>
        <v>40000000</v>
      </c>
      <c r="W47" s="450">
        <f>IF(ISERROR(VLOOKUP(T47,'Base de Datos'!$E$7:$AR$302,19,0))=TRUE," ",(VLOOKUP(T47,'Base de Datos'!$E$7:$AR$302,19,0)))</f>
        <v>55746</v>
      </c>
      <c r="X47" s="455" t="str">
        <f>IF(ISERROR(VLOOKUP(T47,'Base de Datos'!$E$7:$AR$302,8,0))=TRUE," ",(VLOOKUP(T47,'Base de Datos'!$E$7:$AR$302,8,0)))</f>
        <v xml:space="preserve"> </v>
      </c>
      <c r="Y47" s="455">
        <f>IF(ISERROR(VLOOKUP(T47,'Base de Datos'!$E$7:$AR$302,9,0))=TRUE," ",(VLOOKUP(T47,'Base de Datos'!$E$7:$AR$302,9,0)))</f>
        <v>41807</v>
      </c>
      <c r="Z47" s="449">
        <f>IF(ISERROR(VLOOKUP(T47,'Base de Datos'!$E$7:$AR$302,10,0))=TRUE," ",(VLOOKUP(T47,'Base de Datos'!$E$7:$AR$302,10,0)))</f>
        <v>42051</v>
      </c>
      <c r="AA47" s="452">
        <f>IF(ISERROR(VLOOKUP(T47,'Base de Datos'!$E$7:$AR$302,11,0))=TRUE," ",(VLOOKUP(T47,'Base de Datos'!$E$7:$AR$302,11,0)))</f>
        <v>1</v>
      </c>
      <c r="AB47" s="449">
        <f>IF(ISERROR(VLOOKUP(T47,'Base de Datos'!$E$7:$AR$302,12,0))=TRUE," ",(VLOOKUP(T47,'Base de Datos'!$E$7:$AR$302,12,0)))</f>
        <v>5100746</v>
      </c>
      <c r="AC47" s="449">
        <f>IF(ISERROR(VLOOKUP(T47,'Base de Datos'!$E$7:$AR$302,12,0))=TRUE," ",(VLOOKUP(T47,'Base de Datos'!$E$7:$AR$302,12,0)))</f>
        <v>5100746</v>
      </c>
      <c r="AD47" s="455">
        <f>IF(ISERROR(VLOOKUP(T47,'Base de Datos'!$E$7:$AR$302,15,0))=TRUE," ",(VLOOKUP(T47,'Base de Datos'!$E$7:$AR$302,15,0)))</f>
        <v>42128</v>
      </c>
      <c r="AE47" s="460">
        <f>IF(ISERROR(VLOOKUP(T47,'Base de Datos'!$E$7:$AR$302,16,0))=TRUE," ",(VLOOKUP(T47,'Base de Datos'!$E$7:$AR$302,16,0)))</f>
        <v>42128</v>
      </c>
      <c r="AF47" s="460">
        <f>IF(ISERROR(VLOOKUP(T47,'Base de Datos'!$E$7:$AR$302,17,0))=TRUE," ",(VLOOKUP(T47,'Base de Datos'!$E$7:$AR$302,17,0)))</f>
        <v>45100746</v>
      </c>
      <c r="AG47" s="460">
        <f>IF(ISERROR(VLOOKUP(T47,'Base de Datos'!$E$7:$AR$302,18,0))=TRUE," ",(VLOOKUP(T47,'Base de Datos'!$E$7:$AR$302,18,0)))</f>
        <v>45045000</v>
      </c>
      <c r="AH47" s="461" t="str">
        <f>IF(ISERROR(VLOOKUP(T47,'Base de Datos'!$E$7:$AR$302,20,0))=TRUE," ",(VLOOKUP(T47,'Base de Datos'!$E$7:$AR$302,20,0)))</f>
        <v>Mensualidades vencidas</v>
      </c>
      <c r="AI47" s="461">
        <f>IF(ISERROR(VLOOKUP(T47,'Base de Datos'!$E$7:$AR$302,21,0))=TRUE," ",(VLOOKUP(T47,'Base de Datos'!$E$7:$AR$302,21,0)))</f>
        <v>0.99876396723016514</v>
      </c>
      <c r="AJ47" s="450"/>
      <c r="AK47" s="450" t="str">
        <f>IF(ISERROR(VLOOKUP(D47,'Base de Datos'!$C$7:$AR$400,2,0))=TRUE," ",(VLOOKUP(D47,'Base de Datos'!$C$7:$AR$400,2,0)))</f>
        <v xml:space="preserve"> </v>
      </c>
      <c r="AL47" s="450" t="str">
        <f>IF(ISERROR(VLOOKUP(D47,'Base de Datos'!$C$7:$AR$400,3,0))=TRUE," ",(VLOOKUP(D47,'Base de Datos'!$C$7:$AR$400,3,0)))</f>
        <v xml:space="preserve"> </v>
      </c>
      <c r="AM47" s="453" t="e">
        <f>IF(ISERROR(VLOOKUP(D47,'Base de Datos'!$C$7:$AR$3761,6,0))=TRUE," ",(VLOOKUP(D47,'Base de Datos'!$C$7:$AR$400,6,0)))</f>
        <v>#N/A</v>
      </c>
      <c r="AN47" s="453" t="str">
        <f>IF(ISERROR(VLOOKUP(D47,'Base de Datos'!$C$7:$AR$400,20,0))=TRUE," ",(VLOOKUP(D47,'Base de Datos'!$C$7:$AR$400,19,0)))</f>
        <v xml:space="preserve"> </v>
      </c>
      <c r="AO47" s="456" t="str">
        <f>IF(ISERROR(VLOOKUP(D47,'Base de Datos'!$C$7:$AR$400,9,0))=TRUE," ",(VLOOKUP(D47,'Base de Datos'!$C$7:$AR$400,9,0)))</f>
        <v xml:space="preserve"> </v>
      </c>
      <c r="AP47" s="456" t="str">
        <f>IF(ISERROR(VLOOKUP(D47,'Base de Datos'!$C$7:$AR$400,10,0))=TRUE," ",(VLOOKUP(D47,'Base de Datos'!$C$7:$AR$400,10,0)))</f>
        <v xml:space="preserve"> </v>
      </c>
      <c r="AQ47" s="458" t="str">
        <f>IF(ISERROR(VLOOKUP(D47,'Base de Datos'!$C$7:$AR$400,11,0))=TRUE," ",(VLOOKUP(D47,'Base de Datos'!$C$7:$AR$400,11,0)))</f>
        <v xml:space="preserve"> </v>
      </c>
      <c r="AR47" s="459" t="str">
        <f>IF(ISERROR(VLOOKUP(D47,'Base de Datos'!$C$7:$AR$400,12,0))=TRUE," ",(VLOOKUP(D47,'Base de Datos'!$C$7:$AR$400,12,0)))</f>
        <v xml:space="preserve"> </v>
      </c>
      <c r="AS47" s="458" t="str">
        <f>IF(ISERROR(VLOOKUP(D47,'Base de Datos'!$C$7:$AR$400,13,0))=TRUE," ",(VLOOKUP(D47,'Base de Datos'!$C$7:$AR$400,13,0)))</f>
        <v xml:space="preserve"> </v>
      </c>
      <c r="AT47" s="458" t="str">
        <f>IF(ISERROR(VLOOKUP(D47,'Base de Datos'!$C$7:$AR$400,14,0))=TRUE," ",(VLOOKUP(D47,'Base de Datos'!$C$7:$AR$400,14,0)))</f>
        <v xml:space="preserve"> </v>
      </c>
      <c r="AU47" s="456" t="str">
        <f>IF(ISERROR(VLOOKUP(D47,'Base de Datos'!$C$7:$AR$400,16,0))=TRUE," ",(VLOOKUP(D47,'Base de Datos'!$C$7:$AR$400,16,0)))</f>
        <v xml:space="preserve"> </v>
      </c>
      <c r="AV47" s="460" t="str">
        <f>IF(ISERROR(VLOOKUP(D47,'Base de Datos'!$C$7:$AR$400,17,0))=TRUE," ",(VLOOKUP(D47,'Base de Datos'!$C$7:$AR$400,17,0)))</f>
        <v xml:space="preserve"> </v>
      </c>
      <c r="AW47" s="460" t="str">
        <f>IF(ISERROR(VLOOKUP(D47,'Base de Datos'!$C$7:$AR$400,18,0))=TRUE," ",(VLOOKUP(D47,'Base de Datos'!$C$7:$AR$400,18,0)))</f>
        <v xml:space="preserve"> </v>
      </c>
      <c r="AX47" s="460" t="str">
        <f>IF(ISERROR(VLOOKUP(D47,'Base de Datos'!$C$7:$AR$400,19,0))=TRUE," ",(VLOOKUP(D47,'Base de Datos'!$C$7:$AR$400,19,0)))</f>
        <v xml:space="preserve"> </v>
      </c>
      <c r="AY47" s="463" t="str">
        <f>IF(ISERROR(VLOOKUP(D47,'Base de Datos'!$C$7:$AR$400,21,0))=TRUE," ",(VLOOKUP(D47,'Base de Datos'!$C$7:$AR$400,21,0)))</f>
        <v xml:space="preserve"> </v>
      </c>
      <c r="AZ47" s="463" t="str">
        <f>IF(ISERROR(VLOOKUP(D47,'Base de Datos'!$C$7:$AR$400,22,0))=TRUE," ",(VLOOKUP(D47,'Base de Datos'!$C$7:$AR$400,22,0)))</f>
        <v xml:space="preserve"> </v>
      </c>
      <c r="BA47" s="470"/>
      <c r="BB47" s="480"/>
    </row>
    <row r="48" spans="2:54" ht="55.5" hidden="1" customHeight="1" x14ac:dyDescent="0.25">
      <c r="B48" s="433">
        <v>41</v>
      </c>
      <c r="C48" s="441" t="s">
        <v>1642</v>
      </c>
      <c r="D48" s="433">
        <v>139</v>
      </c>
      <c r="E48" s="441" t="s">
        <v>1652</v>
      </c>
      <c r="F48" s="442">
        <f>VLOOKUP(D48,'Presupuesto - PAA 2015'!$B$10:$E$265,4,0)</f>
        <v>1607400</v>
      </c>
      <c r="G48" s="434" t="str">
        <f>VLOOKUP(D48,'[4]Seguimiento Plan'!$C$2:$R$101,16,0)</f>
        <v>Suscripción al sistema de televisión satelital para ser instalados en la sede del Concejo de Bogotá</v>
      </c>
      <c r="H48" s="434" t="s">
        <v>1776</v>
      </c>
      <c r="I48" s="434" t="s">
        <v>1714</v>
      </c>
      <c r="J48" s="443" t="s">
        <v>909</v>
      </c>
      <c r="K48" s="444" t="s">
        <v>390</v>
      </c>
      <c r="L48" s="444" t="str">
        <f>VLOOKUP(D48,'[4]Seguimiento Plan'!$C$2:$AJ$101,30,0)</f>
        <v>SI</v>
      </c>
      <c r="M48" s="445">
        <f>VLOOKUP(D48,'[4]Seguimiento Plan'!$C$2:$AJ$101,31,0)</f>
        <v>42054</v>
      </c>
      <c r="N48" s="444" t="s">
        <v>1806</v>
      </c>
      <c r="O48" s="446"/>
      <c r="P48" s="446"/>
      <c r="Q48" s="446"/>
      <c r="R48" s="447"/>
      <c r="S48" s="465" t="s">
        <v>1953</v>
      </c>
      <c r="T48" s="448" t="s">
        <v>288</v>
      </c>
      <c r="U48" s="450" t="str">
        <f>IF(ISERROR(VLOOKUP(T48,'Base de Datos'!$E$7:$AR$302,3,0))=TRUE," ",(VLOOKUP(T48,'Base de Datos'!$E$7:$AR$302,2,0)))</f>
        <v>DIRECTV COLOMBIA LTDA</v>
      </c>
      <c r="V48" s="453">
        <f>IF(ISERROR(VLOOKUP(T48,'Base de Datos'!$E$7:$AR$302,5,0))=TRUE," ",(VLOOKUP(T48,'Base de Datos'!$E$7:$AR$302,5,0)))</f>
        <v>1325400</v>
      </c>
      <c r="W48" s="450">
        <f>IF(ISERROR(VLOOKUP(T48,'Base de Datos'!$E$7:$AR$302,19,0))=TRUE," ",(VLOOKUP(T48,'Base de Datos'!$E$7:$AR$302,19,0)))</f>
        <v>1607400</v>
      </c>
      <c r="X48" s="455" t="str">
        <f>IF(ISERROR(VLOOKUP(T48,'Base de Datos'!$E$7:$AR$302,8,0))=TRUE," ",(VLOOKUP(T48,'Base de Datos'!$E$7:$AR$302,8,0)))</f>
        <v xml:space="preserve"> </v>
      </c>
      <c r="Y48" s="455">
        <f>IF(ISERROR(VLOOKUP(T48,'Base de Datos'!$E$7:$AR$302,9,0))=TRUE," ",(VLOOKUP(T48,'Base de Datos'!$E$7:$AR$302,9,0)))</f>
        <v>41738</v>
      </c>
      <c r="Z48" s="449">
        <f>IF(ISERROR(VLOOKUP(T48,'Base de Datos'!$E$7:$AR$302,10,0))=TRUE," ",(VLOOKUP(T48,'Base de Datos'!$E$7:$AR$302,10,0)))</f>
        <v>42102</v>
      </c>
      <c r="AA48" s="452">
        <f>IF(ISERROR(VLOOKUP(T48,'Base de Datos'!$E$7:$AR$302,11,0))=TRUE," ",(VLOOKUP(T48,'Base de Datos'!$E$7:$AR$302,11,0)))</f>
        <v>1</v>
      </c>
      <c r="AB48" s="449">
        <f>IF(ISERROR(VLOOKUP(T48,'Base de Datos'!$E$7:$AR$302,12,0))=TRUE," ",(VLOOKUP(T48,'Base de Datos'!$E$7:$AR$302,12,0)))</f>
        <v>282000</v>
      </c>
      <c r="AC48" s="449">
        <f>IF(ISERROR(VLOOKUP(T48,'Base de Datos'!$E$7:$AR$302,12,0))=TRUE," ",(VLOOKUP(T48,'Base de Datos'!$E$7:$AR$302,12,0)))</f>
        <v>282000</v>
      </c>
      <c r="AD48" s="455" t="str">
        <f>IF(ISERROR(VLOOKUP(T48,'Base de Datos'!$E$7:$AR$302,15,0))=TRUE," ",(VLOOKUP(T48,'Base de Datos'!$E$7:$AR$302,15,0)))</f>
        <v/>
      </c>
      <c r="AE48" s="460">
        <f>IF(ISERROR(VLOOKUP(T48,'Base de Datos'!$E$7:$AR$302,16,0))=TRUE," ",(VLOOKUP(T48,'Base de Datos'!$E$7:$AR$302,16,0)))</f>
        <v>42102</v>
      </c>
      <c r="AF48" s="460">
        <f>IF(ISERROR(VLOOKUP(T48,'Base de Datos'!$E$7:$AR$302,17,0))=TRUE," ",(VLOOKUP(T48,'Base de Datos'!$E$7:$AR$302,17,0)))</f>
        <v>1607400</v>
      </c>
      <c r="AG48" s="460">
        <f>IF(ISERROR(VLOOKUP(T48,'Base de Datos'!$E$7:$AR$302,18,0))=TRUE," ",(VLOOKUP(T48,'Base de Datos'!$E$7:$AR$302,18,0)))</f>
        <v>0</v>
      </c>
      <c r="AH48" s="461" t="str">
        <f>IF(ISERROR(VLOOKUP(T48,'Base de Datos'!$E$7:$AR$302,20,0))=TRUE," ",(VLOOKUP(T48,'Base de Datos'!$E$7:$AR$302,20,0)))</f>
        <v>Ünico pago</v>
      </c>
      <c r="AI48" s="461">
        <f>IF(ISERROR(VLOOKUP(T48,'Base de Datos'!$E$7:$AR$302,21,0))=TRUE," ",(VLOOKUP(T48,'Base de Datos'!$E$7:$AR$302,21,0)))</f>
        <v>0</v>
      </c>
      <c r="AJ48" s="464">
        <v>42172</v>
      </c>
      <c r="AK48" s="450" t="str">
        <f>IF(ISERROR(VLOOKUP(D48,'Base de Datos'!$C$7:$AR$400,2,0))=TRUE," ",(VLOOKUP(D48,'Base de Datos'!$C$7:$AR$400,2,0)))</f>
        <v>2015139</v>
      </c>
      <c r="AL48" s="450" t="str">
        <f>IF(ISERROR(VLOOKUP(D48,'Base de Datos'!$C$7:$AR$400,3,0))=TRUE," ",(VLOOKUP(D48,'Base de Datos'!$C$7:$AR$400,3,0)))</f>
        <v>150262-0-2015</v>
      </c>
      <c r="AM48" s="453" t="str">
        <f>IF(ISERROR(VLOOKUP(D48,'Base de Datos'!$C$7:$AR$3761,6,0))=TRUE," ",(VLOOKUP(D48,'Base de Datos'!$C$7:$AR$400,6,0)))</f>
        <v>Suscripción al sistema de Televisión Satelital para ser instalado en la sede del Concejo de Bogotá D.C.</v>
      </c>
      <c r="AN48" s="453">
        <f>IF(ISERROR(VLOOKUP(D48,'Base de Datos'!$C$7:$AR$400,20,0))=TRUE," ",(VLOOKUP(D48,'Base de Datos'!$C$7:$AR$400,19,0)))</f>
        <v>1607400</v>
      </c>
      <c r="AO48" s="456">
        <f>IF(ISERROR(VLOOKUP(D48,'Base de Datos'!$C$7:$AR$400,9,0))=TRUE," ",(VLOOKUP(D48,'Base de Datos'!$C$7:$AR$400,9,0)))</f>
        <v>2015</v>
      </c>
      <c r="AP48" s="456">
        <f>IF(ISERROR(VLOOKUP(D48,'Base de Datos'!$C$7:$AR$400,10,0))=TRUE," ",(VLOOKUP(D48,'Base de Datos'!$C$7:$AR$400,10,0)))</f>
        <v>42172</v>
      </c>
      <c r="AQ48" s="458">
        <f>IF(ISERROR(VLOOKUP(D48,'Base de Datos'!$C$7:$AR$400,11,0))=TRUE," ",(VLOOKUP(D48,'Base de Datos'!$C$7:$AR$400,11,0)))</f>
        <v>42202</v>
      </c>
      <c r="AR48" s="459">
        <f>IF(ISERROR(VLOOKUP(D48,'Base de Datos'!$C$7:$AR$400,12,0))=TRUE," ",(VLOOKUP(D48,'Base de Datos'!$C$7:$AR$400,12,0)))</f>
        <v>42567</v>
      </c>
      <c r="AS48" s="458">
        <f>IF(ISERROR(VLOOKUP(D48,'Base de Datos'!$C$7:$AR$400,13,0))=TRUE," ",(VLOOKUP(D48,'Base de Datos'!$C$7:$AR$400,13,0)))</f>
        <v>0</v>
      </c>
      <c r="AT48" s="458">
        <f>IF(ISERROR(VLOOKUP(D48,'Base de Datos'!$C$7:$AR$400,14,0))=TRUE," ",(VLOOKUP(D48,'Base de Datos'!$C$7:$AR$400,14,0)))</f>
        <v>0</v>
      </c>
      <c r="AU48" s="456" t="str">
        <f>IF(ISERROR(VLOOKUP(D48,'Base de Datos'!$C$7:$AR$400,16,0))=TRUE," ",(VLOOKUP(D48,'Base de Datos'!$C$7:$AR$400,16,0)))</f>
        <v/>
      </c>
      <c r="AV48" s="460" t="str">
        <f>IF(ISERROR(VLOOKUP(D48,'Base de Datos'!$C$7:$AR$400,17,0))=TRUE," ",(VLOOKUP(D48,'Base de Datos'!$C$7:$AR$400,17,0)))</f>
        <v/>
      </c>
      <c r="AW48" s="460">
        <f>IF(ISERROR(VLOOKUP(D48,'Base de Datos'!$C$7:$AR$400,18,0))=TRUE," ",(VLOOKUP(D48,'Base de Datos'!$C$7:$AR$400,18,0)))</f>
        <v>42567</v>
      </c>
      <c r="AX48" s="460">
        <f>IF(ISERROR(VLOOKUP(D48,'Base de Datos'!$C$7:$AR$400,19,0))=TRUE," ",(VLOOKUP(D48,'Base de Datos'!$C$7:$AR$400,19,0)))</f>
        <v>1607400</v>
      </c>
      <c r="AY48" s="463">
        <f>IF(ISERROR(VLOOKUP(D48,'Base de Datos'!$C$7:$AR$400,21,0))=TRUE," ",(VLOOKUP(D48,'Base de Datos'!$C$7:$AR$400,21,0)))</f>
        <v>20814</v>
      </c>
      <c r="AZ48" s="463" t="str">
        <f>IF(ISERROR(VLOOKUP(D48,'Base de Datos'!$C$7:$AR$400,22,0))=TRUE," ",(VLOOKUP(D48,'Base de Datos'!$C$7:$AR$400,22,0)))</f>
        <v>Único pago</v>
      </c>
      <c r="BA48" s="470"/>
      <c r="BB48" s="480"/>
    </row>
    <row r="49" spans="2:54" ht="55.5" hidden="1" customHeight="1" x14ac:dyDescent="0.25">
      <c r="B49" s="433">
        <v>42</v>
      </c>
      <c r="C49" s="441" t="s">
        <v>1642</v>
      </c>
      <c r="D49" s="433">
        <v>168</v>
      </c>
      <c r="E49" s="441" t="s">
        <v>1652</v>
      </c>
      <c r="F49" s="442">
        <f>VLOOKUP(D49,'Presupuesto - PAA 2015'!$B$10:$E$265,4,0)</f>
        <v>33500000</v>
      </c>
      <c r="G49" s="434" t="str">
        <f>VLOOKUP(D49,'[4]Seguimiento Plan'!$C$2:$R$101,16,0)</f>
        <v>Prestar el servicio de correspondencia para la Secretaría de Hacienda  y de mensajería expresa masiva para la Secretaria Distrital de Hacienda y el Concejo de Bogotá</v>
      </c>
      <c r="H49" s="434" t="s">
        <v>1776</v>
      </c>
      <c r="I49" s="434" t="s">
        <v>1710</v>
      </c>
      <c r="J49" s="443" t="s">
        <v>1734</v>
      </c>
      <c r="K49" s="444" t="s">
        <v>390</v>
      </c>
      <c r="L49" s="444" t="str">
        <f>VLOOKUP(D49,'[4]Seguimiento Plan'!$C$2:$AJ$101,30,0)</f>
        <v>SI</v>
      </c>
      <c r="M49" s="445">
        <f>VLOOKUP(D49,'[4]Seguimiento Plan'!$C$2:$AJ$101,31,0)</f>
        <v>42349</v>
      </c>
      <c r="N49" s="444"/>
      <c r="O49" s="446"/>
      <c r="P49" s="444" t="s">
        <v>390</v>
      </c>
      <c r="Q49" s="444" t="s">
        <v>390</v>
      </c>
      <c r="R49" s="526"/>
      <c r="S49" s="465" t="s">
        <v>1744</v>
      </c>
      <c r="T49" s="448" t="s">
        <v>283</v>
      </c>
      <c r="U49" s="450" t="str">
        <f>IF(ISERROR(VLOOKUP(T49,'Base de Datos'!$E$7:$AR$302,3,0))=TRUE," ",(VLOOKUP(T49,'Base de Datos'!$E$7:$AR$302,2,0)))</f>
        <v>A&amp;V EXPRESS S.A.</v>
      </c>
      <c r="V49" s="453">
        <f>IF(ISERROR(VLOOKUP(T49,'Base de Datos'!$E$7:$AR$302,5,0))=TRUE," ",(VLOOKUP(T49,'Base de Datos'!$E$7:$AR$302,5,0)))</f>
        <v>40000000</v>
      </c>
      <c r="W49" s="450">
        <f>IF(ISERROR(VLOOKUP(T49,'Base de Datos'!$E$7:$AR$302,19,0))=TRUE," ",(VLOOKUP(T49,'Base de Datos'!$E$7:$AR$302,19,0)))</f>
        <v>55746</v>
      </c>
      <c r="X49" s="455" t="str">
        <f>IF(ISERROR(VLOOKUP(T49,'Base de Datos'!$E$7:$AR$302,8,0))=TRUE," ",(VLOOKUP(T49,'Base de Datos'!$E$7:$AR$302,8,0)))</f>
        <v xml:space="preserve"> </v>
      </c>
      <c r="Y49" s="455">
        <f>IF(ISERROR(VLOOKUP(T49,'Base de Datos'!$E$7:$AR$302,9,0))=TRUE," ",(VLOOKUP(T49,'Base de Datos'!$E$7:$AR$302,9,0)))</f>
        <v>41807</v>
      </c>
      <c r="Z49" s="449">
        <f>IF(ISERROR(VLOOKUP(T49,'Base de Datos'!$E$7:$AR$302,10,0))=TRUE," ",(VLOOKUP(T49,'Base de Datos'!$E$7:$AR$302,10,0)))</f>
        <v>42051</v>
      </c>
      <c r="AA49" s="452">
        <f>IF(ISERROR(VLOOKUP(T49,'Base de Datos'!$E$7:$AR$302,11,0))=TRUE," ",(VLOOKUP(T49,'Base de Datos'!$E$7:$AR$302,11,0)))</f>
        <v>1</v>
      </c>
      <c r="AB49" s="449">
        <f>IF(ISERROR(VLOOKUP(T49,'Base de Datos'!$E$7:$AR$302,12,0))=TRUE," ",(VLOOKUP(T49,'Base de Datos'!$E$7:$AR$302,12,0)))</f>
        <v>5100746</v>
      </c>
      <c r="AC49" s="449">
        <f>IF(ISERROR(VLOOKUP(T49,'Base de Datos'!$E$7:$AR$302,12,0))=TRUE," ",(VLOOKUP(T49,'Base de Datos'!$E$7:$AR$302,12,0)))</f>
        <v>5100746</v>
      </c>
      <c r="AD49" s="455">
        <f>IF(ISERROR(VLOOKUP(T49,'Base de Datos'!$E$7:$AR$302,15,0))=TRUE," ",(VLOOKUP(T49,'Base de Datos'!$E$7:$AR$302,15,0)))</f>
        <v>42128</v>
      </c>
      <c r="AE49" s="460">
        <f>IF(ISERROR(VLOOKUP(T49,'Base de Datos'!$E$7:$AR$302,16,0))=TRUE," ",(VLOOKUP(T49,'Base de Datos'!$E$7:$AR$302,16,0)))</f>
        <v>42128</v>
      </c>
      <c r="AF49" s="460">
        <f>IF(ISERROR(VLOOKUP(T49,'Base de Datos'!$E$7:$AR$302,17,0))=TRUE," ",(VLOOKUP(T49,'Base de Datos'!$E$7:$AR$302,17,0)))</f>
        <v>45100746</v>
      </c>
      <c r="AG49" s="460">
        <f>IF(ISERROR(VLOOKUP(T49,'Base de Datos'!$E$7:$AR$302,18,0))=TRUE," ",(VLOOKUP(T49,'Base de Datos'!$E$7:$AR$302,18,0)))</f>
        <v>45045000</v>
      </c>
      <c r="AH49" s="461" t="str">
        <f>IF(ISERROR(VLOOKUP(T49,'Base de Datos'!$E$7:$AR$302,20,0))=TRUE," ",(VLOOKUP(T49,'Base de Datos'!$E$7:$AR$302,20,0)))</f>
        <v>Mensualidades vencidas</v>
      </c>
      <c r="AI49" s="461">
        <f>IF(ISERROR(VLOOKUP(T49,'Base de Datos'!$E$7:$AR$302,21,0))=TRUE," ",(VLOOKUP(T49,'Base de Datos'!$E$7:$AR$302,21,0)))</f>
        <v>0.99876396723016514</v>
      </c>
      <c r="AJ49" s="464">
        <v>42124</v>
      </c>
      <c r="AK49" s="450" t="str">
        <f>IF(ISERROR(VLOOKUP(D49,'Base de Datos'!$C$7:$AR$400,2,0))=TRUE," ",(VLOOKUP(D49,'Base de Datos'!$C$7:$AR$400,2,0)))</f>
        <v>2015168</v>
      </c>
      <c r="AL49" s="450" t="str">
        <f>IF(ISERROR(VLOOKUP(D49,'Base de Datos'!$C$7:$AR$400,3,0))=TRUE," ",(VLOOKUP(D49,'Base de Datos'!$C$7:$AR$400,3,0)))</f>
        <v>150209-0-2015</v>
      </c>
      <c r="AM49" s="453" t="str">
        <f>IF(ISERROR(VLOOKUP(D49,'Base de Datos'!$C$7:$AR$3761,6,0))=TRUE," ",(VLOOKUP(D49,'Base de Datos'!$C$7:$AR$400,6,0)))</f>
        <v>Contratar la prestación del servicio de mensajería expresa masiva para el Concejo de Bogotá D.C., de conformidad con el alcance del objeto y lo señalado en el pliego de condiciones del proceso SDH-SIE-02-2015, en la Ficha Técnica y en la propuesta</v>
      </c>
      <c r="AN49" s="453">
        <f>IF(ISERROR(VLOOKUP(D49,'Base de Datos'!$C$7:$AR$400,20,0))=TRUE," ",(VLOOKUP(D49,'Base de Datos'!$C$7:$AR$400,19,0)))</f>
        <v>33500000</v>
      </c>
      <c r="AO49" s="456">
        <f>IF(ISERROR(VLOOKUP(D49,'Base de Datos'!$C$7:$AR$400,9,0))=TRUE," ",(VLOOKUP(D49,'Base de Datos'!$C$7:$AR$400,9,0)))</f>
        <v>2015</v>
      </c>
      <c r="AP49" s="456">
        <f>IF(ISERROR(VLOOKUP(D49,'Base de Datos'!$C$7:$AR$400,10,0))=TRUE," ",(VLOOKUP(D49,'Base de Datos'!$C$7:$AR$400,10,0)))</f>
        <v>42124</v>
      </c>
      <c r="AQ49" s="458">
        <f>IF(ISERROR(VLOOKUP(D49,'Base de Datos'!$C$7:$AR$400,11,0))=TRUE," ",(VLOOKUP(D49,'Base de Datos'!$C$7:$AR$400,11,0)))</f>
        <v>42130</v>
      </c>
      <c r="AR49" s="459">
        <f>IF(ISERROR(VLOOKUP(D49,'Base de Datos'!$C$7:$AR$400,12,0))=TRUE," ",(VLOOKUP(D49,'Base de Datos'!$C$7:$AR$400,12,0)))</f>
        <v>42496</v>
      </c>
      <c r="AS49" s="458">
        <f>IF(ISERROR(VLOOKUP(D49,'Base de Datos'!$C$7:$AR$400,13,0))=TRUE," ",(VLOOKUP(D49,'Base de Datos'!$C$7:$AR$400,13,0)))</f>
        <v>0</v>
      </c>
      <c r="AT49" s="458">
        <f>IF(ISERROR(VLOOKUP(D49,'Base de Datos'!$C$7:$AR$400,14,0))=TRUE," ",(VLOOKUP(D49,'Base de Datos'!$C$7:$AR$400,14,0)))</f>
        <v>0</v>
      </c>
      <c r="AU49" s="456" t="str">
        <f>IF(ISERROR(VLOOKUP(D49,'Base de Datos'!$C$7:$AR$400,16,0))=TRUE," ",(VLOOKUP(D49,'Base de Datos'!$C$7:$AR$400,16,0)))</f>
        <v>14 DIAS</v>
      </c>
      <c r="AV49" s="460">
        <f>IF(ISERROR(VLOOKUP(D49,'Base de Datos'!$C$7:$AR$400,17,0))=TRUE," ",(VLOOKUP(D49,'Base de Datos'!$C$7:$AR$400,17,0)))</f>
        <v>42510</v>
      </c>
      <c r="AW49" s="460">
        <f>IF(ISERROR(VLOOKUP(D49,'Base de Datos'!$C$7:$AR$400,18,0))=TRUE," ",(VLOOKUP(D49,'Base de Datos'!$C$7:$AR$400,18,0)))</f>
        <v>42510</v>
      </c>
      <c r="AX49" s="460">
        <f>IF(ISERROR(VLOOKUP(D49,'Base de Datos'!$C$7:$AR$400,19,0))=TRUE," ",(VLOOKUP(D49,'Base de Datos'!$C$7:$AR$400,19,0)))</f>
        <v>33500000</v>
      </c>
      <c r="AY49" s="463">
        <f>IF(ISERROR(VLOOKUP(D49,'Base de Datos'!$C$7:$AR$400,21,0))=TRUE," ",(VLOOKUP(D49,'Base de Datos'!$C$7:$AR$400,21,0)))</f>
        <v>4819371</v>
      </c>
      <c r="AZ49" s="463" t="str">
        <f>IF(ISERROR(VLOOKUP(D49,'Base de Datos'!$C$7:$AR$400,22,0))=TRUE," ",(VLOOKUP(D49,'Base de Datos'!$C$7:$AR$400,22,0)))</f>
        <v>Mensuales vencidas de acuerdo a los servicios prestados.</v>
      </c>
      <c r="BA49" s="470"/>
      <c r="BB49" s="480"/>
    </row>
    <row r="50" spans="2:54" ht="55.5" hidden="1" customHeight="1" x14ac:dyDescent="0.25">
      <c r="B50" s="433">
        <v>43</v>
      </c>
      <c r="C50" s="441" t="s">
        <v>1642</v>
      </c>
      <c r="D50" s="433">
        <v>169</v>
      </c>
      <c r="E50" s="441" t="s">
        <v>1652</v>
      </c>
      <c r="F50" s="442">
        <f>VLOOKUP(D50,'Presupuesto - PAA 2015'!$B$10:$E$265,4,0)</f>
        <v>11000000</v>
      </c>
      <c r="G50" s="434" t="str">
        <f>VLOOKUP(D50,'[4]Seguimiento Plan'!$C$2:$R$101,16,0)</f>
        <v>Prestar el servicio de transporte  de bienes muebles, equipos de oficina y cajas de archivo documental para la Secretaria Distrital de Hacienda y el Concejo de Bogotá.</v>
      </c>
      <c r="H50" s="434" t="s">
        <v>1776</v>
      </c>
      <c r="I50" s="434" t="s">
        <v>1715</v>
      </c>
      <c r="J50" s="443" t="s">
        <v>909</v>
      </c>
      <c r="K50" s="444" t="s">
        <v>390</v>
      </c>
      <c r="L50" s="444" t="str">
        <f>VLOOKUP(D50,'[4]Seguimiento Plan'!$C$2:$AJ$101,30,0)</f>
        <v>SI</v>
      </c>
      <c r="M50" s="445">
        <f>VLOOKUP(D50,'[4]Seguimiento Plan'!$C$2:$AJ$101,31,0)</f>
        <v>42053</v>
      </c>
      <c r="N50" s="444"/>
      <c r="O50" s="446"/>
      <c r="P50" s="446"/>
      <c r="Q50" s="446"/>
      <c r="R50" s="447"/>
      <c r="S50" s="465" t="s">
        <v>2208</v>
      </c>
      <c r="T50" s="448" t="s">
        <v>300</v>
      </c>
      <c r="U50" s="450" t="str">
        <f>IF(ISERROR(VLOOKUP(T50,'Base de Datos'!$E$7:$AR$302,3,0))=TRUE," ",(VLOOKUP(T50,'Base de Datos'!$E$7:$AR$302,2,0)))</f>
        <v>MUDANZAS EL NOGAL SAS</v>
      </c>
      <c r="V50" s="453">
        <f>IF(ISERROR(VLOOKUP(T50,'Base de Datos'!$E$7:$AR$302,5,0))=TRUE," ",(VLOOKUP(T50,'Base de Datos'!$E$7:$AR$302,5,0)))</f>
        <v>12000000</v>
      </c>
      <c r="W50" s="450">
        <f>IF(ISERROR(VLOOKUP(T50,'Base de Datos'!$E$7:$AR$302,19,0))=TRUE," ",(VLOOKUP(T50,'Base de Datos'!$E$7:$AR$302,19,0)))</f>
        <v>1200000</v>
      </c>
      <c r="X50" s="455" t="str">
        <f>IF(ISERROR(VLOOKUP(T50,'Base de Datos'!$E$7:$AR$302,8,0))=TRUE," ",(VLOOKUP(T50,'Base de Datos'!$E$7:$AR$302,8,0)))</f>
        <v xml:space="preserve"> </v>
      </c>
      <c r="Y50" s="455">
        <f>IF(ISERROR(VLOOKUP(T50,'Base de Datos'!$E$7:$AR$302,9,0))=TRUE," ",(VLOOKUP(T50,'Base de Datos'!$E$7:$AR$302,9,0)))</f>
        <v>41824</v>
      </c>
      <c r="Z50" s="449">
        <f>IF(ISERROR(VLOOKUP(T50,'Base de Datos'!$E$7:$AR$302,10,0))=TRUE," ",(VLOOKUP(T50,'Base de Datos'!$E$7:$AR$302,10,0)))</f>
        <v>42066</v>
      </c>
      <c r="AA50" s="452">
        <f>IF(ISERROR(VLOOKUP(T50,'Base de Datos'!$E$7:$AR$302,11,0))=TRUE," ",(VLOOKUP(T50,'Base de Datos'!$E$7:$AR$302,11,0)))</f>
        <v>0</v>
      </c>
      <c r="AB50" s="449">
        <f>IF(ISERROR(VLOOKUP(T50,'Base de Datos'!$E$7:$AR$302,12,0))=TRUE," ",(VLOOKUP(T50,'Base de Datos'!$E$7:$AR$302,12,0)))</f>
        <v>0</v>
      </c>
      <c r="AC50" s="449">
        <f>IF(ISERROR(VLOOKUP(T50,'Base de Datos'!$E$7:$AR$302,12,0))=TRUE," ",(VLOOKUP(T50,'Base de Datos'!$E$7:$AR$302,12,0)))</f>
        <v>0</v>
      </c>
      <c r="AD50" s="455">
        <f>IF(ISERROR(VLOOKUP(T50,'Base de Datos'!$E$7:$AR$302,15,0))=TRUE," ",(VLOOKUP(T50,'Base de Datos'!$E$7:$AR$302,15,0)))</f>
        <v>42312</v>
      </c>
      <c r="AE50" s="460">
        <f>IF(ISERROR(VLOOKUP(T50,'Base de Datos'!$E$7:$AR$302,16,0))=TRUE," ",(VLOOKUP(T50,'Base de Datos'!$E$7:$AR$302,16,0)))</f>
        <v>42312</v>
      </c>
      <c r="AF50" s="460">
        <f>IF(ISERROR(VLOOKUP(T50,'Base de Datos'!$E$7:$AR$302,17,0))=TRUE," ",(VLOOKUP(T50,'Base de Datos'!$E$7:$AR$302,17,0)))</f>
        <v>12000000</v>
      </c>
      <c r="AG50" s="460">
        <f>IF(ISERROR(VLOOKUP(T50,'Base de Datos'!$E$7:$AR$302,18,0))=TRUE," ",(VLOOKUP(T50,'Base de Datos'!$E$7:$AR$302,18,0)))</f>
        <v>10800000</v>
      </c>
      <c r="AH50" s="461" t="str">
        <f>IF(ISERROR(VLOOKUP(T50,'Base de Datos'!$E$7:$AR$302,20,0))=TRUE," ",(VLOOKUP(T50,'Base de Datos'!$E$7:$AR$302,20,0)))</f>
        <v>Pagos mensuales correspondientes a los servicios prestados de acuerdo con la certificación de cumplimiento expedida por el supervisor del contrato</v>
      </c>
      <c r="AI50" s="461">
        <f>IF(ISERROR(VLOOKUP(T50,'Base de Datos'!$E$7:$AR$302,21,0))=TRUE," ",(VLOOKUP(T50,'Base de Datos'!$E$7:$AR$302,21,0)))</f>
        <v>0.9</v>
      </c>
      <c r="AJ50" s="450"/>
      <c r="AK50" s="450" t="str">
        <f>IF(ISERROR(VLOOKUP(D50,'Base de Datos'!$C$7:$AR$400,2,0))=TRUE," ",(VLOOKUP(D50,'Base de Datos'!$C$7:$AR$400,2,0)))</f>
        <v xml:space="preserve"> </v>
      </c>
      <c r="AL50" s="450" t="str">
        <f>IF(ISERROR(VLOOKUP(D50,'Base de Datos'!$C$7:$AR$400,3,0))=TRUE," ",(VLOOKUP(D50,'Base de Datos'!$C$7:$AR$400,3,0)))</f>
        <v xml:space="preserve"> </v>
      </c>
      <c r="AM50" s="453" t="e">
        <f>IF(ISERROR(VLOOKUP(D50,'Base de Datos'!$C$7:$AR$3761,6,0))=TRUE," ",(VLOOKUP(D50,'Base de Datos'!$C$7:$AR$400,6,0)))</f>
        <v>#N/A</v>
      </c>
      <c r="AN50" s="453" t="str">
        <f>IF(ISERROR(VLOOKUP(D50,'Base de Datos'!$C$7:$AR$400,20,0))=TRUE," ",(VLOOKUP(D50,'Base de Datos'!$C$7:$AR$400,19,0)))</f>
        <v xml:space="preserve"> </v>
      </c>
      <c r="AO50" s="456" t="str">
        <f>IF(ISERROR(VLOOKUP(D50,'Base de Datos'!$C$7:$AR$400,9,0))=TRUE," ",(VLOOKUP(D50,'Base de Datos'!$C$7:$AR$400,9,0)))</f>
        <v xml:space="preserve"> </v>
      </c>
      <c r="AP50" s="456" t="str">
        <f>IF(ISERROR(VLOOKUP(D50,'Base de Datos'!$C$7:$AR$400,10,0))=TRUE," ",(VLOOKUP(D50,'Base de Datos'!$C$7:$AR$400,10,0)))</f>
        <v xml:space="preserve"> </v>
      </c>
      <c r="AQ50" s="458" t="str">
        <f>IF(ISERROR(VLOOKUP(D50,'Base de Datos'!$C$7:$AR$400,11,0))=TRUE," ",(VLOOKUP(D50,'Base de Datos'!$C$7:$AR$400,11,0)))</f>
        <v xml:space="preserve"> </v>
      </c>
      <c r="AR50" s="459" t="str">
        <f>IF(ISERROR(VLOOKUP(D50,'Base de Datos'!$C$7:$AR$400,12,0))=TRUE," ",(VLOOKUP(D50,'Base de Datos'!$C$7:$AR$400,12,0)))</f>
        <v xml:space="preserve"> </v>
      </c>
      <c r="AS50" s="458" t="str">
        <f>IF(ISERROR(VLOOKUP(D50,'Base de Datos'!$C$7:$AR$400,13,0))=TRUE," ",(VLOOKUP(D50,'Base de Datos'!$C$7:$AR$400,13,0)))</f>
        <v xml:space="preserve"> </v>
      </c>
      <c r="AT50" s="458" t="str">
        <f>IF(ISERROR(VLOOKUP(D50,'Base de Datos'!$C$7:$AR$400,14,0))=TRUE," ",(VLOOKUP(D50,'Base de Datos'!$C$7:$AR$400,14,0)))</f>
        <v xml:space="preserve"> </v>
      </c>
      <c r="AU50" s="456" t="str">
        <f>IF(ISERROR(VLOOKUP(D50,'Base de Datos'!$C$7:$AR$400,16,0))=TRUE," ",(VLOOKUP(D50,'Base de Datos'!$C$7:$AR$400,16,0)))</f>
        <v xml:space="preserve"> </v>
      </c>
      <c r="AV50" s="460" t="str">
        <f>IF(ISERROR(VLOOKUP(D50,'Base de Datos'!$C$7:$AR$400,17,0))=TRUE," ",(VLOOKUP(D50,'Base de Datos'!$C$7:$AR$400,17,0)))</f>
        <v xml:space="preserve"> </v>
      </c>
      <c r="AW50" s="460" t="str">
        <f>IF(ISERROR(VLOOKUP(D50,'Base de Datos'!$C$7:$AR$400,18,0))=TRUE," ",(VLOOKUP(D50,'Base de Datos'!$C$7:$AR$400,18,0)))</f>
        <v xml:space="preserve"> </v>
      </c>
      <c r="AX50" s="460" t="str">
        <f>IF(ISERROR(VLOOKUP(D50,'Base de Datos'!$C$7:$AR$400,19,0))=TRUE," ",(VLOOKUP(D50,'Base de Datos'!$C$7:$AR$400,19,0)))</f>
        <v xml:space="preserve"> </v>
      </c>
      <c r="AY50" s="463" t="str">
        <f>IF(ISERROR(VLOOKUP(D50,'Base de Datos'!$C$7:$AR$400,21,0))=TRUE," ",(VLOOKUP(D50,'Base de Datos'!$C$7:$AR$400,21,0)))</f>
        <v xml:space="preserve"> </v>
      </c>
      <c r="AZ50" s="463" t="str">
        <f>IF(ISERROR(VLOOKUP(D50,'Base de Datos'!$C$7:$AR$400,22,0))=TRUE," ",(VLOOKUP(D50,'Base de Datos'!$C$7:$AR$400,22,0)))</f>
        <v xml:space="preserve"> </v>
      </c>
      <c r="BA50" s="470"/>
      <c r="BB50" s="480"/>
    </row>
    <row r="51" spans="2:54" ht="55.5" hidden="1" customHeight="1" x14ac:dyDescent="0.25">
      <c r="B51" s="433">
        <v>44</v>
      </c>
      <c r="C51" s="441" t="s">
        <v>1642</v>
      </c>
      <c r="D51" s="433">
        <v>140</v>
      </c>
      <c r="E51" s="441" t="s">
        <v>1653</v>
      </c>
      <c r="F51" s="442">
        <f>VLOOKUP(D51,'Presupuesto - PAA 2015'!$B$10:$E$265,4,0)</f>
        <v>715000</v>
      </c>
      <c r="G51" s="434" t="str">
        <f>VLOOKUP(D51,'[4]Seguimiento Plan'!$C$2:$R$101,16,0)</f>
        <v>Suscripción al servicio de información jurídica a través de un boletín informativo por correo electrónico, consulta web y bibilioteca digital de legislación colombiana actualizada.</v>
      </c>
      <c r="H51" s="434" t="s">
        <v>1776</v>
      </c>
      <c r="I51" s="434" t="s">
        <v>1714</v>
      </c>
      <c r="J51" s="443" t="s">
        <v>909</v>
      </c>
      <c r="K51" s="444" t="s">
        <v>390</v>
      </c>
      <c r="L51" s="444" t="s">
        <v>390</v>
      </c>
      <c r="M51" s="445">
        <v>42123</v>
      </c>
      <c r="N51" s="444"/>
      <c r="O51" s="446"/>
      <c r="P51" s="446"/>
      <c r="Q51" s="446"/>
      <c r="R51" s="447"/>
      <c r="S51" s="704" t="s">
        <v>2053</v>
      </c>
      <c r="T51" s="448"/>
      <c r="U51" s="450" t="str">
        <f>IF(ISERROR(VLOOKUP(T51,'Base de Datos'!$E$7:$AR$302,3,0))=TRUE," ",(VLOOKUP(T51,'Base de Datos'!$E$7:$AR$302,2,0)))</f>
        <v xml:space="preserve"> </v>
      </c>
      <c r="V51" s="453" t="str">
        <f>IF(ISERROR(VLOOKUP(T51,'Base de Datos'!$E$7:$AR$302,5,0))=TRUE," ",(VLOOKUP(T51,'Base de Datos'!$E$7:$AR$302,5,0)))</f>
        <v xml:space="preserve"> </v>
      </c>
      <c r="W51" s="450" t="str">
        <f>IF(ISERROR(VLOOKUP(T51,'Base de Datos'!$E$7:$AR$302,19,0))=TRUE," ",(VLOOKUP(T51,'Base de Datos'!$E$7:$AR$302,19,0)))</f>
        <v xml:space="preserve"> </v>
      </c>
      <c r="X51" s="455" t="str">
        <f>IF(ISERROR(VLOOKUP(T51,'Base de Datos'!$E$7:$AR$302,8,0))=TRUE," ",(VLOOKUP(T51,'Base de Datos'!$E$7:$AR$302,8,0)))</f>
        <v xml:space="preserve"> </v>
      </c>
      <c r="Y51" s="455" t="str">
        <f>IF(ISERROR(VLOOKUP(T51,'Base de Datos'!$E$7:$AR$302,9,0))=TRUE," ",(VLOOKUP(T51,'Base de Datos'!$E$7:$AR$302,9,0)))</f>
        <v xml:space="preserve"> </v>
      </c>
      <c r="Z51" s="449" t="str">
        <f>IF(ISERROR(VLOOKUP(T51,'Base de Datos'!$E$7:$AR$302,10,0))=TRUE," ",(VLOOKUP(T51,'Base de Datos'!$E$7:$AR$302,10,0)))</f>
        <v xml:space="preserve"> </v>
      </c>
      <c r="AA51" s="452" t="str">
        <f>IF(ISERROR(VLOOKUP(T51,'Base de Datos'!$E$7:$AR$302,11,0))=TRUE," ",(VLOOKUP(T51,'Base de Datos'!$E$7:$AR$302,11,0)))</f>
        <v xml:space="preserve"> </v>
      </c>
      <c r="AB51" s="449" t="str">
        <f>IF(ISERROR(VLOOKUP(T51,'Base de Datos'!$E$7:$AR$302,12,0))=TRUE," ",(VLOOKUP(T51,'Base de Datos'!$E$7:$AR$302,12,0)))</f>
        <v xml:space="preserve"> </v>
      </c>
      <c r="AC51" s="449" t="str">
        <f>IF(ISERROR(VLOOKUP(T51,'Base de Datos'!$E$7:$AR$302,12,0))=TRUE," ",(VLOOKUP(T51,'Base de Datos'!$E$7:$AR$302,12,0)))</f>
        <v xml:space="preserve"> </v>
      </c>
      <c r="AD51" s="455" t="str">
        <f>IF(ISERROR(VLOOKUP(T51,'Base de Datos'!$E$7:$AR$302,15,0))=TRUE," ",(VLOOKUP(T51,'Base de Datos'!$E$7:$AR$302,15,0)))</f>
        <v xml:space="preserve"> </v>
      </c>
      <c r="AE51" s="460" t="str">
        <f>IF(ISERROR(VLOOKUP(T51,'Base de Datos'!$E$7:$AR$302,16,0))=TRUE," ",(VLOOKUP(T51,'Base de Datos'!$E$7:$AR$302,16,0)))</f>
        <v xml:space="preserve"> </v>
      </c>
      <c r="AF51" s="460" t="str">
        <f>IF(ISERROR(VLOOKUP(T51,'Base de Datos'!$E$7:$AR$302,17,0))=TRUE," ",(VLOOKUP(T51,'Base de Datos'!$E$7:$AR$302,17,0)))</f>
        <v xml:space="preserve"> </v>
      </c>
      <c r="AG51" s="460" t="str">
        <f>IF(ISERROR(VLOOKUP(T51,'Base de Datos'!$E$7:$AR$302,18,0))=TRUE," ",(VLOOKUP(T51,'Base de Datos'!$E$7:$AR$302,18,0)))</f>
        <v xml:space="preserve"> </v>
      </c>
      <c r="AH51" s="461" t="str">
        <f>IF(ISERROR(VLOOKUP(T51,'Base de Datos'!$E$7:$AR$302,20,0))=TRUE," ",(VLOOKUP(T51,'Base de Datos'!$E$7:$AR$302,20,0)))</f>
        <v xml:space="preserve"> </v>
      </c>
      <c r="AI51" s="461" t="str">
        <f>IF(ISERROR(VLOOKUP(T51,'Base de Datos'!$E$7:$AR$302,21,0))=TRUE," ",(VLOOKUP(T51,'Base de Datos'!$E$7:$AR$302,21,0)))</f>
        <v xml:space="preserve"> </v>
      </c>
      <c r="AJ51" s="464">
        <v>42207</v>
      </c>
      <c r="AK51" s="450" t="str">
        <f>IF(ISERROR(VLOOKUP(D51,'Base de Datos'!$C$7:$AR$400,2,0))=TRUE," ",(VLOOKUP(D51,'Base de Datos'!$C$7:$AR$400,2,0)))</f>
        <v>2015140</v>
      </c>
      <c r="AL51" s="450" t="str">
        <f>IF(ISERROR(VLOOKUP(D51,'Base de Datos'!$C$7:$AR$400,3,0))=TRUE," ",(VLOOKUP(D51,'Base de Datos'!$C$7:$AR$400,3,0)))</f>
        <v>150320-0-2015</v>
      </c>
      <c r="AM51" s="453" t="str">
        <f>IF(ISERROR(VLOOKUP(D51,'Base de Datos'!$C$7:$AR$3761,6,0))=TRUE," ",(VLOOKUP(D51,'Base de Datos'!$C$7:$AR$400,6,0)))</f>
        <v>Suscripción al servicio de información jurídica de boletines informáticos por correo electrónico, consultas en página WEB y biblioteca de la legislación y jurisprudencia colombiana actualizada para el Concejo de Bogotá D.C.</v>
      </c>
      <c r="AN51" s="453">
        <f>IF(ISERROR(VLOOKUP(D51,'Base de Datos'!$C$7:$AR$400,20,0))=TRUE," ",(VLOOKUP(D51,'Base de Datos'!$C$7:$AR$400,19,0)))</f>
        <v>715000</v>
      </c>
      <c r="AO51" s="456">
        <f>IF(ISERROR(VLOOKUP(D51,'Base de Datos'!$C$7:$AR$400,9,0))=TRUE," ",(VLOOKUP(D51,'Base de Datos'!$C$7:$AR$400,9,0)))</f>
        <v>2015</v>
      </c>
      <c r="AP51" s="456">
        <f>IF(ISERROR(VLOOKUP(D51,'Base de Datos'!$C$7:$AR$400,10,0))=TRUE," ",(VLOOKUP(D51,'Base de Datos'!$C$7:$AR$400,10,0)))</f>
        <v>42207</v>
      </c>
      <c r="AQ51" s="458">
        <f>IF(ISERROR(VLOOKUP(D51,'Base de Datos'!$C$7:$AR$400,11,0))=TRUE," ",(VLOOKUP(D51,'Base de Datos'!$C$7:$AR$400,11,0)))</f>
        <v>42221</v>
      </c>
      <c r="AR51" s="459">
        <f>IF(ISERROR(VLOOKUP(D51,'Base de Datos'!$C$7:$AR$400,12,0))=TRUE," ",(VLOOKUP(D51,'Base de Datos'!$C$7:$AR$400,12,0)))</f>
        <v>42587</v>
      </c>
      <c r="AS51" s="458">
        <f>IF(ISERROR(VLOOKUP(D51,'Base de Datos'!$C$7:$AR$400,13,0))=TRUE," ",(VLOOKUP(D51,'Base de Datos'!$C$7:$AR$400,13,0)))</f>
        <v>0</v>
      </c>
      <c r="AT51" s="458">
        <f>IF(ISERROR(VLOOKUP(D51,'Base de Datos'!$C$7:$AR$400,14,0))=TRUE," ",(VLOOKUP(D51,'Base de Datos'!$C$7:$AR$400,14,0)))</f>
        <v>0</v>
      </c>
      <c r="AU51" s="456" t="str">
        <f>IF(ISERROR(VLOOKUP(D51,'Base de Datos'!$C$7:$AR$400,16,0))=TRUE," ",(VLOOKUP(D51,'Base de Datos'!$C$7:$AR$400,16,0)))</f>
        <v/>
      </c>
      <c r="AV51" s="460" t="str">
        <f>IF(ISERROR(VLOOKUP(D51,'Base de Datos'!$C$7:$AR$400,17,0))=TRUE," ",(VLOOKUP(D51,'Base de Datos'!$C$7:$AR$400,17,0)))</f>
        <v/>
      </c>
      <c r="AW51" s="460">
        <f>IF(ISERROR(VLOOKUP(D51,'Base de Datos'!$C$7:$AR$400,18,0))=TRUE," ",(VLOOKUP(D51,'Base de Datos'!$C$7:$AR$400,18,0)))</f>
        <v>42587</v>
      </c>
      <c r="AX51" s="460">
        <f>IF(ISERROR(VLOOKUP(D51,'Base de Datos'!$C$7:$AR$400,19,0))=TRUE," ",(VLOOKUP(D51,'Base de Datos'!$C$7:$AR$400,19,0)))</f>
        <v>715000</v>
      </c>
      <c r="AY51" s="463">
        <f>IF(ISERROR(VLOOKUP(D51,'Base de Datos'!$C$7:$AR$400,21,0))=TRUE," ",(VLOOKUP(D51,'Base de Datos'!$C$7:$AR$400,21,0)))</f>
        <v>0</v>
      </c>
      <c r="AZ51" s="463" t="str">
        <f>IF(ISERROR(VLOOKUP(D51,'Base de Datos'!$C$7:$AR$400,22,0))=TRUE," ",(VLOOKUP(D51,'Base de Datos'!$C$7:$AR$400,22,0)))</f>
        <v>Único pago</v>
      </c>
      <c r="BA51" s="470"/>
      <c r="BB51" s="480"/>
    </row>
    <row r="52" spans="2:54" ht="55.5" hidden="1" customHeight="1" x14ac:dyDescent="0.25">
      <c r="B52" s="433">
        <v>45</v>
      </c>
      <c r="C52" s="441" t="s">
        <v>1642</v>
      </c>
      <c r="D52" s="433">
        <v>141</v>
      </c>
      <c r="E52" s="441" t="s">
        <v>1653</v>
      </c>
      <c r="F52" s="442">
        <f>VLOOKUP(D52,'Presupuesto - PAA 2015'!$B$10:$E$265,4,0)</f>
        <v>1226994</v>
      </c>
      <c r="G52" s="434" t="str">
        <f>VLOOKUP(D52,'[4]Seguimiento Plan'!$C$2:$R$101,16,0)</f>
        <v>Suscripción al períodico El Tiempo y Portafolio para el Concejo de Bogotá.</v>
      </c>
      <c r="H52" s="434" t="s">
        <v>1776</v>
      </c>
      <c r="I52" s="434" t="s">
        <v>1714</v>
      </c>
      <c r="J52" s="443" t="s">
        <v>908</v>
      </c>
      <c r="K52" s="444" t="s">
        <v>390</v>
      </c>
      <c r="L52" s="444" t="str">
        <f>VLOOKUP(D52,'[4]Seguimiento Plan'!$C$2:$AJ$101,30,0)</f>
        <v>SI</v>
      </c>
      <c r="M52" s="445">
        <f>VLOOKUP(D52,'[4]Seguimiento Plan'!$C$2:$AJ$101,31,0)</f>
        <v>42020</v>
      </c>
      <c r="N52" s="444"/>
      <c r="O52" s="446"/>
      <c r="P52" s="446"/>
      <c r="Q52" s="446"/>
      <c r="R52" s="524"/>
      <c r="S52" s="351" t="s">
        <v>1594</v>
      </c>
      <c r="T52" s="448" t="s">
        <v>252</v>
      </c>
      <c r="U52" s="450" t="str">
        <f>IF(ISERROR(VLOOKUP(T52,'Base de Datos'!$E$7:$AR$302,3,0))=TRUE," ",(VLOOKUP(T52,'Base de Datos'!$E$7:$AR$302,2,0)))</f>
        <v>CASA EDITORIAL EL TIEMPO SA</v>
      </c>
      <c r="V52" s="453">
        <f>IF(ISERROR(VLOOKUP(T52,'Base de Datos'!$E$7:$AR$302,5,0))=TRUE," ",(VLOOKUP(T52,'Base de Datos'!$E$7:$AR$302,5,0)))</f>
        <v>1197000</v>
      </c>
      <c r="W52" s="450">
        <f>IF(ISERROR(VLOOKUP(T52,'Base de Datos'!$E$7:$AR$302,19,0))=TRUE," ",(VLOOKUP(T52,'Base de Datos'!$E$7:$AR$302,19,0)))</f>
        <v>0</v>
      </c>
      <c r="X52" s="455" t="str">
        <f>IF(ISERROR(VLOOKUP(T52,'Base de Datos'!$E$7:$AR$302,8,0))=TRUE," ",(VLOOKUP(T52,'Base de Datos'!$E$7:$AR$302,8,0)))</f>
        <v xml:space="preserve"> </v>
      </c>
      <c r="Y52" s="455">
        <f>IF(ISERROR(VLOOKUP(T52,'Base de Datos'!$E$7:$AR$302,9,0))=TRUE," ",(VLOOKUP(T52,'Base de Datos'!$E$7:$AR$302,9,0)))</f>
        <v>41717</v>
      </c>
      <c r="Z52" s="449">
        <f>IF(ISERROR(VLOOKUP(T52,'Base de Datos'!$E$7:$AR$302,10,0))=TRUE," ",(VLOOKUP(T52,'Base de Datos'!$E$7:$AR$302,10,0)))</f>
        <v>42081</v>
      </c>
      <c r="AA52" s="452">
        <f>IF(ISERROR(VLOOKUP(T52,'Base de Datos'!$E$7:$AR$302,11,0))=TRUE," ",(VLOOKUP(T52,'Base de Datos'!$E$7:$AR$302,11,0)))</f>
        <v>0</v>
      </c>
      <c r="AB52" s="449">
        <f>IF(ISERROR(VLOOKUP(T52,'Base de Datos'!$E$7:$AR$302,12,0))=TRUE," ",(VLOOKUP(T52,'Base de Datos'!$E$7:$AR$302,12,0)))</f>
        <v>0</v>
      </c>
      <c r="AC52" s="449">
        <f>IF(ISERROR(VLOOKUP(T52,'Base de Datos'!$E$7:$AR$302,12,0))=TRUE," ",(VLOOKUP(T52,'Base de Datos'!$E$7:$AR$302,12,0)))</f>
        <v>0</v>
      </c>
      <c r="AD52" s="455" t="str">
        <f>IF(ISERROR(VLOOKUP(T52,'Base de Datos'!$E$7:$AR$302,15,0))=TRUE," ",(VLOOKUP(T52,'Base de Datos'!$E$7:$AR$302,15,0)))</f>
        <v/>
      </c>
      <c r="AE52" s="460">
        <f>IF(ISERROR(VLOOKUP(T52,'Base de Datos'!$E$7:$AR$302,16,0))=TRUE," ",(VLOOKUP(T52,'Base de Datos'!$E$7:$AR$302,16,0)))</f>
        <v>42081</v>
      </c>
      <c r="AF52" s="460">
        <f>IF(ISERROR(VLOOKUP(T52,'Base de Datos'!$E$7:$AR$302,17,0))=TRUE," ",(VLOOKUP(T52,'Base de Datos'!$E$7:$AR$302,17,0)))</f>
        <v>1197000</v>
      </c>
      <c r="AG52" s="460">
        <f>IF(ISERROR(VLOOKUP(T52,'Base de Datos'!$E$7:$AR$302,18,0))=TRUE," ",(VLOOKUP(T52,'Base de Datos'!$E$7:$AR$302,18,0)))</f>
        <v>1197000</v>
      </c>
      <c r="AH52" s="461" t="str">
        <f>IF(ISERROR(VLOOKUP(T52,'Base de Datos'!$E$7:$AR$302,20,0))=TRUE," ",(VLOOKUP(T52,'Base de Datos'!$E$7:$AR$302,20,0)))</f>
        <v xml:space="preserve">Un único pago contra la presentación de la factura, acompañada de la constancia de suscripción objeto de la contratación,  previa  certificación expedida por el supervisor del contrato. 
</v>
      </c>
      <c r="AI52" s="461">
        <f>IF(ISERROR(VLOOKUP(T52,'Base de Datos'!$E$7:$AR$302,21,0))=TRUE," ",(VLOOKUP(T52,'Base de Datos'!$E$7:$AR$302,21,0)))</f>
        <v>1</v>
      </c>
      <c r="AJ52" s="455">
        <v>42080</v>
      </c>
      <c r="AK52" s="450" t="str">
        <f>IF(ISERROR(VLOOKUP(D52,'Base de Datos'!$C$7:$AR$400,2,0))=TRUE," ",(VLOOKUP(D52,'Base de Datos'!$C$7:$AR$400,2,0)))</f>
        <v>2015141</v>
      </c>
      <c r="AL52" s="450" t="str">
        <f>IF(ISERROR(VLOOKUP(D52,'Base de Datos'!$C$7:$AR$400,3,0))=TRUE," ",(VLOOKUP(D52,'Base de Datos'!$C$7:$AR$400,3,0)))</f>
        <v>150123-0-2015</v>
      </c>
      <c r="AM52" s="453" t="str">
        <f>IF(ISERROR(VLOOKUP(D52,'Base de Datos'!$C$7:$AR$3761,6,0))=TRUE," ",(VLOOKUP(D52,'Base de Datos'!$C$7:$AR$400,6,0)))</f>
        <v>Suscripción a los diarios el TIEMPO Y PORTAFOLIO con destino al concejo de Bogotá D.C.</v>
      </c>
      <c r="AN52" s="453">
        <f>IF(ISERROR(VLOOKUP(D52,'Base de Datos'!$C$7:$AR$400,20,0))=TRUE," ",(VLOOKUP(D52,'Base de Datos'!$C$7:$AR$400,19,0)))</f>
        <v>1226994</v>
      </c>
      <c r="AO52" s="456">
        <f>IF(ISERROR(VLOOKUP(D52,'Base de Datos'!$C$7:$AR$400,9,0))=TRUE," ",(VLOOKUP(D52,'Base de Datos'!$C$7:$AR$400,9,0)))</f>
        <v>2015</v>
      </c>
      <c r="AP52" s="456">
        <f>IF(ISERROR(VLOOKUP(D52,'Base de Datos'!$C$7:$AR$400,10,0))=TRUE," ",(VLOOKUP(D52,'Base de Datos'!$C$7:$AR$400,10,0)))</f>
        <v>42080</v>
      </c>
      <c r="AQ52" s="458">
        <f>IF(ISERROR(VLOOKUP(D52,'Base de Datos'!$C$7:$AR$400,11,0))=TRUE," ",(VLOOKUP(D52,'Base de Datos'!$C$7:$AR$400,11,0)))</f>
        <v>42082</v>
      </c>
      <c r="AR52" s="459">
        <f>IF(ISERROR(VLOOKUP(D52,'Base de Datos'!$C$7:$AR$400,12,0))=TRUE," ",(VLOOKUP(D52,'Base de Datos'!$C$7:$AR$400,12,0)))</f>
        <v>42447</v>
      </c>
      <c r="AS52" s="458">
        <f>IF(ISERROR(VLOOKUP(D52,'Base de Datos'!$C$7:$AR$400,13,0))=TRUE," ",(VLOOKUP(D52,'Base de Datos'!$C$7:$AR$400,13,0)))</f>
        <v>0</v>
      </c>
      <c r="AT52" s="458">
        <f>IF(ISERROR(VLOOKUP(D52,'Base de Datos'!$C$7:$AR$400,14,0))=TRUE," ",(VLOOKUP(D52,'Base de Datos'!$C$7:$AR$400,14,0)))</f>
        <v>0</v>
      </c>
      <c r="AU52" s="456" t="str">
        <f>IF(ISERROR(VLOOKUP(D52,'Base de Datos'!$C$7:$AR$400,16,0))=TRUE," ",(VLOOKUP(D52,'Base de Datos'!$C$7:$AR$400,16,0)))</f>
        <v/>
      </c>
      <c r="AV52" s="460" t="str">
        <f>IF(ISERROR(VLOOKUP(D52,'Base de Datos'!$C$7:$AR$400,17,0))=TRUE," ",(VLOOKUP(D52,'Base de Datos'!$C$7:$AR$400,17,0)))</f>
        <v/>
      </c>
      <c r="AW52" s="460">
        <f>IF(ISERROR(VLOOKUP(D52,'Base de Datos'!$C$7:$AR$400,18,0))=TRUE," ",(VLOOKUP(D52,'Base de Datos'!$C$7:$AR$400,18,0)))</f>
        <v>42447</v>
      </c>
      <c r="AX52" s="460">
        <f>IF(ISERROR(VLOOKUP(D52,'Base de Datos'!$C$7:$AR$400,19,0))=TRUE," ",(VLOOKUP(D52,'Base de Datos'!$C$7:$AR$400,19,0)))</f>
        <v>1226994</v>
      </c>
      <c r="AY52" s="463">
        <f>IF(ISERROR(VLOOKUP(D52,'Base de Datos'!$C$7:$AR$400,21,0))=TRUE," ",(VLOOKUP(D52,'Base de Datos'!$C$7:$AR$400,21,0)))</f>
        <v>0</v>
      </c>
      <c r="AZ52" s="463" t="str">
        <f>IF(ISERROR(VLOOKUP(D52,'Base de Datos'!$C$7:$AR$400,22,0))=TRUE," ",(VLOOKUP(D52,'Base de Datos'!$C$7:$AR$400,22,0)))</f>
        <v>Único pago</v>
      </c>
      <c r="BA52" s="470"/>
      <c r="BB52" s="480"/>
    </row>
    <row r="53" spans="2:54" ht="55.5" hidden="1" customHeight="1" x14ac:dyDescent="0.25">
      <c r="B53" s="433">
        <v>46</v>
      </c>
      <c r="C53" s="441" t="s">
        <v>1642</v>
      </c>
      <c r="D53" s="433">
        <v>142</v>
      </c>
      <c r="E53" s="441" t="s">
        <v>1653</v>
      </c>
      <c r="F53" s="442">
        <f>VLOOKUP(D53,'Presupuesto - PAA 2015'!$B$10:$E$265,4,0)</f>
        <v>7800000</v>
      </c>
      <c r="G53" s="434" t="str">
        <f>VLOOKUP(D53,'[4]Seguimiento Plan'!$C$2:$R$101,16,0)</f>
        <v>Suscripción a la Revista del Congreso para el Concejo de Bogotá.-</v>
      </c>
      <c r="H53" s="434" t="s">
        <v>1776</v>
      </c>
      <c r="I53" s="434" t="s">
        <v>1714</v>
      </c>
      <c r="J53" s="443" t="s">
        <v>908</v>
      </c>
      <c r="K53" s="444" t="s">
        <v>390</v>
      </c>
      <c r="L53" s="444" t="str">
        <f>VLOOKUP(D53,'[4]Seguimiento Plan'!$C$2:$AJ$101,30,0)</f>
        <v>SI</v>
      </c>
      <c r="M53" s="445">
        <f>VLOOKUP(D53,'[4]Seguimiento Plan'!$C$2:$AJ$101,31,0)</f>
        <v>42058</v>
      </c>
      <c r="N53" s="444"/>
      <c r="O53" s="446"/>
      <c r="P53" s="446"/>
      <c r="Q53" s="446"/>
      <c r="R53" s="447"/>
      <c r="S53" s="447"/>
      <c r="T53" s="448" t="s">
        <v>278</v>
      </c>
      <c r="U53" s="450" t="str">
        <f>IF(ISERROR(VLOOKUP(T53,'Base de Datos'!$E$7:$AR$302,3,0))=TRUE," ",(VLOOKUP(T53,'Base de Datos'!$E$7:$AR$302,2,0)))</f>
        <v>REVISTA EL CONGRESO SIGLO XXI LTDA</v>
      </c>
      <c r="V53" s="453">
        <f>IF(ISERROR(VLOOKUP(T53,'Base de Datos'!$E$7:$AR$302,5,0))=TRUE," ",(VLOOKUP(T53,'Base de Datos'!$E$7:$AR$302,5,0)))</f>
        <v>7740000</v>
      </c>
      <c r="W53" s="450">
        <f>IF(ISERROR(VLOOKUP(T53,'Base de Datos'!$E$7:$AR$302,19,0))=TRUE," ",(VLOOKUP(T53,'Base de Datos'!$E$7:$AR$302,19,0)))</f>
        <v>0</v>
      </c>
      <c r="X53" s="455" t="str">
        <f>IF(ISERROR(VLOOKUP(T53,'Base de Datos'!$E$7:$AR$302,8,0))=TRUE," ",(VLOOKUP(T53,'Base de Datos'!$E$7:$AR$302,8,0)))</f>
        <v xml:space="preserve"> </v>
      </c>
      <c r="Y53" s="455">
        <f>IF(ISERROR(VLOOKUP(T53,'Base de Datos'!$E$7:$AR$302,9,0))=TRUE," ",(VLOOKUP(T53,'Base de Datos'!$E$7:$AR$302,9,0)))</f>
        <v>41775</v>
      </c>
      <c r="Z53" s="449">
        <f>IF(ISERROR(VLOOKUP(T53,'Base de Datos'!$E$7:$AR$302,10,0))=TRUE," ",(VLOOKUP(T53,'Base de Datos'!$E$7:$AR$302,10,0)))</f>
        <v>42139</v>
      </c>
      <c r="AA53" s="452">
        <f>IF(ISERROR(VLOOKUP(T53,'Base de Datos'!$E$7:$AR$302,11,0))=TRUE," ",(VLOOKUP(T53,'Base de Datos'!$E$7:$AR$302,11,0)))</f>
        <v>0</v>
      </c>
      <c r="AB53" s="449">
        <f>IF(ISERROR(VLOOKUP(T53,'Base de Datos'!$E$7:$AR$302,12,0))=TRUE," ",(VLOOKUP(T53,'Base de Datos'!$E$7:$AR$302,12,0)))</f>
        <v>0</v>
      </c>
      <c r="AC53" s="449">
        <f>IF(ISERROR(VLOOKUP(T53,'Base de Datos'!$E$7:$AR$302,12,0))=TRUE," ",(VLOOKUP(T53,'Base de Datos'!$E$7:$AR$302,12,0)))</f>
        <v>0</v>
      </c>
      <c r="AD53" s="455" t="str">
        <f>IF(ISERROR(VLOOKUP(T53,'Base de Datos'!$E$7:$AR$302,15,0))=TRUE," ",(VLOOKUP(T53,'Base de Datos'!$E$7:$AR$302,15,0)))</f>
        <v/>
      </c>
      <c r="AE53" s="460">
        <f>IF(ISERROR(VLOOKUP(T53,'Base de Datos'!$E$7:$AR$302,16,0))=TRUE," ",(VLOOKUP(T53,'Base de Datos'!$E$7:$AR$302,16,0)))</f>
        <v>42139</v>
      </c>
      <c r="AF53" s="460">
        <f>IF(ISERROR(VLOOKUP(T53,'Base de Datos'!$E$7:$AR$302,17,0))=TRUE," ",(VLOOKUP(T53,'Base de Datos'!$E$7:$AR$302,17,0)))</f>
        <v>7740000</v>
      </c>
      <c r="AG53" s="460">
        <f>IF(ISERROR(VLOOKUP(T53,'Base de Datos'!$E$7:$AR$302,18,0))=TRUE," ",(VLOOKUP(T53,'Base de Datos'!$E$7:$AR$302,18,0)))</f>
        <v>7740000</v>
      </c>
      <c r="AH53" s="461" t="str">
        <f>IF(ISERROR(VLOOKUP(T53,'Base de Datos'!$E$7:$AR$302,20,0))=TRUE," ",(VLOOKUP(T53,'Base de Datos'!$E$7:$AR$302,20,0)))</f>
        <v xml:space="preserve">Un único pago contra la presentación de la factura, acompañada de la constancia de suscripción objeto de la contratación,  previa  certificación expedida por el supervisor del contrato.
</v>
      </c>
      <c r="AI53" s="461">
        <f>IF(ISERROR(VLOOKUP(T53,'Base de Datos'!$E$7:$AR$302,21,0))=TRUE," ",(VLOOKUP(T53,'Base de Datos'!$E$7:$AR$302,21,0)))</f>
        <v>1</v>
      </c>
      <c r="AJ53" s="464">
        <v>42139</v>
      </c>
      <c r="AK53" s="450" t="str">
        <f>IF(ISERROR(VLOOKUP(D53,'Base de Datos'!$C$7:$AR$400,2,0))=TRUE," ",(VLOOKUP(D53,'Base de Datos'!$C$7:$AR$400,2,0)))</f>
        <v>2015142</v>
      </c>
      <c r="AL53" s="450" t="str">
        <f>IF(ISERROR(VLOOKUP(D53,'Base de Datos'!$C$7:$AR$400,3,0))=TRUE," ",(VLOOKUP(D53,'Base de Datos'!$C$7:$AR$400,3,0)))</f>
        <v>150228-0-2015</v>
      </c>
      <c r="AM53" s="453" t="str">
        <f>IF(ISERROR(VLOOKUP(D53,'Base de Datos'!$C$7:$AR$3761,6,0))=TRUE," ",(VLOOKUP(D53,'Base de Datos'!$C$7:$AR$400,6,0)))</f>
        <v xml:space="preserve">Suscripción a la Revista El Congreso Siglo XXI con destino al Concejo de Bogotá D.C. </v>
      </c>
      <c r="AN53" s="453">
        <f>IF(ISERROR(VLOOKUP(D53,'Base de Datos'!$C$7:$AR$400,20,0))=TRUE," ",(VLOOKUP(D53,'Base de Datos'!$C$7:$AR$400,19,0)))</f>
        <v>7800000</v>
      </c>
      <c r="AO53" s="456">
        <f>IF(ISERROR(VLOOKUP(D53,'Base de Datos'!$C$7:$AR$400,9,0))=TRUE," ",(VLOOKUP(D53,'Base de Datos'!$C$7:$AR$400,9,0)))</f>
        <v>2015</v>
      </c>
      <c r="AP53" s="456">
        <f>IF(ISERROR(VLOOKUP(D53,'Base de Datos'!$C$7:$AR$400,10,0))=TRUE," ",(VLOOKUP(D53,'Base de Datos'!$C$7:$AR$400,10,0)))</f>
        <v>42139</v>
      </c>
      <c r="AQ53" s="458">
        <f>IF(ISERROR(VLOOKUP(D53,'Base de Datos'!$C$7:$AR$400,11,0))=TRUE," ",(VLOOKUP(D53,'Base de Datos'!$C$7:$AR$400,11,0)))</f>
        <v>42145</v>
      </c>
      <c r="AR53" s="459">
        <f>IF(ISERROR(VLOOKUP(D53,'Base de Datos'!$C$7:$AR$400,12,0))=TRUE," ",(VLOOKUP(D53,'Base de Datos'!$C$7:$AR$400,12,0)))</f>
        <v>42511</v>
      </c>
      <c r="AS53" s="458">
        <f>IF(ISERROR(VLOOKUP(D53,'Base de Datos'!$C$7:$AR$400,13,0))=TRUE," ",(VLOOKUP(D53,'Base de Datos'!$C$7:$AR$400,13,0)))</f>
        <v>0</v>
      </c>
      <c r="AT53" s="458">
        <f>IF(ISERROR(VLOOKUP(D53,'Base de Datos'!$C$7:$AR$400,14,0))=TRUE," ",(VLOOKUP(D53,'Base de Datos'!$C$7:$AR$400,14,0)))</f>
        <v>0</v>
      </c>
      <c r="AU53" s="456" t="str">
        <f>IF(ISERROR(VLOOKUP(D53,'Base de Datos'!$C$7:$AR$400,16,0))=TRUE," ",(VLOOKUP(D53,'Base de Datos'!$C$7:$AR$400,16,0)))</f>
        <v/>
      </c>
      <c r="AV53" s="460" t="str">
        <f>IF(ISERROR(VLOOKUP(D53,'Base de Datos'!$C$7:$AR$400,17,0))=TRUE," ",(VLOOKUP(D53,'Base de Datos'!$C$7:$AR$400,17,0)))</f>
        <v/>
      </c>
      <c r="AW53" s="460">
        <f>IF(ISERROR(VLOOKUP(D53,'Base de Datos'!$C$7:$AR$400,18,0))=TRUE," ",(VLOOKUP(D53,'Base de Datos'!$C$7:$AR$400,18,0)))</f>
        <v>42511</v>
      </c>
      <c r="AX53" s="460">
        <f>IF(ISERROR(VLOOKUP(D53,'Base de Datos'!$C$7:$AR$400,19,0))=TRUE," ",(VLOOKUP(D53,'Base de Datos'!$C$7:$AR$400,19,0)))</f>
        <v>7800000</v>
      </c>
      <c r="AY53" s="463">
        <f>IF(ISERROR(VLOOKUP(D53,'Base de Datos'!$C$7:$AR$400,21,0))=TRUE," ",(VLOOKUP(D53,'Base de Datos'!$C$7:$AR$400,21,0)))</f>
        <v>0</v>
      </c>
      <c r="AZ53" s="463" t="str">
        <f>IF(ISERROR(VLOOKUP(D53,'Base de Datos'!$C$7:$AR$400,22,0))=TRUE," ",(VLOOKUP(D53,'Base de Datos'!$C$7:$AR$400,22,0)))</f>
        <v>Único pago</v>
      </c>
      <c r="BA53" s="470"/>
      <c r="BB53" s="480"/>
    </row>
    <row r="54" spans="2:54" ht="55.5" hidden="1" customHeight="1" x14ac:dyDescent="0.25">
      <c r="B54" s="433">
        <v>47</v>
      </c>
      <c r="C54" s="441" t="s">
        <v>1642</v>
      </c>
      <c r="D54" s="433">
        <v>143</v>
      </c>
      <c r="E54" s="441" t="s">
        <v>1653</v>
      </c>
      <c r="F54" s="442">
        <f>VLOOKUP(D54,'Presupuesto - PAA 2015'!$B$10:$E$265,4,0)</f>
        <v>4100000</v>
      </c>
      <c r="G54" s="434" t="str">
        <f>VLOOKUP(D54,'[4]Seguimiento Plan'!$C$2:$R$101,16,0)</f>
        <v>Suscripción al Directorio de Despachos Públicos para el Concejo de Bogotá.-</v>
      </c>
      <c r="H54" s="434" t="s">
        <v>1776</v>
      </c>
      <c r="I54" s="434" t="s">
        <v>1714</v>
      </c>
      <c r="J54" s="443" t="s">
        <v>908</v>
      </c>
      <c r="K54" s="444"/>
      <c r="L54" s="444" t="s">
        <v>390</v>
      </c>
      <c r="M54" s="445"/>
      <c r="N54" s="444"/>
      <c r="O54" s="446"/>
      <c r="P54" s="446"/>
      <c r="Q54" s="446"/>
      <c r="R54" s="447"/>
      <c r="S54" s="465" t="s">
        <v>1592</v>
      </c>
      <c r="T54" s="448" t="s">
        <v>270</v>
      </c>
      <c r="U54" s="450" t="str">
        <f>IF(ISERROR(VLOOKUP(T54,'Base de Datos'!$E$7:$AR$302,3,0))=TRUE," ",(VLOOKUP(T54,'Base de Datos'!$E$7:$AR$302,2,0)))</f>
        <v>DPC LTDA PUBLICACIONES DESPACHOS PÚBLICOS DE COLOMBIA LTDA</v>
      </c>
      <c r="V54" s="453">
        <f>IF(ISERROR(VLOOKUP(T54,'Base de Datos'!$E$7:$AR$302,5,0))=TRUE," ",(VLOOKUP(T54,'Base de Datos'!$E$7:$AR$302,5,0)))</f>
        <v>4000000</v>
      </c>
      <c r="W54" s="450">
        <f>IF(ISERROR(VLOOKUP(T54,'Base de Datos'!$E$7:$AR$302,19,0))=TRUE," ",(VLOOKUP(T54,'Base de Datos'!$E$7:$AR$302,19,0)))</f>
        <v>0</v>
      </c>
      <c r="X54" s="455" t="str">
        <f>IF(ISERROR(VLOOKUP(T54,'Base de Datos'!$E$7:$AR$302,8,0))=TRUE," ",(VLOOKUP(T54,'Base de Datos'!$E$7:$AR$302,8,0)))</f>
        <v xml:space="preserve"> </v>
      </c>
      <c r="Y54" s="455">
        <f>IF(ISERROR(VLOOKUP(T54,'Base de Datos'!$E$7:$AR$302,9,0))=TRUE," ",(VLOOKUP(T54,'Base de Datos'!$E$7:$AR$302,9,0)))</f>
        <v>41739</v>
      </c>
      <c r="Z54" s="449">
        <f>IF(ISERROR(VLOOKUP(T54,'Base de Datos'!$E$7:$AR$302,10,0))=TRUE," ",(VLOOKUP(T54,'Base de Datos'!$E$7:$AR$302,10,0)))</f>
        <v>41891</v>
      </c>
      <c r="AA54" s="452">
        <f>IF(ISERROR(VLOOKUP(T54,'Base de Datos'!$E$7:$AR$302,11,0))=TRUE," ",(VLOOKUP(T54,'Base de Datos'!$E$7:$AR$302,11,0)))</f>
        <v>0</v>
      </c>
      <c r="AB54" s="449">
        <f>IF(ISERROR(VLOOKUP(T54,'Base de Datos'!$E$7:$AR$302,12,0))=TRUE," ",(VLOOKUP(T54,'Base de Datos'!$E$7:$AR$302,12,0)))</f>
        <v>0</v>
      </c>
      <c r="AC54" s="449">
        <f>IF(ISERROR(VLOOKUP(T54,'Base de Datos'!$E$7:$AR$302,12,0))=TRUE," ",(VLOOKUP(T54,'Base de Datos'!$E$7:$AR$302,12,0)))</f>
        <v>0</v>
      </c>
      <c r="AD54" s="455" t="str">
        <f>IF(ISERROR(VLOOKUP(T54,'Base de Datos'!$E$7:$AR$302,15,0))=TRUE," ",(VLOOKUP(T54,'Base de Datos'!$E$7:$AR$302,15,0)))</f>
        <v/>
      </c>
      <c r="AE54" s="460">
        <f>IF(ISERROR(VLOOKUP(T54,'Base de Datos'!$E$7:$AR$302,16,0))=TRUE," ",(VLOOKUP(T54,'Base de Datos'!$E$7:$AR$302,16,0)))</f>
        <v>41891</v>
      </c>
      <c r="AF54" s="460">
        <f>IF(ISERROR(VLOOKUP(T54,'Base de Datos'!$E$7:$AR$302,17,0))=TRUE," ",(VLOOKUP(T54,'Base de Datos'!$E$7:$AR$302,17,0)))</f>
        <v>4000000</v>
      </c>
      <c r="AG54" s="460">
        <f>IF(ISERROR(VLOOKUP(T54,'Base de Datos'!$E$7:$AR$302,18,0))=TRUE," ",(VLOOKUP(T54,'Base de Datos'!$E$7:$AR$302,18,0)))</f>
        <v>4000000</v>
      </c>
      <c r="AH54" s="461" t="str">
        <f>IF(ISERROR(VLOOKUP(T54,'Base de Datos'!$E$7:$AR$302,20,0))=TRUE," ",(VLOOKUP(T54,'Base de Datos'!$E$7:$AR$302,20,0)))</f>
        <v xml:space="preserve">Un pago único dentro de los ocho (8) días hábiles  siguientes a la radicación en la Subdirección Financiera de los siguientes  documentos: a) Certificación de cumplimiento a satisfacción del objeto y obligaciones, expedida por el supervisor del respectivo contrato, b) factura(s), c) Certificación de pago por concepto de aportes al Sistema de Seguridad Social Integral en Salud, Pensión, ARL, aportes parafiscales: Sena, ICBF y Cajas de Compensación Familiar, cuando corresponda, d) Certificación del banco donde conste que el contratista tiene  cuenta de ahorros o corriente y a la cual se le va a consignar.
</v>
      </c>
      <c r="AI54" s="461">
        <f>IF(ISERROR(VLOOKUP(T54,'Base de Datos'!$E$7:$AR$302,21,0))=TRUE," ",(VLOOKUP(T54,'Base de Datos'!$E$7:$AR$302,21,0)))</f>
        <v>1</v>
      </c>
      <c r="AJ54" s="455">
        <v>42080</v>
      </c>
      <c r="AK54" s="450" t="str">
        <f>IF(ISERROR(VLOOKUP(D54,'Base de Datos'!$C$7:$AR$400,2,0))=TRUE," ",(VLOOKUP(D54,'Base de Datos'!$C$7:$AR$400,2,0)))</f>
        <v>2015143</v>
      </c>
      <c r="AL54" s="450" t="str">
        <f>IF(ISERROR(VLOOKUP(D54,'Base de Datos'!$C$7:$AR$400,3,0))=TRUE," ",(VLOOKUP(D54,'Base de Datos'!$C$7:$AR$400,3,0)))</f>
        <v>150124-0-2015</v>
      </c>
      <c r="AM54" s="453" t="str">
        <f>IF(ISERROR(VLOOKUP(D54,'Base de Datos'!$C$7:$AR$3761,6,0))=TRUE," ",(VLOOKUP(D54,'Base de Datos'!$C$7:$AR$400,6,0)))</f>
        <v>Adquirir a título de compra ejemplares del Directorio de Despachos Públicos de Colombia 2015, para el Concejo de Bogotá D.C.</v>
      </c>
      <c r="AN54" s="453">
        <f>IF(ISERROR(VLOOKUP(D54,'Base de Datos'!$C$7:$AR$400,20,0))=TRUE," ",(VLOOKUP(D54,'Base de Datos'!$C$7:$AR$400,19,0)))</f>
        <v>4100000</v>
      </c>
      <c r="AO54" s="456">
        <f>IF(ISERROR(VLOOKUP(D54,'Base de Datos'!$C$7:$AR$400,9,0))=TRUE," ",(VLOOKUP(D54,'Base de Datos'!$C$7:$AR$400,9,0)))</f>
        <v>2015</v>
      </c>
      <c r="AP54" s="456">
        <f>IF(ISERROR(VLOOKUP(D54,'Base de Datos'!$C$7:$AR$400,10,0))=TRUE," ",(VLOOKUP(D54,'Base de Datos'!$C$7:$AR$400,10,0)))</f>
        <v>42080</v>
      </c>
      <c r="AQ54" s="458">
        <f>IF(ISERROR(VLOOKUP(D54,'Base de Datos'!$C$7:$AR$400,11,0))=TRUE," ",(VLOOKUP(D54,'Base de Datos'!$C$7:$AR$400,11,0)))</f>
        <v>42088</v>
      </c>
      <c r="AR54" s="459">
        <f>IF(ISERROR(VLOOKUP(D54,'Base de Datos'!$C$7:$AR$400,12,0))=TRUE," ",(VLOOKUP(D54,'Base de Datos'!$C$7:$AR$400,12,0)))</f>
        <v>42241</v>
      </c>
      <c r="AS54" s="458">
        <f>IF(ISERROR(VLOOKUP(D54,'Base de Datos'!$C$7:$AR$400,13,0))=TRUE," ",(VLOOKUP(D54,'Base de Datos'!$C$7:$AR$400,13,0)))</f>
        <v>0</v>
      </c>
      <c r="AT54" s="458">
        <f>IF(ISERROR(VLOOKUP(D54,'Base de Datos'!$C$7:$AR$400,14,0))=TRUE," ",(VLOOKUP(D54,'Base de Datos'!$C$7:$AR$400,14,0)))</f>
        <v>0</v>
      </c>
      <c r="AU54" s="456" t="str">
        <f>IF(ISERROR(VLOOKUP(D54,'Base de Datos'!$C$7:$AR$400,16,0))=TRUE," ",(VLOOKUP(D54,'Base de Datos'!$C$7:$AR$400,16,0)))</f>
        <v/>
      </c>
      <c r="AV54" s="460" t="str">
        <f>IF(ISERROR(VLOOKUP(D54,'Base de Datos'!$C$7:$AR$400,17,0))=TRUE," ",(VLOOKUP(D54,'Base de Datos'!$C$7:$AR$400,17,0)))</f>
        <v/>
      </c>
      <c r="AW54" s="460">
        <f>IF(ISERROR(VLOOKUP(D54,'Base de Datos'!$C$7:$AR$400,18,0))=TRUE," ",(VLOOKUP(D54,'Base de Datos'!$C$7:$AR$400,18,0)))</f>
        <v>42241</v>
      </c>
      <c r="AX54" s="460">
        <f>IF(ISERROR(VLOOKUP(D54,'Base de Datos'!$C$7:$AR$400,19,0))=TRUE," ",(VLOOKUP(D54,'Base de Datos'!$C$7:$AR$400,19,0)))</f>
        <v>4100000</v>
      </c>
      <c r="AY54" s="463">
        <f>IF(ISERROR(VLOOKUP(D54,'Base de Datos'!$C$7:$AR$400,21,0))=TRUE," ",(VLOOKUP(D54,'Base de Datos'!$C$7:$AR$400,21,0)))</f>
        <v>0</v>
      </c>
      <c r="AZ54" s="463" t="str">
        <f>IF(ISERROR(VLOOKUP(D54,'Base de Datos'!$C$7:$AR$400,22,0))=TRUE," ",(VLOOKUP(D54,'Base de Datos'!$C$7:$AR$400,22,0)))</f>
        <v>Único pago</v>
      </c>
      <c r="BA54" s="470"/>
      <c r="BB54" s="480"/>
    </row>
    <row r="55" spans="2:54" ht="55.5" hidden="1" customHeight="1" x14ac:dyDescent="0.25">
      <c r="B55" s="433">
        <v>48</v>
      </c>
      <c r="C55" s="441" t="s">
        <v>1642</v>
      </c>
      <c r="D55" s="433">
        <v>144</v>
      </c>
      <c r="E55" s="441" t="s">
        <v>1653</v>
      </c>
      <c r="F55" s="442">
        <f>VLOOKUP(D55,'Presupuesto - PAA 2015'!$B$10:$E$265,4,0)</f>
        <v>936000</v>
      </c>
      <c r="G55" s="434" t="str">
        <f>VLOOKUP(D55,'[4]Seguimiento Plan'!$C$2:$R$101,16,0)</f>
        <v>Suscripción al diario el Espectador para el Concejo de Bogotá</v>
      </c>
      <c r="H55" s="434" t="s">
        <v>1776</v>
      </c>
      <c r="I55" s="434" t="s">
        <v>1714</v>
      </c>
      <c r="J55" s="443" t="s">
        <v>908</v>
      </c>
      <c r="K55" s="444" t="s">
        <v>390</v>
      </c>
      <c r="L55" s="444" t="s">
        <v>390</v>
      </c>
      <c r="M55" s="445">
        <v>42123</v>
      </c>
      <c r="N55" s="444"/>
      <c r="O55" s="446"/>
      <c r="P55" s="446"/>
      <c r="Q55" s="446"/>
      <c r="R55" s="447"/>
      <c r="S55" s="447"/>
      <c r="T55" s="345" t="s">
        <v>548</v>
      </c>
      <c r="U55" s="450" t="str">
        <f>IF(ISERROR(VLOOKUP(T55,'Base de Datos'!$E$7:$AR$302,3,0))=TRUE," ",(VLOOKUP(T55,'Base de Datos'!$E$7:$AR$302,2,0)))</f>
        <v>COMUNICAN S.A</v>
      </c>
      <c r="V55" s="453">
        <f>IF(ISERROR(VLOOKUP(T55,'Base de Datos'!$E$7:$AR$302,5,0))=TRUE," ",(VLOOKUP(T55,'Base de Datos'!$E$7:$AR$302,5,0)))</f>
        <v>936000</v>
      </c>
      <c r="W55" s="450">
        <f>IF(ISERROR(VLOOKUP(T55,'Base de Datos'!$E$7:$AR$302,19,0))=TRUE," ",(VLOOKUP(T55,'Base de Datos'!$E$7:$AR$302,19,0)))</f>
        <v>0</v>
      </c>
      <c r="X55" s="455" t="str">
        <f>IF(ISERROR(VLOOKUP(T55,'Base de Datos'!$E$7:$AR$302,8,0))=TRUE," ",(VLOOKUP(T55,'Base de Datos'!$E$7:$AR$302,8,0)))</f>
        <v xml:space="preserve"> </v>
      </c>
      <c r="Y55" s="455">
        <f>IF(ISERROR(VLOOKUP(T55,'Base de Datos'!$E$7:$AR$302,9,0))=TRUE," ",(VLOOKUP(T55,'Base de Datos'!$E$7:$AR$302,9,0)))</f>
        <v>41893</v>
      </c>
      <c r="Z55" s="449">
        <f>IF(ISERROR(VLOOKUP(T55,'Base de Datos'!$E$7:$AR$302,10,0))=TRUE," ",(VLOOKUP(T55,'Base de Datos'!$E$7:$AR$302,10,0)))</f>
        <v>42258</v>
      </c>
      <c r="AA55" s="452">
        <f>IF(ISERROR(VLOOKUP(T55,'Base de Datos'!$E$7:$AR$302,11,0))=TRUE," ",(VLOOKUP(T55,'Base de Datos'!$E$7:$AR$302,11,0)))</f>
        <v>0</v>
      </c>
      <c r="AB55" s="449">
        <f>IF(ISERROR(VLOOKUP(T55,'Base de Datos'!$E$7:$AR$302,12,0))=TRUE," ",(VLOOKUP(T55,'Base de Datos'!$E$7:$AR$302,12,0)))</f>
        <v>0</v>
      </c>
      <c r="AC55" s="449">
        <f>IF(ISERROR(VLOOKUP(T55,'Base de Datos'!$E$7:$AR$302,12,0))=TRUE," ",(VLOOKUP(T55,'Base de Datos'!$E$7:$AR$302,12,0)))</f>
        <v>0</v>
      </c>
      <c r="AD55" s="455" t="str">
        <f>IF(ISERROR(VLOOKUP(T55,'Base de Datos'!$E$7:$AR$302,15,0))=TRUE," ",(VLOOKUP(T55,'Base de Datos'!$E$7:$AR$302,15,0)))</f>
        <v/>
      </c>
      <c r="AE55" s="460">
        <f>IF(ISERROR(VLOOKUP(T55,'Base de Datos'!$E$7:$AR$302,16,0))=TRUE," ",(VLOOKUP(T55,'Base de Datos'!$E$7:$AR$302,16,0)))</f>
        <v>42258</v>
      </c>
      <c r="AF55" s="460">
        <f>IF(ISERROR(VLOOKUP(T55,'Base de Datos'!$E$7:$AR$302,17,0))=TRUE," ",(VLOOKUP(T55,'Base de Datos'!$E$7:$AR$302,17,0)))</f>
        <v>936000</v>
      </c>
      <c r="AG55" s="460">
        <f>IF(ISERROR(VLOOKUP(T55,'Base de Datos'!$E$7:$AR$302,18,0))=TRUE," ",(VLOOKUP(T55,'Base de Datos'!$E$7:$AR$302,18,0)))</f>
        <v>936000</v>
      </c>
      <c r="AH55" s="461" t="str">
        <f>IF(ISERROR(VLOOKUP(T55,'Base de Datos'!$E$7:$AR$302,20,0))=TRUE," ",(VLOOKUP(T55,'Base de Datos'!$E$7:$AR$302,20,0)))</f>
        <v xml:space="preserve">Un pago único contra la presentación de la factura, acompañada de la constancia de suscripción al diario EL ESPECTADOR y certificación de cumplimiento a satisfacción de la suscripción expedida por el supervisor.  
Los pagos se efectuarán dentro de los ocho (8) días hábiles siguientes a la radicación en la Subdirección Financiera de la certificación de cumplimiento a satisfacción del objeto y obligaciones, expedida por el supervisor del contrato, acompañada de los respectivos recibos de pago por concepto de aportes al Sistema de Seguridad Social Integral en Salud y Pensión, aportes parafiscales: Sena, ICBF y Cajas de Compensación Familiar, cuando corresponda.
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
Si las factura(s), cuando haya lugar, no han sido correctamente elaboradas o no se acompañen de los documentos requeridos para el pago, el término para éste solamente empezará a contarse desde la fecha en que se presenten en debida forma o se haya aportado el último de los documentos. Las demoras que se presenten por estos conceptos serán responsabilidad del CONTRATISTA y no tendrá por ello derecho al pago de intereses o compensación de ninguna naturaleza.
</v>
      </c>
      <c r="AI55" s="461">
        <f>IF(ISERROR(VLOOKUP(T55,'Base de Datos'!$E$7:$AR$302,21,0))=TRUE," ",(VLOOKUP(T55,'Base de Datos'!$E$7:$AR$302,21,0)))</f>
        <v>1</v>
      </c>
      <c r="AJ55" s="450"/>
      <c r="AK55" s="450" t="str">
        <f>IF(ISERROR(VLOOKUP(D55,'Base de Datos'!$C$7:$AR$400,2,0))=TRUE," ",(VLOOKUP(D55,'Base de Datos'!$C$7:$AR$400,2,0)))</f>
        <v>2015144</v>
      </c>
      <c r="AL55" s="450" t="str">
        <f>IF(ISERROR(VLOOKUP(D55,'Base de Datos'!$C$7:$AR$400,3,0))=TRUE," ",(VLOOKUP(D55,'Base de Datos'!$C$7:$AR$400,3,0)))</f>
        <v>150330-0-2015</v>
      </c>
      <c r="AM55" s="453" t="str">
        <f>IF(ISERROR(VLOOKUP(D55,'Base de Datos'!$C$7:$AR$3761,6,0))=TRUE," ",(VLOOKUP(D55,'Base de Datos'!$C$7:$AR$400,6,0)))</f>
        <v xml:space="preserve">Suscripción al DIARIO EL ESPECTADOR, para el Concejo de Bogotá D.C. </v>
      </c>
      <c r="AN55" s="453">
        <f>IF(ISERROR(VLOOKUP(D55,'Base de Datos'!$C$7:$AR$400,20,0))=TRUE," ",(VLOOKUP(D55,'Base de Datos'!$C$7:$AR$400,19,0)))</f>
        <v>936000</v>
      </c>
      <c r="AO55" s="456">
        <f>IF(ISERROR(VLOOKUP(D55,'Base de Datos'!$C$7:$AR$400,9,0))=TRUE," ",(VLOOKUP(D55,'Base de Datos'!$C$7:$AR$400,9,0)))</f>
        <v>2015</v>
      </c>
      <c r="AP55" s="456">
        <f>IF(ISERROR(VLOOKUP(D55,'Base de Datos'!$C$7:$AR$400,10,0))=TRUE," ",(VLOOKUP(D55,'Base de Datos'!$C$7:$AR$400,10,0)))</f>
        <v>42220</v>
      </c>
      <c r="AQ55" s="458">
        <f>IF(ISERROR(VLOOKUP(D55,'Base de Datos'!$C$7:$AR$400,11,0))=TRUE," ",(VLOOKUP(D55,'Base de Datos'!$C$7:$AR$400,11,0)))</f>
        <v>42261</v>
      </c>
      <c r="AR55" s="459">
        <f>IF(ISERROR(VLOOKUP(D55,'Base de Datos'!$C$7:$AR$400,12,0))=TRUE," ",(VLOOKUP(D55,'Base de Datos'!$C$7:$AR$400,12,0)))</f>
        <v>42627</v>
      </c>
      <c r="AS55" s="458">
        <f>IF(ISERROR(VLOOKUP(D55,'Base de Datos'!$C$7:$AR$400,13,0))=TRUE," ",(VLOOKUP(D55,'Base de Datos'!$C$7:$AR$400,13,0)))</f>
        <v>0</v>
      </c>
      <c r="AT55" s="458">
        <f>IF(ISERROR(VLOOKUP(D55,'Base de Datos'!$C$7:$AR$400,14,0))=TRUE," ",(VLOOKUP(D55,'Base de Datos'!$C$7:$AR$400,14,0)))</f>
        <v>0</v>
      </c>
      <c r="AU55" s="456" t="str">
        <f>IF(ISERROR(VLOOKUP(D55,'Base de Datos'!$C$7:$AR$400,16,0))=TRUE," ",(VLOOKUP(D55,'Base de Datos'!$C$7:$AR$400,16,0)))</f>
        <v/>
      </c>
      <c r="AV55" s="460" t="str">
        <f>IF(ISERROR(VLOOKUP(D55,'Base de Datos'!$C$7:$AR$400,17,0))=TRUE," ",(VLOOKUP(D55,'Base de Datos'!$C$7:$AR$400,17,0)))</f>
        <v/>
      </c>
      <c r="AW55" s="460">
        <f>IF(ISERROR(VLOOKUP(D55,'Base de Datos'!$C$7:$AR$400,18,0))=TRUE," ",(VLOOKUP(D55,'Base de Datos'!$C$7:$AR$400,18,0)))</f>
        <v>42627</v>
      </c>
      <c r="AX55" s="460">
        <f>IF(ISERROR(VLOOKUP(D55,'Base de Datos'!$C$7:$AR$400,19,0))=TRUE," ",(VLOOKUP(D55,'Base de Datos'!$C$7:$AR$400,19,0)))</f>
        <v>936000</v>
      </c>
      <c r="AY55" s="463">
        <f>IF(ISERROR(VLOOKUP(D55,'Base de Datos'!$C$7:$AR$400,21,0))=TRUE," ",(VLOOKUP(D55,'Base de Datos'!$C$7:$AR$400,21,0)))</f>
        <v>0</v>
      </c>
      <c r="AZ55" s="463" t="str">
        <f>IF(ISERROR(VLOOKUP(D55,'Base de Datos'!$C$7:$AR$400,22,0))=TRUE," ",(VLOOKUP(D55,'Base de Datos'!$C$7:$AR$400,22,0)))</f>
        <v>Único pago</v>
      </c>
      <c r="BA55" s="470"/>
      <c r="BB55" s="480"/>
    </row>
    <row r="56" spans="2:54" ht="55.5" hidden="1" customHeight="1" x14ac:dyDescent="0.25">
      <c r="B56" s="433">
        <v>49</v>
      </c>
      <c r="C56" s="441" t="s">
        <v>1642</v>
      </c>
      <c r="D56" s="433">
        <v>145</v>
      </c>
      <c r="E56" s="441" t="s">
        <v>1653</v>
      </c>
      <c r="F56" s="442">
        <f>VLOOKUP(D56,'Presupuesto - PAA 2015'!$B$10:$E$265,4,0)</f>
        <v>764100</v>
      </c>
      <c r="G56" s="434" t="str">
        <f>VLOOKUP(D56,'[4]Seguimiento Plan'!$C$2:$R$101,16,0)</f>
        <v>Suscripción al diario La República para el Concejo de Bogotá.-</v>
      </c>
      <c r="H56" s="434" t="s">
        <v>1776</v>
      </c>
      <c r="I56" s="434" t="s">
        <v>1714</v>
      </c>
      <c r="J56" s="443" t="s">
        <v>908</v>
      </c>
      <c r="K56" s="444" t="s">
        <v>390</v>
      </c>
      <c r="L56" s="444" t="s">
        <v>390</v>
      </c>
      <c r="M56" s="445">
        <v>42123</v>
      </c>
      <c r="N56" s="444"/>
      <c r="O56" s="446"/>
      <c r="P56" s="446"/>
      <c r="Q56" s="446"/>
      <c r="R56" s="447"/>
      <c r="S56" s="447"/>
      <c r="T56" s="351" t="s">
        <v>1354</v>
      </c>
      <c r="U56" s="450" t="str">
        <f>IF(ISERROR(VLOOKUP(T56,'Base de Datos'!$E$7:$AR$302,3,0))=TRUE," ",(VLOOKUP(T56,'Base de Datos'!$E$7:$AR$302,2,0)))</f>
        <v>EDITORIAL EL GLOBO S.A</v>
      </c>
      <c r="V56" s="453">
        <f>IF(ISERROR(VLOOKUP(T56,'Base de Datos'!$E$7:$AR$302,5,0))=TRUE," ",(VLOOKUP(T56,'Base de Datos'!$E$7:$AR$302,5,0)))</f>
        <v>764100</v>
      </c>
      <c r="W56" s="450">
        <f>IF(ISERROR(VLOOKUP(T56,'Base de Datos'!$E$7:$AR$302,19,0))=TRUE," ",(VLOOKUP(T56,'Base de Datos'!$E$7:$AR$302,19,0)))</f>
        <v>0</v>
      </c>
      <c r="X56" s="455" t="str">
        <f>IF(ISERROR(VLOOKUP(T56,'Base de Datos'!$E$7:$AR$302,8,0))=TRUE," ",(VLOOKUP(T56,'Base de Datos'!$E$7:$AR$302,8,0)))</f>
        <v xml:space="preserve"> </v>
      </c>
      <c r="Y56" s="455">
        <f>IF(ISERROR(VLOOKUP(T56,'Base de Datos'!$E$7:$AR$302,9,0))=TRUE," ",(VLOOKUP(T56,'Base de Datos'!$E$7:$AR$302,9,0)))</f>
        <v>41970</v>
      </c>
      <c r="Z56" s="449">
        <f>IF(ISERROR(VLOOKUP(T56,'Base de Datos'!$E$7:$AR$302,10,0))=TRUE," ",(VLOOKUP(T56,'Base de Datos'!$E$7:$AR$302,10,0)))</f>
        <v>42335</v>
      </c>
      <c r="AA56" s="452">
        <f>IF(ISERROR(VLOOKUP(T56,'Base de Datos'!$E$7:$AR$302,11,0))=TRUE," ",(VLOOKUP(T56,'Base de Datos'!$E$7:$AR$302,11,0)))</f>
        <v>0</v>
      </c>
      <c r="AB56" s="449">
        <f>IF(ISERROR(VLOOKUP(T56,'Base de Datos'!$E$7:$AR$302,12,0))=TRUE," ",(VLOOKUP(T56,'Base de Datos'!$E$7:$AR$302,12,0)))</f>
        <v>0</v>
      </c>
      <c r="AC56" s="449">
        <f>IF(ISERROR(VLOOKUP(T56,'Base de Datos'!$E$7:$AR$302,12,0))=TRUE," ",(VLOOKUP(T56,'Base de Datos'!$E$7:$AR$302,12,0)))</f>
        <v>0</v>
      </c>
      <c r="AD56" s="455" t="str">
        <f>IF(ISERROR(VLOOKUP(T56,'Base de Datos'!$E$7:$AR$302,15,0))=TRUE," ",(VLOOKUP(T56,'Base de Datos'!$E$7:$AR$302,15,0)))</f>
        <v/>
      </c>
      <c r="AE56" s="460">
        <f>IF(ISERROR(VLOOKUP(T56,'Base de Datos'!$E$7:$AR$302,16,0))=TRUE," ",(VLOOKUP(T56,'Base de Datos'!$E$7:$AR$302,16,0)))</f>
        <v>42335</v>
      </c>
      <c r="AF56" s="460">
        <f>IF(ISERROR(VLOOKUP(T56,'Base de Datos'!$E$7:$AR$302,17,0))=TRUE," ",(VLOOKUP(T56,'Base de Datos'!$E$7:$AR$302,17,0)))</f>
        <v>764100</v>
      </c>
      <c r="AG56" s="460">
        <f>IF(ISERROR(VLOOKUP(T56,'Base de Datos'!$E$7:$AR$302,18,0))=TRUE," ",(VLOOKUP(T56,'Base de Datos'!$E$7:$AR$302,18,0)))</f>
        <v>764100</v>
      </c>
      <c r="AH56" s="461" t="str">
        <f>IF(ISERROR(VLOOKUP(T56,'Base de Datos'!$E$7:$AR$302,20,0))=TRUE," ",(VLOOKUP(T56,'Base de Datos'!$E$7:$AR$302,20,0)))</f>
        <v>Único pago</v>
      </c>
      <c r="AI56" s="461">
        <f>IF(ISERROR(VLOOKUP(T56,'Base de Datos'!$E$7:$AR$302,21,0))=TRUE," ",(VLOOKUP(T56,'Base de Datos'!$E$7:$AR$302,21,0)))</f>
        <v>1</v>
      </c>
      <c r="AJ56" s="450"/>
      <c r="AK56" s="450" t="str">
        <f>IF(ISERROR(VLOOKUP(D56,'Base de Datos'!$C$7:$AR$400,2,0))=TRUE," ",(VLOOKUP(D56,'Base de Datos'!$C$7:$AR$400,2,0)))</f>
        <v>2015145</v>
      </c>
      <c r="AL56" s="450" t="str">
        <f>IF(ISERROR(VLOOKUP(D56,'Base de Datos'!$C$7:$AR$400,3,0))=TRUE," ",(VLOOKUP(D56,'Base de Datos'!$C$7:$AR$400,3,0)))</f>
        <v>150363-0-2015</v>
      </c>
      <c r="AM56" s="453" t="str">
        <f>IF(ISERROR(VLOOKUP(D56,'Base de Datos'!$C$7:$AR$3761,6,0))=TRUE," ",(VLOOKUP(D56,'Base de Datos'!$C$7:$AR$400,6,0)))</f>
        <v>Suscripción al diario La República para el Concejo de Bogotá D.C.</v>
      </c>
      <c r="AN56" s="453">
        <f>IF(ISERROR(VLOOKUP(D56,'Base de Datos'!$C$7:$AR$400,20,0))=TRUE," ",(VLOOKUP(D56,'Base de Datos'!$C$7:$AR$400,19,0)))</f>
        <v>764100</v>
      </c>
      <c r="AO56" s="456">
        <f>IF(ISERROR(VLOOKUP(D56,'Base de Datos'!$C$7:$AR$400,9,0))=TRUE," ",(VLOOKUP(D56,'Base de Datos'!$C$7:$AR$400,9,0)))</f>
        <v>2015</v>
      </c>
      <c r="AP56" s="456">
        <f>IF(ISERROR(VLOOKUP(D56,'Base de Datos'!$C$7:$AR$400,10,0))=TRUE," ",(VLOOKUP(D56,'Base de Datos'!$C$7:$AR$400,10,0)))</f>
        <v>42272</v>
      </c>
      <c r="AQ56" s="458">
        <f>IF(ISERROR(VLOOKUP(D56,'Base de Datos'!$C$7:$AR$400,11,0))=TRUE," ",(VLOOKUP(D56,'Base de Datos'!$C$7:$AR$400,11,0)))</f>
        <v>42336</v>
      </c>
      <c r="AR56" s="459">
        <f>IF(ISERROR(VLOOKUP(D56,'Base de Datos'!$C$7:$AR$400,12,0))=TRUE," ",(VLOOKUP(D56,'Base de Datos'!$C$7:$AR$400,12,0)))</f>
        <v>42702</v>
      </c>
      <c r="AS56" s="458">
        <f>IF(ISERROR(VLOOKUP(D56,'Base de Datos'!$C$7:$AR$400,13,0))=TRUE," ",(VLOOKUP(D56,'Base de Datos'!$C$7:$AR$400,13,0)))</f>
        <v>0</v>
      </c>
      <c r="AT56" s="458">
        <f>IF(ISERROR(VLOOKUP(D56,'Base de Datos'!$C$7:$AR$400,14,0))=TRUE," ",(VLOOKUP(D56,'Base de Datos'!$C$7:$AR$400,14,0)))</f>
        <v>0</v>
      </c>
      <c r="AU56" s="456" t="str">
        <f>IF(ISERROR(VLOOKUP(D56,'Base de Datos'!$C$7:$AR$400,16,0))=TRUE," ",(VLOOKUP(D56,'Base de Datos'!$C$7:$AR$400,16,0)))</f>
        <v/>
      </c>
      <c r="AV56" s="460" t="str">
        <f>IF(ISERROR(VLOOKUP(D56,'Base de Datos'!$C$7:$AR$400,17,0))=TRUE," ",(VLOOKUP(D56,'Base de Datos'!$C$7:$AR$400,17,0)))</f>
        <v/>
      </c>
      <c r="AW56" s="460">
        <f>IF(ISERROR(VLOOKUP(D56,'Base de Datos'!$C$7:$AR$400,18,0))=TRUE," ",(VLOOKUP(D56,'Base de Datos'!$C$7:$AR$400,18,0)))</f>
        <v>42702</v>
      </c>
      <c r="AX56" s="460">
        <f>IF(ISERROR(VLOOKUP(D56,'Base de Datos'!$C$7:$AR$400,19,0))=TRUE," ",(VLOOKUP(D56,'Base de Datos'!$C$7:$AR$400,19,0)))</f>
        <v>764100</v>
      </c>
      <c r="AY56" s="463">
        <f>IF(ISERROR(VLOOKUP(D56,'Base de Datos'!$C$7:$AR$400,21,0))=TRUE," ",(VLOOKUP(D56,'Base de Datos'!$C$7:$AR$400,21,0)))</f>
        <v>0</v>
      </c>
      <c r="AZ56" s="463" t="str">
        <f>IF(ISERROR(VLOOKUP(D56,'Base de Datos'!$C$7:$AR$400,22,0))=TRUE," ",(VLOOKUP(D56,'Base de Datos'!$C$7:$AR$400,22,0)))</f>
        <v>Un único pago</v>
      </c>
      <c r="BA56" s="470"/>
      <c r="BB56" s="480"/>
    </row>
    <row r="57" spans="2:54" ht="55.5" hidden="1" customHeight="1" x14ac:dyDescent="0.25">
      <c r="B57" s="433">
        <v>50</v>
      </c>
      <c r="C57" s="441" t="s">
        <v>1642</v>
      </c>
      <c r="D57" s="433">
        <v>146</v>
      </c>
      <c r="E57" s="441" t="s">
        <v>1653</v>
      </c>
      <c r="F57" s="442">
        <f>VLOOKUP(D57,'Presupuesto - PAA 2015'!$B$10:$E$265,4,0)</f>
        <v>825000</v>
      </c>
      <c r="G57" s="434" t="str">
        <f>VLOOKUP(D57,'[4]Seguimiento Plan'!$C$2:$R$101,16,0)</f>
        <v>Suscripción a la Revista Semana para el Concejo de Bogotá</v>
      </c>
      <c r="H57" s="434" t="s">
        <v>1776</v>
      </c>
      <c r="I57" s="434" t="s">
        <v>1714</v>
      </c>
      <c r="J57" s="443" t="s">
        <v>908</v>
      </c>
      <c r="K57" s="444"/>
      <c r="L57" s="444" t="s">
        <v>390</v>
      </c>
      <c r="M57" s="445"/>
      <c r="N57" s="444"/>
      <c r="O57" s="446"/>
      <c r="P57" s="446"/>
      <c r="Q57" s="446"/>
      <c r="R57" s="447"/>
      <c r="S57" s="447"/>
      <c r="T57" s="345" t="s">
        <v>1155</v>
      </c>
      <c r="U57" s="450" t="str">
        <f>IF(ISERROR(VLOOKUP(T57,'Base de Datos'!$E$7:$AR$302,3,0))=TRUE," ",(VLOOKUP(T57,'Base de Datos'!$E$7:$AR$302,2,0)))</f>
        <v>PUBLICACIONES SEMANA S.A.</v>
      </c>
      <c r="V57" s="453">
        <f>IF(ISERROR(VLOOKUP(T57,'Base de Datos'!$E$7:$AR$302,5,0))=TRUE," ",(VLOOKUP(T57,'Base de Datos'!$E$7:$AR$302,5,0)))</f>
        <v>807000</v>
      </c>
      <c r="W57" s="450">
        <f>IF(ISERROR(VLOOKUP(T57,'Base de Datos'!$E$7:$AR$302,19,0))=TRUE," ",(VLOOKUP(T57,'Base de Datos'!$E$7:$AR$302,19,0)))</f>
        <v>0</v>
      </c>
      <c r="X57" s="455" t="str">
        <f>IF(ISERROR(VLOOKUP(T57,'Base de Datos'!$E$7:$AR$302,8,0))=TRUE," ",(VLOOKUP(T57,'Base de Datos'!$E$7:$AR$302,8,0)))</f>
        <v xml:space="preserve"> </v>
      </c>
      <c r="Y57" s="455">
        <f>IF(ISERROR(VLOOKUP(T57,'Base de Datos'!$E$7:$AR$302,9,0))=TRUE," ",(VLOOKUP(T57,'Base de Datos'!$E$7:$AR$302,9,0)))</f>
        <v>41912</v>
      </c>
      <c r="Z57" s="449">
        <f>IF(ISERROR(VLOOKUP(T57,'Base de Datos'!$E$7:$AR$302,10,0))=TRUE," ",(VLOOKUP(T57,'Base de Datos'!$E$7:$AR$302,10,0)))</f>
        <v>42277</v>
      </c>
      <c r="AA57" s="452">
        <f>IF(ISERROR(VLOOKUP(T57,'Base de Datos'!$E$7:$AR$302,11,0))=TRUE," ",(VLOOKUP(T57,'Base de Datos'!$E$7:$AR$302,11,0)))</f>
        <v>0</v>
      </c>
      <c r="AB57" s="449">
        <f>IF(ISERROR(VLOOKUP(T57,'Base de Datos'!$E$7:$AR$302,12,0))=TRUE," ",(VLOOKUP(T57,'Base de Datos'!$E$7:$AR$302,12,0)))</f>
        <v>0</v>
      </c>
      <c r="AC57" s="449">
        <f>IF(ISERROR(VLOOKUP(T57,'Base de Datos'!$E$7:$AR$302,12,0))=TRUE," ",(VLOOKUP(T57,'Base de Datos'!$E$7:$AR$302,12,0)))</f>
        <v>0</v>
      </c>
      <c r="AD57" s="455" t="str">
        <f>IF(ISERROR(VLOOKUP(T57,'Base de Datos'!$E$7:$AR$302,15,0))=TRUE," ",(VLOOKUP(T57,'Base de Datos'!$E$7:$AR$302,15,0)))</f>
        <v/>
      </c>
      <c r="AE57" s="460">
        <f>IF(ISERROR(VLOOKUP(T57,'Base de Datos'!$E$7:$AR$302,16,0))=TRUE," ",(VLOOKUP(T57,'Base de Datos'!$E$7:$AR$302,16,0)))</f>
        <v>42277</v>
      </c>
      <c r="AF57" s="460">
        <f>IF(ISERROR(VLOOKUP(T57,'Base de Datos'!$E$7:$AR$302,17,0))=TRUE," ",(VLOOKUP(T57,'Base de Datos'!$E$7:$AR$302,17,0)))</f>
        <v>807000</v>
      </c>
      <c r="AG57" s="460">
        <f>IF(ISERROR(VLOOKUP(T57,'Base de Datos'!$E$7:$AR$302,18,0))=TRUE," ",(VLOOKUP(T57,'Base de Datos'!$E$7:$AR$302,18,0)))</f>
        <v>807000</v>
      </c>
      <c r="AH57" s="461" t="str">
        <f>IF(ISERROR(VLOOKUP(T57,'Base de Datos'!$E$7:$AR$302,20,0))=TRUE," ",(VLOOKUP(T57,'Base de Datos'!$E$7:$AR$302,20,0)))</f>
        <v xml:space="preserve">Un pago único contra la presentación de la factura, acompañada de la constancia de suscripción A LA REVISTA SEMANA y certificación de cumplimiento a satisfacción de la suscripción expedida por el supervisor. </v>
      </c>
      <c r="AI57" s="461">
        <f>IF(ISERROR(VLOOKUP(T57,'Base de Datos'!$E$7:$AR$302,21,0))=TRUE," ",(VLOOKUP(T57,'Base de Datos'!$E$7:$AR$302,21,0)))</f>
        <v>1</v>
      </c>
      <c r="AJ57" s="450"/>
      <c r="AK57" s="450" t="str">
        <f>IF(ISERROR(VLOOKUP(D57,'Base de Datos'!$C$7:$AR$400,2,0))=TRUE," ",(VLOOKUP(D57,'Base de Datos'!$C$7:$AR$400,2,0)))</f>
        <v>2015146</v>
      </c>
      <c r="AL57" s="450" t="str">
        <f>IF(ISERROR(VLOOKUP(D57,'Base de Datos'!$C$7:$AR$400,3,0))=TRUE," ",(VLOOKUP(D57,'Base de Datos'!$C$7:$AR$400,3,0)))</f>
        <v>150342-0-2015</v>
      </c>
      <c r="AM57" s="453" t="str">
        <f>IF(ISERROR(VLOOKUP(D57,'Base de Datos'!$C$7:$AR$3761,6,0))=TRUE," ",(VLOOKUP(D57,'Base de Datos'!$C$7:$AR$400,6,0)))</f>
        <v>Suscripción  a LA REVISTA SEMANA, para el Concejo de Bogotá D.C.</v>
      </c>
      <c r="AN57" s="453">
        <f>IF(ISERROR(VLOOKUP(D57,'Base de Datos'!$C$7:$AR$400,20,0))=TRUE," ",(VLOOKUP(D57,'Base de Datos'!$C$7:$AR$400,19,0)))</f>
        <v>825000</v>
      </c>
      <c r="AO57" s="456">
        <f>IF(ISERROR(VLOOKUP(D57,'Base de Datos'!$C$7:$AR$400,9,0))=TRUE," ",(VLOOKUP(D57,'Base de Datos'!$C$7:$AR$400,9,0)))</f>
        <v>2015</v>
      </c>
      <c r="AP57" s="456">
        <f>IF(ISERROR(VLOOKUP(D57,'Base de Datos'!$C$7:$AR$400,10,0))=TRUE," ",(VLOOKUP(D57,'Base de Datos'!$C$7:$AR$400,10,0)))</f>
        <v>42237</v>
      </c>
      <c r="AQ57" s="458">
        <f>IF(ISERROR(VLOOKUP(D57,'Base de Datos'!$C$7:$AR$400,11,0))=TRUE," ",(VLOOKUP(D57,'Base de Datos'!$C$7:$AR$400,11,0)))</f>
        <v>42278</v>
      </c>
      <c r="AR57" s="459">
        <f>IF(ISERROR(VLOOKUP(D57,'Base de Datos'!$C$7:$AR$400,12,0))=TRUE," ",(VLOOKUP(D57,'Base de Datos'!$C$7:$AR$400,12,0)))</f>
        <v>42644</v>
      </c>
      <c r="AS57" s="458">
        <f>IF(ISERROR(VLOOKUP(D57,'Base de Datos'!$C$7:$AR$400,13,0))=TRUE," ",(VLOOKUP(D57,'Base de Datos'!$C$7:$AR$400,13,0)))</f>
        <v>0</v>
      </c>
      <c r="AT57" s="458">
        <f>IF(ISERROR(VLOOKUP(D57,'Base de Datos'!$C$7:$AR$400,14,0))=TRUE," ",(VLOOKUP(D57,'Base de Datos'!$C$7:$AR$400,14,0)))</f>
        <v>0</v>
      </c>
      <c r="AU57" s="456" t="str">
        <f>IF(ISERROR(VLOOKUP(D57,'Base de Datos'!$C$7:$AR$400,16,0))=TRUE," ",(VLOOKUP(D57,'Base de Datos'!$C$7:$AR$400,16,0)))</f>
        <v/>
      </c>
      <c r="AV57" s="460" t="str">
        <f>IF(ISERROR(VLOOKUP(D57,'Base de Datos'!$C$7:$AR$400,17,0))=TRUE," ",(VLOOKUP(D57,'Base de Datos'!$C$7:$AR$400,17,0)))</f>
        <v/>
      </c>
      <c r="AW57" s="460">
        <f>IF(ISERROR(VLOOKUP(D57,'Base de Datos'!$C$7:$AR$400,18,0))=TRUE," ",(VLOOKUP(D57,'Base de Datos'!$C$7:$AR$400,18,0)))</f>
        <v>42644</v>
      </c>
      <c r="AX57" s="460">
        <f>IF(ISERROR(VLOOKUP(D57,'Base de Datos'!$C$7:$AR$400,19,0))=TRUE," ",(VLOOKUP(D57,'Base de Datos'!$C$7:$AR$400,19,0)))</f>
        <v>825000</v>
      </c>
      <c r="AY57" s="463">
        <f>IF(ISERROR(VLOOKUP(D57,'Base de Datos'!$C$7:$AR$400,21,0))=TRUE," ",(VLOOKUP(D57,'Base de Datos'!$C$7:$AR$400,21,0)))</f>
        <v>0</v>
      </c>
      <c r="AZ57" s="463" t="str">
        <f>IF(ISERROR(VLOOKUP(D57,'Base de Datos'!$C$7:$AR$400,22,0))=TRUE," ",(VLOOKUP(D57,'Base de Datos'!$C$7:$AR$400,22,0)))</f>
        <v>Único pago</v>
      </c>
      <c r="BA57" s="470"/>
      <c r="BB57" s="480"/>
    </row>
    <row r="58" spans="2:54" ht="55.5" hidden="1" customHeight="1" x14ac:dyDescent="0.25">
      <c r="B58" s="433">
        <v>51</v>
      </c>
      <c r="C58" s="441" t="s">
        <v>1642</v>
      </c>
      <c r="D58" s="433">
        <v>147</v>
      </c>
      <c r="E58" s="441" t="s">
        <v>1653</v>
      </c>
      <c r="F58" s="442">
        <f>VLOOKUP(D58,'Presupuesto - PAA 2015'!$B$10:$E$265,4,0)</f>
        <v>0</v>
      </c>
      <c r="G58" s="434" t="str">
        <f>VLOOKUP(D58,'[4]Seguimiento Plan'!$C$2:$R$101,16,0)</f>
        <v>Suscripción al diario Periódico de Bogotá para el Concejo de Bogotá</v>
      </c>
      <c r="H58" s="434" t="s">
        <v>1776</v>
      </c>
      <c r="I58" s="434" t="s">
        <v>1714</v>
      </c>
      <c r="J58" s="443" t="s">
        <v>908</v>
      </c>
      <c r="K58" s="444"/>
      <c r="L58" s="444" t="s">
        <v>590</v>
      </c>
      <c r="M58" s="445"/>
      <c r="N58" s="444"/>
      <c r="O58" s="446"/>
      <c r="P58" s="446"/>
      <c r="Q58" s="446"/>
      <c r="R58" s="447"/>
      <c r="S58" s="447"/>
      <c r="T58" s="344" t="s">
        <v>1329</v>
      </c>
      <c r="U58" s="450" t="str">
        <f>IF(ISERROR(VLOOKUP(T58,'Base de Datos'!$E$7:$AR$302,3,0))=TRUE," ",(VLOOKUP(T58,'Base de Datos'!$E$7:$AR$302,2,0)))</f>
        <v>GRUPO EDITORIAL EL PERIÓDICO S.A.S</v>
      </c>
      <c r="V58" s="453">
        <f>IF(ISERROR(VLOOKUP(T58,'Base de Datos'!$E$7:$AR$302,5,0))=TRUE," ",(VLOOKUP(T58,'Base de Datos'!$E$7:$AR$302,5,0)))</f>
        <v>810000</v>
      </c>
      <c r="W58" s="450">
        <f>IF(ISERROR(VLOOKUP(T58,'Base de Datos'!$E$7:$AR$302,19,0))=TRUE," ",(VLOOKUP(T58,'Base de Datos'!$E$7:$AR$302,19,0)))</f>
        <v>0</v>
      </c>
      <c r="X58" s="455" t="str">
        <f>IF(ISERROR(VLOOKUP(T58,'Base de Datos'!$E$7:$AR$302,8,0))=TRUE," ",(VLOOKUP(T58,'Base de Datos'!$E$7:$AR$302,8,0)))</f>
        <v xml:space="preserve"> </v>
      </c>
      <c r="Y58" s="455">
        <f>IF(ISERROR(VLOOKUP(T58,'Base de Datos'!$E$7:$AR$302,9,0))=TRUE," ",(VLOOKUP(T58,'Base de Datos'!$E$7:$AR$302,9,0)))</f>
        <v>41940</v>
      </c>
      <c r="Z58" s="449">
        <f>IF(ISERROR(VLOOKUP(T58,'Base de Datos'!$E$7:$AR$302,10,0))=TRUE," ",(VLOOKUP(T58,'Base de Datos'!$E$7:$AR$302,10,0)))</f>
        <v>42305</v>
      </c>
      <c r="AA58" s="452">
        <f>IF(ISERROR(VLOOKUP(T58,'Base de Datos'!$E$7:$AR$302,11,0))=TRUE," ",(VLOOKUP(T58,'Base de Datos'!$E$7:$AR$302,11,0)))</f>
        <v>0</v>
      </c>
      <c r="AB58" s="449">
        <f>IF(ISERROR(VLOOKUP(T58,'Base de Datos'!$E$7:$AR$302,12,0))=TRUE," ",(VLOOKUP(T58,'Base de Datos'!$E$7:$AR$302,12,0)))</f>
        <v>0</v>
      </c>
      <c r="AC58" s="449">
        <f>IF(ISERROR(VLOOKUP(T58,'Base de Datos'!$E$7:$AR$302,12,0))=TRUE," ",(VLOOKUP(T58,'Base de Datos'!$E$7:$AR$302,12,0)))</f>
        <v>0</v>
      </c>
      <c r="AD58" s="455" t="str">
        <f>IF(ISERROR(VLOOKUP(T58,'Base de Datos'!$E$7:$AR$302,15,0))=TRUE," ",(VLOOKUP(T58,'Base de Datos'!$E$7:$AR$302,15,0)))</f>
        <v/>
      </c>
      <c r="AE58" s="460">
        <f>IF(ISERROR(VLOOKUP(T58,'Base de Datos'!$E$7:$AR$302,16,0))=TRUE," ",(VLOOKUP(T58,'Base de Datos'!$E$7:$AR$302,16,0)))</f>
        <v>42305</v>
      </c>
      <c r="AF58" s="460">
        <f>IF(ISERROR(VLOOKUP(T58,'Base de Datos'!$E$7:$AR$302,17,0))=TRUE," ",(VLOOKUP(T58,'Base de Datos'!$E$7:$AR$302,17,0)))</f>
        <v>810000</v>
      </c>
      <c r="AG58" s="460">
        <f>IF(ISERROR(VLOOKUP(T58,'Base de Datos'!$E$7:$AR$302,18,0))=TRUE," ",(VLOOKUP(T58,'Base de Datos'!$E$7:$AR$302,18,0)))</f>
        <v>810000</v>
      </c>
      <c r="AH58" s="461">
        <f>IF(ISERROR(VLOOKUP(T58,'Base de Datos'!$E$7:$AR$302,20,0))=TRUE," ",(VLOOKUP(T58,'Base de Datos'!$E$7:$AR$302,20,0)))</f>
        <v>0</v>
      </c>
      <c r="AI58" s="461">
        <f>IF(ISERROR(VLOOKUP(T58,'Base de Datos'!$E$7:$AR$302,21,0))=TRUE," ",(VLOOKUP(T58,'Base de Datos'!$E$7:$AR$302,21,0)))</f>
        <v>1</v>
      </c>
      <c r="AJ58" s="450"/>
      <c r="AK58" s="450" t="str">
        <f>IF(ISERROR(VLOOKUP(D58,'Base de Datos'!$C$7:$AR$400,2,0))=TRUE," ",(VLOOKUP(D58,'Base de Datos'!$C$7:$AR$400,2,0)))</f>
        <v xml:space="preserve"> </v>
      </c>
      <c r="AL58" s="450" t="str">
        <f>IF(ISERROR(VLOOKUP(D58,'Base de Datos'!$C$7:$AR$400,3,0))=TRUE," ",(VLOOKUP(D58,'Base de Datos'!$C$7:$AR$400,3,0)))</f>
        <v xml:space="preserve"> </v>
      </c>
      <c r="AM58" s="453" t="e">
        <f>IF(ISERROR(VLOOKUP(D58,'Base de Datos'!$C$7:$AR$3761,6,0))=TRUE," ",(VLOOKUP(D58,'Base de Datos'!$C$7:$AR$400,6,0)))</f>
        <v>#N/A</v>
      </c>
      <c r="AN58" s="453" t="str">
        <f>IF(ISERROR(VLOOKUP(D58,'Base de Datos'!$C$7:$AR$400,20,0))=TRUE," ",(VLOOKUP(D58,'Base de Datos'!$C$7:$AR$400,19,0)))</f>
        <v xml:space="preserve"> </v>
      </c>
      <c r="AO58" s="456" t="str">
        <f>IF(ISERROR(VLOOKUP(D58,'Base de Datos'!$C$7:$AR$400,9,0))=TRUE," ",(VLOOKUP(D58,'Base de Datos'!$C$7:$AR$400,9,0)))</f>
        <v xml:space="preserve"> </v>
      </c>
      <c r="AP58" s="456" t="str">
        <f>IF(ISERROR(VLOOKUP(D58,'Base de Datos'!$C$7:$AR$400,10,0))=TRUE," ",(VLOOKUP(D58,'Base de Datos'!$C$7:$AR$400,10,0)))</f>
        <v xml:space="preserve"> </v>
      </c>
      <c r="AQ58" s="458" t="str">
        <f>IF(ISERROR(VLOOKUP(D58,'Base de Datos'!$C$7:$AR$400,11,0))=TRUE," ",(VLOOKUP(D58,'Base de Datos'!$C$7:$AR$400,11,0)))</f>
        <v xml:space="preserve"> </v>
      </c>
      <c r="AR58" s="459" t="str">
        <f>IF(ISERROR(VLOOKUP(D58,'Base de Datos'!$C$7:$AR$400,12,0))=TRUE," ",(VLOOKUP(D58,'Base de Datos'!$C$7:$AR$400,12,0)))</f>
        <v xml:space="preserve"> </v>
      </c>
      <c r="AS58" s="458" t="str">
        <f>IF(ISERROR(VLOOKUP(D58,'Base de Datos'!$C$7:$AR$400,13,0))=TRUE," ",(VLOOKUP(D58,'Base de Datos'!$C$7:$AR$400,13,0)))</f>
        <v xml:space="preserve"> </v>
      </c>
      <c r="AT58" s="458" t="str">
        <f>IF(ISERROR(VLOOKUP(D58,'Base de Datos'!$C$7:$AR$400,14,0))=TRUE," ",(VLOOKUP(D58,'Base de Datos'!$C$7:$AR$400,14,0)))</f>
        <v xml:space="preserve"> </v>
      </c>
      <c r="AU58" s="456" t="str">
        <f>IF(ISERROR(VLOOKUP(D58,'Base de Datos'!$C$7:$AR$400,16,0))=TRUE," ",(VLOOKUP(D58,'Base de Datos'!$C$7:$AR$400,16,0)))</f>
        <v xml:space="preserve"> </v>
      </c>
      <c r="AV58" s="460" t="str">
        <f>IF(ISERROR(VLOOKUP(D58,'Base de Datos'!$C$7:$AR$400,17,0))=TRUE," ",(VLOOKUP(D58,'Base de Datos'!$C$7:$AR$400,17,0)))</f>
        <v xml:space="preserve"> </v>
      </c>
      <c r="AW58" s="460" t="str">
        <f>IF(ISERROR(VLOOKUP(D58,'Base de Datos'!$C$7:$AR$400,18,0))=TRUE," ",(VLOOKUP(D58,'Base de Datos'!$C$7:$AR$400,18,0)))</f>
        <v xml:space="preserve"> </v>
      </c>
      <c r="AX58" s="460" t="str">
        <f>IF(ISERROR(VLOOKUP(D58,'Base de Datos'!$C$7:$AR$400,19,0))=TRUE," ",(VLOOKUP(D58,'Base de Datos'!$C$7:$AR$400,19,0)))</f>
        <v xml:space="preserve"> </v>
      </c>
      <c r="AY58" s="463" t="str">
        <f>IF(ISERROR(VLOOKUP(D58,'Base de Datos'!$C$7:$AR$400,21,0))=TRUE," ",(VLOOKUP(D58,'Base de Datos'!$C$7:$AR$400,21,0)))</f>
        <v xml:space="preserve"> </v>
      </c>
      <c r="AZ58" s="463" t="str">
        <f>IF(ISERROR(VLOOKUP(D58,'Base de Datos'!$C$7:$AR$400,22,0))=TRUE," ",(VLOOKUP(D58,'Base de Datos'!$C$7:$AR$400,22,0)))</f>
        <v xml:space="preserve"> </v>
      </c>
      <c r="BA58" s="470"/>
      <c r="BB58" s="480"/>
    </row>
    <row r="59" spans="2:54" ht="55.5" hidden="1" customHeight="1" x14ac:dyDescent="0.25">
      <c r="B59" s="433">
        <v>52</v>
      </c>
      <c r="C59" s="441" t="s">
        <v>1642</v>
      </c>
      <c r="D59" s="433">
        <v>148</v>
      </c>
      <c r="E59" s="441" t="s">
        <v>1653</v>
      </c>
      <c r="F59" s="442">
        <f>VLOOKUP(D59,'Presupuesto - PAA 2015'!$B$10:$E$265,4,0)</f>
        <v>880500</v>
      </c>
      <c r="G59" s="434" t="str">
        <f>VLOOKUP(D59,'[4]Seguimiento Plan'!$C$2:$R$101,16,0)</f>
        <v>Suscripción al diario El Nuevo Siglo para el Concejo de Bogotá</v>
      </c>
      <c r="H59" s="434" t="s">
        <v>1776</v>
      </c>
      <c r="I59" s="434" t="s">
        <v>1714</v>
      </c>
      <c r="J59" s="443" t="s">
        <v>908</v>
      </c>
      <c r="K59" s="444" t="s">
        <v>390</v>
      </c>
      <c r="L59" s="444" t="s">
        <v>390</v>
      </c>
      <c r="M59" s="445">
        <v>42123</v>
      </c>
      <c r="N59" s="444"/>
      <c r="O59" s="446"/>
      <c r="P59" s="446"/>
      <c r="Q59" s="446"/>
      <c r="R59" s="447"/>
      <c r="S59" s="447"/>
      <c r="T59" s="344" t="s">
        <v>551</v>
      </c>
      <c r="U59" s="450" t="str">
        <f>IF(ISERROR(VLOOKUP(T59,'Base de Datos'!$E$7:$AR$302,3,0))=TRUE," ",(VLOOKUP(T59,'Base de Datos'!$E$7:$AR$302,2,0)))</f>
        <v>EDITORIAL LA UNIDAD</v>
      </c>
      <c r="V59" s="453">
        <f>IF(ISERROR(VLOOKUP(T59,'Base de Datos'!$E$7:$AR$302,5,0))=TRUE," ",(VLOOKUP(T59,'Base de Datos'!$E$7:$AR$302,5,0)))</f>
        <v>855000</v>
      </c>
      <c r="W59" s="450">
        <f>IF(ISERROR(VLOOKUP(T59,'Base de Datos'!$E$7:$AR$302,19,0))=TRUE," ",(VLOOKUP(T59,'Base de Datos'!$E$7:$AR$302,19,0)))</f>
        <v>0</v>
      </c>
      <c r="X59" s="455" t="str">
        <f>IF(ISERROR(VLOOKUP(T59,'Base de Datos'!$E$7:$AR$302,8,0))=TRUE," ",(VLOOKUP(T59,'Base de Datos'!$E$7:$AR$302,8,0)))</f>
        <v xml:space="preserve"> </v>
      </c>
      <c r="Y59" s="455">
        <f>IF(ISERROR(VLOOKUP(T59,'Base de Datos'!$E$7:$AR$302,9,0))=TRUE," ",(VLOOKUP(T59,'Base de Datos'!$E$7:$AR$302,9,0)))</f>
        <v>41896</v>
      </c>
      <c r="Z59" s="449">
        <f>IF(ISERROR(VLOOKUP(T59,'Base de Datos'!$E$7:$AR$302,10,0))=TRUE," ",(VLOOKUP(T59,'Base de Datos'!$E$7:$AR$302,10,0)))</f>
        <v>42261</v>
      </c>
      <c r="AA59" s="452">
        <f>IF(ISERROR(VLOOKUP(T59,'Base de Datos'!$E$7:$AR$302,11,0))=TRUE," ",(VLOOKUP(T59,'Base de Datos'!$E$7:$AR$302,11,0)))</f>
        <v>0</v>
      </c>
      <c r="AB59" s="449">
        <f>IF(ISERROR(VLOOKUP(T59,'Base de Datos'!$E$7:$AR$302,12,0))=TRUE," ",(VLOOKUP(T59,'Base de Datos'!$E$7:$AR$302,12,0)))</f>
        <v>0</v>
      </c>
      <c r="AC59" s="449">
        <f>IF(ISERROR(VLOOKUP(T59,'Base de Datos'!$E$7:$AR$302,12,0))=TRUE," ",(VLOOKUP(T59,'Base de Datos'!$E$7:$AR$302,12,0)))</f>
        <v>0</v>
      </c>
      <c r="AD59" s="455" t="str">
        <f>IF(ISERROR(VLOOKUP(T59,'Base de Datos'!$E$7:$AR$302,15,0))=TRUE," ",(VLOOKUP(T59,'Base de Datos'!$E$7:$AR$302,15,0)))</f>
        <v/>
      </c>
      <c r="AE59" s="460">
        <f>IF(ISERROR(VLOOKUP(T59,'Base de Datos'!$E$7:$AR$302,16,0))=TRUE," ",(VLOOKUP(T59,'Base de Datos'!$E$7:$AR$302,16,0)))</f>
        <v>42261</v>
      </c>
      <c r="AF59" s="460">
        <f>IF(ISERROR(VLOOKUP(T59,'Base de Datos'!$E$7:$AR$302,17,0))=TRUE," ",(VLOOKUP(T59,'Base de Datos'!$E$7:$AR$302,17,0)))</f>
        <v>855000</v>
      </c>
      <c r="AG59" s="460">
        <f>IF(ISERROR(VLOOKUP(T59,'Base de Datos'!$E$7:$AR$302,18,0))=TRUE," ",(VLOOKUP(T59,'Base de Datos'!$E$7:$AR$302,18,0)))</f>
        <v>855000</v>
      </c>
      <c r="AH59" s="461" t="str">
        <f>IF(ISERROR(VLOOKUP(T59,'Base de Datos'!$E$7:$AR$302,20,0))=TRUE," ",(VLOOKUP(T59,'Base de Datos'!$E$7:$AR$302,20,0)))</f>
        <v xml:space="preserve">Un único pago contra la presentación de la factura, acompañada de la constancia de suscripción objeto de la contratación,  previa  certificación expedida por el supervisor del contrato.
Los pagos se efectuarán dentro de los ocho (8) días hábiles  siguientes a la radicación en la Subdirección Financiera de la certificación de cumplimiento a satisfacción del objeto y obligaciones, expedida por el interventor del contrato, acompañada de los respectivos recibos de pago por concepto de aportes al Sistema de Seguridad Social Integral en Salud y Pensión, aportes parafiscales: Sena, ICBF y Cajas de Compensación Familiar, cuando corresponda.
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
</v>
      </c>
      <c r="AI59" s="461">
        <f>IF(ISERROR(VLOOKUP(T59,'Base de Datos'!$E$7:$AR$302,21,0))=TRUE," ",(VLOOKUP(T59,'Base de Datos'!$E$7:$AR$302,21,0)))</f>
        <v>1</v>
      </c>
      <c r="AJ59" s="450"/>
      <c r="AK59" s="450" t="str">
        <f>IF(ISERROR(VLOOKUP(D59,'Base de Datos'!$C$7:$AR$400,2,0))=TRUE," ",(VLOOKUP(D59,'Base de Datos'!$C$7:$AR$400,2,0)))</f>
        <v>2015148</v>
      </c>
      <c r="AL59" s="450" t="str">
        <f>IF(ISERROR(VLOOKUP(D59,'Base de Datos'!$C$7:$AR$400,3,0))=TRUE," ",(VLOOKUP(D59,'Base de Datos'!$C$7:$AR$400,3,0)))</f>
        <v>150338-0-2015</v>
      </c>
      <c r="AM59" s="453" t="str">
        <f>IF(ISERROR(VLOOKUP(D59,'Base de Datos'!$C$7:$AR$3761,6,0))=TRUE," ",(VLOOKUP(D59,'Base de Datos'!$C$7:$AR$400,6,0)))</f>
        <v>Suscripción al diario El Nuevo Siglo, para el Concejo de Bogotá D.C.</v>
      </c>
      <c r="AN59" s="453">
        <f>IF(ISERROR(VLOOKUP(D59,'Base de Datos'!$C$7:$AR$400,20,0))=TRUE," ",(VLOOKUP(D59,'Base de Datos'!$C$7:$AR$400,19,0)))</f>
        <v>880500</v>
      </c>
      <c r="AO59" s="456">
        <f>IF(ISERROR(VLOOKUP(D59,'Base de Datos'!$C$7:$AR$400,9,0))=TRUE," ",(VLOOKUP(D59,'Base de Datos'!$C$7:$AR$400,9,0)))</f>
        <v>2015</v>
      </c>
      <c r="AP59" s="456">
        <f>IF(ISERROR(VLOOKUP(D59,'Base de Datos'!$C$7:$AR$400,10,0))=TRUE," ",(VLOOKUP(D59,'Base de Datos'!$C$7:$AR$400,10,0)))</f>
        <v>42230</v>
      </c>
      <c r="AQ59" s="458">
        <f>IF(ISERROR(VLOOKUP(D59,'Base de Datos'!$C$7:$AR$400,11,0))=TRUE," ",(VLOOKUP(D59,'Base de Datos'!$C$7:$AR$400,11,0)))</f>
        <v>42262</v>
      </c>
      <c r="AR59" s="459">
        <f>IF(ISERROR(VLOOKUP(D59,'Base de Datos'!$C$7:$AR$400,12,0))=TRUE," ",(VLOOKUP(D59,'Base de Datos'!$C$7:$AR$400,12,0)))</f>
        <v>42628</v>
      </c>
      <c r="AS59" s="458">
        <f>IF(ISERROR(VLOOKUP(D59,'Base de Datos'!$C$7:$AR$400,13,0))=TRUE," ",(VLOOKUP(D59,'Base de Datos'!$C$7:$AR$400,13,0)))</f>
        <v>0</v>
      </c>
      <c r="AT59" s="458">
        <f>IF(ISERROR(VLOOKUP(D59,'Base de Datos'!$C$7:$AR$400,14,0))=TRUE," ",(VLOOKUP(D59,'Base de Datos'!$C$7:$AR$400,14,0)))</f>
        <v>0</v>
      </c>
      <c r="AU59" s="456" t="str">
        <f>IF(ISERROR(VLOOKUP(D59,'Base de Datos'!$C$7:$AR$400,16,0))=TRUE," ",(VLOOKUP(D59,'Base de Datos'!$C$7:$AR$400,16,0)))</f>
        <v/>
      </c>
      <c r="AV59" s="460" t="str">
        <f>IF(ISERROR(VLOOKUP(D59,'Base de Datos'!$C$7:$AR$400,17,0))=TRUE," ",(VLOOKUP(D59,'Base de Datos'!$C$7:$AR$400,17,0)))</f>
        <v/>
      </c>
      <c r="AW59" s="460">
        <f>IF(ISERROR(VLOOKUP(D59,'Base de Datos'!$C$7:$AR$400,18,0))=TRUE," ",(VLOOKUP(D59,'Base de Datos'!$C$7:$AR$400,18,0)))</f>
        <v>42628</v>
      </c>
      <c r="AX59" s="460">
        <f>IF(ISERROR(VLOOKUP(D59,'Base de Datos'!$C$7:$AR$400,19,0))=TRUE," ",(VLOOKUP(D59,'Base de Datos'!$C$7:$AR$400,19,0)))</f>
        <v>880500</v>
      </c>
      <c r="AY59" s="463">
        <f>IF(ISERROR(VLOOKUP(D59,'Base de Datos'!$C$7:$AR$400,21,0))=TRUE," ",(VLOOKUP(D59,'Base de Datos'!$C$7:$AR$400,21,0)))</f>
        <v>0</v>
      </c>
      <c r="AZ59" s="463" t="str">
        <f>IF(ISERROR(VLOOKUP(D59,'Base de Datos'!$C$7:$AR$400,22,0))=TRUE," ",(VLOOKUP(D59,'Base de Datos'!$C$7:$AR$400,22,0)))</f>
        <v>Único pago</v>
      </c>
      <c r="BA59" s="470"/>
      <c r="BB59" s="480"/>
    </row>
    <row r="60" spans="2:54" ht="55.5" hidden="1" customHeight="1" x14ac:dyDescent="0.25">
      <c r="B60" s="433">
        <v>53</v>
      </c>
      <c r="C60" s="441" t="s">
        <v>1642</v>
      </c>
      <c r="D60" s="433">
        <v>170</v>
      </c>
      <c r="E60" s="441" t="s">
        <v>1653</v>
      </c>
      <c r="F60" s="442">
        <f>VLOOKUP(D60,'Presupuesto - PAA 2015'!$B$10:$E$265,4,0)</f>
        <v>30552000</v>
      </c>
      <c r="G60" s="434" t="str">
        <f>VLOOKUP(D60,'[4]Seguimiento Plan'!$C$2:$R$101,16,0)</f>
        <v>Prestar el servicio Integral de fotocopiado y servicios afines para la Secretaría Distrital de Hacienda y del Concejo de Bogotá</v>
      </c>
      <c r="H60" s="434" t="s">
        <v>1776</v>
      </c>
      <c r="I60" s="434" t="s">
        <v>1710</v>
      </c>
      <c r="J60" s="443" t="s">
        <v>1734</v>
      </c>
      <c r="K60" s="444" t="s">
        <v>390</v>
      </c>
      <c r="L60" s="444" t="str">
        <f>VLOOKUP(D60,'[4]Seguimiento Plan'!$C$2:$AJ$101,30,0)</f>
        <v>SI</v>
      </c>
      <c r="M60" s="445">
        <f>VLOOKUP(D60,'[4]Seguimiento Plan'!$C$2:$AJ$101,31,0)</f>
        <v>42025</v>
      </c>
      <c r="N60" s="444"/>
      <c r="O60" s="446"/>
      <c r="P60" s="446"/>
      <c r="Q60" s="446"/>
      <c r="R60" s="447"/>
      <c r="S60" s="465" t="s">
        <v>1746</v>
      </c>
      <c r="T60" s="343" t="s">
        <v>294</v>
      </c>
      <c r="U60" s="450" t="str">
        <f>IF(ISERROR(VLOOKUP(T60,'Base de Datos'!$E$7:$AR$302,3,0))=TRUE," ",(VLOOKUP(T60,'Base de Datos'!$E$7:$AR$302,2,0)))</f>
        <v>T Y G MINOLTA</v>
      </c>
      <c r="V60" s="453">
        <f>IF(ISERROR(VLOOKUP(T60,'Base de Datos'!$E$7:$AR$302,5,0))=TRUE," ",(VLOOKUP(T60,'Base de Datos'!$E$7:$AR$302,5,0)))</f>
        <v>36581760</v>
      </c>
      <c r="W60" s="450">
        <f>IF(ISERROR(VLOOKUP(T60,'Base de Datos'!$E$7:$AR$302,19,0))=TRUE," ",(VLOOKUP(T60,'Base de Datos'!$E$7:$AR$302,19,0)))</f>
        <v>2218442</v>
      </c>
      <c r="X60" s="455" t="str">
        <f>IF(ISERROR(VLOOKUP(T60,'Base de Datos'!$E$7:$AR$302,8,0))=TRUE," ",(VLOOKUP(T60,'Base de Datos'!$E$7:$AR$302,8,0)))</f>
        <v xml:space="preserve"> </v>
      </c>
      <c r="Y60" s="455">
        <f>IF(ISERROR(VLOOKUP(T60,'Base de Datos'!$E$7:$AR$302,9,0))=TRUE," ",(VLOOKUP(T60,'Base de Datos'!$E$7:$AR$302,9,0)))</f>
        <v>41821</v>
      </c>
      <c r="Z60" s="449">
        <f>IF(ISERROR(VLOOKUP(T60,'Base de Datos'!$E$7:$AR$302,10,0))=TRUE," ",(VLOOKUP(T60,'Base de Datos'!$E$7:$AR$302,10,0)))</f>
        <v>42093</v>
      </c>
      <c r="AA60" s="452">
        <f>IF(ISERROR(VLOOKUP(T60,'Base de Datos'!$E$7:$AR$302,11,0))=TRUE," ",(VLOOKUP(T60,'Base de Datos'!$E$7:$AR$302,11,0)))</f>
        <v>0</v>
      </c>
      <c r="AB60" s="449">
        <f>IF(ISERROR(VLOOKUP(T60,'Base de Datos'!$E$7:$AR$302,12,0))=TRUE," ",(VLOOKUP(T60,'Base de Datos'!$E$7:$AR$302,12,0)))</f>
        <v>0</v>
      </c>
      <c r="AC60" s="449">
        <f>IF(ISERROR(VLOOKUP(T60,'Base de Datos'!$E$7:$AR$302,12,0))=TRUE," ",(VLOOKUP(T60,'Base de Datos'!$E$7:$AR$302,12,0)))</f>
        <v>0</v>
      </c>
      <c r="AD60" s="455">
        <f>IF(ISERROR(VLOOKUP(T60,'Base de Datos'!$E$7:$AR$302,15,0))=TRUE," ",(VLOOKUP(T60,'Base de Datos'!$E$7:$AR$302,15,0)))</f>
        <v>42186</v>
      </c>
      <c r="AE60" s="460">
        <f>IF(ISERROR(VLOOKUP(T60,'Base de Datos'!$E$7:$AR$302,16,0))=TRUE," ",(VLOOKUP(T60,'Base de Datos'!$E$7:$AR$302,16,0)))</f>
        <v>42186</v>
      </c>
      <c r="AF60" s="460">
        <f>IF(ISERROR(VLOOKUP(T60,'Base de Datos'!$E$7:$AR$302,17,0))=TRUE," ",(VLOOKUP(T60,'Base de Datos'!$E$7:$AR$302,17,0)))</f>
        <v>36581760</v>
      </c>
      <c r="AG60" s="460">
        <f>IF(ISERROR(VLOOKUP(T60,'Base de Datos'!$E$7:$AR$302,18,0))=TRUE," ",(VLOOKUP(T60,'Base de Datos'!$E$7:$AR$302,18,0)))</f>
        <v>34363318</v>
      </c>
      <c r="AH60" s="461" t="str">
        <f>IF(ISERROR(VLOOKUP(T60,'Base de Datos'!$E$7:$AR$302,20,0))=TRUE," ",(VLOOKUP(T60,'Base de Datos'!$E$7:$AR$302,20,0)))</f>
        <v>Por mensualidades vencidas, de acuerdo al consumo de cada periodo, previa radicación de los documentos y soportes requeridos en la Subdirección Financiera y certificación de cumplimiento a satisfacción expedida por el Supervisor del contrato.</v>
      </c>
      <c r="AI60" s="461">
        <f>IF(ISERROR(VLOOKUP(T60,'Base de Datos'!$E$7:$AR$302,21,0))=TRUE," ",(VLOOKUP(T60,'Base de Datos'!$E$7:$AR$302,21,0)))</f>
        <v>0.93935660832064938</v>
      </c>
      <c r="AJ60" s="464">
        <v>42157</v>
      </c>
      <c r="AK60" s="450" t="str">
        <f>IF(ISERROR(VLOOKUP(D60,'Base de Datos'!$C$7:$AR$400,2,0))=TRUE," ",(VLOOKUP(D60,'Base de Datos'!$C$7:$AR$400,2,0)))</f>
        <v>2015170</v>
      </c>
      <c r="AL60" s="450" t="str">
        <f>IF(ISERROR(VLOOKUP(D60,'Base de Datos'!$C$7:$AR$400,3,0))=TRUE," ",(VLOOKUP(D60,'Base de Datos'!$C$7:$AR$400,3,0)))</f>
        <v>150241-0-2015</v>
      </c>
      <c r="AM60" s="453" t="str">
        <f>IF(ISERROR(VLOOKUP(D60,'Base de Datos'!$C$7:$AR$3761,6,0))=TRUE," ",(VLOOKUP(D60,'Base de Datos'!$C$7:$AR$400,6,0)))</f>
        <v>Prestar el servicio Integral de fotocopiado y servicios afines para el Concejo de Bogotá,D.C. .bajo la modalidad de outsourcing. Según invitación publica del proceso N° SDH-SIE-07-2015</v>
      </c>
      <c r="AN60" s="453">
        <f>IF(ISERROR(VLOOKUP(D60,'Base de Datos'!$C$7:$AR$400,20,0))=TRUE," ",(VLOOKUP(D60,'Base de Datos'!$C$7:$AR$400,19,0)))</f>
        <v>41552000</v>
      </c>
      <c r="AO60" s="456">
        <f>IF(ISERROR(VLOOKUP(D60,'Base de Datos'!$C$7:$AR$400,9,0))=TRUE," ",(VLOOKUP(D60,'Base de Datos'!$C$7:$AR$400,9,0)))</f>
        <v>2015</v>
      </c>
      <c r="AP60" s="456">
        <f>IF(ISERROR(VLOOKUP(D60,'Base de Datos'!$C$7:$AR$400,10,0))=TRUE," ",(VLOOKUP(D60,'Base de Datos'!$C$7:$AR$400,10,0)))</f>
        <v>42157</v>
      </c>
      <c r="AQ60" s="458">
        <f>IF(ISERROR(VLOOKUP(D60,'Base de Datos'!$C$7:$AR$400,11,0))=TRUE," ",(VLOOKUP(D60,'Base de Datos'!$C$7:$AR$400,11,0)))</f>
        <v>42187</v>
      </c>
      <c r="AR60" s="459">
        <f>IF(ISERROR(VLOOKUP(D60,'Base de Datos'!$C$7:$AR$400,12,0))=TRUE," ",(VLOOKUP(D60,'Base de Datos'!$C$7:$AR$400,12,0)))</f>
        <v>42431</v>
      </c>
      <c r="AS60" s="458">
        <f>IF(ISERROR(VLOOKUP(D60,'Base de Datos'!$C$7:$AR$400,13,0))=TRUE," ",(VLOOKUP(D60,'Base de Datos'!$C$7:$AR$400,13,0)))</f>
        <v>1</v>
      </c>
      <c r="AT60" s="458">
        <f>IF(ISERROR(VLOOKUP(D60,'Base de Datos'!$C$7:$AR$400,14,0))=TRUE," ",(VLOOKUP(D60,'Base de Datos'!$C$7:$AR$400,14,0)))</f>
        <v>11000000</v>
      </c>
      <c r="AU60" s="456" t="str">
        <f>IF(ISERROR(VLOOKUP(D60,'Base de Datos'!$C$7:$AR$400,16,0))=TRUE," ",(VLOOKUP(D60,'Base de Datos'!$C$7:$AR$400,16,0)))</f>
        <v>4 meses y 29 dias</v>
      </c>
      <c r="AV60" s="460">
        <f>IF(ISERROR(VLOOKUP(D60,'Base de Datos'!$C$7:$AR$400,17,0))=TRUE," ",(VLOOKUP(D60,'Base de Datos'!$C$7:$AR$400,17,0)))</f>
        <v>42582</v>
      </c>
      <c r="AW60" s="460">
        <f>IF(ISERROR(VLOOKUP(D60,'Base de Datos'!$C$7:$AR$400,18,0))=TRUE," ",(VLOOKUP(D60,'Base de Datos'!$C$7:$AR$400,18,0)))</f>
        <v>42582</v>
      </c>
      <c r="AX60" s="460">
        <f>IF(ISERROR(VLOOKUP(D60,'Base de Datos'!$C$7:$AR$400,19,0))=TRUE," ",(VLOOKUP(D60,'Base de Datos'!$C$7:$AR$400,19,0)))</f>
        <v>41552000</v>
      </c>
      <c r="AY60" s="463">
        <f>IF(ISERROR(VLOOKUP(D60,'Base de Datos'!$C$7:$AR$400,21,0))=TRUE," ",(VLOOKUP(D60,'Base de Datos'!$C$7:$AR$400,21,0)))</f>
        <v>2086389</v>
      </c>
      <c r="AZ60" s="463" t="str">
        <f>IF(ISERROR(VLOOKUP(D60,'Base de Datos'!$C$7:$AR$400,22,0))=TRUE," ",(VLOOKUP(D60,'Base de Datos'!$C$7:$AR$400,22,0)))</f>
        <v>Mensualidades vencidas por los servicios efectivamente prestados</v>
      </c>
      <c r="BA60" s="470"/>
      <c r="BB60" s="480"/>
    </row>
    <row r="61" spans="2:54" ht="55.5" hidden="1" customHeight="1" x14ac:dyDescent="0.25">
      <c r="B61" s="433">
        <v>54</v>
      </c>
      <c r="C61" s="441" t="s">
        <v>1642</v>
      </c>
      <c r="D61" s="433">
        <v>267</v>
      </c>
      <c r="E61" s="441" t="s">
        <v>1653</v>
      </c>
      <c r="F61" s="442">
        <f>VLOOKUP(D61,'Presupuesto - PAA 2015'!$B$10:$E$265,4,0)</f>
        <v>800000</v>
      </c>
      <c r="G61" s="434" t="str">
        <f>VLOOKUP(D61,'[4]Seguimiento Plan'!$C$2:$R$101,16,0)</f>
        <v>Adicion al contrato 140342-2014 que tiene por objeto: Prestar el  servicio de empaste y/o encuadernación de documentos del concejo de Bogotá D.C.</v>
      </c>
      <c r="H61" s="434" t="s">
        <v>1776</v>
      </c>
      <c r="I61" s="434" t="s">
        <v>590</v>
      </c>
      <c r="J61" s="443" t="s">
        <v>590</v>
      </c>
      <c r="K61" s="444" t="s">
        <v>390</v>
      </c>
      <c r="L61" s="444" t="s">
        <v>390</v>
      </c>
      <c r="M61" s="445"/>
      <c r="N61" s="444"/>
      <c r="O61" s="446"/>
      <c r="P61" s="446"/>
      <c r="Q61" s="446"/>
      <c r="R61" s="447"/>
      <c r="S61" s="447"/>
      <c r="T61" s="349" t="s">
        <v>1344</v>
      </c>
      <c r="U61" s="450" t="str">
        <f>IF(ISERROR(VLOOKUP(T61,'Base de Datos'!$E$7:$AR$302,3,0))=TRUE," ",(VLOOKUP(T61,'Base de Datos'!$E$7:$AR$302,2,0)))</f>
        <v>EDITORES CONARTE SAS</v>
      </c>
      <c r="V61" s="453">
        <f>IF(ISERROR(VLOOKUP(T61,'Base de Datos'!$E$7:$AR$302,5,0))=TRUE," ",(VLOOKUP(T61,'Base de Datos'!$E$7:$AR$302,5,0)))</f>
        <v>1659960</v>
      </c>
      <c r="W61" s="450">
        <f>IF(ISERROR(VLOOKUP(T61,'Base de Datos'!$E$7:$AR$302,19,0))=TRUE," ",(VLOOKUP(T61,'Base de Datos'!$E$7:$AR$302,19,0)))</f>
        <v>2076</v>
      </c>
      <c r="X61" s="455" t="str">
        <f>IF(ISERROR(VLOOKUP(T61,'Base de Datos'!$E$7:$AR$302,8,0))=TRUE," ",(VLOOKUP(T61,'Base de Datos'!$E$7:$AR$302,8,0)))</f>
        <v xml:space="preserve"> </v>
      </c>
      <c r="Y61" s="455">
        <f>IF(ISERROR(VLOOKUP(T61,'Base de Datos'!$E$7:$AR$302,9,0))=TRUE," ",(VLOOKUP(T61,'Base de Datos'!$E$7:$AR$302,9,0)))</f>
        <v>41968</v>
      </c>
      <c r="Z61" s="449">
        <f>IF(ISERROR(VLOOKUP(T61,'Base de Datos'!$E$7:$AR$302,10,0))=TRUE," ",(VLOOKUP(T61,'Base de Datos'!$E$7:$AR$302,10,0)))</f>
        <v>42241</v>
      </c>
      <c r="AA61" s="452">
        <f>IF(ISERROR(VLOOKUP(T61,'Base de Datos'!$E$7:$AR$302,11,0))=TRUE," ",(VLOOKUP(T61,'Base de Datos'!$E$7:$AR$302,11,0)))</f>
        <v>1</v>
      </c>
      <c r="AB61" s="449">
        <f>IF(ISERROR(VLOOKUP(T61,'Base de Datos'!$E$7:$AR$302,12,0))=TRUE," ",(VLOOKUP(T61,'Base de Datos'!$E$7:$AR$302,12,0)))</f>
        <v>800000</v>
      </c>
      <c r="AC61" s="449">
        <f>IF(ISERROR(VLOOKUP(T61,'Base de Datos'!$E$7:$AR$302,12,0))=TRUE," ",(VLOOKUP(T61,'Base de Datos'!$E$7:$AR$302,12,0)))</f>
        <v>800000</v>
      </c>
      <c r="AD61" s="455" t="str">
        <f>IF(ISERROR(VLOOKUP(T61,'Base de Datos'!$E$7:$AR$302,15,0))=TRUE," ",(VLOOKUP(T61,'Base de Datos'!$E$7:$AR$302,15,0)))</f>
        <v/>
      </c>
      <c r="AE61" s="460">
        <f>IF(ISERROR(VLOOKUP(T61,'Base de Datos'!$E$7:$AR$302,16,0))=TRUE," ",(VLOOKUP(T61,'Base de Datos'!$E$7:$AR$302,16,0)))</f>
        <v>42241</v>
      </c>
      <c r="AF61" s="460">
        <f>IF(ISERROR(VLOOKUP(T61,'Base de Datos'!$E$7:$AR$302,17,0))=TRUE," ",(VLOOKUP(T61,'Base de Datos'!$E$7:$AR$302,17,0)))</f>
        <v>2459960</v>
      </c>
      <c r="AG61" s="460">
        <f>IF(ISERROR(VLOOKUP(T61,'Base de Datos'!$E$7:$AR$302,18,0))=TRUE," ",(VLOOKUP(T61,'Base de Datos'!$E$7:$AR$302,18,0)))</f>
        <v>2457884</v>
      </c>
      <c r="AH61" s="461" t="str">
        <f>IF(ISERROR(VLOOKUP(T61,'Base de Datos'!$E$7:$AR$302,20,0))=TRUE," ",(VLOOKUP(T61,'Base de Datos'!$E$7:$AR$302,20,0)))</f>
        <v>Por producto</v>
      </c>
      <c r="AI61" s="461">
        <f>IF(ISERROR(VLOOKUP(T61,'Base de Datos'!$E$7:$AR$302,21,0))=TRUE," ",(VLOOKUP(T61,'Base de Datos'!$E$7:$AR$302,21,0)))</f>
        <v>0.99915608383876164</v>
      </c>
      <c r="AJ61" s="450"/>
      <c r="AK61" s="450" t="str">
        <f>IF(ISERROR(VLOOKUP(D61,'Base de Datos'!$C$7:$AR$400,2,0))=TRUE," ",(VLOOKUP(D61,'Base de Datos'!$C$7:$AR$400,2,0)))</f>
        <v xml:space="preserve"> </v>
      </c>
      <c r="AL61" s="450" t="str">
        <f>IF(ISERROR(VLOOKUP(D61,'Base de Datos'!$C$7:$AR$400,3,0))=TRUE," ",(VLOOKUP(D61,'Base de Datos'!$C$7:$AR$400,3,0)))</f>
        <v xml:space="preserve"> </v>
      </c>
      <c r="AM61" s="453" t="str">
        <f>IF(ISERROR(VLOOKUP(D61,'Base de Datos'!$C$7:$AR$3761,6,0))=TRUE," ",(VLOOKUP(D61,'Base de Datos'!$C$7:$AR$400,6,0)))</f>
        <v xml:space="preserve"> </v>
      </c>
      <c r="AN61" s="453" t="str">
        <f>IF(ISERROR(VLOOKUP(D61,'Base de Datos'!$C$7:$AR$400,20,0))=TRUE," ",(VLOOKUP(D61,'Base de Datos'!$C$7:$AR$400,19,0)))</f>
        <v xml:space="preserve"> </v>
      </c>
      <c r="AO61" s="456" t="str">
        <f>IF(ISERROR(VLOOKUP(D61,'Base de Datos'!$C$7:$AR$400,9,0))=TRUE," ",(VLOOKUP(D61,'Base de Datos'!$C$7:$AR$400,9,0)))</f>
        <v xml:space="preserve"> </v>
      </c>
      <c r="AP61" s="456" t="str">
        <f>IF(ISERROR(VLOOKUP(D61,'Base de Datos'!$C$7:$AR$400,10,0))=TRUE," ",(VLOOKUP(D61,'Base de Datos'!$C$7:$AR$400,10,0)))</f>
        <v xml:space="preserve"> </v>
      </c>
      <c r="AQ61" s="458" t="str">
        <f>IF(ISERROR(VLOOKUP(D61,'Base de Datos'!$C$7:$AR$400,11,0))=TRUE," ",(VLOOKUP(D61,'Base de Datos'!$C$7:$AR$400,11,0)))</f>
        <v xml:space="preserve"> </v>
      </c>
      <c r="AR61" s="459" t="str">
        <f>IF(ISERROR(VLOOKUP(D61,'Base de Datos'!$C$7:$AR$400,12,0))=TRUE," ",(VLOOKUP(D61,'Base de Datos'!$C$7:$AR$400,12,0)))</f>
        <v xml:space="preserve"> </v>
      </c>
      <c r="AS61" s="458" t="str">
        <f>IF(ISERROR(VLOOKUP(D61,'Base de Datos'!$C$7:$AR$400,13,0))=TRUE," ",(VLOOKUP(D61,'Base de Datos'!$C$7:$AR$400,13,0)))</f>
        <v xml:space="preserve"> </v>
      </c>
      <c r="AT61" s="458" t="str">
        <f>IF(ISERROR(VLOOKUP(D61,'Base de Datos'!$C$7:$AR$400,14,0))=TRUE," ",(VLOOKUP(D61,'Base de Datos'!$C$7:$AR$400,14,0)))</f>
        <v xml:space="preserve"> </v>
      </c>
      <c r="AU61" s="456" t="str">
        <f>IF(ISERROR(VLOOKUP(D61,'Base de Datos'!$C$7:$AR$400,16,0))=TRUE," ",(VLOOKUP(D61,'Base de Datos'!$C$7:$AR$400,16,0)))</f>
        <v xml:space="preserve"> </v>
      </c>
      <c r="AV61" s="460" t="str">
        <f>IF(ISERROR(VLOOKUP(D61,'Base de Datos'!$C$7:$AR$400,17,0))=TRUE," ",(VLOOKUP(D61,'Base de Datos'!$C$7:$AR$400,17,0)))</f>
        <v xml:space="preserve"> </v>
      </c>
      <c r="AW61" s="460" t="str">
        <f>IF(ISERROR(VLOOKUP(D61,'Base de Datos'!$C$7:$AR$400,18,0))=TRUE," ",(VLOOKUP(D61,'Base de Datos'!$C$7:$AR$400,18,0)))</f>
        <v xml:space="preserve"> </v>
      </c>
      <c r="AX61" s="460" t="str">
        <f>IF(ISERROR(VLOOKUP(D61,'Base de Datos'!$C$7:$AR$400,19,0))=TRUE," ",(VLOOKUP(D61,'Base de Datos'!$C$7:$AR$400,19,0)))</f>
        <v xml:space="preserve"> </v>
      </c>
      <c r="AY61" s="463" t="str">
        <f>IF(ISERROR(VLOOKUP(D61,'Base de Datos'!$C$7:$AR$400,21,0))=TRUE," ",(VLOOKUP(D61,'Base de Datos'!$C$7:$AR$400,21,0)))</f>
        <v xml:space="preserve"> </v>
      </c>
      <c r="AZ61" s="463" t="str">
        <f>IF(ISERROR(VLOOKUP(D61,'Base de Datos'!$C$7:$AR$400,22,0))=TRUE," ",(VLOOKUP(D61,'Base de Datos'!$C$7:$AR$400,22,0)))</f>
        <v xml:space="preserve"> </v>
      </c>
      <c r="BA61" s="470"/>
      <c r="BB61" s="480"/>
    </row>
    <row r="62" spans="2:54" ht="55.5" hidden="1" customHeight="1" x14ac:dyDescent="0.25">
      <c r="B62" s="433">
        <v>55</v>
      </c>
      <c r="C62" s="441" t="s">
        <v>1642</v>
      </c>
      <c r="D62" s="433">
        <v>149</v>
      </c>
      <c r="E62" s="441" t="s">
        <v>1655</v>
      </c>
      <c r="F62" s="442">
        <f>VLOOKUP(D62,'Presupuesto - PAA 2015'!$B$10:$E$265,4,0)</f>
        <v>2000000</v>
      </c>
      <c r="G62" s="434" t="str">
        <f>VLOOKUP(D62,'[4]Seguimiento Plan'!$C$2:$R$101,16,0)</f>
        <v>Prestar los servicios de mantenimiento preventivo y correctivo de las alarmas de emergencia ubicadas en la sede principal del Concejo de Bogotá-</v>
      </c>
      <c r="H62" s="434" t="s">
        <v>1776</v>
      </c>
      <c r="I62" s="434" t="s">
        <v>1710</v>
      </c>
      <c r="J62" s="443" t="s">
        <v>909</v>
      </c>
      <c r="K62" s="444" t="s">
        <v>390</v>
      </c>
      <c r="L62" s="444" t="str">
        <f>VLOOKUP(D62,'[4]Seguimiento Plan'!$C$2:$AJ$101,30,0)</f>
        <v>SI</v>
      </c>
      <c r="M62" s="445">
        <f>VLOOKUP(D62,'[4]Seguimiento Plan'!$C$2:$AJ$101,31,0)</f>
        <v>42080</v>
      </c>
      <c r="N62" s="444"/>
      <c r="O62" s="446"/>
      <c r="P62" s="446"/>
      <c r="Q62" s="446"/>
      <c r="R62" s="447"/>
      <c r="S62" s="465" t="s">
        <v>1750</v>
      </c>
      <c r="T62" s="343" t="s">
        <v>274</v>
      </c>
      <c r="U62" s="450" t="str">
        <f>IF(ISERROR(VLOOKUP(T62,'Base de Datos'!$E$7:$AR$302,3,0))=TRUE," ",(VLOOKUP(T62,'Base de Datos'!$E$7:$AR$302,2,0)))</f>
        <v>SECURITYCOM S.A.S</v>
      </c>
      <c r="V62" s="453">
        <f>IF(ISERROR(VLOOKUP(T62,'Base de Datos'!$E$7:$AR$302,5,0))=TRUE," ",(VLOOKUP(T62,'Base de Datos'!$E$7:$AR$302,5,0)))</f>
        <v>2122000</v>
      </c>
      <c r="W62" s="450">
        <f>IF(ISERROR(VLOOKUP(T62,'Base de Datos'!$E$7:$AR$302,19,0))=TRUE," ",(VLOOKUP(T62,'Base de Datos'!$E$7:$AR$302,19,0)))</f>
        <v>0</v>
      </c>
      <c r="X62" s="455" t="str">
        <f>IF(ISERROR(VLOOKUP(T62,'Base de Datos'!$E$7:$AR$302,8,0))=TRUE," ",(VLOOKUP(T62,'Base de Datos'!$E$7:$AR$302,8,0)))</f>
        <v xml:space="preserve"> </v>
      </c>
      <c r="Y62" s="455">
        <f>IF(ISERROR(VLOOKUP(T62,'Base de Datos'!$E$7:$AR$302,9,0))=TRUE," ",(VLOOKUP(T62,'Base de Datos'!$E$7:$AR$302,9,0)))</f>
        <v>41752</v>
      </c>
      <c r="Z62" s="449">
        <f>IF(ISERROR(VLOOKUP(T62,'Base de Datos'!$E$7:$AR$302,10,0))=TRUE," ",(VLOOKUP(T62,'Base de Datos'!$E$7:$AR$302,10,0)))</f>
        <v>42116</v>
      </c>
      <c r="AA62" s="452">
        <f>IF(ISERROR(VLOOKUP(T62,'Base de Datos'!$E$7:$AR$302,11,0))=TRUE," ",(VLOOKUP(T62,'Base de Datos'!$E$7:$AR$302,11,0)))</f>
        <v>0</v>
      </c>
      <c r="AB62" s="449">
        <f>IF(ISERROR(VLOOKUP(T62,'Base de Datos'!$E$7:$AR$302,12,0))=TRUE," ",(VLOOKUP(T62,'Base de Datos'!$E$7:$AR$302,12,0)))</f>
        <v>0</v>
      </c>
      <c r="AC62" s="449">
        <f>IF(ISERROR(VLOOKUP(T62,'Base de Datos'!$E$7:$AR$302,12,0))=TRUE," ",(VLOOKUP(T62,'Base de Datos'!$E$7:$AR$302,12,0)))</f>
        <v>0</v>
      </c>
      <c r="AD62" s="455" t="str">
        <f>IF(ISERROR(VLOOKUP(T62,'Base de Datos'!$E$7:$AR$302,15,0))=TRUE," ",(VLOOKUP(T62,'Base de Datos'!$E$7:$AR$302,15,0)))</f>
        <v/>
      </c>
      <c r="AE62" s="460">
        <f>IF(ISERROR(VLOOKUP(T62,'Base de Datos'!$E$7:$AR$302,16,0))=TRUE," ",(VLOOKUP(T62,'Base de Datos'!$E$7:$AR$302,16,0)))</f>
        <v>42116</v>
      </c>
      <c r="AF62" s="460">
        <f>IF(ISERROR(VLOOKUP(T62,'Base de Datos'!$E$7:$AR$302,17,0))=TRUE," ",(VLOOKUP(T62,'Base de Datos'!$E$7:$AR$302,17,0)))</f>
        <v>2122000</v>
      </c>
      <c r="AG62" s="460">
        <f>IF(ISERROR(VLOOKUP(T62,'Base de Datos'!$E$7:$AR$302,18,0))=TRUE," ",(VLOOKUP(T62,'Base de Datos'!$E$7:$AR$302,18,0)))</f>
        <v>2122000</v>
      </c>
      <c r="AH62" s="461" t="str">
        <f>IF(ISERROR(VLOOKUP(T62,'Base de Datos'!$E$7:$AR$302,20,0))=TRUE," ",(VLOOKUP(T62,'Base de Datos'!$E$7:$AR$302,20,0)))</f>
        <v xml:space="preserve">Se efectuará un pago por cada una de las visitas de mantenimiento preventivo efectuadas. Los repuestos se cancelarán de acuerdo a la demanda requerida en el respectivo periodo, manteniendo los precios unitarios ofrecidos en la propuesta.
</v>
      </c>
      <c r="AI62" s="461">
        <f>IF(ISERROR(VLOOKUP(T62,'Base de Datos'!$E$7:$AR$302,21,0))=TRUE," ",(VLOOKUP(T62,'Base de Datos'!$E$7:$AR$302,21,0)))</f>
        <v>1</v>
      </c>
      <c r="AJ62" s="464">
        <v>42135</v>
      </c>
      <c r="AK62" s="450" t="str">
        <f>IF(ISERROR(VLOOKUP(D62,'Base de Datos'!$C$7:$AR$400,2,0))=TRUE," ",(VLOOKUP(D62,'Base de Datos'!$C$7:$AR$400,2,0)))</f>
        <v>2015149</v>
      </c>
      <c r="AL62" s="450" t="str">
        <f>IF(ISERROR(VLOOKUP(D62,'Base de Datos'!$C$7:$AR$400,3,0))=TRUE," ",(VLOOKUP(D62,'Base de Datos'!$C$7:$AR$400,3,0)))</f>
        <v>150223-0-2015</v>
      </c>
      <c r="AM62" s="453" t="str">
        <f>IF(ISERROR(VLOOKUP(D62,'Base de Datos'!$C$7:$AR$3761,6,0))=TRUE," ",(VLOOKUP(D62,'Base de Datos'!$C$7:$AR$400,6,0)))</f>
        <v>Prestar el servicio de mantenimiento preventivo y correctivo con suministro de repuestos del sistema de alarmas de emergencia y botones de pánico ubicados en la sede principal del Concejo de Bogotá D.C.</v>
      </c>
      <c r="AN62" s="453">
        <f>IF(ISERROR(VLOOKUP(D62,'Base de Datos'!$C$7:$AR$400,20,0))=TRUE," ",(VLOOKUP(D62,'Base de Datos'!$C$7:$AR$400,19,0)))</f>
        <v>2000000</v>
      </c>
      <c r="AO62" s="456">
        <f>IF(ISERROR(VLOOKUP(D62,'Base de Datos'!$C$7:$AR$400,9,0))=TRUE," ",(VLOOKUP(D62,'Base de Datos'!$C$7:$AR$400,9,0)))</f>
        <v>2015</v>
      </c>
      <c r="AP62" s="456">
        <f>IF(ISERROR(VLOOKUP(D62,'Base de Datos'!$C$7:$AR$400,10,0))=TRUE," ",(VLOOKUP(D62,'Base de Datos'!$C$7:$AR$400,10,0)))</f>
        <v>42135</v>
      </c>
      <c r="AQ62" s="458">
        <f>IF(ISERROR(VLOOKUP(D62,'Base de Datos'!$C$7:$AR$400,11,0))=TRUE," ",(VLOOKUP(D62,'Base de Datos'!$C$7:$AR$400,11,0)))</f>
        <v>42150</v>
      </c>
      <c r="AR62" s="459">
        <f>IF(ISERROR(VLOOKUP(D62,'Base de Datos'!$C$7:$AR$400,12,0))=TRUE," ",(VLOOKUP(D62,'Base de Datos'!$C$7:$AR$400,12,0)))</f>
        <v>42455</v>
      </c>
      <c r="AS62" s="458">
        <f>IF(ISERROR(VLOOKUP(D62,'Base de Datos'!$C$7:$AR$400,13,0))=TRUE," ",(VLOOKUP(D62,'Base de Datos'!$C$7:$AR$400,13,0)))</f>
        <v>0</v>
      </c>
      <c r="AT62" s="458">
        <f>IF(ISERROR(VLOOKUP(D62,'Base de Datos'!$C$7:$AR$400,14,0))=TRUE," ",(VLOOKUP(D62,'Base de Datos'!$C$7:$AR$400,14,0)))</f>
        <v>0</v>
      </c>
      <c r="AU62" s="456" t="str">
        <f>IF(ISERROR(VLOOKUP(D62,'Base de Datos'!$C$7:$AR$400,16,0))=TRUE," ",(VLOOKUP(D62,'Base de Datos'!$C$7:$AR$400,16,0)))</f>
        <v/>
      </c>
      <c r="AV62" s="460" t="str">
        <f>IF(ISERROR(VLOOKUP(D62,'Base de Datos'!$C$7:$AR$400,17,0))=TRUE," ",(VLOOKUP(D62,'Base de Datos'!$C$7:$AR$400,17,0)))</f>
        <v/>
      </c>
      <c r="AW62" s="460">
        <f>IF(ISERROR(VLOOKUP(D62,'Base de Datos'!$C$7:$AR$400,18,0))=TRUE," ",(VLOOKUP(D62,'Base de Datos'!$C$7:$AR$400,18,0)))</f>
        <v>42455</v>
      </c>
      <c r="AX62" s="460">
        <f>IF(ISERROR(VLOOKUP(D62,'Base de Datos'!$C$7:$AR$400,19,0))=TRUE," ",(VLOOKUP(D62,'Base de Datos'!$C$7:$AR$400,19,0)))</f>
        <v>2000000</v>
      </c>
      <c r="AY62" s="463">
        <f>IF(ISERROR(VLOOKUP(D62,'Base de Datos'!$C$7:$AR$400,21,0))=TRUE," ",(VLOOKUP(D62,'Base de Datos'!$C$7:$AR$400,21,0)))</f>
        <v>1175240</v>
      </c>
      <c r="AZ62" s="463" t="str">
        <f>IF(ISERROR(VLOOKUP(D62,'Base de Datos'!$C$7:$AR$400,22,0))=TRUE," ",(VLOOKUP(D62,'Base de Datos'!$C$7:$AR$400,22,0)))</f>
        <v>Un pago por cada visita, y los repuestos de acuerdo a la demanda requerida</v>
      </c>
      <c r="BA62" s="470"/>
      <c r="BB62" s="480"/>
    </row>
    <row r="63" spans="2:54" ht="55.5" hidden="1" customHeight="1" x14ac:dyDescent="0.25">
      <c r="B63" s="433">
        <v>56</v>
      </c>
      <c r="C63" s="441" t="s">
        <v>1642</v>
      </c>
      <c r="D63" s="433">
        <v>150</v>
      </c>
      <c r="E63" s="441" t="s">
        <v>1655</v>
      </c>
      <c r="F63" s="442">
        <f>VLOOKUP(D63,'Presupuesto - PAA 2015'!$B$10:$E$265,4,0)</f>
        <v>4721200</v>
      </c>
      <c r="G63" s="434" t="str">
        <f>VLOOKUP(D63,'[4]Seguimiento Plan'!$C$2:$R$101,16,0)</f>
        <v>Prestar los servicios de mantenimiento correctivo y preventivo para las máquinas: Impresoras litográfica Multilith, compaginadora, guillotina y cizalla manual, ubicadas en la oficina de anales y publicaciones del Concejo de Bogotá</v>
      </c>
      <c r="H63" s="434" t="s">
        <v>1776</v>
      </c>
      <c r="I63" s="434" t="s">
        <v>1710</v>
      </c>
      <c r="J63" s="443" t="s">
        <v>909</v>
      </c>
      <c r="K63" s="444" t="s">
        <v>390</v>
      </c>
      <c r="L63" s="444" t="str">
        <f>VLOOKUP(D63,'[4]Seguimiento Plan'!$C$2:$AJ$101,30,0)</f>
        <v>SI</v>
      </c>
      <c r="M63" s="445">
        <f>VLOOKUP(D63,'[4]Seguimiento Plan'!$C$2:$AJ$101,31,0)</f>
        <v>42030</v>
      </c>
      <c r="N63" s="444"/>
      <c r="O63" s="446"/>
      <c r="P63" s="446"/>
      <c r="Q63" s="446"/>
      <c r="R63" s="524"/>
      <c r="S63" s="351" t="s">
        <v>1740</v>
      </c>
      <c r="T63" s="448" t="s">
        <v>266</v>
      </c>
      <c r="U63" s="450" t="str">
        <f>IF(ISERROR(VLOOKUP(T63,'Base de Datos'!$E$7:$AR$302,3,0))=TRUE," ",(VLOOKUP(T63,'Base de Datos'!$E$7:$AR$302,2,0)))</f>
        <v>SYSTEM NET INGENIERÍA LTDA</v>
      </c>
      <c r="V63" s="453">
        <f>IF(ISERROR(VLOOKUP(T63,'Base de Datos'!$E$7:$AR$302,5,0))=TRUE," ",(VLOOKUP(T63,'Base de Datos'!$E$7:$AR$302,5,0)))</f>
        <v>4982000</v>
      </c>
      <c r="W63" s="450">
        <f>IF(ISERROR(VLOOKUP(T63,'Base de Datos'!$E$7:$AR$302,19,0))=TRUE," ",(VLOOKUP(T63,'Base de Datos'!$E$7:$AR$302,19,0)))</f>
        <v>2150000</v>
      </c>
      <c r="X63" s="455" t="str">
        <f>IF(ISERROR(VLOOKUP(T63,'Base de Datos'!$E$7:$AR$302,8,0))=TRUE," ",(VLOOKUP(T63,'Base de Datos'!$E$7:$AR$302,8,0)))</f>
        <v xml:space="preserve"> </v>
      </c>
      <c r="Y63" s="455">
        <f>IF(ISERROR(VLOOKUP(T63,'Base de Datos'!$E$7:$AR$302,9,0))=TRUE," ",(VLOOKUP(T63,'Base de Datos'!$E$7:$AR$302,9,0)))</f>
        <v>41725</v>
      </c>
      <c r="Z63" s="449">
        <f>IF(ISERROR(VLOOKUP(T63,'Base de Datos'!$E$7:$AR$302,10,0))=TRUE," ",(VLOOKUP(T63,'Base de Datos'!$E$7:$AR$302,10,0)))</f>
        <v>41969</v>
      </c>
      <c r="AA63" s="452">
        <f>IF(ISERROR(VLOOKUP(T63,'Base de Datos'!$E$7:$AR$302,11,0))=TRUE," ",(VLOOKUP(T63,'Base de Datos'!$E$7:$AR$302,11,0)))</f>
        <v>0</v>
      </c>
      <c r="AB63" s="449">
        <f>IF(ISERROR(VLOOKUP(T63,'Base de Datos'!$E$7:$AR$302,12,0))=TRUE," ",(VLOOKUP(T63,'Base de Datos'!$E$7:$AR$302,12,0)))</f>
        <v>0</v>
      </c>
      <c r="AC63" s="449">
        <f>IF(ISERROR(VLOOKUP(T63,'Base de Datos'!$E$7:$AR$302,12,0))=TRUE," ",(VLOOKUP(T63,'Base de Datos'!$E$7:$AR$302,12,0)))</f>
        <v>0</v>
      </c>
      <c r="AD63" s="455" t="str">
        <f>IF(ISERROR(VLOOKUP(T63,'Base de Datos'!$E$7:$AR$302,15,0))=TRUE," ",(VLOOKUP(T63,'Base de Datos'!$E$7:$AR$302,15,0)))</f>
        <v/>
      </c>
      <c r="AE63" s="460">
        <f>IF(ISERROR(VLOOKUP(T63,'Base de Datos'!$E$7:$AR$302,16,0))=TRUE," ",(VLOOKUP(T63,'Base de Datos'!$E$7:$AR$302,16,0)))</f>
        <v>41969</v>
      </c>
      <c r="AF63" s="460">
        <f>IF(ISERROR(VLOOKUP(T63,'Base de Datos'!$E$7:$AR$302,17,0))=TRUE," ",(VLOOKUP(T63,'Base de Datos'!$E$7:$AR$302,17,0)))</f>
        <v>4982000</v>
      </c>
      <c r="AG63" s="460">
        <f>IF(ISERROR(VLOOKUP(T63,'Base de Datos'!$E$7:$AR$302,18,0))=TRUE," ",(VLOOKUP(T63,'Base de Datos'!$E$7:$AR$302,18,0)))</f>
        <v>2832000</v>
      </c>
      <c r="AH63" s="461" t="str">
        <f>IF(ISERROR(VLOOKUP(T63,'Base de Datos'!$E$7:$AR$302,20,0))=TRUE," ",(VLOOKUP(T63,'Base de Datos'!$E$7:$AR$302,20,0)))</f>
        <v xml:space="preserve">Se realizará un pago por cada visita de mantenimiento preventivo y/o correctivo efectuadas de acuerdo con la programación concertada con el  supervisor del contrato. 
</v>
      </c>
      <c r="AI63" s="461">
        <f>IF(ISERROR(VLOOKUP(T63,'Base de Datos'!$E$7:$AR$302,21,0))=TRUE," ",(VLOOKUP(T63,'Base de Datos'!$E$7:$AR$302,21,0)))</f>
        <v>0.56844640706543559</v>
      </c>
      <c r="AJ63" s="455">
        <v>42104</v>
      </c>
      <c r="AK63" s="450" t="str">
        <f>IF(ISERROR(VLOOKUP(D63,'Base de Datos'!$C$7:$AR$400,2,0))=TRUE," ",(VLOOKUP(D63,'Base de Datos'!$C$7:$AR$400,2,0)))</f>
        <v>2015150</v>
      </c>
      <c r="AL63" s="450" t="str">
        <f>IF(ISERROR(VLOOKUP(D63,'Base de Datos'!$C$7:$AR$400,3,0))=TRUE," ",(VLOOKUP(D63,'Base de Datos'!$C$7:$AR$400,3,0)))</f>
        <v>150168-0-2015</v>
      </c>
      <c r="AM63" s="453" t="str">
        <f>IF(ISERROR(VLOOKUP(D63,'Base de Datos'!$C$7:$AR$3761,6,0))=TRUE," ",(VLOOKUP(D63,'Base de Datos'!$C$7:$AR$400,6,0)))</f>
        <v>Prestar el servicio de mantenimiento preventivo y correctivo para las máquinas: Impresora Litográfica MULTILITH modelo 1250, Compaginadora DUPLO DC 10, Guillotina y Cizalla manual, ubicadas en la oficina de Anales y Publicaciones del Concejo de Bogotá D.C</v>
      </c>
      <c r="AN63" s="453">
        <f>IF(ISERROR(VLOOKUP(D63,'Base de Datos'!$C$7:$AR$400,20,0))=TRUE," ",(VLOOKUP(D63,'Base de Datos'!$C$7:$AR$400,19,0)))</f>
        <v>4721200</v>
      </c>
      <c r="AO63" s="456">
        <f>IF(ISERROR(VLOOKUP(D63,'Base de Datos'!$C$7:$AR$400,9,0))=TRUE," ",(VLOOKUP(D63,'Base de Datos'!$C$7:$AR$400,9,0)))</f>
        <v>2015</v>
      </c>
      <c r="AP63" s="456">
        <f>IF(ISERROR(VLOOKUP(D63,'Base de Datos'!$C$7:$AR$400,10,0))=TRUE," ",(VLOOKUP(D63,'Base de Datos'!$C$7:$AR$400,10,0)))</f>
        <v>42104</v>
      </c>
      <c r="AQ63" s="458">
        <f>IF(ISERROR(VLOOKUP(D63,'Base de Datos'!$C$7:$AR$400,11,0))=TRUE," ",(VLOOKUP(D63,'Base de Datos'!$C$7:$AR$400,11,0)))</f>
        <v>42116</v>
      </c>
      <c r="AR63" s="459">
        <f>IF(ISERROR(VLOOKUP(D63,'Base de Datos'!$C$7:$AR$400,12,0))=TRUE," ",(VLOOKUP(D63,'Base de Datos'!$C$7:$AR$400,12,0)))</f>
        <v>42451</v>
      </c>
      <c r="AS63" s="458">
        <f>IF(ISERROR(VLOOKUP(D63,'Base de Datos'!$C$7:$AR$400,13,0))=TRUE," ",(VLOOKUP(D63,'Base de Datos'!$C$7:$AR$400,13,0)))</f>
        <v>0</v>
      </c>
      <c r="AT63" s="458">
        <f>IF(ISERROR(VLOOKUP(D63,'Base de Datos'!$C$7:$AR$400,14,0))=TRUE," ",(VLOOKUP(D63,'Base de Datos'!$C$7:$AR$400,14,0)))</f>
        <v>0</v>
      </c>
      <c r="AU63" s="456" t="str">
        <f>IF(ISERROR(VLOOKUP(D63,'Base de Datos'!$C$7:$AR$400,16,0))=TRUE," ",(VLOOKUP(D63,'Base de Datos'!$C$7:$AR$400,16,0)))</f>
        <v/>
      </c>
      <c r="AV63" s="460" t="str">
        <f>IF(ISERROR(VLOOKUP(D63,'Base de Datos'!$C$7:$AR$400,17,0))=TRUE," ",(VLOOKUP(D63,'Base de Datos'!$C$7:$AR$400,17,0)))</f>
        <v/>
      </c>
      <c r="AW63" s="460">
        <f>IF(ISERROR(VLOOKUP(D63,'Base de Datos'!$C$7:$AR$400,18,0))=TRUE," ",(VLOOKUP(D63,'Base de Datos'!$C$7:$AR$400,18,0)))</f>
        <v>42451</v>
      </c>
      <c r="AX63" s="460">
        <f>IF(ISERROR(VLOOKUP(D63,'Base de Datos'!$C$7:$AR$400,19,0))=TRUE," ",(VLOOKUP(D63,'Base de Datos'!$C$7:$AR$400,19,0)))</f>
        <v>4721200</v>
      </c>
      <c r="AY63" s="463">
        <f>IF(ISERROR(VLOOKUP(D63,'Base de Datos'!$C$7:$AR$400,21,0))=TRUE," ",(VLOOKUP(D63,'Base de Datos'!$C$7:$AR$400,21,0)))</f>
        <v>0</v>
      </c>
      <c r="AZ63" s="463" t="str">
        <f>IF(ISERROR(VLOOKUP(D63,'Base de Datos'!$C$7:$AR$400,22,0))=TRUE," ",(VLOOKUP(D63,'Base de Datos'!$C$7:$AR$400,22,0)))</f>
        <v>Pagos bimestrales sobre las visitas de mantenimiento preventivo y/o correctivo</v>
      </c>
      <c r="BA63" s="470"/>
      <c r="BB63" s="480"/>
    </row>
    <row r="64" spans="2:54" ht="55.5" hidden="1" customHeight="1" x14ac:dyDescent="0.25">
      <c r="B64" s="433">
        <v>57</v>
      </c>
      <c r="C64" s="441" t="s">
        <v>1642</v>
      </c>
      <c r="D64" s="433">
        <v>151</v>
      </c>
      <c r="E64" s="441" t="s">
        <v>1655</v>
      </c>
      <c r="F64" s="442">
        <f>VLOOKUP(D64,'Presupuesto - PAA 2015'!$B$10:$E$265,4,0)</f>
        <v>14917500</v>
      </c>
      <c r="G64" s="434" t="str">
        <f>VLOOKUP(D64,'[4]Seguimiento Plan'!$C$2:$R$101,16,0)</f>
        <v>Realizar la interventoría al contrato de mantenimiento integral locativo del Concejo de Bogotá.</v>
      </c>
      <c r="H64" s="434" t="s">
        <v>1776</v>
      </c>
      <c r="I64" s="434" t="s">
        <v>1716</v>
      </c>
      <c r="J64" s="443" t="s">
        <v>909</v>
      </c>
      <c r="K64" s="444" t="s">
        <v>390</v>
      </c>
      <c r="L64" s="444" t="s">
        <v>390</v>
      </c>
      <c r="M64" s="445">
        <v>42117</v>
      </c>
      <c r="N64" s="444" t="s">
        <v>1821</v>
      </c>
      <c r="O64" s="446"/>
      <c r="P64" s="446"/>
      <c r="Q64" s="446"/>
      <c r="R64" s="447"/>
      <c r="S64" s="704" t="s">
        <v>2062</v>
      </c>
      <c r="T64" s="343" t="s">
        <v>292</v>
      </c>
      <c r="U64" s="450" t="str">
        <f>IF(ISERROR(VLOOKUP(T64,'Base de Datos'!$E$7:$AR$302,3,0))=TRUE," ",(VLOOKUP(T64,'Base de Datos'!$E$7:$AR$302,2,0)))</f>
        <v>ELKIN MAURICIO DIMAS MONTAYA</v>
      </c>
      <c r="V64" s="453">
        <f>IF(ISERROR(VLOOKUP(T64,'Base de Datos'!$E$7:$AR$302,5,0))=TRUE," ",(VLOOKUP(T64,'Base de Datos'!$E$7:$AR$302,5,0)))</f>
        <v>16390000</v>
      </c>
      <c r="W64" s="450">
        <f>IF(ISERROR(VLOOKUP(T64,'Base de Datos'!$E$7:$AR$302,19,0))=TRUE," ",(VLOOKUP(T64,'Base de Datos'!$E$7:$AR$302,19,0)))</f>
        <v>0</v>
      </c>
      <c r="X64" s="455" t="str">
        <f>IF(ISERROR(VLOOKUP(T64,'Base de Datos'!$E$7:$AR$302,8,0))=TRUE," ",(VLOOKUP(T64,'Base de Datos'!$E$7:$AR$302,8,0)))</f>
        <v xml:space="preserve"> </v>
      </c>
      <c r="Y64" s="455">
        <f>IF(ISERROR(VLOOKUP(T64,'Base de Datos'!$E$7:$AR$302,9,0))=TRUE," ",(VLOOKUP(T64,'Base de Datos'!$E$7:$AR$302,9,0)))</f>
        <v>41799</v>
      </c>
      <c r="Z64" s="449">
        <f>IF(ISERROR(VLOOKUP(T64,'Base de Datos'!$E$7:$AR$302,10,0))=TRUE," ",(VLOOKUP(T64,'Base de Datos'!$E$7:$AR$302,10,0)))</f>
        <v>42193</v>
      </c>
      <c r="AA64" s="452">
        <f>IF(ISERROR(VLOOKUP(T64,'Base de Datos'!$E$7:$AR$302,11,0))=TRUE," ",(VLOOKUP(T64,'Base de Datos'!$E$7:$AR$302,11,0)))</f>
        <v>1</v>
      </c>
      <c r="AB64" s="449">
        <f>IF(ISERROR(VLOOKUP(T64,'Base de Datos'!$E$7:$AR$302,12,0))=TRUE," ",(VLOOKUP(T64,'Base de Datos'!$E$7:$AR$302,12,0)))</f>
        <v>2324400</v>
      </c>
      <c r="AC64" s="449">
        <f>IF(ISERROR(VLOOKUP(T64,'Base de Datos'!$E$7:$AR$302,12,0))=TRUE," ",(VLOOKUP(T64,'Base de Datos'!$E$7:$AR$302,12,0)))</f>
        <v>2324400</v>
      </c>
      <c r="AD64" s="455">
        <f>IF(ISERROR(VLOOKUP(T64,'Base de Datos'!$E$7:$AR$302,15,0))=TRUE," ",(VLOOKUP(T64,'Base de Datos'!$E$7:$AR$302,15,0)))</f>
        <v>42247</v>
      </c>
      <c r="AE64" s="460">
        <f>IF(ISERROR(VLOOKUP(T64,'Base de Datos'!$E$7:$AR$302,16,0))=TRUE," ",(VLOOKUP(T64,'Base de Datos'!$E$7:$AR$302,16,0)))</f>
        <v>42247</v>
      </c>
      <c r="AF64" s="460">
        <f>IF(ISERROR(VLOOKUP(T64,'Base de Datos'!$E$7:$AR$302,17,0))=TRUE," ",(VLOOKUP(T64,'Base de Datos'!$E$7:$AR$302,17,0)))</f>
        <v>18714400</v>
      </c>
      <c r="AG64" s="460">
        <f>IF(ISERROR(VLOOKUP(T64,'Base de Datos'!$E$7:$AR$302,18,0))=TRUE," ",(VLOOKUP(T64,'Base de Datos'!$E$7:$AR$302,18,0)))</f>
        <v>18714400</v>
      </c>
      <c r="AH64" s="461" t="str">
        <f>IF(ISERROR(VLOOKUP(T64,'Base de Datos'!$E$7:$AR$302,20,0))=TRUE," ",(VLOOKUP(T64,'Base de Datos'!$E$7:$AR$302,20,0)))</f>
        <v>El 90% del contrato mediante 11 pagos mensuales iguales y unpago final equivalente al 10% del contratodentro de los quince días siguientes al al firma del axcta de liquidación</v>
      </c>
      <c r="AI64" s="461">
        <f>IF(ISERROR(VLOOKUP(T64,'Base de Datos'!$E$7:$AR$302,21,0))=TRUE," ",(VLOOKUP(T64,'Base de Datos'!$E$7:$AR$302,21,0)))</f>
        <v>1</v>
      </c>
      <c r="AJ64" s="450"/>
      <c r="AK64" s="450" t="str">
        <f>IF(ISERROR(VLOOKUP(D64,'Base de Datos'!$C$7:$AR$400,2,0))=TRUE," ",(VLOOKUP(D64,'Base de Datos'!$C$7:$AR$400,2,0)))</f>
        <v>2015151</v>
      </c>
      <c r="AL64" s="450" t="str">
        <f>IF(ISERROR(VLOOKUP(D64,'Base de Datos'!$C$7:$AR$400,3,0))=TRUE," ",(VLOOKUP(D64,'Base de Datos'!$C$7:$AR$400,3,0)))</f>
        <v>150333-0-2015</v>
      </c>
      <c r="AM64" s="453" t="str">
        <f>IF(ISERROR(VLOOKUP(D64,'Base de Datos'!$C$7:$AR$3761,6,0))=TRUE," ",(VLOOKUP(D64,'Base de Datos'!$C$7:$AR$400,6,0)))</f>
        <v>Realizar la Interventoría técnica administrativa, ambiental, financiera, legal y contable, para el contrato de Mantenimiento Integral Locativo con el suministro de personal, equipos y repuestos, en las instalaciones físicas del Concejo de Bogotá D.C.</v>
      </c>
      <c r="AN64" s="453">
        <f>IF(ISERROR(VLOOKUP(D64,'Base de Datos'!$C$7:$AR$400,20,0))=TRUE," ",(VLOOKUP(D64,'Base de Datos'!$C$7:$AR$400,19,0)))</f>
        <v>14917500</v>
      </c>
      <c r="AO64" s="456">
        <f>IF(ISERROR(VLOOKUP(D64,'Base de Datos'!$C$7:$AR$400,9,0))=TRUE," ",(VLOOKUP(D64,'Base de Datos'!$C$7:$AR$400,9,0)))</f>
        <v>2015</v>
      </c>
      <c r="AP64" s="456">
        <f>IF(ISERROR(VLOOKUP(D64,'Base de Datos'!$C$7:$AR$400,10,0))=TRUE," ",(VLOOKUP(D64,'Base de Datos'!$C$7:$AR$400,10,0)))</f>
        <v>42228</v>
      </c>
      <c r="AQ64" s="458">
        <f>IF(ISERROR(VLOOKUP(D64,'Base de Datos'!$C$7:$AR$400,11,0))=TRUE," ",(VLOOKUP(D64,'Base de Datos'!$C$7:$AR$400,11,0)))</f>
        <v>42247</v>
      </c>
      <c r="AR64" s="459">
        <f>IF(ISERROR(VLOOKUP(D64,'Base de Datos'!$C$7:$AR$400,12,0))=TRUE," ",(VLOOKUP(D64,'Base de Datos'!$C$7:$AR$400,12,0)))</f>
        <v>42551</v>
      </c>
      <c r="AS64" s="458">
        <f>IF(ISERROR(VLOOKUP(D64,'Base de Datos'!$C$7:$AR$400,13,0))=TRUE," ",(VLOOKUP(D64,'Base de Datos'!$C$7:$AR$400,13,0)))</f>
        <v>0</v>
      </c>
      <c r="AT64" s="458">
        <f>IF(ISERROR(VLOOKUP(D64,'Base de Datos'!$C$7:$AR$400,14,0))=TRUE," ",(VLOOKUP(D64,'Base de Datos'!$C$7:$AR$400,14,0)))</f>
        <v>0</v>
      </c>
      <c r="AU64" s="456" t="str">
        <f>IF(ISERROR(VLOOKUP(D64,'Base de Datos'!$C$7:$AR$400,16,0))=TRUE," ",(VLOOKUP(D64,'Base de Datos'!$C$7:$AR$400,16,0)))</f>
        <v xml:space="preserve">5 meses y 15 días </v>
      </c>
      <c r="AV64" s="460">
        <f>IF(ISERROR(VLOOKUP(D64,'Base de Datos'!$C$7:$AR$400,17,0))=TRUE," ",(VLOOKUP(D64,'Base de Datos'!$C$7:$AR$400,17,0)))</f>
        <v>42862</v>
      </c>
      <c r="AW64" s="460">
        <f>IF(ISERROR(VLOOKUP(D64,'Base de Datos'!$C$7:$AR$400,18,0))=TRUE," ",(VLOOKUP(D64,'Base de Datos'!$C$7:$AR$400,18,0)))</f>
        <v>42862</v>
      </c>
      <c r="AX64" s="460">
        <f>IF(ISERROR(VLOOKUP(D64,'Base de Datos'!$C$7:$AR$400,19,0))=TRUE," ",(VLOOKUP(D64,'Base de Datos'!$C$7:$AR$400,19,0)))</f>
        <v>14917500</v>
      </c>
      <c r="AY64" s="463">
        <f>IF(ISERROR(VLOOKUP(D64,'Base de Datos'!$C$7:$AR$400,21,0))=TRUE," ",(VLOOKUP(D64,'Base de Datos'!$C$7:$AR$400,21,0)))</f>
        <v>0</v>
      </c>
      <c r="AZ64" s="463" t="str">
        <f>IF(ISERROR(VLOOKUP(D64,'Base de Datos'!$C$7:$AR$400,22,0))=TRUE," ",(VLOOKUP(D64,'Base de Datos'!$C$7:$AR$400,22,0)))</f>
        <v>90% del valor del contrato en pagos mensuales, 10% posterior a la firma del acta de liquidación del contrato objeto de interventoría</v>
      </c>
      <c r="BA64" s="470"/>
      <c r="BB64" s="480"/>
    </row>
    <row r="65" spans="2:54" ht="55.5" hidden="1" customHeight="1" x14ac:dyDescent="0.25">
      <c r="B65" s="433">
        <v>58</v>
      </c>
      <c r="C65" s="441" t="s">
        <v>1642</v>
      </c>
      <c r="D65" s="433">
        <v>152</v>
      </c>
      <c r="E65" s="441" t="s">
        <v>1655</v>
      </c>
      <c r="F65" s="442">
        <f>VLOOKUP(D65,'Presupuesto - PAA 2015'!$B$10:$E$265,4,0)</f>
        <v>7442000</v>
      </c>
      <c r="G65" s="434" t="str">
        <f>VLOOKUP(D65,'[4]Seguimiento Plan'!$C$2:$R$101,16,0)</f>
        <v>Prestar los servicios de mantenimiento correctivo y preventivo de la puerta eléctrica y talanqueras de acceso vehicular del Concejo de Bogota</v>
      </c>
      <c r="H65" s="434" t="s">
        <v>1776</v>
      </c>
      <c r="I65" s="434" t="s">
        <v>1710</v>
      </c>
      <c r="J65" s="443" t="s">
        <v>909</v>
      </c>
      <c r="K65" s="444" t="s">
        <v>390</v>
      </c>
      <c r="L65" s="444" t="str">
        <f>VLOOKUP(D65,'[4]Seguimiento Plan'!$C$2:$AJ$101,30,0)</f>
        <v>SI</v>
      </c>
      <c r="M65" s="445">
        <f>VLOOKUP(D65,'[4]Seguimiento Plan'!$C$2:$AJ$101,31,0)</f>
        <v>41991</v>
      </c>
      <c r="N65" s="444"/>
      <c r="O65" s="446"/>
      <c r="P65" s="446"/>
      <c r="Q65" s="446"/>
      <c r="R65" s="524"/>
      <c r="S65" s="351" t="s">
        <v>1741</v>
      </c>
      <c r="T65" s="139" t="s">
        <v>273</v>
      </c>
      <c r="U65" s="450" t="str">
        <f>IF(ISERROR(VLOOKUP(T65,'Base de Datos'!$E$7:$AR$302,3,0))=TRUE," ",(VLOOKUP(T65,'Base de Datos'!$E$7:$AR$302,2,0)))</f>
        <v>AGR SOLUCIONES S.A.S.</v>
      </c>
      <c r="V65" s="453">
        <f>IF(ISERROR(VLOOKUP(T65,'Base de Datos'!$E$7:$AR$302,5,0))=TRUE," ",(VLOOKUP(T65,'Base de Datos'!$E$7:$AR$302,5,0)))</f>
        <v>11000000</v>
      </c>
      <c r="W65" s="450">
        <f>IF(ISERROR(VLOOKUP(T65,'Base de Datos'!$E$7:$AR$302,19,0))=TRUE," ",(VLOOKUP(T65,'Base de Datos'!$E$7:$AR$302,19,0)))</f>
        <v>8327534</v>
      </c>
      <c r="X65" s="455" t="str">
        <f>IF(ISERROR(VLOOKUP(T65,'Base de Datos'!$E$7:$AR$302,8,0))=TRUE," ",(VLOOKUP(T65,'Base de Datos'!$E$7:$AR$302,8,0)))</f>
        <v xml:space="preserve"> </v>
      </c>
      <c r="Y65" s="455">
        <f>IF(ISERROR(VLOOKUP(T65,'Base de Datos'!$E$7:$AR$302,9,0))=TRUE," ",(VLOOKUP(T65,'Base de Datos'!$E$7:$AR$302,9,0)))</f>
        <v>41738</v>
      </c>
      <c r="Z65" s="449">
        <f>IF(ISERROR(VLOOKUP(T65,'Base de Datos'!$E$7:$AR$302,10,0))=TRUE," ",(VLOOKUP(T65,'Base de Datos'!$E$7:$AR$302,10,0)))</f>
        <v>42012</v>
      </c>
      <c r="AA65" s="452">
        <f>IF(ISERROR(VLOOKUP(T65,'Base de Datos'!$E$7:$AR$302,11,0))=TRUE," ",(VLOOKUP(T65,'Base de Datos'!$E$7:$AR$302,11,0)))</f>
        <v>0</v>
      </c>
      <c r="AB65" s="449">
        <f>IF(ISERROR(VLOOKUP(T65,'Base de Datos'!$E$7:$AR$302,12,0))=TRUE," ",(VLOOKUP(T65,'Base de Datos'!$E$7:$AR$302,12,0)))</f>
        <v>0</v>
      </c>
      <c r="AC65" s="449">
        <f>IF(ISERROR(VLOOKUP(T65,'Base de Datos'!$E$7:$AR$302,12,0))=TRUE," ",(VLOOKUP(T65,'Base de Datos'!$E$7:$AR$302,12,0)))</f>
        <v>0</v>
      </c>
      <c r="AD65" s="455" t="str">
        <f>IF(ISERROR(VLOOKUP(T65,'Base de Datos'!$E$7:$AR$302,15,0))=TRUE," ",(VLOOKUP(T65,'Base de Datos'!$E$7:$AR$302,15,0)))</f>
        <v/>
      </c>
      <c r="AE65" s="460">
        <f>IF(ISERROR(VLOOKUP(T65,'Base de Datos'!$E$7:$AR$302,16,0))=TRUE," ",(VLOOKUP(T65,'Base de Datos'!$E$7:$AR$302,16,0)))</f>
        <v>42012</v>
      </c>
      <c r="AF65" s="460">
        <f>IF(ISERROR(VLOOKUP(T65,'Base de Datos'!$E$7:$AR$302,17,0))=TRUE," ",(VLOOKUP(T65,'Base de Datos'!$E$7:$AR$302,17,0)))</f>
        <v>11000000</v>
      </c>
      <c r="AG65" s="460">
        <f>IF(ISERROR(VLOOKUP(T65,'Base de Datos'!$E$7:$AR$302,18,0))=TRUE," ",(VLOOKUP(T65,'Base de Datos'!$E$7:$AR$302,18,0)))</f>
        <v>2672466</v>
      </c>
      <c r="AH65" s="461" t="str">
        <f>IF(ISERROR(VLOOKUP(T65,'Base de Datos'!$E$7:$AR$302,20,0))=TRUE," ",(VLOOKUP(T65,'Base de Datos'!$E$7:$AR$302,20,0)))</f>
        <v xml:space="preserve">Se efectuará un pago por cada una de las visitas de mantenimiento preventivo efectuadas. Los repuestos y/o elementos se cancelarán de acuerdo a la demanda requerida en el respectivo periodo, manteniendo los precios unitarios  de referencia aplicando el porcentaje de descuento ofrecido en la propuesta. </v>
      </c>
      <c r="AI65" s="461">
        <f>IF(ISERROR(VLOOKUP(T65,'Base de Datos'!$E$7:$AR$302,21,0))=TRUE," ",(VLOOKUP(T65,'Base de Datos'!$E$7:$AR$302,21,0)))</f>
        <v>0.24295145454545455</v>
      </c>
      <c r="AJ65" s="455">
        <v>42082</v>
      </c>
      <c r="AK65" s="450" t="str">
        <f>IF(ISERROR(VLOOKUP(D65,'Base de Datos'!$C$7:$AR$400,2,0))=TRUE," ",(VLOOKUP(D65,'Base de Datos'!$C$7:$AR$400,2,0)))</f>
        <v>2015152</v>
      </c>
      <c r="AL65" s="450" t="str">
        <f>IF(ISERROR(VLOOKUP(D65,'Base de Datos'!$C$7:$AR$400,3,0))=TRUE," ",(VLOOKUP(D65,'Base de Datos'!$C$7:$AR$400,3,0)))</f>
        <v>150129-0-2015</v>
      </c>
      <c r="AM65" s="453" t="str">
        <f>IF(ISERROR(VLOOKUP(D65,'Base de Datos'!$C$7:$AR$3761,6,0))=TRUE," ",(VLOOKUP(D65,'Base de Datos'!$C$7:$AR$400,6,0)))</f>
        <v>Prestar el servicio de mantenimiento preventivo y correctivo con suministro de repuestos de la puerta eléctrica y talanqueras de acceso vehicular al Concejo de Bogotá D.C.</v>
      </c>
      <c r="AN65" s="453">
        <f>IF(ISERROR(VLOOKUP(D65,'Base de Datos'!$C$7:$AR$400,20,0))=TRUE," ",(VLOOKUP(D65,'Base de Datos'!$C$7:$AR$400,19,0)))</f>
        <v>7442000</v>
      </c>
      <c r="AO65" s="456">
        <f>IF(ISERROR(VLOOKUP(D65,'Base de Datos'!$C$7:$AR$400,9,0))=TRUE," ",(VLOOKUP(D65,'Base de Datos'!$C$7:$AR$400,9,0)))</f>
        <v>2015</v>
      </c>
      <c r="AP65" s="456">
        <f>IF(ISERROR(VLOOKUP(D65,'Base de Datos'!$C$7:$AR$400,10,0))=TRUE," ",(VLOOKUP(D65,'Base de Datos'!$C$7:$AR$400,10,0)))</f>
        <v>42082</v>
      </c>
      <c r="AQ65" s="458">
        <f>IF(ISERROR(VLOOKUP(D65,'Base de Datos'!$C$7:$AR$400,11,0))=TRUE," ",(VLOOKUP(D65,'Base de Datos'!$C$7:$AR$400,11,0)))</f>
        <v>42111</v>
      </c>
      <c r="AR65" s="459">
        <f>IF(ISERROR(VLOOKUP(D65,'Base de Datos'!$C$7:$AR$400,12,0))=TRUE," ",(VLOOKUP(D65,'Base de Datos'!$C$7:$AR$400,12,0)))</f>
        <v>42477</v>
      </c>
      <c r="AS65" s="458">
        <f>IF(ISERROR(VLOOKUP(D65,'Base de Datos'!$C$7:$AR$400,13,0))=TRUE," ",(VLOOKUP(D65,'Base de Datos'!$C$7:$AR$400,13,0)))</f>
        <v>0</v>
      </c>
      <c r="AT65" s="458">
        <f>IF(ISERROR(VLOOKUP(D65,'Base de Datos'!$C$7:$AR$400,14,0))=TRUE," ",(VLOOKUP(D65,'Base de Datos'!$C$7:$AR$400,14,0)))</f>
        <v>0</v>
      </c>
      <c r="AU65" s="456" t="str">
        <f>IF(ISERROR(VLOOKUP(D65,'Base de Datos'!$C$7:$AR$400,16,0))=TRUE," ",(VLOOKUP(D65,'Base de Datos'!$C$7:$AR$400,16,0)))</f>
        <v/>
      </c>
      <c r="AV65" s="460" t="str">
        <f>IF(ISERROR(VLOOKUP(D65,'Base de Datos'!$C$7:$AR$400,17,0))=TRUE," ",(VLOOKUP(D65,'Base de Datos'!$C$7:$AR$400,17,0)))</f>
        <v/>
      </c>
      <c r="AW65" s="460">
        <f>IF(ISERROR(VLOOKUP(D65,'Base de Datos'!$C$7:$AR$400,18,0))=TRUE," ",(VLOOKUP(D65,'Base de Datos'!$C$7:$AR$400,18,0)))</f>
        <v>42477</v>
      </c>
      <c r="AX65" s="460">
        <f>IF(ISERROR(VLOOKUP(D65,'Base de Datos'!$C$7:$AR$400,19,0))=TRUE," ",(VLOOKUP(D65,'Base de Datos'!$C$7:$AR$400,19,0)))</f>
        <v>7442000</v>
      </c>
      <c r="AY65" s="463">
        <f>IF(ISERROR(VLOOKUP(D65,'Base de Datos'!$C$7:$AR$400,21,0))=TRUE," ",(VLOOKUP(D65,'Base de Datos'!$C$7:$AR$400,21,0)))</f>
        <v>2193000</v>
      </c>
      <c r="AZ65" s="463" t="str">
        <f>IF(ISERROR(VLOOKUP(D65,'Base de Datos'!$C$7:$AR$400,22,0))=TRUE," ",(VLOOKUP(D65,'Base de Datos'!$C$7:$AR$400,22,0)))</f>
        <v>Un pago por cada visita, y los repuestos de acuerdo a la demanda requerida</v>
      </c>
      <c r="BA65" s="470"/>
      <c r="BB65" s="480"/>
    </row>
    <row r="66" spans="2:54" ht="55.5" hidden="1" customHeight="1" x14ac:dyDescent="0.25">
      <c r="B66" s="433">
        <v>59</v>
      </c>
      <c r="C66" s="441" t="s">
        <v>1642</v>
      </c>
      <c r="D66" s="433">
        <v>153</v>
      </c>
      <c r="E66" s="441" t="s">
        <v>1655</v>
      </c>
      <c r="F66" s="442" t="e">
        <f>VLOOKUP(D66,'Presupuesto - PAA 2015'!$B$10:$E$265,4,0)</f>
        <v>#N/A</v>
      </c>
      <c r="G66" s="434" t="str">
        <f>VLOOKUP(D66,'[4]Seguimiento Plan'!$C$2:$R$101,16,0)</f>
        <v>Prestar el servicio de manejo integral de los residuos peligrosos existentes en la sede del Concejo de Bogotá.</v>
      </c>
      <c r="H66" s="434" t="s">
        <v>1776</v>
      </c>
      <c r="I66" s="434" t="s">
        <v>1710</v>
      </c>
      <c r="J66" s="443" t="s">
        <v>909</v>
      </c>
      <c r="K66" s="444"/>
      <c r="L66" s="444"/>
      <c r="M66" s="445"/>
      <c r="N66" s="444"/>
      <c r="O66" s="446"/>
      <c r="P66" s="446"/>
      <c r="Q66" s="446"/>
      <c r="R66" s="447"/>
      <c r="S66" s="447"/>
      <c r="T66" s="344" t="s">
        <v>308</v>
      </c>
      <c r="U66" s="450" t="str">
        <f>IF(ISERROR(VLOOKUP(T66,'Base de Datos'!$E$7:$AR$302,3,0))=TRUE," ",(VLOOKUP(T66,'Base de Datos'!$E$7:$AR$302,2,0)))</f>
        <v>INDUSTRIAS QUÍMICAS FIQ LTDA</v>
      </c>
      <c r="V66" s="453">
        <f>IF(ISERROR(VLOOKUP(T66,'Base de Datos'!$E$7:$AR$302,5,0))=TRUE," ",(VLOOKUP(T66,'Base de Datos'!$E$7:$AR$302,5,0)))</f>
        <v>2260000</v>
      </c>
      <c r="W66" s="450">
        <f>IF(ISERROR(VLOOKUP(T66,'Base de Datos'!$E$7:$AR$302,19,0))=TRUE," ",(VLOOKUP(T66,'Base de Datos'!$E$7:$AR$302,19,0)))</f>
        <v>665000</v>
      </c>
      <c r="X66" s="455" t="str">
        <f>IF(ISERROR(VLOOKUP(T66,'Base de Datos'!$E$7:$AR$302,8,0))=TRUE," ",(VLOOKUP(T66,'Base de Datos'!$E$7:$AR$302,8,0)))</f>
        <v xml:space="preserve"> </v>
      </c>
      <c r="Y66" s="455">
        <f>IF(ISERROR(VLOOKUP(T66,'Base de Datos'!$E$7:$AR$302,9,0))=TRUE," ",(VLOOKUP(T66,'Base de Datos'!$E$7:$AR$302,9,0)))</f>
        <v>41862</v>
      </c>
      <c r="Z66" s="449">
        <f>IF(ISERROR(VLOOKUP(T66,'Base de Datos'!$E$7:$AR$302,10,0))=TRUE," ",(VLOOKUP(T66,'Base de Datos'!$E$7:$AR$302,10,0)))</f>
        <v>41923</v>
      </c>
      <c r="AA66" s="452">
        <f>IF(ISERROR(VLOOKUP(T66,'Base de Datos'!$E$7:$AR$302,11,0))=TRUE," ",(VLOOKUP(T66,'Base de Datos'!$E$7:$AR$302,11,0)))</f>
        <v>0</v>
      </c>
      <c r="AB66" s="449">
        <f>IF(ISERROR(VLOOKUP(T66,'Base de Datos'!$E$7:$AR$302,12,0))=TRUE," ",(VLOOKUP(T66,'Base de Datos'!$E$7:$AR$302,12,0)))</f>
        <v>0</v>
      </c>
      <c r="AC66" s="449">
        <f>IF(ISERROR(VLOOKUP(T66,'Base de Datos'!$E$7:$AR$302,12,0))=TRUE," ",(VLOOKUP(T66,'Base de Datos'!$E$7:$AR$302,12,0)))</f>
        <v>0</v>
      </c>
      <c r="AD66" s="455" t="str">
        <f>IF(ISERROR(VLOOKUP(T66,'Base de Datos'!$E$7:$AR$302,15,0))=TRUE," ",(VLOOKUP(T66,'Base de Datos'!$E$7:$AR$302,15,0)))</f>
        <v/>
      </c>
      <c r="AE66" s="460">
        <f>IF(ISERROR(VLOOKUP(T66,'Base de Datos'!$E$7:$AR$302,16,0))=TRUE," ",(VLOOKUP(T66,'Base de Datos'!$E$7:$AR$302,16,0)))</f>
        <v>41923</v>
      </c>
      <c r="AF66" s="460">
        <f>IF(ISERROR(VLOOKUP(T66,'Base de Datos'!$E$7:$AR$302,17,0))=TRUE," ",(VLOOKUP(T66,'Base de Datos'!$E$7:$AR$302,17,0)))</f>
        <v>2260000</v>
      </c>
      <c r="AG66" s="460">
        <f>IF(ISERROR(VLOOKUP(T66,'Base de Datos'!$E$7:$AR$302,18,0))=TRUE," ",(VLOOKUP(T66,'Base de Datos'!$E$7:$AR$302,18,0)))</f>
        <v>1595000</v>
      </c>
      <c r="AH66" s="461" t="str">
        <f>IF(ISERROR(VLOOKUP(T66,'Base de Datos'!$E$7:$AR$302,20,0))=TRUE," ",(VLOOKUP(T66,'Base de Datos'!$E$7:$AR$302,20,0)))</f>
        <v>Un pago equivalente al 100% del valor del contrato, una vez se hayan entregado y aprobado por el supervisor la totalidad de los resultados objeto del contrato.</v>
      </c>
      <c r="AI66" s="461">
        <f>IF(ISERROR(VLOOKUP(T66,'Base de Datos'!$E$7:$AR$302,21,0))=TRUE," ",(VLOOKUP(T66,'Base de Datos'!$E$7:$AR$302,21,0)))</f>
        <v>0.70575221238938057</v>
      </c>
      <c r="AJ66" s="450"/>
      <c r="AK66" s="450" t="str">
        <f>IF(ISERROR(VLOOKUP(D66,'Base de Datos'!$C$7:$AR$400,2,0))=TRUE," ",(VLOOKUP(D66,'Base de Datos'!$C$7:$AR$400,2,0)))</f>
        <v>2016153</v>
      </c>
      <c r="AL66" s="450" t="str">
        <f>IF(ISERROR(VLOOKUP(D66,'Base de Datos'!$C$7:$AR$400,3,0))=TRUE," ",(VLOOKUP(D66,'Base de Datos'!$C$7:$AR$400,3,0)))</f>
        <v>160047-0-2016</v>
      </c>
      <c r="AM66" s="453" t="str">
        <f>IF(ISERROR(VLOOKUP(D66,'Base de Datos'!$C$7:$AR$3761,6,0))=TRUE," ",(VLOOKUP(D66,'Base de Datos'!$C$7:$AR$400,6,0)))</f>
        <v>Prestar los servicios profesionales para apoyar la definición, contratación y seguimiento de los temas de infraestructura física que  requiera el Concejo de Bogotá D.C.</v>
      </c>
      <c r="AN66" s="453">
        <f>IF(ISERROR(VLOOKUP(D66,'Base de Datos'!$C$7:$AR$400,20,0))=TRUE," ",(VLOOKUP(D66,'Base de Datos'!$C$7:$AR$400,19,0)))</f>
        <v>61800000</v>
      </c>
      <c r="AO66" s="456">
        <f>IF(ISERROR(VLOOKUP(D66,'Base de Datos'!$C$7:$AR$400,9,0))=TRUE," ",(VLOOKUP(D66,'Base de Datos'!$C$7:$AR$400,9,0)))</f>
        <v>2016</v>
      </c>
      <c r="AP66" s="456">
        <f>IF(ISERROR(VLOOKUP(D66,'Base de Datos'!$C$7:$AR$400,10,0))=TRUE," ",(VLOOKUP(D66,'Base de Datos'!$C$7:$AR$400,10,0)))</f>
        <v>42446</v>
      </c>
      <c r="AQ66" s="458">
        <f>IF(ISERROR(VLOOKUP(D66,'Base de Datos'!$C$7:$AR$400,11,0))=TRUE," ",(VLOOKUP(D66,'Base de Datos'!$C$7:$AR$400,11,0)))</f>
        <v>42451</v>
      </c>
      <c r="AR66" s="459">
        <f>IF(ISERROR(VLOOKUP(D66,'Base de Datos'!$C$7:$AR$400,12,0))=TRUE," ",(VLOOKUP(D66,'Base de Datos'!$C$7:$AR$400,12,0)))</f>
        <v>42816</v>
      </c>
      <c r="AS66" s="458">
        <f>IF(ISERROR(VLOOKUP(D66,'Base de Datos'!$C$7:$AR$400,13,0))=TRUE," ",(VLOOKUP(D66,'Base de Datos'!$C$7:$AR$400,13,0)))</f>
        <v>0</v>
      </c>
      <c r="AT66" s="458">
        <f>IF(ISERROR(VLOOKUP(D66,'Base de Datos'!$C$7:$AR$400,14,0))=TRUE," ",(VLOOKUP(D66,'Base de Datos'!$C$7:$AR$400,14,0)))</f>
        <v>0</v>
      </c>
      <c r="AU66" s="456" t="str">
        <f>IF(ISERROR(VLOOKUP(D66,'Base de Datos'!$C$7:$AR$400,16,0))=TRUE," ",(VLOOKUP(D66,'Base de Datos'!$C$7:$AR$400,16,0)))</f>
        <v/>
      </c>
      <c r="AV66" s="460" t="str">
        <f>IF(ISERROR(VLOOKUP(D66,'Base de Datos'!$C$7:$AR$400,17,0))=TRUE," ",(VLOOKUP(D66,'Base de Datos'!$C$7:$AR$400,17,0)))</f>
        <v/>
      </c>
      <c r="AW66" s="460">
        <f>IF(ISERROR(VLOOKUP(D66,'Base de Datos'!$C$7:$AR$400,18,0))=TRUE," ",(VLOOKUP(D66,'Base de Datos'!$C$7:$AR$400,18,0)))</f>
        <v>42816</v>
      </c>
      <c r="AX66" s="460">
        <f>IF(ISERROR(VLOOKUP(D66,'Base de Datos'!$C$7:$AR$400,19,0))=TRUE," ",(VLOOKUP(D66,'Base de Datos'!$C$7:$AR$400,19,0)))</f>
        <v>61800000</v>
      </c>
      <c r="AY66" s="463">
        <f>IF(ISERROR(VLOOKUP(D66,'Base de Datos'!$C$7:$AR$400,21,0))=TRUE," ",(VLOOKUP(D66,'Base de Datos'!$C$7:$AR$400,21,0)))</f>
        <v>0</v>
      </c>
      <c r="AZ66" s="463" t="str">
        <f>IF(ISERROR(VLOOKUP(D66,'Base de Datos'!$C$7:$AR$400,22,0))=TRUE," ",(VLOOKUP(D66,'Base de Datos'!$C$7:$AR$400,22,0)))</f>
        <v>Mensual</v>
      </c>
      <c r="BA66" s="470"/>
      <c r="BB66" s="480"/>
    </row>
    <row r="67" spans="2:54" ht="55.5" hidden="1" customHeight="1" x14ac:dyDescent="0.25">
      <c r="B67" s="433">
        <v>60</v>
      </c>
      <c r="C67" s="441" t="s">
        <v>1642</v>
      </c>
      <c r="D67" s="433">
        <v>154</v>
      </c>
      <c r="E67" s="441" t="s">
        <v>1655</v>
      </c>
      <c r="F67" s="442">
        <f>VLOOKUP(D67,'Presupuesto - PAA 2015'!$B$10:$E$265,4,0)</f>
        <v>28000000</v>
      </c>
      <c r="G67" s="434" t="str">
        <f>VLOOKUP(D67,'[4]Seguimiento Plan'!$C$2:$R$101,16,0)</f>
        <v>Prestar los servicios de mantenimiento correctivo con suministro de repuestos para los vehículos marca Mitsubishi al servicio del Concejo de Bogotá.</v>
      </c>
      <c r="H67" s="434" t="s">
        <v>1776</v>
      </c>
      <c r="I67" s="434" t="s">
        <v>1710</v>
      </c>
      <c r="J67" s="443" t="s">
        <v>909</v>
      </c>
      <c r="K67" s="444" t="s">
        <v>390</v>
      </c>
      <c r="L67" s="444" t="str">
        <f>VLOOKUP(D67,'[4]Seguimiento Plan'!$C$2:$AJ$101,30,0)</f>
        <v>SI</v>
      </c>
      <c r="M67" s="445">
        <f>VLOOKUP(D67,'[4]Seguimiento Plan'!$C$2:$AJ$101,31,0)</f>
        <v>42065</v>
      </c>
      <c r="N67" s="444" t="s">
        <v>1807</v>
      </c>
      <c r="O67" s="446"/>
      <c r="P67" s="446"/>
      <c r="Q67" s="446"/>
      <c r="R67" s="447"/>
      <c r="S67" s="447" t="s">
        <v>1905</v>
      </c>
      <c r="T67" s="139" t="s">
        <v>1106</v>
      </c>
      <c r="U67" s="450" t="str">
        <f>IF(ISERROR(VLOOKUP(T67,'Base de Datos'!$E$7:$AR$302,3,0))=TRUE," ",(VLOOKUP(T67,'Base de Datos'!$E$7:$AR$302,2,0)))</f>
        <v>MOTORES Y MAQUINAS MOTORYSA</v>
      </c>
      <c r="V67" s="453">
        <f>IF(ISERROR(VLOOKUP(T67,'Base de Datos'!$E$7:$AR$302,5,0))=TRUE," ",(VLOOKUP(T67,'Base de Datos'!$E$7:$AR$302,5,0)))</f>
        <v>30000000</v>
      </c>
      <c r="W67" s="450">
        <f>IF(ISERROR(VLOOKUP(T67,'Base de Datos'!$E$7:$AR$302,19,0))=TRUE," ",(VLOOKUP(T67,'Base de Datos'!$E$7:$AR$302,19,0)))</f>
        <v>1669890</v>
      </c>
      <c r="X67" s="455" t="str">
        <f>IF(ISERROR(VLOOKUP(T67,'Base de Datos'!$E$7:$AR$302,8,0))=TRUE," ",(VLOOKUP(T67,'Base de Datos'!$E$7:$AR$302,8,0)))</f>
        <v xml:space="preserve"> </v>
      </c>
      <c r="Y67" s="455">
        <f>IF(ISERROR(VLOOKUP(T67,'Base de Datos'!$E$7:$AR$302,9,0))=TRUE," ",(VLOOKUP(T67,'Base de Datos'!$E$7:$AR$302,9,0)))</f>
        <v>41703</v>
      </c>
      <c r="Z67" s="449">
        <f>IF(ISERROR(VLOOKUP(T67,'Base de Datos'!$E$7:$AR$302,10,0))=TRUE," ",(VLOOKUP(T67,'Base de Datos'!$E$7:$AR$302,10,0)))</f>
        <v>42067</v>
      </c>
      <c r="AA67" s="452">
        <f>IF(ISERROR(VLOOKUP(T67,'Base de Datos'!$E$7:$AR$302,11,0))=TRUE," ",(VLOOKUP(T67,'Base de Datos'!$E$7:$AR$302,11,0)))</f>
        <v>0</v>
      </c>
      <c r="AB67" s="449">
        <f>IF(ISERROR(VLOOKUP(T67,'Base de Datos'!$E$7:$AR$302,12,0))=TRUE," ",(VLOOKUP(T67,'Base de Datos'!$E$7:$AR$302,12,0)))</f>
        <v>0</v>
      </c>
      <c r="AC67" s="449">
        <f>IF(ISERROR(VLOOKUP(T67,'Base de Datos'!$E$7:$AR$302,12,0))=TRUE," ",(VLOOKUP(T67,'Base de Datos'!$E$7:$AR$302,12,0)))</f>
        <v>0</v>
      </c>
      <c r="AD67" s="455">
        <f>IF(ISERROR(VLOOKUP(T67,'Base de Datos'!$E$7:$AR$302,15,0))=TRUE," ",(VLOOKUP(T67,'Base de Datos'!$E$7:$AR$302,15,0)))</f>
        <v>42129</v>
      </c>
      <c r="AE67" s="460">
        <f>IF(ISERROR(VLOOKUP(T67,'Base de Datos'!$E$7:$AR$302,16,0))=TRUE," ",(VLOOKUP(T67,'Base de Datos'!$E$7:$AR$302,16,0)))</f>
        <v>42129</v>
      </c>
      <c r="AF67" s="460">
        <f>IF(ISERROR(VLOOKUP(T67,'Base de Datos'!$E$7:$AR$302,17,0))=TRUE," ",(VLOOKUP(T67,'Base de Datos'!$E$7:$AR$302,17,0)))</f>
        <v>30000000</v>
      </c>
      <c r="AG67" s="460">
        <f>IF(ISERROR(VLOOKUP(T67,'Base de Datos'!$E$7:$AR$302,18,0))=TRUE," ",(VLOOKUP(T67,'Base de Datos'!$E$7:$AR$302,18,0)))</f>
        <v>28330110</v>
      </c>
      <c r="AH67" s="461" t="str">
        <f>IF(ISERROR(VLOOKUP(T67,'Base de Datos'!$E$7:$AR$302,20,0))=TRUE," ",(VLOOKUP(T67,'Base de Datos'!$E$7:$AR$302,20,0)))</f>
        <v xml:space="preserve">Los mantenimientos correctivos y el suministro de repuestos se cancelarán mensualmente de acuerdo con los servicios efectivamente prestados.
</v>
      </c>
      <c r="AI67" s="461">
        <f>IF(ISERROR(VLOOKUP(T67,'Base de Datos'!$E$7:$AR$302,21,0))=TRUE," ",(VLOOKUP(T67,'Base de Datos'!$E$7:$AR$302,21,0)))</f>
        <v>0.94433699999999998</v>
      </c>
      <c r="AJ67" s="464">
        <v>42144</v>
      </c>
      <c r="AK67" s="450" t="str">
        <f>IF(ISERROR(VLOOKUP(D67,'Base de Datos'!$C$7:$AR$400,2,0))=TRUE," ",(VLOOKUP(D67,'Base de Datos'!$C$7:$AR$400,2,0)))</f>
        <v>2015154</v>
      </c>
      <c r="AL67" s="450" t="str">
        <f>IF(ISERROR(VLOOKUP(D67,'Base de Datos'!$C$7:$AR$400,3,0))=TRUE," ",(VLOOKUP(D67,'Base de Datos'!$C$7:$AR$400,3,0)))</f>
        <v>150229-0-2015</v>
      </c>
      <c r="AM67" s="453" t="str">
        <f>IF(ISERROR(VLOOKUP(D67,'Base de Datos'!$C$7:$AR$3761,6,0))=TRUE," ",(VLOOKUP(D67,'Base de Datos'!$C$7:$AR$400,6,0)))</f>
        <v>PRESTAR EL SERVICIO DE MANTENIMIENTO CORRECTIVO CON SUMINISTRO DE REPUESTOS DE LOS AUTOMOTORES MARCA MITSUBISHI AL SERVICIO DEL CONCEJO DE BOGOTA</v>
      </c>
      <c r="AN67" s="453">
        <f>IF(ISERROR(VLOOKUP(D67,'Base de Datos'!$C$7:$AR$400,20,0))=TRUE," ",(VLOOKUP(D67,'Base de Datos'!$C$7:$AR$400,19,0)))</f>
        <v>28000000</v>
      </c>
      <c r="AO67" s="456">
        <f>IF(ISERROR(VLOOKUP(D67,'Base de Datos'!$C$7:$AR$400,9,0))=TRUE," ",(VLOOKUP(D67,'Base de Datos'!$C$7:$AR$400,9,0)))</f>
        <v>2015</v>
      </c>
      <c r="AP67" s="456">
        <f>IF(ISERROR(VLOOKUP(D67,'Base de Datos'!$C$7:$AR$400,10,0))=TRUE," ",(VLOOKUP(D67,'Base de Datos'!$C$7:$AR$400,10,0)))</f>
        <v>42144</v>
      </c>
      <c r="AQ67" s="458">
        <f>IF(ISERROR(VLOOKUP(D67,'Base de Datos'!$C$7:$AR$400,11,0))=TRUE," ",(VLOOKUP(D67,'Base de Datos'!$C$7:$AR$400,11,0)))</f>
        <v>42180</v>
      </c>
      <c r="AR67" s="459">
        <f>IF(ISERROR(VLOOKUP(D67,'Base de Datos'!$C$7:$AR$400,12,0))=TRUE," ",(VLOOKUP(D67,'Base de Datos'!$C$7:$AR$400,12,0)))</f>
        <v>42546</v>
      </c>
      <c r="AS67" s="458">
        <f>IF(ISERROR(VLOOKUP(D67,'Base de Datos'!$C$7:$AR$400,13,0))=TRUE," ",(VLOOKUP(D67,'Base de Datos'!$C$7:$AR$400,13,0)))</f>
        <v>0</v>
      </c>
      <c r="AT67" s="458">
        <f>IF(ISERROR(VLOOKUP(D67,'Base de Datos'!$C$7:$AR$400,14,0))=TRUE," ",(VLOOKUP(D67,'Base de Datos'!$C$7:$AR$400,14,0)))</f>
        <v>0</v>
      </c>
      <c r="AU67" s="456" t="str">
        <f>IF(ISERROR(VLOOKUP(D67,'Base de Datos'!$C$7:$AR$400,16,0))=TRUE," ",(VLOOKUP(D67,'Base de Datos'!$C$7:$AR$400,16,0)))</f>
        <v/>
      </c>
      <c r="AV67" s="460" t="str">
        <f>IF(ISERROR(VLOOKUP(D67,'Base de Datos'!$C$7:$AR$400,17,0))=TRUE," ",(VLOOKUP(D67,'Base de Datos'!$C$7:$AR$400,17,0)))</f>
        <v/>
      </c>
      <c r="AW67" s="460">
        <f>IF(ISERROR(VLOOKUP(D67,'Base de Datos'!$C$7:$AR$400,18,0))=TRUE," ",(VLOOKUP(D67,'Base de Datos'!$C$7:$AR$400,18,0)))</f>
        <v>42546</v>
      </c>
      <c r="AX67" s="460">
        <f>IF(ISERROR(VLOOKUP(D67,'Base de Datos'!$C$7:$AR$400,19,0))=TRUE," ",(VLOOKUP(D67,'Base de Datos'!$C$7:$AR$400,19,0)))</f>
        <v>28000000</v>
      </c>
      <c r="AY67" s="463">
        <f>IF(ISERROR(VLOOKUP(D67,'Base de Datos'!$C$7:$AR$400,21,0))=TRUE," ",(VLOOKUP(D67,'Base de Datos'!$C$7:$AR$400,21,0)))</f>
        <v>1403223</v>
      </c>
      <c r="AZ67" s="463" t="str">
        <f>IF(ISERROR(VLOOKUP(D67,'Base de Datos'!$C$7:$AR$400,22,0))=TRUE," ",(VLOOKUP(D67,'Base de Datos'!$C$7:$AR$400,22,0)))</f>
        <v>Mensualmente de acuerdo a los servicios efectivamente prestados.</v>
      </c>
      <c r="BA67" s="470"/>
      <c r="BB67" s="480"/>
    </row>
    <row r="68" spans="2:54" ht="55.5" hidden="1" customHeight="1" x14ac:dyDescent="0.25">
      <c r="B68" s="433">
        <v>61</v>
      </c>
      <c r="C68" s="441" t="s">
        <v>1642</v>
      </c>
      <c r="D68" s="433">
        <v>155</v>
      </c>
      <c r="E68" s="441" t="s">
        <v>1655</v>
      </c>
      <c r="F68" s="442">
        <f>VLOOKUP(D68,'Presupuesto - PAA 2015'!$B$10:$E$265,4,0)</f>
        <v>5000000</v>
      </c>
      <c r="G68" s="434" t="str">
        <f>VLOOKUP(D68,'[4]Seguimiento Plan'!$C$2:$R$101,16,0)</f>
        <v>Prestar el servicio de mantenimiento preventivo y correctivo para los tanques de almacenamiento y equipos de bombeo hidráulicos de agua potable, residual y aguas negras del Concejo de Bogotá.</v>
      </c>
      <c r="H68" s="434" t="s">
        <v>1776</v>
      </c>
      <c r="I68" s="434" t="s">
        <v>1710</v>
      </c>
      <c r="J68" s="443" t="s">
        <v>909</v>
      </c>
      <c r="K68" s="444"/>
      <c r="L68" s="444" t="s">
        <v>390</v>
      </c>
      <c r="M68" s="445"/>
      <c r="N68" s="444"/>
      <c r="O68" s="446"/>
      <c r="P68" s="446"/>
      <c r="Q68" s="446"/>
      <c r="R68" s="447"/>
      <c r="S68" s="704" t="s">
        <v>2105</v>
      </c>
      <c r="T68" s="139" t="s">
        <v>1101</v>
      </c>
      <c r="U68" s="450" t="str">
        <f>IF(ISERROR(VLOOKUP(T68,'Base de Datos'!$E$7:$AR$302,3,0))=TRUE," ",(VLOOKUP(T68,'Base de Datos'!$E$7:$AR$302,2,0)))</f>
        <v>INGENIERÍA DE BOMBAS Y PLANTAS LIMITADA</v>
      </c>
      <c r="V68" s="453">
        <f>IF(ISERROR(VLOOKUP(T68,'Base de Datos'!$E$7:$AR$302,5,0))=TRUE," ",(VLOOKUP(T68,'Base de Datos'!$E$7:$AR$302,5,0)))</f>
        <v>6252000</v>
      </c>
      <c r="W68" s="450">
        <f>IF(ISERROR(VLOOKUP(T68,'Base de Datos'!$E$7:$AR$302,19,0))=TRUE," ",(VLOOKUP(T68,'Base de Datos'!$E$7:$AR$302,19,0)))</f>
        <v>586811</v>
      </c>
      <c r="X68" s="455" t="str">
        <f>IF(ISERROR(VLOOKUP(T68,'Base de Datos'!$E$7:$AR$302,8,0))=TRUE," ",(VLOOKUP(T68,'Base de Datos'!$E$7:$AR$302,8,0)))</f>
        <v xml:space="preserve"> </v>
      </c>
      <c r="Y68" s="455">
        <f>IF(ISERROR(VLOOKUP(T68,'Base de Datos'!$E$7:$AR$302,9,0))=TRUE," ",(VLOOKUP(T68,'Base de Datos'!$E$7:$AR$302,9,0)))</f>
        <v>41842</v>
      </c>
      <c r="Z68" s="449">
        <f>IF(ISERROR(VLOOKUP(T68,'Base de Datos'!$E$7:$AR$302,10,0))=TRUE," ",(VLOOKUP(T68,'Base de Datos'!$E$7:$AR$302,10,0)))</f>
        <v>42207</v>
      </c>
      <c r="AA68" s="452">
        <f>IF(ISERROR(VLOOKUP(T68,'Base de Datos'!$E$7:$AR$302,11,0))=TRUE," ",(VLOOKUP(T68,'Base de Datos'!$E$7:$AR$302,11,0)))</f>
        <v>0</v>
      </c>
      <c r="AB68" s="449">
        <f>IF(ISERROR(VLOOKUP(T68,'Base de Datos'!$E$7:$AR$302,12,0))=TRUE," ",(VLOOKUP(T68,'Base de Datos'!$E$7:$AR$302,12,0)))</f>
        <v>0</v>
      </c>
      <c r="AC68" s="449">
        <f>IF(ISERROR(VLOOKUP(T68,'Base de Datos'!$E$7:$AR$302,12,0))=TRUE," ",(VLOOKUP(T68,'Base de Datos'!$E$7:$AR$302,12,0)))</f>
        <v>0</v>
      </c>
      <c r="AD68" s="455" t="str">
        <f>IF(ISERROR(VLOOKUP(T68,'Base de Datos'!$E$7:$AR$302,15,0))=TRUE," ",(VLOOKUP(T68,'Base de Datos'!$E$7:$AR$302,15,0)))</f>
        <v/>
      </c>
      <c r="AE68" s="460">
        <f>IF(ISERROR(VLOOKUP(T68,'Base de Datos'!$E$7:$AR$302,16,0))=TRUE," ",(VLOOKUP(T68,'Base de Datos'!$E$7:$AR$302,16,0)))</f>
        <v>42207</v>
      </c>
      <c r="AF68" s="460">
        <f>IF(ISERROR(VLOOKUP(T68,'Base de Datos'!$E$7:$AR$302,17,0))=TRUE," ",(VLOOKUP(T68,'Base de Datos'!$E$7:$AR$302,17,0)))</f>
        <v>6252000</v>
      </c>
      <c r="AG68" s="460">
        <f>IF(ISERROR(VLOOKUP(T68,'Base de Datos'!$E$7:$AR$302,18,0))=TRUE," ",(VLOOKUP(T68,'Base de Datos'!$E$7:$AR$302,18,0)))</f>
        <v>5665189</v>
      </c>
      <c r="AH68" s="461" t="str">
        <f>IF(ISERROR(VLOOKUP(T68,'Base de Datos'!$E$7:$AR$302,20,0))=TRUE," ",(VLOOKUP(T68,'Base de Datos'!$E$7:$AR$302,20,0)))</f>
        <v xml:space="preserve">Los mantenimientos preventivos se cancelarán bimestralmente de acuerdo con los servicios efectivamente prestados conforme con el cronograma establecido y certificación de recibo  a satisfacción expedida por el supervisor. El mantenimiento correctivo y el suministro de repuestos se cancelarán de acuerdo a la demanda durante en el respectivo periodo, manteniendo los precios unitarios ofrecidos en la propuesta.
 </v>
      </c>
      <c r="AI68" s="461">
        <f>IF(ISERROR(VLOOKUP(T68,'Base de Datos'!$E$7:$AR$302,21,0))=TRUE," ",(VLOOKUP(T68,'Base de Datos'!$E$7:$AR$302,21,0)))</f>
        <v>0.90614027511196416</v>
      </c>
      <c r="AJ68" s="450"/>
      <c r="AK68" s="450" t="str">
        <f>IF(ISERROR(VLOOKUP(D68,'Base de Datos'!$C$7:$AR$400,2,0))=TRUE," ",(VLOOKUP(D68,'Base de Datos'!$C$7:$AR$400,2,0)))</f>
        <v>2015155</v>
      </c>
      <c r="AL68" s="450" t="str">
        <f>IF(ISERROR(VLOOKUP(D68,'Base de Datos'!$C$7:$AR$400,3,0))=TRUE," ",(VLOOKUP(D68,'Base de Datos'!$C$7:$AR$400,3,0)))</f>
        <v>150341-0-2015</v>
      </c>
      <c r="AM68" s="453" t="str">
        <f>IF(ISERROR(VLOOKUP(D68,'Base de Datos'!$C$7:$AR$3761,6,0))=TRUE," ",(VLOOKUP(D68,'Base de Datos'!$C$7:$AR$400,6,0)))</f>
        <v>Prestar el servicio de mantenimiento preventivo y correctivo para los tanques de almacenamiento y equipos de bombeo hidráulicos de agua potable, residual y aguas negras del Concejo de Bogotá, D.C.</v>
      </c>
      <c r="AN68" s="453">
        <f>IF(ISERROR(VLOOKUP(D68,'Base de Datos'!$C$7:$AR$400,20,0))=TRUE," ",(VLOOKUP(D68,'Base de Datos'!$C$7:$AR$400,19,0)))</f>
        <v>5000000</v>
      </c>
      <c r="AO68" s="456">
        <f>IF(ISERROR(VLOOKUP(D68,'Base de Datos'!$C$7:$AR$400,9,0))=TRUE," ",(VLOOKUP(D68,'Base de Datos'!$C$7:$AR$400,9,0)))</f>
        <v>2015</v>
      </c>
      <c r="AP68" s="456">
        <f>IF(ISERROR(VLOOKUP(D68,'Base de Datos'!$C$7:$AR$400,10,0))=TRUE," ",(VLOOKUP(D68,'Base de Datos'!$C$7:$AR$400,10,0)))</f>
        <v>42236</v>
      </c>
      <c r="AQ68" s="458">
        <f>IF(ISERROR(VLOOKUP(D68,'Base de Datos'!$C$7:$AR$400,11,0))=TRUE," ",(VLOOKUP(D68,'Base de Datos'!$C$7:$AR$400,11,0)))</f>
        <v>42244</v>
      </c>
      <c r="AR68" s="459">
        <f>IF(ISERROR(VLOOKUP(D68,'Base de Datos'!$C$7:$AR$400,12,0))=TRUE," ",(VLOOKUP(D68,'Base de Datos'!$C$7:$AR$400,12,0)))</f>
        <v>42549</v>
      </c>
      <c r="AS68" s="458">
        <f>IF(ISERROR(VLOOKUP(D68,'Base de Datos'!$C$7:$AR$400,13,0))=TRUE," ",(VLOOKUP(D68,'Base de Datos'!$C$7:$AR$400,13,0)))</f>
        <v>0</v>
      </c>
      <c r="AT68" s="458">
        <f>IF(ISERROR(VLOOKUP(D68,'Base de Datos'!$C$7:$AR$400,14,0))=TRUE," ",(VLOOKUP(D68,'Base de Datos'!$C$7:$AR$400,14,0)))</f>
        <v>0</v>
      </c>
      <c r="AU68" s="456" t="str">
        <f>IF(ISERROR(VLOOKUP(D68,'Base de Datos'!$C$7:$AR$400,16,0))=TRUE," ",(VLOOKUP(D68,'Base de Datos'!$C$7:$AR$400,16,0)))</f>
        <v>2 meses</v>
      </c>
      <c r="AV68" s="460">
        <f>IF(ISERROR(VLOOKUP(D68,'Base de Datos'!$C$7:$AR$400,17,0))=TRUE," ",(VLOOKUP(D68,'Base de Datos'!$C$7:$AR$400,17,0)))</f>
        <v>42610</v>
      </c>
      <c r="AW68" s="460">
        <f>IF(ISERROR(VLOOKUP(D68,'Base de Datos'!$C$7:$AR$400,18,0))=TRUE," ",(VLOOKUP(D68,'Base de Datos'!$C$7:$AR$400,18,0)))</f>
        <v>42610</v>
      </c>
      <c r="AX68" s="460">
        <f>IF(ISERROR(VLOOKUP(D68,'Base de Datos'!$C$7:$AR$400,19,0))=TRUE," ",(VLOOKUP(D68,'Base de Datos'!$C$7:$AR$400,19,0)))</f>
        <v>5000000</v>
      </c>
      <c r="AY68" s="463">
        <f>IF(ISERROR(VLOOKUP(D68,'Base de Datos'!$C$7:$AR$400,21,0))=TRUE," ",(VLOOKUP(D68,'Base de Datos'!$C$7:$AR$400,21,0)))</f>
        <v>1551601</v>
      </c>
      <c r="AZ68" s="463" t="str">
        <f>IF(ISERROR(VLOOKUP(D68,'Base de Datos'!$C$7:$AR$400,22,0))=TRUE," ",(VLOOKUP(D68,'Base de Datos'!$C$7:$AR$400,22,0)))</f>
        <v>Mantenimiento preventivo pagos bimestrales, mantenimiento correctivo de acuerdo a demanda.</v>
      </c>
      <c r="BA68" s="470"/>
      <c r="BB68" s="480"/>
    </row>
    <row r="69" spans="2:54" ht="55.5" hidden="1" customHeight="1" x14ac:dyDescent="0.25">
      <c r="B69" s="433">
        <v>62</v>
      </c>
      <c r="C69" s="441" t="s">
        <v>1642</v>
      </c>
      <c r="D69" s="433">
        <v>164</v>
      </c>
      <c r="E69" s="441" t="s">
        <v>1655</v>
      </c>
      <c r="F69" s="442">
        <f>VLOOKUP(D69,'Presupuesto - PAA 2015'!$B$10:$E$265,4,0)</f>
        <v>3415000</v>
      </c>
      <c r="G69" s="434" t="str">
        <f>VLOOKUP(D69,'[4]Seguimiento Plan'!$C$2:$R$101,16,0)</f>
        <v>Prestar los servicios de mantenimiento preventivo para los vehículos de la Secretaría de Hacienda y del Concejo de Bogotá.-</v>
      </c>
      <c r="H69" s="434" t="s">
        <v>1776</v>
      </c>
      <c r="I69" s="434" t="s">
        <v>1710</v>
      </c>
      <c r="J69" s="443" t="s">
        <v>909</v>
      </c>
      <c r="K69" s="444" t="s">
        <v>390</v>
      </c>
      <c r="L69" s="444" t="str">
        <f>VLOOKUP(D69,'[4]Seguimiento Plan'!$C$2:$AJ$101,30,0)</f>
        <v>SI</v>
      </c>
      <c r="M69" s="445">
        <f>VLOOKUP(D69,'[4]Seguimiento Plan'!$C$2:$AJ$101,31,0)</f>
        <v>42025</v>
      </c>
      <c r="N69" s="444"/>
      <c r="O69" s="446"/>
      <c r="P69" s="446"/>
      <c r="Q69" s="446"/>
      <c r="R69" s="447" t="s">
        <v>1945</v>
      </c>
      <c r="S69" s="465" t="s">
        <v>1944</v>
      </c>
      <c r="T69" s="448"/>
      <c r="U69" s="450" t="str">
        <f>IF(ISERROR(VLOOKUP(T69,'Base de Datos'!$E$7:$AR$302,3,0))=TRUE," ",(VLOOKUP(T69,'Base de Datos'!$E$7:$AR$302,2,0)))</f>
        <v xml:space="preserve"> </v>
      </c>
      <c r="V69" s="453" t="str">
        <f>IF(ISERROR(VLOOKUP(T69,'Base de Datos'!$E$7:$AR$302,5,0))=TRUE," ",(VLOOKUP(T69,'Base de Datos'!$E$7:$AR$302,5,0)))</f>
        <v xml:space="preserve"> </v>
      </c>
      <c r="W69" s="450" t="str">
        <f>IF(ISERROR(VLOOKUP(T69,'Base de Datos'!$E$7:$AR$302,19,0))=TRUE," ",(VLOOKUP(T69,'Base de Datos'!$E$7:$AR$302,19,0)))</f>
        <v xml:space="preserve"> </v>
      </c>
      <c r="X69" s="455" t="str">
        <f>IF(ISERROR(VLOOKUP(T69,'Base de Datos'!$E$7:$AR$302,8,0))=TRUE," ",(VLOOKUP(T69,'Base de Datos'!$E$7:$AR$302,8,0)))</f>
        <v xml:space="preserve"> </v>
      </c>
      <c r="Y69" s="455" t="str">
        <f>IF(ISERROR(VLOOKUP(T69,'Base de Datos'!$E$7:$AR$302,9,0))=TRUE," ",(VLOOKUP(T69,'Base de Datos'!$E$7:$AR$302,9,0)))</f>
        <v xml:space="preserve"> </v>
      </c>
      <c r="Z69" s="449" t="str">
        <f>IF(ISERROR(VLOOKUP(T69,'Base de Datos'!$E$7:$AR$302,10,0))=TRUE," ",(VLOOKUP(T69,'Base de Datos'!$E$7:$AR$302,10,0)))</f>
        <v xml:space="preserve"> </v>
      </c>
      <c r="AA69" s="452" t="str">
        <f>IF(ISERROR(VLOOKUP(T69,'Base de Datos'!$E$7:$AR$302,11,0))=TRUE," ",(VLOOKUP(T69,'Base de Datos'!$E$7:$AR$302,11,0)))</f>
        <v xml:space="preserve"> </v>
      </c>
      <c r="AB69" s="449" t="str">
        <f>IF(ISERROR(VLOOKUP(T69,'Base de Datos'!$E$7:$AR$302,12,0))=TRUE," ",(VLOOKUP(T69,'Base de Datos'!$E$7:$AR$302,12,0)))</f>
        <v xml:space="preserve"> </v>
      </c>
      <c r="AC69" s="449" t="str">
        <f>IF(ISERROR(VLOOKUP(T69,'Base de Datos'!$E$7:$AR$302,12,0))=TRUE," ",(VLOOKUP(T69,'Base de Datos'!$E$7:$AR$302,12,0)))</f>
        <v xml:space="preserve"> </v>
      </c>
      <c r="AD69" s="455" t="str">
        <f>IF(ISERROR(VLOOKUP(T69,'Base de Datos'!$E$7:$AR$302,15,0))=TRUE," ",(VLOOKUP(T69,'Base de Datos'!$E$7:$AR$302,15,0)))</f>
        <v xml:space="preserve"> </v>
      </c>
      <c r="AE69" s="460" t="str">
        <f>IF(ISERROR(VLOOKUP(T69,'Base de Datos'!$E$7:$AR$302,16,0))=TRUE," ",(VLOOKUP(T69,'Base de Datos'!$E$7:$AR$302,16,0)))</f>
        <v xml:space="preserve"> </v>
      </c>
      <c r="AF69" s="460" t="str">
        <f>IF(ISERROR(VLOOKUP(T69,'Base de Datos'!$E$7:$AR$302,17,0))=TRUE," ",(VLOOKUP(T69,'Base de Datos'!$E$7:$AR$302,17,0)))</f>
        <v xml:space="preserve"> </v>
      </c>
      <c r="AG69" s="460" t="str">
        <f>IF(ISERROR(VLOOKUP(T69,'Base de Datos'!$E$7:$AR$302,18,0))=TRUE," ",(VLOOKUP(T69,'Base de Datos'!$E$7:$AR$302,18,0)))</f>
        <v xml:space="preserve"> </v>
      </c>
      <c r="AH69" s="461" t="str">
        <f>IF(ISERROR(VLOOKUP(T69,'Base de Datos'!$E$7:$AR$302,20,0))=TRUE," ",(VLOOKUP(T69,'Base de Datos'!$E$7:$AR$302,20,0)))</f>
        <v xml:space="preserve"> </v>
      </c>
      <c r="AI69" s="461" t="str">
        <f>IF(ISERROR(VLOOKUP(T69,'Base de Datos'!$E$7:$AR$302,21,0))=TRUE," ",(VLOOKUP(T69,'Base de Datos'!$E$7:$AR$302,21,0)))</f>
        <v xml:space="preserve"> </v>
      </c>
      <c r="AJ69" s="450"/>
      <c r="AK69" s="450" t="str">
        <f>IF(ISERROR(VLOOKUP(D69,'Base de Datos'!$C$7:$AR$400,2,0))=TRUE," ",(VLOOKUP(D69,'Base de Datos'!$C$7:$AR$400,2,0)))</f>
        <v>2015164</v>
      </c>
      <c r="AL69" s="450" t="str">
        <f>IF(ISERROR(VLOOKUP(D69,'Base de Datos'!$C$7:$AR$400,3,0))=TRUE," ",(VLOOKUP(D69,'Base de Datos'!$C$7:$AR$400,3,0)))</f>
        <v>150358-0-2015</v>
      </c>
      <c r="AM69" s="453" t="str">
        <f>IF(ISERROR(VLOOKUP(D69,'Base de Datos'!$C$7:$AR$3761,6,0))=TRUE," ",(VLOOKUP(D69,'Base de Datos'!$C$7:$AR$400,6,0)))</f>
        <v>Prestar el servicio de mantenimiento periódico preventivo del parque automotor al servicio del Concejo de Bogotá D.C., de conformidad con lo establecido en la presente invitación pública.</v>
      </c>
      <c r="AN69" s="453">
        <f>IF(ISERROR(VLOOKUP(D69,'Base de Datos'!$C$7:$AR$400,20,0))=TRUE," ",(VLOOKUP(D69,'Base de Datos'!$C$7:$AR$400,19,0)))</f>
        <v>28805000</v>
      </c>
      <c r="AO69" s="456">
        <f>IF(ISERROR(VLOOKUP(D69,'Base de Datos'!$C$7:$AR$400,9,0))=TRUE," ",(VLOOKUP(D69,'Base de Datos'!$C$7:$AR$400,9,0)))</f>
        <v>2015</v>
      </c>
      <c r="AP69" s="456">
        <f>IF(ISERROR(VLOOKUP(D69,'Base de Datos'!$C$7:$AR$400,10,0))=TRUE," ",(VLOOKUP(D69,'Base de Datos'!$C$7:$AR$400,10,0)))</f>
        <v>42268</v>
      </c>
      <c r="AQ69" s="458">
        <f>IF(ISERROR(VLOOKUP(D69,'Base de Datos'!$C$7:$AR$400,11,0))=TRUE," ",(VLOOKUP(D69,'Base de Datos'!$C$7:$AR$400,11,0)))</f>
        <v>42296</v>
      </c>
      <c r="AR69" s="459">
        <f>IF(ISERROR(VLOOKUP(D69,'Base de Datos'!$C$7:$AR$400,12,0))=TRUE," ",(VLOOKUP(D69,'Base de Datos'!$C$7:$AR$400,12,0)))</f>
        <v>42662</v>
      </c>
      <c r="AS69" s="458">
        <f>IF(ISERROR(VLOOKUP(D69,'Base de Datos'!$C$7:$AR$400,13,0))=TRUE," ",(VLOOKUP(D69,'Base de Datos'!$C$7:$AR$400,13,0)))</f>
        <v>0</v>
      </c>
      <c r="AT69" s="458">
        <f>IF(ISERROR(VLOOKUP(D69,'Base de Datos'!$C$7:$AR$400,14,0))=TRUE," ",(VLOOKUP(D69,'Base de Datos'!$C$7:$AR$400,14,0)))</f>
        <v>0</v>
      </c>
      <c r="AU69" s="456" t="str">
        <f>IF(ISERROR(VLOOKUP(D69,'Base de Datos'!$C$7:$AR$400,16,0))=TRUE," ",(VLOOKUP(D69,'Base de Datos'!$C$7:$AR$400,16,0)))</f>
        <v>2 meses     12 días calendario</v>
      </c>
      <c r="AV69" s="460">
        <f>IF(ISERROR(VLOOKUP(D69,'Base de Datos'!$C$7:$AR$400,17,0))=TRUE," ",(VLOOKUP(D69,'Base de Datos'!$C$7:$AR$400,17,0)))</f>
        <v>42735</v>
      </c>
      <c r="AW69" s="460">
        <f>IF(ISERROR(VLOOKUP(D69,'Base de Datos'!$C$7:$AR$400,18,0))=TRUE," ",(VLOOKUP(D69,'Base de Datos'!$C$7:$AR$400,18,0)))</f>
        <v>42735</v>
      </c>
      <c r="AX69" s="460">
        <f>IF(ISERROR(VLOOKUP(D69,'Base de Datos'!$C$7:$AR$400,19,0))=TRUE," ",(VLOOKUP(D69,'Base de Datos'!$C$7:$AR$400,19,0)))</f>
        <v>28805000</v>
      </c>
      <c r="AY69" s="463">
        <f>IF(ISERROR(VLOOKUP(D69,'Base de Datos'!$C$7:$AR$400,21,0))=TRUE," ",(VLOOKUP(D69,'Base de Datos'!$C$7:$AR$400,21,0)))</f>
        <v>16510251</v>
      </c>
      <c r="AZ69" s="463" t="str">
        <f>IF(ISERROR(VLOOKUP(D69,'Base de Datos'!$C$7:$AR$400,22,0))=TRUE," ",(VLOOKUP(D69,'Base de Datos'!$C$7:$AR$400,22,0)))</f>
        <v>Pagos mensuales de acuerdo a los servicios e insumos efectivamente prestados</v>
      </c>
      <c r="BA69" s="470"/>
      <c r="BB69" s="480"/>
    </row>
    <row r="70" spans="2:54" ht="55.5" hidden="1" customHeight="1" x14ac:dyDescent="0.25">
      <c r="B70" s="433">
        <v>63</v>
      </c>
      <c r="C70" s="441" t="s">
        <v>1642</v>
      </c>
      <c r="D70" s="433">
        <v>165</v>
      </c>
      <c r="E70" s="441" t="s">
        <v>1655</v>
      </c>
      <c r="F70" s="442">
        <f>VLOOKUP(D70,'Presupuesto - PAA 2015'!$B$10:$E$265,4,0)</f>
        <v>133000000</v>
      </c>
      <c r="G70" s="434" t="str">
        <f>VLOOKUP(D70,'[4]Seguimiento Plan'!$C$2:$R$101,16,0)</f>
        <v>Prestar los servicios integrales de aseo y cafetería y servicio de fumigación para las instalaciones de la Secretaría Distrital de Hacienda de Bogotá, D.C., zonas comunes del Centro Administrativo Distrital - CAD y del Concejo de Bogotá D.C</v>
      </c>
      <c r="H70" s="434" t="s">
        <v>1776</v>
      </c>
      <c r="I70" s="434" t="s">
        <v>1710</v>
      </c>
      <c r="J70" s="443" t="s">
        <v>1734</v>
      </c>
      <c r="K70" s="444" t="s">
        <v>390</v>
      </c>
      <c r="L70" s="444" t="str">
        <f>VLOOKUP(D70,'[4]Seguimiento Plan'!$C$2:$AJ$101,30,0)</f>
        <v>SI</v>
      </c>
      <c r="M70" s="445">
        <f>VLOOKUP(D70,'[4]Seguimiento Plan'!$C$2:$AJ$101,31,0)</f>
        <v>42009</v>
      </c>
      <c r="N70" s="444"/>
      <c r="O70" s="446"/>
      <c r="P70" s="446"/>
      <c r="Q70" s="466">
        <v>42079</v>
      </c>
      <c r="R70" s="525"/>
      <c r="S70" s="465" t="s">
        <v>1759</v>
      </c>
      <c r="T70" s="343" t="s">
        <v>287</v>
      </c>
      <c r="U70" s="450" t="str">
        <f>IF(ISERROR(VLOOKUP(T70,'Base de Datos'!$E$7:$AR$302,3,0))=TRUE," ",(VLOOKUP(T70,'Base de Datos'!$E$7:$AR$302,2,0)))</f>
        <v xml:space="preserve">UNIÓN TEMPORAL EMINSER-SOLOASEO </v>
      </c>
      <c r="V70" s="453">
        <f>IF(ISERROR(VLOOKUP(T70,'Base de Datos'!$E$7:$AR$302,5,0))=TRUE," ",(VLOOKUP(T70,'Base de Datos'!$E$7:$AR$302,5,0)))</f>
        <v>337487000</v>
      </c>
      <c r="W70" s="450">
        <f>IF(ISERROR(VLOOKUP(T70,'Base de Datos'!$E$7:$AR$302,19,0))=TRUE," ",(VLOOKUP(T70,'Base de Datos'!$E$7:$AR$302,19,0)))</f>
        <v>2</v>
      </c>
      <c r="X70" s="455" t="str">
        <f>IF(ISERROR(VLOOKUP(T70,'Base de Datos'!$E$7:$AR$302,8,0))=TRUE," ",(VLOOKUP(T70,'Base de Datos'!$E$7:$AR$302,8,0)))</f>
        <v xml:space="preserve"> </v>
      </c>
      <c r="Y70" s="455">
        <f>IF(ISERROR(VLOOKUP(T70,'Base de Datos'!$E$7:$AR$302,9,0))=TRUE," ",(VLOOKUP(T70,'Base de Datos'!$E$7:$AR$302,9,0)))</f>
        <v>41811</v>
      </c>
      <c r="Z70" s="449">
        <f>IF(ISERROR(VLOOKUP(T70,'Base de Datos'!$E$7:$AR$302,10,0))=TRUE," ",(VLOOKUP(T70,'Base de Datos'!$E$7:$AR$302,10,0)))</f>
        <v>42130</v>
      </c>
      <c r="AA70" s="452">
        <f>IF(ISERROR(VLOOKUP(T70,'Base de Datos'!$E$7:$AR$302,11,0))=TRUE," ",(VLOOKUP(T70,'Base de Datos'!$E$7:$AR$302,11,0)))</f>
        <v>0</v>
      </c>
      <c r="AB70" s="449">
        <f>IF(ISERROR(VLOOKUP(T70,'Base de Datos'!$E$7:$AR$302,12,0))=TRUE," ",(VLOOKUP(T70,'Base de Datos'!$E$7:$AR$302,12,0)))</f>
        <v>0</v>
      </c>
      <c r="AC70" s="449">
        <f>IF(ISERROR(VLOOKUP(T70,'Base de Datos'!$E$7:$AR$302,12,0))=TRUE," ",(VLOOKUP(T70,'Base de Datos'!$E$7:$AR$302,12,0)))</f>
        <v>0</v>
      </c>
      <c r="AD70" s="455">
        <f>IF(ISERROR(VLOOKUP(T70,'Base de Datos'!$E$7:$AR$302,15,0))=TRUE," ",(VLOOKUP(T70,'Base de Datos'!$E$7:$AR$302,15,0)))</f>
        <v>42186</v>
      </c>
      <c r="AE70" s="460">
        <f>IF(ISERROR(VLOOKUP(T70,'Base de Datos'!$E$7:$AR$302,16,0))=TRUE," ",(VLOOKUP(T70,'Base de Datos'!$E$7:$AR$302,16,0)))</f>
        <v>42186</v>
      </c>
      <c r="AF70" s="460">
        <f>IF(ISERROR(VLOOKUP(T70,'Base de Datos'!$E$7:$AR$302,17,0))=TRUE," ",(VLOOKUP(T70,'Base de Datos'!$E$7:$AR$302,17,0)))</f>
        <v>337487000</v>
      </c>
      <c r="AG70" s="460">
        <f>IF(ISERROR(VLOOKUP(T70,'Base de Datos'!$E$7:$AR$302,18,0))=TRUE," ",(VLOOKUP(T70,'Base de Datos'!$E$7:$AR$302,18,0)))</f>
        <v>337486998</v>
      </c>
      <c r="AH70" s="461" t="str">
        <f>IF(ISERROR(VLOOKUP(T70,'Base de Datos'!$E$7:$AR$302,20,0))=TRUE," ",(VLOOKUP(T70,'Base de Datos'!$E$7:$AR$302,20,0)))</f>
        <v xml:space="preserve">Las Entidades efectuarán los pagos correspondiente a los servicios prestados por mensualidades vencidas de acuerdo con los servicios prestados y elementos suministrados dentro del período, previa presentación de las facturas respectivas y aprobación de las mismas por parte del supervisor del contrato, acompañadas de las correspondientes certificaciones de cumplimiento a satisfacción expedidas por el mismo en las cuales conste el valor a pagar por el contratista. El primer pago se deberá facturar por los días de servicio prestados del primer mes, los siguientes serán por mensualidades vencidas, de acuerdo a los bienes y servicios prestados
EJEMPLOS
Pago Anticipado del   ____% (NO aplica a Prestación de servicios)
Anticipo del          ____% (NO aplica a Prestación de servicios)
Pagos parciales del   ____% contra entregas parciales
                ____% contra entrega final a satisfacción y firma del acta de liquidación.
En todo caso,  un anticipo o el pago anticipado no podrá ser superior al 50% del valor del contrato.
Los pagos se efectuarán dentro de los diez (10) días hábiles  siguientes a la radicación en la Subdirección Financiera de la certificación de cumplimiento a satisfacción del objeto y obligaciones, expedida por el interventor del contrato, acompañada de los respectivos recibos de pago por concepto de aportes al Sistema de Seguridad Social Integral en Salud y Pensión, aportes parafiscales: Sena, ICBF y Cajas de Compensación Familiar, cuando corresponda.
</v>
      </c>
      <c r="AI70" s="461">
        <f>IF(ISERROR(VLOOKUP(T70,'Base de Datos'!$E$7:$AR$302,21,0))=TRUE," ",(VLOOKUP(T70,'Base de Datos'!$E$7:$AR$302,21,0)))</f>
        <v>0.99999999407384577</v>
      </c>
      <c r="AJ70" s="464">
        <v>42174</v>
      </c>
      <c r="AK70" s="450" t="str">
        <f>IF(ISERROR(VLOOKUP(D70,'Base de Datos'!$C$7:$AR$400,2,0))=TRUE," ",(VLOOKUP(D70,'Base de Datos'!$C$7:$AR$400,2,0)))</f>
        <v>2015165</v>
      </c>
      <c r="AL70" s="450" t="str">
        <f>IF(ISERROR(VLOOKUP(D70,'Base de Datos'!$C$7:$AR$400,3,0))=TRUE," ",(VLOOKUP(D70,'Base de Datos'!$C$7:$AR$400,3,0)))</f>
        <v>150265-0-2015</v>
      </c>
      <c r="AM70" s="453" t="str">
        <f>IF(ISERROR(VLOOKUP(D70,'Base de Datos'!$C$7:$AR$3761,6,0))=TRUE," ",(VLOOKUP(D70,'Base de Datos'!$C$7:$AR$400,6,0)))</f>
        <v>Prestar los servicios integrales de aseo y cafetería y el servicio integral de fumigación para las instalaciones del Concejo de Bogotá, D.C. y en los inmuebles por los que la Entidad sea legalmente responsable, de conformidad con lo establecido en el pliego de condiciones del proceso de Subasta Inversa Electrónica No. SDH-SIE-05-2015 y la propuesta presentada por el contratista.</v>
      </c>
      <c r="AN70" s="453">
        <f>IF(ISERROR(VLOOKUP(D70,'Base de Datos'!$C$7:$AR$400,20,0))=TRUE," ",(VLOOKUP(D70,'Base de Datos'!$C$7:$AR$400,19,0)))</f>
        <v>434000000</v>
      </c>
      <c r="AO70" s="456">
        <f>IF(ISERROR(VLOOKUP(D70,'Base de Datos'!$C$7:$AR$400,9,0))=TRUE," ",(VLOOKUP(D70,'Base de Datos'!$C$7:$AR$400,9,0)))</f>
        <v>2015</v>
      </c>
      <c r="AP70" s="456">
        <f>IF(ISERROR(VLOOKUP(D70,'Base de Datos'!$C$7:$AR$400,10,0))=TRUE," ",(VLOOKUP(D70,'Base de Datos'!$C$7:$AR$400,10,0)))</f>
        <v>42174</v>
      </c>
      <c r="AQ70" s="458">
        <f>IF(ISERROR(VLOOKUP(D70,'Base de Datos'!$C$7:$AR$400,11,0))=TRUE," ",(VLOOKUP(D70,'Base de Datos'!$C$7:$AR$400,11,0)))</f>
        <v>42187</v>
      </c>
      <c r="AR70" s="459">
        <f>IF(ISERROR(VLOOKUP(D70,'Base de Datos'!$C$7:$AR$400,12,0))=TRUE," ",(VLOOKUP(D70,'Base de Datos'!$C$7:$AR$400,12,0)))</f>
        <v>42492</v>
      </c>
      <c r="AS70" s="458">
        <f>IF(ISERROR(VLOOKUP(D70,'Base de Datos'!$C$7:$AR$400,13,0))=TRUE," ",(VLOOKUP(D70,'Base de Datos'!$C$7:$AR$400,13,0)))</f>
        <v>2</v>
      </c>
      <c r="AT70" s="458">
        <f>IF(ISERROR(VLOOKUP(D70,'Base de Datos'!$C$7:$AR$400,14,0))=TRUE," ",(VLOOKUP(D70,'Base de Datos'!$C$7:$AR$400,14,0)))</f>
        <v>92000000</v>
      </c>
      <c r="AU70" s="456" t="str">
        <f>IF(ISERROR(VLOOKUP(D70,'Base de Datos'!$C$7:$AR$400,16,0))=TRUE," ",(VLOOKUP(D70,'Base de Datos'!$C$7:$AR$400,16,0)))</f>
        <v>7 meses          23 días</v>
      </c>
      <c r="AV70" s="460">
        <f>IF(ISERROR(VLOOKUP(D70,'Base de Datos'!$C$7:$AR$400,17,0))=TRUE," ",(VLOOKUP(D70,'Base de Datos'!$C$7:$AR$400,17,0)))</f>
        <v>42728</v>
      </c>
      <c r="AW70" s="460">
        <f>IF(ISERROR(VLOOKUP(D70,'Base de Datos'!$C$7:$AR$400,18,0))=TRUE," ",(VLOOKUP(D70,'Base de Datos'!$C$7:$AR$400,18,0)))</f>
        <v>42728</v>
      </c>
      <c r="AX70" s="460">
        <f>IF(ISERROR(VLOOKUP(D70,'Base de Datos'!$C$7:$AR$400,19,0))=TRUE," ",(VLOOKUP(D70,'Base de Datos'!$C$7:$AR$400,19,0)))</f>
        <v>434000000</v>
      </c>
      <c r="AY70" s="463">
        <f>IF(ISERROR(VLOOKUP(D70,'Base de Datos'!$C$7:$AR$400,21,0))=TRUE," ",(VLOOKUP(D70,'Base de Datos'!$C$7:$AR$400,21,0)))</f>
        <v>59275152</v>
      </c>
      <c r="AZ70" s="463">
        <f>IF(ISERROR(VLOOKUP(D70,'Base de Datos'!$C$7:$AR$400,22,0))=TRUE," ",(VLOOKUP(D70,'Base de Datos'!$C$7:$AR$400,22,0)))</f>
        <v>0</v>
      </c>
      <c r="BA70" s="470"/>
      <c r="BB70" s="480"/>
    </row>
    <row r="71" spans="2:54" ht="55.5" hidden="1" customHeight="1" x14ac:dyDescent="0.25">
      <c r="B71" s="433">
        <v>64</v>
      </c>
      <c r="C71" s="441" t="s">
        <v>1642</v>
      </c>
      <c r="D71" s="433">
        <v>171</v>
      </c>
      <c r="E71" s="441" t="s">
        <v>1655</v>
      </c>
      <c r="F71" s="442">
        <f>VLOOKUP(D71,'Presupuesto - PAA 2015'!$B$10:$E$265,4,0)</f>
        <v>14210000</v>
      </c>
      <c r="G71" s="434" t="str">
        <f>VLOOKUP(D71,'[4]Seguimiento Plan'!$C$2:$R$101,16,0)</f>
        <v>Prestar los servicios de mantenimiento preventivo y correctivo a los ascensores marca Mitsubishi del CAD y del Concejo de Bogotá y de la Plataforma para discapacitados ubicada en el CAD.-</v>
      </c>
      <c r="H71" s="434" t="s">
        <v>1776</v>
      </c>
      <c r="I71" s="434" t="s">
        <v>1710</v>
      </c>
      <c r="J71" s="443" t="s">
        <v>908</v>
      </c>
      <c r="K71" s="444" t="s">
        <v>390</v>
      </c>
      <c r="L71" s="444" t="str">
        <f>VLOOKUP(D71,'[4]Seguimiento Plan'!$C$2:$AJ$101,30,0)</f>
        <v>SI</v>
      </c>
      <c r="M71" s="445">
        <f>VLOOKUP(D71,'[4]Seguimiento Plan'!$C$2:$AJ$101,31,0)</f>
        <v>42061</v>
      </c>
      <c r="N71" s="444"/>
      <c r="O71" s="446"/>
      <c r="P71" s="446"/>
      <c r="Q71" s="446"/>
      <c r="R71" s="447"/>
      <c r="S71" s="465" t="s">
        <v>1856</v>
      </c>
      <c r="T71" s="139" t="s">
        <v>268</v>
      </c>
      <c r="U71" s="450" t="str">
        <f>IF(ISERROR(VLOOKUP(T71,'Base de Datos'!$E$7:$AR$302,3,0))=TRUE," ",(VLOOKUP(T71,'Base de Datos'!$E$7:$AR$302,2,0)))</f>
        <v>MITSUBISHIS ELECTRIC DE COLOMBIA LTDA</v>
      </c>
      <c r="V71" s="453">
        <f>IF(ISERROR(VLOOKUP(T71,'Base de Datos'!$E$7:$AR$302,5,0))=TRUE," ",(VLOOKUP(T71,'Base de Datos'!$E$7:$AR$302,5,0)))</f>
        <v>16555000</v>
      </c>
      <c r="W71" s="450">
        <f>IF(ISERROR(VLOOKUP(T71,'Base de Datos'!$E$7:$AR$302,19,0))=TRUE," ",(VLOOKUP(T71,'Base de Datos'!$E$7:$AR$302,19,0)))</f>
        <v>792331</v>
      </c>
      <c r="X71" s="455" t="str">
        <f>IF(ISERROR(VLOOKUP(T71,'Base de Datos'!$E$7:$AR$302,8,0))=TRUE," ",(VLOOKUP(T71,'Base de Datos'!$E$7:$AR$302,8,0)))</f>
        <v xml:space="preserve"> </v>
      </c>
      <c r="Y71" s="455">
        <f>IF(ISERROR(VLOOKUP(T71,'Base de Datos'!$E$7:$AR$302,9,0))=TRUE," ",(VLOOKUP(T71,'Base de Datos'!$E$7:$AR$302,9,0)))</f>
        <v>41732</v>
      </c>
      <c r="Z71" s="449">
        <f>IF(ISERROR(VLOOKUP(T71,'Base de Datos'!$E$7:$AR$302,10,0))=TRUE," ",(VLOOKUP(T71,'Base de Datos'!$E$7:$AR$302,10,0)))</f>
        <v>42096</v>
      </c>
      <c r="AA71" s="452">
        <f>IF(ISERROR(VLOOKUP(T71,'Base de Datos'!$E$7:$AR$302,11,0))=TRUE," ",(VLOOKUP(T71,'Base de Datos'!$E$7:$AR$302,11,0)))</f>
        <v>0</v>
      </c>
      <c r="AB71" s="449">
        <f>IF(ISERROR(VLOOKUP(T71,'Base de Datos'!$E$7:$AR$302,12,0))=TRUE," ",(VLOOKUP(T71,'Base de Datos'!$E$7:$AR$302,12,0)))</f>
        <v>0</v>
      </c>
      <c r="AC71" s="449">
        <f>IF(ISERROR(VLOOKUP(T71,'Base de Datos'!$E$7:$AR$302,12,0))=TRUE," ",(VLOOKUP(T71,'Base de Datos'!$E$7:$AR$302,12,0)))</f>
        <v>0</v>
      </c>
      <c r="AD71" s="455" t="str">
        <f>IF(ISERROR(VLOOKUP(T71,'Base de Datos'!$E$7:$AR$302,15,0))=TRUE," ",(VLOOKUP(T71,'Base de Datos'!$E$7:$AR$302,15,0)))</f>
        <v/>
      </c>
      <c r="AE71" s="460">
        <f>IF(ISERROR(VLOOKUP(T71,'Base de Datos'!$E$7:$AR$302,16,0))=TRUE," ",(VLOOKUP(T71,'Base de Datos'!$E$7:$AR$302,16,0)))</f>
        <v>42096</v>
      </c>
      <c r="AF71" s="460">
        <f>IF(ISERROR(VLOOKUP(T71,'Base de Datos'!$E$7:$AR$302,17,0))=TRUE," ",(VLOOKUP(T71,'Base de Datos'!$E$7:$AR$302,17,0)))</f>
        <v>16555000</v>
      </c>
      <c r="AG71" s="460">
        <f>IF(ISERROR(VLOOKUP(T71,'Base de Datos'!$E$7:$AR$302,18,0))=TRUE," ",(VLOOKUP(T71,'Base de Datos'!$E$7:$AR$302,18,0)))</f>
        <v>15762669</v>
      </c>
      <c r="AH71" s="461" t="str">
        <f>IF(ISERROR(VLOOKUP(T71,'Base de Datos'!$E$7:$AR$302,20,0))=TRUE," ",(VLOOKUP(T71,'Base de Datos'!$E$7:$AR$302,20,0)))</f>
        <v xml:space="preserve">Los mantenimientos preventivos se cancelarán mensualmente de acuerdo con los servicios efectivamente prestados conforme con el cronograma aprobado por el supervisor. El mantenimiento correctivo y el suministro de repuestos se cancelarán con el pago mensual correspondiente al mes de la ejecución. 
</v>
      </c>
      <c r="AI71" s="461">
        <f>IF(ISERROR(VLOOKUP(T71,'Base de Datos'!$E$7:$AR$302,21,0))=TRUE," ",(VLOOKUP(T71,'Base de Datos'!$E$7:$AR$302,21,0)))</f>
        <v>0.95213947447900937</v>
      </c>
      <c r="AJ71" s="464">
        <v>42132</v>
      </c>
      <c r="AK71" s="450" t="str">
        <f>IF(ISERROR(VLOOKUP(D71,'Base de Datos'!$C$7:$AR$400,2,0))=TRUE," ",(VLOOKUP(D71,'Base de Datos'!$C$7:$AR$400,2,0)))</f>
        <v>2015171</v>
      </c>
      <c r="AL71" s="450" t="str">
        <f>IF(ISERROR(VLOOKUP(D71,'Base de Datos'!$C$7:$AR$400,3,0))=TRUE," ",(VLOOKUP(D71,'Base de Datos'!$C$7:$AR$400,3,0)))</f>
        <v>150219-0-2015</v>
      </c>
      <c r="AM71" s="453" t="str">
        <f>IF(ISERROR(VLOOKUP(D71,'Base de Datos'!$C$7:$AR$3761,6,0))=TRUE," ",(VLOOKUP(D71,'Base de Datos'!$C$7:$AR$400,6,0)))</f>
        <v>PRESTAR LOS SERVICIOS DE MANTENIMIENTO PREVENTIVO Y CORRECTIVO A LOS ASCENSORES MARCA MITSUBISHI UBICADOS EN EL CONCEJO DE BOGOTA.</v>
      </c>
      <c r="AN71" s="453">
        <f>IF(ISERROR(VLOOKUP(D71,'Base de Datos'!$C$7:$AR$400,20,0))=TRUE," ",(VLOOKUP(D71,'Base de Datos'!$C$7:$AR$400,19,0)))</f>
        <v>18836508</v>
      </c>
      <c r="AO71" s="456">
        <f>IF(ISERROR(VLOOKUP(D71,'Base de Datos'!$C$7:$AR$400,9,0))=TRUE," ",(VLOOKUP(D71,'Base de Datos'!$C$7:$AR$400,9,0)))</f>
        <v>2015</v>
      </c>
      <c r="AP71" s="456">
        <f>IF(ISERROR(VLOOKUP(D71,'Base de Datos'!$C$7:$AR$400,10,0))=TRUE," ",(VLOOKUP(D71,'Base de Datos'!$C$7:$AR$400,10,0)))</f>
        <v>42132</v>
      </c>
      <c r="AQ71" s="458">
        <f>IF(ISERROR(VLOOKUP(D71,'Base de Datos'!$C$7:$AR$400,11,0))=TRUE," ",(VLOOKUP(D71,'Base de Datos'!$C$7:$AR$400,11,0)))</f>
        <v>42149</v>
      </c>
      <c r="AR71" s="459">
        <f>IF(ISERROR(VLOOKUP(D71,'Base de Datos'!$C$7:$AR$400,12,0))=TRUE," ",(VLOOKUP(D71,'Base de Datos'!$C$7:$AR$400,12,0)))</f>
        <v>42454</v>
      </c>
      <c r="AS71" s="458">
        <f>IF(ISERROR(VLOOKUP(D71,'Base de Datos'!$C$7:$AR$400,13,0))=TRUE," ",(VLOOKUP(D71,'Base de Datos'!$C$7:$AR$400,13,0)))</f>
        <v>1</v>
      </c>
      <c r="AT71" s="458">
        <f>IF(ISERROR(VLOOKUP(D71,'Base de Datos'!$C$7:$AR$400,14,0))=TRUE," ",(VLOOKUP(D71,'Base de Datos'!$C$7:$AR$400,14,0)))</f>
        <v>4626508</v>
      </c>
      <c r="AU71" s="456" t="str">
        <f>IF(ISERROR(VLOOKUP(D71,'Base de Datos'!$C$7:$AR$400,16,0))=TRUE," ",(VLOOKUP(D71,'Base de Datos'!$C$7:$AR$400,16,0)))</f>
        <v/>
      </c>
      <c r="AV71" s="460" t="str">
        <f>IF(ISERROR(VLOOKUP(D71,'Base de Datos'!$C$7:$AR$400,17,0))=TRUE," ",(VLOOKUP(D71,'Base de Datos'!$C$7:$AR$400,17,0)))</f>
        <v/>
      </c>
      <c r="AW71" s="460">
        <f>IF(ISERROR(VLOOKUP(D71,'Base de Datos'!$C$7:$AR$400,18,0))=TRUE," ",(VLOOKUP(D71,'Base de Datos'!$C$7:$AR$400,18,0)))</f>
        <v>42454</v>
      </c>
      <c r="AX71" s="460">
        <f>IF(ISERROR(VLOOKUP(D71,'Base de Datos'!$C$7:$AR$400,19,0))=TRUE," ",(VLOOKUP(D71,'Base de Datos'!$C$7:$AR$400,19,0)))</f>
        <v>18836508</v>
      </c>
      <c r="AY71" s="463">
        <f>IF(ISERROR(VLOOKUP(D71,'Base de Datos'!$C$7:$AR$400,21,0))=TRUE," ",(VLOOKUP(D71,'Base de Datos'!$C$7:$AR$400,21,0)))</f>
        <v>544875</v>
      </c>
      <c r="AZ71" s="463" t="str">
        <f>IF(ISERROR(VLOOKUP(D71,'Base de Datos'!$C$7:$AR$400,22,0))=TRUE," ",(VLOOKUP(D71,'Base de Datos'!$C$7:$AR$400,22,0)))</f>
        <v>Pagos mensuales con los servicios efectivamente pretados.</v>
      </c>
      <c r="BA71" s="470"/>
      <c r="BB71" s="480"/>
    </row>
    <row r="72" spans="2:54" ht="55.5" hidden="1" customHeight="1" x14ac:dyDescent="0.25">
      <c r="B72" s="433">
        <v>65</v>
      </c>
      <c r="C72" s="441" t="s">
        <v>1642</v>
      </c>
      <c r="D72" s="433">
        <v>172</v>
      </c>
      <c r="E72" s="441" t="s">
        <v>1655</v>
      </c>
      <c r="F72" s="442">
        <f>VLOOKUP(D72,'Presupuesto - PAA 2015'!$B$10:$E$265,4,0)</f>
        <v>5874000</v>
      </c>
      <c r="G72" s="434" t="str">
        <f>VLOOKUP(D72,'[4]Seguimiento Plan'!$C$2:$R$101,16,0)</f>
        <v>Prestar los servicios de mantenimiento correctivo y suministro de repuestos para los sistemas de archivos rodantes de la Secretaría Distrital de Hacienda y del Concejo de Bogotá-</v>
      </c>
      <c r="H72" s="434" t="s">
        <v>1776</v>
      </c>
      <c r="I72" s="434" t="s">
        <v>1710</v>
      </c>
      <c r="J72" s="443" t="s">
        <v>909</v>
      </c>
      <c r="K72" s="444" t="s">
        <v>390</v>
      </c>
      <c r="L72" s="444" t="str">
        <f>VLOOKUP(D72,'[4]Seguimiento Plan'!$C$2:$AJ$101,30,0)</f>
        <v>SI</v>
      </c>
      <c r="M72" s="445">
        <f>VLOOKUP(D72,'[4]Seguimiento Plan'!$C$2:$AJ$101,31,0)</f>
        <v>42037</v>
      </c>
      <c r="N72" s="444"/>
      <c r="O72" s="446"/>
      <c r="P72" s="446"/>
      <c r="Q72" s="446"/>
      <c r="R72" s="447"/>
      <c r="S72" s="465" t="s">
        <v>1764</v>
      </c>
      <c r="T72" s="139" t="s">
        <v>302</v>
      </c>
      <c r="U72" s="450" t="str">
        <f>IF(ISERROR(VLOOKUP(T72,'Base de Datos'!$E$7:$AR$302,3,0))=TRUE," ",(VLOOKUP(T72,'Base de Datos'!$E$7:$AR$302,2,0)))</f>
        <v>DIVIEXPORT EU</v>
      </c>
      <c r="V72" s="453">
        <f>IF(ISERROR(VLOOKUP(T72,'Base de Datos'!$E$7:$AR$302,5,0))=TRUE," ",(VLOOKUP(T72,'Base de Datos'!$E$7:$AR$302,5,0)))</f>
        <v>4672000</v>
      </c>
      <c r="W72" s="450">
        <f>IF(ISERROR(VLOOKUP(T72,'Base de Datos'!$E$7:$AR$302,19,0))=TRUE," ",(VLOOKUP(T72,'Base de Datos'!$E$7:$AR$302,19,0)))</f>
        <v>2865800</v>
      </c>
      <c r="X72" s="455" t="str">
        <f>IF(ISERROR(VLOOKUP(T72,'Base de Datos'!$E$7:$AR$302,8,0))=TRUE," ",(VLOOKUP(T72,'Base de Datos'!$E$7:$AR$302,8,0)))</f>
        <v xml:space="preserve"> </v>
      </c>
      <c r="Y72" s="455">
        <f>IF(ISERROR(VLOOKUP(T72,'Base de Datos'!$E$7:$AR$302,9,0))=TRUE," ",(VLOOKUP(T72,'Base de Datos'!$E$7:$AR$302,9,0)))</f>
        <v>41835</v>
      </c>
      <c r="Z72" s="449">
        <f>IF(ISERROR(VLOOKUP(T72,'Base de Datos'!$E$7:$AR$302,10,0))=TRUE," ",(VLOOKUP(T72,'Base de Datos'!$E$7:$AR$302,10,0)))</f>
        <v>42050</v>
      </c>
      <c r="AA72" s="452">
        <f>IF(ISERROR(VLOOKUP(T72,'Base de Datos'!$E$7:$AR$302,11,0))=TRUE," ",(VLOOKUP(T72,'Base de Datos'!$E$7:$AR$302,11,0)))</f>
        <v>0</v>
      </c>
      <c r="AB72" s="449">
        <f>IF(ISERROR(VLOOKUP(T72,'Base de Datos'!$E$7:$AR$302,12,0))=TRUE," ",(VLOOKUP(T72,'Base de Datos'!$E$7:$AR$302,12,0)))</f>
        <v>0</v>
      </c>
      <c r="AC72" s="449">
        <f>IF(ISERROR(VLOOKUP(T72,'Base de Datos'!$E$7:$AR$302,12,0))=TRUE," ",(VLOOKUP(T72,'Base de Datos'!$E$7:$AR$302,12,0)))</f>
        <v>0</v>
      </c>
      <c r="AD72" s="455" t="str">
        <f>IF(ISERROR(VLOOKUP(T72,'Base de Datos'!$E$7:$AR$302,15,0))=TRUE," ",(VLOOKUP(T72,'Base de Datos'!$E$7:$AR$302,15,0)))</f>
        <v/>
      </c>
      <c r="AE72" s="460">
        <f>IF(ISERROR(VLOOKUP(T72,'Base de Datos'!$E$7:$AR$302,16,0))=TRUE," ",(VLOOKUP(T72,'Base de Datos'!$E$7:$AR$302,16,0)))</f>
        <v>42050</v>
      </c>
      <c r="AF72" s="460">
        <f>IF(ISERROR(VLOOKUP(T72,'Base de Datos'!$E$7:$AR$302,17,0))=TRUE," ",(VLOOKUP(T72,'Base de Datos'!$E$7:$AR$302,17,0)))</f>
        <v>4672000</v>
      </c>
      <c r="AG72" s="460">
        <f>IF(ISERROR(VLOOKUP(T72,'Base de Datos'!$E$7:$AR$302,18,0))=TRUE," ",(VLOOKUP(T72,'Base de Datos'!$E$7:$AR$302,18,0)))</f>
        <v>1806200</v>
      </c>
      <c r="AH72" s="461" t="str">
        <f>IF(ISERROR(VLOOKUP(T72,'Base de Datos'!$E$7:$AR$302,20,0))=TRUE," ",(VLOOKUP(T72,'Base de Datos'!$E$7:$AR$302,20,0)))</f>
        <v xml:space="preserve">Pagos mensuales correspondientes a los servicios prestados.  Los repuestos se cancelarán de acuerdo a la demanda requerida en el respectivo periodo, manteniendo los precios unitarios ofrecidos en la oferta económica; previa certificación de cumplimiento expedida por el supervisor del contrato.
</v>
      </c>
      <c r="AI72" s="461">
        <f>IF(ISERROR(VLOOKUP(T72,'Base de Datos'!$E$7:$AR$302,21,0))=TRUE," ",(VLOOKUP(T72,'Base de Datos'!$E$7:$AR$302,21,0)))</f>
        <v>0.38660102739726027</v>
      </c>
      <c r="AJ72" s="464">
        <v>42130</v>
      </c>
      <c r="AK72" s="450" t="str">
        <f>IF(ISERROR(VLOOKUP(D72,'Base de Datos'!$C$7:$AR$400,2,0))=TRUE," ",(VLOOKUP(D72,'Base de Datos'!$C$7:$AR$400,2,0)))</f>
        <v>2015172</v>
      </c>
      <c r="AL72" s="450" t="str">
        <f>IF(ISERROR(VLOOKUP(D72,'Base de Datos'!$C$7:$AR$400,3,0))=TRUE," ",(VLOOKUP(D72,'Base de Datos'!$C$7:$AR$400,3,0)))</f>
        <v>150215-0-2015</v>
      </c>
      <c r="AM72" s="453" t="str">
        <f>IF(ISERROR(VLOOKUP(D72,'Base de Datos'!$C$7:$AR$3761,6,0))=TRUE," ",(VLOOKUP(D72,'Base de Datos'!$C$7:$AR$400,6,0)))</f>
        <v>Realizar el servicio de mantenimiento correctivo y traslado, incluyendo los repuestos y elementos nuevos que requieran los sistemas de archivos rodantes existentes en las diferentes dependencias del Concejo de Bogotá, D.C.</v>
      </c>
      <c r="AN72" s="453">
        <f>IF(ISERROR(VLOOKUP(D72,'Base de Datos'!$C$7:$AR$400,20,0))=TRUE," ",(VLOOKUP(D72,'Base de Datos'!$C$7:$AR$400,19,0)))</f>
        <v>5874000</v>
      </c>
      <c r="AO72" s="456">
        <f>IF(ISERROR(VLOOKUP(D72,'Base de Datos'!$C$7:$AR$400,9,0))=TRUE," ",(VLOOKUP(D72,'Base de Datos'!$C$7:$AR$400,9,0)))</f>
        <v>2015</v>
      </c>
      <c r="AP72" s="456">
        <f>IF(ISERROR(VLOOKUP(D72,'Base de Datos'!$C$7:$AR$400,10,0))=TRUE," ",(VLOOKUP(D72,'Base de Datos'!$C$7:$AR$400,10,0)))</f>
        <v>42130</v>
      </c>
      <c r="AQ72" s="458">
        <f>IF(ISERROR(VLOOKUP(D72,'Base de Datos'!$C$7:$AR$400,11,0))=TRUE," ",(VLOOKUP(D72,'Base de Datos'!$C$7:$AR$400,11,0)))</f>
        <v>42149</v>
      </c>
      <c r="AR72" s="459">
        <f>IF(ISERROR(VLOOKUP(D72,'Base de Datos'!$C$7:$AR$400,12,0))=TRUE," ",(VLOOKUP(D72,'Base de Datos'!$C$7:$AR$400,12,0)))</f>
        <v>42515</v>
      </c>
      <c r="AS72" s="458">
        <f>IF(ISERROR(VLOOKUP(D72,'Base de Datos'!$C$7:$AR$400,13,0))=TRUE," ",(VLOOKUP(D72,'Base de Datos'!$C$7:$AR$400,13,0)))</f>
        <v>0</v>
      </c>
      <c r="AT72" s="458">
        <f>IF(ISERROR(VLOOKUP(D72,'Base de Datos'!$C$7:$AR$400,14,0))=TRUE," ",(VLOOKUP(D72,'Base de Datos'!$C$7:$AR$400,14,0)))</f>
        <v>0</v>
      </c>
      <c r="AU72" s="456" t="str">
        <f>IF(ISERROR(VLOOKUP(D72,'Base de Datos'!$C$7:$AR$400,16,0))=TRUE," ",(VLOOKUP(D72,'Base de Datos'!$C$7:$AR$400,16,0)))</f>
        <v/>
      </c>
      <c r="AV72" s="460" t="str">
        <f>IF(ISERROR(VLOOKUP(D72,'Base de Datos'!$C$7:$AR$400,17,0))=TRUE," ",(VLOOKUP(D72,'Base de Datos'!$C$7:$AR$400,17,0)))</f>
        <v/>
      </c>
      <c r="AW72" s="460">
        <f>IF(ISERROR(VLOOKUP(D72,'Base de Datos'!$C$7:$AR$400,18,0))=TRUE," ",(VLOOKUP(D72,'Base de Datos'!$C$7:$AR$400,18,0)))</f>
        <v>42515</v>
      </c>
      <c r="AX72" s="460">
        <f>IF(ISERROR(VLOOKUP(D72,'Base de Datos'!$C$7:$AR$400,19,0))=TRUE," ",(VLOOKUP(D72,'Base de Datos'!$C$7:$AR$400,19,0)))</f>
        <v>5874000</v>
      </c>
      <c r="AY72" s="463">
        <f>IF(ISERROR(VLOOKUP(D72,'Base de Datos'!$C$7:$AR$400,21,0))=TRUE," ",(VLOOKUP(D72,'Base de Datos'!$C$7:$AR$400,21,0)))</f>
        <v>933386</v>
      </c>
      <c r="AZ72" s="463" t="str">
        <f>IF(ISERROR(VLOOKUP(D72,'Base de Datos'!$C$7:$AR$400,22,0))=TRUE," ",(VLOOKUP(D72,'Base de Datos'!$C$7:$AR$400,22,0)))</f>
        <v>Pagos mensuales con los servicios efectivamente pretados.</v>
      </c>
      <c r="BA72" s="470"/>
      <c r="BB72" s="480"/>
    </row>
    <row r="73" spans="2:54" ht="55.5" hidden="1" customHeight="1" x14ac:dyDescent="0.25">
      <c r="B73" s="433">
        <v>66</v>
      </c>
      <c r="C73" s="441" t="s">
        <v>1642</v>
      </c>
      <c r="D73" s="433">
        <v>173</v>
      </c>
      <c r="E73" s="441" t="s">
        <v>1655</v>
      </c>
      <c r="F73" s="442">
        <f>VLOOKUP(D73,'Presupuesto - PAA 2015'!$B$10:$E$265,4,0)</f>
        <v>213921490</v>
      </c>
      <c r="G73" s="434" t="str">
        <f>VLOOKUP(D73,'[4]Seguimiento Plan'!$C$2:$R$101,16,0)</f>
        <v>Prestar los servicios de mantenimiento integral locativo con el suministro de personal, equipo y repuestos en las instalaciones físicas de la Secretaría Distrital de Hacienda y del Concejo de Bogotá.</v>
      </c>
      <c r="H73" s="434" t="s">
        <v>1776</v>
      </c>
      <c r="I73" s="434" t="s">
        <v>1717</v>
      </c>
      <c r="J73" s="443" t="s">
        <v>913</v>
      </c>
      <c r="K73" s="444" t="s">
        <v>390</v>
      </c>
      <c r="L73" s="444" t="str">
        <f>VLOOKUP(D73,'[4]Seguimiento Plan'!$C$2:$AJ$101,30,0)</f>
        <v>SI</v>
      </c>
      <c r="M73" s="445">
        <f>VLOOKUP(D73,'[4]Seguimiento Plan'!$C$2:$AJ$101,31,0)</f>
        <v>42069</v>
      </c>
      <c r="N73" s="444" t="s">
        <v>1808</v>
      </c>
      <c r="O73" s="446"/>
      <c r="P73" s="446"/>
      <c r="Q73" s="446"/>
      <c r="R73" s="447"/>
      <c r="S73" s="465" t="s">
        <v>1982</v>
      </c>
      <c r="T73" s="343" t="s">
        <v>401</v>
      </c>
      <c r="U73" s="450" t="str">
        <f>IF(ISERROR(VLOOKUP(T73,'Base de Datos'!$E$7:$AR$302,3,0))=TRUE," ",(VLOOKUP(T73,'Base de Datos'!$E$7:$AR$302,2,0)))</f>
        <v>H &amp; D OFIMAGEN</v>
      </c>
      <c r="V73" s="453">
        <f>IF(ISERROR(VLOOKUP(T73,'Base de Datos'!$E$7:$AR$302,5,0))=TRUE," ",(VLOOKUP(T73,'Base de Datos'!$E$7:$AR$302,5,0)))</f>
        <v>249991314</v>
      </c>
      <c r="W73" s="450">
        <f>IF(ISERROR(VLOOKUP(T73,'Base de Datos'!$E$7:$AR$302,19,0))=TRUE," ",(VLOOKUP(T73,'Base de Datos'!$E$7:$AR$302,19,0)))</f>
        <v>1715908</v>
      </c>
      <c r="X73" s="455" t="str">
        <f>IF(ISERROR(VLOOKUP(T73,'Base de Datos'!$E$7:$AR$302,8,0))=TRUE," ",(VLOOKUP(T73,'Base de Datos'!$E$7:$AR$302,8,0)))</f>
        <v xml:space="preserve"> </v>
      </c>
      <c r="Y73" s="455">
        <f>IF(ISERROR(VLOOKUP(T73,'Base de Datos'!$E$7:$AR$302,9,0))=TRUE," ",(VLOOKUP(T73,'Base de Datos'!$E$7:$AR$302,9,0)))</f>
        <v>41837</v>
      </c>
      <c r="Z73" s="449">
        <f>IF(ISERROR(VLOOKUP(T73,'Base de Datos'!$E$7:$AR$302,10,0))=TRUE," ",(VLOOKUP(T73,'Base de Datos'!$E$7:$AR$302,10,0)))</f>
        <v>42171</v>
      </c>
      <c r="AA73" s="452">
        <f>IF(ISERROR(VLOOKUP(T73,'Base de Datos'!$E$7:$AR$302,11,0))=TRUE," ",(VLOOKUP(T73,'Base de Datos'!$E$7:$AR$302,11,0)))</f>
        <v>0</v>
      </c>
      <c r="AB73" s="449">
        <f>IF(ISERROR(VLOOKUP(T73,'Base de Datos'!$E$7:$AR$302,12,0))=TRUE," ",(VLOOKUP(T73,'Base de Datos'!$E$7:$AR$302,12,0)))</f>
        <v>0</v>
      </c>
      <c r="AC73" s="449">
        <f>IF(ISERROR(VLOOKUP(T73,'Base de Datos'!$E$7:$AR$302,12,0))=TRUE," ",(VLOOKUP(T73,'Base de Datos'!$E$7:$AR$302,12,0)))</f>
        <v>0</v>
      </c>
      <c r="AD73" s="455">
        <f>IF(ISERROR(VLOOKUP(T73,'Base de Datos'!$E$7:$AR$302,15,0))=TRUE," ",(VLOOKUP(T73,'Base de Datos'!$E$7:$AR$302,15,0)))</f>
        <v>42216</v>
      </c>
      <c r="AE73" s="460">
        <f>IF(ISERROR(VLOOKUP(T73,'Base de Datos'!$E$7:$AR$302,16,0))=TRUE," ",(VLOOKUP(T73,'Base de Datos'!$E$7:$AR$302,16,0)))</f>
        <v>42216</v>
      </c>
      <c r="AF73" s="460">
        <f>IF(ISERROR(VLOOKUP(T73,'Base de Datos'!$E$7:$AR$302,17,0))=TRUE," ",(VLOOKUP(T73,'Base de Datos'!$E$7:$AR$302,17,0)))</f>
        <v>249991314</v>
      </c>
      <c r="AG73" s="460">
        <f>IF(ISERROR(VLOOKUP(T73,'Base de Datos'!$E$7:$AR$302,18,0))=TRUE," ",(VLOOKUP(T73,'Base de Datos'!$E$7:$AR$302,18,0)))</f>
        <v>248275406</v>
      </c>
      <c r="AH73" s="461" t="str">
        <f>IF(ISERROR(VLOOKUP(T73,'Base de Datos'!$E$7:$AR$302,20,0))=TRUE," ",(VLOOKUP(T73,'Base de Datos'!$E$7:$AR$302,20,0)))</f>
        <v>El valor del personal y el suministro de repuestos y materiales del periodo se cancelarán por pagos mensuales vencidos, previa certificación del supervisor y/o interventor designado por la entidad, en la cual conste el cumplimiento a satisfacción del objeto y obligaciones. 
Para el primer pago el contratista deberá cobrar los días prestados del mes de inicio del contrato, los siguientes serán por pagos mensuales completos. 
Los mantenimientos de las persianas y puertas de vidrio se cancelarán mediante pagos parciales mensuales, de conformidad con los mantenimientos efectuados y certificados por el supervisor y/o interventor designado por la entidad. 
El contratista deberá adjuntar a las facturas de cobro, una relación de los servicios y actividades ejecutadas, ordenes de pedido de repuestos, materiales con la previa autorización del supervisor y/o interventor, comprobante de los servicios prestados con el recibido a satisfacción. 
Si las facturas no han sido correctamente elaboradas o no se acompañan de los documentos requeridos para el pago, el término para éste solamente empezará a contarse desde la fecha en que se presenten en debida forma o se haya aportado el último de los documentos. Las demoras que se presenten por estos conceptos serán responsabilidad del CONTRATISTA y no tendrá por ello derecho al pago de intereses o compensación de ninguna naturaleza.
Los pagos se efectuarán dentro de los ocho (8) días hábiles  siguientes a la radicación en la Subdirección Financiera de la certificación de cumplimiento a satisfacción del objeto y obligaciones, expedida por el supervisor y/o interventor del contrato, acompañada de los respectivos recibos de pago por concepto de aportes al Sistema de Seguridad Social Integral en Salud, Pensión y ARL, aportes parafiscales: Sena, ICBF y Cajas de Compensación Familiar, cuando corresponda.
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
EJEMPLOS
Pago Anticipado del   ____% (NO aplica a Prestación de servicios)
Anticipo del          ____% (NO aplica a Prestación de servicios)
Pagos parciales del   ____% contra entregas parciales
                ____% contra entrega final a satisfacción y firma del acta de liquidación.
En todo caso,  un anticipo o el pago anticipado no podrá ser superior al 50% del valor del contrato.
Los pagos se efectuarán dentro de los diez (10) días hábiles  siguientes a la radicación en la Subdirección Financiera de la certificación de cumplimiento a satisfacción del objeto y obligaciones, expedida por el interventor del contrato, acompañada de los respectivos recibos de pago por concepto de aportes al Sistema de Seguridad Social Integral en Salud y Pensión, aportes parafiscales: Sena, ICBF y Cajas de Compensación Familiar, cuando corresponda.
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v>
      </c>
      <c r="AI73" s="461">
        <f>IF(ISERROR(VLOOKUP(T73,'Base de Datos'!$E$7:$AR$302,21,0))=TRUE," ",(VLOOKUP(T73,'Base de Datos'!$E$7:$AR$302,21,0)))</f>
        <v>0.99313612952168406</v>
      </c>
      <c r="AJ73" s="450"/>
      <c r="AK73" s="450" t="str">
        <f>IF(ISERROR(VLOOKUP(D73,'Base de Datos'!$C$7:$AR$400,2,0))=TRUE," ",(VLOOKUP(D73,'Base de Datos'!$C$7:$AR$400,2,0)))</f>
        <v>2015173</v>
      </c>
      <c r="AL73" s="450" t="str">
        <f>IF(ISERROR(VLOOKUP(D73,'Base de Datos'!$C$7:$AR$400,3,0))=TRUE," ",(VLOOKUP(D73,'Base de Datos'!$C$7:$AR$400,3,0)))</f>
        <v>150323-0-2015</v>
      </c>
      <c r="AM73" s="453" t="str">
        <f>IF(ISERROR(VLOOKUP(D73,'Base de Datos'!$C$7:$AR$3761,6,0))=TRUE," ",(VLOOKUP(D73,'Base de Datos'!$C$7:$AR$400,6,0)))</f>
        <v>Realizar el mantenimiento integral locativo con el suministro de personal, equipo y repuestos, en las instalaciones físicas del Concejo de Bogotá, D.C., de conformidad con lo establecido en el pliego de condiciones del proceso de Selección Abreviada de Menor Cuantía No. SDH-SAMC-05-2015 y la propuesta presentada por el contratista</v>
      </c>
      <c r="AN73" s="453">
        <f>IF(ISERROR(VLOOKUP(D73,'Base de Datos'!$C$7:$AR$400,20,0))=TRUE," ",(VLOOKUP(D73,'Base de Datos'!$C$7:$AR$400,19,0)))</f>
        <v>255421490</v>
      </c>
      <c r="AO73" s="456">
        <f>IF(ISERROR(VLOOKUP(D73,'Base de Datos'!$C$7:$AR$400,9,0))=TRUE," ",(VLOOKUP(D73,'Base de Datos'!$C$7:$AR$400,9,0)))</f>
        <v>2015</v>
      </c>
      <c r="AP73" s="456">
        <f>IF(ISERROR(VLOOKUP(D73,'Base de Datos'!$C$7:$AR$400,10,0))=TRUE," ",(VLOOKUP(D73,'Base de Datos'!$C$7:$AR$400,10,0)))</f>
        <v>42213</v>
      </c>
      <c r="AQ73" s="458">
        <f>IF(ISERROR(VLOOKUP(D73,'Base de Datos'!$C$7:$AR$400,11,0))=TRUE," ",(VLOOKUP(D73,'Base de Datos'!$C$7:$AR$400,11,0)))</f>
        <v>42250</v>
      </c>
      <c r="AR73" s="459">
        <f>IF(ISERROR(VLOOKUP(D73,'Base de Datos'!$C$7:$AR$400,12,0))=TRUE," ",(VLOOKUP(D73,'Base de Datos'!$C$7:$AR$400,12,0)))</f>
        <v>42524</v>
      </c>
      <c r="AS73" s="458">
        <f>IF(ISERROR(VLOOKUP(D73,'Base de Datos'!$C$7:$AR$400,13,0))=TRUE," ",(VLOOKUP(D73,'Base de Datos'!$C$7:$AR$400,13,0)))</f>
        <v>1</v>
      </c>
      <c r="AT73" s="458">
        <f>IF(ISERROR(VLOOKUP(D73,'Base de Datos'!$C$7:$AR$400,14,0))=TRUE," ",(VLOOKUP(D73,'Base de Datos'!$C$7:$AR$400,14,0)))</f>
        <v>41500000</v>
      </c>
      <c r="AU73" s="456" t="str">
        <f>IF(ISERROR(VLOOKUP(D73,'Base de Datos'!$C$7:$AR$400,16,0))=TRUE," ",(VLOOKUP(D73,'Base de Datos'!$C$7:$AR$400,16,0)))</f>
        <v/>
      </c>
      <c r="AV73" s="460" t="str">
        <f>IF(ISERROR(VLOOKUP(D73,'Base de Datos'!$C$7:$AR$400,17,0))=TRUE," ",(VLOOKUP(D73,'Base de Datos'!$C$7:$AR$400,17,0)))</f>
        <v/>
      </c>
      <c r="AW73" s="460">
        <f>IF(ISERROR(VLOOKUP(D73,'Base de Datos'!$C$7:$AR$400,18,0))=TRUE," ",(VLOOKUP(D73,'Base de Datos'!$C$7:$AR$400,18,0)))</f>
        <v>42524</v>
      </c>
      <c r="AX73" s="460">
        <f>IF(ISERROR(VLOOKUP(D73,'Base de Datos'!$C$7:$AR$400,19,0))=TRUE," ",(VLOOKUP(D73,'Base de Datos'!$C$7:$AR$400,19,0)))</f>
        <v>255421490</v>
      </c>
      <c r="AY73" s="463">
        <f>IF(ISERROR(VLOOKUP(D73,'Base de Datos'!$C$7:$AR$400,21,0))=TRUE," ",(VLOOKUP(D73,'Base de Datos'!$C$7:$AR$400,21,0)))</f>
        <v>29427460</v>
      </c>
      <c r="AZ73" s="463" t="str">
        <f>IF(ISERROR(VLOOKUP(D73,'Base de Datos'!$C$7:$AR$400,22,0))=TRUE," ",(VLOOKUP(D73,'Base de Datos'!$C$7:$AR$400,22,0)))</f>
        <v>Pagos mensuales</v>
      </c>
      <c r="BA73" s="470"/>
      <c r="BB73" s="480"/>
    </row>
    <row r="74" spans="2:54" ht="55.5" hidden="1" customHeight="1" x14ac:dyDescent="0.25">
      <c r="B74" s="433">
        <v>67</v>
      </c>
      <c r="C74" s="441" t="s">
        <v>1642</v>
      </c>
      <c r="D74" s="433">
        <v>174</v>
      </c>
      <c r="E74" s="441" t="s">
        <v>1655</v>
      </c>
      <c r="F74" s="442">
        <f>VLOOKUP(D74,'Presupuesto - PAA 2015'!$B$10:$E$265,4,0)</f>
        <v>566000000</v>
      </c>
      <c r="G74" s="434" t="str">
        <f>VLOOKUP(D74,'[4]Seguimiento Plan'!$C$2:$R$101,16,0)</f>
        <v xml:space="preserve">Prestar el servicio de vigilancia y seguridad privada en las instalaciones de la Secretaria de Hacienda y del Concejo de Bogotá., con el fin de asegurar la protección y custodia de las personas y bienes muebles e inmuebles de propiedad de la entidad y de </v>
      </c>
      <c r="H74" s="434" t="s">
        <v>1776</v>
      </c>
      <c r="I74" s="434" t="s">
        <v>1710</v>
      </c>
      <c r="J74" s="443" t="s">
        <v>1734</v>
      </c>
      <c r="K74" s="444" t="s">
        <v>390</v>
      </c>
      <c r="L74" s="444" t="str">
        <f>VLOOKUP(D74,'[4]Seguimiento Plan'!$C$2:$AJ$101,30,0)</f>
        <v>SI</v>
      </c>
      <c r="M74" s="445">
        <f>VLOOKUP(D74,'[4]Seguimiento Plan'!$C$2:$AJ$101,31,0)</f>
        <v>42020</v>
      </c>
      <c r="N74" s="444"/>
      <c r="O74" s="446"/>
      <c r="P74" s="446"/>
      <c r="Q74" s="466">
        <v>42059</v>
      </c>
      <c r="R74" s="525"/>
      <c r="S74" s="465" t="s">
        <v>1766</v>
      </c>
      <c r="T74" s="306" t="s">
        <v>1491</v>
      </c>
      <c r="U74" s="450" t="str">
        <f>IF(ISERROR(VLOOKUP(T74,'Base de Datos'!$E$7:$AR$302,3,0))=TRUE," ",(VLOOKUP(T74,'Base de Datos'!$E$7:$AR$302,2,0)))</f>
        <v>VIGILANCIA ACOSTA LIMITADA</v>
      </c>
      <c r="V74" s="453">
        <f>IF(ISERROR(VLOOKUP(T74,'Base de Datos'!$E$7:$AR$302,5,0))=TRUE," ",(VLOOKUP(T74,'Base de Datos'!$E$7:$AR$302,5,0)))</f>
        <v>300000000</v>
      </c>
      <c r="W74" s="450">
        <f>IF(ISERROR(VLOOKUP(T74,'Base de Datos'!$E$7:$AR$302,19,0))=TRUE," ",(VLOOKUP(T74,'Base de Datos'!$E$7:$AR$302,19,0)))</f>
        <v>61373516</v>
      </c>
      <c r="X74" s="455" t="str">
        <f>IF(ISERROR(VLOOKUP(T74,'Base de Datos'!$E$7:$AR$302,8,0))=TRUE," ",(VLOOKUP(T74,'Base de Datos'!$E$7:$AR$302,8,0)))</f>
        <v xml:space="preserve"> </v>
      </c>
      <c r="Y74" s="455">
        <f>IF(ISERROR(VLOOKUP(T74,'Base de Datos'!$E$7:$AR$302,9,0))=TRUE," ",(VLOOKUP(T74,'Base de Datos'!$E$7:$AR$302,9,0)))</f>
        <v>41989</v>
      </c>
      <c r="Z74" s="449">
        <f>IF(ISERROR(VLOOKUP(T74,'Base de Datos'!$E$7:$AR$302,10,0))=TRUE," ",(VLOOKUP(T74,'Base de Datos'!$E$7:$AR$302,10,0)))</f>
        <v>42140</v>
      </c>
      <c r="AA74" s="452">
        <f>IF(ISERROR(VLOOKUP(T74,'Base de Datos'!$E$7:$AR$302,11,0))=TRUE," ",(VLOOKUP(T74,'Base de Datos'!$E$7:$AR$302,11,0)))</f>
        <v>0</v>
      </c>
      <c r="AB74" s="449">
        <f>IF(ISERROR(VLOOKUP(T74,'Base de Datos'!$E$7:$AR$302,12,0))=TRUE," ",(VLOOKUP(T74,'Base de Datos'!$E$7:$AR$302,12,0)))</f>
        <v>0</v>
      </c>
      <c r="AC74" s="449">
        <f>IF(ISERROR(VLOOKUP(T74,'Base de Datos'!$E$7:$AR$302,12,0))=TRUE," ",(VLOOKUP(T74,'Base de Datos'!$E$7:$AR$302,12,0)))</f>
        <v>0</v>
      </c>
      <c r="AD74" s="455" t="str">
        <f>IF(ISERROR(VLOOKUP(T74,'Base de Datos'!$E$7:$AR$302,15,0))=TRUE," ",(VLOOKUP(T74,'Base de Datos'!$E$7:$AR$302,15,0)))</f>
        <v/>
      </c>
      <c r="AE74" s="460">
        <f>IF(ISERROR(VLOOKUP(T74,'Base de Datos'!$E$7:$AR$302,16,0))=TRUE," ",(VLOOKUP(T74,'Base de Datos'!$E$7:$AR$302,16,0)))</f>
        <v>42140</v>
      </c>
      <c r="AF74" s="460">
        <f>IF(ISERROR(VLOOKUP(T74,'Base de Datos'!$E$7:$AR$302,17,0))=TRUE," ",(VLOOKUP(T74,'Base de Datos'!$E$7:$AR$302,17,0)))</f>
        <v>300000000</v>
      </c>
      <c r="AG74" s="460">
        <f>IF(ISERROR(VLOOKUP(T74,'Base de Datos'!$E$7:$AR$302,18,0))=TRUE," ",(VLOOKUP(T74,'Base de Datos'!$E$7:$AR$302,18,0)))</f>
        <v>238626484</v>
      </c>
      <c r="AH74" s="461" t="str">
        <f>IF(ISERROR(VLOOKUP(T74,'Base de Datos'!$E$7:$AR$302,20,0))=TRUE," ",(VLOOKUP(T74,'Base de Datos'!$E$7:$AR$302,20,0)))</f>
        <v>Mensual</v>
      </c>
      <c r="AI74" s="461">
        <f>IF(ISERROR(VLOOKUP(T74,'Base de Datos'!$E$7:$AR$302,21,0))=TRUE," ",(VLOOKUP(T74,'Base de Datos'!$E$7:$AR$302,21,0)))</f>
        <v>0.79542161333333339</v>
      </c>
      <c r="AJ74" s="464">
        <v>42136</v>
      </c>
      <c r="AK74" s="450" t="str">
        <f>IF(ISERROR(VLOOKUP(D74,'Base de Datos'!$C$7:$AR$400,2,0))=TRUE," ",(VLOOKUP(D74,'Base de Datos'!$C$7:$AR$400,2,0)))</f>
        <v>2015174</v>
      </c>
      <c r="AL74" s="450" t="str">
        <f>IF(ISERROR(VLOOKUP(D74,'Base de Datos'!$C$7:$AR$400,3,0))=TRUE," ",(VLOOKUP(D74,'Base de Datos'!$C$7:$AR$400,3,0)))</f>
        <v>150226-0-2015</v>
      </c>
      <c r="AM74" s="453" t="str">
        <f>IF(ISERROR(VLOOKUP(D74,'Base de Datos'!$C$7:$AR$3761,6,0))=TRUE," ",(VLOOKUP(D74,'Base de Datos'!$C$7:$AR$400,6,0)))</f>
        <v>Prestar el servicio de vigilancia y seguridad privada en las instalaciones del Concejo de Bogotá, D.C., con el fin de asegurar la protección y custodia de las personas y bienes muebles e inmuebles de propiedad de la entidad y de los que legalmente sea o llegare a ser responsable por disposición legal, contractual o convencional.</v>
      </c>
      <c r="AN74" s="453">
        <f>IF(ISERROR(VLOOKUP(D74,'Base de Datos'!$C$7:$AR$400,20,0))=TRUE," ",(VLOOKUP(D74,'Base de Datos'!$C$7:$AR$400,19,0)))</f>
        <v>566000000</v>
      </c>
      <c r="AO74" s="456">
        <f>IF(ISERROR(VLOOKUP(D74,'Base de Datos'!$C$7:$AR$400,9,0))=TRUE," ",(VLOOKUP(D74,'Base de Datos'!$C$7:$AR$400,9,0)))</f>
        <v>2015</v>
      </c>
      <c r="AP74" s="456">
        <f>IF(ISERROR(VLOOKUP(D74,'Base de Datos'!$C$7:$AR$400,10,0))=TRUE," ",(VLOOKUP(D74,'Base de Datos'!$C$7:$AR$400,10,0)))</f>
        <v>42136</v>
      </c>
      <c r="AQ74" s="458">
        <f>IF(ISERROR(VLOOKUP(D74,'Base de Datos'!$C$7:$AR$400,11,0))=TRUE," ",(VLOOKUP(D74,'Base de Datos'!$C$7:$AR$400,11,0)))</f>
        <v>42141</v>
      </c>
      <c r="AR74" s="459">
        <f>IF(ISERROR(VLOOKUP(D74,'Base de Datos'!$C$7:$AR$400,12,0))=TRUE," ",(VLOOKUP(D74,'Base de Datos'!$C$7:$AR$400,12,0)))</f>
        <v>42507</v>
      </c>
      <c r="AS74" s="458">
        <f>IF(ISERROR(VLOOKUP(D74,'Base de Datos'!$C$7:$AR$400,13,0))=TRUE," ",(VLOOKUP(D74,'Base de Datos'!$C$7:$AR$400,13,0)))</f>
        <v>0</v>
      </c>
      <c r="AT74" s="458">
        <f>IF(ISERROR(VLOOKUP(D74,'Base de Datos'!$C$7:$AR$400,14,0))=TRUE," ",(VLOOKUP(D74,'Base de Datos'!$C$7:$AR$400,14,0)))</f>
        <v>0</v>
      </c>
      <c r="AU74" s="456" t="str">
        <f>IF(ISERROR(VLOOKUP(D74,'Base de Datos'!$C$7:$AR$400,16,0))=TRUE," ",(VLOOKUP(D74,'Base de Datos'!$C$7:$AR$400,16,0)))</f>
        <v>2 meses y 14 días calendario</v>
      </c>
      <c r="AV74" s="460">
        <f>IF(ISERROR(VLOOKUP(D74,'Base de Datos'!$C$7:$AR$400,17,0))=TRUE," ",(VLOOKUP(D74,'Base de Datos'!$C$7:$AR$400,17,0)))</f>
        <v>42582</v>
      </c>
      <c r="AW74" s="460">
        <f>IF(ISERROR(VLOOKUP(D74,'Base de Datos'!$C$7:$AR$400,18,0))=TRUE," ",(VLOOKUP(D74,'Base de Datos'!$C$7:$AR$400,18,0)))</f>
        <v>42582</v>
      </c>
      <c r="AX74" s="460">
        <f>IF(ISERROR(VLOOKUP(D74,'Base de Datos'!$C$7:$AR$400,19,0))=TRUE," ",(VLOOKUP(D74,'Base de Datos'!$C$7:$AR$400,19,0)))</f>
        <v>566000000</v>
      </c>
      <c r="AY74" s="463">
        <f>IF(ISERROR(VLOOKUP(D74,'Base de Datos'!$C$7:$AR$400,21,0))=TRUE," ",(VLOOKUP(D74,'Base de Datos'!$C$7:$AR$400,21,0)))</f>
        <v>16286126</v>
      </c>
      <c r="AZ74" s="463" t="str">
        <f>IF(ISERROR(VLOOKUP(D74,'Base de Datos'!$C$7:$AR$400,22,0))=TRUE," ",(VLOOKUP(D74,'Base de Datos'!$C$7:$AR$400,22,0)))</f>
        <v>Mensualidades vencidas</v>
      </c>
      <c r="BA74" s="470"/>
      <c r="BB74" s="480"/>
    </row>
    <row r="75" spans="2:54" ht="55.5" hidden="1" customHeight="1" x14ac:dyDescent="0.25">
      <c r="B75" s="433">
        <v>68</v>
      </c>
      <c r="C75" s="441" t="s">
        <v>1642</v>
      </c>
      <c r="D75" s="433">
        <v>175</v>
      </c>
      <c r="E75" s="441" t="s">
        <v>1655</v>
      </c>
      <c r="F75" s="442">
        <f>VLOOKUP(D75,'Presupuesto - PAA 2015'!$B$10:$E$265,4,0)</f>
        <v>27620000</v>
      </c>
      <c r="G75" s="434" t="str">
        <f>VLOOKUP(D75,'[4]Seguimiento Plan'!$C$2:$R$101,16,0)</f>
        <v>Prestar los servicios de mantenimiento preventivo y correctivo con suministro de repuestos de los automotores marca Chevrolet al servicio de la Secretaría Distrital de Hacienda y del Concejo de Bogotá</v>
      </c>
      <c r="H75" s="434" t="s">
        <v>1776</v>
      </c>
      <c r="I75" s="434" t="s">
        <v>1710</v>
      </c>
      <c r="J75" s="443" t="s">
        <v>909</v>
      </c>
      <c r="K75" s="444" t="s">
        <v>390</v>
      </c>
      <c r="L75" s="444" t="str">
        <f>VLOOKUP(D75,'[4]Seguimiento Plan'!$C$2:$AJ$101,30,0)</f>
        <v>SI</v>
      </c>
      <c r="M75" s="445">
        <f>VLOOKUP(D75,'[4]Seguimiento Plan'!$C$2:$AJ$101,31,0)</f>
        <v>42010</v>
      </c>
      <c r="N75" s="444"/>
      <c r="O75" s="446"/>
      <c r="P75" s="446"/>
      <c r="Q75" s="446"/>
      <c r="R75" s="447"/>
      <c r="S75" s="465" t="s">
        <v>1753</v>
      </c>
      <c r="T75" s="343" t="s">
        <v>279</v>
      </c>
      <c r="U75" s="450" t="str">
        <f>IF(ISERROR(VLOOKUP(T75,'Base de Datos'!$E$7:$AR$302,3,0))=TRUE," ",(VLOOKUP(T75,'Base de Datos'!$E$7:$AR$302,2,0)))</f>
        <v>HERNANDO  BULLA ORJUELA</v>
      </c>
      <c r="V75" s="453">
        <f>IF(ISERROR(VLOOKUP(T75,'Base de Datos'!$E$7:$AR$302,5,0))=TRUE," ",(VLOOKUP(T75,'Base de Datos'!$E$7:$AR$302,5,0)))</f>
        <v>20872000</v>
      </c>
      <c r="W75" s="450">
        <f>IF(ISERROR(VLOOKUP(T75,'Base de Datos'!$E$7:$AR$302,19,0))=TRUE," ",(VLOOKUP(T75,'Base de Datos'!$E$7:$AR$302,19,0)))</f>
        <v>1646573</v>
      </c>
      <c r="X75" s="455" t="str">
        <f>IF(ISERROR(VLOOKUP(T75,'Base de Datos'!$E$7:$AR$302,8,0))=TRUE," ",(VLOOKUP(T75,'Base de Datos'!$E$7:$AR$302,8,0)))</f>
        <v xml:space="preserve"> </v>
      </c>
      <c r="Y75" s="455">
        <f>IF(ISERROR(VLOOKUP(T75,'Base de Datos'!$E$7:$AR$302,9,0))=TRUE," ",(VLOOKUP(T75,'Base de Datos'!$E$7:$AR$302,9,0)))</f>
        <v>41757</v>
      </c>
      <c r="Z75" s="449">
        <f>IF(ISERROR(VLOOKUP(T75,'Base de Datos'!$E$7:$AR$302,10,0))=TRUE," ",(VLOOKUP(T75,'Base de Datos'!$E$7:$AR$302,10,0)))</f>
        <v>42062</v>
      </c>
      <c r="AA75" s="452">
        <f>IF(ISERROR(VLOOKUP(T75,'Base de Datos'!$E$7:$AR$302,11,0))=TRUE," ",(VLOOKUP(T75,'Base de Datos'!$E$7:$AR$302,11,0)))</f>
        <v>1</v>
      </c>
      <c r="AB75" s="449">
        <f>IF(ISERROR(VLOOKUP(T75,'Base de Datos'!$E$7:$AR$302,12,0))=TRUE," ",(VLOOKUP(T75,'Base de Datos'!$E$7:$AR$302,12,0)))</f>
        <v>10346000</v>
      </c>
      <c r="AC75" s="449">
        <f>IF(ISERROR(VLOOKUP(T75,'Base de Datos'!$E$7:$AR$302,12,0))=TRUE," ",(VLOOKUP(T75,'Base de Datos'!$E$7:$AR$302,12,0)))</f>
        <v>10346000</v>
      </c>
      <c r="AD75" s="455">
        <f>IF(ISERROR(VLOOKUP(T75,'Base de Datos'!$E$7:$AR$302,15,0))=TRUE," ",(VLOOKUP(T75,'Base de Datos'!$E$7:$AR$302,15,0)))</f>
        <v>42091</v>
      </c>
      <c r="AE75" s="460">
        <f>IF(ISERROR(VLOOKUP(T75,'Base de Datos'!$E$7:$AR$302,16,0))=TRUE," ",(VLOOKUP(T75,'Base de Datos'!$E$7:$AR$302,16,0)))</f>
        <v>42091</v>
      </c>
      <c r="AF75" s="460">
        <f>IF(ISERROR(VLOOKUP(T75,'Base de Datos'!$E$7:$AR$302,17,0))=TRUE," ",(VLOOKUP(T75,'Base de Datos'!$E$7:$AR$302,17,0)))</f>
        <v>31218000</v>
      </c>
      <c r="AG75" s="460">
        <f>IF(ISERROR(VLOOKUP(T75,'Base de Datos'!$E$7:$AR$302,18,0))=TRUE," ",(VLOOKUP(T75,'Base de Datos'!$E$7:$AR$302,18,0)))</f>
        <v>29571427</v>
      </c>
      <c r="AH75" s="461" t="str">
        <f>IF(ISERROR(VLOOKUP(T75,'Base de Datos'!$E$7:$AR$302,20,0))=TRUE," ",(VLOOKUP(T75,'Base de Datos'!$E$7:$AR$302,20,0)))</f>
        <v xml:space="preserve">Los pagos se realizarán por mensualidades vencidas de acuerdo a los servicios y repuestos efectivamente prestados y suministrados en el respectivo mes manteniendo los precios y descuento ofrecidos en la propuesta.
</v>
      </c>
      <c r="AI75" s="461">
        <f>IF(ISERROR(VLOOKUP(T75,'Base de Datos'!$E$7:$AR$302,21,0))=TRUE," ",(VLOOKUP(T75,'Base de Datos'!$E$7:$AR$302,21,0)))</f>
        <v>0.9472556537894804</v>
      </c>
      <c r="AJ75" s="455">
        <v>42109</v>
      </c>
      <c r="AK75" s="450" t="str">
        <f>IF(ISERROR(VLOOKUP(D75,'Base de Datos'!$C$7:$AR$400,2,0))=TRUE," ",(VLOOKUP(D75,'Base de Datos'!$C$7:$AR$400,2,0)))</f>
        <v>2015175</v>
      </c>
      <c r="AL75" s="450" t="str">
        <f>IF(ISERROR(VLOOKUP(D75,'Base de Datos'!$C$7:$AR$400,3,0))=TRUE," ",(VLOOKUP(D75,'Base de Datos'!$C$7:$AR$400,3,0)))</f>
        <v>150191-0-2015</v>
      </c>
      <c r="AM75" s="453" t="str">
        <f>IF(ISERROR(VLOOKUP(D75,'Base de Datos'!$C$7:$AR$3761,6,0))=TRUE," ",(VLOOKUP(D75,'Base de Datos'!$C$7:$AR$400,6,0)))</f>
        <v>Contratar el servicio de mantenimiento preventivo y correctivo con suministro de repuestos del parque automotor marca Chevrolet de propiedad del Concejo de Bogotá, de conformidad con lo establecido en la presente invitación pública.</v>
      </c>
      <c r="AN75" s="453">
        <f>IF(ISERROR(VLOOKUP(D75,'Base de Datos'!$C$7:$AR$400,20,0))=TRUE," ",(VLOOKUP(D75,'Base de Datos'!$C$7:$AR$400,19,0)))</f>
        <v>41620000</v>
      </c>
      <c r="AO75" s="456">
        <f>IF(ISERROR(VLOOKUP(D75,'Base de Datos'!$C$7:$AR$400,9,0))=TRUE," ",(VLOOKUP(D75,'Base de Datos'!$C$7:$AR$400,9,0)))</f>
        <v>2015</v>
      </c>
      <c r="AP75" s="456">
        <f>IF(ISERROR(VLOOKUP(D75,'Base de Datos'!$C$7:$AR$400,10,0))=TRUE," ",(VLOOKUP(D75,'Base de Datos'!$C$7:$AR$400,10,0)))</f>
        <v>42109</v>
      </c>
      <c r="AQ75" s="458">
        <f>IF(ISERROR(VLOOKUP(D75,'Base de Datos'!$C$7:$AR$400,11,0))=TRUE," ",(VLOOKUP(D75,'Base de Datos'!$C$7:$AR$400,11,0)))</f>
        <v>42137</v>
      </c>
      <c r="AR75" s="459">
        <f>IF(ISERROR(VLOOKUP(D75,'Base de Datos'!$C$7:$AR$400,12,0))=TRUE," ",(VLOOKUP(D75,'Base de Datos'!$C$7:$AR$400,12,0)))</f>
        <v>42503</v>
      </c>
      <c r="AS75" s="458">
        <f>IF(ISERROR(VLOOKUP(D75,'Base de Datos'!$C$7:$AR$400,13,0))=TRUE," ",(VLOOKUP(D75,'Base de Datos'!$C$7:$AR$400,13,0)))</f>
        <v>1</v>
      </c>
      <c r="AT75" s="458">
        <f>IF(ISERROR(VLOOKUP(D75,'Base de Datos'!$C$7:$AR$400,14,0))=TRUE," ",(VLOOKUP(D75,'Base de Datos'!$C$7:$AR$400,14,0)))</f>
        <v>14000000</v>
      </c>
      <c r="AU75" s="456" t="str">
        <f>IF(ISERROR(VLOOKUP(D75,'Base de Datos'!$C$7:$AR$400,16,0))=TRUE," ",(VLOOKUP(D75,'Base de Datos'!$C$7:$AR$400,16,0)))</f>
        <v>28 días calendario</v>
      </c>
      <c r="AV75" s="460">
        <f>IF(ISERROR(VLOOKUP(D75,'Base de Datos'!$C$7:$AR$400,17,0))=TRUE," ",(VLOOKUP(D75,'Base de Datos'!$C$7:$AR$400,17,0)))</f>
        <v>42531</v>
      </c>
      <c r="AW75" s="460">
        <f>IF(ISERROR(VLOOKUP(D75,'Base de Datos'!$C$7:$AR$400,18,0))=TRUE," ",(VLOOKUP(D75,'Base de Datos'!$C$7:$AR$400,18,0)))</f>
        <v>42531</v>
      </c>
      <c r="AX75" s="460">
        <f>IF(ISERROR(VLOOKUP(D75,'Base de Datos'!$C$7:$AR$400,19,0))=TRUE," ",(VLOOKUP(D75,'Base de Datos'!$C$7:$AR$400,19,0)))</f>
        <v>41620000</v>
      </c>
      <c r="AY75" s="463">
        <f>IF(ISERROR(VLOOKUP(D75,'Base de Datos'!$C$7:$AR$400,21,0))=TRUE," ",(VLOOKUP(D75,'Base de Datos'!$C$7:$AR$400,21,0)))</f>
        <v>1146201</v>
      </c>
      <c r="AZ75" s="463" t="str">
        <f>IF(ISERROR(VLOOKUP(D75,'Base de Datos'!$C$7:$AR$400,22,0))=TRUE," ",(VLOOKUP(D75,'Base de Datos'!$C$7:$AR$400,22,0)))</f>
        <v>Mensuales vencidas de acuerdo a los servicios y repuestos efectivamente prestados y suministrados.</v>
      </c>
      <c r="BA75" s="470"/>
      <c r="BB75" s="480"/>
    </row>
    <row r="76" spans="2:54" ht="55.5" hidden="1" customHeight="1" x14ac:dyDescent="0.25">
      <c r="B76" s="433">
        <v>69</v>
      </c>
      <c r="C76" s="441" t="s">
        <v>1642</v>
      </c>
      <c r="D76" s="433">
        <v>176</v>
      </c>
      <c r="E76" s="441" t="s">
        <v>1655</v>
      </c>
      <c r="F76" s="442">
        <f>VLOOKUP(D76,'Presupuesto - PAA 2015'!$B$10:$E$265,4,0)</f>
        <v>28000000</v>
      </c>
      <c r="G76" s="434" t="str">
        <f>VLOOKUP(D76,'[4]Seguimiento Plan'!$C$2:$R$101,16,0)</f>
        <v xml:space="preserve">Prestar los servicios de mantenimiento correctivo correspondiente a la reparación y corrección de las sillas existentes en la Secretaría de Distrital de Hacienda y del Concejo de Bogotá, con el suministro de repuestos y/o elementos nuevos necesarios para </v>
      </c>
      <c r="H76" s="434" t="s">
        <v>1776</v>
      </c>
      <c r="I76" s="434" t="s">
        <v>1710</v>
      </c>
      <c r="J76" s="443" t="s">
        <v>1734</v>
      </c>
      <c r="K76" s="444" t="s">
        <v>390</v>
      </c>
      <c r="L76" s="444" t="str">
        <f>VLOOKUP(D76,'[4]Seguimiento Plan'!$C$2:$AJ$101,30,0)</f>
        <v>SI</v>
      </c>
      <c r="M76" s="445">
        <f>VLOOKUP(D76,'[4]Seguimiento Plan'!$C$2:$AJ$101,31,0)</f>
        <v>42031</v>
      </c>
      <c r="N76" s="444"/>
      <c r="O76" s="446"/>
      <c r="P76" s="446"/>
      <c r="Q76" s="446"/>
      <c r="R76" s="524"/>
      <c r="S76" s="351" t="s">
        <v>1742</v>
      </c>
      <c r="T76" s="139" t="s">
        <v>271</v>
      </c>
      <c r="U76" s="450" t="str">
        <f>IF(ISERROR(VLOOKUP(T76,'Base de Datos'!$E$7:$AR$302,3,0))=TRUE," ",(VLOOKUP(T76,'Base de Datos'!$E$7:$AR$302,2,0)))</f>
        <v>MODULARES OFIMA LTDA</v>
      </c>
      <c r="V76" s="453">
        <f>IF(ISERROR(VLOOKUP(T76,'Base de Datos'!$E$7:$AR$302,5,0))=TRUE," ",(VLOOKUP(T76,'Base de Datos'!$E$7:$AR$302,5,0)))</f>
        <v>28000000</v>
      </c>
      <c r="W76" s="450">
        <f>IF(ISERROR(VLOOKUP(T76,'Base de Datos'!$E$7:$AR$302,19,0))=TRUE," ",(VLOOKUP(T76,'Base de Datos'!$E$7:$AR$302,19,0)))</f>
        <v>17021760</v>
      </c>
      <c r="X76" s="455" t="str">
        <f>IF(ISERROR(VLOOKUP(T76,'Base de Datos'!$E$7:$AR$302,8,0))=TRUE," ",(VLOOKUP(T76,'Base de Datos'!$E$7:$AR$302,8,0)))</f>
        <v xml:space="preserve"> </v>
      </c>
      <c r="Y76" s="455">
        <f>IF(ISERROR(VLOOKUP(T76,'Base de Datos'!$E$7:$AR$302,9,0))=TRUE," ",(VLOOKUP(T76,'Base de Datos'!$E$7:$AR$302,9,0)))</f>
        <v>41738</v>
      </c>
      <c r="Z76" s="449">
        <f>IF(ISERROR(VLOOKUP(T76,'Base de Datos'!$E$7:$AR$302,10,0))=TRUE," ",(VLOOKUP(T76,'Base de Datos'!$E$7:$AR$302,10,0)))</f>
        <v>41951</v>
      </c>
      <c r="AA76" s="452">
        <f>IF(ISERROR(VLOOKUP(T76,'Base de Datos'!$E$7:$AR$302,11,0))=TRUE," ",(VLOOKUP(T76,'Base de Datos'!$E$7:$AR$302,11,0)))</f>
        <v>0</v>
      </c>
      <c r="AB76" s="449">
        <f>IF(ISERROR(VLOOKUP(T76,'Base de Datos'!$E$7:$AR$302,12,0))=TRUE," ",(VLOOKUP(T76,'Base de Datos'!$E$7:$AR$302,12,0)))</f>
        <v>0</v>
      </c>
      <c r="AC76" s="449">
        <f>IF(ISERROR(VLOOKUP(T76,'Base de Datos'!$E$7:$AR$302,12,0))=TRUE," ",(VLOOKUP(T76,'Base de Datos'!$E$7:$AR$302,12,0)))</f>
        <v>0</v>
      </c>
      <c r="AD76" s="455" t="str">
        <f>IF(ISERROR(VLOOKUP(T76,'Base de Datos'!$E$7:$AR$302,15,0))=TRUE," ",(VLOOKUP(T76,'Base de Datos'!$E$7:$AR$302,15,0)))</f>
        <v/>
      </c>
      <c r="AE76" s="460">
        <f>IF(ISERROR(VLOOKUP(T76,'Base de Datos'!$E$7:$AR$302,16,0))=TRUE," ",(VLOOKUP(T76,'Base de Datos'!$E$7:$AR$302,16,0)))</f>
        <v>41951</v>
      </c>
      <c r="AF76" s="460">
        <f>IF(ISERROR(VLOOKUP(T76,'Base de Datos'!$E$7:$AR$302,17,0))=TRUE," ",(VLOOKUP(T76,'Base de Datos'!$E$7:$AR$302,17,0)))</f>
        <v>28000000</v>
      </c>
      <c r="AG76" s="460">
        <f>IF(ISERROR(VLOOKUP(T76,'Base de Datos'!$E$7:$AR$302,18,0))=TRUE," ",(VLOOKUP(T76,'Base de Datos'!$E$7:$AR$302,18,0)))</f>
        <v>10978240</v>
      </c>
      <c r="AH76" s="461" t="str">
        <f>IF(ISERROR(VLOOKUP(T76,'Base de Datos'!$E$7:$AR$302,20,0))=TRUE," ",(VLOOKUP(T76,'Base de Datos'!$E$7:$AR$302,20,0)))</f>
        <v>Los mantenimientos correctivos y el suministro de repuestos y/o elementos se cancelarán mensualmente de acuerdo con los servicios efectivamente prestados.</v>
      </c>
      <c r="AI76" s="461">
        <f>IF(ISERROR(VLOOKUP(T76,'Base de Datos'!$E$7:$AR$302,21,0))=TRUE," ",(VLOOKUP(T76,'Base de Datos'!$E$7:$AR$302,21,0)))</f>
        <v>0.39207999999999998</v>
      </c>
      <c r="AJ76" s="455">
        <v>42093</v>
      </c>
      <c r="AK76" s="450" t="str">
        <f>IF(ISERROR(VLOOKUP(D76,'Base de Datos'!$C$7:$AR$400,2,0))=TRUE," ",(VLOOKUP(D76,'Base de Datos'!$C$7:$AR$400,2,0)))</f>
        <v>2015176</v>
      </c>
      <c r="AL76" s="450" t="str">
        <f>IF(ISERROR(VLOOKUP(D76,'Base de Datos'!$C$7:$AR$400,3,0))=TRUE," ",(VLOOKUP(D76,'Base de Datos'!$C$7:$AR$400,3,0)))</f>
        <v>150141-0-2015</v>
      </c>
      <c r="AM76" s="453" t="str">
        <f>IF(ISERROR(VLOOKUP(D76,'Base de Datos'!$C$7:$AR$3761,6,0))=TRUE," ",(VLOOKUP(D76,'Base de Datos'!$C$7:$AR$400,6,0)))</f>
        <v>Prestar el servicio de mantenimiento correctivo incluyendo suministro de repuestos y/o elementos nuevos que requieran las sillas existentes en el Concejo de Bogotá, D.C.</v>
      </c>
      <c r="AN76" s="453">
        <f>IF(ISERROR(VLOOKUP(D76,'Base de Datos'!$C$7:$AR$400,20,0))=TRUE," ",(VLOOKUP(D76,'Base de Datos'!$C$7:$AR$400,19,0)))</f>
        <v>28000000</v>
      </c>
      <c r="AO76" s="456">
        <f>IF(ISERROR(VLOOKUP(D76,'Base de Datos'!$C$7:$AR$400,9,0))=TRUE," ",(VLOOKUP(D76,'Base de Datos'!$C$7:$AR$400,9,0)))</f>
        <v>2015</v>
      </c>
      <c r="AP76" s="456">
        <f>IF(ISERROR(VLOOKUP(D76,'Base de Datos'!$C$7:$AR$400,10,0))=TRUE," ",(VLOOKUP(D76,'Base de Datos'!$C$7:$AR$400,10,0)))</f>
        <v>42093</v>
      </c>
      <c r="AQ76" s="458">
        <f>IF(ISERROR(VLOOKUP(D76,'Base de Datos'!$C$7:$AR$400,11,0))=TRUE," ",(VLOOKUP(D76,'Base de Datos'!$C$7:$AR$400,11,0)))</f>
        <v>42116</v>
      </c>
      <c r="AR76" s="459">
        <f>IF(ISERROR(VLOOKUP(D76,'Base de Datos'!$C$7:$AR$400,12,0))=TRUE," ",(VLOOKUP(D76,'Base de Datos'!$C$7:$AR$400,12,0)))</f>
        <v>42482</v>
      </c>
      <c r="AS76" s="458">
        <f>IF(ISERROR(VLOOKUP(D76,'Base de Datos'!$C$7:$AR$400,13,0))=TRUE," ",(VLOOKUP(D76,'Base de Datos'!$C$7:$AR$400,13,0)))</f>
        <v>0</v>
      </c>
      <c r="AT76" s="458">
        <f>IF(ISERROR(VLOOKUP(D76,'Base de Datos'!$C$7:$AR$400,14,0))=TRUE," ",(VLOOKUP(D76,'Base de Datos'!$C$7:$AR$400,14,0)))</f>
        <v>0</v>
      </c>
      <c r="AU76" s="456" t="str">
        <f>IF(ISERROR(VLOOKUP(D76,'Base de Datos'!$C$7:$AR$400,16,0))=TRUE," ",(VLOOKUP(D76,'Base de Datos'!$C$7:$AR$400,16,0)))</f>
        <v/>
      </c>
      <c r="AV76" s="460" t="str">
        <f>IF(ISERROR(VLOOKUP(D76,'Base de Datos'!$C$7:$AR$400,17,0))=TRUE," ",(VLOOKUP(D76,'Base de Datos'!$C$7:$AR$400,17,0)))</f>
        <v/>
      </c>
      <c r="AW76" s="460">
        <f>IF(ISERROR(VLOOKUP(D76,'Base de Datos'!$C$7:$AR$400,18,0))=TRUE," ",(VLOOKUP(D76,'Base de Datos'!$C$7:$AR$400,18,0)))</f>
        <v>42482</v>
      </c>
      <c r="AX76" s="460">
        <f>IF(ISERROR(VLOOKUP(D76,'Base de Datos'!$C$7:$AR$400,19,0))=TRUE," ",(VLOOKUP(D76,'Base de Datos'!$C$7:$AR$400,19,0)))</f>
        <v>28000000</v>
      </c>
      <c r="AY76" s="463">
        <f>IF(ISERROR(VLOOKUP(D76,'Base de Datos'!$C$7:$AR$400,21,0))=TRUE," ",(VLOOKUP(D76,'Base de Datos'!$C$7:$AR$400,21,0)))</f>
        <v>342</v>
      </c>
      <c r="AZ76" s="463" t="str">
        <f>IF(ISERROR(VLOOKUP(D76,'Base de Datos'!$C$7:$AR$400,22,0))=TRUE," ",(VLOOKUP(D76,'Base de Datos'!$C$7:$AR$400,22,0)))</f>
        <v>Pagos mensuales con los servicios efectivamente pretados.</v>
      </c>
      <c r="BA76" s="470"/>
      <c r="BB76" s="480"/>
    </row>
    <row r="77" spans="2:54" ht="55.5" hidden="1" customHeight="1" x14ac:dyDescent="0.25">
      <c r="B77" s="433">
        <v>70</v>
      </c>
      <c r="C77" s="441" t="s">
        <v>1642</v>
      </c>
      <c r="D77" s="433">
        <v>177</v>
      </c>
      <c r="E77" s="441" t="s">
        <v>1655</v>
      </c>
      <c r="F77" s="442">
        <f>VLOOKUP(D77,'Presupuesto - PAA 2015'!$B$10:$E$265,4,0)</f>
        <v>11000000</v>
      </c>
      <c r="G77" s="434" t="str">
        <f>VLOOKUP(D77,'[4]Seguimiento Plan'!$C$2:$R$101,16,0)</f>
        <v>Prestar los servicios de mantenimiento preventivo y correctivo al sistema eléctrico del  Centro Administrativo Distrital CAD y al sistema de generación y transferencia eléctrica de emergencia  del Concejo de Bogotá, DC.</v>
      </c>
      <c r="H77" s="434" t="s">
        <v>1776</v>
      </c>
      <c r="I77" s="434" t="s">
        <v>1710</v>
      </c>
      <c r="J77" s="443" t="s">
        <v>913</v>
      </c>
      <c r="K77" s="444" t="s">
        <v>390</v>
      </c>
      <c r="L77" s="444" t="str">
        <f>VLOOKUP(D77,'[4]Seguimiento Plan'!$C$2:$AJ$101,30,0)</f>
        <v>SI</v>
      </c>
      <c r="M77" s="445">
        <f>VLOOKUP(D77,'[4]Seguimiento Plan'!$C$2:$AJ$101,31,0)</f>
        <v>42033</v>
      </c>
      <c r="N77" s="444"/>
      <c r="O77" s="446"/>
      <c r="P77" s="446"/>
      <c r="Q77" s="466">
        <v>42082</v>
      </c>
      <c r="R77" s="525"/>
      <c r="S77" s="465" t="s">
        <v>1754</v>
      </c>
      <c r="T77" s="343" t="s">
        <v>400</v>
      </c>
      <c r="U77" s="450" t="str">
        <f>IF(ISERROR(VLOOKUP(T77,'Base de Datos'!$E$7:$AR$302,3,0))=TRUE," ",(VLOOKUP(T77,'Base de Datos'!$E$7:$AR$302,2,0)))</f>
        <v>SODINLEC LTDA</v>
      </c>
      <c r="V77" s="453">
        <f>IF(ISERROR(VLOOKUP(T77,'Base de Datos'!$E$7:$AR$302,5,0))=TRUE," ",(VLOOKUP(T77,'Base de Datos'!$E$7:$AR$302,5,0)))</f>
        <v>10564000</v>
      </c>
      <c r="W77" s="450">
        <f>IF(ISERROR(VLOOKUP(T77,'Base de Datos'!$E$7:$AR$302,19,0))=TRUE," ",(VLOOKUP(T77,'Base de Datos'!$E$7:$AR$302,19,0)))</f>
        <v>508843</v>
      </c>
      <c r="X77" s="455" t="str">
        <f>IF(ISERROR(VLOOKUP(T77,'Base de Datos'!$E$7:$AR$302,8,0))=TRUE," ",(VLOOKUP(T77,'Base de Datos'!$E$7:$AR$302,8,0)))</f>
        <v xml:space="preserve"> </v>
      </c>
      <c r="Y77" s="455">
        <f>IF(ISERROR(VLOOKUP(T77,'Base de Datos'!$E$7:$AR$302,9,0))=TRUE," ",(VLOOKUP(T77,'Base de Datos'!$E$7:$AR$302,9,0)))</f>
        <v>41793</v>
      </c>
      <c r="Z77" s="449">
        <f>IF(ISERROR(VLOOKUP(T77,'Base de Datos'!$E$7:$AR$302,10,0))=TRUE," ",(VLOOKUP(T77,'Base de Datos'!$E$7:$AR$302,10,0)))</f>
        <v>42096</v>
      </c>
      <c r="AA77" s="452">
        <f>IF(ISERROR(VLOOKUP(T77,'Base de Datos'!$E$7:$AR$302,11,0))=TRUE," ",(VLOOKUP(T77,'Base de Datos'!$E$7:$AR$302,11,0)))</f>
        <v>0</v>
      </c>
      <c r="AB77" s="449">
        <f>IF(ISERROR(VLOOKUP(T77,'Base de Datos'!$E$7:$AR$302,12,0))=TRUE," ",(VLOOKUP(T77,'Base de Datos'!$E$7:$AR$302,12,0)))</f>
        <v>0</v>
      </c>
      <c r="AC77" s="449">
        <f>IF(ISERROR(VLOOKUP(T77,'Base de Datos'!$E$7:$AR$302,12,0))=TRUE," ",(VLOOKUP(T77,'Base de Datos'!$E$7:$AR$302,12,0)))</f>
        <v>0</v>
      </c>
      <c r="AD77" s="455" t="str">
        <f>IF(ISERROR(VLOOKUP(T77,'Base de Datos'!$E$7:$AR$302,15,0))=TRUE," ",(VLOOKUP(T77,'Base de Datos'!$E$7:$AR$302,15,0)))</f>
        <v/>
      </c>
      <c r="AE77" s="460">
        <f>IF(ISERROR(VLOOKUP(T77,'Base de Datos'!$E$7:$AR$302,16,0))=TRUE," ",(VLOOKUP(T77,'Base de Datos'!$E$7:$AR$302,16,0)))</f>
        <v>42096</v>
      </c>
      <c r="AF77" s="460">
        <f>IF(ISERROR(VLOOKUP(T77,'Base de Datos'!$E$7:$AR$302,17,0))=TRUE," ",(VLOOKUP(T77,'Base de Datos'!$E$7:$AR$302,17,0)))</f>
        <v>10564000</v>
      </c>
      <c r="AG77" s="460">
        <f>IF(ISERROR(VLOOKUP(T77,'Base de Datos'!$E$7:$AR$302,18,0))=TRUE," ",(VLOOKUP(T77,'Base de Datos'!$E$7:$AR$302,18,0)))</f>
        <v>10055157</v>
      </c>
      <c r="AH77" s="461" t="str">
        <f>IF(ISERROR(VLOOKUP(T77,'Base de Datos'!$E$7:$AR$302,20,0))=TRUE," ",(VLOOKUP(T77,'Base de Datos'!$E$7:$AR$302,20,0)))</f>
        <v xml:space="preserve">Los pagos se realizarán cada dos (2) meses de acuerdo a los servicios efectivamente prestados por concepto de mantenimiento preventivo y correctivo. Los insumos y repuestos se cancelarán de acuerdo a la demanda requerida en el respectivo periodo, manteniendo los precios ofrecidos con la propuesta, previa presentación del informe de los servicios prestados por parte del contratista y certificación de cumplimiento y recibo a satisfacción del servicio, expedida por el supervisor del contrato en la cual se indique el valor a pagar al contratista.
</v>
      </c>
      <c r="AI77" s="461">
        <f>IF(ISERROR(VLOOKUP(T77,'Base de Datos'!$E$7:$AR$302,21,0))=TRUE," ",(VLOOKUP(T77,'Base de Datos'!$E$7:$AR$302,21,0)))</f>
        <v>0.95183235516849674</v>
      </c>
      <c r="AJ77" s="464">
        <v>42109</v>
      </c>
      <c r="AK77" s="450" t="str">
        <f>IF(ISERROR(VLOOKUP(D77,'Base de Datos'!$C$7:$AR$400,2,0))=TRUE," ",(VLOOKUP(D77,'Base de Datos'!$C$7:$AR$400,2,0)))</f>
        <v>2015177</v>
      </c>
      <c r="AL77" s="450" t="str">
        <f>IF(ISERROR(VLOOKUP(D77,'Base de Datos'!$C$7:$AR$400,3,0))=TRUE," ",(VLOOKUP(D77,'Base de Datos'!$C$7:$AR$400,3,0)))</f>
        <v>150193-0-2015</v>
      </c>
      <c r="AM77" s="453" t="str">
        <f>IF(ISERROR(VLOOKUP(D77,'Base de Datos'!$C$7:$AR$3761,6,0))=TRUE," ",(VLOOKUP(D77,'Base de Datos'!$C$7:$AR$400,6,0)))</f>
        <v>Prestar el servicio de mantenimiento preventivo y correctivo al Sistema Eléctrico del Centro Administrativo Distrital CAD y al Sistema de Generación y Transferencia Eléctrica de Emergencia del Concejo de Bogotá, D.C., de conformidad con lo establecido en la presente invitación pública.</v>
      </c>
      <c r="AN77" s="453">
        <f>IF(ISERROR(VLOOKUP(D77,'Base de Datos'!$C$7:$AR$400,20,0))=TRUE," ",(VLOOKUP(D77,'Base de Datos'!$C$7:$AR$400,19,0)))</f>
        <v>11000000</v>
      </c>
      <c r="AO77" s="456">
        <f>IF(ISERROR(VLOOKUP(D77,'Base de Datos'!$C$7:$AR$400,9,0))=TRUE," ",(VLOOKUP(D77,'Base de Datos'!$C$7:$AR$400,9,0)))</f>
        <v>2015</v>
      </c>
      <c r="AP77" s="456">
        <f>IF(ISERROR(VLOOKUP(D77,'Base de Datos'!$C$7:$AR$400,10,0))=TRUE," ",(VLOOKUP(D77,'Base de Datos'!$C$7:$AR$400,10,0)))</f>
        <v>42109</v>
      </c>
      <c r="AQ77" s="458">
        <f>IF(ISERROR(VLOOKUP(D77,'Base de Datos'!$C$7:$AR$400,11,0))=TRUE," ",(VLOOKUP(D77,'Base de Datos'!$C$7:$AR$400,11,0)))</f>
        <v>42135</v>
      </c>
      <c r="AR77" s="459">
        <f>IF(ISERROR(VLOOKUP(D77,'Base de Datos'!$C$7:$AR$400,12,0))=TRUE," ",(VLOOKUP(D77,'Base de Datos'!$C$7:$AR$400,12,0)))</f>
        <v>42501</v>
      </c>
      <c r="AS77" s="458">
        <f>IF(ISERROR(VLOOKUP(D77,'Base de Datos'!$C$7:$AR$400,13,0))=TRUE," ",(VLOOKUP(D77,'Base de Datos'!$C$7:$AR$400,13,0)))</f>
        <v>0</v>
      </c>
      <c r="AT77" s="458">
        <f>IF(ISERROR(VLOOKUP(D77,'Base de Datos'!$C$7:$AR$400,14,0))=TRUE," ",(VLOOKUP(D77,'Base de Datos'!$C$7:$AR$400,14,0)))</f>
        <v>0</v>
      </c>
      <c r="AU77" s="456" t="str">
        <f>IF(ISERROR(VLOOKUP(D77,'Base de Datos'!$C$7:$AR$400,16,0))=TRUE," ",(VLOOKUP(D77,'Base de Datos'!$C$7:$AR$400,16,0)))</f>
        <v>1 mes</v>
      </c>
      <c r="AV77" s="460">
        <f>IF(ISERROR(VLOOKUP(D77,'Base de Datos'!$C$7:$AR$400,17,0))=TRUE," ",(VLOOKUP(D77,'Base de Datos'!$C$7:$AR$400,17,0)))</f>
        <v>42532</v>
      </c>
      <c r="AW77" s="460">
        <f>IF(ISERROR(VLOOKUP(D77,'Base de Datos'!$C$7:$AR$400,18,0))=TRUE," ",(VLOOKUP(D77,'Base de Datos'!$C$7:$AR$400,18,0)))</f>
        <v>42532</v>
      </c>
      <c r="AX77" s="460">
        <f>IF(ISERROR(VLOOKUP(D77,'Base de Datos'!$C$7:$AR$400,19,0))=TRUE," ",(VLOOKUP(D77,'Base de Datos'!$C$7:$AR$400,19,0)))</f>
        <v>11000000</v>
      </c>
      <c r="AY77" s="463">
        <f>IF(ISERROR(VLOOKUP(D77,'Base de Datos'!$C$7:$AR$400,21,0))=TRUE," ",(VLOOKUP(D77,'Base de Datos'!$C$7:$AR$400,21,0)))</f>
        <v>3513926</v>
      </c>
      <c r="AZ77" s="463" t="str">
        <f>IF(ISERROR(VLOOKUP(D77,'Base de Datos'!$C$7:$AR$400,22,0))=TRUE," ",(VLOOKUP(D77,'Base de Datos'!$C$7:$AR$400,22,0)))</f>
        <v>Cada dos meses con los servicios efectivamente prestados, y la demanda de los insumos y repuestos</v>
      </c>
      <c r="BA77" s="470"/>
      <c r="BB77" s="480"/>
    </row>
    <row r="78" spans="2:54" ht="55.5" hidden="1" customHeight="1" x14ac:dyDescent="0.25">
      <c r="B78" s="433">
        <v>71</v>
      </c>
      <c r="C78" s="441" t="s">
        <v>1642</v>
      </c>
      <c r="D78" s="433">
        <v>178</v>
      </c>
      <c r="E78" s="441" t="s">
        <v>1655</v>
      </c>
      <c r="F78" s="442">
        <f>VLOOKUP(D78,'Presupuesto - PAA 2015'!$B$10:$E$265,4,0)</f>
        <v>3035520</v>
      </c>
      <c r="G78" s="434" t="str">
        <f>VLOOKUP(D78,'[4]Seguimiento Plan'!$C$2:$R$101,16,0)</f>
        <v>Prestar los servicios de mantenimiento con suministro de repuestos para plantas purificadoras de agua semi-industriales de la Secretaría Distrital de Hacienda</v>
      </c>
      <c r="H78" s="434" t="s">
        <v>1776</v>
      </c>
      <c r="I78" s="434" t="s">
        <v>1710</v>
      </c>
      <c r="J78" s="443" t="s">
        <v>909</v>
      </c>
      <c r="K78" s="444" t="s">
        <v>390</v>
      </c>
      <c r="L78" s="444" t="str">
        <f>VLOOKUP(D78,'[4]Seguimiento Plan'!$C$2:$AJ$101,30,0)</f>
        <v>SI</v>
      </c>
      <c r="M78" s="445">
        <f>VLOOKUP(D78,'[4]Seguimiento Plan'!$C$2:$AJ$101,31,0)</f>
        <v>42020</v>
      </c>
      <c r="N78" s="444"/>
      <c r="O78" s="446"/>
      <c r="P78" s="446"/>
      <c r="Q78" s="446"/>
      <c r="R78" s="524"/>
      <c r="S78" s="351" t="s">
        <v>1739</v>
      </c>
      <c r="T78" s="448"/>
      <c r="U78" s="450" t="str">
        <f>IF(ISERROR(VLOOKUP(T78,'Base de Datos'!$E$7:$AR$302,3,0))=TRUE," ",(VLOOKUP(T78,'Base de Datos'!$E$7:$AR$302,2,0)))</f>
        <v xml:space="preserve"> </v>
      </c>
      <c r="V78" s="453" t="str">
        <f>IF(ISERROR(VLOOKUP(T78,'Base de Datos'!$E$7:$AR$302,5,0))=TRUE," ",(VLOOKUP(T78,'Base de Datos'!$E$7:$AR$302,5,0)))</f>
        <v xml:space="preserve"> </v>
      </c>
      <c r="W78" s="450" t="str">
        <f>IF(ISERROR(VLOOKUP(T78,'Base de Datos'!$E$7:$AR$302,19,0))=TRUE," ",(VLOOKUP(T78,'Base de Datos'!$E$7:$AR$302,19,0)))</f>
        <v xml:space="preserve"> </v>
      </c>
      <c r="X78" s="455" t="str">
        <f>IF(ISERROR(VLOOKUP(T78,'Base de Datos'!$E$7:$AR$302,8,0))=TRUE," ",(VLOOKUP(T78,'Base de Datos'!$E$7:$AR$302,8,0)))</f>
        <v xml:space="preserve"> </v>
      </c>
      <c r="Y78" s="455" t="str">
        <f>IF(ISERROR(VLOOKUP(T78,'Base de Datos'!$E$7:$AR$302,9,0))=TRUE," ",(VLOOKUP(T78,'Base de Datos'!$E$7:$AR$302,9,0)))</f>
        <v xml:space="preserve"> </v>
      </c>
      <c r="Z78" s="449" t="str">
        <f>IF(ISERROR(VLOOKUP(T78,'Base de Datos'!$E$7:$AR$302,10,0))=TRUE," ",(VLOOKUP(T78,'Base de Datos'!$E$7:$AR$302,10,0)))</f>
        <v xml:space="preserve"> </v>
      </c>
      <c r="AA78" s="452" t="str">
        <f>IF(ISERROR(VLOOKUP(T78,'Base de Datos'!$E$7:$AR$302,11,0))=TRUE," ",(VLOOKUP(T78,'Base de Datos'!$E$7:$AR$302,11,0)))</f>
        <v xml:space="preserve"> </v>
      </c>
      <c r="AB78" s="449" t="str">
        <f>IF(ISERROR(VLOOKUP(T78,'Base de Datos'!$E$7:$AR$302,12,0))=TRUE," ",(VLOOKUP(T78,'Base de Datos'!$E$7:$AR$302,12,0)))</f>
        <v xml:space="preserve"> </v>
      </c>
      <c r="AC78" s="449" t="str">
        <f>IF(ISERROR(VLOOKUP(T78,'Base de Datos'!$E$7:$AR$302,12,0))=TRUE," ",(VLOOKUP(T78,'Base de Datos'!$E$7:$AR$302,12,0)))</f>
        <v xml:space="preserve"> </v>
      </c>
      <c r="AD78" s="455" t="str">
        <f>IF(ISERROR(VLOOKUP(T78,'Base de Datos'!$E$7:$AR$302,15,0))=TRUE," ",(VLOOKUP(T78,'Base de Datos'!$E$7:$AR$302,15,0)))</f>
        <v xml:space="preserve"> </v>
      </c>
      <c r="AE78" s="460" t="str">
        <f>IF(ISERROR(VLOOKUP(T78,'Base de Datos'!$E$7:$AR$302,16,0))=TRUE," ",(VLOOKUP(T78,'Base de Datos'!$E$7:$AR$302,16,0)))</f>
        <v xml:space="preserve"> </v>
      </c>
      <c r="AF78" s="460" t="str">
        <f>IF(ISERROR(VLOOKUP(T78,'Base de Datos'!$E$7:$AR$302,17,0))=TRUE," ",(VLOOKUP(T78,'Base de Datos'!$E$7:$AR$302,17,0)))</f>
        <v xml:space="preserve"> </v>
      </c>
      <c r="AG78" s="460" t="str">
        <f>IF(ISERROR(VLOOKUP(T78,'Base de Datos'!$E$7:$AR$302,18,0))=TRUE," ",(VLOOKUP(T78,'Base de Datos'!$E$7:$AR$302,18,0)))</f>
        <v xml:space="preserve"> </v>
      </c>
      <c r="AH78" s="461" t="str">
        <f>IF(ISERROR(VLOOKUP(T78,'Base de Datos'!$E$7:$AR$302,20,0))=TRUE," ",(VLOOKUP(T78,'Base de Datos'!$E$7:$AR$302,20,0)))</f>
        <v xml:space="preserve"> </v>
      </c>
      <c r="AI78" s="461" t="str">
        <f>IF(ISERROR(VLOOKUP(T78,'Base de Datos'!$E$7:$AR$302,21,0))=TRUE," ",(VLOOKUP(T78,'Base de Datos'!$E$7:$AR$302,21,0)))</f>
        <v xml:space="preserve"> </v>
      </c>
      <c r="AJ78" s="455">
        <v>42100</v>
      </c>
      <c r="AK78" s="450" t="str">
        <f>IF(ISERROR(VLOOKUP(D78,'Base de Datos'!$C$7:$AR$400,2,0))=TRUE," ",(VLOOKUP(D78,'Base de Datos'!$C$7:$AR$400,2,0)))</f>
        <v>2015178</v>
      </c>
      <c r="AL78" s="450" t="str">
        <f>IF(ISERROR(VLOOKUP(D78,'Base de Datos'!$C$7:$AR$400,3,0))=TRUE," ",(VLOOKUP(D78,'Base de Datos'!$C$7:$AR$400,3,0)))</f>
        <v>150152-0-2015</v>
      </c>
      <c r="AM78" s="453" t="str">
        <f>IF(ISERROR(VLOOKUP(D78,'Base de Datos'!$C$7:$AR$3761,6,0))=TRUE," ",(VLOOKUP(D78,'Base de Datos'!$C$7:$AR$400,6,0)))</f>
        <v>Realizar el mantenimiento preventivo y correctivo de las plantas purificadoras de agua del Concejo de Bogotá, D.C.</v>
      </c>
      <c r="AN78" s="453">
        <f>IF(ISERROR(VLOOKUP(D78,'Base de Datos'!$C$7:$AR$400,20,0))=TRUE," ",(VLOOKUP(D78,'Base de Datos'!$C$7:$AR$400,19,0)))</f>
        <v>3035520</v>
      </c>
      <c r="AO78" s="456">
        <f>IF(ISERROR(VLOOKUP(D78,'Base de Datos'!$C$7:$AR$400,9,0))=TRUE," ",(VLOOKUP(D78,'Base de Datos'!$C$7:$AR$400,9,0)))</f>
        <v>2015</v>
      </c>
      <c r="AP78" s="456">
        <f>IF(ISERROR(VLOOKUP(D78,'Base de Datos'!$C$7:$AR$400,10,0))=TRUE," ",(VLOOKUP(D78,'Base de Datos'!$C$7:$AR$400,10,0)))</f>
        <v>42100</v>
      </c>
      <c r="AQ78" s="458">
        <f>IF(ISERROR(VLOOKUP(D78,'Base de Datos'!$C$7:$AR$400,11,0))=TRUE," ",(VLOOKUP(D78,'Base de Datos'!$C$7:$AR$400,11,0)))</f>
        <v>42121</v>
      </c>
      <c r="AR78" s="459">
        <f>IF(ISERROR(VLOOKUP(D78,'Base de Datos'!$C$7:$AR$400,12,0))=TRUE," ",(VLOOKUP(D78,'Base de Datos'!$C$7:$AR$400,12,0)))</f>
        <v>42487</v>
      </c>
      <c r="AS78" s="458">
        <f>IF(ISERROR(VLOOKUP(D78,'Base de Datos'!$C$7:$AR$400,13,0))=TRUE," ",(VLOOKUP(D78,'Base de Datos'!$C$7:$AR$400,13,0)))</f>
        <v>0</v>
      </c>
      <c r="AT78" s="458">
        <f>IF(ISERROR(VLOOKUP(D78,'Base de Datos'!$C$7:$AR$400,14,0))=TRUE," ",(VLOOKUP(D78,'Base de Datos'!$C$7:$AR$400,14,0)))</f>
        <v>0</v>
      </c>
      <c r="AU78" s="456" t="str">
        <f>IF(ISERROR(VLOOKUP(D78,'Base de Datos'!$C$7:$AR$400,16,0))=TRUE," ",(VLOOKUP(D78,'Base de Datos'!$C$7:$AR$400,16,0)))</f>
        <v/>
      </c>
      <c r="AV78" s="460" t="str">
        <f>IF(ISERROR(VLOOKUP(D78,'Base de Datos'!$C$7:$AR$400,17,0))=TRUE," ",(VLOOKUP(D78,'Base de Datos'!$C$7:$AR$400,17,0)))</f>
        <v/>
      </c>
      <c r="AW78" s="460">
        <f>IF(ISERROR(VLOOKUP(D78,'Base de Datos'!$C$7:$AR$400,18,0))=TRUE," ",(VLOOKUP(D78,'Base de Datos'!$C$7:$AR$400,18,0)))</f>
        <v>42487</v>
      </c>
      <c r="AX78" s="460">
        <f>IF(ISERROR(VLOOKUP(D78,'Base de Datos'!$C$7:$AR$400,19,0))=TRUE," ",(VLOOKUP(D78,'Base de Datos'!$C$7:$AR$400,19,0)))</f>
        <v>3035520</v>
      </c>
      <c r="AY78" s="463">
        <f>IF(ISERROR(VLOOKUP(D78,'Base de Datos'!$C$7:$AR$400,21,0))=TRUE," ",(VLOOKUP(D78,'Base de Datos'!$C$7:$AR$400,21,0)))</f>
        <v>1026509</v>
      </c>
      <c r="AZ78" s="463" t="str">
        <f>IF(ISERROR(VLOOKUP(D78,'Base de Datos'!$C$7:$AR$400,22,0))=TRUE," ",(VLOOKUP(D78,'Base de Datos'!$C$7:$AR$400,22,0)))</f>
        <v>Pagos trimestrales a los servicios prestados</v>
      </c>
      <c r="BA78" s="470"/>
      <c r="BB78" s="480"/>
    </row>
    <row r="79" spans="2:54" ht="55.5" hidden="1" customHeight="1" x14ac:dyDescent="0.25">
      <c r="B79" s="433">
        <v>72</v>
      </c>
      <c r="C79" s="441" t="s">
        <v>1642</v>
      </c>
      <c r="D79" s="433">
        <v>179</v>
      </c>
      <c r="E79" s="441" t="s">
        <v>1657</v>
      </c>
      <c r="F79" s="442">
        <f>VLOOKUP(D79,'Presupuesto - PAA 2015'!$B$10:$E$265,4,0)</f>
        <v>174490259</v>
      </c>
      <c r="G79" s="434" t="str">
        <f>VLOOKUP(D79,'[4]Seguimiento Plan'!$C$2:$R$101,16,0)</f>
        <v>Expedir la pólizas de seguros requeridas para adecuada protección de los bienes de la Secretaría Distrital de Hacienda y del Concejo de Bogotá D.C., así como el seguro de Grupo Vida de los Concejales de Bogotá D.C.</v>
      </c>
      <c r="H79" s="434" t="s">
        <v>1776</v>
      </c>
      <c r="I79" s="434" t="s">
        <v>1710</v>
      </c>
      <c r="J79" s="443" t="s">
        <v>1736</v>
      </c>
      <c r="K79" s="444"/>
      <c r="L79" s="444"/>
      <c r="M79" s="445"/>
      <c r="N79" s="444"/>
      <c r="O79" s="446"/>
      <c r="P79" s="446"/>
      <c r="Q79" s="446"/>
      <c r="R79" s="447"/>
      <c r="S79" s="447"/>
      <c r="T79" s="448"/>
      <c r="U79" s="450" t="str">
        <f>IF(ISERROR(VLOOKUP(T79,'Base de Datos'!$E$7:$AR$302,3,0))=TRUE," ",(VLOOKUP(T79,'Base de Datos'!$E$7:$AR$302,2,0)))</f>
        <v xml:space="preserve"> </v>
      </c>
      <c r="V79" s="453" t="str">
        <f>IF(ISERROR(VLOOKUP(T79,'Base de Datos'!$E$7:$AR$302,5,0))=TRUE," ",(VLOOKUP(T79,'Base de Datos'!$E$7:$AR$302,5,0)))</f>
        <v xml:space="preserve"> </v>
      </c>
      <c r="W79" s="450" t="str">
        <f>IF(ISERROR(VLOOKUP(T79,'Base de Datos'!$E$7:$AR$302,19,0))=TRUE," ",(VLOOKUP(T79,'Base de Datos'!$E$7:$AR$302,19,0)))</f>
        <v xml:space="preserve"> </v>
      </c>
      <c r="X79" s="455" t="str">
        <f>IF(ISERROR(VLOOKUP(T79,'Base de Datos'!$E$7:$AR$302,8,0))=TRUE," ",(VLOOKUP(T79,'Base de Datos'!$E$7:$AR$302,8,0)))</f>
        <v xml:space="preserve"> </v>
      </c>
      <c r="Y79" s="455" t="str">
        <f>IF(ISERROR(VLOOKUP(T79,'Base de Datos'!$E$7:$AR$302,9,0))=TRUE," ",(VLOOKUP(T79,'Base de Datos'!$E$7:$AR$302,9,0)))</f>
        <v xml:space="preserve"> </v>
      </c>
      <c r="Z79" s="449" t="str">
        <f>IF(ISERROR(VLOOKUP(T79,'Base de Datos'!$E$7:$AR$302,10,0))=TRUE," ",(VLOOKUP(T79,'Base de Datos'!$E$7:$AR$302,10,0)))</f>
        <v xml:space="preserve"> </v>
      </c>
      <c r="AA79" s="452" t="str">
        <f>IF(ISERROR(VLOOKUP(T79,'Base de Datos'!$E$7:$AR$302,11,0))=TRUE," ",(VLOOKUP(T79,'Base de Datos'!$E$7:$AR$302,11,0)))</f>
        <v xml:space="preserve"> </v>
      </c>
      <c r="AB79" s="449" t="str">
        <f>IF(ISERROR(VLOOKUP(T79,'Base de Datos'!$E$7:$AR$302,12,0))=TRUE," ",(VLOOKUP(T79,'Base de Datos'!$E$7:$AR$302,12,0)))</f>
        <v xml:space="preserve"> </v>
      </c>
      <c r="AC79" s="449" t="str">
        <f>IF(ISERROR(VLOOKUP(T79,'Base de Datos'!$E$7:$AR$302,12,0))=TRUE," ",(VLOOKUP(T79,'Base de Datos'!$E$7:$AR$302,12,0)))</f>
        <v xml:space="preserve"> </v>
      </c>
      <c r="AD79" s="455" t="str">
        <f>IF(ISERROR(VLOOKUP(T79,'Base de Datos'!$E$7:$AR$302,15,0))=TRUE," ",(VLOOKUP(T79,'Base de Datos'!$E$7:$AR$302,15,0)))</f>
        <v xml:space="preserve"> </v>
      </c>
      <c r="AE79" s="460" t="str">
        <f>IF(ISERROR(VLOOKUP(T79,'Base de Datos'!$E$7:$AR$302,16,0))=TRUE," ",(VLOOKUP(T79,'Base de Datos'!$E$7:$AR$302,16,0)))</f>
        <v xml:space="preserve"> </v>
      </c>
      <c r="AF79" s="460" t="str">
        <f>IF(ISERROR(VLOOKUP(T79,'Base de Datos'!$E$7:$AR$302,17,0))=TRUE," ",(VLOOKUP(T79,'Base de Datos'!$E$7:$AR$302,17,0)))</f>
        <v xml:space="preserve"> </v>
      </c>
      <c r="AG79" s="460" t="str">
        <f>IF(ISERROR(VLOOKUP(T79,'Base de Datos'!$E$7:$AR$302,18,0))=TRUE," ",(VLOOKUP(T79,'Base de Datos'!$E$7:$AR$302,18,0)))</f>
        <v xml:space="preserve"> </v>
      </c>
      <c r="AH79" s="461" t="str">
        <f>IF(ISERROR(VLOOKUP(T79,'Base de Datos'!$E$7:$AR$302,20,0))=TRUE," ",(VLOOKUP(T79,'Base de Datos'!$E$7:$AR$302,20,0)))</f>
        <v xml:space="preserve"> </v>
      </c>
      <c r="AI79" s="461" t="str">
        <f>IF(ISERROR(VLOOKUP(T79,'Base de Datos'!$E$7:$AR$302,21,0))=TRUE," ",(VLOOKUP(T79,'Base de Datos'!$E$7:$AR$302,21,0)))</f>
        <v xml:space="preserve"> </v>
      </c>
      <c r="AJ79" s="450"/>
      <c r="AK79" s="450" t="str">
        <f>IF(ISERROR(VLOOKUP(D79,'Base de Datos'!$C$7:$AR$400,2,0))=TRUE," ",(VLOOKUP(D79,'Base de Datos'!$C$7:$AR$400,2,0)))</f>
        <v>2015179</v>
      </c>
      <c r="AL79" s="450" t="str">
        <f>IF(ISERROR(VLOOKUP(D79,'Base de Datos'!$C$7:$AR$400,3,0))=TRUE," ",(VLOOKUP(D79,'Base de Datos'!$C$7:$AR$400,3,0)))</f>
        <v>150302-0-2015</v>
      </c>
      <c r="AM79" s="453" t="str">
        <f>IF(ISERROR(VLOOKUP(D79,'Base de Datos'!$C$7:$AR$3761,6,0))=TRUE," ",(VLOOKUP(D79,'Base de Datos'!$C$7:$AR$400,6,0)))</f>
        <v xml:space="preserve">Amparar a los CONCEJALES DE BOGOTÁ D.C., mediante el seguro de Grupo Vida, de conformidad con lo establecido en la propuesta presentada por el contratista y lo estipulado en el pliego de condiciones de la Selección Abreviada de Menor Cuantía No. SDH-SAMC-04-2015 </v>
      </c>
      <c r="AN79" s="453">
        <f>IF(ISERROR(VLOOKUP(D79,'Base de Datos'!$C$7:$AR$400,20,0))=TRUE," ",(VLOOKUP(D79,'Base de Datos'!$C$7:$AR$400,19,0)))</f>
        <v>204705978</v>
      </c>
      <c r="AO79" s="456">
        <f>IF(ISERROR(VLOOKUP(D79,'Base de Datos'!$C$7:$AR$400,9,0))=TRUE," ",(VLOOKUP(D79,'Base de Datos'!$C$7:$AR$400,9,0)))</f>
        <v>2015</v>
      </c>
      <c r="AP79" s="456">
        <f>IF(ISERROR(VLOOKUP(D79,'Base de Datos'!$C$7:$AR$400,10,0))=TRUE," ",(VLOOKUP(D79,'Base de Datos'!$C$7:$AR$400,10,0)))</f>
        <v>42187</v>
      </c>
      <c r="AQ79" s="458">
        <f>IF(ISERROR(VLOOKUP(D79,'Base de Datos'!$C$7:$AR$400,11,0))=TRUE," ",(VLOOKUP(D79,'Base de Datos'!$C$7:$AR$400,11,0)))</f>
        <v>0</v>
      </c>
      <c r="AR79" s="459">
        <f>IF(ISERROR(VLOOKUP(D79,'Base de Datos'!$C$7:$AR$400,12,0))=TRUE," ",(VLOOKUP(D79,'Base de Datos'!$C$7:$AR$400,12,0)))</f>
        <v>0</v>
      </c>
      <c r="AS79" s="458">
        <f>IF(ISERROR(VLOOKUP(D79,'Base de Datos'!$C$7:$AR$400,13,0))=TRUE," ",(VLOOKUP(D79,'Base de Datos'!$C$7:$AR$400,13,0)))</f>
        <v>1</v>
      </c>
      <c r="AT79" s="458">
        <f>IF(ISERROR(VLOOKUP(D79,'Base de Datos'!$C$7:$AR$400,14,0))=TRUE," ",(VLOOKUP(D79,'Base de Datos'!$C$7:$AR$400,14,0)))</f>
        <v>18223304</v>
      </c>
      <c r="AU79" s="456" t="str">
        <f>IF(ISERROR(VLOOKUP(D79,'Base de Datos'!$C$7:$AR$400,16,0))=TRUE," ",(VLOOKUP(D79,'Base de Datos'!$C$7:$AR$400,16,0)))</f>
        <v/>
      </c>
      <c r="AV79" s="460" t="str">
        <f>IF(ISERROR(VLOOKUP(D79,'Base de Datos'!$C$7:$AR$400,17,0))=TRUE," ",(VLOOKUP(D79,'Base de Datos'!$C$7:$AR$400,17,0)))</f>
        <v/>
      </c>
      <c r="AW79" s="460">
        <f>IF(ISERROR(VLOOKUP(D79,'Base de Datos'!$C$7:$AR$400,18,0))=TRUE," ",(VLOOKUP(D79,'Base de Datos'!$C$7:$AR$400,18,0)))</f>
        <v>0</v>
      </c>
      <c r="AX79" s="460">
        <f>IF(ISERROR(VLOOKUP(D79,'Base de Datos'!$C$7:$AR$400,19,0))=TRUE," ",(VLOOKUP(D79,'Base de Datos'!$C$7:$AR$400,19,0)))</f>
        <v>204705978</v>
      </c>
      <c r="AY79" s="463">
        <f>IF(ISERROR(VLOOKUP(D79,'Base de Datos'!$C$7:$AR$400,21,0))=TRUE," ",(VLOOKUP(D79,'Base de Datos'!$C$7:$AR$400,21,0)))</f>
        <v>0</v>
      </c>
      <c r="AZ79" s="463" t="str">
        <f>IF(ISERROR(VLOOKUP(D79,'Base de Datos'!$C$7:$AR$400,22,0))=TRUE," ",(VLOOKUP(D79,'Base de Datos'!$C$7:$AR$400,22,0)))</f>
        <v>Dentro de los 60 días posteriores al recibo del original de las pólizas</v>
      </c>
      <c r="BA79" s="470"/>
      <c r="BB79" s="480"/>
    </row>
    <row r="80" spans="2:54" ht="55.5" hidden="1" customHeight="1" x14ac:dyDescent="0.25">
      <c r="B80" s="433">
        <v>73</v>
      </c>
      <c r="C80" s="441" t="s">
        <v>1642</v>
      </c>
      <c r="D80" s="433">
        <v>180</v>
      </c>
      <c r="E80" s="441" t="s">
        <v>1657</v>
      </c>
      <c r="F80" s="442">
        <f>VLOOKUP(D80,'Presupuesto - PAA 2015'!$B$10:$E$265,4,0)</f>
        <v>4201951</v>
      </c>
      <c r="G80" s="434" t="str">
        <f>VLOOKUP(D80,'[4]Seguimiento Plan'!$C$2:$R$101,16,0)</f>
        <v>Expedir las polizas de seguro obligatorio SOAT para los vehículos de la Secretaría Distrital de Hacienda y del Concejo de Bogotá</v>
      </c>
      <c r="H80" s="434" t="s">
        <v>1776</v>
      </c>
      <c r="I80" s="434" t="s">
        <v>1710</v>
      </c>
      <c r="J80" s="443" t="s">
        <v>1735</v>
      </c>
      <c r="K80" s="444"/>
      <c r="L80" s="444"/>
      <c r="M80" s="445"/>
      <c r="N80" s="444"/>
      <c r="O80" s="446"/>
      <c r="P80" s="446"/>
      <c r="Q80" s="446"/>
      <c r="R80" s="447"/>
      <c r="S80" s="447"/>
      <c r="T80" s="139" t="s">
        <v>919</v>
      </c>
      <c r="U80" s="450" t="str">
        <f>IF(ISERROR(VLOOKUP(T80,'Base de Datos'!$E$7:$AR$302,3,0))=TRUE," ",(VLOOKUP(T80,'Base de Datos'!$E$7:$AR$302,2,0)))</f>
        <v>SEGUROS GENERALES SURAMERICANA</v>
      </c>
      <c r="V80" s="453">
        <f>IF(ISERROR(VLOOKUP(T80,'Base de Datos'!$E$7:$AR$302,5,0))=TRUE," ",(VLOOKUP(T80,'Base de Datos'!$E$7:$AR$302,5,0)))</f>
        <v>3846133</v>
      </c>
      <c r="W80" s="450">
        <f>IF(ISERROR(VLOOKUP(T80,'Base de Datos'!$E$7:$AR$302,19,0))=TRUE," ",(VLOOKUP(T80,'Base de Datos'!$E$7:$AR$302,19,0)))</f>
        <v>3846133</v>
      </c>
      <c r="X80" s="455" t="str">
        <f>IF(ISERROR(VLOOKUP(T80,'Base de Datos'!$E$7:$AR$302,8,0))=TRUE," ",(VLOOKUP(T80,'Base de Datos'!$E$7:$AR$302,8,0)))</f>
        <v xml:space="preserve"> </v>
      </c>
      <c r="Y80" s="455">
        <f>IF(ISERROR(VLOOKUP(T80,'Base de Datos'!$E$7:$AR$302,9,0))=TRUE," ",(VLOOKUP(T80,'Base de Datos'!$E$7:$AR$302,9,0)))</f>
        <v>41837</v>
      </c>
      <c r="Z80" s="449">
        <f>IF(ISERROR(VLOOKUP(T80,'Base de Datos'!$E$7:$AR$302,10,0))=TRUE," ",(VLOOKUP(T80,'Base de Datos'!$E$7:$AR$302,10,0)))</f>
        <v>42202</v>
      </c>
      <c r="AA80" s="452">
        <f>IF(ISERROR(VLOOKUP(T80,'Base de Datos'!$E$7:$AR$302,11,0))=TRUE," ",(VLOOKUP(T80,'Base de Datos'!$E$7:$AR$302,11,0)))</f>
        <v>0</v>
      </c>
      <c r="AB80" s="449">
        <f>IF(ISERROR(VLOOKUP(T80,'Base de Datos'!$E$7:$AR$302,12,0))=TRUE," ",(VLOOKUP(T80,'Base de Datos'!$E$7:$AR$302,12,0)))</f>
        <v>0</v>
      </c>
      <c r="AC80" s="449">
        <f>IF(ISERROR(VLOOKUP(T80,'Base de Datos'!$E$7:$AR$302,12,0))=TRUE," ",(VLOOKUP(T80,'Base de Datos'!$E$7:$AR$302,12,0)))</f>
        <v>0</v>
      </c>
      <c r="AD80" s="455" t="str">
        <f>IF(ISERROR(VLOOKUP(T80,'Base de Datos'!$E$7:$AR$302,15,0))=TRUE," ",(VLOOKUP(T80,'Base de Datos'!$E$7:$AR$302,15,0)))</f>
        <v/>
      </c>
      <c r="AE80" s="460">
        <f>IF(ISERROR(VLOOKUP(T80,'Base de Datos'!$E$7:$AR$302,16,0))=TRUE," ",(VLOOKUP(T80,'Base de Datos'!$E$7:$AR$302,16,0)))</f>
        <v>42202</v>
      </c>
      <c r="AF80" s="460">
        <f>IF(ISERROR(VLOOKUP(T80,'Base de Datos'!$E$7:$AR$302,17,0))=TRUE," ",(VLOOKUP(T80,'Base de Datos'!$E$7:$AR$302,17,0)))</f>
        <v>3846133</v>
      </c>
      <c r="AG80" s="460">
        <f>IF(ISERROR(VLOOKUP(T80,'Base de Datos'!$E$7:$AR$302,18,0))=TRUE," ",(VLOOKUP(T80,'Base de Datos'!$E$7:$AR$302,18,0)))</f>
        <v>0</v>
      </c>
      <c r="AH80" s="461">
        <f>IF(ISERROR(VLOOKUP(T80,'Base de Datos'!$E$7:$AR$302,20,0))=TRUE," ",(VLOOKUP(T80,'Base de Datos'!$E$7:$AR$302,20,0)))</f>
        <v>0</v>
      </c>
      <c r="AI80" s="461">
        <f>IF(ISERROR(VLOOKUP(T80,'Base de Datos'!$E$7:$AR$302,21,0))=TRUE," ",(VLOOKUP(T80,'Base de Datos'!$E$7:$AR$302,21,0)))</f>
        <v>0</v>
      </c>
      <c r="AJ80" s="450"/>
      <c r="AK80" s="450" t="str">
        <f>IF(ISERROR(VLOOKUP(D80,'Base de Datos'!$C$7:$AR$400,2,0))=TRUE," ",(VLOOKUP(D80,'Base de Datos'!$C$7:$AR$400,2,0)))</f>
        <v xml:space="preserve"> </v>
      </c>
      <c r="AL80" s="450" t="str">
        <f>IF(ISERROR(VLOOKUP(D80,'Base de Datos'!$C$7:$AR$400,3,0))=TRUE," ",(VLOOKUP(D80,'Base de Datos'!$C$7:$AR$400,3,0)))</f>
        <v xml:space="preserve"> </v>
      </c>
      <c r="AM80" s="453" t="e">
        <f>IF(ISERROR(VLOOKUP(D80,'Base de Datos'!$C$7:$AR$3761,6,0))=TRUE," ",(VLOOKUP(D80,'Base de Datos'!$C$7:$AR$400,6,0)))</f>
        <v>#N/A</v>
      </c>
      <c r="AN80" s="453" t="str">
        <f>IF(ISERROR(VLOOKUP(D80,'Base de Datos'!$C$7:$AR$400,20,0))=TRUE," ",(VLOOKUP(D80,'Base de Datos'!$C$7:$AR$400,19,0)))</f>
        <v xml:space="preserve"> </v>
      </c>
      <c r="AO80" s="456" t="str">
        <f>IF(ISERROR(VLOOKUP(D80,'Base de Datos'!$C$7:$AR$400,9,0))=TRUE," ",(VLOOKUP(D80,'Base de Datos'!$C$7:$AR$400,9,0)))</f>
        <v xml:space="preserve"> </v>
      </c>
      <c r="AP80" s="456" t="str">
        <f>IF(ISERROR(VLOOKUP(D80,'Base de Datos'!$C$7:$AR$400,10,0))=TRUE," ",(VLOOKUP(D80,'Base de Datos'!$C$7:$AR$400,10,0)))</f>
        <v xml:space="preserve"> </v>
      </c>
      <c r="AQ80" s="458" t="str">
        <f>IF(ISERROR(VLOOKUP(D80,'Base de Datos'!$C$7:$AR$400,11,0))=TRUE," ",(VLOOKUP(D80,'Base de Datos'!$C$7:$AR$400,11,0)))</f>
        <v xml:space="preserve"> </v>
      </c>
      <c r="AR80" s="459" t="str">
        <f>IF(ISERROR(VLOOKUP(D80,'Base de Datos'!$C$7:$AR$400,12,0))=TRUE," ",(VLOOKUP(D80,'Base de Datos'!$C$7:$AR$400,12,0)))</f>
        <v xml:space="preserve"> </v>
      </c>
      <c r="AS80" s="458" t="str">
        <f>IF(ISERROR(VLOOKUP(D80,'Base de Datos'!$C$7:$AR$400,13,0))=TRUE," ",(VLOOKUP(D80,'Base de Datos'!$C$7:$AR$400,13,0)))</f>
        <v xml:space="preserve"> </v>
      </c>
      <c r="AT80" s="458" t="str">
        <f>IF(ISERROR(VLOOKUP(D80,'Base de Datos'!$C$7:$AR$400,14,0))=TRUE," ",(VLOOKUP(D80,'Base de Datos'!$C$7:$AR$400,14,0)))</f>
        <v xml:space="preserve"> </v>
      </c>
      <c r="AU80" s="456" t="str">
        <f>IF(ISERROR(VLOOKUP(D80,'Base de Datos'!$C$7:$AR$400,16,0))=TRUE," ",(VLOOKUP(D80,'Base de Datos'!$C$7:$AR$400,16,0)))</f>
        <v xml:space="preserve"> </v>
      </c>
      <c r="AV80" s="460" t="str">
        <f>IF(ISERROR(VLOOKUP(D80,'Base de Datos'!$C$7:$AR$400,17,0))=TRUE," ",(VLOOKUP(D80,'Base de Datos'!$C$7:$AR$400,17,0)))</f>
        <v xml:space="preserve"> </v>
      </c>
      <c r="AW80" s="460" t="str">
        <f>IF(ISERROR(VLOOKUP(D80,'Base de Datos'!$C$7:$AR$400,18,0))=TRUE," ",(VLOOKUP(D80,'Base de Datos'!$C$7:$AR$400,18,0)))</f>
        <v xml:space="preserve"> </v>
      </c>
      <c r="AX80" s="460" t="str">
        <f>IF(ISERROR(VLOOKUP(D80,'Base de Datos'!$C$7:$AR$400,19,0))=TRUE," ",(VLOOKUP(D80,'Base de Datos'!$C$7:$AR$400,19,0)))</f>
        <v xml:space="preserve"> </v>
      </c>
      <c r="AY80" s="463" t="str">
        <f>IF(ISERROR(VLOOKUP(D80,'Base de Datos'!$C$7:$AR$400,21,0))=TRUE," ",(VLOOKUP(D80,'Base de Datos'!$C$7:$AR$400,21,0)))</f>
        <v xml:space="preserve"> </v>
      </c>
      <c r="AZ80" s="463" t="str">
        <f>IF(ISERROR(VLOOKUP(D80,'Base de Datos'!$C$7:$AR$400,22,0))=TRUE," ",(VLOOKUP(D80,'Base de Datos'!$C$7:$AR$400,22,0)))</f>
        <v xml:space="preserve"> </v>
      </c>
      <c r="BA80" s="470"/>
      <c r="BB80" s="480"/>
    </row>
    <row r="81" spans="2:54" ht="55.5" hidden="1" customHeight="1" x14ac:dyDescent="0.25">
      <c r="B81" s="433">
        <v>74</v>
      </c>
      <c r="C81" s="441" t="s">
        <v>1642</v>
      </c>
      <c r="D81" s="433">
        <v>156</v>
      </c>
      <c r="E81" s="441" t="s">
        <v>1658</v>
      </c>
      <c r="F81" s="442">
        <f>VLOOKUP(D81,'Presupuesto - PAA 2015'!$B$10:$E$265,4,0)</f>
        <v>25824000</v>
      </c>
      <c r="G81" s="434" t="str">
        <f>VLOOKUP(D81,'[4]Seguimiento Plan'!$C$2:$R$101,16,0)</f>
        <v>Adición y prorroga al contrato 130342-0-2013 suscrito con POSITIVA COMPAÑIA DE SEGUROS S A para la expedición de la póliza de seguro vida de los  Concejales de Bogotá.</v>
      </c>
      <c r="H81" s="434" t="s">
        <v>1776</v>
      </c>
      <c r="I81" s="434" t="s">
        <v>1710</v>
      </c>
      <c r="J81" s="443" t="s">
        <v>590</v>
      </c>
      <c r="K81" s="444"/>
      <c r="L81" s="444"/>
      <c r="M81" s="445"/>
      <c r="N81" s="444"/>
      <c r="O81" s="446"/>
      <c r="P81" s="446"/>
      <c r="Q81" s="446"/>
      <c r="R81" s="447"/>
      <c r="S81" s="447"/>
      <c r="T81" s="448"/>
      <c r="U81" s="450" t="str">
        <f>IF(ISERROR(VLOOKUP(T81,'Base de Datos'!$E$7:$AR$302,3,0))=TRUE," ",(VLOOKUP(T81,'Base de Datos'!$E$7:$AR$302,2,0)))</f>
        <v xml:space="preserve"> </v>
      </c>
      <c r="V81" s="453" t="str">
        <f>IF(ISERROR(VLOOKUP(T81,'Base de Datos'!$E$7:$AR$302,5,0))=TRUE," ",(VLOOKUP(T81,'Base de Datos'!$E$7:$AR$302,5,0)))</f>
        <v xml:space="preserve"> </v>
      </c>
      <c r="W81" s="450" t="str">
        <f>IF(ISERROR(VLOOKUP(T81,'Base de Datos'!$E$7:$AR$302,19,0))=TRUE," ",(VLOOKUP(T81,'Base de Datos'!$E$7:$AR$302,19,0)))</f>
        <v xml:space="preserve"> </v>
      </c>
      <c r="X81" s="455" t="str">
        <f>IF(ISERROR(VLOOKUP(T81,'Base de Datos'!$E$7:$AR$302,8,0))=TRUE," ",(VLOOKUP(T81,'Base de Datos'!$E$7:$AR$302,8,0)))</f>
        <v xml:space="preserve"> </v>
      </c>
      <c r="Y81" s="455" t="str">
        <f>IF(ISERROR(VLOOKUP(T81,'Base de Datos'!$E$7:$AR$302,9,0))=TRUE," ",(VLOOKUP(T81,'Base de Datos'!$E$7:$AR$302,9,0)))</f>
        <v xml:space="preserve"> </v>
      </c>
      <c r="Z81" s="449" t="str">
        <f>IF(ISERROR(VLOOKUP(T81,'Base de Datos'!$E$7:$AR$302,10,0))=TRUE," ",(VLOOKUP(T81,'Base de Datos'!$E$7:$AR$302,10,0)))</f>
        <v xml:space="preserve"> </v>
      </c>
      <c r="AA81" s="452" t="str">
        <f>IF(ISERROR(VLOOKUP(T81,'Base de Datos'!$E$7:$AR$302,11,0))=TRUE," ",(VLOOKUP(T81,'Base de Datos'!$E$7:$AR$302,11,0)))</f>
        <v xml:space="preserve"> </v>
      </c>
      <c r="AB81" s="449" t="str">
        <f>IF(ISERROR(VLOOKUP(T81,'Base de Datos'!$E$7:$AR$302,12,0))=TRUE," ",(VLOOKUP(T81,'Base de Datos'!$E$7:$AR$302,12,0)))</f>
        <v xml:space="preserve"> </v>
      </c>
      <c r="AC81" s="449" t="str">
        <f>IF(ISERROR(VLOOKUP(T81,'Base de Datos'!$E$7:$AR$302,12,0))=TRUE," ",(VLOOKUP(T81,'Base de Datos'!$E$7:$AR$302,12,0)))</f>
        <v xml:space="preserve"> </v>
      </c>
      <c r="AD81" s="455" t="str">
        <f>IF(ISERROR(VLOOKUP(T81,'Base de Datos'!$E$7:$AR$302,15,0))=TRUE," ",(VLOOKUP(T81,'Base de Datos'!$E$7:$AR$302,15,0)))</f>
        <v xml:space="preserve"> </v>
      </c>
      <c r="AE81" s="460" t="str">
        <f>IF(ISERROR(VLOOKUP(T81,'Base de Datos'!$E$7:$AR$302,16,0))=TRUE," ",(VLOOKUP(T81,'Base de Datos'!$E$7:$AR$302,16,0)))</f>
        <v xml:space="preserve"> </v>
      </c>
      <c r="AF81" s="460" t="str">
        <f>IF(ISERROR(VLOOKUP(T81,'Base de Datos'!$E$7:$AR$302,17,0))=TRUE," ",(VLOOKUP(T81,'Base de Datos'!$E$7:$AR$302,17,0)))</f>
        <v xml:space="preserve"> </v>
      </c>
      <c r="AG81" s="460" t="str">
        <f>IF(ISERROR(VLOOKUP(T81,'Base de Datos'!$E$7:$AR$302,18,0))=TRUE," ",(VLOOKUP(T81,'Base de Datos'!$E$7:$AR$302,18,0)))</f>
        <v xml:space="preserve"> </v>
      </c>
      <c r="AH81" s="461" t="str">
        <f>IF(ISERROR(VLOOKUP(T81,'Base de Datos'!$E$7:$AR$302,20,0))=TRUE," ",(VLOOKUP(T81,'Base de Datos'!$E$7:$AR$302,20,0)))</f>
        <v xml:space="preserve"> </v>
      </c>
      <c r="AI81" s="461" t="str">
        <f>IF(ISERROR(VLOOKUP(T81,'Base de Datos'!$E$7:$AR$302,21,0))=TRUE," ",(VLOOKUP(T81,'Base de Datos'!$E$7:$AR$302,21,0)))</f>
        <v xml:space="preserve"> </v>
      </c>
      <c r="AJ81" s="450"/>
      <c r="AK81" s="450" t="str">
        <f>IF(ISERROR(VLOOKUP(D81,'Base de Datos'!$C$7:$AR$400,2,0))=TRUE," ",(VLOOKUP(D81,'Base de Datos'!$C$7:$AR$400,2,0)))</f>
        <v xml:space="preserve"> </v>
      </c>
      <c r="AL81" s="450" t="str">
        <f>IF(ISERROR(VLOOKUP(D81,'Base de Datos'!$C$7:$AR$400,3,0))=TRUE," ",(VLOOKUP(D81,'Base de Datos'!$C$7:$AR$400,3,0)))</f>
        <v xml:space="preserve"> </v>
      </c>
      <c r="AM81" s="453" t="e">
        <f>IF(ISERROR(VLOOKUP(D81,'Base de Datos'!$C$7:$AR$3761,6,0))=TRUE," ",(VLOOKUP(D81,'Base de Datos'!$C$7:$AR$400,6,0)))</f>
        <v>#N/A</v>
      </c>
      <c r="AN81" s="453" t="str">
        <f>IF(ISERROR(VLOOKUP(D81,'Base de Datos'!$C$7:$AR$400,20,0))=TRUE," ",(VLOOKUP(D81,'Base de Datos'!$C$7:$AR$400,19,0)))</f>
        <v xml:space="preserve"> </v>
      </c>
      <c r="AO81" s="456" t="str">
        <f>IF(ISERROR(VLOOKUP(D81,'Base de Datos'!$C$7:$AR$400,9,0))=TRUE," ",(VLOOKUP(D81,'Base de Datos'!$C$7:$AR$400,9,0)))</f>
        <v xml:space="preserve"> </v>
      </c>
      <c r="AP81" s="456" t="str">
        <f>IF(ISERROR(VLOOKUP(D81,'Base de Datos'!$C$7:$AR$400,10,0))=TRUE," ",(VLOOKUP(D81,'Base de Datos'!$C$7:$AR$400,10,0)))</f>
        <v xml:space="preserve"> </v>
      </c>
      <c r="AQ81" s="458" t="str">
        <f>IF(ISERROR(VLOOKUP(D81,'Base de Datos'!$C$7:$AR$400,11,0))=TRUE," ",(VLOOKUP(D81,'Base de Datos'!$C$7:$AR$400,11,0)))</f>
        <v xml:space="preserve"> </v>
      </c>
      <c r="AR81" s="459" t="str">
        <f>IF(ISERROR(VLOOKUP(D81,'Base de Datos'!$C$7:$AR$400,12,0))=TRUE," ",(VLOOKUP(D81,'Base de Datos'!$C$7:$AR$400,12,0)))</f>
        <v xml:space="preserve"> </v>
      </c>
      <c r="AS81" s="458" t="str">
        <f>IF(ISERROR(VLOOKUP(D81,'Base de Datos'!$C$7:$AR$400,13,0))=TRUE," ",(VLOOKUP(D81,'Base de Datos'!$C$7:$AR$400,13,0)))</f>
        <v xml:space="preserve"> </v>
      </c>
      <c r="AT81" s="458" t="str">
        <f>IF(ISERROR(VLOOKUP(D81,'Base de Datos'!$C$7:$AR$400,14,0))=TRUE," ",(VLOOKUP(D81,'Base de Datos'!$C$7:$AR$400,14,0)))</f>
        <v xml:space="preserve"> </v>
      </c>
      <c r="AU81" s="456" t="str">
        <f>IF(ISERROR(VLOOKUP(D81,'Base de Datos'!$C$7:$AR$400,16,0))=TRUE," ",(VLOOKUP(D81,'Base de Datos'!$C$7:$AR$400,16,0)))</f>
        <v xml:space="preserve"> </v>
      </c>
      <c r="AV81" s="460" t="str">
        <f>IF(ISERROR(VLOOKUP(D81,'Base de Datos'!$C$7:$AR$400,17,0))=TRUE," ",(VLOOKUP(D81,'Base de Datos'!$C$7:$AR$400,17,0)))</f>
        <v xml:space="preserve"> </v>
      </c>
      <c r="AW81" s="460" t="str">
        <f>IF(ISERROR(VLOOKUP(D81,'Base de Datos'!$C$7:$AR$400,18,0))=TRUE," ",(VLOOKUP(D81,'Base de Datos'!$C$7:$AR$400,18,0)))</f>
        <v xml:space="preserve"> </v>
      </c>
      <c r="AX81" s="460" t="str">
        <f>IF(ISERROR(VLOOKUP(D81,'Base de Datos'!$C$7:$AR$400,19,0))=TRUE," ",(VLOOKUP(D81,'Base de Datos'!$C$7:$AR$400,19,0)))</f>
        <v xml:space="preserve"> </v>
      </c>
      <c r="AY81" s="463" t="str">
        <f>IF(ISERROR(VLOOKUP(D81,'Base de Datos'!$C$7:$AR$400,21,0))=TRUE," ",(VLOOKUP(D81,'Base de Datos'!$C$7:$AR$400,21,0)))</f>
        <v xml:space="preserve"> </v>
      </c>
      <c r="AZ81" s="463" t="str">
        <f>IF(ISERROR(VLOOKUP(D81,'Base de Datos'!$C$7:$AR$400,22,0))=TRUE," ",(VLOOKUP(D81,'Base de Datos'!$C$7:$AR$400,22,0)))</f>
        <v xml:space="preserve"> </v>
      </c>
      <c r="BA81" s="470"/>
      <c r="BB81" s="480"/>
    </row>
    <row r="82" spans="2:54" ht="55.5" hidden="1" customHeight="1" x14ac:dyDescent="0.25">
      <c r="B82" s="433">
        <v>75</v>
      </c>
      <c r="C82" s="441" t="s">
        <v>1642</v>
      </c>
      <c r="D82" s="433">
        <v>179</v>
      </c>
      <c r="E82" s="441" t="s">
        <v>1658</v>
      </c>
      <c r="F82" s="442">
        <f>VLOOKUP(D82,'Presupuesto - PAA 2015'!$B$10:$E$265,4,0)</f>
        <v>174490259</v>
      </c>
      <c r="G82" s="434" t="str">
        <f>VLOOKUP(D82,'[4]Seguimiento Plan'!$C$2:$R$101,16,0)</f>
        <v>Expedir la pólizas de seguros requeridas para adecuada protección de los bienes de la Secretaría Distrital de Hacienda y del Concejo de Bogotá D.C., así como el seguro de Grupo Vida de los Concejales de Bogotá D.C.</v>
      </c>
      <c r="H82" s="434" t="s">
        <v>1776</v>
      </c>
      <c r="I82" s="434" t="s">
        <v>1710</v>
      </c>
      <c r="J82" s="443" t="s">
        <v>1736</v>
      </c>
      <c r="K82" s="444" t="s">
        <v>390</v>
      </c>
      <c r="L82" s="444"/>
      <c r="M82" s="445"/>
      <c r="N82" s="444"/>
      <c r="O82" s="446"/>
      <c r="P82" s="446"/>
      <c r="Q82" s="446"/>
      <c r="R82" s="447"/>
      <c r="S82" s="713" t="s">
        <v>2072</v>
      </c>
      <c r="T82" s="448"/>
      <c r="U82" s="450" t="str">
        <f>IF(ISERROR(VLOOKUP(T82,'Base de Datos'!$E$7:$AR$302,3,0))=TRUE," ",(VLOOKUP(T82,'Base de Datos'!$E$7:$AR$302,2,0)))</f>
        <v xml:space="preserve"> </v>
      </c>
      <c r="V82" s="453" t="str">
        <f>IF(ISERROR(VLOOKUP(T82,'Base de Datos'!$E$7:$AR$302,5,0))=TRUE," ",(VLOOKUP(T82,'Base de Datos'!$E$7:$AR$302,5,0)))</f>
        <v xml:space="preserve"> </v>
      </c>
      <c r="W82" s="450" t="str">
        <f>IF(ISERROR(VLOOKUP(T82,'Base de Datos'!$E$7:$AR$302,19,0))=TRUE," ",(VLOOKUP(T82,'Base de Datos'!$E$7:$AR$302,19,0)))</f>
        <v xml:space="preserve"> </v>
      </c>
      <c r="X82" s="455" t="str">
        <f>IF(ISERROR(VLOOKUP(T82,'Base de Datos'!$E$7:$AR$302,8,0))=TRUE," ",(VLOOKUP(T82,'Base de Datos'!$E$7:$AR$302,8,0)))</f>
        <v xml:space="preserve"> </v>
      </c>
      <c r="Y82" s="455" t="str">
        <f>IF(ISERROR(VLOOKUP(T82,'Base de Datos'!$E$7:$AR$302,9,0))=TRUE," ",(VLOOKUP(T82,'Base de Datos'!$E$7:$AR$302,9,0)))</f>
        <v xml:space="preserve"> </v>
      </c>
      <c r="Z82" s="449" t="str">
        <f>IF(ISERROR(VLOOKUP(T82,'Base de Datos'!$E$7:$AR$302,10,0))=TRUE," ",(VLOOKUP(T82,'Base de Datos'!$E$7:$AR$302,10,0)))</f>
        <v xml:space="preserve"> </v>
      </c>
      <c r="AA82" s="452" t="str">
        <f>IF(ISERROR(VLOOKUP(T82,'Base de Datos'!$E$7:$AR$302,11,0))=TRUE," ",(VLOOKUP(T82,'Base de Datos'!$E$7:$AR$302,11,0)))</f>
        <v xml:space="preserve"> </v>
      </c>
      <c r="AB82" s="449" t="str">
        <f>IF(ISERROR(VLOOKUP(T82,'Base de Datos'!$E$7:$AR$302,12,0))=TRUE," ",(VLOOKUP(T82,'Base de Datos'!$E$7:$AR$302,12,0)))</f>
        <v xml:space="preserve"> </v>
      </c>
      <c r="AC82" s="449" t="str">
        <f>IF(ISERROR(VLOOKUP(T82,'Base de Datos'!$E$7:$AR$302,12,0))=TRUE," ",(VLOOKUP(T82,'Base de Datos'!$E$7:$AR$302,12,0)))</f>
        <v xml:space="preserve"> </v>
      </c>
      <c r="AD82" s="455" t="str">
        <f>IF(ISERROR(VLOOKUP(T82,'Base de Datos'!$E$7:$AR$302,15,0))=TRUE," ",(VLOOKUP(T82,'Base de Datos'!$E$7:$AR$302,15,0)))</f>
        <v xml:space="preserve"> </v>
      </c>
      <c r="AE82" s="460" t="str">
        <f>IF(ISERROR(VLOOKUP(T82,'Base de Datos'!$E$7:$AR$302,16,0))=TRUE," ",(VLOOKUP(T82,'Base de Datos'!$E$7:$AR$302,16,0)))</f>
        <v xml:space="preserve"> </v>
      </c>
      <c r="AF82" s="460" t="str">
        <f>IF(ISERROR(VLOOKUP(T82,'Base de Datos'!$E$7:$AR$302,17,0))=TRUE," ",(VLOOKUP(T82,'Base de Datos'!$E$7:$AR$302,17,0)))</f>
        <v xml:space="preserve"> </v>
      </c>
      <c r="AG82" s="460" t="str">
        <f>IF(ISERROR(VLOOKUP(T82,'Base de Datos'!$E$7:$AR$302,18,0))=TRUE," ",(VLOOKUP(T82,'Base de Datos'!$E$7:$AR$302,18,0)))</f>
        <v xml:space="preserve"> </v>
      </c>
      <c r="AH82" s="461" t="str">
        <f>IF(ISERROR(VLOOKUP(T82,'Base de Datos'!$E$7:$AR$302,20,0))=TRUE," ",(VLOOKUP(T82,'Base de Datos'!$E$7:$AR$302,20,0)))</f>
        <v xml:space="preserve"> </v>
      </c>
      <c r="AI82" s="461" t="str">
        <f>IF(ISERROR(VLOOKUP(T82,'Base de Datos'!$E$7:$AR$302,21,0))=TRUE," ",(VLOOKUP(T82,'Base de Datos'!$E$7:$AR$302,21,0)))</f>
        <v xml:space="preserve"> </v>
      </c>
      <c r="AJ82" s="464">
        <v>42187</v>
      </c>
      <c r="AK82" s="450" t="str">
        <f>IF(ISERROR(VLOOKUP(D82,'Base de Datos'!$C$7:$AR$400,2,0))=TRUE," ",(VLOOKUP(D82,'Base de Datos'!$C$7:$AR$400,2,0)))</f>
        <v>2015179</v>
      </c>
      <c r="AL82" s="450" t="str">
        <f>IF(ISERROR(VLOOKUP(D82,'Base de Datos'!$C$7:$AR$400,3,0))=TRUE," ",(VLOOKUP(D82,'Base de Datos'!$C$7:$AR$400,3,0)))</f>
        <v>150302-0-2015</v>
      </c>
      <c r="AM82" s="453" t="str">
        <f>IF(ISERROR(VLOOKUP(D82,'Base de Datos'!$C$7:$AR$3761,6,0))=TRUE," ",(VLOOKUP(D82,'Base de Datos'!$C$7:$AR$400,6,0)))</f>
        <v xml:space="preserve">Amparar a los CONCEJALES DE BOGOTÁ D.C., mediante el seguro de Grupo Vida, de conformidad con lo establecido en la propuesta presentada por el contratista y lo estipulado en el pliego de condiciones de la Selección Abreviada de Menor Cuantía No. SDH-SAMC-04-2015 </v>
      </c>
      <c r="AN82" s="453">
        <f>IF(ISERROR(VLOOKUP(D82,'Base de Datos'!$C$7:$AR$400,20,0))=TRUE," ",(VLOOKUP(D82,'Base de Datos'!$C$7:$AR$400,19,0)))</f>
        <v>204705978</v>
      </c>
      <c r="AO82" s="456">
        <f>IF(ISERROR(VLOOKUP(D82,'Base de Datos'!$C$7:$AR$400,9,0))=TRUE," ",(VLOOKUP(D82,'Base de Datos'!$C$7:$AR$400,9,0)))</f>
        <v>2015</v>
      </c>
      <c r="AP82" s="456">
        <f>IF(ISERROR(VLOOKUP(D82,'Base de Datos'!$C$7:$AR$400,10,0))=TRUE," ",(VLOOKUP(D82,'Base de Datos'!$C$7:$AR$400,10,0)))</f>
        <v>42187</v>
      </c>
      <c r="AQ82" s="458">
        <f>IF(ISERROR(VLOOKUP(D82,'Base de Datos'!$C$7:$AR$400,11,0))=TRUE," ",(VLOOKUP(D82,'Base de Datos'!$C$7:$AR$400,11,0)))</f>
        <v>0</v>
      </c>
      <c r="AR82" s="459">
        <f>IF(ISERROR(VLOOKUP(D82,'Base de Datos'!$C$7:$AR$400,12,0))=TRUE," ",(VLOOKUP(D82,'Base de Datos'!$C$7:$AR$400,12,0)))</f>
        <v>0</v>
      </c>
      <c r="AS82" s="458">
        <f>IF(ISERROR(VLOOKUP(D82,'Base de Datos'!$C$7:$AR$400,13,0))=TRUE," ",(VLOOKUP(D82,'Base de Datos'!$C$7:$AR$400,13,0)))</f>
        <v>1</v>
      </c>
      <c r="AT82" s="458">
        <f>IF(ISERROR(VLOOKUP(D82,'Base de Datos'!$C$7:$AR$400,14,0))=TRUE," ",(VLOOKUP(D82,'Base de Datos'!$C$7:$AR$400,14,0)))</f>
        <v>18223304</v>
      </c>
      <c r="AU82" s="456" t="str">
        <f>IF(ISERROR(VLOOKUP(D82,'Base de Datos'!$C$7:$AR$400,16,0))=TRUE," ",(VLOOKUP(D82,'Base de Datos'!$C$7:$AR$400,16,0)))</f>
        <v/>
      </c>
      <c r="AV82" s="460" t="str">
        <f>IF(ISERROR(VLOOKUP(D82,'Base de Datos'!$C$7:$AR$400,17,0))=TRUE," ",(VLOOKUP(D82,'Base de Datos'!$C$7:$AR$400,17,0)))</f>
        <v/>
      </c>
      <c r="AW82" s="460">
        <f>IF(ISERROR(VLOOKUP(D82,'Base de Datos'!$C$7:$AR$400,18,0))=TRUE," ",(VLOOKUP(D82,'Base de Datos'!$C$7:$AR$400,18,0)))</f>
        <v>0</v>
      </c>
      <c r="AX82" s="460">
        <f>IF(ISERROR(VLOOKUP(D82,'Base de Datos'!$C$7:$AR$400,19,0))=TRUE," ",(VLOOKUP(D82,'Base de Datos'!$C$7:$AR$400,19,0)))</f>
        <v>204705978</v>
      </c>
      <c r="AY82" s="463">
        <f>IF(ISERROR(VLOOKUP(D82,'Base de Datos'!$C$7:$AR$400,21,0))=TRUE," ",(VLOOKUP(D82,'Base de Datos'!$C$7:$AR$400,21,0)))</f>
        <v>0</v>
      </c>
      <c r="AZ82" s="463" t="str">
        <f>IF(ISERROR(VLOOKUP(D82,'Base de Datos'!$C$7:$AR$400,22,0))=TRUE," ",(VLOOKUP(D82,'Base de Datos'!$C$7:$AR$400,22,0)))</f>
        <v>Dentro de los 60 días posteriores al recibo del original de las pólizas</v>
      </c>
      <c r="BA82" s="470"/>
      <c r="BB82" s="480"/>
    </row>
    <row r="83" spans="2:54" ht="55.5" hidden="1" customHeight="1" x14ac:dyDescent="0.25">
      <c r="B83" s="433">
        <v>76</v>
      </c>
      <c r="C83" s="441" t="s">
        <v>1642</v>
      </c>
      <c r="D83" s="433">
        <v>181</v>
      </c>
      <c r="E83" s="441" t="s">
        <v>1666</v>
      </c>
      <c r="F83" s="442">
        <f>VLOOKUP(D83,'Presupuesto - PAA 2015'!$B$10:$E$265,4,0)</f>
        <v>478000000</v>
      </c>
      <c r="G83" s="434" t="str">
        <f>VLOOKUP(D83,'[4]Seguimiento Plan'!$C$2:$R$101,16,0)</f>
        <v>Realizar las actividades de capacitación previstas en el Plan Institucional de Capacitación para los funcionarios de la SDH y del Concejo de Bogotá.</v>
      </c>
      <c r="H83" s="434" t="s">
        <v>1776</v>
      </c>
      <c r="I83" s="434" t="s">
        <v>1710</v>
      </c>
      <c r="J83" s="443" t="s">
        <v>1736</v>
      </c>
      <c r="K83" s="444" t="s">
        <v>390</v>
      </c>
      <c r="L83" s="444" t="s">
        <v>390</v>
      </c>
      <c r="M83" s="445">
        <v>42135</v>
      </c>
      <c r="N83" s="444" t="s">
        <v>1883</v>
      </c>
      <c r="O83" s="446"/>
      <c r="P83" s="446"/>
      <c r="Q83" s="446"/>
      <c r="R83" s="447"/>
      <c r="S83" s="703" t="s">
        <v>2191</v>
      </c>
      <c r="T83" s="351" t="s">
        <v>1474</v>
      </c>
      <c r="U83" s="450" t="str">
        <f>IF(ISERROR(VLOOKUP(T83,'Base de Datos'!$E$7:$AR$302,3,0))=TRUE," ",(VLOOKUP(T83,'Base de Datos'!$E$7:$AR$302,2,0)))</f>
        <v>CENTRO DE RECURSOS EDUCATIVOS PARA LA COMPETITIVIDAD EMPRESARIAL LTDA - CRECE</v>
      </c>
      <c r="V83" s="453">
        <f>IF(ISERROR(VLOOKUP(T83,'Base de Datos'!$E$7:$AR$302,5,0))=TRUE," ",(VLOOKUP(T83,'Base de Datos'!$E$7:$AR$302,5,0)))</f>
        <v>401058400</v>
      </c>
      <c r="W83" s="450">
        <f>IF(ISERROR(VLOOKUP(T83,'Base de Datos'!$E$7:$AR$302,19,0))=TRUE," ",(VLOOKUP(T83,'Base de Datos'!$E$7:$AR$302,19,0)))</f>
        <v>0</v>
      </c>
      <c r="X83" s="455" t="str">
        <f>IF(ISERROR(VLOOKUP(T83,'Base de Datos'!$E$7:$AR$302,8,0))=TRUE," ",(VLOOKUP(T83,'Base de Datos'!$E$7:$AR$302,8,0)))</f>
        <v xml:space="preserve"> </v>
      </c>
      <c r="Y83" s="455">
        <f>IF(ISERROR(VLOOKUP(T83,'Base de Datos'!$E$7:$AR$302,9,0))=TRUE," ",(VLOOKUP(T83,'Base de Datos'!$E$7:$AR$302,9,0)))</f>
        <v>42031</v>
      </c>
      <c r="Z83" s="449">
        <f>IF(ISERROR(VLOOKUP(T83,'Base de Datos'!$E$7:$AR$302,10,0))=TRUE," ",(VLOOKUP(T83,'Base de Datos'!$E$7:$AR$302,10,0)))</f>
        <v>42274</v>
      </c>
      <c r="AA83" s="452">
        <f>IF(ISERROR(VLOOKUP(T83,'Base de Datos'!$E$7:$AR$302,11,0))=TRUE," ",(VLOOKUP(T83,'Base de Datos'!$E$7:$AR$302,11,0)))</f>
        <v>0</v>
      </c>
      <c r="AB83" s="449">
        <f>IF(ISERROR(VLOOKUP(T83,'Base de Datos'!$E$7:$AR$302,12,0))=TRUE," ",(VLOOKUP(T83,'Base de Datos'!$E$7:$AR$302,12,0)))</f>
        <v>0</v>
      </c>
      <c r="AC83" s="449">
        <f>IF(ISERROR(VLOOKUP(T83,'Base de Datos'!$E$7:$AR$302,12,0))=TRUE," ",(VLOOKUP(T83,'Base de Datos'!$E$7:$AR$302,12,0)))</f>
        <v>0</v>
      </c>
      <c r="AD83" s="455">
        <f>IF(ISERROR(VLOOKUP(T83,'Base de Datos'!$E$7:$AR$302,15,0))=TRUE," ",(VLOOKUP(T83,'Base de Datos'!$E$7:$AR$302,15,0)))</f>
        <v>42335</v>
      </c>
      <c r="AE83" s="460">
        <f>IF(ISERROR(VLOOKUP(T83,'Base de Datos'!$E$7:$AR$302,16,0))=TRUE," ",(VLOOKUP(T83,'Base de Datos'!$E$7:$AR$302,16,0)))</f>
        <v>42335</v>
      </c>
      <c r="AF83" s="460">
        <f>IF(ISERROR(VLOOKUP(T83,'Base de Datos'!$E$7:$AR$302,17,0))=TRUE," ",(VLOOKUP(T83,'Base de Datos'!$E$7:$AR$302,17,0)))</f>
        <v>401058400</v>
      </c>
      <c r="AG83" s="460">
        <f>IF(ISERROR(VLOOKUP(T83,'Base de Datos'!$E$7:$AR$302,18,0))=TRUE," ",(VLOOKUP(T83,'Base de Datos'!$E$7:$AR$302,18,0)))</f>
        <v>401058400</v>
      </c>
      <c r="AH83" s="461" t="str">
        <f>IF(ISERROR(VLOOKUP(T83,'Base de Datos'!$E$7:$AR$302,20,0))=TRUE," ",(VLOOKUP(T83,'Base de Datos'!$E$7:$AR$302,20,0)))</f>
        <v>Mensual, de acuerdo a la ejecución realizada durante el respectivo periodo.</v>
      </c>
      <c r="AI83" s="461">
        <f>IF(ISERROR(VLOOKUP(T83,'Base de Datos'!$E$7:$AR$302,21,0))=TRUE," ",(VLOOKUP(T83,'Base de Datos'!$E$7:$AR$302,21,0)))</f>
        <v>1</v>
      </c>
      <c r="AJ83" s="450"/>
      <c r="AK83" s="450" t="str">
        <f>IF(ISERROR(VLOOKUP(D83,'Base de Datos'!$C$7:$AR$400,2,0))=TRUE," ",(VLOOKUP(D83,'Base de Datos'!$C$7:$AR$400,2,0)))</f>
        <v>2015181</v>
      </c>
      <c r="AL83" s="450" t="str">
        <f>IF(ISERROR(VLOOKUP(D83,'Base de Datos'!$C$7:$AR$400,3,0))=TRUE," ",(VLOOKUP(D83,'Base de Datos'!$C$7:$AR$400,3,0)))</f>
        <v>150373-0-2015</v>
      </c>
      <c r="AM83" s="453" t="str">
        <f>IF(ISERROR(VLOOKUP(D83,'Base de Datos'!$C$7:$AR$3761,6,0))=TRUE," ",(VLOOKUP(D83,'Base de Datos'!$C$7:$AR$400,6,0)))</f>
        <v>Ejecutar actividades del Plan Institucional de Capacitación del Concejo de Bogotá, D.C., - Grupo 3, según el pliego de condiciones del proceso SDH-LP-04-2015</v>
      </c>
      <c r="AN83" s="453">
        <f>IF(ISERROR(VLOOKUP(D83,'Base de Datos'!$C$7:$AR$400,20,0))=TRUE," ",(VLOOKUP(D83,'Base de Datos'!$C$7:$AR$400,19,0)))</f>
        <v>436914000</v>
      </c>
      <c r="AO83" s="456">
        <f>IF(ISERROR(VLOOKUP(D83,'Base de Datos'!$C$7:$AR$400,9,0))=TRUE," ",(VLOOKUP(D83,'Base de Datos'!$C$7:$AR$400,9,0)))</f>
        <v>2015</v>
      </c>
      <c r="AP83" s="456">
        <f>IF(ISERROR(VLOOKUP(D83,'Base de Datos'!$C$7:$AR$400,10,0))=TRUE," ",(VLOOKUP(D83,'Base de Datos'!$C$7:$AR$400,10,0)))</f>
        <v>42293</v>
      </c>
      <c r="AQ83" s="458">
        <f>IF(ISERROR(VLOOKUP(D83,'Base de Datos'!$C$7:$AR$400,11,0))=TRUE," ",(VLOOKUP(D83,'Base de Datos'!$C$7:$AR$400,11,0)))</f>
        <v>42362</v>
      </c>
      <c r="AR83" s="459">
        <f>IF(ISERROR(VLOOKUP(D83,'Base de Datos'!$C$7:$AR$400,12,0))=TRUE," ",(VLOOKUP(D83,'Base de Datos'!$C$7:$AR$400,12,0)))</f>
        <v>42605</v>
      </c>
      <c r="AS83" s="458">
        <f>IF(ISERROR(VLOOKUP(D83,'Base de Datos'!$C$7:$AR$400,13,0))=TRUE," ",(VLOOKUP(D83,'Base de Datos'!$C$7:$AR$400,13,0)))</f>
        <v>0</v>
      </c>
      <c r="AT83" s="458">
        <f>IF(ISERROR(VLOOKUP(D83,'Base de Datos'!$C$7:$AR$400,14,0))=TRUE," ",(VLOOKUP(D83,'Base de Datos'!$C$7:$AR$400,14,0)))</f>
        <v>0</v>
      </c>
      <c r="AU83" s="456" t="str">
        <f>IF(ISERROR(VLOOKUP(D83,'Base de Datos'!$C$7:$AR$400,16,0))=TRUE," ",(VLOOKUP(D83,'Base de Datos'!$C$7:$AR$400,16,0)))</f>
        <v>3 meses y 7 días</v>
      </c>
      <c r="AV83" s="460">
        <f>IF(ISERROR(VLOOKUP(D83,'Base de Datos'!$C$7:$AR$400,17,0))=TRUE," ",(VLOOKUP(D83,'Base de Datos'!$C$7:$AR$400,17,0)))</f>
        <v>42704</v>
      </c>
      <c r="AW83" s="460">
        <f>IF(ISERROR(VLOOKUP(D83,'Base de Datos'!$C$7:$AR$400,18,0))=TRUE," ",(VLOOKUP(D83,'Base de Datos'!$C$7:$AR$400,18,0)))</f>
        <v>42704</v>
      </c>
      <c r="AX83" s="460">
        <f>IF(ISERROR(VLOOKUP(D83,'Base de Datos'!$C$7:$AR$400,19,0))=TRUE," ",(VLOOKUP(D83,'Base de Datos'!$C$7:$AR$400,19,0)))</f>
        <v>436914000</v>
      </c>
      <c r="AY83" s="463">
        <f>IF(ISERROR(VLOOKUP(D83,'Base de Datos'!$C$7:$AR$400,21,0))=TRUE," ",(VLOOKUP(D83,'Base de Datos'!$C$7:$AR$400,21,0)))</f>
        <v>0</v>
      </c>
      <c r="AZ83" s="463" t="str">
        <f>IF(ISERROR(VLOOKUP(D83,'Base de Datos'!$C$7:$AR$400,22,0))=TRUE," ",(VLOOKUP(D83,'Base de Datos'!$C$7:$AR$400,22,0)))</f>
        <v>Mensuales de acuerdo a la ejecución de cada periodo</v>
      </c>
      <c r="BA83" s="470"/>
      <c r="BB83" s="480"/>
    </row>
    <row r="84" spans="2:54" ht="55.5" hidden="1" customHeight="1" x14ac:dyDescent="0.25">
      <c r="B84" s="433">
        <v>77</v>
      </c>
      <c r="C84" s="441" t="s">
        <v>1642</v>
      </c>
      <c r="D84" s="433">
        <v>184</v>
      </c>
      <c r="E84" s="441" t="s">
        <v>1667</v>
      </c>
      <c r="F84" s="442">
        <f>VLOOKUP(D84,'Presupuesto - PAA 2015'!$B$10:$E$265,4,0)</f>
        <v>40000000</v>
      </c>
      <c r="G84" s="434" t="str">
        <f>VLOOKUP(D84,'[4]Seguimiento Plan'!$C$2:$R$101,16,0)</f>
        <v>Adquisición de bonos navideños para los hijos de los funcionarios de la Secretaría de Hacienda y el Concejo de Bogotá</v>
      </c>
      <c r="H84" s="434" t="s">
        <v>1776</v>
      </c>
      <c r="I84" s="434" t="s">
        <v>1712</v>
      </c>
      <c r="J84" s="443" t="s">
        <v>913</v>
      </c>
      <c r="K84" s="444" t="s">
        <v>390</v>
      </c>
      <c r="L84" s="444" t="s">
        <v>390</v>
      </c>
      <c r="M84" s="445" t="s">
        <v>1885</v>
      </c>
      <c r="N84" s="444" t="s">
        <v>1886</v>
      </c>
      <c r="O84" s="446"/>
      <c r="P84" s="446"/>
      <c r="Q84" s="446"/>
      <c r="R84" s="447"/>
      <c r="S84" s="465" t="s">
        <v>2201</v>
      </c>
      <c r="T84" s="351" t="s">
        <v>1481</v>
      </c>
      <c r="U84" s="450" t="str">
        <f>IF(ISERROR(VLOOKUP(T84,'Base de Datos'!$E$7:$AR$302,3,0))=TRUE," ",(VLOOKUP(T84,'Base de Datos'!$E$7:$AR$302,2,0)))</f>
        <v>CAJA COLOMBIANA DE SUBSIDIO FAMILIAR – COLSUBSIDIO</v>
      </c>
      <c r="V84" s="453">
        <f>IF(ISERROR(VLOOKUP(T84,'Base de Datos'!$E$7:$AR$302,5,0))=TRUE," ",(VLOOKUP(T84,'Base de Datos'!$E$7:$AR$302,5,0)))</f>
        <v>39424000</v>
      </c>
      <c r="W84" s="450">
        <f>IF(ISERROR(VLOOKUP(T84,'Base de Datos'!$E$7:$AR$302,19,0))=TRUE," ",(VLOOKUP(T84,'Base de Datos'!$E$7:$AR$302,19,0)))</f>
        <v>0</v>
      </c>
      <c r="X84" s="455" t="str">
        <f>IF(ISERROR(VLOOKUP(T84,'Base de Datos'!$E$7:$AR$302,8,0))=TRUE," ",(VLOOKUP(T84,'Base de Datos'!$E$7:$AR$302,8,0)))</f>
        <v xml:space="preserve"> </v>
      </c>
      <c r="Y84" s="455">
        <f>IF(ISERROR(VLOOKUP(T84,'Base de Datos'!$E$7:$AR$302,9,0))=TRUE," ",(VLOOKUP(T84,'Base de Datos'!$E$7:$AR$302,9,0)))</f>
        <v>41982</v>
      </c>
      <c r="Z84" s="449">
        <f>IF(ISERROR(VLOOKUP(T84,'Base de Datos'!$E$7:$AR$302,10,0))=TRUE," ",(VLOOKUP(T84,'Base de Datos'!$E$7:$AR$302,10,0)))</f>
        <v>42013</v>
      </c>
      <c r="AA84" s="452">
        <f>IF(ISERROR(VLOOKUP(T84,'Base de Datos'!$E$7:$AR$302,11,0))=TRUE," ",(VLOOKUP(T84,'Base de Datos'!$E$7:$AR$302,11,0)))</f>
        <v>0</v>
      </c>
      <c r="AB84" s="449">
        <f>IF(ISERROR(VLOOKUP(T84,'Base de Datos'!$E$7:$AR$302,12,0))=TRUE," ",(VLOOKUP(T84,'Base de Datos'!$E$7:$AR$302,12,0)))</f>
        <v>0</v>
      </c>
      <c r="AC84" s="449">
        <f>IF(ISERROR(VLOOKUP(T84,'Base de Datos'!$E$7:$AR$302,12,0))=TRUE," ",(VLOOKUP(T84,'Base de Datos'!$E$7:$AR$302,12,0)))</f>
        <v>0</v>
      </c>
      <c r="AD84" s="455" t="str">
        <f>IF(ISERROR(VLOOKUP(T84,'Base de Datos'!$E$7:$AR$302,15,0))=TRUE," ",(VLOOKUP(T84,'Base de Datos'!$E$7:$AR$302,15,0)))</f>
        <v/>
      </c>
      <c r="AE84" s="460">
        <f>IF(ISERROR(VLOOKUP(T84,'Base de Datos'!$E$7:$AR$302,16,0))=TRUE," ",(VLOOKUP(T84,'Base de Datos'!$E$7:$AR$302,16,0)))</f>
        <v>42013</v>
      </c>
      <c r="AF84" s="460">
        <f>IF(ISERROR(VLOOKUP(T84,'Base de Datos'!$E$7:$AR$302,17,0))=TRUE," ",(VLOOKUP(T84,'Base de Datos'!$E$7:$AR$302,17,0)))</f>
        <v>39424000</v>
      </c>
      <c r="AG84" s="460">
        <f>IF(ISERROR(VLOOKUP(T84,'Base de Datos'!$E$7:$AR$302,18,0))=TRUE," ",(VLOOKUP(T84,'Base de Datos'!$E$7:$AR$302,18,0)))</f>
        <v>39424000</v>
      </c>
      <c r="AH84" s="461" t="str">
        <f>IF(ISERROR(VLOOKUP(T84,'Base de Datos'!$E$7:$AR$302,20,0))=TRUE," ",(VLOOKUP(T84,'Base de Datos'!$E$7:$AR$302,20,0)))</f>
        <v>Único pago</v>
      </c>
      <c r="AI84" s="461">
        <f>IF(ISERROR(VLOOKUP(T84,'Base de Datos'!$E$7:$AR$302,21,0))=TRUE," ",(VLOOKUP(T84,'Base de Datos'!$E$7:$AR$302,21,0)))</f>
        <v>1</v>
      </c>
      <c r="AJ84" s="450"/>
      <c r="AK84" s="450" t="str">
        <f>IF(ISERROR(VLOOKUP(D84,'Base de Datos'!$C$7:$AR$400,2,0))=TRUE," ",(VLOOKUP(D84,'Base de Datos'!$C$7:$AR$400,2,0)))</f>
        <v>2015184</v>
      </c>
      <c r="AL84" s="450" t="str">
        <f>IF(ISERROR(VLOOKUP(D84,'Base de Datos'!$C$7:$AR$400,3,0))=TRUE," ",(VLOOKUP(D84,'Base de Datos'!$C$7:$AR$400,3,0)))</f>
        <v>150386-0-2015</v>
      </c>
      <c r="AM84" s="453" t="str">
        <f>IF(ISERROR(VLOOKUP(D84,'Base de Datos'!$C$7:$AR$3761,6,0))=TRUE," ",(VLOOKUP(D84,'Base de Datos'!$C$7:$AR$400,6,0)))</f>
        <v>Adquisición de bonos navideños para los hijos de los funcionarios del Concejo de Bogotá, de conformidad con lo establecido en el pliego de condiciones del proceso de selección abreviada de menor cuantía SDH-SAMC-06-2015 y la propuesta presentada por el contratista.</v>
      </c>
      <c r="AN84" s="453">
        <f>IF(ISERROR(VLOOKUP(D84,'Base de Datos'!$C$7:$AR$400,20,0))=TRUE," ",(VLOOKUP(D84,'Base de Datos'!$C$7:$AR$400,19,0)))</f>
        <v>37372300</v>
      </c>
      <c r="AO84" s="456">
        <f>IF(ISERROR(VLOOKUP(D84,'Base de Datos'!$C$7:$AR$400,9,0))=TRUE," ",(VLOOKUP(D84,'Base de Datos'!$C$7:$AR$400,9,0)))</f>
        <v>2015</v>
      </c>
      <c r="AP84" s="456">
        <f>IF(ISERROR(VLOOKUP(D84,'Base de Datos'!$C$7:$AR$400,10,0))=TRUE," ",(VLOOKUP(D84,'Base de Datos'!$C$7:$AR$400,10,0)))</f>
        <v>42314</v>
      </c>
      <c r="AQ84" s="458">
        <f>IF(ISERROR(VLOOKUP(D84,'Base de Datos'!$C$7:$AR$400,11,0))=TRUE," ",(VLOOKUP(D84,'Base de Datos'!$C$7:$AR$400,11,0)))</f>
        <v>42331</v>
      </c>
      <c r="AR84" s="459">
        <f>IF(ISERROR(VLOOKUP(D84,'Base de Datos'!$C$7:$AR$400,12,0))=TRUE," ",(VLOOKUP(D84,'Base de Datos'!$C$7:$AR$400,12,0)))</f>
        <v>42392</v>
      </c>
      <c r="AS84" s="458">
        <f>IF(ISERROR(VLOOKUP(D84,'Base de Datos'!$C$7:$AR$400,13,0))=TRUE," ",(VLOOKUP(D84,'Base de Datos'!$C$7:$AR$400,13,0)))</f>
        <v>0</v>
      </c>
      <c r="AT84" s="458">
        <f>IF(ISERROR(VLOOKUP(D84,'Base de Datos'!$C$7:$AR$400,14,0))=TRUE," ",(VLOOKUP(D84,'Base de Datos'!$C$7:$AR$400,14,0)))</f>
        <v>0</v>
      </c>
      <c r="AU84" s="456" t="str">
        <f>IF(ISERROR(VLOOKUP(D84,'Base de Datos'!$C$7:$AR$400,16,0))=TRUE," ",(VLOOKUP(D84,'Base de Datos'!$C$7:$AR$400,16,0)))</f>
        <v>5 meses</v>
      </c>
      <c r="AV84" s="460">
        <f>IF(ISERROR(VLOOKUP(D84,'Base de Datos'!$C$7:$AR$400,17,0))=TRUE," ",(VLOOKUP(D84,'Base de Datos'!$C$7:$AR$400,17,0)))</f>
        <v>42544</v>
      </c>
      <c r="AW84" s="460">
        <f>IF(ISERROR(VLOOKUP(D84,'Base de Datos'!$C$7:$AR$400,18,0))=TRUE," ",(VLOOKUP(D84,'Base de Datos'!$C$7:$AR$400,18,0)))</f>
        <v>42544</v>
      </c>
      <c r="AX84" s="460">
        <f>IF(ISERROR(VLOOKUP(D84,'Base de Datos'!$C$7:$AR$400,19,0))=TRUE," ",(VLOOKUP(D84,'Base de Datos'!$C$7:$AR$400,19,0)))</f>
        <v>37372300</v>
      </c>
      <c r="AY84" s="463">
        <f>IF(ISERROR(VLOOKUP(D84,'Base de Datos'!$C$7:$AR$400,21,0))=TRUE," ",(VLOOKUP(D84,'Base de Datos'!$C$7:$AR$400,21,0)))</f>
        <v>7474465</v>
      </c>
      <c r="AZ84" s="463" t="str">
        <f>IF(ISERROR(VLOOKUP(D84,'Base de Datos'!$C$7:$AR$400,22,0))=TRUE," ",(VLOOKUP(D84,'Base de Datos'!$C$7:$AR$400,22,0)))</f>
        <v>Si el bono es en documento físico, se cancelarán previa entrega de los mismos por parte del contratista; si el bono es sistematizado, se cancelarán mensualmente los bonos redimidos durante la ejecución del contrato.</v>
      </c>
      <c r="BA84" s="470"/>
      <c r="BB84" s="480"/>
    </row>
    <row r="85" spans="2:54" ht="55.5" hidden="1" customHeight="1" x14ac:dyDescent="0.25">
      <c r="B85" s="433">
        <v>78</v>
      </c>
      <c r="C85" s="441" t="s">
        <v>1642</v>
      </c>
      <c r="D85" s="433">
        <v>185</v>
      </c>
      <c r="E85" s="441" t="s">
        <v>1667</v>
      </c>
      <c r="F85" s="442">
        <f>VLOOKUP(D85,'Presupuesto - PAA 2015'!$B$10:$E$265,4,0)</f>
        <v>550762000</v>
      </c>
      <c r="G85" s="434" t="str">
        <f>VLOOKUP(D85,'[4]Seguimiento Plan'!$C$2:$R$101,16,0)</f>
        <v>Desarrollar las actividades contenidas en los Planes de Bienestar e Incentivos y Mejoramiento del Clima Laboral para la Secretaría de Hacienda y el Concejo de Bogota.</v>
      </c>
      <c r="H85" s="434" t="s">
        <v>1776</v>
      </c>
      <c r="I85" s="434" t="s">
        <v>1710</v>
      </c>
      <c r="J85" s="443" t="s">
        <v>1736</v>
      </c>
      <c r="K85" s="444" t="s">
        <v>390</v>
      </c>
      <c r="L85" s="444" t="str">
        <f>VLOOKUP(D85,'[4]Seguimiento Plan'!$C$2:$AJ$101,30,0)</f>
        <v>SI</v>
      </c>
      <c r="M85" s="445">
        <f>VLOOKUP(D85,'[4]Seguimiento Plan'!$C$2:$AJ$101,31,0)</f>
        <v>42069</v>
      </c>
      <c r="N85" s="444" t="s">
        <v>1809</v>
      </c>
      <c r="O85" s="446"/>
      <c r="P85" s="446"/>
      <c r="Q85" s="446"/>
      <c r="R85" s="447" t="s">
        <v>1884</v>
      </c>
      <c r="S85" s="447"/>
      <c r="T85" s="351" t="s">
        <v>1424</v>
      </c>
      <c r="U85" s="450" t="str">
        <f>IF(ISERROR(VLOOKUP(T85,'Base de Datos'!$E$7:$AR$302,3,0))=TRUE," ",(VLOOKUP(T85,'Base de Datos'!$E$7:$AR$302,2,0)))</f>
        <v>J.A. ZABALA &amp; CONSULTORES ASOCIADOS LTDA.</v>
      </c>
      <c r="V85" s="453">
        <f>IF(ISERROR(VLOOKUP(T85,'Base de Datos'!$E$7:$AR$302,5,0))=TRUE," ",(VLOOKUP(T85,'Base de Datos'!$E$7:$AR$302,5,0)))</f>
        <v>506601000</v>
      </c>
      <c r="W85" s="450">
        <f>IF(ISERROR(VLOOKUP(T85,'Base de Datos'!$E$7:$AR$302,19,0))=TRUE," ",(VLOOKUP(T85,'Base de Datos'!$E$7:$AR$302,19,0)))</f>
        <v>3369839</v>
      </c>
      <c r="X85" s="455" t="str">
        <f>IF(ISERROR(VLOOKUP(T85,'Base de Datos'!$E$7:$AR$302,8,0))=TRUE," ",(VLOOKUP(T85,'Base de Datos'!$E$7:$AR$302,8,0)))</f>
        <v xml:space="preserve"> </v>
      </c>
      <c r="Y85" s="455">
        <f>IF(ISERROR(VLOOKUP(T85,'Base de Datos'!$E$7:$AR$302,9,0))=TRUE," ",(VLOOKUP(T85,'Base de Datos'!$E$7:$AR$302,9,0)))</f>
        <v>41963</v>
      </c>
      <c r="Z85" s="449">
        <f>IF(ISERROR(VLOOKUP(T85,'Base de Datos'!$E$7:$AR$302,10,0))=TRUE," ",(VLOOKUP(T85,'Base de Datos'!$E$7:$AR$302,10,0)))</f>
        <v>42205</v>
      </c>
      <c r="AA85" s="452">
        <f>IF(ISERROR(VLOOKUP(T85,'Base de Datos'!$E$7:$AR$302,11,0))=TRUE," ",(VLOOKUP(T85,'Base de Datos'!$E$7:$AR$302,11,0)))</f>
        <v>2</v>
      </c>
      <c r="AB85" s="449">
        <f>IF(ISERROR(VLOOKUP(T85,'Base de Datos'!$E$7:$AR$302,12,0))=TRUE," ",(VLOOKUP(T85,'Base de Datos'!$E$7:$AR$302,12,0)))</f>
        <v>162106669</v>
      </c>
      <c r="AC85" s="449">
        <f>IF(ISERROR(VLOOKUP(T85,'Base de Datos'!$E$7:$AR$302,12,0))=TRUE," ",(VLOOKUP(T85,'Base de Datos'!$E$7:$AR$302,12,0)))</f>
        <v>162106669</v>
      </c>
      <c r="AD85" s="455" t="str">
        <f>IF(ISERROR(VLOOKUP(T85,'Base de Datos'!$E$7:$AR$302,15,0))=TRUE," ",(VLOOKUP(T85,'Base de Datos'!$E$7:$AR$302,15,0)))</f>
        <v/>
      </c>
      <c r="AE85" s="460">
        <f>IF(ISERROR(VLOOKUP(T85,'Base de Datos'!$E$7:$AR$302,16,0))=TRUE," ",(VLOOKUP(T85,'Base de Datos'!$E$7:$AR$302,16,0)))</f>
        <v>42205</v>
      </c>
      <c r="AF85" s="460">
        <f>IF(ISERROR(VLOOKUP(T85,'Base de Datos'!$E$7:$AR$302,17,0))=TRUE," ",(VLOOKUP(T85,'Base de Datos'!$E$7:$AR$302,17,0)))</f>
        <v>668707669</v>
      </c>
      <c r="AG85" s="460">
        <f>IF(ISERROR(VLOOKUP(T85,'Base de Datos'!$E$7:$AR$302,18,0))=TRUE," ",(VLOOKUP(T85,'Base de Datos'!$E$7:$AR$302,18,0)))</f>
        <v>665337830</v>
      </c>
      <c r="AH85" s="461" t="str">
        <f>IF(ISERROR(VLOOKUP(T85,'Base de Datos'!$E$7:$AR$302,20,0))=TRUE," ",(VLOOKUP(T85,'Base de Datos'!$E$7:$AR$302,20,0)))</f>
        <v>Mensual</v>
      </c>
      <c r="AI85" s="461">
        <f>IF(ISERROR(VLOOKUP(T85,'Base de Datos'!$E$7:$AR$302,21,0))=TRUE," ",(VLOOKUP(T85,'Base de Datos'!$E$7:$AR$302,21,0)))</f>
        <v>0.99496066942818329</v>
      </c>
      <c r="AJ85" s="450"/>
      <c r="AK85" s="450" t="str">
        <f>IF(ISERROR(VLOOKUP(D85,'Base de Datos'!$C$7:$AR$400,2,0))=TRUE," ",(VLOOKUP(D85,'Base de Datos'!$C$7:$AR$400,2,0)))</f>
        <v>2015185</v>
      </c>
      <c r="AL85" s="450" t="str">
        <f>IF(ISERROR(VLOOKUP(D85,'Base de Datos'!$C$7:$AR$400,3,0))=TRUE," ",(VLOOKUP(D85,'Base de Datos'!$C$7:$AR$400,3,0)))</f>
        <v>150377-0-2015</v>
      </c>
      <c r="AM85" s="453" t="str">
        <f>IF(ISERROR(VLOOKUP(D85,'Base de Datos'!$C$7:$AR$3761,6,0))=TRUE," ",(VLOOKUP(D85,'Base de Datos'!$C$7:$AR$400,6,0)))</f>
        <v>Prestar los servicios para desarrollar actividades contenidas en los Planes de Bienestar e Incentivos y Mejoramiento del Clima Laboral para el Concejo de Bogotá, D.C., de conformidad con lo establecido en el pliego de condiciones de la Licitación Pública No. SDH-LP-03-2015 y la propuesta presentada por el contratista.</v>
      </c>
      <c r="AN85" s="453">
        <f>IF(ISERROR(VLOOKUP(D85,'Base de Datos'!$C$7:$AR$400,20,0))=TRUE," ",(VLOOKUP(D85,'Base de Datos'!$C$7:$AR$400,19,0)))</f>
        <v>807506000</v>
      </c>
      <c r="AO85" s="456">
        <f>IF(ISERROR(VLOOKUP(D85,'Base de Datos'!$C$7:$AR$400,9,0))=TRUE," ",(VLOOKUP(D85,'Base de Datos'!$C$7:$AR$400,9,0)))</f>
        <v>2015</v>
      </c>
      <c r="AP85" s="456">
        <f>IF(ISERROR(VLOOKUP(D85,'Base de Datos'!$C$7:$AR$400,10,0))=TRUE," ",(VLOOKUP(D85,'Base de Datos'!$C$7:$AR$400,10,0)))</f>
        <v>42297</v>
      </c>
      <c r="AQ85" s="458">
        <f>IF(ISERROR(VLOOKUP(D85,'Base de Datos'!$C$7:$AR$400,11,0))=TRUE," ",(VLOOKUP(D85,'Base de Datos'!$C$7:$AR$400,11,0)))</f>
        <v>42305</v>
      </c>
      <c r="AR85" s="459">
        <f>IF(ISERROR(VLOOKUP(D85,'Base de Datos'!$C$7:$AR$400,12,0))=TRUE," ",(VLOOKUP(D85,'Base de Datos'!$C$7:$AR$400,12,0)))</f>
        <v>42579</v>
      </c>
      <c r="AS85" s="458">
        <f>IF(ISERROR(VLOOKUP(D85,'Base de Datos'!$C$7:$AR$400,13,0))=TRUE," ",(VLOOKUP(D85,'Base de Datos'!$C$7:$AR$400,13,0)))</f>
        <v>2</v>
      </c>
      <c r="AT85" s="458">
        <f>IF(ISERROR(VLOOKUP(D85,'Base de Datos'!$C$7:$AR$400,14,0))=TRUE," ",(VLOOKUP(D85,'Base de Datos'!$C$7:$AR$400,14,0)))</f>
        <v>256744000</v>
      </c>
      <c r="AU85" s="456" t="str">
        <f>IF(ISERROR(VLOOKUP(D85,'Base de Datos'!$C$7:$AR$400,16,0))=TRUE," ",(VLOOKUP(D85,'Base de Datos'!$C$7:$AR$400,16,0)))</f>
        <v>1 mes y 23 días</v>
      </c>
      <c r="AV85" s="460">
        <f>IF(ISERROR(VLOOKUP(D85,'Base de Datos'!$C$7:$AR$400,17,0))=TRUE," ",(VLOOKUP(D85,'Base de Datos'!$C$7:$AR$400,17,0)))</f>
        <v>42633</v>
      </c>
      <c r="AW85" s="460">
        <f>IF(ISERROR(VLOOKUP(D85,'Base de Datos'!$C$7:$AR$400,18,0))=TRUE," ",(VLOOKUP(D85,'Base de Datos'!$C$7:$AR$400,18,0)))</f>
        <v>42633</v>
      </c>
      <c r="AX85" s="460">
        <f>IF(ISERROR(VLOOKUP(D85,'Base de Datos'!$C$7:$AR$400,19,0))=TRUE," ",(VLOOKUP(D85,'Base de Datos'!$C$7:$AR$400,19,0)))</f>
        <v>807506000</v>
      </c>
      <c r="AY85" s="463">
        <f>IF(ISERROR(VLOOKUP(D85,'Base de Datos'!$C$7:$AR$400,21,0))=TRUE," ",(VLOOKUP(D85,'Base de Datos'!$C$7:$AR$400,21,0)))</f>
        <v>52327287</v>
      </c>
      <c r="AZ85" s="463" t="str">
        <f>IF(ISERROR(VLOOKUP(D85,'Base de Datos'!$C$7:$AR$400,22,0))=TRUE," ",(VLOOKUP(D85,'Base de Datos'!$C$7:$AR$400,22,0)))</f>
        <v>Mensuales de acuerdo a las actividades efectivamente prestadas</v>
      </c>
      <c r="BA85" s="470"/>
      <c r="BB85" s="480"/>
    </row>
    <row r="86" spans="2:54" ht="55.5" hidden="1" customHeight="1" x14ac:dyDescent="0.25">
      <c r="B86" s="433">
        <v>79</v>
      </c>
      <c r="C86" s="441" t="s">
        <v>1642</v>
      </c>
      <c r="D86" s="433">
        <v>289</v>
      </c>
      <c r="E86" s="441" t="s">
        <v>1667</v>
      </c>
      <c r="F86" s="442">
        <f>VLOOKUP(D86,'Presupuesto - PAA 2015'!$B$10:$E$265,4,0)</f>
        <v>15868800</v>
      </c>
      <c r="G86" s="434" t="s">
        <v>1782</v>
      </c>
      <c r="H86" s="434" t="s">
        <v>1776</v>
      </c>
      <c r="I86" s="434" t="s">
        <v>1710</v>
      </c>
      <c r="J86" s="443" t="s">
        <v>590</v>
      </c>
      <c r="K86" s="444"/>
      <c r="L86" s="444" t="s">
        <v>390</v>
      </c>
      <c r="M86" s="445"/>
      <c r="N86" s="444"/>
      <c r="O86" s="446"/>
      <c r="P86" s="446"/>
      <c r="Q86" s="446"/>
      <c r="R86" s="447"/>
      <c r="S86" s="447"/>
      <c r="T86" s="351" t="s">
        <v>1424</v>
      </c>
      <c r="U86" s="450" t="str">
        <f>IF(ISERROR(VLOOKUP(T86,'Base de Datos'!$E$7:$AR$302,3,0))=TRUE," ",(VLOOKUP(T86,'Base de Datos'!$E$7:$AR$302,2,0)))</f>
        <v>J.A. ZABALA &amp; CONSULTORES ASOCIADOS LTDA.</v>
      </c>
      <c r="V86" s="453">
        <f>IF(ISERROR(VLOOKUP(T86,'Base de Datos'!$E$7:$AR$302,5,0))=TRUE," ",(VLOOKUP(T86,'Base de Datos'!$E$7:$AR$302,5,0)))</f>
        <v>506601000</v>
      </c>
      <c r="W86" s="450">
        <f>IF(ISERROR(VLOOKUP(T86,'Base de Datos'!$E$7:$AR$302,19,0))=TRUE," ",(VLOOKUP(T86,'Base de Datos'!$E$7:$AR$302,19,0)))</f>
        <v>3369839</v>
      </c>
      <c r="X86" s="455" t="str">
        <f>IF(ISERROR(VLOOKUP(T86,'Base de Datos'!$E$7:$AR$302,8,0))=TRUE," ",(VLOOKUP(T86,'Base de Datos'!$E$7:$AR$302,8,0)))</f>
        <v xml:space="preserve"> </v>
      </c>
      <c r="Y86" s="455">
        <f>IF(ISERROR(VLOOKUP(T86,'Base de Datos'!$E$7:$AR$302,9,0))=TRUE," ",(VLOOKUP(T86,'Base de Datos'!$E$7:$AR$302,9,0)))</f>
        <v>41963</v>
      </c>
      <c r="Z86" s="449">
        <f>IF(ISERROR(VLOOKUP(T86,'Base de Datos'!$E$7:$AR$302,10,0))=TRUE," ",(VLOOKUP(T86,'Base de Datos'!$E$7:$AR$302,10,0)))</f>
        <v>42205</v>
      </c>
      <c r="AA86" s="452">
        <f>IF(ISERROR(VLOOKUP(T86,'Base de Datos'!$E$7:$AR$302,11,0))=TRUE," ",(VLOOKUP(T86,'Base de Datos'!$E$7:$AR$302,11,0)))</f>
        <v>2</v>
      </c>
      <c r="AB86" s="449">
        <f>IF(ISERROR(VLOOKUP(T86,'Base de Datos'!$E$7:$AR$302,12,0))=TRUE," ",(VLOOKUP(T86,'Base de Datos'!$E$7:$AR$302,12,0)))</f>
        <v>162106669</v>
      </c>
      <c r="AC86" s="449">
        <f>IF(ISERROR(VLOOKUP(T86,'Base de Datos'!$E$7:$AR$302,12,0))=TRUE," ",(VLOOKUP(T86,'Base de Datos'!$E$7:$AR$302,12,0)))</f>
        <v>162106669</v>
      </c>
      <c r="AD86" s="455" t="str">
        <f>IF(ISERROR(VLOOKUP(T86,'Base de Datos'!$E$7:$AR$302,15,0))=TRUE," ",(VLOOKUP(T86,'Base de Datos'!$E$7:$AR$302,15,0)))</f>
        <v/>
      </c>
      <c r="AE86" s="460">
        <f>IF(ISERROR(VLOOKUP(T86,'Base de Datos'!$E$7:$AR$302,16,0))=TRUE," ",(VLOOKUP(T86,'Base de Datos'!$E$7:$AR$302,16,0)))</f>
        <v>42205</v>
      </c>
      <c r="AF86" s="460">
        <f>IF(ISERROR(VLOOKUP(T86,'Base de Datos'!$E$7:$AR$302,17,0))=TRUE," ",(VLOOKUP(T86,'Base de Datos'!$E$7:$AR$302,17,0)))</f>
        <v>668707669</v>
      </c>
      <c r="AG86" s="460">
        <f>IF(ISERROR(VLOOKUP(T86,'Base de Datos'!$E$7:$AR$302,18,0))=TRUE," ",(VLOOKUP(T86,'Base de Datos'!$E$7:$AR$302,18,0)))</f>
        <v>665337830</v>
      </c>
      <c r="AH86" s="461" t="str">
        <f>IF(ISERROR(VLOOKUP(T86,'Base de Datos'!$E$7:$AR$302,20,0))=TRUE," ",(VLOOKUP(T86,'Base de Datos'!$E$7:$AR$302,20,0)))</f>
        <v>Mensual</v>
      </c>
      <c r="AI86" s="461">
        <f>IF(ISERROR(VLOOKUP(T86,'Base de Datos'!$E$7:$AR$302,21,0))=TRUE," ",(VLOOKUP(T86,'Base de Datos'!$E$7:$AR$302,21,0)))</f>
        <v>0.99496066942818329</v>
      </c>
      <c r="AJ86" s="450"/>
      <c r="AK86" s="450" t="str">
        <f>IF(ISERROR(VLOOKUP(D86,'Base de Datos'!$C$7:$AR$400,2,0))=TRUE," ",(VLOOKUP(D86,'Base de Datos'!$C$7:$AR$400,2,0)))</f>
        <v xml:space="preserve"> </v>
      </c>
      <c r="AL86" s="450" t="str">
        <f>IF(ISERROR(VLOOKUP(D86,'Base de Datos'!$C$7:$AR$400,3,0))=TRUE," ",(VLOOKUP(D86,'Base de Datos'!$C$7:$AR$400,3,0)))</f>
        <v xml:space="preserve"> </v>
      </c>
      <c r="AM86" s="453" t="str">
        <f>IF(ISERROR(VLOOKUP(D86,'Base de Datos'!$C$7:$AR$3761,6,0))=TRUE," ",(VLOOKUP(D86,'Base de Datos'!$C$7:$AR$400,6,0)))</f>
        <v xml:space="preserve"> </v>
      </c>
      <c r="AN86" s="453" t="str">
        <f>IF(ISERROR(VLOOKUP(D86,'Base de Datos'!$C$7:$AR$400,20,0))=TRUE," ",(VLOOKUP(D86,'Base de Datos'!$C$7:$AR$400,19,0)))</f>
        <v xml:space="preserve"> </v>
      </c>
      <c r="AO86" s="456" t="str">
        <f>IF(ISERROR(VLOOKUP(D86,'Base de Datos'!$C$7:$AR$400,9,0))=TRUE," ",(VLOOKUP(D86,'Base de Datos'!$C$7:$AR$400,9,0)))</f>
        <v xml:space="preserve"> </v>
      </c>
      <c r="AP86" s="456" t="str">
        <f>IF(ISERROR(VLOOKUP(D86,'Base de Datos'!$C$7:$AR$400,10,0))=TRUE," ",(VLOOKUP(D86,'Base de Datos'!$C$7:$AR$400,10,0)))</f>
        <v xml:space="preserve"> </v>
      </c>
      <c r="AQ86" s="458" t="str">
        <f>IF(ISERROR(VLOOKUP(D86,'Base de Datos'!$C$7:$AR$400,11,0))=TRUE," ",(VLOOKUP(D86,'Base de Datos'!$C$7:$AR$400,11,0)))</f>
        <v xml:space="preserve"> </v>
      </c>
      <c r="AR86" s="459" t="str">
        <f>IF(ISERROR(VLOOKUP(D86,'Base de Datos'!$C$7:$AR$400,12,0))=TRUE," ",(VLOOKUP(D86,'Base de Datos'!$C$7:$AR$400,12,0)))</f>
        <v xml:space="preserve"> </v>
      </c>
      <c r="AS86" s="458" t="str">
        <f>IF(ISERROR(VLOOKUP(D86,'Base de Datos'!$C$7:$AR$400,13,0))=TRUE," ",(VLOOKUP(D86,'Base de Datos'!$C$7:$AR$400,13,0)))</f>
        <v xml:space="preserve"> </v>
      </c>
      <c r="AT86" s="458" t="str">
        <f>IF(ISERROR(VLOOKUP(D86,'Base de Datos'!$C$7:$AR$400,14,0))=TRUE," ",(VLOOKUP(D86,'Base de Datos'!$C$7:$AR$400,14,0)))</f>
        <v xml:space="preserve"> </v>
      </c>
      <c r="AU86" s="456" t="str">
        <f>IF(ISERROR(VLOOKUP(D86,'Base de Datos'!$C$7:$AR$400,16,0))=TRUE," ",(VLOOKUP(D86,'Base de Datos'!$C$7:$AR$400,16,0)))</f>
        <v xml:space="preserve"> </v>
      </c>
      <c r="AV86" s="460" t="str">
        <f>IF(ISERROR(VLOOKUP(D86,'Base de Datos'!$C$7:$AR$400,17,0))=TRUE," ",(VLOOKUP(D86,'Base de Datos'!$C$7:$AR$400,17,0)))</f>
        <v xml:space="preserve"> </v>
      </c>
      <c r="AW86" s="460" t="str">
        <f>IF(ISERROR(VLOOKUP(D86,'Base de Datos'!$C$7:$AR$400,18,0))=TRUE," ",(VLOOKUP(D86,'Base de Datos'!$C$7:$AR$400,18,0)))</f>
        <v xml:space="preserve"> </v>
      </c>
      <c r="AX86" s="460" t="str">
        <f>IF(ISERROR(VLOOKUP(D86,'Base de Datos'!$C$7:$AR$400,19,0))=TRUE," ",(VLOOKUP(D86,'Base de Datos'!$C$7:$AR$400,19,0)))</f>
        <v xml:space="preserve"> </v>
      </c>
      <c r="AY86" s="463" t="str">
        <f>IF(ISERROR(VLOOKUP(D86,'Base de Datos'!$C$7:$AR$400,21,0))=TRUE," ",(VLOOKUP(D86,'Base de Datos'!$C$7:$AR$400,21,0)))</f>
        <v xml:space="preserve"> </v>
      </c>
      <c r="AZ86" s="463" t="str">
        <f>IF(ISERROR(VLOOKUP(D86,'Base de Datos'!$C$7:$AR$400,22,0))=TRUE," ",(VLOOKUP(D86,'Base de Datos'!$C$7:$AR$400,22,0)))</f>
        <v xml:space="preserve"> </v>
      </c>
      <c r="BA86" s="470"/>
      <c r="BB86" s="480"/>
    </row>
    <row r="87" spans="2:54" ht="55.5" hidden="1" customHeight="1" x14ac:dyDescent="0.25">
      <c r="B87" s="433">
        <v>80</v>
      </c>
      <c r="C87" s="441" t="s">
        <v>1642</v>
      </c>
      <c r="D87" s="433">
        <v>157</v>
      </c>
      <c r="E87" s="441" t="s">
        <v>1668</v>
      </c>
      <c r="F87" s="442">
        <f>VLOOKUP(D87,'Presupuesto - PAA 2015'!$B$10:$E$265,4,0)</f>
        <v>29000000</v>
      </c>
      <c r="G87" s="434" t="str">
        <f>VLOOKUP(D87,'[4]Seguimiento Plan'!$C$2:$R$101,16,0)</f>
        <v>Suministro de elementos de promoción institucional y actos protocolarios del Concejo de Bogotá.-</v>
      </c>
      <c r="H87" s="434" t="s">
        <v>1776</v>
      </c>
      <c r="I87" s="434" t="s">
        <v>1713</v>
      </c>
      <c r="J87" s="443" t="s">
        <v>909</v>
      </c>
      <c r="K87" s="444" t="s">
        <v>390</v>
      </c>
      <c r="L87" s="444" t="str">
        <f>VLOOKUP(D87,'[4]Seguimiento Plan'!$C$2:$AJ$101,30,0)</f>
        <v>SI</v>
      </c>
      <c r="M87" s="445">
        <f>VLOOKUP(D87,'[4]Seguimiento Plan'!$C$2:$AJ$101,31,0)</f>
        <v>0</v>
      </c>
      <c r="N87" s="444"/>
      <c r="O87" s="446"/>
      <c r="P87" s="446"/>
      <c r="Q87" s="446"/>
      <c r="R87" s="447"/>
      <c r="S87" s="465" t="s">
        <v>1943</v>
      </c>
      <c r="T87" s="139" t="s">
        <v>276</v>
      </c>
      <c r="U87" s="450" t="str">
        <f>IF(ISERROR(VLOOKUP(T87,'Base de Datos'!$E$7:$AR$302,3,0))=TRUE," ",(VLOOKUP(T87,'Base de Datos'!$E$7:$AR$302,2,0)))</f>
        <v>GRANADOS Y CONDECORACIONES</v>
      </c>
      <c r="V87" s="453">
        <f>IF(ISERROR(VLOOKUP(T87,'Base de Datos'!$E$7:$AR$302,5,0))=TRUE," ",(VLOOKUP(T87,'Base de Datos'!$E$7:$AR$302,5,0)))</f>
        <v>32631000</v>
      </c>
      <c r="W87" s="450">
        <f>IF(ISERROR(VLOOKUP(T87,'Base de Datos'!$E$7:$AR$302,19,0))=TRUE," ",(VLOOKUP(T87,'Base de Datos'!$E$7:$AR$302,19,0)))</f>
        <v>36369</v>
      </c>
      <c r="X87" s="455" t="str">
        <f>IF(ISERROR(VLOOKUP(T87,'Base de Datos'!$E$7:$AR$302,8,0))=TRUE," ",(VLOOKUP(T87,'Base de Datos'!$E$7:$AR$302,8,0)))</f>
        <v xml:space="preserve"> </v>
      </c>
      <c r="Y87" s="455">
        <f>IF(ISERROR(VLOOKUP(T87,'Base de Datos'!$E$7:$AR$302,9,0))=TRUE," ",(VLOOKUP(T87,'Base de Datos'!$E$7:$AR$302,9,0)))</f>
        <v>41753</v>
      </c>
      <c r="Z87" s="449">
        <f>IF(ISERROR(VLOOKUP(T87,'Base de Datos'!$E$7:$AR$302,10,0))=TRUE," ",(VLOOKUP(T87,'Base de Datos'!$E$7:$AR$302,10,0)))</f>
        <v>42117</v>
      </c>
      <c r="AA87" s="452">
        <f>IF(ISERROR(VLOOKUP(T87,'Base de Datos'!$E$7:$AR$302,11,0))=TRUE," ",(VLOOKUP(T87,'Base de Datos'!$E$7:$AR$302,11,0)))</f>
        <v>0</v>
      </c>
      <c r="AB87" s="449">
        <f>IF(ISERROR(VLOOKUP(T87,'Base de Datos'!$E$7:$AR$302,12,0))=TRUE," ",(VLOOKUP(T87,'Base de Datos'!$E$7:$AR$302,12,0)))</f>
        <v>0</v>
      </c>
      <c r="AC87" s="449">
        <f>IF(ISERROR(VLOOKUP(T87,'Base de Datos'!$E$7:$AR$302,12,0))=TRUE," ",(VLOOKUP(T87,'Base de Datos'!$E$7:$AR$302,12,0)))</f>
        <v>0</v>
      </c>
      <c r="AD87" s="455" t="str">
        <f>IF(ISERROR(VLOOKUP(T87,'Base de Datos'!$E$7:$AR$302,15,0))=TRUE," ",(VLOOKUP(T87,'Base de Datos'!$E$7:$AR$302,15,0)))</f>
        <v/>
      </c>
      <c r="AE87" s="460">
        <f>IF(ISERROR(VLOOKUP(T87,'Base de Datos'!$E$7:$AR$302,16,0))=TRUE," ",(VLOOKUP(T87,'Base de Datos'!$E$7:$AR$302,16,0)))</f>
        <v>42117</v>
      </c>
      <c r="AF87" s="460">
        <f>IF(ISERROR(VLOOKUP(T87,'Base de Datos'!$E$7:$AR$302,17,0))=TRUE," ",(VLOOKUP(T87,'Base de Datos'!$E$7:$AR$302,17,0)))</f>
        <v>32631000</v>
      </c>
      <c r="AG87" s="460">
        <f>IF(ISERROR(VLOOKUP(T87,'Base de Datos'!$E$7:$AR$302,18,0))=TRUE," ",(VLOOKUP(T87,'Base de Datos'!$E$7:$AR$302,18,0)))</f>
        <v>32594631</v>
      </c>
      <c r="AH87" s="461" t="str">
        <f>IF(ISERROR(VLOOKUP(T87,'Base de Datos'!$E$7:$AR$302,20,0))=TRUE," ",(VLOOKUP(T87,'Base de Datos'!$E$7:$AR$302,20,0)))</f>
        <v xml:space="preserve">Se realizarán pagos mensuales correspondientes a la cantidad de elementos elaborados y entregados dentro de cada mes, de acuerdo con los requerimientos del supervisor del contrato.
  </v>
      </c>
      <c r="AI87" s="461">
        <f>IF(ISERROR(VLOOKUP(T87,'Base de Datos'!$E$7:$AR$302,21,0))=TRUE," ",(VLOOKUP(T87,'Base de Datos'!$E$7:$AR$302,21,0)))</f>
        <v>0.99888544635469334</v>
      </c>
      <c r="AJ87" s="464">
        <v>42167</v>
      </c>
      <c r="AK87" s="450" t="str">
        <f>IF(ISERROR(VLOOKUP(D87,'Base de Datos'!$C$7:$AR$400,2,0))=TRUE," ",(VLOOKUP(D87,'Base de Datos'!$C$7:$AR$400,2,0)))</f>
        <v>2015157</v>
      </c>
      <c r="AL87" s="450" t="str">
        <f>IF(ISERROR(VLOOKUP(D87,'Base de Datos'!$C$7:$AR$400,3,0))=TRUE," ",(VLOOKUP(D87,'Base de Datos'!$C$7:$AR$400,3,0)))</f>
        <v>150255-0-2015</v>
      </c>
      <c r="AM87" s="453" t="str">
        <f>IF(ISERROR(VLOOKUP(D87,'Base de Datos'!$C$7:$AR$3761,6,0))=TRUE," ",(VLOOKUP(D87,'Base de Datos'!$C$7:$AR$400,6,0)))</f>
        <v>Suministro de elementos de promoción institucional y actos protocolarios del Concejo de Bogotá, D.C., de conformidad con lo establecido en la presente invitación pública</v>
      </c>
      <c r="AN87" s="453">
        <f>IF(ISERROR(VLOOKUP(D87,'Base de Datos'!$C$7:$AR$400,20,0))=TRUE," ",(VLOOKUP(D87,'Base de Datos'!$C$7:$AR$400,19,0)))</f>
        <v>43417333</v>
      </c>
      <c r="AO87" s="456">
        <f>IF(ISERROR(VLOOKUP(D87,'Base de Datos'!$C$7:$AR$400,9,0))=TRUE," ",(VLOOKUP(D87,'Base de Datos'!$C$7:$AR$400,9,0)))</f>
        <v>2015</v>
      </c>
      <c r="AP87" s="456">
        <f>IF(ISERROR(VLOOKUP(D87,'Base de Datos'!$C$7:$AR$400,10,0))=TRUE," ",(VLOOKUP(D87,'Base de Datos'!$C$7:$AR$400,10,0)))</f>
        <v>42167</v>
      </c>
      <c r="AQ87" s="458">
        <f>IF(ISERROR(VLOOKUP(D87,'Base de Datos'!$C$7:$AR$400,11,0))=TRUE," ",(VLOOKUP(D87,'Base de Datos'!$C$7:$AR$400,11,0)))</f>
        <v>42179</v>
      </c>
      <c r="AR87" s="459">
        <f>IF(ISERROR(VLOOKUP(D87,'Base de Datos'!$C$7:$AR$400,12,0))=TRUE," ",(VLOOKUP(D87,'Base de Datos'!$C$7:$AR$400,12,0)))</f>
        <v>42484</v>
      </c>
      <c r="AS87" s="458">
        <f>IF(ISERROR(VLOOKUP(D87,'Base de Datos'!$C$7:$AR$400,13,0))=TRUE," ",(VLOOKUP(D87,'Base de Datos'!$C$7:$AR$400,13,0)))</f>
        <v>1</v>
      </c>
      <c r="AT87" s="458">
        <f>IF(ISERROR(VLOOKUP(D87,'Base de Datos'!$C$7:$AR$400,14,0))=TRUE," ",(VLOOKUP(D87,'Base de Datos'!$C$7:$AR$400,14,0)))</f>
        <v>14417333</v>
      </c>
      <c r="AU87" s="456" t="str">
        <f>IF(ISERROR(VLOOKUP(D87,'Base de Datos'!$C$7:$AR$400,16,0))=TRUE," ",(VLOOKUP(D87,'Base de Datos'!$C$7:$AR$400,16,0)))</f>
        <v>2 meses</v>
      </c>
      <c r="AV87" s="460">
        <f>IF(ISERROR(VLOOKUP(D87,'Base de Datos'!$C$7:$AR$400,17,0))=TRUE," ",(VLOOKUP(D87,'Base de Datos'!$C$7:$AR$400,17,0)))</f>
        <v>42545</v>
      </c>
      <c r="AW87" s="460">
        <f>IF(ISERROR(VLOOKUP(D87,'Base de Datos'!$C$7:$AR$400,18,0))=TRUE," ",(VLOOKUP(D87,'Base de Datos'!$C$7:$AR$400,18,0)))</f>
        <v>42545</v>
      </c>
      <c r="AX87" s="460">
        <f>IF(ISERROR(VLOOKUP(D87,'Base de Datos'!$C$7:$AR$400,19,0))=TRUE," ",(VLOOKUP(D87,'Base de Datos'!$C$7:$AR$400,19,0)))</f>
        <v>43417333</v>
      </c>
      <c r="AY87" s="463">
        <f>IF(ISERROR(VLOOKUP(D87,'Base de Datos'!$C$7:$AR$400,21,0))=TRUE," ",(VLOOKUP(D87,'Base de Datos'!$C$7:$AR$400,21,0)))</f>
        <v>40655</v>
      </c>
      <c r="AZ87" s="463" t="str">
        <f>IF(ISERROR(VLOOKUP(D87,'Base de Datos'!$C$7:$AR$400,22,0))=TRUE," ",(VLOOKUP(D87,'Base de Datos'!$C$7:$AR$400,22,0)))</f>
        <v>Pagos mensuales</v>
      </c>
      <c r="BA87" s="470"/>
      <c r="BB87" s="480"/>
    </row>
    <row r="88" spans="2:54" ht="55.5" hidden="1" customHeight="1" x14ac:dyDescent="0.25">
      <c r="B88" s="433">
        <v>81</v>
      </c>
      <c r="C88" s="441" t="s">
        <v>1642</v>
      </c>
      <c r="D88" s="433">
        <v>158</v>
      </c>
      <c r="E88" s="441" t="s">
        <v>1668</v>
      </c>
      <c r="F88" s="442">
        <f>VLOOKUP(D88,'Presupuesto - PAA 2015'!$B$10:$E$265,4,0)</f>
        <v>180000000</v>
      </c>
      <c r="G88" s="434" t="str">
        <f>VLOOKUP(D88,'[4]Seguimiento Plan'!$C$2:$R$101,16,0)</f>
        <v>Aunar esfuerzos y recursos humanos, financieros y técnicos para realizar las actividades asociadas a la intervención de los bienes muebles de carácter patrimonial del Concejo de Bogotá D.C.</v>
      </c>
      <c r="H88" s="434" t="s">
        <v>1776</v>
      </c>
      <c r="I88" s="434" t="s">
        <v>1718</v>
      </c>
      <c r="J88" s="443" t="s">
        <v>908</v>
      </c>
      <c r="K88" s="444"/>
      <c r="L88" s="444"/>
      <c r="M88" s="445"/>
      <c r="N88" s="444"/>
      <c r="O88" s="446"/>
      <c r="P88" s="446"/>
      <c r="Q88" s="446"/>
      <c r="R88" s="447"/>
      <c r="S88" s="447"/>
      <c r="T88" s="448"/>
      <c r="U88" s="450" t="str">
        <f>IF(ISERROR(VLOOKUP(T88,'Base de Datos'!$E$7:$AR$302,3,0))=TRUE," ",(VLOOKUP(T88,'Base de Datos'!$E$7:$AR$302,2,0)))</f>
        <v xml:space="preserve"> </v>
      </c>
      <c r="V88" s="453" t="str">
        <f>IF(ISERROR(VLOOKUP(T88,'Base de Datos'!$E$7:$AR$302,5,0))=TRUE," ",(VLOOKUP(T88,'Base de Datos'!$E$7:$AR$302,5,0)))</f>
        <v xml:space="preserve"> </v>
      </c>
      <c r="W88" s="450" t="str">
        <f>IF(ISERROR(VLOOKUP(T88,'Base de Datos'!$E$7:$AR$302,19,0))=TRUE," ",(VLOOKUP(T88,'Base de Datos'!$E$7:$AR$302,19,0)))</f>
        <v xml:space="preserve"> </v>
      </c>
      <c r="X88" s="455" t="str">
        <f>IF(ISERROR(VLOOKUP(T88,'Base de Datos'!$E$7:$AR$302,8,0))=TRUE," ",(VLOOKUP(T88,'Base de Datos'!$E$7:$AR$302,8,0)))</f>
        <v xml:space="preserve"> </v>
      </c>
      <c r="Y88" s="455" t="str">
        <f>IF(ISERROR(VLOOKUP(T88,'Base de Datos'!$E$7:$AR$302,9,0))=TRUE," ",(VLOOKUP(T88,'Base de Datos'!$E$7:$AR$302,9,0)))</f>
        <v xml:space="preserve"> </v>
      </c>
      <c r="Z88" s="449" t="str">
        <f>IF(ISERROR(VLOOKUP(T88,'Base de Datos'!$E$7:$AR$302,10,0))=TRUE," ",(VLOOKUP(T88,'Base de Datos'!$E$7:$AR$302,10,0)))</f>
        <v xml:space="preserve"> </v>
      </c>
      <c r="AA88" s="452" t="str">
        <f>IF(ISERROR(VLOOKUP(T88,'Base de Datos'!$E$7:$AR$302,11,0))=TRUE," ",(VLOOKUP(T88,'Base de Datos'!$E$7:$AR$302,11,0)))</f>
        <v xml:space="preserve"> </v>
      </c>
      <c r="AB88" s="449" t="str">
        <f>IF(ISERROR(VLOOKUP(T88,'Base de Datos'!$E$7:$AR$302,12,0))=TRUE," ",(VLOOKUP(T88,'Base de Datos'!$E$7:$AR$302,12,0)))</f>
        <v xml:space="preserve"> </v>
      </c>
      <c r="AC88" s="449" t="str">
        <f>IF(ISERROR(VLOOKUP(T88,'Base de Datos'!$E$7:$AR$302,12,0))=TRUE," ",(VLOOKUP(T88,'Base de Datos'!$E$7:$AR$302,12,0)))</f>
        <v xml:space="preserve"> </v>
      </c>
      <c r="AD88" s="455" t="str">
        <f>IF(ISERROR(VLOOKUP(T88,'Base de Datos'!$E$7:$AR$302,15,0))=TRUE," ",(VLOOKUP(T88,'Base de Datos'!$E$7:$AR$302,15,0)))</f>
        <v xml:space="preserve"> </v>
      </c>
      <c r="AE88" s="460" t="str">
        <f>IF(ISERROR(VLOOKUP(T88,'Base de Datos'!$E$7:$AR$302,16,0))=TRUE," ",(VLOOKUP(T88,'Base de Datos'!$E$7:$AR$302,16,0)))</f>
        <v xml:space="preserve"> </v>
      </c>
      <c r="AF88" s="460" t="str">
        <f>IF(ISERROR(VLOOKUP(T88,'Base de Datos'!$E$7:$AR$302,17,0))=TRUE," ",(VLOOKUP(T88,'Base de Datos'!$E$7:$AR$302,17,0)))</f>
        <v xml:space="preserve"> </v>
      </c>
      <c r="AG88" s="460" t="str">
        <f>IF(ISERROR(VLOOKUP(T88,'Base de Datos'!$E$7:$AR$302,18,0))=TRUE," ",(VLOOKUP(T88,'Base de Datos'!$E$7:$AR$302,18,0)))</f>
        <v xml:space="preserve"> </v>
      </c>
      <c r="AH88" s="461" t="str">
        <f>IF(ISERROR(VLOOKUP(T88,'Base de Datos'!$E$7:$AR$302,20,0))=TRUE," ",(VLOOKUP(T88,'Base de Datos'!$E$7:$AR$302,20,0)))</f>
        <v xml:space="preserve"> </v>
      </c>
      <c r="AI88" s="461" t="str">
        <f>IF(ISERROR(VLOOKUP(T88,'Base de Datos'!$E$7:$AR$302,21,0))=TRUE," ",(VLOOKUP(T88,'Base de Datos'!$E$7:$AR$302,21,0)))</f>
        <v xml:space="preserve"> </v>
      </c>
      <c r="AJ88" s="450"/>
      <c r="AK88" s="450" t="str">
        <f>IF(ISERROR(VLOOKUP(D88,'Base de Datos'!$C$7:$AR$400,2,0))=TRUE," ",(VLOOKUP(D88,'Base de Datos'!$C$7:$AR$400,2,0)))</f>
        <v>2015158</v>
      </c>
      <c r="AL88" s="450" t="str">
        <f>IF(ISERROR(VLOOKUP(D88,'Base de Datos'!$C$7:$AR$400,3,0))=TRUE," ",(VLOOKUP(D88,'Base de Datos'!$C$7:$AR$400,3,0)))</f>
        <v>150271-0-2015</v>
      </c>
      <c r="AM88" s="453" t="str">
        <f>IF(ISERROR(VLOOKUP(D88,'Base de Datos'!$C$7:$AR$3761,6,0))=TRUE," ",(VLOOKUP(D88,'Base de Datos'!$C$7:$AR$400,6,0)))</f>
        <v>Aunar esfuerzos, recursos técnicos, humanos y financieros para la intervención y realización de las actividades asociadas a la restauración - conservación de los bienes muebles de carácter patrimonial del Honorable Concejo de Bogotá D.C., correspondientes en el grupo Fase III.</v>
      </c>
      <c r="AN88" s="453">
        <f>IF(ISERROR(VLOOKUP(D88,'Base de Datos'!$C$7:$AR$400,20,0))=TRUE," ",(VLOOKUP(D88,'Base de Datos'!$C$7:$AR$400,19,0)))</f>
        <v>180000000</v>
      </c>
      <c r="AO88" s="456">
        <f>IF(ISERROR(VLOOKUP(D88,'Base de Datos'!$C$7:$AR$400,9,0))=TRUE," ",(VLOOKUP(D88,'Base de Datos'!$C$7:$AR$400,9,0)))</f>
        <v>2015</v>
      </c>
      <c r="AP88" s="456">
        <f>IF(ISERROR(VLOOKUP(D88,'Base de Datos'!$C$7:$AR$400,10,0))=TRUE," ",(VLOOKUP(D88,'Base de Datos'!$C$7:$AR$400,10,0)))</f>
        <v>42179</v>
      </c>
      <c r="AQ88" s="458">
        <f>IF(ISERROR(VLOOKUP(D88,'Base de Datos'!$C$7:$AR$400,11,0))=TRUE," ",(VLOOKUP(D88,'Base de Datos'!$C$7:$AR$400,11,0)))</f>
        <v>42219</v>
      </c>
      <c r="AR88" s="459">
        <f>IF(ISERROR(VLOOKUP(D88,'Base de Datos'!$C$7:$AR$400,12,0))=TRUE," ",(VLOOKUP(D88,'Base de Datos'!$C$7:$AR$400,12,0)))</f>
        <v>42492</v>
      </c>
      <c r="AS88" s="458">
        <f>IF(ISERROR(VLOOKUP(D88,'Base de Datos'!$C$7:$AR$400,13,0))=TRUE," ",(VLOOKUP(D88,'Base de Datos'!$C$7:$AR$400,13,0)))</f>
        <v>0</v>
      </c>
      <c r="AT88" s="458">
        <f>IF(ISERROR(VLOOKUP(D88,'Base de Datos'!$C$7:$AR$400,14,0))=TRUE," ",(VLOOKUP(D88,'Base de Datos'!$C$7:$AR$400,14,0)))</f>
        <v>0</v>
      </c>
      <c r="AU88" s="456" t="str">
        <f>IF(ISERROR(VLOOKUP(D88,'Base de Datos'!$C$7:$AR$400,16,0))=TRUE," ",(VLOOKUP(D88,'Base de Datos'!$C$7:$AR$400,16,0)))</f>
        <v>9 meses</v>
      </c>
      <c r="AV88" s="460">
        <f>IF(ISERROR(VLOOKUP(D88,'Base de Datos'!$C$7:$AR$400,17,0))=TRUE," ",(VLOOKUP(D88,'Base de Datos'!$C$7:$AR$400,17,0)))</f>
        <v>42949</v>
      </c>
      <c r="AW88" s="460">
        <f>IF(ISERROR(VLOOKUP(D88,'Base de Datos'!$C$7:$AR$400,18,0))=TRUE," ",(VLOOKUP(D88,'Base de Datos'!$C$7:$AR$400,18,0)))</f>
        <v>42949</v>
      </c>
      <c r="AX88" s="460">
        <f>IF(ISERROR(VLOOKUP(D88,'Base de Datos'!$C$7:$AR$400,19,0))=TRUE," ",(VLOOKUP(D88,'Base de Datos'!$C$7:$AR$400,19,0)))</f>
        <v>180000000</v>
      </c>
      <c r="AY88" s="463">
        <f>IF(ISERROR(VLOOKUP(D88,'Base de Datos'!$C$7:$AR$400,21,0))=TRUE," ",(VLOOKUP(D88,'Base de Datos'!$C$7:$AR$400,21,0)))</f>
        <v>0</v>
      </c>
      <c r="AZ88" s="463">
        <f>IF(ISERROR(VLOOKUP(D88,'Base de Datos'!$C$7:$AR$400,22,0))=TRUE," ",(VLOOKUP(D88,'Base de Datos'!$C$7:$AR$400,22,0)))</f>
        <v>0</v>
      </c>
      <c r="BA88" s="470"/>
      <c r="BB88" s="480"/>
    </row>
    <row r="89" spans="2:54" ht="55.5" hidden="1" customHeight="1" x14ac:dyDescent="0.25">
      <c r="B89" s="433">
        <v>82</v>
      </c>
      <c r="C89" s="441" t="s">
        <v>1642</v>
      </c>
      <c r="D89" s="433">
        <v>182</v>
      </c>
      <c r="E89" s="441" t="s">
        <v>1668</v>
      </c>
      <c r="F89" s="442">
        <f>VLOOKUP(D89,'Presupuesto - PAA 2015'!$B$10:$E$265,4,0)</f>
        <v>102000000</v>
      </c>
      <c r="G89" s="434" t="str">
        <f>VLOOKUP(D89,'[4]Seguimiento Plan'!$C$2:$R$101,16,0)</f>
        <v>Presar el servicio de alquiler de escenarios como salones, auditorios y espacios abiertos, apoyo logístico y servicio de catering para el desarrollo de eventos que requieran la Secretaría Distrital de Hacienda y el Concejo de Bogotá.</v>
      </c>
      <c r="H89" s="434" t="s">
        <v>1776</v>
      </c>
      <c r="I89" s="434" t="s">
        <v>1710</v>
      </c>
      <c r="J89" s="443" t="s">
        <v>913</v>
      </c>
      <c r="K89" s="444" t="s">
        <v>390</v>
      </c>
      <c r="L89" s="444" t="str">
        <f>VLOOKUP(D89,'[4]Seguimiento Plan'!$C$2:$AJ$101,30,0)</f>
        <v>SI</v>
      </c>
      <c r="M89" s="445">
        <f>VLOOKUP(D89,'[4]Seguimiento Plan'!$C$2:$AJ$101,31,0)</f>
        <v>42025</v>
      </c>
      <c r="N89" s="444"/>
      <c r="O89" s="446"/>
      <c r="P89" s="446"/>
      <c r="Q89" s="446"/>
      <c r="R89" s="447"/>
      <c r="S89" s="465" t="s">
        <v>1751</v>
      </c>
      <c r="T89" s="343" t="s">
        <v>297</v>
      </c>
      <c r="U89" s="450" t="str">
        <f>IF(ISERROR(VLOOKUP(T89,'Base de Datos'!$E$7:$AR$302,3,0))=TRUE," ",(VLOOKUP(T89,'Base de Datos'!$E$7:$AR$302,2,0)))</f>
        <v>COMPENSAR SALONES</v>
      </c>
      <c r="V89" s="453">
        <f>IF(ISERROR(VLOOKUP(T89,'Base de Datos'!$E$7:$AR$302,5,0))=TRUE," ",(VLOOKUP(T89,'Base de Datos'!$E$7:$AR$302,5,0)))</f>
        <v>65200000</v>
      </c>
      <c r="W89" s="450">
        <f>IF(ISERROR(VLOOKUP(T89,'Base de Datos'!$E$7:$AR$302,19,0))=TRUE," ",(VLOOKUP(T89,'Base de Datos'!$E$7:$AR$302,19,0)))</f>
        <v>5482</v>
      </c>
      <c r="X89" s="455" t="str">
        <f>IF(ISERROR(VLOOKUP(T89,'Base de Datos'!$E$7:$AR$302,8,0))=TRUE," ",(VLOOKUP(T89,'Base de Datos'!$E$7:$AR$302,8,0)))</f>
        <v xml:space="preserve"> </v>
      </c>
      <c r="Y89" s="455">
        <f>IF(ISERROR(VLOOKUP(T89,'Base de Datos'!$E$7:$AR$302,9,0))=TRUE," ",(VLOOKUP(T89,'Base de Datos'!$E$7:$AR$302,9,0)))</f>
        <v>41835</v>
      </c>
      <c r="Z89" s="449">
        <f>IF(ISERROR(VLOOKUP(T89,'Base de Datos'!$E$7:$AR$302,10,0))=TRUE," ",(VLOOKUP(T89,'Base de Datos'!$E$7:$AR$302,10,0)))</f>
        <v>42078</v>
      </c>
      <c r="AA89" s="452">
        <f>IF(ISERROR(VLOOKUP(T89,'Base de Datos'!$E$7:$AR$302,11,0))=TRUE," ",(VLOOKUP(T89,'Base de Datos'!$E$7:$AR$302,11,0)))</f>
        <v>1</v>
      </c>
      <c r="AB89" s="449">
        <f>IF(ISERROR(VLOOKUP(T89,'Base de Datos'!$E$7:$AR$302,12,0))=TRUE," ",(VLOOKUP(T89,'Base de Datos'!$E$7:$AR$302,12,0)))</f>
        <v>32600000</v>
      </c>
      <c r="AC89" s="449">
        <f>IF(ISERROR(VLOOKUP(T89,'Base de Datos'!$E$7:$AR$302,12,0))=TRUE," ",(VLOOKUP(T89,'Base de Datos'!$E$7:$AR$302,12,0)))</f>
        <v>32600000</v>
      </c>
      <c r="AD89" s="455">
        <f>IF(ISERROR(VLOOKUP(T89,'Base de Datos'!$E$7:$AR$302,15,0))=TRUE," ",(VLOOKUP(T89,'Base de Datos'!$E$7:$AR$302,15,0)))</f>
        <v>42139</v>
      </c>
      <c r="AE89" s="460">
        <f>IF(ISERROR(VLOOKUP(T89,'Base de Datos'!$E$7:$AR$302,16,0))=TRUE," ",(VLOOKUP(T89,'Base de Datos'!$E$7:$AR$302,16,0)))</f>
        <v>42139</v>
      </c>
      <c r="AF89" s="460">
        <f>IF(ISERROR(VLOOKUP(T89,'Base de Datos'!$E$7:$AR$302,17,0))=TRUE," ",(VLOOKUP(T89,'Base de Datos'!$E$7:$AR$302,17,0)))</f>
        <v>97800000</v>
      </c>
      <c r="AG89" s="460">
        <f>IF(ISERROR(VLOOKUP(T89,'Base de Datos'!$E$7:$AR$302,18,0))=TRUE," ",(VLOOKUP(T89,'Base de Datos'!$E$7:$AR$302,18,0)))</f>
        <v>97794518</v>
      </c>
      <c r="AH89" s="461" t="str">
        <f>IF(ISERROR(VLOOKUP(T89,'Base de Datos'!$E$7:$AR$302,20,0))=TRUE," ",(VLOOKUP(T89,'Base de Datos'!$E$7:$AR$302,20,0)))</f>
        <v>La Secretaría Distrital de Hacienda efectuará los pagos mensualmente en pesos colombianos de acuerdo con las actividades efectivamente ejecutadas en su totalidad en el mes anterior y que sean aprobadas y certificadas por los Supervisores para el contrato de la Secretaria Distrital de Hacienda y para el Concejo de Bogotá, previa presentación de las facturas respectivas.</v>
      </c>
      <c r="AI89" s="461">
        <f>IF(ISERROR(VLOOKUP(T89,'Base de Datos'!$E$7:$AR$302,21,0))=TRUE," ",(VLOOKUP(T89,'Base de Datos'!$E$7:$AR$302,21,0)))</f>
        <v>0.99994394683026588</v>
      </c>
      <c r="AJ89" s="464">
        <v>42171</v>
      </c>
      <c r="AK89" s="450" t="str">
        <f>IF(ISERROR(VLOOKUP(D89,'Base de Datos'!$C$7:$AR$400,2,0))=TRUE," ",(VLOOKUP(D89,'Base de Datos'!$C$7:$AR$400,2,0)))</f>
        <v>2015182</v>
      </c>
      <c r="AL89" s="450" t="str">
        <f>IF(ISERROR(VLOOKUP(D89,'Base de Datos'!$C$7:$AR$400,3,0))=TRUE," ",(VLOOKUP(D89,'Base de Datos'!$C$7:$AR$400,3,0)))</f>
        <v>150260-0-2015</v>
      </c>
      <c r="AM89" s="453" t="str">
        <f>IF(ISERROR(VLOOKUP(D89,'Base de Datos'!$C$7:$AR$3761,6,0))=TRUE," ",(VLOOKUP(D89,'Base de Datos'!$C$7:$AR$400,6,0)))</f>
        <v>Prestar el servicio de alquiler de escenarios como salones, auditorios y espacios abiertos, apoyo logístico y servicio de catering para el desarrollo de eventos que requieran el Concejo de Bogotá D.C., de conformidad con lo establecido en el pliego de condiciones del proceso de selección abreviada de menor cuantía No. SDH-SAMC-01-2015 y la propuesta presentada por el contratista.</v>
      </c>
      <c r="AN89" s="453">
        <f>IF(ISERROR(VLOOKUP(D89,'Base de Datos'!$C$7:$AR$400,20,0))=TRUE," ",(VLOOKUP(D89,'Base de Datos'!$C$7:$AR$400,19,0)))</f>
        <v>124930204</v>
      </c>
      <c r="AO89" s="456">
        <f>IF(ISERROR(VLOOKUP(D89,'Base de Datos'!$C$7:$AR$400,9,0))=TRUE," ",(VLOOKUP(D89,'Base de Datos'!$C$7:$AR$400,9,0)))</f>
        <v>2015</v>
      </c>
      <c r="AP89" s="456">
        <f>IF(ISERROR(VLOOKUP(D89,'Base de Datos'!$C$7:$AR$400,10,0))=TRUE," ",(VLOOKUP(D89,'Base de Datos'!$C$7:$AR$400,10,0)))</f>
        <v>42171</v>
      </c>
      <c r="AQ89" s="458">
        <f>IF(ISERROR(VLOOKUP(D89,'Base de Datos'!$C$7:$AR$400,11,0))=TRUE," ",(VLOOKUP(D89,'Base de Datos'!$C$7:$AR$400,11,0)))</f>
        <v>42186</v>
      </c>
      <c r="AR89" s="459">
        <f>IF(ISERROR(VLOOKUP(D89,'Base de Datos'!$C$7:$AR$400,12,0))=TRUE," ",(VLOOKUP(D89,'Base de Datos'!$C$7:$AR$400,12,0)))</f>
        <v>42519</v>
      </c>
      <c r="AS89" s="458">
        <f>IF(ISERROR(VLOOKUP(D89,'Base de Datos'!$C$7:$AR$400,13,0))=TRUE," ",(VLOOKUP(D89,'Base de Datos'!$C$7:$AR$400,13,0)))</f>
        <v>1</v>
      </c>
      <c r="AT89" s="458">
        <f>IF(ISERROR(VLOOKUP(D89,'Base de Datos'!$C$7:$AR$400,14,0))=TRUE," ",(VLOOKUP(D89,'Base de Datos'!$C$7:$AR$400,14,0)))</f>
        <v>22930204</v>
      </c>
      <c r="AU89" s="456" t="str">
        <f>IF(ISERROR(VLOOKUP(D89,'Base de Datos'!$C$7:$AR$400,16,0))=TRUE," ",(VLOOKUP(D89,'Base de Datos'!$C$7:$AR$400,16,0)))</f>
        <v>1 mes</v>
      </c>
      <c r="AV89" s="460">
        <f>IF(ISERROR(VLOOKUP(D89,'Base de Datos'!$C$7:$AR$400,17,0))=TRUE," ",(VLOOKUP(D89,'Base de Datos'!$C$7:$AR$400,17,0)))</f>
        <v>42522</v>
      </c>
      <c r="AW89" s="460">
        <f>IF(ISERROR(VLOOKUP(D89,'Base de Datos'!$C$7:$AR$400,18,0))=TRUE," ",(VLOOKUP(D89,'Base de Datos'!$C$7:$AR$400,18,0)))</f>
        <v>42522</v>
      </c>
      <c r="AX89" s="460">
        <f>IF(ISERROR(VLOOKUP(D89,'Base de Datos'!$C$7:$AR$400,19,0))=TRUE," ",(VLOOKUP(D89,'Base de Datos'!$C$7:$AR$400,19,0)))</f>
        <v>124930204</v>
      </c>
      <c r="AY89" s="463">
        <f>IF(ISERROR(VLOOKUP(D89,'Base de Datos'!$C$7:$AR$400,21,0))=TRUE," ",(VLOOKUP(D89,'Base de Datos'!$C$7:$AR$400,21,0)))</f>
        <v>56017</v>
      </c>
      <c r="AZ89" s="463" t="str">
        <f>IF(ISERROR(VLOOKUP(D89,'Base de Datos'!$C$7:$AR$400,22,0))=TRUE," ",(VLOOKUP(D89,'Base de Datos'!$C$7:$AR$400,22,0)))</f>
        <v>Mensualidades de acuerdo a las actividades prestadas</v>
      </c>
      <c r="BA89" s="470"/>
      <c r="BB89" s="480"/>
    </row>
    <row r="90" spans="2:54" ht="55.5" hidden="1" customHeight="1" x14ac:dyDescent="0.25">
      <c r="B90" s="433">
        <v>83</v>
      </c>
      <c r="C90" s="441" t="s">
        <v>1642</v>
      </c>
      <c r="D90" s="433">
        <v>275</v>
      </c>
      <c r="E90" s="441" t="s">
        <v>1668</v>
      </c>
      <c r="F90" s="442">
        <f>VLOOKUP(D90,'Presupuesto - PAA 2015'!$B$10:$E$265,4,0)</f>
        <v>32600000</v>
      </c>
      <c r="G90" s="434" t="str">
        <f>VLOOKUP(D90,'[4]Seguimiento Plan'!$C$2:$R$101,16,0)</f>
        <v xml:space="preserve">Adicion y prorroga al contrato 140238-0-2014 que tiene por objeto: Prestar el servicio de alquiler de escenarios como salones, auditorios y espacios abiertos, apoyo logístico y servicio de catering para el desarrollo de eventos que requiera el Concejo de </v>
      </c>
      <c r="H90" s="434" t="s">
        <v>1776</v>
      </c>
      <c r="I90" s="434" t="s">
        <v>1710</v>
      </c>
      <c r="J90" s="443" t="s">
        <v>590</v>
      </c>
      <c r="K90" s="444" t="s">
        <v>390</v>
      </c>
      <c r="L90" s="444" t="str">
        <f>VLOOKUP(D90,'[4]Seguimiento Plan'!$C$2:$AJ$101,30,0)</f>
        <v>SI</v>
      </c>
      <c r="M90" s="445"/>
      <c r="N90" s="444"/>
      <c r="O90" s="446"/>
      <c r="P90" s="446"/>
      <c r="Q90" s="446"/>
      <c r="R90" s="447"/>
      <c r="S90" s="447"/>
      <c r="T90" s="343" t="s">
        <v>297</v>
      </c>
      <c r="U90" s="450" t="str">
        <f>IF(ISERROR(VLOOKUP(T90,'Base de Datos'!$E$7:$AR$302,3,0))=TRUE," ",(VLOOKUP(T90,'Base de Datos'!$E$7:$AR$302,2,0)))</f>
        <v>COMPENSAR SALONES</v>
      </c>
      <c r="V90" s="453">
        <f>IF(ISERROR(VLOOKUP(T90,'Base de Datos'!$E$7:$AR$302,5,0))=TRUE," ",(VLOOKUP(T90,'Base de Datos'!$E$7:$AR$302,5,0)))</f>
        <v>65200000</v>
      </c>
      <c r="W90" s="450">
        <f>IF(ISERROR(VLOOKUP(T90,'Base de Datos'!$E$7:$AR$302,19,0))=TRUE," ",(VLOOKUP(T90,'Base de Datos'!$E$7:$AR$302,19,0)))</f>
        <v>5482</v>
      </c>
      <c r="X90" s="455" t="str">
        <f>IF(ISERROR(VLOOKUP(T90,'Base de Datos'!$E$7:$AR$302,8,0))=TRUE," ",(VLOOKUP(T90,'Base de Datos'!$E$7:$AR$302,8,0)))</f>
        <v xml:space="preserve"> </v>
      </c>
      <c r="Y90" s="455">
        <f>IF(ISERROR(VLOOKUP(T90,'Base de Datos'!$E$7:$AR$302,9,0))=TRUE," ",(VLOOKUP(T90,'Base de Datos'!$E$7:$AR$302,9,0)))</f>
        <v>41835</v>
      </c>
      <c r="Z90" s="449">
        <f>IF(ISERROR(VLOOKUP(T90,'Base de Datos'!$E$7:$AR$302,10,0))=TRUE," ",(VLOOKUP(T90,'Base de Datos'!$E$7:$AR$302,10,0)))</f>
        <v>42078</v>
      </c>
      <c r="AA90" s="452">
        <f>IF(ISERROR(VLOOKUP(T90,'Base de Datos'!$E$7:$AR$302,11,0))=TRUE," ",(VLOOKUP(T90,'Base de Datos'!$E$7:$AR$302,11,0)))</f>
        <v>1</v>
      </c>
      <c r="AB90" s="449">
        <f>IF(ISERROR(VLOOKUP(T90,'Base de Datos'!$E$7:$AR$302,12,0))=TRUE," ",(VLOOKUP(T90,'Base de Datos'!$E$7:$AR$302,12,0)))</f>
        <v>32600000</v>
      </c>
      <c r="AC90" s="449">
        <f>IF(ISERROR(VLOOKUP(T90,'Base de Datos'!$E$7:$AR$302,12,0))=TRUE," ",(VLOOKUP(T90,'Base de Datos'!$E$7:$AR$302,12,0)))</f>
        <v>32600000</v>
      </c>
      <c r="AD90" s="455">
        <f>IF(ISERROR(VLOOKUP(T90,'Base de Datos'!$E$7:$AR$302,15,0))=TRUE," ",(VLOOKUP(T90,'Base de Datos'!$E$7:$AR$302,15,0)))</f>
        <v>42139</v>
      </c>
      <c r="AE90" s="460">
        <f>IF(ISERROR(VLOOKUP(T90,'Base de Datos'!$E$7:$AR$302,16,0))=TRUE," ",(VLOOKUP(T90,'Base de Datos'!$E$7:$AR$302,16,0)))</f>
        <v>42139</v>
      </c>
      <c r="AF90" s="460">
        <f>IF(ISERROR(VLOOKUP(T90,'Base de Datos'!$E$7:$AR$302,17,0))=TRUE," ",(VLOOKUP(T90,'Base de Datos'!$E$7:$AR$302,17,0)))</f>
        <v>97800000</v>
      </c>
      <c r="AG90" s="460">
        <f>IF(ISERROR(VLOOKUP(T90,'Base de Datos'!$E$7:$AR$302,18,0))=TRUE," ",(VLOOKUP(T90,'Base de Datos'!$E$7:$AR$302,18,0)))</f>
        <v>97794518</v>
      </c>
      <c r="AH90" s="461" t="str">
        <f>IF(ISERROR(VLOOKUP(T90,'Base de Datos'!$E$7:$AR$302,20,0))=TRUE," ",(VLOOKUP(T90,'Base de Datos'!$E$7:$AR$302,20,0)))</f>
        <v>La Secretaría Distrital de Hacienda efectuará los pagos mensualmente en pesos colombianos de acuerdo con las actividades efectivamente ejecutadas en su totalidad en el mes anterior y que sean aprobadas y certificadas por los Supervisores para el contrato de la Secretaria Distrital de Hacienda y para el Concejo de Bogotá, previa presentación de las facturas respectivas.</v>
      </c>
      <c r="AI90" s="461">
        <f>IF(ISERROR(VLOOKUP(T90,'Base de Datos'!$E$7:$AR$302,21,0))=TRUE," ",(VLOOKUP(T90,'Base de Datos'!$E$7:$AR$302,21,0)))</f>
        <v>0.99994394683026588</v>
      </c>
      <c r="AJ90" s="450"/>
      <c r="AK90" s="450" t="str">
        <f>IF(ISERROR(VLOOKUP(D90,'Base de Datos'!$C$7:$AR$400,2,0))=TRUE," ",(VLOOKUP(D90,'Base de Datos'!$C$7:$AR$400,2,0)))</f>
        <v xml:space="preserve"> </v>
      </c>
      <c r="AL90" s="450" t="str">
        <f>IF(ISERROR(VLOOKUP(D90,'Base de Datos'!$C$7:$AR$400,3,0))=TRUE," ",(VLOOKUP(D90,'Base de Datos'!$C$7:$AR$400,3,0)))</f>
        <v xml:space="preserve"> </v>
      </c>
      <c r="AM90" s="453" t="str">
        <f>IF(ISERROR(VLOOKUP(D90,'Base de Datos'!$C$7:$AR$3761,6,0))=TRUE," ",(VLOOKUP(D90,'Base de Datos'!$C$7:$AR$400,6,0)))</f>
        <v xml:space="preserve"> </v>
      </c>
      <c r="AN90" s="453" t="str">
        <f>IF(ISERROR(VLOOKUP(D90,'Base de Datos'!$C$7:$AR$400,20,0))=TRUE," ",(VLOOKUP(D90,'Base de Datos'!$C$7:$AR$400,19,0)))</f>
        <v xml:space="preserve"> </v>
      </c>
      <c r="AO90" s="456" t="str">
        <f>IF(ISERROR(VLOOKUP(D90,'Base de Datos'!$C$7:$AR$400,9,0))=TRUE," ",(VLOOKUP(D90,'Base de Datos'!$C$7:$AR$400,9,0)))</f>
        <v xml:space="preserve"> </v>
      </c>
      <c r="AP90" s="456" t="str">
        <f>IF(ISERROR(VLOOKUP(D90,'Base de Datos'!$C$7:$AR$400,10,0))=TRUE," ",(VLOOKUP(D90,'Base de Datos'!$C$7:$AR$400,10,0)))</f>
        <v xml:space="preserve"> </v>
      </c>
      <c r="AQ90" s="458" t="str">
        <f>IF(ISERROR(VLOOKUP(D90,'Base de Datos'!$C$7:$AR$400,11,0))=TRUE," ",(VLOOKUP(D90,'Base de Datos'!$C$7:$AR$400,11,0)))</f>
        <v xml:space="preserve"> </v>
      </c>
      <c r="AR90" s="459" t="str">
        <f>IF(ISERROR(VLOOKUP(D90,'Base de Datos'!$C$7:$AR$400,12,0))=TRUE," ",(VLOOKUP(D90,'Base de Datos'!$C$7:$AR$400,12,0)))</f>
        <v xml:space="preserve"> </v>
      </c>
      <c r="AS90" s="458" t="str">
        <f>IF(ISERROR(VLOOKUP(D90,'Base de Datos'!$C$7:$AR$400,13,0))=TRUE," ",(VLOOKUP(D90,'Base de Datos'!$C$7:$AR$400,13,0)))</f>
        <v xml:space="preserve"> </v>
      </c>
      <c r="AT90" s="458" t="str">
        <f>IF(ISERROR(VLOOKUP(D90,'Base de Datos'!$C$7:$AR$400,14,0))=TRUE," ",(VLOOKUP(D90,'Base de Datos'!$C$7:$AR$400,14,0)))</f>
        <v xml:space="preserve"> </v>
      </c>
      <c r="AU90" s="456" t="str">
        <f>IF(ISERROR(VLOOKUP(D90,'Base de Datos'!$C$7:$AR$400,16,0))=TRUE," ",(VLOOKUP(D90,'Base de Datos'!$C$7:$AR$400,16,0)))</f>
        <v xml:space="preserve"> </v>
      </c>
      <c r="AV90" s="460" t="str">
        <f>IF(ISERROR(VLOOKUP(D90,'Base de Datos'!$C$7:$AR$400,17,0))=TRUE," ",(VLOOKUP(D90,'Base de Datos'!$C$7:$AR$400,17,0)))</f>
        <v xml:space="preserve"> </v>
      </c>
      <c r="AW90" s="460" t="str">
        <f>IF(ISERROR(VLOOKUP(D90,'Base de Datos'!$C$7:$AR$400,18,0))=TRUE," ",(VLOOKUP(D90,'Base de Datos'!$C$7:$AR$400,18,0)))</f>
        <v xml:space="preserve"> </v>
      </c>
      <c r="AX90" s="460" t="str">
        <f>IF(ISERROR(VLOOKUP(D90,'Base de Datos'!$C$7:$AR$400,19,0))=TRUE," ",(VLOOKUP(D90,'Base de Datos'!$C$7:$AR$400,19,0)))</f>
        <v xml:space="preserve"> </v>
      </c>
      <c r="AY90" s="463" t="str">
        <f>IF(ISERROR(VLOOKUP(D90,'Base de Datos'!$C$7:$AR$400,21,0))=TRUE," ",(VLOOKUP(D90,'Base de Datos'!$C$7:$AR$400,21,0)))</f>
        <v xml:space="preserve"> </v>
      </c>
      <c r="AZ90" s="463" t="str">
        <f>IF(ISERROR(VLOOKUP(D90,'Base de Datos'!$C$7:$AR$400,22,0))=TRUE," ",(VLOOKUP(D90,'Base de Datos'!$C$7:$AR$400,22,0)))</f>
        <v xml:space="preserve"> </v>
      </c>
      <c r="BA90" s="470"/>
      <c r="BB90" s="480"/>
    </row>
    <row r="91" spans="2:54" ht="55.5" customHeight="1" x14ac:dyDescent="0.25">
      <c r="B91" s="433">
        <v>84</v>
      </c>
      <c r="C91" s="441" t="s">
        <v>1642</v>
      </c>
      <c r="D91" s="433">
        <v>186</v>
      </c>
      <c r="E91" s="441" t="s">
        <v>1669</v>
      </c>
      <c r="F91" s="442">
        <f>VLOOKUP(D91,'Presupuesto - PAA 2015'!$B$10:$E$265,4,0)</f>
        <v>6000000</v>
      </c>
      <c r="G91" s="434" t="str">
        <f>VLOOKUP(D91,'[4]Seguimiento Plan'!$C$2:$R$101,16,0)</f>
        <v>Adquisición de elementos e insumos necesarios para atender los primeros auxilios y dotar los botiquines de la Secretaría de Hacienda</v>
      </c>
      <c r="H91" s="434" t="s">
        <v>1776</v>
      </c>
      <c r="I91" s="434" t="s">
        <v>1712</v>
      </c>
      <c r="J91" s="443" t="s">
        <v>909</v>
      </c>
      <c r="K91" s="444" t="s">
        <v>390</v>
      </c>
      <c r="L91" s="444" t="str">
        <f>VLOOKUP(D91,'[4]Seguimiento Plan'!$C$2:$AJ$101,30,0)</f>
        <v>SI</v>
      </c>
      <c r="M91" s="445">
        <f>VLOOKUP(D91,'[4]Seguimiento Plan'!$C$2:$AJ$101,31,0)</f>
        <v>42020</v>
      </c>
      <c r="N91" s="444"/>
      <c r="O91" s="446"/>
      <c r="P91" s="446"/>
      <c r="Q91" s="446"/>
      <c r="R91" s="447"/>
      <c r="S91" s="704" t="s">
        <v>2158</v>
      </c>
      <c r="T91" s="139" t="s">
        <v>296</v>
      </c>
      <c r="U91" s="450" t="str">
        <f>IF(ISERROR(VLOOKUP(T91,'Base de Datos'!$E$7:$AR$302,3,0))=TRUE," ",(VLOOKUP(T91,'Base de Datos'!$E$7:$AR$302,2,0)))</f>
        <v>TECNOLOGÍA BIOMÉDICA</v>
      </c>
      <c r="V91" s="453">
        <f>IF(ISERROR(VLOOKUP(T91,'Base de Datos'!$E$7:$AR$302,5,0))=TRUE," ",(VLOOKUP(T91,'Base de Datos'!$E$7:$AR$302,5,0)))</f>
        <v>5719790</v>
      </c>
      <c r="W91" s="450">
        <f>IF(ISERROR(VLOOKUP(T91,'Base de Datos'!$E$7:$AR$302,19,0))=TRUE," ",(VLOOKUP(T91,'Base de Datos'!$E$7:$AR$302,19,0)))</f>
        <v>0</v>
      </c>
      <c r="X91" s="455" t="str">
        <f>IF(ISERROR(VLOOKUP(T91,'Base de Datos'!$E$7:$AR$302,8,0))=TRUE," ",(VLOOKUP(T91,'Base de Datos'!$E$7:$AR$302,8,0)))</f>
        <v xml:space="preserve"> </v>
      </c>
      <c r="Y91" s="455">
        <f>IF(ISERROR(VLOOKUP(T91,'Base de Datos'!$E$7:$AR$302,9,0))=TRUE," ",(VLOOKUP(T91,'Base de Datos'!$E$7:$AR$302,9,0)))</f>
        <v>41807</v>
      </c>
      <c r="Z91" s="449">
        <f>IF(ISERROR(VLOOKUP(T91,'Base de Datos'!$E$7:$AR$302,10,0))=TRUE," ",(VLOOKUP(T91,'Base de Datos'!$E$7:$AR$302,10,0)))</f>
        <v>41867</v>
      </c>
      <c r="AA91" s="452">
        <f>IF(ISERROR(VLOOKUP(T91,'Base de Datos'!$E$7:$AR$302,11,0))=TRUE," ",(VLOOKUP(T91,'Base de Datos'!$E$7:$AR$302,11,0)))</f>
        <v>0</v>
      </c>
      <c r="AB91" s="449">
        <f>IF(ISERROR(VLOOKUP(T91,'Base de Datos'!$E$7:$AR$302,12,0))=TRUE," ",(VLOOKUP(T91,'Base de Datos'!$E$7:$AR$302,12,0)))</f>
        <v>0</v>
      </c>
      <c r="AC91" s="449">
        <f>IF(ISERROR(VLOOKUP(T91,'Base de Datos'!$E$7:$AR$302,12,0))=TRUE," ",(VLOOKUP(T91,'Base de Datos'!$E$7:$AR$302,12,0)))</f>
        <v>0</v>
      </c>
      <c r="AD91" s="455" t="str">
        <f>IF(ISERROR(VLOOKUP(T91,'Base de Datos'!$E$7:$AR$302,15,0))=TRUE," ",(VLOOKUP(T91,'Base de Datos'!$E$7:$AR$302,15,0)))</f>
        <v/>
      </c>
      <c r="AE91" s="460">
        <f>IF(ISERROR(VLOOKUP(T91,'Base de Datos'!$E$7:$AR$302,16,0))=TRUE," ",(VLOOKUP(T91,'Base de Datos'!$E$7:$AR$302,16,0)))</f>
        <v>41867</v>
      </c>
      <c r="AF91" s="460">
        <f>IF(ISERROR(VLOOKUP(T91,'Base de Datos'!$E$7:$AR$302,17,0))=TRUE," ",(VLOOKUP(T91,'Base de Datos'!$E$7:$AR$302,17,0)))</f>
        <v>5719790</v>
      </c>
      <c r="AG91" s="460">
        <f>IF(ISERROR(VLOOKUP(T91,'Base de Datos'!$E$7:$AR$302,18,0))=TRUE," ",(VLOOKUP(T91,'Base de Datos'!$E$7:$AR$302,18,0)))</f>
        <v>5719790</v>
      </c>
      <c r="AH91" s="461" t="str">
        <f>IF(ISERROR(VLOOKUP(T91,'Base de Datos'!$E$7:$AR$302,20,0))=TRUE," ",(VLOOKUP(T91,'Base de Datos'!$E$7:$AR$302,20,0)))</f>
        <v xml:space="preserve">Un único pago que se efectuará a la entrega de los bienes objeto de contratación, previa  radicación de la factura en la Subdirección Financiera y certificación de recibo  a satisfacción expedida por el supervisor y constancia de ingreso al Almacén.  
</v>
      </c>
      <c r="AI91" s="461">
        <f>IF(ISERROR(VLOOKUP(T91,'Base de Datos'!$E$7:$AR$302,21,0))=TRUE," ",(VLOOKUP(T91,'Base de Datos'!$E$7:$AR$302,21,0)))</f>
        <v>1</v>
      </c>
      <c r="AJ91" s="450"/>
      <c r="AK91" s="450" t="str">
        <f>IF(ISERROR(VLOOKUP(D91,'Base de Datos'!$C$7:$AR$400,2,0))=TRUE," ",(VLOOKUP(D91,'Base de Datos'!$C$7:$AR$400,2,0)))</f>
        <v>2015186</v>
      </c>
      <c r="AL91" s="450" t="str">
        <f>IF(ISERROR(VLOOKUP(D91,'Base de Datos'!$C$7:$AR$400,3,0))=TRUE," ",(VLOOKUP(D91,'Base de Datos'!$C$7:$AR$400,3,0)))</f>
        <v>150353-0-2015</v>
      </c>
      <c r="AM91" s="453" t="str">
        <f>IF(ISERROR(VLOOKUP(D91,'Base de Datos'!$C$7:$AR$3761,6,0))=TRUE," ",(VLOOKUP(D91,'Base de Datos'!$C$7:$AR$400,6,0)))</f>
        <v>Adquisición de elementos e insumos necesarios para atender los primeros auxilios y dotar los botiquines del Concejo de Bogotá D.C.</v>
      </c>
      <c r="AN91" s="453">
        <f>IF(ISERROR(VLOOKUP(D91,'Base de Datos'!$C$7:$AR$400,20,0))=TRUE," ",(VLOOKUP(D91,'Base de Datos'!$C$7:$AR$400,19,0)))</f>
        <v>6000000</v>
      </c>
      <c r="AO91" s="456">
        <f>IF(ISERROR(VLOOKUP(D91,'Base de Datos'!$C$7:$AR$400,9,0))=TRUE," ",(VLOOKUP(D91,'Base de Datos'!$C$7:$AR$400,9,0)))</f>
        <v>2015</v>
      </c>
      <c r="AP91" s="456">
        <f>IF(ISERROR(VLOOKUP(D91,'Base de Datos'!$C$7:$AR$400,10,0))=TRUE," ",(VLOOKUP(D91,'Base de Datos'!$C$7:$AR$400,10,0)))</f>
        <v>42261</v>
      </c>
      <c r="AQ91" s="458">
        <f>IF(ISERROR(VLOOKUP(D91,'Base de Datos'!$C$7:$AR$400,11,0))=TRUE," ",(VLOOKUP(D91,'Base de Datos'!$C$7:$AR$400,11,0)))</f>
        <v>42291</v>
      </c>
      <c r="AR91" s="459">
        <f>IF(ISERROR(VLOOKUP(D91,'Base de Datos'!$C$7:$AR$400,12,0))=TRUE," ",(VLOOKUP(D91,'Base de Datos'!$C$7:$AR$400,12,0)))</f>
        <v>42352</v>
      </c>
      <c r="AS91" s="458">
        <f>IF(ISERROR(VLOOKUP(D91,'Base de Datos'!$C$7:$AR$400,13,0))=TRUE," ",(VLOOKUP(D91,'Base de Datos'!$C$7:$AR$400,13,0)))</f>
        <v>0</v>
      </c>
      <c r="AT91" s="458">
        <f>IF(ISERROR(VLOOKUP(D91,'Base de Datos'!$C$7:$AR$400,14,0))=TRUE," ",(VLOOKUP(D91,'Base de Datos'!$C$7:$AR$400,14,0)))</f>
        <v>0</v>
      </c>
      <c r="AU91" s="456" t="str">
        <f>IF(ISERROR(VLOOKUP(D91,'Base de Datos'!$C$7:$AR$400,16,0))=TRUE," ",(VLOOKUP(D91,'Base de Datos'!$C$7:$AR$400,16,0)))</f>
        <v/>
      </c>
      <c r="AV91" s="460" t="str">
        <f>IF(ISERROR(VLOOKUP(D91,'Base de Datos'!$C$7:$AR$400,17,0))=TRUE," ",(VLOOKUP(D91,'Base de Datos'!$C$7:$AR$400,17,0)))</f>
        <v/>
      </c>
      <c r="AW91" s="460">
        <f>IF(ISERROR(VLOOKUP(D91,'Base de Datos'!$C$7:$AR$400,18,0))=TRUE," ",(VLOOKUP(D91,'Base de Datos'!$C$7:$AR$400,18,0)))</f>
        <v>42352</v>
      </c>
      <c r="AX91" s="460">
        <f>IF(ISERROR(VLOOKUP(D91,'Base de Datos'!$C$7:$AR$400,19,0))=TRUE," ",(VLOOKUP(D91,'Base de Datos'!$C$7:$AR$400,19,0)))</f>
        <v>6000000</v>
      </c>
      <c r="AY91" s="463">
        <f>IF(ISERROR(VLOOKUP(D91,'Base de Datos'!$C$7:$AR$400,21,0))=TRUE," ",(VLOOKUP(D91,'Base de Datos'!$C$7:$AR$400,21,0)))</f>
        <v>110</v>
      </c>
      <c r="AZ91" s="463" t="str">
        <f>IF(ISERROR(VLOOKUP(D91,'Base de Datos'!$C$7:$AR$400,22,0))=TRUE," ",(VLOOKUP(D91,'Base de Datos'!$C$7:$AR$400,22,0)))</f>
        <v>Un único pago con la entrega de los bines objeto del contrato.</v>
      </c>
      <c r="BA91" s="470"/>
      <c r="BB91" s="480"/>
    </row>
    <row r="92" spans="2:54" ht="55.5" hidden="1" customHeight="1" x14ac:dyDescent="0.25">
      <c r="B92" s="433">
        <v>85</v>
      </c>
      <c r="C92" s="441" t="s">
        <v>1642</v>
      </c>
      <c r="D92" s="433">
        <v>187</v>
      </c>
      <c r="E92" s="441" t="s">
        <v>1669</v>
      </c>
      <c r="F92" s="442">
        <f>VLOOKUP(D92,'Presupuesto - PAA 2015'!$B$10:$E$265,4,0)</f>
        <v>19141000</v>
      </c>
      <c r="G92" s="434" t="str">
        <f>VLOOKUP(D92,'[4]Seguimiento Plan'!$C$2:$R$101,16,0)</f>
        <v>Adquisición de elementos de protección personal para los servidores de la Secretaría de Hacienda</v>
      </c>
      <c r="H92" s="434" t="s">
        <v>1776</v>
      </c>
      <c r="I92" s="434" t="s">
        <v>1712</v>
      </c>
      <c r="J92" s="443" t="s">
        <v>909</v>
      </c>
      <c r="K92" s="444" t="s">
        <v>390</v>
      </c>
      <c r="L92" s="444" t="str">
        <f>VLOOKUP(D92,'[4]Seguimiento Plan'!$C$2:$AJ$101,30,0)</f>
        <v>SI</v>
      </c>
      <c r="M92" s="445">
        <f>VLOOKUP(D92,'[4]Seguimiento Plan'!$C$2:$AJ$101,31,0)</f>
        <v>42020</v>
      </c>
      <c r="N92" s="444"/>
      <c r="O92" s="446"/>
      <c r="P92" s="446"/>
      <c r="Q92" s="446"/>
      <c r="R92" s="447"/>
      <c r="S92" s="465" t="s">
        <v>2118</v>
      </c>
      <c r="T92" s="344" t="s">
        <v>553</v>
      </c>
      <c r="U92" s="450" t="str">
        <f>IF(ISERROR(VLOOKUP(T92,'Base de Datos'!$E$7:$AR$302,3,0))=TRUE," ",(VLOOKUP(T92,'Base de Datos'!$E$7:$AR$302,2,0)))</f>
        <v>SUPERIOR DE DOTACIONES SAS</v>
      </c>
      <c r="V92" s="453">
        <f>IF(ISERROR(VLOOKUP(T92,'Base de Datos'!$E$7:$AR$302,5,0))=TRUE," ",(VLOOKUP(T92,'Base de Datos'!$E$7:$AR$302,5,0)))</f>
        <v>19356282</v>
      </c>
      <c r="W92" s="450">
        <f>IF(ISERROR(VLOOKUP(T92,'Base de Datos'!$E$7:$AR$302,19,0))=TRUE," ",(VLOOKUP(T92,'Base de Datos'!$E$7:$AR$302,19,0)))</f>
        <v>0</v>
      </c>
      <c r="X92" s="455" t="str">
        <f>IF(ISERROR(VLOOKUP(T92,'Base de Datos'!$E$7:$AR$302,8,0))=TRUE," ",(VLOOKUP(T92,'Base de Datos'!$E$7:$AR$302,8,0)))</f>
        <v xml:space="preserve"> </v>
      </c>
      <c r="Y92" s="455">
        <f>IF(ISERROR(VLOOKUP(T92,'Base de Datos'!$E$7:$AR$302,9,0))=TRUE," ",(VLOOKUP(T92,'Base de Datos'!$E$7:$AR$302,9,0)))</f>
        <v>41887</v>
      </c>
      <c r="Z92" s="449">
        <f>IF(ISERROR(VLOOKUP(T92,'Base de Datos'!$E$7:$AR$302,10,0))=TRUE," ",(VLOOKUP(T92,'Base de Datos'!$E$7:$AR$302,10,0)))</f>
        <v>42009</v>
      </c>
      <c r="AA92" s="452">
        <f>IF(ISERROR(VLOOKUP(T92,'Base de Datos'!$E$7:$AR$302,11,0))=TRUE," ",(VLOOKUP(T92,'Base de Datos'!$E$7:$AR$302,11,0)))</f>
        <v>0</v>
      </c>
      <c r="AB92" s="449">
        <f>IF(ISERROR(VLOOKUP(T92,'Base de Datos'!$E$7:$AR$302,12,0))=TRUE," ",(VLOOKUP(T92,'Base de Datos'!$E$7:$AR$302,12,0)))</f>
        <v>0</v>
      </c>
      <c r="AC92" s="449">
        <f>IF(ISERROR(VLOOKUP(T92,'Base de Datos'!$E$7:$AR$302,12,0))=TRUE," ",(VLOOKUP(T92,'Base de Datos'!$E$7:$AR$302,12,0)))</f>
        <v>0</v>
      </c>
      <c r="AD92" s="455" t="str">
        <f>IF(ISERROR(VLOOKUP(T92,'Base de Datos'!$E$7:$AR$302,15,0))=TRUE," ",(VLOOKUP(T92,'Base de Datos'!$E$7:$AR$302,15,0)))</f>
        <v/>
      </c>
      <c r="AE92" s="460">
        <f>IF(ISERROR(VLOOKUP(T92,'Base de Datos'!$E$7:$AR$302,16,0))=TRUE," ",(VLOOKUP(T92,'Base de Datos'!$E$7:$AR$302,16,0)))</f>
        <v>42009</v>
      </c>
      <c r="AF92" s="460">
        <f>IF(ISERROR(VLOOKUP(T92,'Base de Datos'!$E$7:$AR$302,17,0))=TRUE," ",(VLOOKUP(T92,'Base de Datos'!$E$7:$AR$302,17,0)))</f>
        <v>19356282</v>
      </c>
      <c r="AG92" s="460">
        <f>IF(ISERROR(VLOOKUP(T92,'Base de Datos'!$E$7:$AR$302,18,0))=TRUE," ",(VLOOKUP(T92,'Base de Datos'!$E$7:$AR$302,18,0)))</f>
        <v>19356282</v>
      </c>
      <c r="AH92" s="461" t="str">
        <f>IF(ISERROR(VLOOKUP(T92,'Base de Datos'!$E$7:$AR$302,20,0))=TRUE," ",(VLOOKUP(T92,'Base de Datos'!$E$7:$AR$302,20,0)))</f>
        <v xml:space="preserve">La Secretaría Distrital de Hacienda efectuará un único pago que se efectuará a la entrega de los bienes objeto de contratación, previa  radicación de la factura en la Subdirección Financiera y certificación de recibo  a satisfacción expedida por el supervisor y constancia de ingreso al Almacén.   
|Los pagos se efectuarán dentro de los ocho (8)  días hábiles  siguientes a la radicación en la Subdirección Financiera de la certificación de cumplimiento a satisfacción del objeto y obligaciones, expedida por el supervisor o interventor del contrato, acompañada de los respectivos recibos de pago por concepto de aportes al Sistema de Seguridad Social Integral en Salud y Pensión, aportes parafiscales: Sena, ICBF y Cajas de Compensación Familiar, cuando corresponda.
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
</v>
      </c>
      <c r="AI92" s="461">
        <f>IF(ISERROR(VLOOKUP(T92,'Base de Datos'!$E$7:$AR$302,21,0))=TRUE," ",(VLOOKUP(T92,'Base de Datos'!$E$7:$AR$302,21,0)))</f>
        <v>1</v>
      </c>
      <c r="AJ92" s="450"/>
      <c r="AK92" s="450" t="str">
        <f>IF(ISERROR(VLOOKUP(D92,'Base de Datos'!$C$7:$AR$400,2,0))=TRUE," ",(VLOOKUP(D92,'Base de Datos'!$C$7:$AR$400,2,0)))</f>
        <v>2015187</v>
      </c>
      <c r="AL92" s="450" t="str">
        <f>IF(ISERROR(VLOOKUP(D92,'Base de Datos'!$C$7:$AR$400,3,0))=TRUE," ",(VLOOKUP(D92,'Base de Datos'!$C$7:$AR$400,3,0)))</f>
        <v>150348-0-2015</v>
      </c>
      <c r="AM92" s="453" t="str">
        <f>IF(ISERROR(VLOOKUP(D92,'Base de Datos'!$C$7:$AR$3761,6,0))=TRUE," ",(VLOOKUP(D92,'Base de Datos'!$C$7:$AR$400,6,0)))</f>
        <v>Adquirir a título de compraventa elementos de protección personal para los servidores públicos del Concejo de Bogotá, D.C</v>
      </c>
      <c r="AN92" s="453">
        <f>IF(ISERROR(VLOOKUP(D92,'Base de Datos'!$C$7:$AR$400,20,0))=TRUE," ",(VLOOKUP(D92,'Base de Datos'!$C$7:$AR$400,19,0)))</f>
        <v>19141000</v>
      </c>
      <c r="AO92" s="456">
        <f>IF(ISERROR(VLOOKUP(D92,'Base de Datos'!$C$7:$AR$400,9,0))=TRUE," ",(VLOOKUP(D92,'Base de Datos'!$C$7:$AR$400,9,0)))</f>
        <v>2015</v>
      </c>
      <c r="AP92" s="456">
        <f>IF(ISERROR(VLOOKUP(D92,'Base de Datos'!$C$7:$AR$400,10,0))=TRUE," ",(VLOOKUP(D92,'Base de Datos'!$C$7:$AR$400,10,0)))</f>
        <v>42248</v>
      </c>
      <c r="AQ92" s="458">
        <f>IF(ISERROR(VLOOKUP(D92,'Base de Datos'!$C$7:$AR$400,11,0))=TRUE," ",(VLOOKUP(D92,'Base de Datos'!$C$7:$AR$400,11,0)))</f>
        <v>42262</v>
      </c>
      <c r="AR92" s="459">
        <f>IF(ISERROR(VLOOKUP(D92,'Base de Datos'!$C$7:$AR$400,12,0))=TRUE," ",(VLOOKUP(D92,'Base de Datos'!$C$7:$AR$400,12,0)))</f>
        <v>42384</v>
      </c>
      <c r="AS92" s="458">
        <f>IF(ISERROR(VLOOKUP(D92,'Base de Datos'!$C$7:$AR$400,13,0))=TRUE," ",(VLOOKUP(D92,'Base de Datos'!$C$7:$AR$400,13,0)))</f>
        <v>0</v>
      </c>
      <c r="AT92" s="458">
        <f>IF(ISERROR(VLOOKUP(D92,'Base de Datos'!$C$7:$AR$400,14,0))=TRUE," ",(VLOOKUP(D92,'Base de Datos'!$C$7:$AR$400,14,0)))</f>
        <v>0</v>
      </c>
      <c r="AU92" s="456" t="str">
        <f>IF(ISERROR(VLOOKUP(D92,'Base de Datos'!$C$7:$AR$400,16,0))=TRUE," ",(VLOOKUP(D92,'Base de Datos'!$C$7:$AR$400,16,0)))</f>
        <v/>
      </c>
      <c r="AV92" s="460" t="str">
        <f>IF(ISERROR(VLOOKUP(D92,'Base de Datos'!$C$7:$AR$400,17,0))=TRUE," ",(VLOOKUP(D92,'Base de Datos'!$C$7:$AR$400,17,0)))</f>
        <v/>
      </c>
      <c r="AW92" s="460">
        <f>IF(ISERROR(VLOOKUP(D92,'Base de Datos'!$C$7:$AR$400,18,0))=TRUE," ",(VLOOKUP(D92,'Base de Datos'!$C$7:$AR$400,18,0)))</f>
        <v>42384</v>
      </c>
      <c r="AX92" s="460">
        <f>IF(ISERROR(VLOOKUP(D92,'Base de Datos'!$C$7:$AR$400,19,0))=TRUE," ",(VLOOKUP(D92,'Base de Datos'!$C$7:$AR$400,19,0)))</f>
        <v>19141000</v>
      </c>
      <c r="AY92" s="463">
        <f>IF(ISERROR(VLOOKUP(D92,'Base de Datos'!$C$7:$AR$400,21,0))=TRUE," ",(VLOOKUP(D92,'Base de Datos'!$C$7:$AR$400,21,0)))</f>
        <v>602</v>
      </c>
      <c r="AZ92" s="463" t="str">
        <f>IF(ISERROR(VLOOKUP(D92,'Base de Datos'!$C$7:$AR$400,22,0))=TRUE," ",(VLOOKUP(D92,'Base de Datos'!$C$7:$AR$400,22,0)))</f>
        <v>Un pago único con la entrega de los bienes</v>
      </c>
      <c r="BA92" s="470"/>
      <c r="BB92" s="480"/>
    </row>
    <row r="93" spans="2:54" ht="55.5" hidden="1" customHeight="1" x14ac:dyDescent="0.25">
      <c r="B93" s="433">
        <v>86</v>
      </c>
      <c r="C93" s="441" t="s">
        <v>1642</v>
      </c>
      <c r="D93" s="433">
        <v>188</v>
      </c>
      <c r="E93" s="441" t="s">
        <v>1669</v>
      </c>
      <c r="F93" s="442">
        <f>VLOOKUP(D93,'Presupuesto - PAA 2015'!$B$10:$E$265,4,0)</f>
        <v>52390000</v>
      </c>
      <c r="G93" s="434" t="str">
        <f>VLOOKUP(D93,'[4]Seguimiento Plan'!$C$2:$R$101,16,0)</f>
        <v>Realizar exámenes médicos ocupacionales y complementarios y aplicación de vacunas para los funcionarios de la Secretaría Distrital de Hacienda y del Concejo de Bogotá</v>
      </c>
      <c r="H93" s="434" t="s">
        <v>1776</v>
      </c>
      <c r="I93" s="434" t="s">
        <v>1710</v>
      </c>
      <c r="J93" s="443" t="s">
        <v>913</v>
      </c>
      <c r="K93" s="444" t="s">
        <v>390</v>
      </c>
      <c r="L93" s="444" t="str">
        <f>VLOOKUP(D93,'[4]Seguimiento Plan'!$C$2:$AJ$101,30,0)</f>
        <v>SI</v>
      </c>
      <c r="M93" s="445">
        <f>VLOOKUP(D93,'[4]Seguimiento Plan'!$C$2:$AJ$101,31,0)</f>
        <v>42036</v>
      </c>
      <c r="N93" s="444"/>
      <c r="O93" s="446"/>
      <c r="P93" s="446"/>
      <c r="Q93" s="446"/>
      <c r="R93" s="447"/>
      <c r="S93" s="465" t="s">
        <v>1873</v>
      </c>
      <c r="T93" s="344" t="s">
        <v>1160</v>
      </c>
      <c r="U93" s="450" t="str">
        <f>IF(ISERROR(VLOOKUP(T93,'Base de Datos'!$E$7:$AR$302,3,0))=TRUE," ",(VLOOKUP(T93,'Base de Datos'!$E$7:$AR$302,2,0)))</f>
        <v>CENTRO DE DIAGNOSTICO Y TRATAMIENTO CENDIATRA LTDA</v>
      </c>
      <c r="V93" s="453">
        <f>IF(ISERROR(VLOOKUP(T93,'Base de Datos'!$E$7:$AR$302,5,0))=TRUE," ",(VLOOKUP(T93,'Base de Datos'!$E$7:$AR$302,5,0)))</f>
        <v>41850000</v>
      </c>
      <c r="W93" s="450">
        <f>IF(ISERROR(VLOOKUP(T93,'Base de Datos'!$E$7:$AR$302,19,0))=TRUE," ",(VLOOKUP(T93,'Base de Datos'!$E$7:$AR$302,19,0)))</f>
        <v>15487000</v>
      </c>
      <c r="X93" s="455" t="str">
        <f>IF(ISERROR(VLOOKUP(T93,'Base de Datos'!$E$7:$AR$302,8,0))=TRUE," ",(VLOOKUP(T93,'Base de Datos'!$E$7:$AR$302,8,0)))</f>
        <v xml:space="preserve"> </v>
      </c>
      <c r="Y93" s="455">
        <f>IF(ISERROR(VLOOKUP(T93,'Base de Datos'!$E$7:$AR$302,9,0))=TRUE," ",(VLOOKUP(T93,'Base de Datos'!$E$7:$AR$302,9,0)))</f>
        <v>41926</v>
      </c>
      <c r="Z93" s="449">
        <f>IF(ISERROR(VLOOKUP(T93,'Base de Datos'!$E$7:$AR$302,10,0))=TRUE," ",(VLOOKUP(T93,'Base de Datos'!$E$7:$AR$302,10,0)))</f>
        <v>42138</v>
      </c>
      <c r="AA93" s="452">
        <f>IF(ISERROR(VLOOKUP(T93,'Base de Datos'!$E$7:$AR$302,11,0))=TRUE," ",(VLOOKUP(T93,'Base de Datos'!$E$7:$AR$302,11,0)))</f>
        <v>0</v>
      </c>
      <c r="AB93" s="449">
        <f>IF(ISERROR(VLOOKUP(T93,'Base de Datos'!$E$7:$AR$302,12,0))=TRUE," ",(VLOOKUP(T93,'Base de Datos'!$E$7:$AR$302,12,0)))</f>
        <v>0</v>
      </c>
      <c r="AC93" s="449">
        <f>IF(ISERROR(VLOOKUP(T93,'Base de Datos'!$E$7:$AR$302,12,0))=TRUE," ",(VLOOKUP(T93,'Base de Datos'!$E$7:$AR$302,12,0)))</f>
        <v>0</v>
      </c>
      <c r="AD93" s="455" t="str">
        <f>IF(ISERROR(VLOOKUP(T93,'Base de Datos'!$E$7:$AR$302,15,0))=TRUE," ",(VLOOKUP(T93,'Base de Datos'!$E$7:$AR$302,15,0)))</f>
        <v/>
      </c>
      <c r="AE93" s="460">
        <f>IF(ISERROR(VLOOKUP(T93,'Base de Datos'!$E$7:$AR$302,16,0))=TRUE," ",(VLOOKUP(T93,'Base de Datos'!$E$7:$AR$302,16,0)))</f>
        <v>42138</v>
      </c>
      <c r="AF93" s="460">
        <f>IF(ISERROR(VLOOKUP(T93,'Base de Datos'!$E$7:$AR$302,17,0))=TRUE," ",(VLOOKUP(T93,'Base de Datos'!$E$7:$AR$302,17,0)))</f>
        <v>41850000</v>
      </c>
      <c r="AG93" s="460">
        <f>IF(ISERROR(VLOOKUP(T93,'Base de Datos'!$E$7:$AR$302,18,0))=TRUE," ",(VLOOKUP(T93,'Base de Datos'!$E$7:$AR$302,18,0)))</f>
        <v>26363000</v>
      </c>
      <c r="AH93" s="461" t="str">
        <f>IF(ISERROR(VLOOKUP(T93,'Base de Datos'!$E$7:$AR$302,20,0))=TRUE," ",(VLOOKUP(T93,'Base de Datos'!$E$7:$AR$302,20,0)))</f>
        <v>Se efectuarán los pagos por mensualidades vencidas de acuerdo con los servicios realizados dentro del mes, previa presentación de las facturas respectivas las cuales deben cumplir con los lineamientos establecidos en los artículos 1 y 3 de la ley 131 de 2208, y aprobación de las mismas por parte del supervisor del contrato, acompañadas de las correspondientes certificaciones de cumplimiento a satisfacción expedidas por el mismo.
EJEMPLOS
Pago Anticipado del   ____% (NO aplica a Prestación de servicios)
Anticipo del          ____% (NO aplica a Prestación de servicios)
Pagos parciales del   ____% contra entregas parciales
                ____% contra entrega final a satisfacción y firma del acta de liquidación.
En todo caso,  un anticipo o el pago anticipado no podrá ser superior al 50% del valor del contrato.
Los pagos se efectuarán dentro de los diez (10) días hábiles  siguientes a la radicación en la Subdirección Financiera de la certificación de cumplimiento a satisfacción del objeto y obligaciones, expedida por el interventor del contrato, acompañada de los respectivos recibos de pago por concepto de aportes al Sistema de Seguridad Social Integral en Salud y Pensión, aportes parafiscales: Sena, ICBF y Cajas de Compensación Familiar, cuando corresponda.
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v>
      </c>
      <c r="AI93" s="461">
        <f>IF(ISERROR(VLOOKUP(T93,'Base de Datos'!$E$7:$AR$302,21,0))=TRUE," ",(VLOOKUP(T93,'Base de Datos'!$E$7:$AR$302,21,0)))</f>
        <v>0.6299402628434887</v>
      </c>
      <c r="AJ93" s="464">
        <v>42181</v>
      </c>
      <c r="AK93" s="450" t="str">
        <f>IF(ISERROR(VLOOKUP(D93,'Base de Datos'!$C$7:$AR$400,2,0))=TRUE," ",(VLOOKUP(D93,'Base de Datos'!$C$7:$AR$400,2,0)))</f>
        <v>2015188</v>
      </c>
      <c r="AL93" s="450" t="str">
        <f>IF(ISERROR(VLOOKUP(D93,'Base de Datos'!$C$7:$AR$400,3,0))=TRUE," ",(VLOOKUP(D93,'Base de Datos'!$C$7:$AR$400,3,0)))</f>
        <v>150300-0-2015</v>
      </c>
      <c r="AM93" s="453" t="str">
        <f>IF(ISERROR(VLOOKUP(D93,'Base de Datos'!$C$7:$AR$3761,6,0))=TRUE," ",(VLOOKUP(D93,'Base de Datos'!$C$7:$AR$400,6,0)))</f>
        <v>Prestar el servicio de exámenes médicos ocupacionales y complementarios y aplicación de vacunas para los funcionarios del Concejo de Bogotá, D.C., de conformidad con el pliego de condiciones del proceso de selección abreviada de menor cuantía SDH-SAMC-02-2015, los documentos soportes y la propuesta presentada.</v>
      </c>
      <c r="AN93" s="453">
        <f>IF(ISERROR(VLOOKUP(D93,'Base de Datos'!$C$7:$AR$400,20,0))=TRUE," ",(VLOOKUP(D93,'Base de Datos'!$C$7:$AR$400,19,0)))</f>
        <v>52390000</v>
      </c>
      <c r="AO93" s="456">
        <f>IF(ISERROR(VLOOKUP(D93,'Base de Datos'!$C$7:$AR$400,9,0))=TRUE," ",(VLOOKUP(D93,'Base de Datos'!$C$7:$AR$400,9,0)))</f>
        <v>2015</v>
      </c>
      <c r="AP93" s="456">
        <f>IF(ISERROR(VLOOKUP(D93,'Base de Datos'!$C$7:$AR$400,10,0))=TRUE," ",(VLOOKUP(D93,'Base de Datos'!$C$7:$AR$400,10,0)))</f>
        <v>42181</v>
      </c>
      <c r="AQ93" s="458">
        <f>IF(ISERROR(VLOOKUP(D93,'Base de Datos'!$C$7:$AR$400,11,0))=TRUE," ",(VLOOKUP(D93,'Base de Datos'!$C$7:$AR$400,11,0)))</f>
        <v>42200</v>
      </c>
      <c r="AR93" s="459">
        <f>IF(ISERROR(VLOOKUP(D93,'Base de Datos'!$C$7:$AR$400,12,0))=TRUE," ",(VLOOKUP(D93,'Base de Datos'!$C$7:$AR$400,12,0)))</f>
        <v>42475</v>
      </c>
      <c r="AS93" s="458">
        <f>IF(ISERROR(VLOOKUP(D93,'Base de Datos'!$C$7:$AR$400,13,0))=TRUE," ",(VLOOKUP(D93,'Base de Datos'!$C$7:$AR$400,13,0)))</f>
        <v>0</v>
      </c>
      <c r="AT93" s="458">
        <f>IF(ISERROR(VLOOKUP(D93,'Base de Datos'!$C$7:$AR$400,14,0))=TRUE," ",(VLOOKUP(D93,'Base de Datos'!$C$7:$AR$400,14,0)))</f>
        <v>0</v>
      </c>
      <c r="AU93" s="456" t="str">
        <f>IF(ISERROR(VLOOKUP(D93,'Base de Datos'!$C$7:$AR$400,16,0))=TRUE," ",(VLOOKUP(D93,'Base de Datos'!$C$7:$AR$400,16,0)))</f>
        <v/>
      </c>
      <c r="AV93" s="460" t="str">
        <f>IF(ISERROR(VLOOKUP(D93,'Base de Datos'!$C$7:$AR$400,17,0))=TRUE," ",(VLOOKUP(D93,'Base de Datos'!$C$7:$AR$400,17,0)))</f>
        <v/>
      </c>
      <c r="AW93" s="460">
        <f>IF(ISERROR(VLOOKUP(D93,'Base de Datos'!$C$7:$AR$400,18,0))=TRUE," ",(VLOOKUP(D93,'Base de Datos'!$C$7:$AR$400,18,0)))</f>
        <v>42475</v>
      </c>
      <c r="AX93" s="460">
        <f>IF(ISERROR(VLOOKUP(D93,'Base de Datos'!$C$7:$AR$400,19,0))=TRUE," ",(VLOOKUP(D93,'Base de Datos'!$C$7:$AR$400,19,0)))</f>
        <v>52390000</v>
      </c>
      <c r="AY93" s="463">
        <f>IF(ISERROR(VLOOKUP(D93,'Base de Datos'!$C$7:$AR$400,21,0))=TRUE," ",(VLOOKUP(D93,'Base de Datos'!$C$7:$AR$400,21,0)))</f>
        <v>3224000</v>
      </c>
      <c r="AZ93" s="463" t="str">
        <f>IF(ISERROR(VLOOKUP(D93,'Base de Datos'!$C$7:$AR$400,22,0))=TRUE," ",(VLOOKUP(D93,'Base de Datos'!$C$7:$AR$400,22,0)))</f>
        <v>Mensualidades vencidas</v>
      </c>
      <c r="BA93" s="470"/>
      <c r="BB93" s="480"/>
    </row>
    <row r="94" spans="2:54" ht="55.5" hidden="1" customHeight="1" x14ac:dyDescent="0.25">
      <c r="B94" s="433">
        <v>87</v>
      </c>
      <c r="C94" s="441" t="s">
        <v>1642</v>
      </c>
      <c r="D94" s="433">
        <v>160</v>
      </c>
      <c r="E94" s="441" t="s">
        <v>1672</v>
      </c>
      <c r="F94" s="442">
        <f>VLOOKUP(D94,'Presupuesto - PAA 2015'!$B$10:$E$265,4,0)</f>
        <v>436000000</v>
      </c>
      <c r="G94" s="434" t="str">
        <f>VLOOKUP(D94,'[4]Seguimiento Plan'!$C$2:$R$101,16,0)</f>
        <v>Presar los servicios de diseño, producción y ejecución de estrategias de divulgación en medios de comunicación de carácter masivo y alternativo para el Concejo de Bogotá.</v>
      </c>
      <c r="H94" s="434" t="s">
        <v>1776</v>
      </c>
      <c r="I94" s="434" t="s">
        <v>1719</v>
      </c>
      <c r="J94" s="443" t="s">
        <v>908</v>
      </c>
      <c r="K94" s="444" t="s">
        <v>390</v>
      </c>
      <c r="L94" s="444" t="str">
        <f>VLOOKUP(D94,'[4]Seguimiento Plan'!$C$2:$AJ$101,30,0)</f>
        <v>SI</v>
      </c>
      <c r="M94" s="445">
        <f>VLOOKUP(D94,'[4]Seguimiento Plan'!$C$2:$AJ$101,31,0)</f>
        <v>42075</v>
      </c>
      <c r="N94" s="444" t="s">
        <v>1810</v>
      </c>
      <c r="O94" s="446"/>
      <c r="P94" s="446"/>
      <c r="Q94" s="446"/>
      <c r="R94" s="447"/>
      <c r="S94" s="704" t="s">
        <v>2051</v>
      </c>
      <c r="T94" s="351" t="s">
        <v>1529</v>
      </c>
      <c r="U94" s="450" t="str">
        <f>IF(ISERROR(VLOOKUP(T94,'Base de Datos'!$E$7:$AR$302,3,0))=TRUE," ",(VLOOKUP(T94,'Base de Datos'!$E$7:$AR$302,2,0)))</f>
        <v>CENTURY MEDIA SAS</v>
      </c>
      <c r="V94" s="453">
        <f>IF(ISERROR(VLOOKUP(T94,'Base de Datos'!$E$7:$AR$302,5,0))=TRUE," ",(VLOOKUP(T94,'Base de Datos'!$E$7:$AR$302,5,0)))</f>
        <v>249210000</v>
      </c>
      <c r="W94" s="450">
        <f>IF(ISERROR(VLOOKUP(T94,'Base de Datos'!$E$7:$AR$302,19,0))=TRUE," ",(VLOOKUP(T94,'Base de Datos'!$E$7:$AR$302,19,0)))</f>
        <v>0</v>
      </c>
      <c r="X94" s="455" t="str">
        <f>IF(ISERROR(VLOOKUP(T94,'Base de Datos'!$E$7:$AR$302,8,0))=TRUE," ",(VLOOKUP(T94,'Base de Datos'!$E$7:$AR$302,8,0)))</f>
        <v xml:space="preserve"> </v>
      </c>
      <c r="Y94" s="455">
        <f>IF(ISERROR(VLOOKUP(T94,'Base de Datos'!$E$7:$AR$302,9,0))=TRUE," ",(VLOOKUP(T94,'Base de Datos'!$E$7:$AR$302,9,0)))</f>
        <v>42017</v>
      </c>
      <c r="Z94" s="449">
        <f>IF(ISERROR(VLOOKUP(T94,'Base de Datos'!$E$7:$AR$302,10,0))=TRUE," ",(VLOOKUP(T94,'Base de Datos'!$E$7:$AR$302,10,0)))</f>
        <v>42198</v>
      </c>
      <c r="AA94" s="452">
        <f>IF(ISERROR(VLOOKUP(T94,'Base de Datos'!$E$7:$AR$302,11,0))=TRUE," ",(VLOOKUP(T94,'Base de Datos'!$E$7:$AR$302,11,0)))</f>
        <v>1</v>
      </c>
      <c r="AB94" s="449">
        <f>IF(ISERROR(VLOOKUP(T94,'Base de Datos'!$E$7:$AR$302,12,0))=TRUE," ",(VLOOKUP(T94,'Base de Datos'!$E$7:$AR$302,12,0)))</f>
        <v>60000000</v>
      </c>
      <c r="AC94" s="449">
        <f>IF(ISERROR(VLOOKUP(T94,'Base de Datos'!$E$7:$AR$302,12,0))=TRUE," ",(VLOOKUP(T94,'Base de Datos'!$E$7:$AR$302,12,0)))</f>
        <v>60000000</v>
      </c>
      <c r="AD94" s="455">
        <f>IF(ISERROR(VLOOKUP(T94,'Base de Datos'!$E$7:$AR$302,15,0))=TRUE," ",(VLOOKUP(T94,'Base de Datos'!$E$7:$AR$302,15,0)))</f>
        <v>42338</v>
      </c>
      <c r="AE94" s="460">
        <f>IF(ISERROR(VLOOKUP(T94,'Base de Datos'!$E$7:$AR$302,16,0))=TRUE," ",(VLOOKUP(T94,'Base de Datos'!$E$7:$AR$302,16,0)))</f>
        <v>42338</v>
      </c>
      <c r="AF94" s="460">
        <f>IF(ISERROR(VLOOKUP(T94,'Base de Datos'!$E$7:$AR$302,17,0))=TRUE," ",(VLOOKUP(T94,'Base de Datos'!$E$7:$AR$302,17,0)))</f>
        <v>309210000</v>
      </c>
      <c r="AG94" s="460">
        <f>IF(ISERROR(VLOOKUP(T94,'Base de Datos'!$E$7:$AR$302,18,0))=TRUE," ",(VLOOKUP(T94,'Base de Datos'!$E$7:$AR$302,18,0)))</f>
        <v>309210000</v>
      </c>
      <c r="AH94" s="461" t="str">
        <f>IF(ISERROR(VLOOKUP(T94,'Base de Datos'!$E$7:$AR$302,20,0))=TRUE," ",(VLOOKUP(T94,'Base de Datos'!$E$7:$AR$302,20,0)))</f>
        <v>Mensual</v>
      </c>
      <c r="AI94" s="461">
        <f>IF(ISERROR(VLOOKUP(T94,'Base de Datos'!$E$7:$AR$302,21,0))=TRUE," ",(VLOOKUP(T94,'Base de Datos'!$E$7:$AR$302,21,0)))</f>
        <v>1</v>
      </c>
      <c r="AJ94" s="450"/>
      <c r="AK94" s="450" t="str">
        <f>IF(ISERROR(VLOOKUP(D94,'Base de Datos'!$C$7:$AR$400,2,0))=TRUE," ",(VLOOKUP(D94,'Base de Datos'!$C$7:$AR$400,2,0)))</f>
        <v>2015160</v>
      </c>
      <c r="AL94" s="450" t="str">
        <f>IF(ISERROR(VLOOKUP(D94,'Base de Datos'!$C$7:$AR$400,3,0))=TRUE," ",(VLOOKUP(D94,'Base de Datos'!$C$7:$AR$400,3,0)))</f>
        <v>150400-0-2015</v>
      </c>
      <c r="AM94" s="453" t="str">
        <f>IF(ISERROR(VLOOKUP(D94,'Base de Datos'!$C$7:$AR$3761,6,0))=TRUE," ",(VLOOKUP(D94,'Base de Datos'!$C$7:$AR$400,6,0)))</f>
        <v>Prestar el servicio de diseño, producción y ejecución de estrategias de divulgación en medios de comunicación de carácter masivo, alternativo y comunitario para el Concejo de Bogotá, de conformidad con lo establecido en el pliego de condiciones del proceso SDH-SIE-17-2015</v>
      </c>
      <c r="AN94" s="453">
        <f>IF(ISERROR(VLOOKUP(D94,'Base de Datos'!$C$7:$AR$400,20,0))=TRUE," ",(VLOOKUP(D94,'Base de Datos'!$C$7:$AR$400,19,0)))</f>
        <v>517500000</v>
      </c>
      <c r="AO94" s="456">
        <f>IF(ISERROR(VLOOKUP(D94,'Base de Datos'!$C$7:$AR$400,9,0))=TRUE," ",(VLOOKUP(D94,'Base de Datos'!$C$7:$AR$400,9,0)))</f>
        <v>2015</v>
      </c>
      <c r="AP94" s="456">
        <f>IF(ISERROR(VLOOKUP(D94,'Base de Datos'!$C$7:$AR$400,10,0))=TRUE," ",(VLOOKUP(D94,'Base de Datos'!$C$7:$AR$400,10,0)))</f>
        <v>42349</v>
      </c>
      <c r="AQ94" s="458">
        <f>IF(ISERROR(VLOOKUP(D94,'Base de Datos'!$C$7:$AR$400,11,0))=TRUE," ",(VLOOKUP(D94,'Base de Datos'!$C$7:$AR$400,11,0)))</f>
        <v>42383</v>
      </c>
      <c r="AR94" s="459">
        <f>IF(ISERROR(VLOOKUP(D94,'Base de Datos'!$C$7:$AR$400,12,0))=TRUE," ",(VLOOKUP(D94,'Base de Datos'!$C$7:$AR$400,12,0)))</f>
        <v>42627</v>
      </c>
      <c r="AS94" s="458">
        <f>IF(ISERROR(VLOOKUP(D94,'Base de Datos'!$C$7:$AR$400,13,0))=TRUE," ",(VLOOKUP(D94,'Base de Datos'!$C$7:$AR$400,13,0)))</f>
        <v>1</v>
      </c>
      <c r="AT94" s="458">
        <f>IF(ISERROR(VLOOKUP(D94,'Base de Datos'!$C$7:$AR$400,14,0))=TRUE," ",(VLOOKUP(D94,'Base de Datos'!$C$7:$AR$400,14,0)))</f>
        <v>172500000</v>
      </c>
      <c r="AU94" s="456" t="str">
        <f>IF(ISERROR(VLOOKUP(D94,'Base de Datos'!$C$7:$AR$400,16,0))=TRUE," ",(VLOOKUP(D94,'Base de Datos'!$C$7:$AR$400,16,0)))</f>
        <v>4 meses             17 días</v>
      </c>
      <c r="AV94" s="460">
        <f>IF(ISERROR(VLOOKUP(D94,'Base de Datos'!$C$7:$AR$400,17,0))=TRUE," ",(VLOOKUP(D94,'Base de Datos'!$C$7:$AR$400,17,0)))</f>
        <v>42766</v>
      </c>
      <c r="AW94" s="460">
        <f>IF(ISERROR(VLOOKUP(D94,'Base de Datos'!$C$7:$AR$400,18,0))=TRUE," ",(VLOOKUP(D94,'Base de Datos'!$C$7:$AR$400,18,0)))</f>
        <v>42766</v>
      </c>
      <c r="AX94" s="460">
        <f>IF(ISERROR(VLOOKUP(D94,'Base de Datos'!$C$7:$AR$400,19,0))=TRUE," ",(VLOOKUP(D94,'Base de Datos'!$C$7:$AR$400,19,0)))</f>
        <v>517500000</v>
      </c>
      <c r="AY94" s="463">
        <f>IF(ISERROR(VLOOKUP(D94,'Base de Datos'!$C$7:$AR$400,21,0))=TRUE," ",(VLOOKUP(D94,'Base de Datos'!$C$7:$AR$400,21,0)))</f>
        <v>1105785</v>
      </c>
      <c r="AZ94" s="463" t="str">
        <f>IF(ISERROR(VLOOKUP(D94,'Base de Datos'!$C$7:$AR$400,22,0))=TRUE," ",(VLOOKUP(D94,'Base de Datos'!$C$7:$AR$400,22,0)))</f>
        <v>Mensualidades vencidas de acuerdo a los servicios prestados</v>
      </c>
      <c r="BA94" s="470"/>
      <c r="BB94" s="480"/>
    </row>
    <row r="95" spans="2:54" ht="55.5" hidden="1" customHeight="1" x14ac:dyDescent="0.25">
      <c r="B95" s="433">
        <v>88</v>
      </c>
      <c r="C95" s="441" t="s">
        <v>1642</v>
      </c>
      <c r="D95" s="433">
        <v>161</v>
      </c>
      <c r="E95" s="441" t="s">
        <v>1672</v>
      </c>
      <c r="F95" s="442">
        <f>VLOOKUP(D95,'Presupuesto - PAA 2015'!$B$10:$E$265,4,0)</f>
        <v>1291938453</v>
      </c>
      <c r="G95" s="434" t="str">
        <f>VLOOKUP(D95,'[4]Seguimiento Plan'!$C$2:$R$101,16,0)</f>
        <v>Prestar los servicios de producción y transmisión de  programas de televisión para el Concejo de Bogotá-</v>
      </c>
      <c r="H95" s="434" t="s">
        <v>1776</v>
      </c>
      <c r="I95" s="434" t="s">
        <v>1719</v>
      </c>
      <c r="J95" s="443" t="s">
        <v>908</v>
      </c>
      <c r="K95" s="444" t="s">
        <v>390</v>
      </c>
      <c r="L95" s="444" t="str">
        <f>VLOOKUP(D95,'[4]Seguimiento Plan'!$C$2:$AJ$101,30,0)</f>
        <v>SI</v>
      </c>
      <c r="M95" s="445">
        <f>VLOOKUP(D95,'[4]Seguimiento Plan'!$C$2:$AJ$101,31,0)</f>
        <v>42066</v>
      </c>
      <c r="N95" s="444" t="s">
        <v>1811</v>
      </c>
      <c r="O95" s="446"/>
      <c r="P95" s="446"/>
      <c r="Q95" s="446"/>
      <c r="R95" s="447"/>
      <c r="S95" s="447"/>
      <c r="T95" s="347" t="s">
        <v>1110</v>
      </c>
      <c r="U95" s="450" t="str">
        <f>IF(ISERROR(VLOOKUP(T95,'Base de Datos'!$E$7:$AR$302,3,0))=TRUE," ",(VLOOKUP(T95,'Base de Datos'!$E$7:$AR$302,2,0)))</f>
        <v>CANAL REGIONAL DE TELEVISION TEVEANDINA LTDA - TEVEANDINA LTDA</v>
      </c>
      <c r="V95" s="453">
        <f>IF(ISERROR(VLOOKUP(T95,'Base de Datos'!$E$7:$AR$302,5,0))=TRUE," ",(VLOOKUP(T95,'Base de Datos'!$E$7:$AR$302,5,0)))</f>
        <v>818527824</v>
      </c>
      <c r="W95" s="450">
        <f>IF(ISERROR(VLOOKUP(T95,'Base de Datos'!$E$7:$AR$302,19,0))=TRUE," ",(VLOOKUP(T95,'Base de Datos'!$E$7:$AR$302,19,0)))</f>
        <v>17737116</v>
      </c>
      <c r="X95" s="455" t="str">
        <f>IF(ISERROR(VLOOKUP(T95,'Base de Datos'!$E$7:$AR$302,8,0))=TRUE," ",(VLOOKUP(T95,'Base de Datos'!$E$7:$AR$302,8,0)))</f>
        <v xml:space="preserve"> </v>
      </c>
      <c r="Y95" s="455">
        <f>IF(ISERROR(VLOOKUP(T95,'Base de Datos'!$E$7:$AR$302,9,0))=TRUE," ",(VLOOKUP(T95,'Base de Datos'!$E$7:$AR$302,9,0)))</f>
        <v>41921</v>
      </c>
      <c r="Z95" s="449">
        <f>IF(ISERROR(VLOOKUP(T95,'Base de Datos'!$E$7:$AR$302,10,0))=TRUE," ",(VLOOKUP(T95,'Base de Datos'!$E$7:$AR$302,10,0)))</f>
        <v>42102</v>
      </c>
      <c r="AA95" s="452">
        <f>IF(ISERROR(VLOOKUP(T95,'Base de Datos'!$E$7:$AR$302,11,0))=TRUE," ",(VLOOKUP(T95,'Base de Datos'!$E$7:$AR$302,11,0)))</f>
        <v>0</v>
      </c>
      <c r="AB95" s="449">
        <f>IF(ISERROR(VLOOKUP(T95,'Base de Datos'!$E$7:$AR$302,12,0))=TRUE," ",(VLOOKUP(T95,'Base de Datos'!$E$7:$AR$302,12,0)))</f>
        <v>0</v>
      </c>
      <c r="AC95" s="449">
        <f>IF(ISERROR(VLOOKUP(T95,'Base de Datos'!$E$7:$AR$302,12,0))=TRUE," ",(VLOOKUP(T95,'Base de Datos'!$E$7:$AR$302,12,0)))</f>
        <v>0</v>
      </c>
      <c r="AD95" s="455">
        <f>IF(ISERROR(VLOOKUP(T95,'Base de Datos'!$E$7:$AR$302,15,0))=TRUE," ",(VLOOKUP(T95,'Base de Datos'!$E$7:$AR$302,15,0)))</f>
        <v>42116</v>
      </c>
      <c r="AE95" s="460">
        <f>IF(ISERROR(VLOOKUP(T95,'Base de Datos'!$E$7:$AR$302,16,0))=TRUE," ",(VLOOKUP(T95,'Base de Datos'!$E$7:$AR$302,16,0)))</f>
        <v>42116</v>
      </c>
      <c r="AF95" s="460">
        <f>IF(ISERROR(VLOOKUP(T95,'Base de Datos'!$E$7:$AR$302,17,0))=TRUE," ",(VLOOKUP(T95,'Base de Datos'!$E$7:$AR$302,17,0)))</f>
        <v>818527824</v>
      </c>
      <c r="AG95" s="460">
        <f>IF(ISERROR(VLOOKUP(T95,'Base de Datos'!$E$7:$AR$302,18,0))=TRUE," ",(VLOOKUP(T95,'Base de Datos'!$E$7:$AR$302,18,0)))</f>
        <v>800790708</v>
      </c>
      <c r="AH95" s="461">
        <f>IF(ISERROR(VLOOKUP(T95,'Base de Datos'!$E$7:$AR$302,20,0))=TRUE," ",(VLOOKUP(T95,'Base de Datos'!$E$7:$AR$302,20,0)))</f>
        <v>0</v>
      </c>
      <c r="AI95" s="461">
        <f>IF(ISERROR(VLOOKUP(T95,'Base de Datos'!$E$7:$AR$302,21,0))=TRUE," ",(VLOOKUP(T95,'Base de Datos'!$E$7:$AR$302,21,0)))</f>
        <v>0.97833046662565259</v>
      </c>
      <c r="AJ95" s="464">
        <v>42135</v>
      </c>
      <c r="AK95" s="450" t="str">
        <f>IF(ISERROR(VLOOKUP(D95,'Base de Datos'!$C$7:$AR$400,2,0))=TRUE," ",(VLOOKUP(D95,'Base de Datos'!$C$7:$AR$400,2,0)))</f>
        <v>2015161</v>
      </c>
      <c r="AL95" s="450" t="str">
        <f>IF(ISERROR(VLOOKUP(D95,'Base de Datos'!$C$7:$AR$400,3,0))=TRUE," ",(VLOOKUP(D95,'Base de Datos'!$C$7:$AR$400,3,0)))</f>
        <v>150225-0-2015</v>
      </c>
      <c r="AM95" s="453" t="str">
        <f>IF(ISERROR(VLOOKUP(D95,'Base de Datos'!$C$7:$AR$3761,6,0))=TRUE," ",(VLOOKUP(D95,'Base de Datos'!$C$7:$AR$400,6,0)))</f>
        <v>Realizar la producción y trasmisión de programas de televisión para el Concejo de Bogotá.</v>
      </c>
      <c r="AN95" s="453">
        <f>IF(ISERROR(VLOOKUP(D95,'Base de Datos'!$C$7:$AR$400,20,0))=TRUE," ",(VLOOKUP(D95,'Base de Datos'!$C$7:$AR$400,19,0)))</f>
        <v>1433352777</v>
      </c>
      <c r="AO95" s="456">
        <f>IF(ISERROR(VLOOKUP(D95,'Base de Datos'!$C$7:$AR$400,9,0))=TRUE," ",(VLOOKUP(D95,'Base de Datos'!$C$7:$AR$400,9,0)))</f>
        <v>2015</v>
      </c>
      <c r="AP95" s="456">
        <f>IF(ISERROR(VLOOKUP(D95,'Base de Datos'!$C$7:$AR$400,10,0))=TRUE," ",(VLOOKUP(D95,'Base de Datos'!$C$7:$AR$400,10,0)))</f>
        <v>42135</v>
      </c>
      <c r="AQ95" s="458">
        <f>IF(ISERROR(VLOOKUP(D95,'Base de Datos'!$C$7:$AR$400,11,0))=TRUE," ",(VLOOKUP(D95,'Base de Datos'!$C$7:$AR$400,11,0)))</f>
        <v>42139</v>
      </c>
      <c r="AR95" s="459">
        <f>IF(ISERROR(VLOOKUP(D95,'Base de Datos'!$C$7:$AR$400,12,0))=TRUE," ",(VLOOKUP(D95,'Base de Datos'!$C$7:$AR$400,12,0)))</f>
        <v>42421</v>
      </c>
      <c r="AS95" s="458">
        <f>IF(ISERROR(VLOOKUP(D95,'Base de Datos'!$C$7:$AR$400,13,0))=TRUE," ",(VLOOKUP(D95,'Base de Datos'!$C$7:$AR$400,13,0)))</f>
        <v>1</v>
      </c>
      <c r="AT95" s="458">
        <f>IF(ISERROR(VLOOKUP(D95,'Base de Datos'!$C$7:$AR$400,14,0))=TRUE," ",(VLOOKUP(D95,'Base de Datos'!$C$7:$AR$400,14,0)))</f>
        <v>141414324</v>
      </c>
      <c r="AU95" s="456" t="str">
        <f>IF(ISERROR(VLOOKUP(D95,'Base de Datos'!$C$7:$AR$400,16,0))=TRUE," ",(VLOOKUP(D95,'Base de Datos'!$C$7:$AR$400,16,0)))</f>
        <v>2 meses</v>
      </c>
      <c r="AV95" s="460">
        <f>IF(ISERROR(VLOOKUP(D95,'Base de Datos'!$C$7:$AR$400,17,0))=TRUE," ",(VLOOKUP(D95,'Base de Datos'!$C$7:$AR$400,17,0)))</f>
        <v>42450</v>
      </c>
      <c r="AW95" s="460">
        <f>IF(ISERROR(VLOOKUP(D95,'Base de Datos'!$C$7:$AR$400,18,0))=TRUE," ",(VLOOKUP(D95,'Base de Datos'!$C$7:$AR$400,18,0)))</f>
        <v>42450</v>
      </c>
      <c r="AX95" s="460">
        <f>IF(ISERROR(VLOOKUP(D95,'Base de Datos'!$C$7:$AR$400,19,0))=TRUE," ",(VLOOKUP(D95,'Base de Datos'!$C$7:$AR$400,19,0)))</f>
        <v>1433352777</v>
      </c>
      <c r="AY95" s="463">
        <f>IF(ISERROR(VLOOKUP(D95,'Base de Datos'!$C$7:$AR$400,21,0))=TRUE," ",(VLOOKUP(D95,'Base de Datos'!$C$7:$AR$400,21,0)))</f>
        <v>0</v>
      </c>
      <c r="AZ95" s="463" t="str">
        <f>IF(ISERROR(VLOOKUP(D95,'Base de Datos'!$C$7:$AR$400,22,0))=TRUE," ",(VLOOKUP(D95,'Base de Datos'!$C$7:$AR$400,22,0)))</f>
        <v>Mensualidades vencidas de acuerdo a la emisión de programas</v>
      </c>
      <c r="BA95" s="470"/>
      <c r="BB95" s="480"/>
    </row>
    <row r="96" spans="2:54" ht="55.5" hidden="1" customHeight="1" x14ac:dyDescent="0.25">
      <c r="B96" s="433">
        <v>89</v>
      </c>
      <c r="C96" s="441" t="s">
        <v>1675</v>
      </c>
      <c r="D96" s="433">
        <v>70</v>
      </c>
      <c r="E96" s="441" t="s">
        <v>1679</v>
      </c>
      <c r="F96" s="442">
        <f>VLOOKUP(D96,'Presupuesto - PAA 2015'!$B$10:$E$265,4,0)</f>
        <v>31577404</v>
      </c>
      <c r="G96" s="434" t="str">
        <f>VLOOKUP(D96,'[4]Seguimiento Plan'!$C$2:$R$101,16,0)</f>
        <v>Adquisición de la licencia TOAD para el Concejo de Bogotá.</v>
      </c>
      <c r="H96" s="434" t="s">
        <v>1777</v>
      </c>
      <c r="I96" s="434" t="s">
        <v>1712</v>
      </c>
      <c r="J96" s="443" t="s">
        <v>909</v>
      </c>
      <c r="K96" s="444" t="s">
        <v>390</v>
      </c>
      <c r="L96" s="444" t="str">
        <f>VLOOKUP(D96,'[4]Seguimiento Plan'!$C$2:$AJ$101,30,0)</f>
        <v>SI</v>
      </c>
      <c r="M96" s="445">
        <f>VLOOKUP(D96,'[4]Seguimiento Plan'!$C$2:$AJ$101,31,0)</f>
        <v>42009</v>
      </c>
      <c r="N96" s="444" t="s">
        <v>1812</v>
      </c>
      <c r="O96" s="446"/>
      <c r="P96" s="446"/>
      <c r="Q96" s="446"/>
      <c r="R96" s="447" t="s">
        <v>2064</v>
      </c>
      <c r="S96" s="704" t="s">
        <v>2063</v>
      </c>
      <c r="T96" s="448"/>
      <c r="U96" s="450" t="str">
        <f>IF(ISERROR(VLOOKUP(T96,'Base de Datos'!$E$7:$AR$302,3,0))=TRUE," ",(VLOOKUP(T96,'Base de Datos'!$E$7:$AR$302,2,0)))</f>
        <v xml:space="preserve"> </v>
      </c>
      <c r="V96" s="453" t="str">
        <f>IF(ISERROR(VLOOKUP(T96,'Base de Datos'!$E$7:$AR$302,5,0))=TRUE," ",(VLOOKUP(T96,'Base de Datos'!$E$7:$AR$302,5,0)))</f>
        <v xml:space="preserve"> </v>
      </c>
      <c r="W96" s="450" t="str">
        <f>IF(ISERROR(VLOOKUP(T96,'Base de Datos'!$E$7:$AR$302,19,0))=TRUE," ",(VLOOKUP(T96,'Base de Datos'!$E$7:$AR$302,19,0)))</f>
        <v xml:space="preserve"> </v>
      </c>
      <c r="X96" s="455" t="str">
        <f>IF(ISERROR(VLOOKUP(T96,'Base de Datos'!$E$7:$AR$302,8,0))=TRUE," ",(VLOOKUP(T96,'Base de Datos'!$E$7:$AR$302,8,0)))</f>
        <v xml:space="preserve"> </v>
      </c>
      <c r="Y96" s="455" t="str">
        <f>IF(ISERROR(VLOOKUP(T96,'Base de Datos'!$E$7:$AR$302,9,0))=TRUE," ",(VLOOKUP(T96,'Base de Datos'!$E$7:$AR$302,9,0)))</f>
        <v xml:space="preserve"> </v>
      </c>
      <c r="Z96" s="449" t="str">
        <f>IF(ISERROR(VLOOKUP(T96,'Base de Datos'!$E$7:$AR$302,10,0))=TRUE," ",(VLOOKUP(T96,'Base de Datos'!$E$7:$AR$302,10,0)))</f>
        <v xml:space="preserve"> </v>
      </c>
      <c r="AA96" s="452" t="str">
        <f>IF(ISERROR(VLOOKUP(T96,'Base de Datos'!$E$7:$AR$302,11,0))=TRUE," ",(VLOOKUP(T96,'Base de Datos'!$E$7:$AR$302,11,0)))</f>
        <v xml:space="preserve"> </v>
      </c>
      <c r="AB96" s="449" t="str">
        <f>IF(ISERROR(VLOOKUP(T96,'Base de Datos'!$E$7:$AR$302,12,0))=TRUE," ",(VLOOKUP(T96,'Base de Datos'!$E$7:$AR$302,12,0)))</f>
        <v xml:space="preserve"> </v>
      </c>
      <c r="AC96" s="449" t="str">
        <f>IF(ISERROR(VLOOKUP(T96,'Base de Datos'!$E$7:$AR$302,12,0))=TRUE," ",(VLOOKUP(T96,'Base de Datos'!$E$7:$AR$302,12,0)))</f>
        <v xml:space="preserve"> </v>
      </c>
      <c r="AD96" s="455" t="str">
        <f>IF(ISERROR(VLOOKUP(T96,'Base de Datos'!$E$7:$AR$302,15,0))=TRUE," ",(VLOOKUP(T96,'Base de Datos'!$E$7:$AR$302,15,0)))</f>
        <v xml:space="preserve"> </v>
      </c>
      <c r="AE96" s="460" t="str">
        <f>IF(ISERROR(VLOOKUP(T96,'Base de Datos'!$E$7:$AR$302,16,0))=TRUE," ",(VLOOKUP(T96,'Base de Datos'!$E$7:$AR$302,16,0)))</f>
        <v xml:space="preserve"> </v>
      </c>
      <c r="AF96" s="460" t="str">
        <f>IF(ISERROR(VLOOKUP(T96,'Base de Datos'!$E$7:$AR$302,17,0))=TRUE," ",(VLOOKUP(T96,'Base de Datos'!$E$7:$AR$302,17,0)))</f>
        <v xml:space="preserve"> </v>
      </c>
      <c r="AG96" s="460" t="str">
        <f>IF(ISERROR(VLOOKUP(T96,'Base de Datos'!$E$7:$AR$302,18,0))=TRUE," ",(VLOOKUP(T96,'Base de Datos'!$E$7:$AR$302,18,0)))</f>
        <v xml:space="preserve"> </v>
      </c>
      <c r="AH96" s="461" t="str">
        <f>IF(ISERROR(VLOOKUP(T96,'Base de Datos'!$E$7:$AR$302,20,0))=TRUE," ",(VLOOKUP(T96,'Base de Datos'!$E$7:$AR$302,20,0)))</f>
        <v xml:space="preserve"> </v>
      </c>
      <c r="AI96" s="461" t="str">
        <f>IF(ISERROR(VLOOKUP(T96,'Base de Datos'!$E$7:$AR$302,21,0))=TRUE," ",(VLOOKUP(T96,'Base de Datos'!$E$7:$AR$302,21,0)))</f>
        <v xml:space="preserve"> </v>
      </c>
      <c r="AJ96" s="450"/>
      <c r="AK96" s="450" t="str">
        <f>IF(ISERROR(VLOOKUP(D96,'Base de Datos'!$C$7:$AR$400,2,0))=TRUE," ",(VLOOKUP(D96,'Base de Datos'!$C$7:$AR$400,2,0)))</f>
        <v>201570</v>
      </c>
      <c r="AL96" s="450" t="str">
        <f>IF(ISERROR(VLOOKUP(D96,'Base de Datos'!$C$7:$AR$400,3,0))=TRUE," ",(VLOOKUP(D96,'Base de Datos'!$C$7:$AR$400,3,0)))</f>
        <v>150321-0-2015</v>
      </c>
      <c r="AM96" s="453" t="str">
        <f>IF(ISERROR(VLOOKUP(D96,'Base de Datos'!$C$7:$AR$3761,6,0))=TRUE," ",(VLOOKUP(D96,'Base de Datos'!$C$7:$AR$400,6,0)))</f>
        <v>Adquisión de la licencia TOAD para el Concejo de Bogotá.</v>
      </c>
      <c r="AN96" s="453">
        <f>IF(ISERROR(VLOOKUP(D96,'Base de Datos'!$C$7:$AR$400,20,0))=TRUE," ",(VLOOKUP(D96,'Base de Datos'!$C$7:$AR$400,19,0)))</f>
        <v>31577404</v>
      </c>
      <c r="AO96" s="456">
        <f>IF(ISERROR(VLOOKUP(D96,'Base de Datos'!$C$7:$AR$400,9,0))=TRUE," ",(VLOOKUP(D96,'Base de Datos'!$C$7:$AR$400,9,0)))</f>
        <v>2015</v>
      </c>
      <c r="AP96" s="456">
        <f>IF(ISERROR(VLOOKUP(D96,'Base de Datos'!$C$7:$AR$400,10,0))=TRUE," ",(VLOOKUP(D96,'Base de Datos'!$C$7:$AR$400,10,0)))</f>
        <v>42208</v>
      </c>
      <c r="AQ96" s="458">
        <f>IF(ISERROR(VLOOKUP(D96,'Base de Datos'!$C$7:$AR$400,11,0))=TRUE," ",(VLOOKUP(D96,'Base de Datos'!$C$7:$AR$400,11,0)))</f>
        <v>42221</v>
      </c>
      <c r="AR96" s="459">
        <f>IF(ISERROR(VLOOKUP(D96,'Base de Datos'!$C$7:$AR$400,12,0))=TRUE," ",(VLOOKUP(D96,'Base de Datos'!$C$7:$AR$400,12,0)))</f>
        <v>42282</v>
      </c>
      <c r="AS96" s="458">
        <f>IF(ISERROR(VLOOKUP(D96,'Base de Datos'!$C$7:$AR$400,13,0))=TRUE," ",(VLOOKUP(D96,'Base de Datos'!$C$7:$AR$400,13,0)))</f>
        <v>0</v>
      </c>
      <c r="AT96" s="458">
        <f>IF(ISERROR(VLOOKUP(D96,'Base de Datos'!$C$7:$AR$400,14,0))=TRUE," ",(VLOOKUP(D96,'Base de Datos'!$C$7:$AR$400,14,0)))</f>
        <v>0</v>
      </c>
      <c r="AU96" s="456" t="str">
        <f>IF(ISERROR(VLOOKUP(D96,'Base de Datos'!$C$7:$AR$400,16,0))=TRUE," ",(VLOOKUP(D96,'Base de Datos'!$C$7:$AR$400,16,0)))</f>
        <v/>
      </c>
      <c r="AV96" s="460" t="str">
        <f>IF(ISERROR(VLOOKUP(D96,'Base de Datos'!$C$7:$AR$400,17,0))=TRUE," ",(VLOOKUP(D96,'Base de Datos'!$C$7:$AR$400,17,0)))</f>
        <v/>
      </c>
      <c r="AW96" s="460">
        <f>IF(ISERROR(VLOOKUP(D96,'Base de Datos'!$C$7:$AR$400,18,0))=TRUE," ",(VLOOKUP(D96,'Base de Datos'!$C$7:$AR$400,18,0)))</f>
        <v>42282</v>
      </c>
      <c r="AX96" s="460">
        <f>IF(ISERROR(VLOOKUP(D96,'Base de Datos'!$C$7:$AR$400,19,0))=TRUE," ",(VLOOKUP(D96,'Base de Datos'!$C$7:$AR$400,19,0)))</f>
        <v>31577404</v>
      </c>
      <c r="AY96" s="463">
        <f>IF(ISERROR(VLOOKUP(D96,'Base de Datos'!$C$7:$AR$400,21,0))=TRUE," ",(VLOOKUP(D96,'Base de Datos'!$C$7:$AR$400,21,0)))</f>
        <v>0</v>
      </c>
      <c r="AZ96" s="463" t="str">
        <f>IF(ISERROR(VLOOKUP(D96,'Base de Datos'!$C$7:$AR$400,22,0))=TRUE," ",(VLOOKUP(D96,'Base de Datos'!$C$7:$AR$400,22,0)))</f>
        <v>Único pago</v>
      </c>
      <c r="BA96" s="470"/>
      <c r="BB96" s="480"/>
    </row>
    <row r="97" spans="2:54" ht="55.5" hidden="1" customHeight="1" x14ac:dyDescent="0.25">
      <c r="B97" s="433">
        <v>90</v>
      </c>
      <c r="C97" s="441" t="s">
        <v>1675</v>
      </c>
      <c r="D97" s="433">
        <v>71</v>
      </c>
      <c r="E97" s="441" t="s">
        <v>1679</v>
      </c>
      <c r="F97" s="442">
        <f>VLOOKUP(D97,'Presupuesto - PAA 2015'!$B$10:$E$265,4,0)</f>
        <v>11167296</v>
      </c>
      <c r="G97" s="434" t="str">
        <f>VLOOKUP(D97,'[4]Seguimiento Plan'!$C$2:$R$101,16,0)</f>
        <v>Adquisición de licencias de servidores Windows Server 2012 para el Concejo de Bogotá.</v>
      </c>
      <c r="H97" s="434" t="s">
        <v>1777</v>
      </c>
      <c r="I97" s="434" t="s">
        <v>1712</v>
      </c>
      <c r="J97" s="443" t="s">
        <v>909</v>
      </c>
      <c r="K97" s="444" t="s">
        <v>390</v>
      </c>
      <c r="L97" s="444" t="str">
        <f>VLOOKUP(D97,'[4]Seguimiento Plan'!$C$2:$AJ$101,30,0)</f>
        <v>SI</v>
      </c>
      <c r="M97" s="445">
        <f>VLOOKUP(D97,'[4]Seguimiento Plan'!$C$2:$AJ$101,31,0)</f>
        <v>42093</v>
      </c>
      <c r="N97" s="444" t="s">
        <v>1813</v>
      </c>
      <c r="O97" s="446"/>
      <c r="P97" s="446"/>
      <c r="Q97" s="446"/>
      <c r="R97" s="447"/>
      <c r="S97" s="465" t="s">
        <v>1896</v>
      </c>
      <c r="T97" s="448"/>
      <c r="U97" s="450" t="str">
        <f>IF(ISERROR(VLOOKUP(T97,'Base de Datos'!$E$7:$AR$302,3,0))=TRUE," ",(VLOOKUP(T97,'Base de Datos'!$E$7:$AR$302,2,0)))</f>
        <v xml:space="preserve"> </v>
      </c>
      <c r="V97" s="453" t="str">
        <f>IF(ISERROR(VLOOKUP(T97,'Base de Datos'!$E$7:$AR$302,5,0))=TRUE," ",(VLOOKUP(T97,'Base de Datos'!$E$7:$AR$302,5,0)))</f>
        <v xml:space="preserve"> </v>
      </c>
      <c r="W97" s="450" t="str">
        <f>IF(ISERROR(VLOOKUP(T97,'Base de Datos'!$E$7:$AR$302,19,0))=TRUE," ",(VLOOKUP(T97,'Base de Datos'!$E$7:$AR$302,19,0)))</f>
        <v xml:space="preserve"> </v>
      </c>
      <c r="X97" s="455" t="str">
        <f>IF(ISERROR(VLOOKUP(T97,'Base de Datos'!$E$7:$AR$302,8,0))=TRUE," ",(VLOOKUP(T97,'Base de Datos'!$E$7:$AR$302,8,0)))</f>
        <v xml:space="preserve"> </v>
      </c>
      <c r="Y97" s="455" t="str">
        <f>IF(ISERROR(VLOOKUP(T97,'Base de Datos'!$E$7:$AR$302,9,0))=TRUE," ",(VLOOKUP(T97,'Base de Datos'!$E$7:$AR$302,9,0)))</f>
        <v xml:space="preserve"> </v>
      </c>
      <c r="Z97" s="449" t="str">
        <f>IF(ISERROR(VLOOKUP(T97,'Base de Datos'!$E$7:$AR$302,10,0))=TRUE," ",(VLOOKUP(T97,'Base de Datos'!$E$7:$AR$302,10,0)))</f>
        <v xml:space="preserve"> </v>
      </c>
      <c r="AA97" s="452" t="str">
        <f>IF(ISERROR(VLOOKUP(T97,'Base de Datos'!$E$7:$AR$302,11,0))=TRUE," ",(VLOOKUP(T97,'Base de Datos'!$E$7:$AR$302,11,0)))</f>
        <v xml:space="preserve"> </v>
      </c>
      <c r="AB97" s="449" t="str">
        <f>IF(ISERROR(VLOOKUP(T97,'Base de Datos'!$E$7:$AR$302,12,0))=TRUE," ",(VLOOKUP(T97,'Base de Datos'!$E$7:$AR$302,12,0)))</f>
        <v xml:space="preserve"> </v>
      </c>
      <c r="AC97" s="449" t="str">
        <f>IF(ISERROR(VLOOKUP(T97,'Base de Datos'!$E$7:$AR$302,12,0))=TRUE," ",(VLOOKUP(T97,'Base de Datos'!$E$7:$AR$302,12,0)))</f>
        <v xml:space="preserve"> </v>
      </c>
      <c r="AD97" s="455" t="str">
        <f>IF(ISERROR(VLOOKUP(T97,'Base de Datos'!$E$7:$AR$302,15,0))=TRUE," ",(VLOOKUP(T97,'Base de Datos'!$E$7:$AR$302,15,0)))</f>
        <v xml:space="preserve"> </v>
      </c>
      <c r="AE97" s="460" t="str">
        <f>IF(ISERROR(VLOOKUP(T97,'Base de Datos'!$E$7:$AR$302,16,0))=TRUE," ",(VLOOKUP(T97,'Base de Datos'!$E$7:$AR$302,16,0)))</f>
        <v xml:space="preserve"> </v>
      </c>
      <c r="AF97" s="460" t="str">
        <f>IF(ISERROR(VLOOKUP(T97,'Base de Datos'!$E$7:$AR$302,17,0))=TRUE," ",(VLOOKUP(T97,'Base de Datos'!$E$7:$AR$302,17,0)))</f>
        <v xml:space="preserve"> </v>
      </c>
      <c r="AG97" s="460" t="str">
        <f>IF(ISERROR(VLOOKUP(T97,'Base de Datos'!$E$7:$AR$302,18,0))=TRUE," ",(VLOOKUP(T97,'Base de Datos'!$E$7:$AR$302,18,0)))</f>
        <v xml:space="preserve"> </v>
      </c>
      <c r="AH97" s="461" t="str">
        <f>IF(ISERROR(VLOOKUP(T97,'Base de Datos'!$E$7:$AR$302,20,0))=TRUE," ",(VLOOKUP(T97,'Base de Datos'!$E$7:$AR$302,20,0)))</f>
        <v xml:space="preserve"> </v>
      </c>
      <c r="AI97" s="461" t="str">
        <f>IF(ISERROR(VLOOKUP(T97,'Base de Datos'!$E$7:$AR$302,21,0))=TRUE," ",(VLOOKUP(T97,'Base de Datos'!$E$7:$AR$302,21,0)))</f>
        <v xml:space="preserve"> </v>
      </c>
      <c r="AJ97" s="464">
        <v>42167</v>
      </c>
      <c r="AK97" s="450" t="str">
        <f>IF(ISERROR(VLOOKUP(D97,'Base de Datos'!$C$7:$AR$400,2,0))=TRUE," ",(VLOOKUP(D97,'Base de Datos'!$C$7:$AR$400,2,0)))</f>
        <v>201571</v>
      </c>
      <c r="AL97" s="450" t="str">
        <f>IF(ISERROR(VLOOKUP(D97,'Base de Datos'!$C$7:$AR$400,3,0))=TRUE," ",(VLOOKUP(D97,'Base de Datos'!$C$7:$AR$400,3,0)))</f>
        <v>150254-0-2015</v>
      </c>
      <c r="AM97" s="453" t="str">
        <f>IF(ISERROR(VLOOKUP(D97,'Base de Datos'!$C$7:$AR$3761,6,0))=TRUE," ",(VLOOKUP(D97,'Base de Datos'!$C$7:$AR$400,6,0)))</f>
        <v>Adquisición de licencias de servidores Windows Server 2012 para el Concejo de Bogotá, de conformidad con lo establecido en la presente invitación pública</v>
      </c>
      <c r="AN97" s="453">
        <f>IF(ISERROR(VLOOKUP(D97,'Base de Datos'!$C$7:$AR$400,20,0))=TRUE," ",(VLOOKUP(D97,'Base de Datos'!$C$7:$AR$400,19,0)))</f>
        <v>11167296</v>
      </c>
      <c r="AO97" s="456">
        <f>IF(ISERROR(VLOOKUP(D97,'Base de Datos'!$C$7:$AR$400,9,0))=TRUE," ",(VLOOKUP(D97,'Base de Datos'!$C$7:$AR$400,9,0)))</f>
        <v>2015</v>
      </c>
      <c r="AP97" s="456">
        <f>IF(ISERROR(VLOOKUP(D97,'Base de Datos'!$C$7:$AR$400,10,0))=TRUE," ",(VLOOKUP(D97,'Base de Datos'!$C$7:$AR$400,10,0)))</f>
        <v>42167</v>
      </c>
      <c r="AQ97" s="458">
        <f>IF(ISERROR(VLOOKUP(D97,'Base de Datos'!$C$7:$AR$400,11,0))=TRUE," ",(VLOOKUP(D97,'Base de Datos'!$C$7:$AR$400,11,0)))</f>
        <v>42188</v>
      </c>
      <c r="AR97" s="459">
        <f>IF(ISERROR(VLOOKUP(D97,'Base de Datos'!$C$7:$AR$400,12,0))=TRUE," ",(VLOOKUP(D97,'Base de Datos'!$C$7:$AR$400,12,0)))</f>
        <v>42250</v>
      </c>
      <c r="AS97" s="458">
        <f>IF(ISERROR(VLOOKUP(D97,'Base de Datos'!$C$7:$AR$400,13,0))=TRUE," ",(VLOOKUP(D97,'Base de Datos'!$C$7:$AR$400,13,0)))</f>
        <v>0</v>
      </c>
      <c r="AT97" s="458">
        <f>IF(ISERROR(VLOOKUP(D97,'Base de Datos'!$C$7:$AR$400,14,0))=TRUE," ",(VLOOKUP(D97,'Base de Datos'!$C$7:$AR$400,14,0)))</f>
        <v>0</v>
      </c>
      <c r="AU97" s="456" t="str">
        <f>IF(ISERROR(VLOOKUP(D97,'Base de Datos'!$C$7:$AR$400,16,0))=TRUE," ",(VLOOKUP(D97,'Base de Datos'!$C$7:$AR$400,16,0)))</f>
        <v/>
      </c>
      <c r="AV97" s="460" t="str">
        <f>IF(ISERROR(VLOOKUP(D97,'Base de Datos'!$C$7:$AR$400,17,0))=TRUE," ",(VLOOKUP(D97,'Base de Datos'!$C$7:$AR$400,17,0)))</f>
        <v/>
      </c>
      <c r="AW97" s="460">
        <f>IF(ISERROR(VLOOKUP(D97,'Base de Datos'!$C$7:$AR$400,18,0))=TRUE," ",(VLOOKUP(D97,'Base de Datos'!$C$7:$AR$400,18,0)))</f>
        <v>42250</v>
      </c>
      <c r="AX97" s="460">
        <f>IF(ISERROR(VLOOKUP(D97,'Base de Datos'!$C$7:$AR$400,19,0))=TRUE," ",(VLOOKUP(D97,'Base de Datos'!$C$7:$AR$400,19,0)))</f>
        <v>11167296</v>
      </c>
      <c r="AY97" s="463">
        <f>IF(ISERROR(VLOOKUP(D97,'Base de Datos'!$C$7:$AR$400,21,0))=TRUE," ",(VLOOKUP(D97,'Base de Datos'!$C$7:$AR$400,21,0)))</f>
        <v>0</v>
      </c>
      <c r="AZ97" s="463" t="str">
        <f>IF(ISERROR(VLOOKUP(D97,'Base de Datos'!$C$7:$AR$400,22,0))=TRUE," ",(VLOOKUP(D97,'Base de Datos'!$C$7:$AR$400,22,0)))</f>
        <v>Único pago</v>
      </c>
      <c r="BA97" s="470"/>
      <c r="BB97" s="480"/>
    </row>
    <row r="98" spans="2:54" ht="55.5" hidden="1" customHeight="1" x14ac:dyDescent="0.25">
      <c r="B98" s="433">
        <v>91</v>
      </c>
      <c r="C98" s="441" t="s">
        <v>1675</v>
      </c>
      <c r="D98" s="433">
        <v>72</v>
      </c>
      <c r="E98" s="441" t="s">
        <v>1679</v>
      </c>
      <c r="F98" s="442" t="e">
        <f>VLOOKUP(D98,'Presupuesto - PAA 2015'!$B$10:$E$265,4,0)</f>
        <v>#N/A</v>
      </c>
      <c r="G98" s="434" t="str">
        <f>VLOOKUP(D98,'[4]Seguimiento Plan'!$C$2:$R$101,16,0)</f>
        <v>Adquisición e instalación tableros eléctricos de red normal  del Concejo de Bogotá.</v>
      </c>
      <c r="H98" s="434" t="s">
        <v>1777</v>
      </c>
      <c r="I98" s="434" t="s">
        <v>1712</v>
      </c>
      <c r="J98" s="443" t="s">
        <v>909</v>
      </c>
      <c r="K98" s="444"/>
      <c r="L98" s="444" t="str">
        <f>VLOOKUP(D98,'[4]Seguimiento Plan'!$C$2:$AJ$101,30,0)</f>
        <v>NA</v>
      </c>
      <c r="M98" s="445">
        <f>VLOOKUP(D98,'[4]Seguimiento Plan'!$C$2:$AJ$101,31,0)</f>
        <v>0</v>
      </c>
      <c r="N98" s="444"/>
      <c r="O98" s="446"/>
      <c r="P98" s="446"/>
      <c r="Q98" s="446"/>
      <c r="R98" s="444" t="s">
        <v>1814</v>
      </c>
      <c r="S98" s="447"/>
      <c r="T98" s="448"/>
      <c r="U98" s="450" t="str">
        <f>IF(ISERROR(VLOOKUP(T98,'Base de Datos'!$E$7:$AR$302,3,0))=TRUE," ",(VLOOKUP(T98,'Base de Datos'!$E$7:$AR$302,2,0)))</f>
        <v xml:space="preserve"> </v>
      </c>
      <c r="V98" s="453" t="str">
        <f>IF(ISERROR(VLOOKUP(T98,'Base de Datos'!$E$7:$AR$302,5,0))=TRUE," ",(VLOOKUP(T98,'Base de Datos'!$E$7:$AR$302,5,0)))</f>
        <v xml:space="preserve"> </v>
      </c>
      <c r="W98" s="450" t="str">
        <f>IF(ISERROR(VLOOKUP(T98,'Base de Datos'!$E$7:$AR$302,19,0))=TRUE," ",(VLOOKUP(T98,'Base de Datos'!$E$7:$AR$302,19,0)))</f>
        <v xml:space="preserve"> </v>
      </c>
      <c r="X98" s="455" t="str">
        <f>IF(ISERROR(VLOOKUP(T98,'Base de Datos'!$E$7:$AR$302,8,0))=TRUE," ",(VLOOKUP(T98,'Base de Datos'!$E$7:$AR$302,8,0)))</f>
        <v xml:space="preserve"> </v>
      </c>
      <c r="Y98" s="455" t="str">
        <f>IF(ISERROR(VLOOKUP(T98,'Base de Datos'!$E$7:$AR$302,9,0))=TRUE," ",(VLOOKUP(T98,'Base de Datos'!$E$7:$AR$302,9,0)))</f>
        <v xml:space="preserve"> </v>
      </c>
      <c r="Z98" s="449" t="str">
        <f>IF(ISERROR(VLOOKUP(T98,'Base de Datos'!$E$7:$AR$302,10,0))=TRUE," ",(VLOOKUP(T98,'Base de Datos'!$E$7:$AR$302,10,0)))</f>
        <v xml:space="preserve"> </v>
      </c>
      <c r="AA98" s="452" t="str">
        <f>IF(ISERROR(VLOOKUP(T98,'Base de Datos'!$E$7:$AR$302,11,0))=TRUE," ",(VLOOKUP(T98,'Base de Datos'!$E$7:$AR$302,11,0)))</f>
        <v xml:space="preserve"> </v>
      </c>
      <c r="AB98" s="449" t="str">
        <f>IF(ISERROR(VLOOKUP(T98,'Base de Datos'!$E$7:$AR$302,12,0))=TRUE," ",(VLOOKUP(T98,'Base de Datos'!$E$7:$AR$302,12,0)))</f>
        <v xml:space="preserve"> </v>
      </c>
      <c r="AC98" s="449" t="str">
        <f>IF(ISERROR(VLOOKUP(T98,'Base de Datos'!$E$7:$AR$302,12,0))=TRUE," ",(VLOOKUP(T98,'Base de Datos'!$E$7:$AR$302,12,0)))</f>
        <v xml:space="preserve"> </v>
      </c>
      <c r="AD98" s="455" t="str">
        <f>IF(ISERROR(VLOOKUP(T98,'Base de Datos'!$E$7:$AR$302,15,0))=TRUE," ",(VLOOKUP(T98,'Base de Datos'!$E$7:$AR$302,15,0)))</f>
        <v xml:space="preserve"> </v>
      </c>
      <c r="AE98" s="460" t="str">
        <f>IF(ISERROR(VLOOKUP(T98,'Base de Datos'!$E$7:$AR$302,16,0))=TRUE," ",(VLOOKUP(T98,'Base de Datos'!$E$7:$AR$302,16,0)))</f>
        <v xml:space="preserve"> </v>
      </c>
      <c r="AF98" s="460" t="str">
        <f>IF(ISERROR(VLOOKUP(T98,'Base de Datos'!$E$7:$AR$302,17,0))=TRUE," ",(VLOOKUP(T98,'Base de Datos'!$E$7:$AR$302,17,0)))</f>
        <v xml:space="preserve"> </v>
      </c>
      <c r="AG98" s="460" t="str">
        <f>IF(ISERROR(VLOOKUP(T98,'Base de Datos'!$E$7:$AR$302,18,0))=TRUE," ",(VLOOKUP(T98,'Base de Datos'!$E$7:$AR$302,18,0)))</f>
        <v xml:space="preserve"> </v>
      </c>
      <c r="AH98" s="461" t="str">
        <f>IF(ISERROR(VLOOKUP(T98,'Base de Datos'!$E$7:$AR$302,20,0))=TRUE," ",(VLOOKUP(T98,'Base de Datos'!$E$7:$AR$302,20,0)))</f>
        <v xml:space="preserve"> </v>
      </c>
      <c r="AI98" s="461" t="str">
        <f>IF(ISERROR(VLOOKUP(T98,'Base de Datos'!$E$7:$AR$302,21,0))=TRUE," ",(VLOOKUP(T98,'Base de Datos'!$E$7:$AR$302,21,0)))</f>
        <v xml:space="preserve"> </v>
      </c>
      <c r="AJ98" s="450"/>
      <c r="AK98" s="450" t="str">
        <f>IF(ISERROR(VLOOKUP(D98,'Base de Datos'!$C$7:$AR$400,2,0))=TRUE," ",(VLOOKUP(D98,'Base de Datos'!$C$7:$AR$400,2,0)))</f>
        <v xml:space="preserve"> </v>
      </c>
      <c r="AL98" s="450" t="str">
        <f>IF(ISERROR(VLOOKUP(D98,'Base de Datos'!$C$7:$AR$400,3,0))=TRUE," ",(VLOOKUP(D98,'Base de Datos'!$C$7:$AR$400,3,0)))</f>
        <v xml:space="preserve"> </v>
      </c>
      <c r="AM98" s="453" t="str">
        <f>IF(ISERROR(VLOOKUP(D98,'Base de Datos'!$C$7:$AR$3761,6,0))=TRUE," ",(VLOOKUP(D98,'Base de Datos'!$C$7:$AR$400,6,0)))</f>
        <v xml:space="preserve"> </v>
      </c>
      <c r="AN98" s="453" t="str">
        <f>IF(ISERROR(VLOOKUP(D98,'Base de Datos'!$C$7:$AR$400,20,0))=TRUE," ",(VLOOKUP(D98,'Base de Datos'!$C$7:$AR$400,19,0)))</f>
        <v xml:space="preserve"> </v>
      </c>
      <c r="AO98" s="456" t="str">
        <f>IF(ISERROR(VLOOKUP(D98,'Base de Datos'!$C$7:$AR$400,9,0))=TRUE," ",(VLOOKUP(D98,'Base de Datos'!$C$7:$AR$400,9,0)))</f>
        <v xml:space="preserve"> </v>
      </c>
      <c r="AP98" s="456" t="str">
        <f>IF(ISERROR(VLOOKUP(D98,'Base de Datos'!$C$7:$AR$400,10,0))=TRUE," ",(VLOOKUP(D98,'Base de Datos'!$C$7:$AR$400,10,0)))</f>
        <v xml:space="preserve"> </v>
      </c>
      <c r="AQ98" s="458" t="str">
        <f>IF(ISERROR(VLOOKUP(D98,'Base de Datos'!$C$7:$AR$400,11,0))=TRUE," ",(VLOOKUP(D98,'Base de Datos'!$C$7:$AR$400,11,0)))</f>
        <v xml:space="preserve"> </v>
      </c>
      <c r="AR98" s="459" t="str">
        <f>IF(ISERROR(VLOOKUP(D98,'Base de Datos'!$C$7:$AR$400,12,0))=TRUE," ",(VLOOKUP(D98,'Base de Datos'!$C$7:$AR$400,12,0)))</f>
        <v xml:space="preserve"> </v>
      </c>
      <c r="AS98" s="458" t="str">
        <f>IF(ISERROR(VLOOKUP(D98,'Base de Datos'!$C$7:$AR$400,13,0))=TRUE," ",(VLOOKUP(D98,'Base de Datos'!$C$7:$AR$400,13,0)))</f>
        <v xml:space="preserve"> </v>
      </c>
      <c r="AT98" s="458" t="str">
        <f>IF(ISERROR(VLOOKUP(D98,'Base de Datos'!$C$7:$AR$400,14,0))=TRUE," ",(VLOOKUP(D98,'Base de Datos'!$C$7:$AR$400,14,0)))</f>
        <v xml:space="preserve"> </v>
      </c>
      <c r="AU98" s="456" t="str">
        <f>IF(ISERROR(VLOOKUP(D98,'Base de Datos'!$C$7:$AR$400,16,0))=TRUE," ",(VLOOKUP(D98,'Base de Datos'!$C$7:$AR$400,16,0)))</f>
        <v xml:space="preserve"> </v>
      </c>
      <c r="AV98" s="460" t="str">
        <f>IF(ISERROR(VLOOKUP(D98,'Base de Datos'!$C$7:$AR$400,17,0))=TRUE," ",(VLOOKUP(D98,'Base de Datos'!$C$7:$AR$400,17,0)))</f>
        <v xml:space="preserve"> </v>
      </c>
      <c r="AW98" s="460" t="str">
        <f>IF(ISERROR(VLOOKUP(D98,'Base de Datos'!$C$7:$AR$400,18,0))=TRUE," ",(VLOOKUP(D98,'Base de Datos'!$C$7:$AR$400,18,0)))</f>
        <v xml:space="preserve"> </v>
      </c>
      <c r="AX98" s="460" t="str">
        <f>IF(ISERROR(VLOOKUP(D98,'Base de Datos'!$C$7:$AR$400,19,0))=TRUE," ",(VLOOKUP(D98,'Base de Datos'!$C$7:$AR$400,19,0)))</f>
        <v xml:space="preserve"> </v>
      </c>
      <c r="AY98" s="463" t="str">
        <f>IF(ISERROR(VLOOKUP(D98,'Base de Datos'!$C$7:$AR$400,21,0))=TRUE," ",(VLOOKUP(D98,'Base de Datos'!$C$7:$AR$400,21,0)))</f>
        <v xml:space="preserve"> </v>
      </c>
      <c r="AZ98" s="463" t="str">
        <f>IF(ISERROR(VLOOKUP(D98,'Base de Datos'!$C$7:$AR$400,22,0))=TRUE," ",(VLOOKUP(D98,'Base de Datos'!$C$7:$AR$400,22,0)))</f>
        <v xml:space="preserve"> </v>
      </c>
      <c r="BA98" s="470"/>
      <c r="BB98" s="480"/>
    </row>
    <row r="99" spans="2:54" ht="55.5" hidden="1" customHeight="1" x14ac:dyDescent="0.25">
      <c r="B99" s="433">
        <v>92</v>
      </c>
      <c r="C99" s="441" t="s">
        <v>1675</v>
      </c>
      <c r="D99" s="433">
        <v>73</v>
      </c>
      <c r="E99" s="441" t="s">
        <v>1679</v>
      </c>
      <c r="F99" s="442">
        <f>VLOOKUP(D99,'Presupuesto - PAA 2015'!$B$10:$E$265,4,0)</f>
        <v>0</v>
      </c>
      <c r="G99" s="434" t="str">
        <f>VLOOKUP(D99,'[4]Seguimiento Plan'!$C$2:$R$101,16,0)</f>
        <v>Adquisición de licencias Oracle  para el Concejo de Bogotá.</v>
      </c>
      <c r="H99" s="434" t="s">
        <v>1777</v>
      </c>
      <c r="I99" s="434" t="s">
        <v>1712</v>
      </c>
      <c r="J99" s="443" t="s">
        <v>908</v>
      </c>
      <c r="K99" s="444" t="s">
        <v>390</v>
      </c>
      <c r="L99" s="444" t="str">
        <f>VLOOKUP(D99,'[4]Seguimiento Plan'!$C$2:$AJ$101,30,0)</f>
        <v>SI</v>
      </c>
      <c r="M99" s="445">
        <f>VLOOKUP(D99,'[4]Seguimiento Plan'!$C$2:$AJ$101,31,0)</f>
        <v>42009</v>
      </c>
      <c r="N99" s="444" t="s">
        <v>1812</v>
      </c>
      <c r="O99" s="446"/>
      <c r="P99" s="446"/>
      <c r="Q99" s="446"/>
      <c r="R99" s="447"/>
      <c r="S99" s="447"/>
      <c r="T99" s="448"/>
      <c r="U99" s="450" t="str">
        <f>IF(ISERROR(VLOOKUP(T99,'Base de Datos'!$E$7:$AR$302,3,0))=TRUE," ",(VLOOKUP(T99,'Base de Datos'!$E$7:$AR$302,2,0)))</f>
        <v xml:space="preserve"> </v>
      </c>
      <c r="V99" s="453" t="str">
        <f>IF(ISERROR(VLOOKUP(T99,'Base de Datos'!$E$7:$AR$302,5,0))=TRUE," ",(VLOOKUP(T99,'Base de Datos'!$E$7:$AR$302,5,0)))</f>
        <v xml:space="preserve"> </v>
      </c>
      <c r="W99" s="450" t="str">
        <f>IF(ISERROR(VLOOKUP(T99,'Base de Datos'!$E$7:$AR$302,19,0))=TRUE," ",(VLOOKUP(T99,'Base de Datos'!$E$7:$AR$302,19,0)))</f>
        <v xml:space="preserve"> </v>
      </c>
      <c r="X99" s="455" t="str">
        <f>IF(ISERROR(VLOOKUP(T99,'Base de Datos'!$E$7:$AR$302,8,0))=TRUE," ",(VLOOKUP(T99,'Base de Datos'!$E$7:$AR$302,8,0)))</f>
        <v xml:space="preserve"> </v>
      </c>
      <c r="Y99" s="455" t="str">
        <f>IF(ISERROR(VLOOKUP(T99,'Base de Datos'!$E$7:$AR$302,9,0))=TRUE," ",(VLOOKUP(T99,'Base de Datos'!$E$7:$AR$302,9,0)))</f>
        <v xml:space="preserve"> </v>
      </c>
      <c r="Z99" s="449" t="str">
        <f>IF(ISERROR(VLOOKUP(T99,'Base de Datos'!$E$7:$AR$302,10,0))=TRUE," ",(VLOOKUP(T99,'Base de Datos'!$E$7:$AR$302,10,0)))</f>
        <v xml:space="preserve"> </v>
      </c>
      <c r="AA99" s="452" t="str">
        <f>IF(ISERROR(VLOOKUP(T99,'Base de Datos'!$E$7:$AR$302,11,0))=TRUE," ",(VLOOKUP(T99,'Base de Datos'!$E$7:$AR$302,11,0)))</f>
        <v xml:space="preserve"> </v>
      </c>
      <c r="AB99" s="449" t="str">
        <f>IF(ISERROR(VLOOKUP(T99,'Base de Datos'!$E$7:$AR$302,12,0))=TRUE," ",(VLOOKUP(T99,'Base de Datos'!$E$7:$AR$302,12,0)))</f>
        <v xml:space="preserve"> </v>
      </c>
      <c r="AC99" s="449" t="str">
        <f>IF(ISERROR(VLOOKUP(T99,'Base de Datos'!$E$7:$AR$302,12,0))=TRUE," ",(VLOOKUP(T99,'Base de Datos'!$E$7:$AR$302,12,0)))</f>
        <v xml:space="preserve"> </v>
      </c>
      <c r="AD99" s="455" t="str">
        <f>IF(ISERROR(VLOOKUP(T99,'Base de Datos'!$E$7:$AR$302,15,0))=TRUE," ",(VLOOKUP(T99,'Base de Datos'!$E$7:$AR$302,15,0)))</f>
        <v xml:space="preserve"> </v>
      </c>
      <c r="AE99" s="460" t="str">
        <f>IF(ISERROR(VLOOKUP(T99,'Base de Datos'!$E$7:$AR$302,16,0))=TRUE," ",(VLOOKUP(T99,'Base de Datos'!$E$7:$AR$302,16,0)))</f>
        <v xml:space="preserve"> </v>
      </c>
      <c r="AF99" s="460" t="str">
        <f>IF(ISERROR(VLOOKUP(T99,'Base de Datos'!$E$7:$AR$302,17,0))=TRUE," ",(VLOOKUP(T99,'Base de Datos'!$E$7:$AR$302,17,0)))</f>
        <v xml:space="preserve"> </v>
      </c>
      <c r="AG99" s="460" t="str">
        <f>IF(ISERROR(VLOOKUP(T99,'Base de Datos'!$E$7:$AR$302,18,0))=TRUE," ",(VLOOKUP(T99,'Base de Datos'!$E$7:$AR$302,18,0)))</f>
        <v xml:space="preserve"> </v>
      </c>
      <c r="AH99" s="461" t="str">
        <f>IF(ISERROR(VLOOKUP(T99,'Base de Datos'!$E$7:$AR$302,20,0))=TRUE," ",(VLOOKUP(T99,'Base de Datos'!$E$7:$AR$302,20,0)))</f>
        <v xml:space="preserve"> </v>
      </c>
      <c r="AI99" s="461" t="str">
        <f>IF(ISERROR(VLOOKUP(T99,'Base de Datos'!$E$7:$AR$302,21,0))=TRUE," ",(VLOOKUP(T99,'Base de Datos'!$E$7:$AR$302,21,0)))</f>
        <v xml:space="preserve"> </v>
      </c>
      <c r="AJ99" s="450"/>
      <c r="AK99" s="450" t="str">
        <f>IF(ISERROR(VLOOKUP(D99,'Base de Datos'!$C$7:$AR$400,2,0))=TRUE," ",(VLOOKUP(D99,'Base de Datos'!$C$7:$AR$400,2,0)))</f>
        <v xml:space="preserve"> </v>
      </c>
      <c r="AL99" s="450" t="str">
        <f>IF(ISERROR(VLOOKUP(D99,'Base de Datos'!$C$7:$AR$400,3,0))=TRUE," ",(VLOOKUP(D99,'Base de Datos'!$C$7:$AR$400,3,0)))</f>
        <v xml:space="preserve"> </v>
      </c>
      <c r="AM99" s="453" t="e">
        <f>IF(ISERROR(VLOOKUP(D99,'Base de Datos'!$C$7:$AR$3761,6,0))=TRUE," ",(VLOOKUP(D99,'Base de Datos'!$C$7:$AR$400,6,0)))</f>
        <v>#N/A</v>
      </c>
      <c r="AN99" s="453" t="str">
        <f>IF(ISERROR(VLOOKUP(D99,'Base de Datos'!$C$7:$AR$400,20,0))=TRUE," ",(VLOOKUP(D99,'Base de Datos'!$C$7:$AR$400,19,0)))</f>
        <v xml:space="preserve"> </v>
      </c>
      <c r="AO99" s="456" t="str">
        <f>IF(ISERROR(VLOOKUP(D99,'Base de Datos'!$C$7:$AR$400,9,0))=TRUE," ",(VLOOKUP(D99,'Base de Datos'!$C$7:$AR$400,9,0)))</f>
        <v xml:space="preserve"> </v>
      </c>
      <c r="AP99" s="456" t="str">
        <f>IF(ISERROR(VLOOKUP(D99,'Base de Datos'!$C$7:$AR$400,10,0))=TRUE," ",(VLOOKUP(D99,'Base de Datos'!$C$7:$AR$400,10,0)))</f>
        <v xml:space="preserve"> </v>
      </c>
      <c r="AQ99" s="458" t="str">
        <f>IF(ISERROR(VLOOKUP(D99,'Base de Datos'!$C$7:$AR$400,11,0))=TRUE," ",(VLOOKUP(D99,'Base de Datos'!$C$7:$AR$400,11,0)))</f>
        <v xml:space="preserve"> </v>
      </c>
      <c r="AR99" s="459" t="str">
        <f>IF(ISERROR(VLOOKUP(D99,'Base de Datos'!$C$7:$AR$400,12,0))=TRUE," ",(VLOOKUP(D99,'Base de Datos'!$C$7:$AR$400,12,0)))</f>
        <v xml:space="preserve"> </v>
      </c>
      <c r="AS99" s="458" t="str">
        <f>IF(ISERROR(VLOOKUP(D99,'Base de Datos'!$C$7:$AR$400,13,0))=TRUE," ",(VLOOKUP(D99,'Base de Datos'!$C$7:$AR$400,13,0)))</f>
        <v xml:space="preserve"> </v>
      </c>
      <c r="AT99" s="458" t="str">
        <f>IF(ISERROR(VLOOKUP(D99,'Base de Datos'!$C$7:$AR$400,14,0))=TRUE," ",(VLOOKUP(D99,'Base de Datos'!$C$7:$AR$400,14,0)))</f>
        <v xml:space="preserve"> </v>
      </c>
      <c r="AU99" s="456" t="str">
        <f>IF(ISERROR(VLOOKUP(D99,'Base de Datos'!$C$7:$AR$400,16,0))=TRUE," ",(VLOOKUP(D99,'Base de Datos'!$C$7:$AR$400,16,0)))</f>
        <v xml:space="preserve"> </v>
      </c>
      <c r="AV99" s="460" t="str">
        <f>IF(ISERROR(VLOOKUP(D99,'Base de Datos'!$C$7:$AR$400,17,0))=TRUE," ",(VLOOKUP(D99,'Base de Datos'!$C$7:$AR$400,17,0)))</f>
        <v xml:space="preserve"> </v>
      </c>
      <c r="AW99" s="460" t="str">
        <f>IF(ISERROR(VLOOKUP(D99,'Base de Datos'!$C$7:$AR$400,18,0))=TRUE," ",(VLOOKUP(D99,'Base de Datos'!$C$7:$AR$400,18,0)))</f>
        <v xml:space="preserve"> </v>
      </c>
      <c r="AX99" s="460" t="str">
        <f>IF(ISERROR(VLOOKUP(D99,'Base de Datos'!$C$7:$AR$400,19,0))=TRUE," ",(VLOOKUP(D99,'Base de Datos'!$C$7:$AR$400,19,0)))</f>
        <v xml:space="preserve"> </v>
      </c>
      <c r="AY99" s="463" t="str">
        <f>IF(ISERROR(VLOOKUP(D99,'Base de Datos'!$C$7:$AR$400,21,0))=TRUE," ",(VLOOKUP(D99,'Base de Datos'!$C$7:$AR$400,21,0)))</f>
        <v xml:space="preserve"> </v>
      </c>
      <c r="AZ99" s="463" t="str">
        <f>IF(ISERROR(VLOOKUP(D99,'Base de Datos'!$C$7:$AR$400,22,0))=TRUE," ",(VLOOKUP(D99,'Base de Datos'!$C$7:$AR$400,22,0)))</f>
        <v xml:space="preserve"> </v>
      </c>
      <c r="BA99" s="470"/>
      <c r="BB99" s="480"/>
    </row>
    <row r="100" spans="2:54" ht="55.5" hidden="1" customHeight="1" x14ac:dyDescent="0.25">
      <c r="B100" s="433">
        <v>93</v>
      </c>
      <c r="C100" s="441" t="s">
        <v>1675</v>
      </c>
      <c r="D100" s="433">
        <v>74</v>
      </c>
      <c r="E100" s="441" t="s">
        <v>1679</v>
      </c>
      <c r="F100" s="442">
        <f>VLOOKUP(D100,'Presupuesto - PAA 2015'!$B$10:$E$265,4,0)</f>
        <v>1544000000</v>
      </c>
      <c r="G100" s="434" t="str">
        <f>VLOOKUP(D100,'[4]Seguimiento Plan'!$C$2:$R$101,16,0)</f>
        <v>Adquisición de los equipos de red Switches para el Concejo de Bogotá.</v>
      </c>
      <c r="H100" s="434" t="s">
        <v>1777</v>
      </c>
      <c r="I100" s="434" t="s">
        <v>1712</v>
      </c>
      <c r="J100" s="443" t="s">
        <v>1734</v>
      </c>
      <c r="K100" s="444"/>
      <c r="L100" s="444"/>
      <c r="M100" s="445"/>
      <c r="N100" s="444"/>
      <c r="O100" s="446"/>
      <c r="P100" s="446"/>
      <c r="Q100" s="446"/>
      <c r="R100" s="447"/>
      <c r="S100" s="447"/>
      <c r="T100" s="448"/>
      <c r="U100" s="450" t="str">
        <f>IF(ISERROR(VLOOKUP(T100,'Base de Datos'!$E$7:$AR$302,3,0))=TRUE," ",(VLOOKUP(T100,'Base de Datos'!$E$7:$AR$302,2,0)))</f>
        <v xml:space="preserve"> </v>
      </c>
      <c r="V100" s="453" t="str">
        <f>IF(ISERROR(VLOOKUP(T100,'Base de Datos'!$E$7:$AR$302,5,0))=TRUE," ",(VLOOKUP(T100,'Base de Datos'!$E$7:$AR$302,5,0)))</f>
        <v xml:space="preserve"> </v>
      </c>
      <c r="W100" s="450" t="str">
        <f>IF(ISERROR(VLOOKUP(T100,'Base de Datos'!$E$7:$AR$302,19,0))=TRUE," ",(VLOOKUP(T100,'Base de Datos'!$E$7:$AR$302,19,0)))</f>
        <v xml:space="preserve"> </v>
      </c>
      <c r="X100" s="455" t="str">
        <f>IF(ISERROR(VLOOKUP(T100,'Base de Datos'!$E$7:$AR$302,8,0))=TRUE," ",(VLOOKUP(T100,'Base de Datos'!$E$7:$AR$302,8,0)))</f>
        <v xml:space="preserve"> </v>
      </c>
      <c r="Y100" s="455" t="str">
        <f>IF(ISERROR(VLOOKUP(T100,'Base de Datos'!$E$7:$AR$302,9,0))=TRUE," ",(VLOOKUP(T100,'Base de Datos'!$E$7:$AR$302,9,0)))</f>
        <v xml:space="preserve"> </v>
      </c>
      <c r="Z100" s="449" t="str">
        <f>IF(ISERROR(VLOOKUP(T100,'Base de Datos'!$E$7:$AR$302,10,0))=TRUE," ",(VLOOKUP(T100,'Base de Datos'!$E$7:$AR$302,10,0)))</f>
        <v xml:space="preserve"> </v>
      </c>
      <c r="AA100" s="452" t="str">
        <f>IF(ISERROR(VLOOKUP(T100,'Base de Datos'!$E$7:$AR$302,11,0))=TRUE," ",(VLOOKUP(T100,'Base de Datos'!$E$7:$AR$302,11,0)))</f>
        <v xml:space="preserve"> </v>
      </c>
      <c r="AB100" s="449" t="str">
        <f>IF(ISERROR(VLOOKUP(T100,'Base de Datos'!$E$7:$AR$302,12,0))=TRUE," ",(VLOOKUP(T100,'Base de Datos'!$E$7:$AR$302,12,0)))</f>
        <v xml:space="preserve"> </v>
      </c>
      <c r="AC100" s="449" t="str">
        <f>IF(ISERROR(VLOOKUP(T100,'Base de Datos'!$E$7:$AR$302,12,0))=TRUE," ",(VLOOKUP(T100,'Base de Datos'!$E$7:$AR$302,12,0)))</f>
        <v xml:space="preserve"> </v>
      </c>
      <c r="AD100" s="455" t="str">
        <f>IF(ISERROR(VLOOKUP(T100,'Base de Datos'!$E$7:$AR$302,15,0))=TRUE," ",(VLOOKUP(T100,'Base de Datos'!$E$7:$AR$302,15,0)))</f>
        <v xml:space="preserve"> </v>
      </c>
      <c r="AE100" s="460" t="str">
        <f>IF(ISERROR(VLOOKUP(T100,'Base de Datos'!$E$7:$AR$302,16,0))=TRUE," ",(VLOOKUP(T100,'Base de Datos'!$E$7:$AR$302,16,0)))</f>
        <v xml:space="preserve"> </v>
      </c>
      <c r="AF100" s="460" t="str">
        <f>IF(ISERROR(VLOOKUP(T100,'Base de Datos'!$E$7:$AR$302,17,0))=TRUE," ",(VLOOKUP(T100,'Base de Datos'!$E$7:$AR$302,17,0)))</f>
        <v xml:space="preserve"> </v>
      </c>
      <c r="AG100" s="460" t="str">
        <f>IF(ISERROR(VLOOKUP(T100,'Base de Datos'!$E$7:$AR$302,18,0))=TRUE," ",(VLOOKUP(T100,'Base de Datos'!$E$7:$AR$302,18,0)))</f>
        <v xml:space="preserve"> </v>
      </c>
      <c r="AH100" s="461" t="str">
        <f>IF(ISERROR(VLOOKUP(T100,'Base de Datos'!$E$7:$AR$302,20,0))=TRUE," ",(VLOOKUP(T100,'Base de Datos'!$E$7:$AR$302,20,0)))</f>
        <v xml:space="preserve"> </v>
      </c>
      <c r="AI100" s="461" t="str">
        <f>IF(ISERROR(VLOOKUP(T100,'Base de Datos'!$E$7:$AR$302,21,0))=TRUE," ",(VLOOKUP(T100,'Base de Datos'!$E$7:$AR$302,21,0)))</f>
        <v xml:space="preserve"> </v>
      </c>
      <c r="AJ100" s="450"/>
      <c r="AK100" s="450" t="str">
        <f>IF(ISERROR(VLOOKUP(D100,'Base de Datos'!$C$7:$AR$400,2,0))=TRUE," ",(VLOOKUP(D100,'Base de Datos'!$C$7:$AR$400,2,0)))</f>
        <v>201574</v>
      </c>
      <c r="AL100" s="450" t="str">
        <f>IF(ISERROR(VLOOKUP(D100,'Base de Datos'!$C$7:$AR$400,3,0))=TRUE," ",(VLOOKUP(D100,'Base de Datos'!$C$7:$AR$400,3,0)))</f>
        <v>150382-0-2015</v>
      </c>
      <c r="AM100" s="453" t="str">
        <f>IF(ISERROR(VLOOKUP(D100,'Base de Datos'!$C$7:$AR$3761,6,0))=TRUE," ",(VLOOKUP(D100,'Base de Datos'!$C$7:$AR$400,6,0)))</f>
        <v>Contratar la adquisición de equipos de red switches para el Concejo de Bogotá, de conformidad con el alcance del objeto y lo señalado en el pliego de condiciones del proceso SDH-SIE-14-2015, en la Ficha Técnica y en la propuesta.</v>
      </c>
      <c r="AN100" s="453">
        <f>IF(ISERROR(VLOOKUP(D100,'Base de Datos'!$C$7:$AR$400,20,0))=TRUE," ",(VLOOKUP(D100,'Base de Datos'!$C$7:$AR$400,19,0)))</f>
        <v>1512217703</v>
      </c>
      <c r="AO100" s="456">
        <f>IF(ISERROR(VLOOKUP(D100,'Base de Datos'!$C$7:$AR$400,9,0))=TRUE," ",(VLOOKUP(D100,'Base de Datos'!$C$7:$AR$400,9,0)))</f>
        <v>2015</v>
      </c>
      <c r="AP100" s="456">
        <f>IF(ISERROR(VLOOKUP(D100,'Base de Datos'!$C$7:$AR$400,10,0))=TRUE," ",(VLOOKUP(D100,'Base de Datos'!$C$7:$AR$400,10,0)))</f>
        <v>42311</v>
      </c>
      <c r="AQ100" s="458">
        <f>IF(ISERROR(VLOOKUP(D100,'Base de Datos'!$C$7:$AR$400,11,0))=TRUE," ",(VLOOKUP(D100,'Base de Datos'!$C$7:$AR$400,11,0)))</f>
        <v>42333</v>
      </c>
      <c r="AR100" s="459">
        <f>IF(ISERROR(VLOOKUP(D100,'Base de Datos'!$C$7:$AR$400,12,0))=TRUE," ",(VLOOKUP(D100,'Base de Datos'!$C$7:$AR$400,12,0)))</f>
        <v>42515</v>
      </c>
      <c r="AS100" s="458">
        <f>IF(ISERROR(VLOOKUP(D100,'Base de Datos'!$C$7:$AR$400,13,0))=TRUE," ",(VLOOKUP(D100,'Base de Datos'!$C$7:$AR$400,13,0)))</f>
        <v>0</v>
      </c>
      <c r="AT100" s="458">
        <f>IF(ISERROR(VLOOKUP(D100,'Base de Datos'!$C$7:$AR$400,14,0))=TRUE," ",(VLOOKUP(D100,'Base de Datos'!$C$7:$AR$400,14,0)))</f>
        <v>0</v>
      </c>
      <c r="AU100" s="456" t="str">
        <f>IF(ISERROR(VLOOKUP(D100,'Base de Datos'!$C$7:$AR$400,16,0))=TRUE," ",(VLOOKUP(D100,'Base de Datos'!$C$7:$AR$400,16,0)))</f>
        <v/>
      </c>
      <c r="AV100" s="460" t="str">
        <f>IF(ISERROR(VLOOKUP(D100,'Base de Datos'!$C$7:$AR$400,17,0))=TRUE," ",(VLOOKUP(D100,'Base de Datos'!$C$7:$AR$400,17,0)))</f>
        <v/>
      </c>
      <c r="AW100" s="460">
        <f>IF(ISERROR(VLOOKUP(D100,'Base de Datos'!$C$7:$AR$400,18,0))=TRUE," ",(VLOOKUP(D100,'Base de Datos'!$C$7:$AR$400,18,0)))</f>
        <v>42515</v>
      </c>
      <c r="AX100" s="460">
        <f>IF(ISERROR(VLOOKUP(D100,'Base de Datos'!$C$7:$AR$400,19,0))=TRUE," ",(VLOOKUP(D100,'Base de Datos'!$C$7:$AR$400,19,0)))</f>
        <v>1512217703</v>
      </c>
      <c r="AY100" s="463">
        <f>IF(ISERROR(VLOOKUP(D100,'Base de Datos'!$C$7:$AR$400,21,0))=TRUE," ",(VLOOKUP(D100,'Base de Datos'!$C$7:$AR$400,21,0)))</f>
        <v>0</v>
      </c>
      <c r="AZ100" s="463" t="str">
        <f>IF(ISERROR(VLOOKUP(D100,'Base de Datos'!$C$7:$AR$400,22,0))=TRUE," ",(VLOOKUP(D100,'Base de Datos'!$C$7:$AR$400,22,0)))</f>
        <v>Un anticipo del 30%, un segundo pago por el 40% y un tercer pago del 30%.</v>
      </c>
      <c r="BA100" s="470"/>
      <c r="BB100" s="480"/>
    </row>
    <row r="101" spans="2:54" ht="55.5" hidden="1" customHeight="1" x14ac:dyDescent="0.25">
      <c r="B101" s="433">
        <v>94</v>
      </c>
      <c r="C101" s="441" t="s">
        <v>1675</v>
      </c>
      <c r="D101" s="433">
        <v>75</v>
      </c>
      <c r="E101" s="441" t="s">
        <v>1679</v>
      </c>
      <c r="F101" s="442">
        <f>VLOOKUP(D101,'Presupuesto - PAA 2015'!$B$10:$E$265,4,0)</f>
        <v>8086410</v>
      </c>
      <c r="G101" s="434" t="s">
        <v>1778</v>
      </c>
      <c r="H101" s="434" t="s">
        <v>1777</v>
      </c>
      <c r="I101" s="434" t="s">
        <v>1712</v>
      </c>
      <c r="J101" s="443" t="s">
        <v>909</v>
      </c>
      <c r="K101" s="444" t="s">
        <v>390</v>
      </c>
      <c r="L101" s="444" t="str">
        <f>VLOOKUP(D101,'[4]Seguimiento Plan'!$C$2:$AJ$101,30,0)</f>
        <v>SI</v>
      </c>
      <c r="M101" s="445">
        <f>VLOOKUP(D101,'[4]Seguimiento Plan'!$C$2:$AJ$101,31,0)</f>
        <v>42045</v>
      </c>
      <c r="N101" s="444" t="s">
        <v>1815</v>
      </c>
      <c r="O101" s="446"/>
      <c r="P101" s="446"/>
      <c r="Q101" s="444" t="s">
        <v>390</v>
      </c>
      <c r="R101" s="447"/>
      <c r="S101" s="465" t="s">
        <v>1879</v>
      </c>
      <c r="T101" s="448"/>
      <c r="U101" s="450" t="str">
        <f>IF(ISERROR(VLOOKUP(T101,'Base de Datos'!$E$7:$AR$302,3,0))=TRUE," ",(VLOOKUP(T101,'Base de Datos'!$E$7:$AR$302,2,0)))</f>
        <v xml:space="preserve"> </v>
      </c>
      <c r="V101" s="453" t="str">
        <f>IF(ISERROR(VLOOKUP(T101,'Base de Datos'!$E$7:$AR$302,5,0))=TRUE," ",(VLOOKUP(T101,'Base de Datos'!$E$7:$AR$302,5,0)))</f>
        <v xml:space="preserve"> </v>
      </c>
      <c r="W101" s="450" t="str">
        <f>IF(ISERROR(VLOOKUP(T101,'Base de Datos'!$E$7:$AR$302,19,0))=TRUE," ",(VLOOKUP(T101,'Base de Datos'!$E$7:$AR$302,19,0)))</f>
        <v xml:space="preserve"> </v>
      </c>
      <c r="X101" s="455" t="str">
        <f>IF(ISERROR(VLOOKUP(T101,'Base de Datos'!$E$7:$AR$302,8,0))=TRUE," ",(VLOOKUP(T101,'Base de Datos'!$E$7:$AR$302,8,0)))</f>
        <v xml:space="preserve"> </v>
      </c>
      <c r="Y101" s="455" t="str">
        <f>IF(ISERROR(VLOOKUP(T101,'Base de Datos'!$E$7:$AR$302,9,0))=TRUE," ",(VLOOKUP(T101,'Base de Datos'!$E$7:$AR$302,9,0)))</f>
        <v xml:space="preserve"> </v>
      </c>
      <c r="Z101" s="449" t="str">
        <f>IF(ISERROR(VLOOKUP(T101,'Base de Datos'!$E$7:$AR$302,10,0))=TRUE," ",(VLOOKUP(T101,'Base de Datos'!$E$7:$AR$302,10,0)))</f>
        <v xml:space="preserve"> </v>
      </c>
      <c r="AA101" s="452" t="str">
        <f>IF(ISERROR(VLOOKUP(T101,'Base de Datos'!$E$7:$AR$302,11,0))=TRUE," ",(VLOOKUP(T101,'Base de Datos'!$E$7:$AR$302,11,0)))</f>
        <v xml:space="preserve"> </v>
      </c>
      <c r="AB101" s="449" t="str">
        <f>IF(ISERROR(VLOOKUP(T101,'Base de Datos'!$E$7:$AR$302,12,0))=TRUE," ",(VLOOKUP(T101,'Base de Datos'!$E$7:$AR$302,12,0)))</f>
        <v xml:space="preserve"> </v>
      </c>
      <c r="AC101" s="449" t="str">
        <f>IF(ISERROR(VLOOKUP(T101,'Base de Datos'!$E$7:$AR$302,12,0))=TRUE," ",(VLOOKUP(T101,'Base de Datos'!$E$7:$AR$302,12,0)))</f>
        <v xml:space="preserve"> </v>
      </c>
      <c r="AD101" s="455" t="str">
        <f>IF(ISERROR(VLOOKUP(T101,'Base de Datos'!$E$7:$AR$302,15,0))=TRUE," ",(VLOOKUP(T101,'Base de Datos'!$E$7:$AR$302,15,0)))</f>
        <v xml:space="preserve"> </v>
      </c>
      <c r="AE101" s="460" t="str">
        <f>IF(ISERROR(VLOOKUP(T101,'Base de Datos'!$E$7:$AR$302,16,0))=TRUE," ",(VLOOKUP(T101,'Base de Datos'!$E$7:$AR$302,16,0)))</f>
        <v xml:space="preserve"> </v>
      </c>
      <c r="AF101" s="460" t="str">
        <f>IF(ISERROR(VLOOKUP(T101,'Base de Datos'!$E$7:$AR$302,17,0))=TRUE," ",(VLOOKUP(T101,'Base de Datos'!$E$7:$AR$302,17,0)))</f>
        <v xml:space="preserve"> </v>
      </c>
      <c r="AG101" s="460" t="str">
        <f>IF(ISERROR(VLOOKUP(T101,'Base de Datos'!$E$7:$AR$302,18,0))=TRUE," ",(VLOOKUP(T101,'Base de Datos'!$E$7:$AR$302,18,0)))</f>
        <v xml:space="preserve"> </v>
      </c>
      <c r="AH101" s="461" t="str">
        <f>IF(ISERROR(VLOOKUP(T101,'Base de Datos'!$E$7:$AR$302,20,0))=TRUE," ",(VLOOKUP(T101,'Base de Datos'!$E$7:$AR$302,20,0)))</f>
        <v xml:space="preserve"> </v>
      </c>
      <c r="AI101" s="461" t="str">
        <f>IF(ISERROR(VLOOKUP(T101,'Base de Datos'!$E$7:$AR$302,21,0))=TRUE," ",(VLOOKUP(T101,'Base de Datos'!$E$7:$AR$302,21,0)))</f>
        <v xml:space="preserve"> </v>
      </c>
      <c r="AJ101" s="464">
        <v>42152</v>
      </c>
      <c r="AK101" s="450" t="str">
        <f>IF(ISERROR(VLOOKUP(D101,'Base de Datos'!$C$7:$AR$400,2,0))=TRUE," ",(VLOOKUP(D101,'Base de Datos'!$C$7:$AR$400,2,0)))</f>
        <v>201575</v>
      </c>
      <c r="AL101" s="450" t="str">
        <f>IF(ISERROR(VLOOKUP(D101,'Base de Datos'!$C$7:$AR$400,3,0))=TRUE," ",(VLOOKUP(D101,'Base de Datos'!$C$7:$AR$400,3,0)))</f>
        <v>150236-0-2015</v>
      </c>
      <c r="AM101" s="453" t="str">
        <f>IF(ISERROR(VLOOKUP(D101,'Base de Datos'!$C$7:$AR$3761,6,0))=TRUE," ",(VLOOKUP(D101,'Base de Datos'!$C$7:$AR$400,6,0)))</f>
        <v>Adquisición de memorias para repotenciación de equipos de cómputo para el Concejo de Bogotá D.C.</v>
      </c>
      <c r="AN101" s="453">
        <f>IF(ISERROR(VLOOKUP(D101,'Base de Datos'!$C$7:$AR$400,20,0))=TRUE," ",(VLOOKUP(D101,'Base de Datos'!$C$7:$AR$400,19,0)))</f>
        <v>8086410</v>
      </c>
      <c r="AO101" s="456">
        <f>IF(ISERROR(VLOOKUP(D101,'Base de Datos'!$C$7:$AR$400,9,0))=TRUE," ",(VLOOKUP(D101,'Base de Datos'!$C$7:$AR$400,9,0)))</f>
        <v>2015</v>
      </c>
      <c r="AP101" s="456">
        <f>IF(ISERROR(VLOOKUP(D101,'Base de Datos'!$C$7:$AR$400,10,0))=TRUE," ",(VLOOKUP(D101,'Base de Datos'!$C$7:$AR$400,10,0)))</f>
        <v>42152</v>
      </c>
      <c r="AQ101" s="458">
        <f>IF(ISERROR(VLOOKUP(D101,'Base de Datos'!$C$7:$AR$400,11,0))=TRUE," ",(VLOOKUP(D101,'Base de Datos'!$C$7:$AR$400,11,0)))</f>
        <v>42165</v>
      </c>
      <c r="AR101" s="459">
        <f>IF(ISERROR(VLOOKUP(D101,'Base de Datos'!$C$7:$AR$400,12,0))=TRUE," ",(VLOOKUP(D101,'Base de Datos'!$C$7:$AR$400,12,0)))</f>
        <v>42226</v>
      </c>
      <c r="AS101" s="458">
        <f>IF(ISERROR(VLOOKUP(D101,'Base de Datos'!$C$7:$AR$400,13,0))=TRUE," ",(VLOOKUP(D101,'Base de Datos'!$C$7:$AR$400,13,0)))</f>
        <v>0</v>
      </c>
      <c r="AT101" s="458">
        <f>IF(ISERROR(VLOOKUP(D101,'Base de Datos'!$C$7:$AR$400,14,0))=TRUE," ",(VLOOKUP(D101,'Base de Datos'!$C$7:$AR$400,14,0)))</f>
        <v>0</v>
      </c>
      <c r="AU101" s="456" t="str">
        <f>IF(ISERROR(VLOOKUP(D101,'Base de Datos'!$C$7:$AR$400,16,0))=TRUE," ",(VLOOKUP(D101,'Base de Datos'!$C$7:$AR$400,16,0)))</f>
        <v/>
      </c>
      <c r="AV101" s="460" t="str">
        <f>IF(ISERROR(VLOOKUP(D101,'Base de Datos'!$C$7:$AR$400,17,0))=TRUE," ",(VLOOKUP(D101,'Base de Datos'!$C$7:$AR$400,17,0)))</f>
        <v/>
      </c>
      <c r="AW101" s="460">
        <f>IF(ISERROR(VLOOKUP(D101,'Base de Datos'!$C$7:$AR$400,18,0))=TRUE," ",(VLOOKUP(D101,'Base de Datos'!$C$7:$AR$400,18,0)))</f>
        <v>42226</v>
      </c>
      <c r="AX101" s="460">
        <f>IF(ISERROR(VLOOKUP(D101,'Base de Datos'!$C$7:$AR$400,19,0))=TRUE," ",(VLOOKUP(D101,'Base de Datos'!$C$7:$AR$400,19,0)))</f>
        <v>8086410</v>
      </c>
      <c r="AY101" s="463">
        <f>IF(ISERROR(VLOOKUP(D101,'Base de Datos'!$C$7:$AR$400,21,0))=TRUE," ",(VLOOKUP(D101,'Base de Datos'!$C$7:$AR$400,21,0)))</f>
        <v>4</v>
      </c>
      <c r="AZ101" s="463" t="str">
        <f>IF(ISERROR(VLOOKUP(D101,'Base de Datos'!$C$7:$AR$400,22,0))=TRUE," ",(VLOOKUP(D101,'Base de Datos'!$C$7:$AR$400,22,0)))</f>
        <v>Único pago</v>
      </c>
      <c r="BA101" s="470"/>
      <c r="BB101" s="480"/>
    </row>
    <row r="102" spans="2:54" ht="55.5" hidden="1" customHeight="1" x14ac:dyDescent="0.25">
      <c r="B102" s="433">
        <v>95</v>
      </c>
      <c r="C102" s="441" t="s">
        <v>1675</v>
      </c>
      <c r="D102" s="433">
        <v>76</v>
      </c>
      <c r="E102" s="441" t="s">
        <v>1679</v>
      </c>
      <c r="F102" s="442" t="e">
        <f>VLOOKUP(D102,'Presupuesto - PAA 2015'!$B$10:$E$265,4,0)</f>
        <v>#N/A</v>
      </c>
      <c r="G102" s="434" t="str">
        <f>VLOOKUP(D102,'[4]Seguimiento Plan'!$C$2:$R$101,16,0)</f>
        <v>Adquisición del sistema de aire acondicionado para el salón comuneros del Concejo de Bogotá.</v>
      </c>
      <c r="H102" s="434" t="s">
        <v>1777</v>
      </c>
      <c r="I102" s="434" t="s">
        <v>1712</v>
      </c>
      <c r="J102" s="443" t="s">
        <v>1734</v>
      </c>
      <c r="K102" s="444" t="s">
        <v>390</v>
      </c>
      <c r="L102" s="444" t="str">
        <f>VLOOKUP(D102,'[4]Seguimiento Plan'!$C$2:$AJ$101,30,0)</f>
        <v>SI</v>
      </c>
      <c r="M102" s="445">
        <f>VLOOKUP(D102,'[4]Seguimiento Plan'!$C$2:$AJ$101,31,0)</f>
        <v>42081</v>
      </c>
      <c r="N102" s="444" t="s">
        <v>1816</v>
      </c>
      <c r="O102" s="446"/>
      <c r="P102" s="446"/>
      <c r="Q102" s="446"/>
      <c r="R102" s="447"/>
      <c r="S102" s="447"/>
      <c r="T102" s="448"/>
      <c r="U102" s="450" t="str">
        <f>IF(ISERROR(VLOOKUP(T102,'Base de Datos'!$E$7:$AR$302,3,0))=TRUE," ",(VLOOKUP(T102,'Base de Datos'!$E$7:$AR$302,2,0)))</f>
        <v xml:space="preserve"> </v>
      </c>
      <c r="V102" s="453" t="str">
        <f>IF(ISERROR(VLOOKUP(T102,'Base de Datos'!$E$7:$AR$302,5,0))=TRUE," ",(VLOOKUP(T102,'Base de Datos'!$E$7:$AR$302,5,0)))</f>
        <v xml:space="preserve"> </v>
      </c>
      <c r="W102" s="450" t="str">
        <f>IF(ISERROR(VLOOKUP(T102,'Base de Datos'!$E$7:$AR$302,19,0))=TRUE," ",(VLOOKUP(T102,'Base de Datos'!$E$7:$AR$302,19,0)))</f>
        <v xml:space="preserve"> </v>
      </c>
      <c r="X102" s="455" t="str">
        <f>IF(ISERROR(VLOOKUP(T102,'Base de Datos'!$E$7:$AR$302,8,0))=TRUE," ",(VLOOKUP(T102,'Base de Datos'!$E$7:$AR$302,8,0)))</f>
        <v xml:space="preserve"> </v>
      </c>
      <c r="Y102" s="455" t="str">
        <f>IF(ISERROR(VLOOKUP(T102,'Base de Datos'!$E$7:$AR$302,9,0))=TRUE," ",(VLOOKUP(T102,'Base de Datos'!$E$7:$AR$302,9,0)))</f>
        <v xml:space="preserve"> </v>
      </c>
      <c r="Z102" s="449" t="str">
        <f>IF(ISERROR(VLOOKUP(T102,'Base de Datos'!$E$7:$AR$302,10,0))=TRUE," ",(VLOOKUP(T102,'Base de Datos'!$E$7:$AR$302,10,0)))</f>
        <v xml:space="preserve"> </v>
      </c>
      <c r="AA102" s="452" t="str">
        <f>IF(ISERROR(VLOOKUP(T102,'Base de Datos'!$E$7:$AR$302,11,0))=TRUE," ",(VLOOKUP(T102,'Base de Datos'!$E$7:$AR$302,11,0)))</f>
        <v xml:space="preserve"> </v>
      </c>
      <c r="AB102" s="449" t="str">
        <f>IF(ISERROR(VLOOKUP(T102,'Base de Datos'!$E$7:$AR$302,12,0))=TRUE," ",(VLOOKUP(T102,'Base de Datos'!$E$7:$AR$302,12,0)))</f>
        <v xml:space="preserve"> </v>
      </c>
      <c r="AC102" s="449" t="str">
        <f>IF(ISERROR(VLOOKUP(T102,'Base de Datos'!$E$7:$AR$302,12,0))=TRUE," ",(VLOOKUP(T102,'Base de Datos'!$E$7:$AR$302,12,0)))</f>
        <v xml:space="preserve"> </v>
      </c>
      <c r="AD102" s="455" t="str">
        <f>IF(ISERROR(VLOOKUP(T102,'Base de Datos'!$E$7:$AR$302,15,0))=TRUE," ",(VLOOKUP(T102,'Base de Datos'!$E$7:$AR$302,15,0)))</f>
        <v xml:space="preserve"> </v>
      </c>
      <c r="AE102" s="460" t="str">
        <f>IF(ISERROR(VLOOKUP(T102,'Base de Datos'!$E$7:$AR$302,16,0))=TRUE," ",(VLOOKUP(T102,'Base de Datos'!$E$7:$AR$302,16,0)))</f>
        <v xml:space="preserve"> </v>
      </c>
      <c r="AF102" s="460" t="str">
        <f>IF(ISERROR(VLOOKUP(T102,'Base de Datos'!$E$7:$AR$302,17,0))=TRUE," ",(VLOOKUP(T102,'Base de Datos'!$E$7:$AR$302,17,0)))</f>
        <v xml:space="preserve"> </v>
      </c>
      <c r="AG102" s="460" t="str">
        <f>IF(ISERROR(VLOOKUP(T102,'Base de Datos'!$E$7:$AR$302,18,0))=TRUE," ",(VLOOKUP(T102,'Base de Datos'!$E$7:$AR$302,18,0)))</f>
        <v xml:space="preserve"> </v>
      </c>
      <c r="AH102" s="461" t="str">
        <f>IF(ISERROR(VLOOKUP(T102,'Base de Datos'!$E$7:$AR$302,20,0))=TRUE," ",(VLOOKUP(T102,'Base de Datos'!$E$7:$AR$302,20,0)))</f>
        <v xml:space="preserve"> </v>
      </c>
      <c r="AI102" s="461" t="str">
        <f>IF(ISERROR(VLOOKUP(T102,'Base de Datos'!$E$7:$AR$302,21,0))=TRUE," ",(VLOOKUP(T102,'Base de Datos'!$E$7:$AR$302,21,0)))</f>
        <v xml:space="preserve"> </v>
      </c>
      <c r="AJ102" s="450"/>
      <c r="AK102" s="450" t="str">
        <f>IF(ISERROR(VLOOKUP(D102,'Base de Datos'!$C$7:$AR$400,2,0))=TRUE," ",(VLOOKUP(D102,'Base de Datos'!$C$7:$AR$400,2,0)))</f>
        <v xml:space="preserve"> </v>
      </c>
      <c r="AL102" s="450" t="str">
        <f>IF(ISERROR(VLOOKUP(D102,'Base de Datos'!$C$7:$AR$400,3,0))=TRUE," ",(VLOOKUP(D102,'Base de Datos'!$C$7:$AR$400,3,0)))</f>
        <v xml:space="preserve"> </v>
      </c>
      <c r="AM102" s="453" t="e">
        <f>IF(ISERROR(VLOOKUP(D102,'Base de Datos'!$C$7:$AR$3761,6,0))=TRUE," ",(VLOOKUP(D102,'Base de Datos'!$C$7:$AR$400,6,0)))</f>
        <v>#N/A</v>
      </c>
      <c r="AN102" s="453" t="str">
        <f>IF(ISERROR(VLOOKUP(D102,'Base de Datos'!$C$7:$AR$400,20,0))=TRUE," ",(VLOOKUP(D102,'Base de Datos'!$C$7:$AR$400,19,0)))</f>
        <v xml:space="preserve"> </v>
      </c>
      <c r="AO102" s="456" t="str">
        <f>IF(ISERROR(VLOOKUP(D102,'Base de Datos'!$C$7:$AR$400,9,0))=TRUE," ",(VLOOKUP(D102,'Base de Datos'!$C$7:$AR$400,9,0)))</f>
        <v xml:space="preserve"> </v>
      </c>
      <c r="AP102" s="456" t="str">
        <f>IF(ISERROR(VLOOKUP(D102,'Base de Datos'!$C$7:$AR$400,10,0))=TRUE," ",(VLOOKUP(D102,'Base de Datos'!$C$7:$AR$400,10,0)))</f>
        <v xml:space="preserve"> </v>
      </c>
      <c r="AQ102" s="458" t="str">
        <f>IF(ISERROR(VLOOKUP(D102,'Base de Datos'!$C$7:$AR$400,11,0))=TRUE," ",(VLOOKUP(D102,'Base de Datos'!$C$7:$AR$400,11,0)))</f>
        <v xml:space="preserve"> </v>
      </c>
      <c r="AR102" s="459" t="str">
        <f>IF(ISERROR(VLOOKUP(D102,'Base de Datos'!$C$7:$AR$400,12,0))=TRUE," ",(VLOOKUP(D102,'Base de Datos'!$C$7:$AR$400,12,0)))</f>
        <v xml:space="preserve"> </v>
      </c>
      <c r="AS102" s="458" t="str">
        <f>IF(ISERROR(VLOOKUP(D102,'Base de Datos'!$C$7:$AR$400,13,0))=TRUE," ",(VLOOKUP(D102,'Base de Datos'!$C$7:$AR$400,13,0)))</f>
        <v xml:space="preserve"> </v>
      </c>
      <c r="AT102" s="458" t="str">
        <f>IF(ISERROR(VLOOKUP(D102,'Base de Datos'!$C$7:$AR$400,14,0))=TRUE," ",(VLOOKUP(D102,'Base de Datos'!$C$7:$AR$400,14,0)))</f>
        <v xml:space="preserve"> </v>
      </c>
      <c r="AU102" s="456" t="str">
        <f>IF(ISERROR(VLOOKUP(D102,'Base de Datos'!$C$7:$AR$400,16,0))=TRUE," ",(VLOOKUP(D102,'Base de Datos'!$C$7:$AR$400,16,0)))</f>
        <v xml:space="preserve"> </v>
      </c>
      <c r="AV102" s="460" t="str">
        <f>IF(ISERROR(VLOOKUP(D102,'Base de Datos'!$C$7:$AR$400,17,0))=TRUE," ",(VLOOKUP(D102,'Base de Datos'!$C$7:$AR$400,17,0)))</f>
        <v xml:space="preserve"> </v>
      </c>
      <c r="AW102" s="460" t="str">
        <f>IF(ISERROR(VLOOKUP(D102,'Base de Datos'!$C$7:$AR$400,18,0))=TRUE," ",(VLOOKUP(D102,'Base de Datos'!$C$7:$AR$400,18,0)))</f>
        <v xml:space="preserve"> </v>
      </c>
      <c r="AX102" s="460" t="str">
        <f>IF(ISERROR(VLOOKUP(D102,'Base de Datos'!$C$7:$AR$400,19,0))=TRUE," ",(VLOOKUP(D102,'Base de Datos'!$C$7:$AR$400,19,0)))</f>
        <v xml:space="preserve"> </v>
      </c>
      <c r="AY102" s="463" t="str">
        <f>IF(ISERROR(VLOOKUP(D102,'Base de Datos'!$C$7:$AR$400,21,0))=TRUE," ",(VLOOKUP(D102,'Base de Datos'!$C$7:$AR$400,21,0)))</f>
        <v xml:space="preserve"> </v>
      </c>
      <c r="AZ102" s="463" t="str">
        <f>IF(ISERROR(VLOOKUP(D102,'Base de Datos'!$C$7:$AR$400,22,0))=TRUE," ",(VLOOKUP(D102,'Base de Datos'!$C$7:$AR$400,22,0)))</f>
        <v xml:space="preserve"> </v>
      </c>
      <c r="BA102" s="470"/>
      <c r="BB102" s="480"/>
    </row>
    <row r="103" spans="2:54" ht="55.5" hidden="1" customHeight="1" x14ac:dyDescent="0.25">
      <c r="B103" s="433">
        <v>96</v>
      </c>
      <c r="C103" s="441" t="s">
        <v>1675</v>
      </c>
      <c r="D103" s="433">
        <v>77</v>
      </c>
      <c r="E103" s="441" t="s">
        <v>1679</v>
      </c>
      <c r="F103" s="442" t="e">
        <f>VLOOKUP(D103,'Presupuesto - PAA 2015'!$B$10:$E$265,4,0)</f>
        <v>#N/A</v>
      </c>
      <c r="G103" s="434" t="str">
        <f>VLOOKUP(D103,'[4]Seguimiento Plan'!$C$2:$R$101,16,0)</f>
        <v>Adquisición de la librería HP LTO de respaldo para el Concejo de Bogotá</v>
      </c>
      <c r="H103" s="434" t="s">
        <v>1777</v>
      </c>
      <c r="I103" s="434" t="s">
        <v>1712</v>
      </c>
      <c r="J103" s="443" t="s">
        <v>909</v>
      </c>
      <c r="K103" s="444"/>
      <c r="L103" s="444"/>
      <c r="M103" s="445"/>
      <c r="N103" s="444"/>
      <c r="O103" s="446"/>
      <c r="P103" s="446"/>
      <c r="Q103" s="446"/>
      <c r="R103" s="447"/>
      <c r="S103" s="447"/>
      <c r="T103" s="448"/>
      <c r="U103" s="450" t="str">
        <f>IF(ISERROR(VLOOKUP(T103,'Base de Datos'!$E$7:$AR$302,3,0))=TRUE," ",(VLOOKUP(T103,'Base de Datos'!$E$7:$AR$302,2,0)))</f>
        <v xml:space="preserve"> </v>
      </c>
      <c r="V103" s="453" t="str">
        <f>IF(ISERROR(VLOOKUP(T103,'Base de Datos'!$E$7:$AR$302,5,0))=TRUE," ",(VLOOKUP(T103,'Base de Datos'!$E$7:$AR$302,5,0)))</f>
        <v xml:space="preserve"> </v>
      </c>
      <c r="W103" s="450" t="str">
        <f>IF(ISERROR(VLOOKUP(T103,'Base de Datos'!$E$7:$AR$302,19,0))=TRUE," ",(VLOOKUP(T103,'Base de Datos'!$E$7:$AR$302,19,0)))</f>
        <v xml:space="preserve"> </v>
      </c>
      <c r="X103" s="455" t="str">
        <f>IF(ISERROR(VLOOKUP(T103,'Base de Datos'!$E$7:$AR$302,8,0))=TRUE," ",(VLOOKUP(T103,'Base de Datos'!$E$7:$AR$302,8,0)))</f>
        <v xml:space="preserve"> </v>
      </c>
      <c r="Y103" s="455" t="str">
        <f>IF(ISERROR(VLOOKUP(T103,'Base de Datos'!$E$7:$AR$302,9,0))=TRUE," ",(VLOOKUP(T103,'Base de Datos'!$E$7:$AR$302,9,0)))</f>
        <v xml:space="preserve"> </v>
      </c>
      <c r="Z103" s="449" t="str">
        <f>IF(ISERROR(VLOOKUP(T103,'Base de Datos'!$E$7:$AR$302,10,0))=TRUE," ",(VLOOKUP(T103,'Base de Datos'!$E$7:$AR$302,10,0)))</f>
        <v xml:space="preserve"> </v>
      </c>
      <c r="AA103" s="452" t="str">
        <f>IF(ISERROR(VLOOKUP(T103,'Base de Datos'!$E$7:$AR$302,11,0))=TRUE," ",(VLOOKUP(T103,'Base de Datos'!$E$7:$AR$302,11,0)))</f>
        <v xml:space="preserve"> </v>
      </c>
      <c r="AB103" s="449" t="str">
        <f>IF(ISERROR(VLOOKUP(T103,'Base de Datos'!$E$7:$AR$302,12,0))=TRUE," ",(VLOOKUP(T103,'Base de Datos'!$E$7:$AR$302,12,0)))</f>
        <v xml:space="preserve"> </v>
      </c>
      <c r="AC103" s="449" t="str">
        <f>IF(ISERROR(VLOOKUP(T103,'Base de Datos'!$E$7:$AR$302,12,0))=TRUE," ",(VLOOKUP(T103,'Base de Datos'!$E$7:$AR$302,12,0)))</f>
        <v xml:space="preserve"> </v>
      </c>
      <c r="AD103" s="455" t="str">
        <f>IF(ISERROR(VLOOKUP(T103,'Base de Datos'!$E$7:$AR$302,15,0))=TRUE," ",(VLOOKUP(T103,'Base de Datos'!$E$7:$AR$302,15,0)))</f>
        <v xml:space="preserve"> </v>
      </c>
      <c r="AE103" s="460" t="str">
        <f>IF(ISERROR(VLOOKUP(T103,'Base de Datos'!$E$7:$AR$302,16,0))=TRUE," ",(VLOOKUP(T103,'Base de Datos'!$E$7:$AR$302,16,0)))</f>
        <v xml:space="preserve"> </v>
      </c>
      <c r="AF103" s="460" t="str">
        <f>IF(ISERROR(VLOOKUP(T103,'Base de Datos'!$E$7:$AR$302,17,0))=TRUE," ",(VLOOKUP(T103,'Base de Datos'!$E$7:$AR$302,17,0)))</f>
        <v xml:space="preserve"> </v>
      </c>
      <c r="AG103" s="460" t="str">
        <f>IF(ISERROR(VLOOKUP(T103,'Base de Datos'!$E$7:$AR$302,18,0))=TRUE," ",(VLOOKUP(T103,'Base de Datos'!$E$7:$AR$302,18,0)))</f>
        <v xml:space="preserve"> </v>
      </c>
      <c r="AH103" s="461" t="str">
        <f>IF(ISERROR(VLOOKUP(T103,'Base de Datos'!$E$7:$AR$302,20,0))=TRUE," ",(VLOOKUP(T103,'Base de Datos'!$E$7:$AR$302,20,0)))</f>
        <v xml:space="preserve"> </v>
      </c>
      <c r="AI103" s="461" t="str">
        <f>IF(ISERROR(VLOOKUP(T103,'Base de Datos'!$E$7:$AR$302,21,0))=TRUE," ",(VLOOKUP(T103,'Base de Datos'!$E$7:$AR$302,21,0)))</f>
        <v xml:space="preserve"> </v>
      </c>
      <c r="AJ103" s="450"/>
      <c r="AK103" s="450" t="str">
        <f>IF(ISERROR(VLOOKUP(D103,'Base de Datos'!$C$7:$AR$400,2,0))=TRUE," ",(VLOOKUP(D103,'Base de Datos'!$C$7:$AR$400,2,0)))</f>
        <v xml:space="preserve"> </v>
      </c>
      <c r="AL103" s="450" t="str">
        <f>IF(ISERROR(VLOOKUP(D103,'Base de Datos'!$C$7:$AR$400,3,0))=TRUE," ",(VLOOKUP(D103,'Base de Datos'!$C$7:$AR$400,3,0)))</f>
        <v xml:space="preserve"> </v>
      </c>
      <c r="AM103" s="453" t="e">
        <f>IF(ISERROR(VLOOKUP(D103,'Base de Datos'!$C$7:$AR$3761,6,0))=TRUE," ",(VLOOKUP(D103,'Base de Datos'!$C$7:$AR$400,6,0)))</f>
        <v>#N/A</v>
      </c>
      <c r="AN103" s="453" t="str">
        <f>IF(ISERROR(VLOOKUP(D103,'Base de Datos'!$C$7:$AR$400,20,0))=TRUE," ",(VLOOKUP(D103,'Base de Datos'!$C$7:$AR$400,19,0)))</f>
        <v xml:space="preserve"> </v>
      </c>
      <c r="AO103" s="456" t="str">
        <f>IF(ISERROR(VLOOKUP(D103,'Base de Datos'!$C$7:$AR$400,9,0))=TRUE," ",(VLOOKUP(D103,'Base de Datos'!$C$7:$AR$400,9,0)))</f>
        <v xml:space="preserve"> </v>
      </c>
      <c r="AP103" s="456" t="str">
        <f>IF(ISERROR(VLOOKUP(D103,'Base de Datos'!$C$7:$AR$400,10,0))=TRUE," ",(VLOOKUP(D103,'Base de Datos'!$C$7:$AR$400,10,0)))</f>
        <v xml:space="preserve"> </v>
      </c>
      <c r="AQ103" s="458" t="str">
        <f>IF(ISERROR(VLOOKUP(D103,'Base de Datos'!$C$7:$AR$400,11,0))=TRUE," ",(VLOOKUP(D103,'Base de Datos'!$C$7:$AR$400,11,0)))</f>
        <v xml:space="preserve"> </v>
      </c>
      <c r="AR103" s="459" t="str">
        <f>IF(ISERROR(VLOOKUP(D103,'Base de Datos'!$C$7:$AR$400,12,0))=TRUE," ",(VLOOKUP(D103,'Base de Datos'!$C$7:$AR$400,12,0)))</f>
        <v xml:space="preserve"> </v>
      </c>
      <c r="AS103" s="458" t="str">
        <f>IF(ISERROR(VLOOKUP(D103,'Base de Datos'!$C$7:$AR$400,13,0))=TRUE," ",(VLOOKUP(D103,'Base de Datos'!$C$7:$AR$400,13,0)))</f>
        <v xml:space="preserve"> </v>
      </c>
      <c r="AT103" s="458" t="str">
        <f>IF(ISERROR(VLOOKUP(D103,'Base de Datos'!$C$7:$AR$400,14,0))=TRUE," ",(VLOOKUP(D103,'Base de Datos'!$C$7:$AR$400,14,0)))</f>
        <v xml:space="preserve"> </v>
      </c>
      <c r="AU103" s="456" t="str">
        <f>IF(ISERROR(VLOOKUP(D103,'Base de Datos'!$C$7:$AR$400,16,0))=TRUE," ",(VLOOKUP(D103,'Base de Datos'!$C$7:$AR$400,16,0)))</f>
        <v xml:space="preserve"> </v>
      </c>
      <c r="AV103" s="460" t="str">
        <f>IF(ISERROR(VLOOKUP(D103,'Base de Datos'!$C$7:$AR$400,17,0))=TRUE," ",(VLOOKUP(D103,'Base de Datos'!$C$7:$AR$400,17,0)))</f>
        <v xml:space="preserve"> </v>
      </c>
      <c r="AW103" s="460" t="str">
        <f>IF(ISERROR(VLOOKUP(D103,'Base de Datos'!$C$7:$AR$400,18,0))=TRUE," ",(VLOOKUP(D103,'Base de Datos'!$C$7:$AR$400,18,0)))</f>
        <v xml:space="preserve"> </v>
      </c>
      <c r="AX103" s="460" t="str">
        <f>IF(ISERROR(VLOOKUP(D103,'Base de Datos'!$C$7:$AR$400,19,0))=TRUE," ",(VLOOKUP(D103,'Base de Datos'!$C$7:$AR$400,19,0)))</f>
        <v xml:space="preserve"> </v>
      </c>
      <c r="AY103" s="463" t="str">
        <f>IF(ISERROR(VLOOKUP(D103,'Base de Datos'!$C$7:$AR$400,21,0))=TRUE," ",(VLOOKUP(D103,'Base de Datos'!$C$7:$AR$400,21,0)))</f>
        <v xml:space="preserve"> </v>
      </c>
      <c r="AZ103" s="463" t="str">
        <f>IF(ISERROR(VLOOKUP(D103,'Base de Datos'!$C$7:$AR$400,22,0))=TRUE," ",(VLOOKUP(D103,'Base de Datos'!$C$7:$AR$400,22,0)))</f>
        <v xml:space="preserve"> </v>
      </c>
      <c r="BA103" s="470"/>
      <c r="BB103" s="480"/>
    </row>
    <row r="104" spans="2:54" ht="55.5" hidden="1" customHeight="1" x14ac:dyDescent="0.25">
      <c r="B104" s="433">
        <v>97</v>
      </c>
      <c r="C104" s="441" t="s">
        <v>1675</v>
      </c>
      <c r="D104" s="433">
        <v>208</v>
      </c>
      <c r="E104" s="441" t="s">
        <v>1679</v>
      </c>
      <c r="F104" s="442">
        <f>VLOOKUP(D104,'Presupuesto - PAA 2015'!$B$10:$E$265,4,0)</f>
        <v>379200000</v>
      </c>
      <c r="G104" s="434" t="str">
        <f>VLOOKUP(D104,'[4]Seguimiento Plan'!$C$2:$R$101,16,0)</f>
        <v>Arriendo de un inmueble para uso de parqueadero de vehÍculos y motocicletas del Concejo de Bogotá.</v>
      </c>
      <c r="H104" s="434" t="s">
        <v>1776</v>
      </c>
      <c r="I104" s="434" t="s">
        <v>1720</v>
      </c>
      <c r="J104" s="443" t="s">
        <v>908</v>
      </c>
      <c r="K104" s="444" t="s">
        <v>390</v>
      </c>
      <c r="L104" s="444" t="str">
        <f>VLOOKUP(D104,'[4]Seguimiento Plan'!$C$2:$AJ$101,30,0)</f>
        <v>SI</v>
      </c>
      <c r="M104" s="445">
        <f>VLOOKUP(D104,'[4]Seguimiento Plan'!$C$2:$AJ$101,31,0)</f>
        <v>42024</v>
      </c>
      <c r="N104" s="444"/>
      <c r="O104" s="446"/>
      <c r="P104" s="446"/>
      <c r="Q104" s="446"/>
      <c r="R104" s="524"/>
      <c r="S104" s="351" t="s">
        <v>1615</v>
      </c>
      <c r="T104" s="344" t="s">
        <v>307</v>
      </c>
      <c r="U104" s="450" t="str">
        <f>IF(ISERROR(VLOOKUP(T104,'Base de Datos'!$E$7:$AR$302,3,0))=TRUE," ",(VLOOKUP(T104,'Base de Datos'!$E$7:$AR$302,2,0)))</f>
        <v>INVERSIONES MATAY SAS</v>
      </c>
      <c r="V104" s="453">
        <f>IF(ISERROR(VLOOKUP(T104,'Base de Datos'!$E$7:$AR$302,5,0))=TRUE," ",(VLOOKUP(T104,'Base de Datos'!$E$7:$AR$302,5,0)))</f>
        <v>202978686</v>
      </c>
      <c r="W104" s="450">
        <f>IF(ISERROR(VLOOKUP(T104,'Base de Datos'!$E$7:$AR$302,19,0))=TRUE," ",(VLOOKUP(T104,'Base de Datos'!$E$7:$AR$302,19,0)))</f>
        <v>0</v>
      </c>
      <c r="X104" s="455" t="str">
        <f>IF(ISERROR(VLOOKUP(T104,'Base de Datos'!$E$7:$AR$302,8,0))=TRUE," ",(VLOOKUP(T104,'Base de Datos'!$E$7:$AR$302,8,0)))</f>
        <v xml:space="preserve"> </v>
      </c>
      <c r="Y104" s="455">
        <f>IF(ISERROR(VLOOKUP(T104,'Base de Datos'!$E$7:$AR$302,9,0))=TRUE," ",(VLOOKUP(T104,'Base de Datos'!$E$7:$AR$302,9,0)))</f>
        <v>41850</v>
      </c>
      <c r="Z104" s="449">
        <f>IF(ISERROR(VLOOKUP(T104,'Base de Datos'!$E$7:$AR$302,10,0))=TRUE," ",(VLOOKUP(T104,'Base de Datos'!$E$7:$AR$302,10,0)))</f>
        <v>42034</v>
      </c>
      <c r="AA104" s="452">
        <f>IF(ISERROR(VLOOKUP(T104,'Base de Datos'!$E$7:$AR$302,11,0))=TRUE," ",(VLOOKUP(T104,'Base de Datos'!$E$7:$AR$302,11,0)))</f>
        <v>1</v>
      </c>
      <c r="AB104" s="449">
        <f>IF(ISERROR(VLOOKUP(T104,'Base de Datos'!$E$7:$AR$302,12,0))=TRUE," ",(VLOOKUP(T104,'Base de Datos'!$E$7:$AR$302,12,0)))</f>
        <v>87669877</v>
      </c>
      <c r="AC104" s="449">
        <f>IF(ISERROR(VLOOKUP(T104,'Base de Datos'!$E$7:$AR$302,12,0))=TRUE," ",(VLOOKUP(T104,'Base de Datos'!$E$7:$AR$302,12,0)))</f>
        <v>87669877</v>
      </c>
      <c r="AD104" s="455">
        <f>IF(ISERROR(VLOOKUP(T104,'Base de Datos'!$E$7:$AR$302,15,0))=TRUE," ",(VLOOKUP(T104,'Base de Datos'!$E$7:$AR$302,15,0)))</f>
        <v>42108</v>
      </c>
      <c r="AE104" s="460">
        <f>IF(ISERROR(VLOOKUP(T104,'Base de Datos'!$E$7:$AR$302,16,0))=TRUE," ",(VLOOKUP(T104,'Base de Datos'!$E$7:$AR$302,16,0)))</f>
        <v>42108</v>
      </c>
      <c r="AF104" s="460">
        <f>IF(ISERROR(VLOOKUP(T104,'Base de Datos'!$E$7:$AR$302,17,0))=TRUE," ",(VLOOKUP(T104,'Base de Datos'!$E$7:$AR$302,17,0)))</f>
        <v>290648563</v>
      </c>
      <c r="AG104" s="460">
        <f>IF(ISERROR(VLOOKUP(T104,'Base de Datos'!$E$7:$AR$302,18,0))=TRUE," ",(VLOOKUP(T104,'Base de Datos'!$E$7:$AR$302,18,0)))</f>
        <v>290648563</v>
      </c>
      <c r="AH104" s="461" t="str">
        <f>IF(ISERROR(VLOOKUP(T104,'Base de Datos'!$E$7:$AR$302,20,0))=TRUE," ",(VLOOKUP(T104,'Base de Datos'!$E$7:$AR$302,20,0)))</f>
        <v xml:space="preserve">El pago se efectuará por mensualidades anticipadas así: a) El primer pago se cancelará en proporción a los días ejecutados en el mes en que se inicie la ejecución del contrato. b) cinco (5) mensualidades anticipadas de TREINTA Y TRES MILLONES OCHOCIENTOS VEINTINUEVE MIL SETECIENTOS OCHENTA Y UN PESOS MONEDA CORRIENTE $33.829.781, incluido IVA, por concepto de canon de arrendamiento c) En el último pago se cancelará el saldo del presente contrato. </v>
      </c>
      <c r="AI104" s="461">
        <f>IF(ISERROR(VLOOKUP(T104,'Base de Datos'!$E$7:$AR$302,21,0))=TRUE," ",(VLOOKUP(T104,'Base de Datos'!$E$7:$AR$302,21,0)))</f>
        <v>1</v>
      </c>
      <c r="AJ104" s="455">
        <v>42109</v>
      </c>
      <c r="AK104" s="450" t="str">
        <f>IF(ISERROR(VLOOKUP(D104,'Base de Datos'!$C$7:$AR$400,2,0))=TRUE," ",(VLOOKUP(D104,'Base de Datos'!$C$7:$AR$400,2,0)))</f>
        <v>2015208</v>
      </c>
      <c r="AL104" s="450" t="str">
        <f>IF(ISERROR(VLOOKUP(D104,'Base de Datos'!$C$7:$AR$400,3,0))=TRUE," ",(VLOOKUP(D104,'Base de Datos'!$C$7:$AR$400,3,0)))</f>
        <v>150192-0-2015</v>
      </c>
      <c r="AM104" s="453" t="str">
        <f>IF(ISERROR(VLOOKUP(D104,'Base de Datos'!$C$7:$AR$3761,6,0))=TRUE," ",(VLOOKUP(D104,'Base de Datos'!$C$7:$AR$400,6,0)))</f>
        <v>Arrendamiento de un inmueble para uso de parqueadero, por parte del Concejo de Bogotá D.C., de acuerdo con lo establecido en el documento de estudios previos y la propuesta presentada por el contratista.</v>
      </c>
      <c r="AN104" s="453">
        <f>IF(ISERROR(VLOOKUP(D104,'Base de Datos'!$C$7:$AR$400,20,0))=TRUE," ",(VLOOKUP(D104,'Base de Datos'!$C$7:$AR$400,19,0)))</f>
        <v>559200000</v>
      </c>
      <c r="AO104" s="456">
        <f>IF(ISERROR(VLOOKUP(D104,'Base de Datos'!$C$7:$AR$400,9,0))=TRUE," ",(VLOOKUP(D104,'Base de Datos'!$C$7:$AR$400,9,0)))</f>
        <v>2015</v>
      </c>
      <c r="AP104" s="456">
        <f>IF(ISERROR(VLOOKUP(D104,'Base de Datos'!$C$7:$AR$400,10,0))=TRUE," ",(VLOOKUP(D104,'Base de Datos'!$C$7:$AR$400,10,0)))</f>
        <v>42109</v>
      </c>
      <c r="AQ104" s="458">
        <f>IF(ISERROR(VLOOKUP(D104,'Base de Datos'!$C$7:$AR$400,11,0))=TRUE," ",(VLOOKUP(D104,'Base de Datos'!$C$7:$AR$400,11,0)))</f>
        <v>42109</v>
      </c>
      <c r="AR104" s="459">
        <f>IF(ISERROR(VLOOKUP(D104,'Base de Datos'!$C$7:$AR$400,12,0))=TRUE," ",(VLOOKUP(D104,'Base de Datos'!$C$7:$AR$400,12,0)))</f>
        <v>42429</v>
      </c>
      <c r="AS104" s="458">
        <f>IF(ISERROR(VLOOKUP(D104,'Base de Datos'!$C$7:$AR$400,13,0))=TRUE," ",(VLOOKUP(D104,'Base de Datos'!$C$7:$AR$400,13,0)))</f>
        <v>1</v>
      </c>
      <c r="AT104" s="458">
        <f>IF(ISERROR(VLOOKUP(D104,'Base de Datos'!$C$7:$AR$400,14,0))=TRUE," ",(VLOOKUP(D104,'Base de Datos'!$C$7:$AR$400,14,0)))</f>
        <v>180000000</v>
      </c>
      <c r="AU104" s="456" t="str">
        <f>IF(ISERROR(VLOOKUP(D104,'Base de Datos'!$C$7:$AR$400,16,0))=TRUE," ",(VLOOKUP(D104,'Base de Datos'!$C$7:$AR$400,16,0)))</f>
        <v>5 meses y 16 dias</v>
      </c>
      <c r="AV104" s="460">
        <f>IF(ISERROR(VLOOKUP(D104,'Base de Datos'!$C$7:$AR$400,17,0))=TRUE," ",(VLOOKUP(D104,'Base de Datos'!$C$7:$AR$400,17,0)))</f>
        <v>42582</v>
      </c>
      <c r="AW104" s="460">
        <f>IF(ISERROR(VLOOKUP(D104,'Base de Datos'!$C$7:$AR$400,18,0))=TRUE," ",(VLOOKUP(D104,'Base de Datos'!$C$7:$AR$400,18,0)))</f>
        <v>42582</v>
      </c>
      <c r="AX104" s="460">
        <f>IF(ISERROR(VLOOKUP(D104,'Base de Datos'!$C$7:$AR$400,19,0))=TRUE," ",(VLOOKUP(D104,'Base de Datos'!$C$7:$AR$400,19,0)))</f>
        <v>559200000</v>
      </c>
      <c r="AY104" s="463">
        <f>IF(ISERROR(VLOOKUP(D104,'Base de Datos'!$C$7:$AR$400,21,0))=TRUE," ",(VLOOKUP(D104,'Base de Datos'!$C$7:$AR$400,21,0)))</f>
        <v>0</v>
      </c>
      <c r="AZ104" s="463" t="str">
        <f>IF(ISERROR(VLOOKUP(D104,'Base de Datos'!$C$7:$AR$400,22,0))=TRUE," ",(VLOOKUP(D104,'Base de Datos'!$C$7:$AR$400,22,0)))</f>
        <v>Mensualidades anticipadas</v>
      </c>
      <c r="BA104" s="470"/>
      <c r="BB104" s="480"/>
    </row>
    <row r="105" spans="2:54" ht="55.5" hidden="1" customHeight="1" x14ac:dyDescent="0.25">
      <c r="B105" s="433">
        <v>98</v>
      </c>
      <c r="C105" s="441" t="s">
        <v>1675</v>
      </c>
      <c r="D105" s="433">
        <v>209</v>
      </c>
      <c r="E105" s="441" t="s">
        <v>1679</v>
      </c>
      <c r="F105" s="442">
        <f>VLOOKUP(D105,'Presupuesto - PAA 2015'!$B$10:$E$265,4,0)</f>
        <v>0</v>
      </c>
      <c r="G105" s="434" t="str">
        <f>VLOOKUP(D105,'[4]Seguimiento Plan'!$C$2:$R$101,16,0)</f>
        <v>Arriendo de instalaciones para acondicionamiento de áreas  requeridas por el Concejo Distrital</v>
      </c>
      <c r="H105" s="434" t="s">
        <v>1776</v>
      </c>
      <c r="I105" s="434" t="s">
        <v>1720</v>
      </c>
      <c r="J105" s="443" t="s">
        <v>908</v>
      </c>
      <c r="K105" s="444"/>
      <c r="L105" s="444"/>
      <c r="M105" s="445"/>
      <c r="N105" s="444"/>
      <c r="O105" s="446"/>
      <c r="P105" s="446"/>
      <c r="Q105" s="446"/>
      <c r="R105" s="447"/>
      <c r="S105" s="447"/>
      <c r="T105" s="448"/>
      <c r="U105" s="450" t="str">
        <f>IF(ISERROR(VLOOKUP(T105,'Base de Datos'!$E$7:$AR$302,3,0))=TRUE," ",(VLOOKUP(T105,'Base de Datos'!$E$7:$AR$302,2,0)))</f>
        <v xml:space="preserve"> </v>
      </c>
      <c r="V105" s="453" t="str">
        <f>IF(ISERROR(VLOOKUP(T105,'Base de Datos'!$E$7:$AR$302,5,0))=TRUE," ",(VLOOKUP(T105,'Base de Datos'!$E$7:$AR$302,5,0)))</f>
        <v xml:space="preserve"> </v>
      </c>
      <c r="W105" s="450" t="str">
        <f>IF(ISERROR(VLOOKUP(T105,'Base de Datos'!$E$7:$AR$302,19,0))=TRUE," ",(VLOOKUP(T105,'Base de Datos'!$E$7:$AR$302,19,0)))</f>
        <v xml:space="preserve"> </v>
      </c>
      <c r="X105" s="455" t="str">
        <f>IF(ISERROR(VLOOKUP(T105,'Base de Datos'!$E$7:$AR$302,8,0))=TRUE," ",(VLOOKUP(T105,'Base de Datos'!$E$7:$AR$302,8,0)))</f>
        <v xml:space="preserve"> </v>
      </c>
      <c r="Y105" s="455" t="str">
        <f>IF(ISERROR(VLOOKUP(T105,'Base de Datos'!$E$7:$AR$302,9,0))=TRUE," ",(VLOOKUP(T105,'Base de Datos'!$E$7:$AR$302,9,0)))</f>
        <v xml:space="preserve"> </v>
      </c>
      <c r="Z105" s="449" t="str">
        <f>IF(ISERROR(VLOOKUP(T105,'Base de Datos'!$E$7:$AR$302,10,0))=TRUE," ",(VLOOKUP(T105,'Base de Datos'!$E$7:$AR$302,10,0)))</f>
        <v xml:space="preserve"> </v>
      </c>
      <c r="AA105" s="452" t="str">
        <f>IF(ISERROR(VLOOKUP(T105,'Base de Datos'!$E$7:$AR$302,11,0))=TRUE," ",(VLOOKUP(T105,'Base de Datos'!$E$7:$AR$302,11,0)))</f>
        <v xml:space="preserve"> </v>
      </c>
      <c r="AB105" s="449" t="str">
        <f>IF(ISERROR(VLOOKUP(T105,'Base de Datos'!$E$7:$AR$302,12,0))=TRUE," ",(VLOOKUP(T105,'Base de Datos'!$E$7:$AR$302,12,0)))</f>
        <v xml:space="preserve"> </v>
      </c>
      <c r="AC105" s="449" t="str">
        <f>IF(ISERROR(VLOOKUP(T105,'Base de Datos'!$E$7:$AR$302,12,0))=TRUE," ",(VLOOKUP(T105,'Base de Datos'!$E$7:$AR$302,12,0)))</f>
        <v xml:space="preserve"> </v>
      </c>
      <c r="AD105" s="455" t="str">
        <f>IF(ISERROR(VLOOKUP(T105,'Base de Datos'!$E$7:$AR$302,15,0))=TRUE," ",(VLOOKUP(T105,'Base de Datos'!$E$7:$AR$302,15,0)))</f>
        <v xml:space="preserve"> </v>
      </c>
      <c r="AE105" s="460" t="str">
        <f>IF(ISERROR(VLOOKUP(T105,'Base de Datos'!$E$7:$AR$302,16,0))=TRUE," ",(VLOOKUP(T105,'Base de Datos'!$E$7:$AR$302,16,0)))</f>
        <v xml:space="preserve"> </v>
      </c>
      <c r="AF105" s="460" t="str">
        <f>IF(ISERROR(VLOOKUP(T105,'Base de Datos'!$E$7:$AR$302,17,0))=TRUE," ",(VLOOKUP(T105,'Base de Datos'!$E$7:$AR$302,17,0)))</f>
        <v xml:space="preserve"> </v>
      </c>
      <c r="AG105" s="460" t="str">
        <f>IF(ISERROR(VLOOKUP(T105,'Base de Datos'!$E$7:$AR$302,18,0))=TRUE," ",(VLOOKUP(T105,'Base de Datos'!$E$7:$AR$302,18,0)))</f>
        <v xml:space="preserve"> </v>
      </c>
      <c r="AH105" s="461" t="str">
        <f>IF(ISERROR(VLOOKUP(T105,'Base de Datos'!$E$7:$AR$302,20,0))=TRUE," ",(VLOOKUP(T105,'Base de Datos'!$E$7:$AR$302,20,0)))</f>
        <v xml:space="preserve"> </v>
      </c>
      <c r="AI105" s="461" t="str">
        <f>IF(ISERROR(VLOOKUP(T105,'Base de Datos'!$E$7:$AR$302,21,0))=TRUE," ",(VLOOKUP(T105,'Base de Datos'!$E$7:$AR$302,21,0)))</f>
        <v xml:space="preserve"> </v>
      </c>
      <c r="AJ105" s="450"/>
      <c r="AK105" s="450" t="str">
        <f>IF(ISERROR(VLOOKUP(D105,'Base de Datos'!$C$7:$AR$400,2,0))=TRUE," ",(VLOOKUP(D105,'Base de Datos'!$C$7:$AR$400,2,0)))</f>
        <v xml:space="preserve"> </v>
      </c>
      <c r="AL105" s="450" t="str">
        <f>IF(ISERROR(VLOOKUP(D105,'Base de Datos'!$C$7:$AR$400,3,0))=TRUE," ",(VLOOKUP(D105,'Base de Datos'!$C$7:$AR$400,3,0)))</f>
        <v xml:space="preserve"> </v>
      </c>
      <c r="AM105" s="453" t="e">
        <f>IF(ISERROR(VLOOKUP(D105,'Base de Datos'!$C$7:$AR$3761,6,0))=TRUE," ",(VLOOKUP(D105,'Base de Datos'!$C$7:$AR$400,6,0)))</f>
        <v>#N/A</v>
      </c>
      <c r="AN105" s="453" t="str">
        <f>IF(ISERROR(VLOOKUP(D105,'Base de Datos'!$C$7:$AR$400,20,0))=TRUE," ",(VLOOKUP(D105,'Base de Datos'!$C$7:$AR$400,19,0)))</f>
        <v xml:space="preserve"> </v>
      </c>
      <c r="AO105" s="456" t="str">
        <f>IF(ISERROR(VLOOKUP(D105,'Base de Datos'!$C$7:$AR$400,9,0))=TRUE," ",(VLOOKUP(D105,'Base de Datos'!$C$7:$AR$400,9,0)))</f>
        <v xml:space="preserve"> </v>
      </c>
      <c r="AP105" s="456" t="str">
        <f>IF(ISERROR(VLOOKUP(D105,'Base de Datos'!$C$7:$AR$400,10,0))=TRUE," ",(VLOOKUP(D105,'Base de Datos'!$C$7:$AR$400,10,0)))</f>
        <v xml:space="preserve"> </v>
      </c>
      <c r="AQ105" s="458" t="str">
        <f>IF(ISERROR(VLOOKUP(D105,'Base de Datos'!$C$7:$AR$400,11,0))=TRUE," ",(VLOOKUP(D105,'Base de Datos'!$C$7:$AR$400,11,0)))</f>
        <v xml:space="preserve"> </v>
      </c>
      <c r="AR105" s="459" t="str">
        <f>IF(ISERROR(VLOOKUP(D105,'Base de Datos'!$C$7:$AR$400,12,0))=TRUE," ",(VLOOKUP(D105,'Base de Datos'!$C$7:$AR$400,12,0)))</f>
        <v xml:space="preserve"> </v>
      </c>
      <c r="AS105" s="458" t="str">
        <f>IF(ISERROR(VLOOKUP(D105,'Base de Datos'!$C$7:$AR$400,13,0))=TRUE," ",(VLOOKUP(D105,'Base de Datos'!$C$7:$AR$400,13,0)))</f>
        <v xml:space="preserve"> </v>
      </c>
      <c r="AT105" s="458" t="str">
        <f>IF(ISERROR(VLOOKUP(D105,'Base de Datos'!$C$7:$AR$400,14,0))=TRUE," ",(VLOOKUP(D105,'Base de Datos'!$C$7:$AR$400,14,0)))</f>
        <v xml:space="preserve"> </v>
      </c>
      <c r="AU105" s="456" t="str">
        <f>IF(ISERROR(VLOOKUP(D105,'Base de Datos'!$C$7:$AR$400,16,0))=TRUE," ",(VLOOKUP(D105,'Base de Datos'!$C$7:$AR$400,16,0)))</f>
        <v xml:space="preserve"> </v>
      </c>
      <c r="AV105" s="460" t="str">
        <f>IF(ISERROR(VLOOKUP(D105,'Base de Datos'!$C$7:$AR$400,17,0))=TRUE," ",(VLOOKUP(D105,'Base de Datos'!$C$7:$AR$400,17,0)))</f>
        <v xml:space="preserve"> </v>
      </c>
      <c r="AW105" s="460" t="str">
        <f>IF(ISERROR(VLOOKUP(D105,'Base de Datos'!$C$7:$AR$400,18,0))=TRUE," ",(VLOOKUP(D105,'Base de Datos'!$C$7:$AR$400,18,0)))</f>
        <v xml:space="preserve"> </v>
      </c>
      <c r="AX105" s="460" t="str">
        <f>IF(ISERROR(VLOOKUP(D105,'Base de Datos'!$C$7:$AR$400,19,0))=TRUE," ",(VLOOKUP(D105,'Base de Datos'!$C$7:$AR$400,19,0)))</f>
        <v xml:space="preserve"> </v>
      </c>
      <c r="AY105" s="463" t="str">
        <f>IF(ISERROR(VLOOKUP(D105,'Base de Datos'!$C$7:$AR$400,21,0))=TRUE," ",(VLOOKUP(D105,'Base de Datos'!$C$7:$AR$400,21,0)))</f>
        <v xml:space="preserve"> </v>
      </c>
      <c r="AZ105" s="463" t="str">
        <f>IF(ISERROR(VLOOKUP(D105,'Base de Datos'!$C$7:$AR$400,22,0))=TRUE," ",(VLOOKUP(D105,'Base de Datos'!$C$7:$AR$400,22,0)))</f>
        <v xml:space="preserve"> </v>
      </c>
      <c r="BA105" s="470"/>
      <c r="BB105" s="480"/>
    </row>
    <row r="106" spans="2:54" ht="55.5" hidden="1" customHeight="1" x14ac:dyDescent="0.25">
      <c r="B106" s="433">
        <v>99</v>
      </c>
      <c r="C106" s="441" t="s">
        <v>1675</v>
      </c>
      <c r="D106" s="433">
        <v>210</v>
      </c>
      <c r="E106" s="441" t="s">
        <v>1679</v>
      </c>
      <c r="F106" s="442">
        <f>VLOOKUP(D106,'Presupuesto - PAA 2015'!$B$10:$E$265,4,0)</f>
        <v>4174276985</v>
      </c>
      <c r="G106" s="434" t="str">
        <f>VLOOKUP(D106,'[4]Seguimiento Plan'!$C$2:$R$101,16,0)</f>
        <v>Aunar esfuerzos humanos, tecnicos, logisticos y administrativos para garantizar el esquema de seguridad requerido por los Concejales del Distrito Capital que se encuentren en situacion de riesgo extraordinario o extremo como consecuencia directa del ejerc</v>
      </c>
      <c r="H106" s="434" t="s">
        <v>1776</v>
      </c>
      <c r="I106" s="434" t="s">
        <v>1719</v>
      </c>
      <c r="J106" s="443" t="s">
        <v>908</v>
      </c>
      <c r="K106" s="444" t="s">
        <v>390</v>
      </c>
      <c r="L106" s="444" t="str">
        <f>VLOOKUP(D106,'[4]Seguimiento Plan'!$C$2:$AJ$101,30,0)</f>
        <v>SI</v>
      </c>
      <c r="M106" s="445">
        <f>VLOOKUP(D106,'[4]Seguimiento Plan'!$C$2:$AJ$101,31,0)</f>
        <v>42087</v>
      </c>
      <c r="N106" s="444" t="s">
        <v>1817</v>
      </c>
      <c r="O106" s="446"/>
      <c r="P106" s="446"/>
      <c r="Q106" s="446"/>
      <c r="R106" s="447"/>
      <c r="S106" s="465" t="s">
        <v>1636</v>
      </c>
      <c r="T106" s="343" t="s">
        <v>291</v>
      </c>
      <c r="U106" s="450" t="str">
        <f>IF(ISERROR(VLOOKUP(T106,'Base de Datos'!$E$7:$AR$302,3,0))=TRUE," ",(VLOOKUP(T106,'Base de Datos'!$E$7:$AR$302,2,0)))</f>
        <v>UNIDAD NACIONAL DE PROTECCIÓN</v>
      </c>
      <c r="V106" s="453">
        <f>IF(ISERROR(VLOOKUP(T106,'Base de Datos'!$E$7:$AR$302,5,0))=TRUE," ",(VLOOKUP(T106,'Base de Datos'!$E$7:$AR$302,5,0)))</f>
        <v>2447846100</v>
      </c>
      <c r="W106" s="450">
        <f>IF(ISERROR(VLOOKUP(T106,'Base de Datos'!$E$7:$AR$302,19,0))=TRUE," ",(VLOOKUP(T106,'Base de Datos'!$E$7:$AR$302,19,0)))</f>
        <v>143190470</v>
      </c>
      <c r="X106" s="455" t="str">
        <f>IF(ISERROR(VLOOKUP(T106,'Base de Datos'!$E$7:$AR$302,8,0))=TRUE," ",(VLOOKUP(T106,'Base de Datos'!$E$7:$AR$302,8,0)))</f>
        <v xml:space="preserve"> </v>
      </c>
      <c r="Y106" s="455">
        <f>IF(ISERROR(VLOOKUP(T106,'Base de Datos'!$E$7:$AR$302,9,0))=TRUE," ",(VLOOKUP(T106,'Base de Datos'!$E$7:$AR$302,9,0)))</f>
        <v>41808</v>
      </c>
      <c r="Z106" s="449">
        <f>IF(ISERROR(VLOOKUP(T106,'Base de Datos'!$E$7:$AR$302,10,0))=TRUE," ",(VLOOKUP(T106,'Base de Datos'!$E$7:$AR$302,10,0)))</f>
        <v>42021</v>
      </c>
      <c r="AA106" s="452">
        <f>IF(ISERROR(VLOOKUP(T106,'Base de Datos'!$E$7:$AR$302,11,0))=TRUE," ",(VLOOKUP(T106,'Base de Datos'!$E$7:$AR$302,11,0)))</f>
        <v>1</v>
      </c>
      <c r="AB106" s="449">
        <f>IF(ISERROR(VLOOKUP(T106,'Base de Datos'!$E$7:$AR$302,12,0))=TRUE," ",(VLOOKUP(T106,'Base de Datos'!$E$7:$AR$302,12,0)))</f>
        <v>1015608000</v>
      </c>
      <c r="AC106" s="449">
        <f>IF(ISERROR(VLOOKUP(T106,'Base de Datos'!$E$7:$AR$302,12,0))=TRUE," ",(VLOOKUP(T106,'Base de Datos'!$E$7:$AR$302,12,0)))</f>
        <v>1015608000</v>
      </c>
      <c r="AD106" s="455">
        <f>IF(ISERROR(VLOOKUP(T106,'Base de Datos'!$E$7:$AR$302,15,0))=TRUE," ",(VLOOKUP(T106,'Base de Datos'!$E$7:$AR$302,15,0)))</f>
        <v>42116</v>
      </c>
      <c r="AE106" s="460">
        <f>IF(ISERROR(VLOOKUP(T106,'Base de Datos'!$E$7:$AR$302,16,0))=TRUE," ",(VLOOKUP(T106,'Base de Datos'!$E$7:$AR$302,16,0)))</f>
        <v>42116</v>
      </c>
      <c r="AF106" s="460">
        <f>IF(ISERROR(VLOOKUP(T106,'Base de Datos'!$E$7:$AR$302,17,0))=TRUE," ",(VLOOKUP(T106,'Base de Datos'!$E$7:$AR$302,17,0)))</f>
        <v>3463454100</v>
      </c>
      <c r="AG106" s="460">
        <f>IF(ISERROR(VLOOKUP(T106,'Base de Datos'!$E$7:$AR$302,18,0))=TRUE," ",(VLOOKUP(T106,'Base de Datos'!$E$7:$AR$302,18,0)))</f>
        <v>3320263630</v>
      </c>
      <c r="AH106" s="461" t="str">
        <f>IF(ISERROR(VLOOKUP(T106,'Base de Datos'!$E$7:$AR$302,20,0))=TRUE," ",(VLOOKUP(T106,'Base de Datos'!$E$7:$AR$302,20,0)))</f>
        <v xml:space="preserve">Un primer desembolso, equivalente al 30% de los recursos estimados para el Convenio, una vez sean implementados los esquemas de seguridad de por lo menos el 80% de los Concejales.
Un segundo desembolso, correspondiente al 30% de los recursos estimados para el Convenio, una vez finalizado el segundo mes de ejecución.
</v>
      </c>
      <c r="AI106" s="461">
        <f>IF(ISERROR(VLOOKUP(T106,'Base de Datos'!$E$7:$AR$302,21,0))=TRUE," ",(VLOOKUP(T106,'Base de Datos'!$E$7:$AR$302,21,0)))</f>
        <v>0.95865674385579414</v>
      </c>
      <c r="AJ106" s="455">
        <v>42117</v>
      </c>
      <c r="AK106" s="450" t="str">
        <f>IF(ISERROR(VLOOKUP(D106,'Base de Datos'!$C$7:$AR$400,2,0))=TRUE," ",(VLOOKUP(D106,'Base de Datos'!$C$7:$AR$400,2,0)))</f>
        <v>2015210</v>
      </c>
      <c r="AL106" s="450" t="str">
        <f>IF(ISERROR(VLOOKUP(D106,'Base de Datos'!$C$7:$AR$400,3,0))=TRUE," ",(VLOOKUP(D106,'Base de Datos'!$C$7:$AR$400,3,0)))</f>
        <v>150198-0-2015</v>
      </c>
      <c r="AM106" s="453" t="str">
        <f>IF(ISERROR(VLOOKUP(D106,'Base de Datos'!$C$7:$AR$3761,6,0))=TRUE," ",(VLOOKUP(D106,'Base de Datos'!$C$7:$AR$400,6,0)))</f>
        <v>Aunar esfuerzos humanos, técnicos, logísticos y administrativos para garantizar el esquema de seguridad requerido por los Concejales del Distrito Capital, que se encuentran en situación de riesgo extraordinario o extremo, como consecuencia directa del ejercicio de sus funciones.</v>
      </c>
      <c r="AN106" s="453">
        <f>IF(ISERROR(VLOOKUP(D106,'Base de Datos'!$C$7:$AR$400,20,0))=TRUE," ",(VLOOKUP(D106,'Base de Datos'!$C$7:$AR$400,19,0)))</f>
        <v>4174276985</v>
      </c>
      <c r="AO106" s="456">
        <f>IF(ISERROR(VLOOKUP(D106,'Base de Datos'!$C$7:$AR$400,9,0))=TRUE," ",(VLOOKUP(D106,'Base de Datos'!$C$7:$AR$400,9,0)))</f>
        <v>2015</v>
      </c>
      <c r="AP106" s="456">
        <f>IF(ISERROR(VLOOKUP(D106,'Base de Datos'!$C$7:$AR$400,10,0))=TRUE," ",(VLOOKUP(D106,'Base de Datos'!$C$7:$AR$400,10,0)))</f>
        <v>42117</v>
      </c>
      <c r="AQ106" s="458">
        <f>IF(ISERROR(VLOOKUP(D106,'Base de Datos'!$C$7:$AR$400,11,0))=TRUE," ",(VLOOKUP(D106,'Base de Datos'!$C$7:$AR$400,11,0)))</f>
        <v>42117</v>
      </c>
      <c r="AR106" s="459">
        <f>IF(ISERROR(VLOOKUP(D106,'Base de Datos'!$C$7:$AR$400,12,0))=TRUE," ",(VLOOKUP(D106,'Base de Datos'!$C$7:$AR$400,12,0)))</f>
        <v>42468</v>
      </c>
      <c r="AS106" s="458">
        <f>IF(ISERROR(VLOOKUP(D106,'Base de Datos'!$C$7:$AR$400,13,0))=TRUE," ",(VLOOKUP(D106,'Base de Datos'!$C$7:$AR$400,13,0)))</f>
        <v>0</v>
      </c>
      <c r="AT106" s="458">
        <f>IF(ISERROR(VLOOKUP(D106,'Base de Datos'!$C$7:$AR$400,14,0))=TRUE," ",(VLOOKUP(D106,'Base de Datos'!$C$7:$AR$400,14,0)))</f>
        <v>0</v>
      </c>
      <c r="AU106" s="456" t="str">
        <f>IF(ISERROR(VLOOKUP(D106,'Base de Datos'!$C$7:$AR$400,16,0))=TRUE," ",(VLOOKUP(D106,'Base de Datos'!$C$7:$AR$400,16,0)))</f>
        <v/>
      </c>
      <c r="AV106" s="460" t="str">
        <f>IF(ISERROR(VLOOKUP(D106,'Base de Datos'!$C$7:$AR$400,17,0))=TRUE," ",(VLOOKUP(D106,'Base de Datos'!$C$7:$AR$400,17,0)))</f>
        <v/>
      </c>
      <c r="AW106" s="460">
        <f>IF(ISERROR(VLOOKUP(D106,'Base de Datos'!$C$7:$AR$400,18,0))=TRUE," ",(VLOOKUP(D106,'Base de Datos'!$C$7:$AR$400,18,0)))</f>
        <v>42468</v>
      </c>
      <c r="AX106" s="460">
        <f>IF(ISERROR(VLOOKUP(D106,'Base de Datos'!$C$7:$AR$400,19,0))=TRUE," ",(VLOOKUP(D106,'Base de Datos'!$C$7:$AR$400,19,0)))</f>
        <v>4174276985</v>
      </c>
      <c r="AY106" s="463">
        <f>IF(ISERROR(VLOOKUP(D106,'Base de Datos'!$C$7:$AR$400,21,0))=TRUE," ",(VLOOKUP(D106,'Base de Datos'!$C$7:$AR$400,21,0)))</f>
        <v>417427697</v>
      </c>
      <c r="AZ106" s="463" t="str">
        <f>IF(ISERROR(VLOOKUP(D106,'Base de Datos'!$C$7:$AR$400,22,0))=TRUE," ",(VLOOKUP(D106,'Base de Datos'!$C$7:$AR$400,22,0)))</f>
        <v>Porcentaje de avance</v>
      </c>
      <c r="BA106" s="470"/>
      <c r="BB106" s="480"/>
    </row>
    <row r="107" spans="2:54" ht="55.5" hidden="1" customHeight="1" x14ac:dyDescent="0.25">
      <c r="B107" s="433">
        <v>100</v>
      </c>
      <c r="C107" s="441" t="s">
        <v>1675</v>
      </c>
      <c r="D107" s="433">
        <v>211</v>
      </c>
      <c r="E107" s="441" t="s">
        <v>1679</v>
      </c>
      <c r="F107" s="442">
        <f>VLOOKUP(D107,'Presupuesto - PAA 2015'!$B$10:$E$265,4,0)</f>
        <v>0</v>
      </c>
      <c r="G107" s="434" t="str">
        <f>VLOOKUP(D107,'[4]Seguimiento Plan'!$C$2:$R$101,16,0)</f>
        <v>Arriendo de un inmueble para la sede del Concejo de Bogotá.</v>
      </c>
      <c r="H107" s="434" t="s">
        <v>1776</v>
      </c>
      <c r="I107" s="434" t="s">
        <v>1720</v>
      </c>
      <c r="J107" s="443" t="s">
        <v>908</v>
      </c>
      <c r="K107" s="444"/>
      <c r="L107" s="444"/>
      <c r="M107" s="445"/>
      <c r="N107" s="444"/>
      <c r="O107" s="446"/>
      <c r="P107" s="446"/>
      <c r="Q107" s="446"/>
      <c r="R107" s="447"/>
      <c r="S107" s="447"/>
      <c r="T107" s="448"/>
      <c r="U107" s="450" t="str">
        <f>IF(ISERROR(VLOOKUP(T107,'Base de Datos'!$E$7:$AR$302,3,0))=TRUE," ",(VLOOKUP(T107,'Base de Datos'!$E$7:$AR$302,2,0)))</f>
        <v xml:space="preserve"> </v>
      </c>
      <c r="V107" s="453" t="str">
        <f>IF(ISERROR(VLOOKUP(T107,'Base de Datos'!$E$7:$AR$302,5,0))=TRUE," ",(VLOOKUP(T107,'Base de Datos'!$E$7:$AR$302,5,0)))</f>
        <v xml:space="preserve"> </v>
      </c>
      <c r="W107" s="450" t="str">
        <f>IF(ISERROR(VLOOKUP(T107,'Base de Datos'!$E$7:$AR$302,19,0))=TRUE," ",(VLOOKUP(T107,'Base de Datos'!$E$7:$AR$302,19,0)))</f>
        <v xml:space="preserve"> </v>
      </c>
      <c r="X107" s="455" t="str">
        <f>IF(ISERROR(VLOOKUP(T107,'Base de Datos'!$E$7:$AR$302,8,0))=TRUE," ",(VLOOKUP(T107,'Base de Datos'!$E$7:$AR$302,8,0)))</f>
        <v xml:space="preserve"> </v>
      </c>
      <c r="Y107" s="455" t="str">
        <f>IF(ISERROR(VLOOKUP(T107,'Base de Datos'!$E$7:$AR$302,9,0))=TRUE," ",(VLOOKUP(T107,'Base de Datos'!$E$7:$AR$302,9,0)))</f>
        <v xml:space="preserve"> </v>
      </c>
      <c r="Z107" s="449" t="str">
        <f>IF(ISERROR(VLOOKUP(T107,'Base de Datos'!$E$7:$AR$302,10,0))=TRUE," ",(VLOOKUP(T107,'Base de Datos'!$E$7:$AR$302,10,0)))</f>
        <v xml:space="preserve"> </v>
      </c>
      <c r="AA107" s="452" t="str">
        <f>IF(ISERROR(VLOOKUP(T107,'Base de Datos'!$E$7:$AR$302,11,0))=TRUE," ",(VLOOKUP(T107,'Base de Datos'!$E$7:$AR$302,11,0)))</f>
        <v xml:space="preserve"> </v>
      </c>
      <c r="AB107" s="449" t="str">
        <f>IF(ISERROR(VLOOKUP(T107,'Base de Datos'!$E$7:$AR$302,12,0))=TRUE," ",(VLOOKUP(T107,'Base de Datos'!$E$7:$AR$302,12,0)))</f>
        <v xml:space="preserve"> </v>
      </c>
      <c r="AC107" s="449" t="str">
        <f>IF(ISERROR(VLOOKUP(T107,'Base de Datos'!$E$7:$AR$302,12,0))=TRUE," ",(VLOOKUP(T107,'Base de Datos'!$E$7:$AR$302,12,0)))</f>
        <v xml:space="preserve"> </v>
      </c>
      <c r="AD107" s="455" t="str">
        <f>IF(ISERROR(VLOOKUP(T107,'Base de Datos'!$E$7:$AR$302,15,0))=TRUE," ",(VLOOKUP(T107,'Base de Datos'!$E$7:$AR$302,15,0)))</f>
        <v xml:space="preserve"> </v>
      </c>
      <c r="AE107" s="460" t="str">
        <f>IF(ISERROR(VLOOKUP(T107,'Base de Datos'!$E$7:$AR$302,16,0))=TRUE," ",(VLOOKUP(T107,'Base de Datos'!$E$7:$AR$302,16,0)))</f>
        <v xml:space="preserve"> </v>
      </c>
      <c r="AF107" s="460" t="str">
        <f>IF(ISERROR(VLOOKUP(T107,'Base de Datos'!$E$7:$AR$302,17,0))=TRUE," ",(VLOOKUP(T107,'Base de Datos'!$E$7:$AR$302,17,0)))</f>
        <v xml:space="preserve"> </v>
      </c>
      <c r="AG107" s="460" t="str">
        <f>IF(ISERROR(VLOOKUP(T107,'Base de Datos'!$E$7:$AR$302,18,0))=TRUE," ",(VLOOKUP(T107,'Base de Datos'!$E$7:$AR$302,18,0)))</f>
        <v xml:space="preserve"> </v>
      </c>
      <c r="AH107" s="461" t="str">
        <f>IF(ISERROR(VLOOKUP(T107,'Base de Datos'!$E$7:$AR$302,20,0))=TRUE," ",(VLOOKUP(T107,'Base de Datos'!$E$7:$AR$302,20,0)))</f>
        <v xml:space="preserve"> </v>
      </c>
      <c r="AI107" s="461" t="str">
        <f>IF(ISERROR(VLOOKUP(T107,'Base de Datos'!$E$7:$AR$302,21,0))=TRUE," ",(VLOOKUP(T107,'Base de Datos'!$E$7:$AR$302,21,0)))</f>
        <v xml:space="preserve"> </v>
      </c>
      <c r="AJ107" s="450"/>
      <c r="AK107" s="450" t="str">
        <f>IF(ISERROR(VLOOKUP(D107,'Base de Datos'!$C$7:$AR$400,2,0))=TRUE," ",(VLOOKUP(D107,'Base de Datos'!$C$7:$AR$400,2,0)))</f>
        <v xml:space="preserve"> </v>
      </c>
      <c r="AL107" s="450" t="str">
        <f>IF(ISERROR(VLOOKUP(D107,'Base de Datos'!$C$7:$AR$400,3,0))=TRUE," ",(VLOOKUP(D107,'Base de Datos'!$C$7:$AR$400,3,0)))</f>
        <v xml:space="preserve"> </v>
      </c>
      <c r="AM107" s="453" t="e">
        <f>IF(ISERROR(VLOOKUP(D107,'Base de Datos'!$C$7:$AR$3761,6,0))=TRUE," ",(VLOOKUP(D107,'Base de Datos'!$C$7:$AR$400,6,0)))</f>
        <v>#N/A</v>
      </c>
      <c r="AN107" s="453" t="str">
        <f>IF(ISERROR(VLOOKUP(D107,'Base de Datos'!$C$7:$AR$400,20,0))=TRUE," ",(VLOOKUP(D107,'Base de Datos'!$C$7:$AR$400,19,0)))</f>
        <v xml:space="preserve"> </v>
      </c>
      <c r="AO107" s="456" t="str">
        <f>IF(ISERROR(VLOOKUP(D107,'Base de Datos'!$C$7:$AR$400,9,0))=TRUE," ",(VLOOKUP(D107,'Base de Datos'!$C$7:$AR$400,9,0)))</f>
        <v xml:space="preserve"> </v>
      </c>
      <c r="AP107" s="456" t="str">
        <f>IF(ISERROR(VLOOKUP(D107,'Base de Datos'!$C$7:$AR$400,10,0))=TRUE," ",(VLOOKUP(D107,'Base de Datos'!$C$7:$AR$400,10,0)))</f>
        <v xml:space="preserve"> </v>
      </c>
      <c r="AQ107" s="458" t="str">
        <f>IF(ISERROR(VLOOKUP(D107,'Base de Datos'!$C$7:$AR$400,11,0))=TRUE," ",(VLOOKUP(D107,'Base de Datos'!$C$7:$AR$400,11,0)))</f>
        <v xml:space="preserve"> </v>
      </c>
      <c r="AR107" s="459" t="str">
        <f>IF(ISERROR(VLOOKUP(D107,'Base de Datos'!$C$7:$AR$400,12,0))=TRUE," ",(VLOOKUP(D107,'Base de Datos'!$C$7:$AR$400,12,0)))</f>
        <v xml:space="preserve"> </v>
      </c>
      <c r="AS107" s="458" t="str">
        <f>IF(ISERROR(VLOOKUP(D107,'Base de Datos'!$C$7:$AR$400,13,0))=TRUE," ",(VLOOKUP(D107,'Base de Datos'!$C$7:$AR$400,13,0)))</f>
        <v xml:space="preserve"> </v>
      </c>
      <c r="AT107" s="458" t="str">
        <f>IF(ISERROR(VLOOKUP(D107,'Base de Datos'!$C$7:$AR$400,14,0))=TRUE," ",(VLOOKUP(D107,'Base de Datos'!$C$7:$AR$400,14,0)))</f>
        <v xml:space="preserve"> </v>
      </c>
      <c r="AU107" s="456" t="str">
        <f>IF(ISERROR(VLOOKUP(D107,'Base de Datos'!$C$7:$AR$400,16,0))=TRUE," ",(VLOOKUP(D107,'Base de Datos'!$C$7:$AR$400,16,0)))</f>
        <v xml:space="preserve"> </v>
      </c>
      <c r="AV107" s="460" t="str">
        <f>IF(ISERROR(VLOOKUP(D107,'Base de Datos'!$C$7:$AR$400,17,0))=TRUE," ",(VLOOKUP(D107,'Base de Datos'!$C$7:$AR$400,17,0)))</f>
        <v xml:space="preserve"> </v>
      </c>
      <c r="AW107" s="460" t="str">
        <f>IF(ISERROR(VLOOKUP(D107,'Base de Datos'!$C$7:$AR$400,18,0))=TRUE," ",(VLOOKUP(D107,'Base de Datos'!$C$7:$AR$400,18,0)))</f>
        <v xml:space="preserve"> </v>
      </c>
      <c r="AX107" s="460" t="str">
        <f>IF(ISERROR(VLOOKUP(D107,'Base de Datos'!$C$7:$AR$400,19,0))=TRUE," ",(VLOOKUP(D107,'Base de Datos'!$C$7:$AR$400,19,0)))</f>
        <v xml:space="preserve"> </v>
      </c>
      <c r="AY107" s="463" t="str">
        <f>IF(ISERROR(VLOOKUP(D107,'Base de Datos'!$C$7:$AR$400,21,0))=TRUE," ",(VLOOKUP(D107,'Base de Datos'!$C$7:$AR$400,21,0)))</f>
        <v xml:space="preserve"> </v>
      </c>
      <c r="AZ107" s="463" t="str">
        <f>IF(ISERROR(VLOOKUP(D107,'Base de Datos'!$C$7:$AR$400,22,0))=TRUE," ",(VLOOKUP(D107,'Base de Datos'!$C$7:$AR$400,22,0)))</f>
        <v xml:space="preserve"> </v>
      </c>
      <c r="BA107" s="470"/>
      <c r="BB107" s="480"/>
    </row>
    <row r="108" spans="2:54" ht="55.5" hidden="1" customHeight="1" x14ac:dyDescent="0.25">
      <c r="B108" s="433">
        <v>101</v>
      </c>
      <c r="C108" s="441" t="s">
        <v>1675</v>
      </c>
      <c r="D108" s="433">
        <v>212</v>
      </c>
      <c r="E108" s="441" t="s">
        <v>1679</v>
      </c>
      <c r="F108" s="442">
        <f>VLOOKUP(D108,'Presupuesto - PAA 2015'!$B$10:$E$265,4,0)</f>
        <v>0</v>
      </c>
      <c r="G108" s="434" t="str">
        <f>VLOOKUP(D108,'[4]Seguimiento Plan'!$C$2:$R$101,16,0)</f>
        <v>Efectuar los estudios de viabilidad técnica y presupuestal para la compra o construcción de la sede Administrativa del Concejo de Bogotá</v>
      </c>
      <c r="H108" s="434" t="s">
        <v>1776</v>
      </c>
      <c r="I108" s="434" t="s">
        <v>1716</v>
      </c>
      <c r="J108" s="443" t="s">
        <v>1737</v>
      </c>
      <c r="K108" s="444"/>
      <c r="L108" s="444"/>
      <c r="M108" s="445"/>
      <c r="N108" s="444"/>
      <c r="O108" s="446"/>
      <c r="P108" s="446"/>
      <c r="Q108" s="446"/>
      <c r="R108" s="447"/>
      <c r="S108" s="447"/>
      <c r="T108" s="448"/>
      <c r="U108" s="450" t="str">
        <f>IF(ISERROR(VLOOKUP(T108,'Base de Datos'!$E$7:$AR$302,3,0))=TRUE," ",(VLOOKUP(T108,'Base de Datos'!$E$7:$AR$302,2,0)))</f>
        <v xml:space="preserve"> </v>
      </c>
      <c r="V108" s="453" t="str">
        <f>IF(ISERROR(VLOOKUP(T108,'Base de Datos'!$E$7:$AR$302,5,0))=TRUE," ",(VLOOKUP(T108,'Base de Datos'!$E$7:$AR$302,5,0)))</f>
        <v xml:space="preserve"> </v>
      </c>
      <c r="W108" s="450" t="str">
        <f>IF(ISERROR(VLOOKUP(T108,'Base de Datos'!$E$7:$AR$302,19,0))=TRUE," ",(VLOOKUP(T108,'Base de Datos'!$E$7:$AR$302,19,0)))</f>
        <v xml:space="preserve"> </v>
      </c>
      <c r="X108" s="455" t="str">
        <f>IF(ISERROR(VLOOKUP(T108,'Base de Datos'!$E$7:$AR$302,8,0))=TRUE," ",(VLOOKUP(T108,'Base de Datos'!$E$7:$AR$302,8,0)))</f>
        <v xml:space="preserve"> </v>
      </c>
      <c r="Y108" s="455" t="str">
        <f>IF(ISERROR(VLOOKUP(T108,'Base de Datos'!$E$7:$AR$302,9,0))=TRUE," ",(VLOOKUP(T108,'Base de Datos'!$E$7:$AR$302,9,0)))</f>
        <v xml:space="preserve"> </v>
      </c>
      <c r="Z108" s="449" t="str">
        <f>IF(ISERROR(VLOOKUP(T108,'Base de Datos'!$E$7:$AR$302,10,0))=TRUE," ",(VLOOKUP(T108,'Base de Datos'!$E$7:$AR$302,10,0)))</f>
        <v xml:space="preserve"> </v>
      </c>
      <c r="AA108" s="452" t="str">
        <f>IF(ISERROR(VLOOKUP(T108,'Base de Datos'!$E$7:$AR$302,11,0))=TRUE," ",(VLOOKUP(T108,'Base de Datos'!$E$7:$AR$302,11,0)))</f>
        <v xml:space="preserve"> </v>
      </c>
      <c r="AB108" s="449" t="str">
        <f>IF(ISERROR(VLOOKUP(T108,'Base de Datos'!$E$7:$AR$302,12,0))=TRUE," ",(VLOOKUP(T108,'Base de Datos'!$E$7:$AR$302,12,0)))</f>
        <v xml:space="preserve"> </v>
      </c>
      <c r="AC108" s="449" t="str">
        <f>IF(ISERROR(VLOOKUP(T108,'Base de Datos'!$E$7:$AR$302,12,0))=TRUE," ",(VLOOKUP(T108,'Base de Datos'!$E$7:$AR$302,12,0)))</f>
        <v xml:space="preserve"> </v>
      </c>
      <c r="AD108" s="455" t="str">
        <f>IF(ISERROR(VLOOKUP(T108,'Base de Datos'!$E$7:$AR$302,15,0))=TRUE," ",(VLOOKUP(T108,'Base de Datos'!$E$7:$AR$302,15,0)))</f>
        <v xml:space="preserve"> </v>
      </c>
      <c r="AE108" s="460" t="str">
        <f>IF(ISERROR(VLOOKUP(T108,'Base de Datos'!$E$7:$AR$302,16,0))=TRUE," ",(VLOOKUP(T108,'Base de Datos'!$E$7:$AR$302,16,0)))</f>
        <v xml:space="preserve"> </v>
      </c>
      <c r="AF108" s="460" t="str">
        <f>IF(ISERROR(VLOOKUP(T108,'Base de Datos'!$E$7:$AR$302,17,0))=TRUE," ",(VLOOKUP(T108,'Base de Datos'!$E$7:$AR$302,17,0)))</f>
        <v xml:space="preserve"> </v>
      </c>
      <c r="AG108" s="460" t="str">
        <f>IF(ISERROR(VLOOKUP(T108,'Base de Datos'!$E$7:$AR$302,18,0))=TRUE," ",(VLOOKUP(T108,'Base de Datos'!$E$7:$AR$302,18,0)))</f>
        <v xml:space="preserve"> </v>
      </c>
      <c r="AH108" s="461" t="str">
        <f>IF(ISERROR(VLOOKUP(T108,'Base de Datos'!$E$7:$AR$302,20,0))=TRUE," ",(VLOOKUP(T108,'Base de Datos'!$E$7:$AR$302,20,0)))</f>
        <v xml:space="preserve"> </v>
      </c>
      <c r="AI108" s="461" t="str">
        <f>IF(ISERROR(VLOOKUP(T108,'Base de Datos'!$E$7:$AR$302,21,0))=TRUE," ",(VLOOKUP(T108,'Base de Datos'!$E$7:$AR$302,21,0)))</f>
        <v xml:space="preserve"> </v>
      </c>
      <c r="AJ108" s="450"/>
      <c r="AK108" s="450" t="str">
        <f>IF(ISERROR(VLOOKUP(D108,'Base de Datos'!$C$7:$AR$400,2,0))=TRUE," ",(VLOOKUP(D108,'Base de Datos'!$C$7:$AR$400,2,0)))</f>
        <v xml:space="preserve"> </v>
      </c>
      <c r="AL108" s="450" t="str">
        <f>IF(ISERROR(VLOOKUP(D108,'Base de Datos'!$C$7:$AR$400,3,0))=TRUE," ",(VLOOKUP(D108,'Base de Datos'!$C$7:$AR$400,3,0)))</f>
        <v xml:space="preserve"> </v>
      </c>
      <c r="AM108" s="453" t="e">
        <f>IF(ISERROR(VLOOKUP(D108,'Base de Datos'!$C$7:$AR$3761,6,0))=TRUE," ",(VLOOKUP(D108,'Base de Datos'!$C$7:$AR$400,6,0)))</f>
        <v>#N/A</v>
      </c>
      <c r="AN108" s="453" t="str">
        <f>IF(ISERROR(VLOOKUP(D108,'Base de Datos'!$C$7:$AR$400,20,0))=TRUE," ",(VLOOKUP(D108,'Base de Datos'!$C$7:$AR$400,19,0)))</f>
        <v xml:space="preserve"> </v>
      </c>
      <c r="AO108" s="456" t="str">
        <f>IF(ISERROR(VLOOKUP(D108,'Base de Datos'!$C$7:$AR$400,9,0))=TRUE," ",(VLOOKUP(D108,'Base de Datos'!$C$7:$AR$400,9,0)))</f>
        <v xml:space="preserve"> </v>
      </c>
      <c r="AP108" s="456" t="str">
        <f>IF(ISERROR(VLOOKUP(D108,'Base de Datos'!$C$7:$AR$400,10,0))=TRUE," ",(VLOOKUP(D108,'Base de Datos'!$C$7:$AR$400,10,0)))</f>
        <v xml:space="preserve"> </v>
      </c>
      <c r="AQ108" s="458" t="str">
        <f>IF(ISERROR(VLOOKUP(D108,'Base de Datos'!$C$7:$AR$400,11,0))=TRUE," ",(VLOOKUP(D108,'Base de Datos'!$C$7:$AR$400,11,0)))</f>
        <v xml:space="preserve"> </v>
      </c>
      <c r="AR108" s="459" t="str">
        <f>IF(ISERROR(VLOOKUP(D108,'Base de Datos'!$C$7:$AR$400,12,0))=TRUE," ",(VLOOKUP(D108,'Base de Datos'!$C$7:$AR$400,12,0)))</f>
        <v xml:space="preserve"> </v>
      </c>
      <c r="AS108" s="458" t="str">
        <f>IF(ISERROR(VLOOKUP(D108,'Base de Datos'!$C$7:$AR$400,13,0))=TRUE," ",(VLOOKUP(D108,'Base de Datos'!$C$7:$AR$400,13,0)))</f>
        <v xml:space="preserve"> </v>
      </c>
      <c r="AT108" s="458" t="str">
        <f>IF(ISERROR(VLOOKUP(D108,'Base de Datos'!$C$7:$AR$400,14,0))=TRUE," ",(VLOOKUP(D108,'Base de Datos'!$C$7:$AR$400,14,0)))</f>
        <v xml:space="preserve"> </v>
      </c>
      <c r="AU108" s="456" t="str">
        <f>IF(ISERROR(VLOOKUP(D108,'Base de Datos'!$C$7:$AR$400,16,0))=TRUE," ",(VLOOKUP(D108,'Base de Datos'!$C$7:$AR$400,16,0)))</f>
        <v xml:space="preserve"> </v>
      </c>
      <c r="AV108" s="460" t="str">
        <f>IF(ISERROR(VLOOKUP(D108,'Base de Datos'!$C$7:$AR$400,17,0))=TRUE," ",(VLOOKUP(D108,'Base de Datos'!$C$7:$AR$400,17,0)))</f>
        <v xml:space="preserve"> </v>
      </c>
      <c r="AW108" s="460" t="str">
        <f>IF(ISERROR(VLOOKUP(D108,'Base de Datos'!$C$7:$AR$400,18,0))=TRUE," ",(VLOOKUP(D108,'Base de Datos'!$C$7:$AR$400,18,0)))</f>
        <v xml:space="preserve"> </v>
      </c>
      <c r="AX108" s="460" t="str">
        <f>IF(ISERROR(VLOOKUP(D108,'Base de Datos'!$C$7:$AR$400,19,0))=TRUE," ",(VLOOKUP(D108,'Base de Datos'!$C$7:$AR$400,19,0)))</f>
        <v xml:space="preserve"> </v>
      </c>
      <c r="AY108" s="463" t="str">
        <f>IF(ISERROR(VLOOKUP(D108,'Base de Datos'!$C$7:$AR$400,21,0))=TRUE," ",(VLOOKUP(D108,'Base de Datos'!$C$7:$AR$400,21,0)))</f>
        <v xml:space="preserve"> </v>
      </c>
      <c r="AZ108" s="463" t="str">
        <f>IF(ISERROR(VLOOKUP(D108,'Base de Datos'!$C$7:$AR$400,22,0))=TRUE," ",(VLOOKUP(D108,'Base de Datos'!$C$7:$AR$400,22,0)))</f>
        <v xml:space="preserve"> </v>
      </c>
      <c r="BA108" s="470"/>
      <c r="BB108" s="480"/>
    </row>
    <row r="109" spans="2:54" ht="55.5" hidden="1" customHeight="1" x14ac:dyDescent="0.25">
      <c r="B109" s="433">
        <v>102</v>
      </c>
      <c r="C109" s="441" t="s">
        <v>1675</v>
      </c>
      <c r="D109" s="433">
        <v>213</v>
      </c>
      <c r="E109" s="441" t="s">
        <v>1679</v>
      </c>
      <c r="F109" s="442">
        <f>VLOOKUP(D109,'Presupuesto - PAA 2015'!$B$10:$E$265,4,0)</f>
        <v>450477000</v>
      </c>
      <c r="G109" s="434" t="str">
        <f>VLOOKUP(D109,'[4]Seguimiento Plan'!$C$2:$R$101,16,0)</f>
        <v>Adquisición, entrega y montaje de mobiliario y equipo de oficina para la sede del Concejo de Bogotá</v>
      </c>
      <c r="H109" s="434" t="s">
        <v>1776</v>
      </c>
      <c r="I109" s="434" t="s">
        <v>1712</v>
      </c>
      <c r="J109" s="443" t="s">
        <v>1734</v>
      </c>
      <c r="K109" s="444" t="s">
        <v>390</v>
      </c>
      <c r="L109" s="444" t="s">
        <v>390</v>
      </c>
      <c r="M109" s="445">
        <v>42062</v>
      </c>
      <c r="N109" s="444" t="s">
        <v>1819</v>
      </c>
      <c r="O109" s="446"/>
      <c r="P109" s="446"/>
      <c r="Q109" s="446"/>
      <c r="R109" s="447"/>
      <c r="S109" s="465" t="s">
        <v>2200</v>
      </c>
      <c r="T109" s="139" t="s">
        <v>260</v>
      </c>
      <c r="U109" s="450" t="str">
        <f>IF(ISERROR(VLOOKUP(T109,'Base de Datos'!$E$7:$AR$302,3,0))=TRUE," ",(VLOOKUP(T109,'Base de Datos'!$E$7:$AR$302,2,0)))</f>
        <v>K 10 DESIGN   S.A.S</v>
      </c>
      <c r="V109" s="453">
        <f>IF(ISERROR(VLOOKUP(T109,'Base de Datos'!$E$7:$AR$302,5,0))=TRUE," ",(VLOOKUP(T109,'Base de Datos'!$E$7:$AR$302,5,0)))</f>
        <v>248000000</v>
      </c>
      <c r="W109" s="450">
        <f>IF(ISERROR(VLOOKUP(T109,'Base de Datos'!$E$7:$AR$302,19,0))=TRUE," ",(VLOOKUP(T109,'Base de Datos'!$E$7:$AR$302,19,0)))</f>
        <v>100423</v>
      </c>
      <c r="X109" s="455" t="str">
        <f>IF(ISERROR(VLOOKUP(T109,'Base de Datos'!$E$7:$AR$302,8,0))=TRUE," ",(VLOOKUP(T109,'Base de Datos'!$E$7:$AR$302,8,0)))</f>
        <v xml:space="preserve"> </v>
      </c>
      <c r="Y109" s="455">
        <f>IF(ISERROR(VLOOKUP(T109,'Base de Datos'!$E$7:$AR$302,9,0))=TRUE," ",(VLOOKUP(T109,'Base de Datos'!$E$7:$AR$302,9,0)))</f>
        <v>41708</v>
      </c>
      <c r="Z109" s="449">
        <f>IF(ISERROR(VLOOKUP(T109,'Base de Datos'!$E$7:$AR$302,10,0))=TRUE," ",(VLOOKUP(T109,'Base de Datos'!$E$7:$AR$302,10,0)))</f>
        <v>41738</v>
      </c>
      <c r="AA109" s="452">
        <f>IF(ISERROR(VLOOKUP(T109,'Base de Datos'!$E$7:$AR$302,11,0))=TRUE," ",(VLOOKUP(T109,'Base de Datos'!$E$7:$AR$302,11,0)))</f>
        <v>1</v>
      </c>
      <c r="AB109" s="449">
        <f>IF(ISERROR(VLOOKUP(T109,'Base de Datos'!$E$7:$AR$302,12,0))=TRUE," ",(VLOOKUP(T109,'Base de Datos'!$E$7:$AR$302,12,0)))</f>
        <v>77128875</v>
      </c>
      <c r="AC109" s="449">
        <f>IF(ISERROR(VLOOKUP(T109,'Base de Datos'!$E$7:$AR$302,12,0))=TRUE," ",(VLOOKUP(T109,'Base de Datos'!$E$7:$AR$302,12,0)))</f>
        <v>77128875</v>
      </c>
      <c r="AD109" s="455" t="str">
        <f>IF(ISERROR(VLOOKUP(T109,'Base de Datos'!$E$7:$AR$302,15,0))=TRUE," ",(VLOOKUP(T109,'Base de Datos'!$E$7:$AR$302,15,0)))</f>
        <v/>
      </c>
      <c r="AE109" s="460">
        <f>IF(ISERROR(VLOOKUP(T109,'Base de Datos'!$E$7:$AR$302,16,0))=TRUE," ",(VLOOKUP(T109,'Base de Datos'!$E$7:$AR$302,16,0)))</f>
        <v>41738</v>
      </c>
      <c r="AF109" s="460">
        <f>IF(ISERROR(VLOOKUP(T109,'Base de Datos'!$E$7:$AR$302,17,0))=TRUE," ",(VLOOKUP(T109,'Base de Datos'!$E$7:$AR$302,17,0)))</f>
        <v>325128875</v>
      </c>
      <c r="AG109" s="460">
        <f>IF(ISERROR(VLOOKUP(T109,'Base de Datos'!$E$7:$AR$302,18,0))=TRUE," ",(VLOOKUP(T109,'Base de Datos'!$E$7:$AR$302,18,0)))</f>
        <v>325028452</v>
      </c>
      <c r="AH109" s="461">
        <f>IF(ISERROR(VLOOKUP(T109,'Base de Datos'!$E$7:$AR$302,20,0))=TRUE," ",(VLOOKUP(T109,'Base de Datos'!$E$7:$AR$302,20,0)))</f>
        <v>0</v>
      </c>
      <c r="AI109" s="461">
        <f>IF(ISERROR(VLOOKUP(T109,'Base de Datos'!$E$7:$AR$302,21,0))=TRUE," ",(VLOOKUP(T109,'Base de Datos'!$E$7:$AR$302,21,0)))</f>
        <v>0.99969112863322274</v>
      </c>
      <c r="AJ109" s="450"/>
      <c r="AK109" s="450" t="str">
        <f>IF(ISERROR(VLOOKUP(D109,'Base de Datos'!$C$7:$AR$400,2,0))=TRUE," ",(VLOOKUP(D109,'Base de Datos'!$C$7:$AR$400,2,0)))</f>
        <v xml:space="preserve"> </v>
      </c>
      <c r="AL109" s="450" t="str">
        <f>IF(ISERROR(VLOOKUP(D109,'Base de Datos'!$C$7:$AR$400,3,0))=TRUE," ",(VLOOKUP(D109,'Base de Datos'!$C$7:$AR$400,3,0)))</f>
        <v xml:space="preserve"> </v>
      </c>
      <c r="AM109" s="453" t="e">
        <f>IF(ISERROR(VLOOKUP(D109,'Base de Datos'!$C$7:$AR$3761,6,0))=TRUE," ",(VLOOKUP(D109,'Base de Datos'!$C$7:$AR$400,6,0)))</f>
        <v>#N/A</v>
      </c>
      <c r="AN109" s="453" t="str">
        <f>IF(ISERROR(VLOOKUP(D109,'Base de Datos'!$C$7:$AR$400,20,0))=TRUE," ",(VLOOKUP(D109,'Base de Datos'!$C$7:$AR$400,19,0)))</f>
        <v xml:space="preserve"> </v>
      </c>
      <c r="AO109" s="456" t="str">
        <f>IF(ISERROR(VLOOKUP(D109,'Base de Datos'!$C$7:$AR$400,9,0))=TRUE," ",(VLOOKUP(D109,'Base de Datos'!$C$7:$AR$400,9,0)))</f>
        <v xml:space="preserve"> </v>
      </c>
      <c r="AP109" s="456" t="str">
        <f>IF(ISERROR(VLOOKUP(D109,'Base de Datos'!$C$7:$AR$400,10,0))=TRUE," ",(VLOOKUP(D109,'Base de Datos'!$C$7:$AR$400,10,0)))</f>
        <v xml:space="preserve"> </v>
      </c>
      <c r="AQ109" s="458" t="str">
        <f>IF(ISERROR(VLOOKUP(D109,'Base de Datos'!$C$7:$AR$400,11,0))=TRUE," ",(VLOOKUP(D109,'Base de Datos'!$C$7:$AR$400,11,0)))</f>
        <v xml:space="preserve"> </v>
      </c>
      <c r="AR109" s="459" t="str">
        <f>IF(ISERROR(VLOOKUP(D109,'Base de Datos'!$C$7:$AR$400,12,0))=TRUE," ",(VLOOKUP(D109,'Base de Datos'!$C$7:$AR$400,12,0)))</f>
        <v xml:space="preserve"> </v>
      </c>
      <c r="AS109" s="458" t="str">
        <f>IF(ISERROR(VLOOKUP(D109,'Base de Datos'!$C$7:$AR$400,13,0))=TRUE," ",(VLOOKUP(D109,'Base de Datos'!$C$7:$AR$400,13,0)))</f>
        <v xml:space="preserve"> </v>
      </c>
      <c r="AT109" s="458" t="str">
        <f>IF(ISERROR(VLOOKUP(D109,'Base de Datos'!$C$7:$AR$400,14,0))=TRUE," ",(VLOOKUP(D109,'Base de Datos'!$C$7:$AR$400,14,0)))</f>
        <v xml:space="preserve"> </v>
      </c>
      <c r="AU109" s="456" t="str">
        <f>IF(ISERROR(VLOOKUP(D109,'Base de Datos'!$C$7:$AR$400,16,0))=TRUE," ",(VLOOKUP(D109,'Base de Datos'!$C$7:$AR$400,16,0)))</f>
        <v xml:space="preserve"> </v>
      </c>
      <c r="AV109" s="460" t="str">
        <f>IF(ISERROR(VLOOKUP(D109,'Base de Datos'!$C$7:$AR$400,17,0))=TRUE," ",(VLOOKUP(D109,'Base de Datos'!$C$7:$AR$400,17,0)))</f>
        <v xml:space="preserve"> </v>
      </c>
      <c r="AW109" s="460" t="str">
        <f>IF(ISERROR(VLOOKUP(D109,'Base de Datos'!$C$7:$AR$400,18,0))=TRUE," ",(VLOOKUP(D109,'Base de Datos'!$C$7:$AR$400,18,0)))</f>
        <v xml:space="preserve"> </v>
      </c>
      <c r="AX109" s="460" t="str">
        <f>IF(ISERROR(VLOOKUP(D109,'Base de Datos'!$C$7:$AR$400,19,0))=TRUE," ",(VLOOKUP(D109,'Base de Datos'!$C$7:$AR$400,19,0)))</f>
        <v xml:space="preserve"> </v>
      </c>
      <c r="AY109" s="463" t="str">
        <f>IF(ISERROR(VLOOKUP(D109,'Base de Datos'!$C$7:$AR$400,21,0))=TRUE," ",(VLOOKUP(D109,'Base de Datos'!$C$7:$AR$400,21,0)))</f>
        <v xml:space="preserve"> </v>
      </c>
      <c r="AZ109" s="463" t="str">
        <f>IF(ISERROR(VLOOKUP(D109,'Base de Datos'!$C$7:$AR$400,22,0))=TRUE," ",(VLOOKUP(D109,'Base de Datos'!$C$7:$AR$400,22,0)))</f>
        <v xml:space="preserve"> </v>
      </c>
      <c r="BA109" s="470"/>
      <c r="BB109" s="480"/>
    </row>
    <row r="110" spans="2:54" ht="55.5" hidden="1" customHeight="1" x14ac:dyDescent="0.25">
      <c r="B110" s="433">
        <v>103</v>
      </c>
      <c r="C110" s="441" t="s">
        <v>1675</v>
      </c>
      <c r="D110" s="433">
        <v>214</v>
      </c>
      <c r="E110" s="441" t="s">
        <v>1679</v>
      </c>
      <c r="F110" s="442" t="e">
        <f>VLOOKUP(D110,'Presupuesto - PAA 2015'!$B$10:$E$265,4,0)</f>
        <v>#N/A</v>
      </c>
      <c r="G110" s="434" t="str">
        <f>VLOOKUP(D110,'[4]Seguimiento Plan'!$C$2:$R$101,16,0)</f>
        <v>Desarrollar actividades para fortalecer los Sistemas de Gestión Institucional del Concejo de Bogotá- Subsistema Responsabilidad Social.</v>
      </c>
      <c r="H110" s="434" t="s">
        <v>1776</v>
      </c>
      <c r="I110" s="434" t="s">
        <v>1710</v>
      </c>
      <c r="J110" s="443" t="s">
        <v>909</v>
      </c>
      <c r="K110" s="444"/>
      <c r="L110" s="444" t="s">
        <v>390</v>
      </c>
      <c r="M110" s="445"/>
      <c r="N110" s="444"/>
      <c r="O110" s="446"/>
      <c r="P110" s="446"/>
      <c r="Q110" s="446"/>
      <c r="R110" s="447"/>
      <c r="S110" s="447"/>
      <c r="T110" s="448"/>
      <c r="U110" s="450" t="str">
        <f>IF(ISERROR(VLOOKUP(T110,'Base de Datos'!$E$7:$AR$302,3,0))=TRUE," ",(VLOOKUP(T110,'Base de Datos'!$E$7:$AR$302,2,0)))</f>
        <v xml:space="preserve"> </v>
      </c>
      <c r="V110" s="453" t="str">
        <f>IF(ISERROR(VLOOKUP(T110,'Base de Datos'!$E$7:$AR$302,5,0))=TRUE," ",(VLOOKUP(T110,'Base de Datos'!$E$7:$AR$302,5,0)))</f>
        <v xml:space="preserve"> </v>
      </c>
      <c r="W110" s="450" t="str">
        <f>IF(ISERROR(VLOOKUP(T110,'Base de Datos'!$E$7:$AR$302,19,0))=TRUE," ",(VLOOKUP(T110,'Base de Datos'!$E$7:$AR$302,19,0)))</f>
        <v xml:space="preserve"> </v>
      </c>
      <c r="X110" s="455" t="str">
        <f>IF(ISERROR(VLOOKUP(T110,'Base de Datos'!$E$7:$AR$302,8,0))=TRUE," ",(VLOOKUP(T110,'Base de Datos'!$E$7:$AR$302,8,0)))</f>
        <v xml:space="preserve"> </v>
      </c>
      <c r="Y110" s="455" t="str">
        <f>IF(ISERROR(VLOOKUP(T110,'Base de Datos'!$E$7:$AR$302,9,0))=TRUE," ",(VLOOKUP(T110,'Base de Datos'!$E$7:$AR$302,9,0)))</f>
        <v xml:space="preserve"> </v>
      </c>
      <c r="Z110" s="449" t="str">
        <f>IF(ISERROR(VLOOKUP(T110,'Base de Datos'!$E$7:$AR$302,10,0))=TRUE," ",(VLOOKUP(T110,'Base de Datos'!$E$7:$AR$302,10,0)))</f>
        <v xml:space="preserve"> </v>
      </c>
      <c r="AA110" s="452" t="str">
        <f>IF(ISERROR(VLOOKUP(T110,'Base de Datos'!$E$7:$AR$302,11,0))=TRUE," ",(VLOOKUP(T110,'Base de Datos'!$E$7:$AR$302,11,0)))</f>
        <v xml:space="preserve"> </v>
      </c>
      <c r="AB110" s="449" t="str">
        <f>IF(ISERROR(VLOOKUP(T110,'Base de Datos'!$E$7:$AR$302,12,0))=TRUE," ",(VLOOKUP(T110,'Base de Datos'!$E$7:$AR$302,12,0)))</f>
        <v xml:space="preserve"> </v>
      </c>
      <c r="AC110" s="449" t="str">
        <f>IF(ISERROR(VLOOKUP(T110,'Base de Datos'!$E$7:$AR$302,12,0))=TRUE," ",(VLOOKUP(T110,'Base de Datos'!$E$7:$AR$302,12,0)))</f>
        <v xml:space="preserve"> </v>
      </c>
      <c r="AD110" s="455" t="str">
        <f>IF(ISERROR(VLOOKUP(T110,'Base de Datos'!$E$7:$AR$302,15,0))=TRUE," ",(VLOOKUP(T110,'Base de Datos'!$E$7:$AR$302,15,0)))</f>
        <v xml:space="preserve"> </v>
      </c>
      <c r="AE110" s="460" t="str">
        <f>IF(ISERROR(VLOOKUP(T110,'Base de Datos'!$E$7:$AR$302,16,0))=TRUE," ",(VLOOKUP(T110,'Base de Datos'!$E$7:$AR$302,16,0)))</f>
        <v xml:space="preserve"> </v>
      </c>
      <c r="AF110" s="460" t="str">
        <f>IF(ISERROR(VLOOKUP(T110,'Base de Datos'!$E$7:$AR$302,17,0))=TRUE," ",(VLOOKUP(T110,'Base de Datos'!$E$7:$AR$302,17,0)))</f>
        <v xml:space="preserve"> </v>
      </c>
      <c r="AG110" s="460" t="str">
        <f>IF(ISERROR(VLOOKUP(T110,'Base de Datos'!$E$7:$AR$302,18,0))=TRUE," ",(VLOOKUP(T110,'Base de Datos'!$E$7:$AR$302,18,0)))</f>
        <v xml:space="preserve"> </v>
      </c>
      <c r="AH110" s="461" t="str">
        <f>IF(ISERROR(VLOOKUP(T110,'Base de Datos'!$E$7:$AR$302,20,0))=TRUE," ",(VLOOKUP(T110,'Base de Datos'!$E$7:$AR$302,20,0)))</f>
        <v xml:space="preserve"> </v>
      </c>
      <c r="AI110" s="461" t="str">
        <f>IF(ISERROR(VLOOKUP(T110,'Base de Datos'!$E$7:$AR$302,21,0))=TRUE," ",(VLOOKUP(T110,'Base de Datos'!$E$7:$AR$302,21,0)))</f>
        <v xml:space="preserve"> </v>
      </c>
      <c r="AJ110" s="450"/>
      <c r="AK110" s="450" t="str">
        <f>IF(ISERROR(VLOOKUP(D110,'Base de Datos'!$C$7:$AR$400,2,0))=TRUE," ",(VLOOKUP(D110,'Base de Datos'!$C$7:$AR$400,2,0)))</f>
        <v xml:space="preserve"> </v>
      </c>
      <c r="AL110" s="450" t="str">
        <f>IF(ISERROR(VLOOKUP(D110,'Base de Datos'!$C$7:$AR$400,3,0))=TRUE," ",(VLOOKUP(D110,'Base de Datos'!$C$7:$AR$400,3,0)))</f>
        <v xml:space="preserve"> </v>
      </c>
      <c r="AM110" s="453" t="e">
        <f>IF(ISERROR(VLOOKUP(D110,'Base de Datos'!$C$7:$AR$3761,6,0))=TRUE," ",(VLOOKUP(D110,'Base de Datos'!$C$7:$AR$400,6,0)))</f>
        <v>#N/A</v>
      </c>
      <c r="AN110" s="453" t="str">
        <f>IF(ISERROR(VLOOKUP(D110,'Base de Datos'!$C$7:$AR$400,20,0))=TRUE," ",(VLOOKUP(D110,'Base de Datos'!$C$7:$AR$400,19,0)))</f>
        <v xml:space="preserve"> </v>
      </c>
      <c r="AO110" s="456" t="str">
        <f>IF(ISERROR(VLOOKUP(D110,'Base de Datos'!$C$7:$AR$400,9,0))=TRUE," ",(VLOOKUP(D110,'Base de Datos'!$C$7:$AR$400,9,0)))</f>
        <v xml:space="preserve"> </v>
      </c>
      <c r="AP110" s="456" t="str">
        <f>IF(ISERROR(VLOOKUP(D110,'Base de Datos'!$C$7:$AR$400,10,0))=TRUE," ",(VLOOKUP(D110,'Base de Datos'!$C$7:$AR$400,10,0)))</f>
        <v xml:space="preserve"> </v>
      </c>
      <c r="AQ110" s="458" t="str">
        <f>IF(ISERROR(VLOOKUP(D110,'Base de Datos'!$C$7:$AR$400,11,0))=TRUE," ",(VLOOKUP(D110,'Base de Datos'!$C$7:$AR$400,11,0)))</f>
        <v xml:space="preserve"> </v>
      </c>
      <c r="AR110" s="459" t="str">
        <f>IF(ISERROR(VLOOKUP(D110,'Base de Datos'!$C$7:$AR$400,12,0))=TRUE," ",(VLOOKUP(D110,'Base de Datos'!$C$7:$AR$400,12,0)))</f>
        <v xml:space="preserve"> </v>
      </c>
      <c r="AS110" s="458" t="str">
        <f>IF(ISERROR(VLOOKUP(D110,'Base de Datos'!$C$7:$AR$400,13,0))=TRUE," ",(VLOOKUP(D110,'Base de Datos'!$C$7:$AR$400,13,0)))</f>
        <v xml:space="preserve"> </v>
      </c>
      <c r="AT110" s="458" t="str">
        <f>IF(ISERROR(VLOOKUP(D110,'Base de Datos'!$C$7:$AR$400,14,0))=TRUE," ",(VLOOKUP(D110,'Base de Datos'!$C$7:$AR$400,14,0)))</f>
        <v xml:space="preserve"> </v>
      </c>
      <c r="AU110" s="456" t="str">
        <f>IF(ISERROR(VLOOKUP(D110,'Base de Datos'!$C$7:$AR$400,16,0))=TRUE," ",(VLOOKUP(D110,'Base de Datos'!$C$7:$AR$400,16,0)))</f>
        <v xml:space="preserve"> </v>
      </c>
      <c r="AV110" s="460" t="str">
        <f>IF(ISERROR(VLOOKUP(D110,'Base de Datos'!$C$7:$AR$400,17,0))=TRUE," ",(VLOOKUP(D110,'Base de Datos'!$C$7:$AR$400,17,0)))</f>
        <v xml:space="preserve"> </v>
      </c>
      <c r="AW110" s="460" t="str">
        <f>IF(ISERROR(VLOOKUP(D110,'Base de Datos'!$C$7:$AR$400,18,0))=TRUE," ",(VLOOKUP(D110,'Base de Datos'!$C$7:$AR$400,18,0)))</f>
        <v xml:space="preserve"> </v>
      </c>
      <c r="AX110" s="460" t="str">
        <f>IF(ISERROR(VLOOKUP(D110,'Base de Datos'!$C$7:$AR$400,19,0))=TRUE," ",(VLOOKUP(D110,'Base de Datos'!$C$7:$AR$400,19,0)))</f>
        <v xml:space="preserve"> </v>
      </c>
      <c r="AY110" s="463" t="str">
        <f>IF(ISERROR(VLOOKUP(D110,'Base de Datos'!$C$7:$AR$400,21,0))=TRUE," ",(VLOOKUP(D110,'Base de Datos'!$C$7:$AR$400,21,0)))</f>
        <v xml:space="preserve"> </v>
      </c>
      <c r="AZ110" s="463" t="str">
        <f>IF(ISERROR(VLOOKUP(D110,'Base de Datos'!$C$7:$AR$400,22,0))=TRUE," ",(VLOOKUP(D110,'Base de Datos'!$C$7:$AR$400,22,0)))</f>
        <v xml:space="preserve"> </v>
      </c>
      <c r="BA110" s="470"/>
      <c r="BB110" s="480"/>
    </row>
    <row r="111" spans="2:54" ht="55.5" hidden="1" customHeight="1" x14ac:dyDescent="0.25">
      <c r="B111" s="433">
        <v>104</v>
      </c>
      <c r="C111" s="441" t="s">
        <v>1675</v>
      </c>
      <c r="D111" s="433">
        <v>263</v>
      </c>
      <c r="E111" s="441" t="s">
        <v>1679</v>
      </c>
      <c r="F111" s="442">
        <f>VLOOKUP(D111,'Presupuesto - PAA 2015'!$B$10:$E$265,4,0)</f>
        <v>87669877</v>
      </c>
      <c r="G111" s="434" t="str">
        <f>VLOOKUP(D111,'[4]Seguimiento Plan'!$C$2:$R$101,16,0)</f>
        <v>Adicion y Prorroga al contrato 140249-0-2014 suscrito con Inversiones Matay cuyo objeto es: Contratar a título de arrendamiento un inmueble para uso de parqueadero, por parte del Concejo de Bogotá D.C.</v>
      </c>
      <c r="H111" s="434" t="s">
        <v>1776</v>
      </c>
      <c r="I111" s="434" t="s">
        <v>1720</v>
      </c>
      <c r="J111" s="443" t="s">
        <v>908</v>
      </c>
      <c r="K111" s="444" t="s">
        <v>390</v>
      </c>
      <c r="L111" s="444" t="str">
        <f>VLOOKUP(D111,'[4]Seguimiento Plan'!$C$2:$AJ$101,30,0)</f>
        <v>SI</v>
      </c>
      <c r="M111" s="445" t="s">
        <v>1242</v>
      </c>
      <c r="N111" s="444"/>
      <c r="O111" s="446"/>
      <c r="P111" s="446"/>
      <c r="Q111" s="446"/>
      <c r="R111" s="447"/>
      <c r="S111" s="447"/>
      <c r="T111" s="343" t="s">
        <v>307</v>
      </c>
      <c r="U111" s="450" t="str">
        <f>IF(ISERROR(VLOOKUP(T111,'Base de Datos'!$E$7:$AR$302,3,0))=TRUE," ",(VLOOKUP(T111,'Base de Datos'!$E$7:$AR$302,2,0)))</f>
        <v>INVERSIONES MATAY SAS</v>
      </c>
      <c r="V111" s="453">
        <f>IF(ISERROR(VLOOKUP(T111,'Base de Datos'!$E$7:$AR$302,5,0))=TRUE," ",(VLOOKUP(T111,'Base de Datos'!$E$7:$AR$302,5,0)))</f>
        <v>202978686</v>
      </c>
      <c r="W111" s="450">
        <f>IF(ISERROR(VLOOKUP(T111,'Base de Datos'!$E$7:$AR$302,19,0))=TRUE," ",(VLOOKUP(T111,'Base de Datos'!$E$7:$AR$302,19,0)))</f>
        <v>0</v>
      </c>
      <c r="X111" s="455" t="str">
        <f>IF(ISERROR(VLOOKUP(T111,'Base de Datos'!$E$7:$AR$302,8,0))=TRUE," ",(VLOOKUP(T111,'Base de Datos'!$E$7:$AR$302,8,0)))</f>
        <v xml:space="preserve"> </v>
      </c>
      <c r="Y111" s="455">
        <f>IF(ISERROR(VLOOKUP(T111,'Base de Datos'!$E$7:$AR$302,9,0))=TRUE," ",(VLOOKUP(T111,'Base de Datos'!$E$7:$AR$302,9,0)))</f>
        <v>41850</v>
      </c>
      <c r="Z111" s="449">
        <f>IF(ISERROR(VLOOKUP(T111,'Base de Datos'!$E$7:$AR$302,10,0))=TRUE," ",(VLOOKUP(T111,'Base de Datos'!$E$7:$AR$302,10,0)))</f>
        <v>42034</v>
      </c>
      <c r="AA111" s="452">
        <f>IF(ISERROR(VLOOKUP(T111,'Base de Datos'!$E$7:$AR$302,11,0))=TRUE," ",(VLOOKUP(T111,'Base de Datos'!$E$7:$AR$302,11,0)))</f>
        <v>1</v>
      </c>
      <c r="AB111" s="449">
        <f>IF(ISERROR(VLOOKUP(T111,'Base de Datos'!$E$7:$AR$302,12,0))=TRUE," ",(VLOOKUP(T111,'Base de Datos'!$E$7:$AR$302,12,0)))</f>
        <v>87669877</v>
      </c>
      <c r="AC111" s="449">
        <f>IF(ISERROR(VLOOKUP(T111,'Base de Datos'!$E$7:$AR$302,12,0))=TRUE," ",(VLOOKUP(T111,'Base de Datos'!$E$7:$AR$302,12,0)))</f>
        <v>87669877</v>
      </c>
      <c r="AD111" s="455">
        <f>IF(ISERROR(VLOOKUP(T111,'Base de Datos'!$E$7:$AR$302,15,0))=TRUE," ",(VLOOKUP(T111,'Base de Datos'!$E$7:$AR$302,15,0)))</f>
        <v>42108</v>
      </c>
      <c r="AE111" s="460">
        <f>IF(ISERROR(VLOOKUP(T111,'Base de Datos'!$E$7:$AR$302,16,0))=TRUE," ",(VLOOKUP(T111,'Base de Datos'!$E$7:$AR$302,16,0)))</f>
        <v>42108</v>
      </c>
      <c r="AF111" s="460">
        <f>IF(ISERROR(VLOOKUP(T111,'Base de Datos'!$E$7:$AR$302,17,0))=TRUE," ",(VLOOKUP(T111,'Base de Datos'!$E$7:$AR$302,17,0)))</f>
        <v>290648563</v>
      </c>
      <c r="AG111" s="460">
        <f>IF(ISERROR(VLOOKUP(T111,'Base de Datos'!$E$7:$AR$302,18,0))=TRUE," ",(VLOOKUP(T111,'Base de Datos'!$E$7:$AR$302,18,0)))</f>
        <v>290648563</v>
      </c>
      <c r="AH111" s="461" t="str">
        <f>IF(ISERROR(VLOOKUP(T111,'Base de Datos'!$E$7:$AR$302,20,0))=TRUE," ",(VLOOKUP(T111,'Base de Datos'!$E$7:$AR$302,20,0)))</f>
        <v xml:space="preserve">El pago se efectuará por mensualidades anticipadas así: a) El primer pago se cancelará en proporción a los días ejecutados en el mes en que se inicie la ejecución del contrato. b) cinco (5) mensualidades anticipadas de TREINTA Y TRES MILLONES OCHOCIENTOS VEINTINUEVE MIL SETECIENTOS OCHENTA Y UN PESOS MONEDA CORRIENTE $33.829.781, incluido IVA, por concepto de canon de arrendamiento c) En el último pago se cancelará el saldo del presente contrato. </v>
      </c>
      <c r="AI111" s="461">
        <f>IF(ISERROR(VLOOKUP(T111,'Base de Datos'!$E$7:$AR$302,21,0))=TRUE," ",(VLOOKUP(T111,'Base de Datos'!$E$7:$AR$302,21,0)))</f>
        <v>1</v>
      </c>
      <c r="AJ111" s="450"/>
      <c r="AK111" s="450" t="str">
        <f>IF(ISERROR(VLOOKUP(D111,'Base de Datos'!$C$7:$AR$400,2,0))=TRUE," ",(VLOOKUP(D111,'Base de Datos'!$C$7:$AR$400,2,0)))</f>
        <v xml:space="preserve"> </v>
      </c>
      <c r="AL111" s="450" t="str">
        <f>IF(ISERROR(VLOOKUP(D111,'Base de Datos'!$C$7:$AR$400,3,0))=TRUE," ",(VLOOKUP(D111,'Base de Datos'!$C$7:$AR$400,3,0)))</f>
        <v xml:space="preserve"> </v>
      </c>
      <c r="AM111" s="453" t="e">
        <f>IF(ISERROR(VLOOKUP(D111,'Base de Datos'!$C$7:$AR$3761,6,0))=TRUE," ",(VLOOKUP(D111,'Base de Datos'!$C$7:$AR$400,6,0)))</f>
        <v>#N/A</v>
      </c>
      <c r="AN111" s="453" t="str">
        <f>IF(ISERROR(VLOOKUP(D111,'Base de Datos'!$C$7:$AR$400,20,0))=TRUE," ",(VLOOKUP(D111,'Base de Datos'!$C$7:$AR$400,19,0)))</f>
        <v xml:space="preserve"> </v>
      </c>
      <c r="AO111" s="456" t="str">
        <f>IF(ISERROR(VLOOKUP(D111,'Base de Datos'!$C$7:$AR$400,9,0))=TRUE," ",(VLOOKUP(D111,'Base de Datos'!$C$7:$AR$400,9,0)))</f>
        <v xml:space="preserve"> </v>
      </c>
      <c r="AP111" s="456" t="str">
        <f>IF(ISERROR(VLOOKUP(D111,'Base de Datos'!$C$7:$AR$400,10,0))=TRUE," ",(VLOOKUP(D111,'Base de Datos'!$C$7:$AR$400,10,0)))</f>
        <v xml:space="preserve"> </v>
      </c>
      <c r="AQ111" s="458" t="str">
        <f>IF(ISERROR(VLOOKUP(D111,'Base de Datos'!$C$7:$AR$400,11,0))=TRUE," ",(VLOOKUP(D111,'Base de Datos'!$C$7:$AR$400,11,0)))</f>
        <v xml:space="preserve"> </v>
      </c>
      <c r="AR111" s="459" t="str">
        <f>IF(ISERROR(VLOOKUP(D111,'Base de Datos'!$C$7:$AR$400,12,0))=TRUE," ",(VLOOKUP(D111,'Base de Datos'!$C$7:$AR$400,12,0)))</f>
        <v xml:space="preserve"> </v>
      </c>
      <c r="AS111" s="458" t="str">
        <f>IF(ISERROR(VLOOKUP(D111,'Base de Datos'!$C$7:$AR$400,13,0))=TRUE," ",(VLOOKUP(D111,'Base de Datos'!$C$7:$AR$400,13,0)))</f>
        <v xml:space="preserve"> </v>
      </c>
      <c r="AT111" s="458" t="str">
        <f>IF(ISERROR(VLOOKUP(D111,'Base de Datos'!$C$7:$AR$400,14,0))=TRUE," ",(VLOOKUP(D111,'Base de Datos'!$C$7:$AR$400,14,0)))</f>
        <v xml:space="preserve"> </v>
      </c>
      <c r="AU111" s="456" t="str">
        <f>IF(ISERROR(VLOOKUP(D111,'Base de Datos'!$C$7:$AR$400,16,0))=TRUE," ",(VLOOKUP(D111,'Base de Datos'!$C$7:$AR$400,16,0)))</f>
        <v xml:space="preserve"> </v>
      </c>
      <c r="AV111" s="460" t="str">
        <f>IF(ISERROR(VLOOKUP(D111,'Base de Datos'!$C$7:$AR$400,17,0))=TRUE," ",(VLOOKUP(D111,'Base de Datos'!$C$7:$AR$400,17,0)))</f>
        <v xml:space="preserve"> </v>
      </c>
      <c r="AW111" s="460" t="str">
        <f>IF(ISERROR(VLOOKUP(D111,'Base de Datos'!$C$7:$AR$400,18,0))=TRUE," ",(VLOOKUP(D111,'Base de Datos'!$C$7:$AR$400,18,0)))</f>
        <v xml:space="preserve"> </v>
      </c>
      <c r="AX111" s="460" t="str">
        <f>IF(ISERROR(VLOOKUP(D111,'Base de Datos'!$C$7:$AR$400,19,0))=TRUE," ",(VLOOKUP(D111,'Base de Datos'!$C$7:$AR$400,19,0)))</f>
        <v xml:space="preserve"> </v>
      </c>
      <c r="AY111" s="463" t="str">
        <f>IF(ISERROR(VLOOKUP(D111,'Base de Datos'!$C$7:$AR$400,21,0))=TRUE," ",(VLOOKUP(D111,'Base de Datos'!$C$7:$AR$400,21,0)))</f>
        <v xml:space="preserve"> </v>
      </c>
      <c r="AZ111" s="463" t="str">
        <f>IF(ISERROR(VLOOKUP(D111,'Base de Datos'!$C$7:$AR$400,22,0))=TRUE," ",(VLOOKUP(D111,'Base de Datos'!$C$7:$AR$400,22,0)))</f>
        <v xml:space="preserve"> </v>
      </c>
      <c r="BA111" s="470"/>
      <c r="BB111" s="480"/>
    </row>
    <row r="112" spans="2:54" x14ac:dyDescent="0.25">
      <c r="K112" s="108"/>
    </row>
    <row r="113" spans="11:38" x14ac:dyDescent="0.25">
      <c r="K113" s="108"/>
    </row>
    <row r="114" spans="11:38" x14ac:dyDescent="0.25">
      <c r="K114" s="108"/>
    </row>
    <row r="115" spans="11:38" x14ac:dyDescent="0.25">
      <c r="K115" s="108"/>
      <c r="AK115" s="243" t="s">
        <v>2012</v>
      </c>
      <c r="AL115" s="243" t="s">
        <v>1300</v>
      </c>
    </row>
    <row r="116" spans="11:38" x14ac:dyDescent="0.25">
      <c r="K116" s="108"/>
    </row>
    <row r="117" spans="11:38" x14ac:dyDescent="0.25">
      <c r="K117" s="108"/>
    </row>
    <row r="118" spans="11:38" x14ac:dyDescent="0.25">
      <c r="K118" s="108"/>
    </row>
    <row r="119" spans="11:38" x14ac:dyDescent="0.25">
      <c r="K119" s="108"/>
    </row>
    <row r="120" spans="11:38" x14ac:dyDescent="0.25">
      <c r="K120" s="108"/>
    </row>
    <row r="121" spans="11:38" x14ac:dyDescent="0.25">
      <c r="K121" s="108"/>
    </row>
    <row r="122" spans="11:38" x14ac:dyDescent="0.25">
      <c r="K122" s="108"/>
    </row>
    <row r="123" spans="11:38" x14ac:dyDescent="0.25">
      <c r="K123" s="108"/>
    </row>
    <row r="124" spans="11:38" x14ac:dyDescent="0.25">
      <c r="K124" s="108"/>
    </row>
    <row r="125" spans="11:38" x14ac:dyDescent="0.25">
      <c r="K125" s="108"/>
    </row>
    <row r="126" spans="11:38" x14ac:dyDescent="0.25">
      <c r="K126" s="108"/>
    </row>
    <row r="127" spans="11:38" x14ac:dyDescent="0.25">
      <c r="K127" s="108"/>
    </row>
    <row r="128" spans="11:38" x14ac:dyDescent="0.25">
      <c r="K128" s="108"/>
    </row>
    <row r="129" spans="11:11" x14ac:dyDescent="0.25">
      <c r="K129" s="108"/>
    </row>
    <row r="130" spans="11:11" x14ac:dyDescent="0.25">
      <c r="K130" s="108"/>
    </row>
    <row r="131" spans="11:11" x14ac:dyDescent="0.25">
      <c r="K131" s="108"/>
    </row>
    <row r="132" spans="11:11" x14ac:dyDescent="0.25">
      <c r="K132" s="108"/>
    </row>
    <row r="133" spans="11:11" x14ac:dyDescent="0.25">
      <c r="K133" s="108"/>
    </row>
    <row r="134" spans="11:11" x14ac:dyDescent="0.25">
      <c r="K134" s="108"/>
    </row>
    <row r="135" spans="11:11" x14ac:dyDescent="0.25">
      <c r="K135" s="108"/>
    </row>
    <row r="136" spans="11:11" x14ac:dyDescent="0.25">
      <c r="K136" s="108"/>
    </row>
    <row r="137" spans="11:11" x14ac:dyDescent="0.25">
      <c r="K137" s="108"/>
    </row>
    <row r="138" spans="11:11" x14ac:dyDescent="0.25">
      <c r="K138" s="108"/>
    </row>
    <row r="139" spans="11:11" x14ac:dyDescent="0.25">
      <c r="K139" s="108"/>
    </row>
    <row r="140" spans="11:11" x14ac:dyDescent="0.25">
      <c r="K140" s="108"/>
    </row>
    <row r="141" spans="11:11" x14ac:dyDescent="0.25">
      <c r="K141" s="108"/>
    </row>
    <row r="142" spans="11:11" x14ac:dyDescent="0.25">
      <c r="K142" s="108"/>
    </row>
    <row r="143" spans="11:11" x14ac:dyDescent="0.25">
      <c r="K143" s="108"/>
    </row>
    <row r="144" spans="11:11" x14ac:dyDescent="0.25">
      <c r="K144" s="108"/>
    </row>
    <row r="145" spans="11:11" x14ac:dyDescent="0.25">
      <c r="K145" s="108"/>
    </row>
    <row r="146" spans="11:11" x14ac:dyDescent="0.25">
      <c r="K146" s="108"/>
    </row>
    <row r="147" spans="11:11" x14ac:dyDescent="0.25">
      <c r="K147" s="108"/>
    </row>
    <row r="148" spans="11:11" x14ac:dyDescent="0.25">
      <c r="K148" s="108"/>
    </row>
    <row r="149" spans="11:11" x14ac:dyDescent="0.25">
      <c r="K149" s="108"/>
    </row>
    <row r="150" spans="11:11" x14ac:dyDescent="0.25">
      <c r="K150" s="108"/>
    </row>
    <row r="151" spans="11:11" x14ac:dyDescent="0.25">
      <c r="K151" s="108"/>
    </row>
    <row r="152" spans="11:11" x14ac:dyDescent="0.25">
      <c r="K152" s="108"/>
    </row>
    <row r="153" spans="11:11" x14ac:dyDescent="0.25">
      <c r="K153" s="108"/>
    </row>
    <row r="154" spans="11:11" x14ac:dyDescent="0.25">
      <c r="K154" s="108"/>
    </row>
    <row r="155" spans="11:11" x14ac:dyDescent="0.25">
      <c r="K155" s="108"/>
    </row>
    <row r="156" spans="11:11" x14ac:dyDescent="0.25">
      <c r="K156" s="108"/>
    </row>
    <row r="157" spans="11:11" x14ac:dyDescent="0.25">
      <c r="K157" s="108"/>
    </row>
    <row r="158" spans="11:11" x14ac:dyDescent="0.25">
      <c r="K158" s="108"/>
    </row>
    <row r="159" spans="11:11" x14ac:dyDescent="0.25">
      <c r="K159" s="108"/>
    </row>
    <row r="160" spans="11:11" x14ac:dyDescent="0.25">
      <c r="K160" s="108"/>
    </row>
    <row r="161" spans="11:11" x14ac:dyDescent="0.25">
      <c r="K161" s="108"/>
    </row>
    <row r="162" spans="11:11" x14ac:dyDescent="0.25">
      <c r="K162" s="108"/>
    </row>
    <row r="163" spans="11:11" x14ac:dyDescent="0.25">
      <c r="K163" s="108"/>
    </row>
    <row r="164" spans="11:11" x14ac:dyDescent="0.25">
      <c r="K164" s="108"/>
    </row>
    <row r="165" spans="11:11" x14ac:dyDescent="0.25">
      <c r="K165" s="108"/>
    </row>
    <row r="166" spans="11:11" x14ac:dyDescent="0.25">
      <c r="K166" s="108"/>
    </row>
    <row r="167" spans="11:11" x14ac:dyDescent="0.25">
      <c r="K167" s="108"/>
    </row>
    <row r="168" spans="11:11" x14ac:dyDescent="0.25">
      <c r="K168" s="108"/>
    </row>
    <row r="169" spans="11:11" x14ac:dyDescent="0.25">
      <c r="K169" s="108"/>
    </row>
    <row r="170" spans="11:11" x14ac:dyDescent="0.25">
      <c r="K170" s="108"/>
    </row>
    <row r="171" spans="11:11" x14ac:dyDescent="0.25">
      <c r="K171" s="108"/>
    </row>
    <row r="172" spans="11:11" x14ac:dyDescent="0.25">
      <c r="K172" s="108"/>
    </row>
    <row r="173" spans="11:11" x14ac:dyDescent="0.25">
      <c r="K173" s="108"/>
    </row>
    <row r="174" spans="11:11" x14ac:dyDescent="0.25">
      <c r="K174" s="108"/>
    </row>
    <row r="175" spans="11:11" x14ac:dyDescent="0.25">
      <c r="K175" s="108"/>
    </row>
    <row r="176" spans="11:11" x14ac:dyDescent="0.25">
      <c r="K176" s="108"/>
    </row>
    <row r="177" spans="11:11" x14ac:dyDescent="0.25">
      <c r="K177" s="108"/>
    </row>
    <row r="178" spans="11:11" x14ac:dyDescent="0.25">
      <c r="K178" s="108"/>
    </row>
    <row r="179" spans="11:11" x14ac:dyDescent="0.25">
      <c r="K179" s="108"/>
    </row>
    <row r="180" spans="11:11" x14ac:dyDescent="0.25">
      <c r="K180" s="108"/>
    </row>
    <row r="181" spans="11:11" x14ac:dyDescent="0.25">
      <c r="K181" s="108"/>
    </row>
    <row r="182" spans="11:11" x14ac:dyDescent="0.25">
      <c r="K182" s="108"/>
    </row>
    <row r="183" spans="11:11" x14ac:dyDescent="0.25">
      <c r="K183" s="108"/>
    </row>
    <row r="184" spans="11:11" x14ac:dyDescent="0.25">
      <c r="K184" s="108"/>
    </row>
    <row r="185" spans="11:11" x14ac:dyDescent="0.25">
      <c r="K185" s="108"/>
    </row>
    <row r="186" spans="11:11" x14ac:dyDescent="0.25">
      <c r="K186" s="108"/>
    </row>
    <row r="187" spans="11:11" x14ac:dyDescent="0.25">
      <c r="K187" s="108"/>
    </row>
    <row r="188" spans="11:11" x14ac:dyDescent="0.25">
      <c r="K188" s="108"/>
    </row>
    <row r="189" spans="11:11" x14ac:dyDescent="0.25">
      <c r="K189" s="108"/>
    </row>
    <row r="190" spans="11:11" x14ac:dyDescent="0.25">
      <c r="K190" s="108"/>
    </row>
    <row r="191" spans="11:11" x14ac:dyDescent="0.25">
      <c r="K191" s="108"/>
    </row>
    <row r="192" spans="11:11" x14ac:dyDescent="0.25">
      <c r="K192" s="108"/>
    </row>
    <row r="193" spans="11:11" x14ac:dyDescent="0.25">
      <c r="K193" s="108"/>
    </row>
    <row r="194" spans="11:11" x14ac:dyDescent="0.25">
      <c r="K194" s="108"/>
    </row>
    <row r="195" spans="11:11" x14ac:dyDescent="0.25">
      <c r="K195" s="108"/>
    </row>
    <row r="196" spans="11:11" x14ac:dyDescent="0.25">
      <c r="K196" s="108"/>
    </row>
    <row r="197" spans="11:11" x14ac:dyDescent="0.25">
      <c r="K197" s="108"/>
    </row>
    <row r="198" spans="11:11" x14ac:dyDescent="0.25">
      <c r="K198" s="108"/>
    </row>
    <row r="199" spans="11:11" x14ac:dyDescent="0.25">
      <c r="K199" s="108"/>
    </row>
    <row r="200" spans="11:11" x14ac:dyDescent="0.25">
      <c r="K200" s="108"/>
    </row>
    <row r="201" spans="11:11" x14ac:dyDescent="0.25">
      <c r="K201" s="108"/>
    </row>
    <row r="202" spans="11:11" x14ac:dyDescent="0.25">
      <c r="K202" s="108"/>
    </row>
    <row r="203" spans="11:11" x14ac:dyDescent="0.25">
      <c r="K203" s="108"/>
    </row>
    <row r="204" spans="11:11" x14ac:dyDescent="0.25">
      <c r="K204" s="108"/>
    </row>
    <row r="205" spans="11:11" x14ac:dyDescent="0.25">
      <c r="K205" s="108"/>
    </row>
    <row r="206" spans="11:11" x14ac:dyDescent="0.25">
      <c r="K206" s="108"/>
    </row>
    <row r="207" spans="11:11" x14ac:dyDescent="0.25">
      <c r="K207" s="108"/>
    </row>
    <row r="208" spans="11:11" x14ac:dyDescent="0.25">
      <c r="K208" s="108"/>
    </row>
    <row r="209" spans="11:11" x14ac:dyDescent="0.25">
      <c r="K209" s="108"/>
    </row>
    <row r="210" spans="11:11" x14ac:dyDescent="0.25">
      <c r="K210" s="108"/>
    </row>
    <row r="211" spans="11:11" x14ac:dyDescent="0.25">
      <c r="K211" s="108"/>
    </row>
    <row r="212" spans="11:11" x14ac:dyDescent="0.25">
      <c r="K212" s="108"/>
    </row>
    <row r="213" spans="11:11" x14ac:dyDescent="0.25">
      <c r="K213" s="108"/>
    </row>
    <row r="214" spans="11:11" x14ac:dyDescent="0.25">
      <c r="K214" s="108"/>
    </row>
    <row r="215" spans="11:11" x14ac:dyDescent="0.25">
      <c r="K215" s="108"/>
    </row>
    <row r="216" spans="11:11" x14ac:dyDescent="0.25">
      <c r="K216" s="108"/>
    </row>
    <row r="217" spans="11:11" x14ac:dyDescent="0.25">
      <c r="K217" s="108"/>
    </row>
    <row r="218" spans="11:11" x14ac:dyDescent="0.25">
      <c r="K218" s="108"/>
    </row>
    <row r="219" spans="11:11" x14ac:dyDescent="0.25">
      <c r="K219" s="108"/>
    </row>
    <row r="220" spans="11:11" x14ac:dyDescent="0.25">
      <c r="K220" s="108"/>
    </row>
    <row r="221" spans="11:11" x14ac:dyDescent="0.25">
      <c r="K221" s="108"/>
    </row>
    <row r="222" spans="11:11" x14ac:dyDescent="0.25">
      <c r="K222" s="108"/>
    </row>
    <row r="223" spans="11:11" x14ac:dyDescent="0.25">
      <c r="K223" s="108"/>
    </row>
    <row r="224" spans="11:11" x14ac:dyDescent="0.25">
      <c r="K224" s="108"/>
    </row>
    <row r="225" spans="11:11" x14ac:dyDescent="0.25">
      <c r="K225" s="108"/>
    </row>
    <row r="226" spans="11:11" x14ac:dyDescent="0.25">
      <c r="K226" s="108"/>
    </row>
    <row r="227" spans="11:11" x14ac:dyDescent="0.25">
      <c r="K227" s="108"/>
    </row>
    <row r="228" spans="11:11" x14ac:dyDescent="0.25">
      <c r="K228" s="108"/>
    </row>
    <row r="229" spans="11:11" x14ac:dyDescent="0.25">
      <c r="K229" s="108"/>
    </row>
    <row r="230" spans="11:11" x14ac:dyDescent="0.25">
      <c r="K230" s="108"/>
    </row>
    <row r="231" spans="11:11" x14ac:dyDescent="0.25">
      <c r="K231" s="108"/>
    </row>
    <row r="232" spans="11:11" x14ac:dyDescent="0.25">
      <c r="K232" s="108"/>
    </row>
    <row r="233" spans="11:11" x14ac:dyDescent="0.25">
      <c r="K233" s="108"/>
    </row>
    <row r="234" spans="11:11" x14ac:dyDescent="0.25">
      <c r="K234" s="108"/>
    </row>
    <row r="235" spans="11:11" x14ac:dyDescent="0.25">
      <c r="K235" s="108"/>
    </row>
    <row r="236" spans="11:11" x14ac:dyDescent="0.25">
      <c r="K236" s="108"/>
    </row>
    <row r="237" spans="11:11" x14ac:dyDescent="0.25">
      <c r="K237" s="108"/>
    </row>
    <row r="238" spans="11:11" x14ac:dyDescent="0.25">
      <c r="K238" s="108"/>
    </row>
    <row r="239" spans="11:11" x14ac:dyDescent="0.25">
      <c r="K239" s="108"/>
    </row>
    <row r="240" spans="11:11" x14ac:dyDescent="0.25">
      <c r="K240" s="108"/>
    </row>
    <row r="241" spans="11:11" x14ac:dyDescent="0.25">
      <c r="K241" s="108"/>
    </row>
    <row r="242" spans="11:11" x14ac:dyDescent="0.25">
      <c r="K242" s="108"/>
    </row>
    <row r="243" spans="11:11" x14ac:dyDescent="0.25">
      <c r="K243" s="108"/>
    </row>
    <row r="244" spans="11:11" x14ac:dyDescent="0.25">
      <c r="K244" s="108"/>
    </row>
    <row r="245" spans="11:11" x14ac:dyDescent="0.25">
      <c r="K245" s="108"/>
    </row>
    <row r="246" spans="11:11" x14ac:dyDescent="0.25">
      <c r="K246" s="108"/>
    </row>
    <row r="247" spans="11:11" x14ac:dyDescent="0.25">
      <c r="K247" s="108"/>
    </row>
    <row r="248" spans="11:11" x14ac:dyDescent="0.25">
      <c r="K248" s="108"/>
    </row>
    <row r="249" spans="11:11" x14ac:dyDescent="0.25">
      <c r="K249" s="108"/>
    </row>
    <row r="250" spans="11:11" x14ac:dyDescent="0.25">
      <c r="K250" s="108"/>
    </row>
    <row r="251" spans="11:11" x14ac:dyDescent="0.25">
      <c r="K251" s="108"/>
    </row>
    <row r="252" spans="11:11" x14ac:dyDescent="0.25">
      <c r="K252" s="108"/>
    </row>
    <row r="253" spans="11:11" x14ac:dyDescent="0.25">
      <c r="K253" s="108"/>
    </row>
    <row r="254" spans="11:11" x14ac:dyDescent="0.25">
      <c r="K254" s="108"/>
    </row>
    <row r="255" spans="11:11" x14ac:dyDescent="0.25">
      <c r="K255" s="108"/>
    </row>
    <row r="256" spans="11:11" x14ac:dyDescent="0.25">
      <c r="K256" s="108"/>
    </row>
    <row r="257" spans="11:11" x14ac:dyDescent="0.25">
      <c r="K257" s="108"/>
    </row>
    <row r="258" spans="11:11" x14ac:dyDescent="0.25">
      <c r="K258" s="108"/>
    </row>
    <row r="259" spans="11:11" x14ac:dyDescent="0.25">
      <c r="K259" s="108"/>
    </row>
    <row r="260" spans="11:11" x14ac:dyDescent="0.25">
      <c r="K260" s="108"/>
    </row>
    <row r="261" spans="11:11" x14ac:dyDescent="0.25">
      <c r="K261" s="108"/>
    </row>
    <row r="262" spans="11:11" x14ac:dyDescent="0.25">
      <c r="K262" s="108"/>
    </row>
    <row r="263" spans="11:11" x14ac:dyDescent="0.25">
      <c r="K263" s="108"/>
    </row>
    <row r="264" spans="11:11" x14ac:dyDescent="0.25">
      <c r="K264" s="108"/>
    </row>
    <row r="265" spans="11:11" x14ac:dyDescent="0.25">
      <c r="K265" s="108"/>
    </row>
    <row r="266" spans="11:11" x14ac:dyDescent="0.25">
      <c r="K266" s="108"/>
    </row>
    <row r="267" spans="11:11" x14ac:dyDescent="0.25">
      <c r="K267" s="108"/>
    </row>
    <row r="268" spans="11:11" x14ac:dyDescent="0.25">
      <c r="K268" s="108"/>
    </row>
    <row r="269" spans="11:11" x14ac:dyDescent="0.25">
      <c r="K269" s="108"/>
    </row>
    <row r="270" spans="11:11" x14ac:dyDescent="0.25">
      <c r="K270" s="108"/>
    </row>
    <row r="271" spans="11:11" x14ac:dyDescent="0.25">
      <c r="K271" s="108"/>
    </row>
    <row r="272" spans="11:11" x14ac:dyDescent="0.25">
      <c r="K272" s="108"/>
    </row>
    <row r="273" spans="11:11" x14ac:dyDescent="0.25">
      <c r="K273" s="108"/>
    </row>
    <row r="274" spans="11:11" x14ac:dyDescent="0.25">
      <c r="K274" s="108"/>
    </row>
    <row r="275" spans="11:11" x14ac:dyDescent="0.25">
      <c r="K275" s="108"/>
    </row>
    <row r="276" spans="11:11" x14ac:dyDescent="0.25">
      <c r="K276" s="108"/>
    </row>
    <row r="277" spans="11:11" x14ac:dyDescent="0.25">
      <c r="K277" s="108"/>
    </row>
    <row r="278" spans="11:11" x14ac:dyDescent="0.25">
      <c r="K278" s="108"/>
    </row>
    <row r="279" spans="11:11" x14ac:dyDescent="0.25">
      <c r="K279" s="108"/>
    </row>
    <row r="280" spans="11:11" x14ac:dyDescent="0.25">
      <c r="K280" s="108"/>
    </row>
    <row r="281" spans="11:11" x14ac:dyDescent="0.25">
      <c r="K281" s="108"/>
    </row>
    <row r="282" spans="11:11" x14ac:dyDescent="0.25">
      <c r="K282" s="108"/>
    </row>
    <row r="283" spans="11:11" x14ac:dyDescent="0.25">
      <c r="K283" s="108"/>
    </row>
    <row r="284" spans="11:11" x14ac:dyDescent="0.25">
      <c r="K284" s="108"/>
    </row>
    <row r="285" spans="11:11" x14ac:dyDescent="0.25">
      <c r="K285" s="108"/>
    </row>
    <row r="286" spans="11:11" x14ac:dyDescent="0.25">
      <c r="K286" s="108"/>
    </row>
    <row r="287" spans="11:11" x14ac:dyDescent="0.25">
      <c r="K287" s="108"/>
    </row>
    <row r="288" spans="11:11" x14ac:dyDescent="0.25">
      <c r="K288" s="108"/>
    </row>
    <row r="289" spans="11:11" x14ac:dyDescent="0.25">
      <c r="K289" s="108"/>
    </row>
    <row r="290" spans="11:11" x14ac:dyDescent="0.25">
      <c r="K290" s="108"/>
    </row>
    <row r="291" spans="11:11" x14ac:dyDescent="0.25">
      <c r="K291" s="108"/>
    </row>
    <row r="292" spans="11:11" x14ac:dyDescent="0.25">
      <c r="K292" s="108"/>
    </row>
    <row r="293" spans="11:11" x14ac:dyDescent="0.25">
      <c r="K293" s="108"/>
    </row>
    <row r="294" spans="11:11" x14ac:dyDescent="0.25">
      <c r="K294" s="108"/>
    </row>
    <row r="295" spans="11:11" x14ac:dyDescent="0.25">
      <c r="K295" s="108"/>
    </row>
    <row r="296" spans="11:11" x14ac:dyDescent="0.25">
      <c r="K296" s="108"/>
    </row>
    <row r="297" spans="11:11" x14ac:dyDescent="0.25">
      <c r="K297" s="108"/>
    </row>
    <row r="298" spans="11:11" x14ac:dyDescent="0.25">
      <c r="K298" s="108"/>
    </row>
    <row r="299" spans="11:11" x14ac:dyDescent="0.25">
      <c r="K299" s="108"/>
    </row>
    <row r="300" spans="11:11" x14ac:dyDescent="0.25">
      <c r="K300" s="108"/>
    </row>
    <row r="301" spans="11:11" x14ac:dyDescent="0.25">
      <c r="K301" s="108"/>
    </row>
    <row r="302" spans="11:11" x14ac:dyDescent="0.25">
      <c r="K302" s="108"/>
    </row>
    <row r="303" spans="11:11" x14ac:dyDescent="0.25">
      <c r="K303" s="108"/>
    </row>
    <row r="304" spans="11:11" x14ac:dyDescent="0.25">
      <c r="K304" s="108"/>
    </row>
    <row r="305" spans="11:11" x14ac:dyDescent="0.25">
      <c r="K305" s="108"/>
    </row>
    <row r="306" spans="11:11" x14ac:dyDescent="0.25">
      <c r="K306" s="108"/>
    </row>
    <row r="307" spans="11:11" x14ac:dyDescent="0.25">
      <c r="K307" s="108"/>
    </row>
    <row r="308" spans="11:11" x14ac:dyDescent="0.25">
      <c r="K308" s="108"/>
    </row>
    <row r="309" spans="11:11" x14ac:dyDescent="0.25">
      <c r="K309" s="108"/>
    </row>
    <row r="310" spans="11:11" x14ac:dyDescent="0.25">
      <c r="K310" s="108"/>
    </row>
    <row r="311" spans="11:11" x14ac:dyDescent="0.25">
      <c r="K311" s="108"/>
    </row>
    <row r="312" spans="11:11" x14ac:dyDescent="0.25">
      <c r="K312" s="108"/>
    </row>
    <row r="313" spans="11:11" x14ac:dyDescent="0.25">
      <c r="K313" s="108"/>
    </row>
    <row r="314" spans="11:11" x14ac:dyDescent="0.25">
      <c r="K314" s="108"/>
    </row>
    <row r="315" spans="11:11" x14ac:dyDescent="0.25">
      <c r="K315" s="108"/>
    </row>
    <row r="316" spans="11:11" x14ac:dyDescent="0.25">
      <c r="K316" s="108"/>
    </row>
    <row r="317" spans="11:11" x14ac:dyDescent="0.25">
      <c r="K317" s="108"/>
    </row>
    <row r="318" spans="11:11" x14ac:dyDescent="0.25">
      <c r="K318" s="108"/>
    </row>
    <row r="319" spans="11:11" x14ac:dyDescent="0.25">
      <c r="K319" s="108"/>
    </row>
    <row r="320" spans="11:11" x14ac:dyDescent="0.25">
      <c r="K320" s="108"/>
    </row>
    <row r="321" spans="11:11" x14ac:dyDescent="0.25">
      <c r="K321" s="108"/>
    </row>
    <row r="322" spans="11:11" x14ac:dyDescent="0.25">
      <c r="K322" s="108"/>
    </row>
    <row r="323" spans="11:11" x14ac:dyDescent="0.25">
      <c r="K323" s="108"/>
    </row>
    <row r="324" spans="11:11" x14ac:dyDescent="0.25">
      <c r="K324" s="108"/>
    </row>
    <row r="325" spans="11:11" x14ac:dyDescent="0.25">
      <c r="K325" s="108"/>
    </row>
    <row r="326" spans="11:11" x14ac:dyDescent="0.25">
      <c r="K326" s="108"/>
    </row>
    <row r="327" spans="11:11" x14ac:dyDescent="0.25">
      <c r="K327" s="108"/>
    </row>
    <row r="328" spans="11:11" x14ac:dyDescent="0.25">
      <c r="K328" s="108"/>
    </row>
    <row r="329" spans="11:11" x14ac:dyDescent="0.25">
      <c r="K329" s="108"/>
    </row>
    <row r="330" spans="11:11" x14ac:dyDescent="0.25">
      <c r="K330" s="108"/>
    </row>
  </sheetData>
  <autoFilter ref="B6:AZ111">
    <filterColumn colId="5">
      <filters>
        <filter val="Adquisición de elementos e insumos necesarios para atender los primeros auxilios y dotar los botiquines de la Secretaría de Hacienda"/>
      </filters>
    </filterColumn>
  </autoFilter>
  <mergeCells count="2">
    <mergeCell ref="B2:AZ2"/>
    <mergeCell ref="B3:AZ3"/>
  </mergeCells>
  <hyperlinks>
    <hyperlink ref="S20" r:id="rId1"/>
    <hyperlink ref="S9" r:id="rId2"/>
    <hyperlink ref="S22" r:id="rId3"/>
    <hyperlink ref="S11" r:id="rId4"/>
    <hyperlink ref="S18" r:id="rId5"/>
    <hyperlink ref="S15" r:id="rId6"/>
    <hyperlink ref="S21" r:id="rId7"/>
    <hyperlink ref="S10" r:id="rId8"/>
    <hyperlink ref="S17" r:id="rId9"/>
    <hyperlink ref="S13" r:id="rId10"/>
    <hyperlink ref="S12" r:id="rId11"/>
    <hyperlink ref="S16" r:id="rId12"/>
    <hyperlink ref="S52" r:id="rId13"/>
    <hyperlink ref="S65" r:id="rId14" display="150129-0-2015"/>
    <hyperlink ref="S104" r:id="rId15"/>
    <hyperlink ref="S78" r:id="rId16" display="150152-0-2015"/>
    <hyperlink ref="S63" r:id="rId17" display="150168-0-2015"/>
    <hyperlink ref="S76" r:id="rId18" display="150141-0-2015"/>
    <hyperlink ref="S49" r:id="rId19"/>
    <hyperlink ref="S8" r:id="rId20"/>
    <hyperlink ref="S60" r:id="rId21"/>
    <hyperlink ref="S106" r:id="rId22"/>
    <hyperlink ref="S62" r:id="rId23"/>
    <hyperlink ref="S89" r:id="rId24"/>
    <hyperlink ref="S44" r:id="rId25"/>
    <hyperlink ref="S75" r:id="rId26"/>
    <hyperlink ref="S77" r:id="rId27"/>
    <hyperlink ref="S70" r:id="rId28"/>
    <hyperlink ref="S42" r:id="rId29"/>
    <hyperlink ref="S26" r:id="rId30"/>
    <hyperlink ref="S72" r:id="rId31"/>
    <hyperlink ref="S25" r:id="rId32"/>
    <hyperlink ref="S74" r:id="rId33"/>
    <hyperlink ref="S54" r:id="rId34"/>
    <hyperlink ref="S14" r:id="rId35"/>
    <hyperlink ref="T7" r:id="rId36"/>
    <hyperlink ref="T16" r:id="rId37"/>
    <hyperlink ref="T20" r:id="rId38"/>
    <hyperlink ref="T21" r:id="rId39"/>
    <hyperlink ref="T28" r:id="rId40"/>
    <hyperlink ref="T31" r:id="rId41"/>
    <hyperlink ref="T32" r:id="rId42"/>
    <hyperlink ref="T34" r:id="rId43"/>
    <hyperlink ref="T35" r:id="rId44"/>
    <hyperlink ref="T42" r:id="rId45"/>
    <hyperlink ref="T55" r:id="rId46"/>
    <hyperlink ref="T56" r:id="rId47"/>
    <hyperlink ref="T57" r:id="rId48"/>
    <hyperlink ref="T58" r:id="rId49"/>
    <hyperlink ref="T59" r:id="rId50"/>
    <hyperlink ref="T60" r:id="rId51"/>
    <hyperlink ref="T61" r:id="rId52"/>
    <hyperlink ref="T62" r:id="rId53"/>
    <hyperlink ref="T64" r:id="rId54"/>
    <hyperlink ref="T66" r:id="rId55"/>
    <hyperlink ref="T70" r:id="rId56"/>
    <hyperlink ref="T73" r:id="rId57"/>
    <hyperlink ref="T75" r:id="rId58"/>
    <hyperlink ref="T77" r:id="rId59"/>
    <hyperlink ref="T83" r:id="rId60"/>
    <hyperlink ref="T84" r:id="rId61"/>
    <hyperlink ref="T85" r:id="rId62"/>
    <hyperlink ref="T89" r:id="rId63"/>
    <hyperlink ref="T90" r:id="rId64"/>
    <hyperlink ref="T92" r:id="rId65"/>
    <hyperlink ref="T93" r:id="rId66"/>
    <hyperlink ref="T94" r:id="rId67"/>
    <hyperlink ref="T95" r:id="rId68"/>
    <hyperlink ref="T104" r:id="rId69"/>
    <hyperlink ref="T106" r:id="rId70"/>
    <hyperlink ref="T111" r:id="rId71"/>
    <hyperlink ref="S43" r:id="rId72"/>
    <hyperlink ref="T86" r:id="rId73"/>
    <hyperlink ref="S36" r:id="rId74"/>
    <hyperlink ref="S71" r:id="rId75"/>
    <hyperlink ref="S93" r:id="rId76"/>
    <hyperlink ref="S101" r:id="rId77"/>
    <hyperlink ref="S97" r:id="rId78"/>
    <hyperlink ref="S87" r:id="rId79"/>
    <hyperlink ref="S41" r:id="rId80"/>
    <hyperlink ref="S69" r:id="rId81"/>
    <hyperlink ref="S48" r:id="rId82"/>
    <hyperlink ref="S73" r:id="rId83"/>
    <hyperlink ref="S37" r:id="rId84"/>
    <hyperlink ref="S94" r:id="rId85"/>
    <hyperlink ref="S29" r:id="rId86"/>
    <hyperlink ref="S51" r:id="rId87"/>
    <hyperlink ref="S64" r:id="rId88"/>
    <hyperlink ref="S96" r:id="rId89"/>
    <hyperlink ref="S28" r:id="rId90"/>
    <hyperlink ref="S82" r:id="rId91"/>
    <hyperlink ref="S45" r:id="rId92"/>
    <hyperlink ref="S68" r:id="rId93"/>
    <hyperlink ref="S92" r:id="rId94"/>
    <hyperlink ref="S27" r:id="rId95"/>
    <hyperlink ref="S91" r:id="rId96"/>
    <hyperlink ref="S83" r:id="rId97"/>
    <hyperlink ref="S109" r:id="rId98"/>
    <hyperlink ref="S84" r:id="rId99"/>
    <hyperlink ref="S50" r:id="rId100"/>
  </hyperlinks>
  <pageMargins left="0.7" right="0.7" top="0.75" bottom="0.75" header="0.3" footer="0.3"/>
  <pageSetup orientation="portrait" r:id="rId101"/>
  <drawing r:id="rId102"/>
  <extLst>
    <ext xmlns:x14="http://schemas.microsoft.com/office/spreadsheetml/2009/9/main" uri="{CCE6A557-97BC-4b89-ADB6-D9C93CAAB3DF}">
      <x14:dataValidations xmlns:xm="http://schemas.microsoft.com/office/excel/2006/main" count="4">
        <x14:dataValidation type="list" allowBlank="1" showInputMessage="1" showErrorMessage="1">
          <x14:formula1>
            <xm:f>[5]Hoja1!#REF!</xm:f>
          </x14:formula1>
          <xm:sqref>E112:E290</xm:sqref>
        </x14:dataValidation>
        <x14:dataValidation type="list" allowBlank="1" showInputMessage="1" showErrorMessage="1">
          <x14:formula1>
            <xm:f>Hoja1!$D$13:$D$14</xm:f>
          </x14:formula1>
          <xm:sqref>C7:C1048576</xm:sqref>
        </x14:dataValidation>
        <x14:dataValidation type="list" allowBlank="1" showInputMessage="1" showErrorMessage="1">
          <x14:formula1>
            <xm:f>Hoja1!$F$4:$F$46</xm:f>
          </x14:formula1>
          <xm:sqref>E7:E111</xm:sqref>
        </x14:dataValidation>
        <x14:dataValidation type="list" allowBlank="1" showInputMessage="1" showErrorMessage="1">
          <x14:formula1>
            <xm:f>Hoja1!$J$2:$J$3</xm:f>
          </x14:formula1>
          <xm:sqref>K7:K330</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workbookViewId="0">
      <pane xSplit="2" ySplit="8" topLeftCell="C9" activePane="bottomRight" state="frozen"/>
      <selection pane="topRight" activeCell="C1" sqref="C1"/>
      <selection pane="bottomLeft" activeCell="A7" sqref="A7"/>
      <selection pane="bottomRight" activeCell="E14" sqref="E14"/>
    </sheetView>
  </sheetViews>
  <sheetFormatPr baseColWidth="10" defaultColWidth="0" defaultRowHeight="12.75" x14ac:dyDescent="0.2"/>
  <cols>
    <col min="1" max="1" width="3.85546875" style="527" customWidth="1"/>
    <col min="2" max="2" width="45.7109375" style="527" customWidth="1"/>
    <col min="3" max="3" width="18.5703125" style="527" bestFit="1" customWidth="1"/>
    <col min="4" max="4" width="15.85546875" style="527" bestFit="1" customWidth="1"/>
    <col min="5" max="5" width="17.5703125" style="527" bestFit="1" customWidth="1"/>
    <col min="6" max="6" width="11.42578125" style="527" customWidth="1"/>
    <col min="7" max="7" width="17.5703125" style="527" bestFit="1" customWidth="1"/>
    <col min="8" max="8" width="17.140625" style="527" hidden="1" customWidth="1"/>
    <col min="9" max="9" width="14.5703125" style="527" customWidth="1"/>
    <col min="10" max="10" width="16.85546875" style="527" customWidth="1"/>
    <col min="11" max="12" width="11.42578125" style="527" customWidth="1"/>
    <col min="13" max="16384" width="11.42578125" style="527" hidden="1"/>
  </cols>
  <sheetData>
    <row r="1" spans="1:12" s="482" customFormat="1" x14ac:dyDescent="0.2">
      <c r="A1" s="527"/>
      <c r="B1" s="527"/>
      <c r="C1" s="527"/>
      <c r="D1" s="527"/>
      <c r="E1" s="527"/>
      <c r="F1" s="527"/>
      <c r="G1" s="527"/>
      <c r="H1" s="527"/>
      <c r="I1" s="527"/>
      <c r="J1" s="527"/>
      <c r="K1" s="527"/>
      <c r="L1" s="527"/>
    </row>
    <row r="2" spans="1:12" s="482" customFormat="1" x14ac:dyDescent="0.2">
      <c r="A2" s="527"/>
      <c r="B2" s="527"/>
      <c r="C2" s="527"/>
      <c r="D2" s="527"/>
      <c r="E2" s="527"/>
      <c r="F2" s="527"/>
      <c r="G2" s="527"/>
      <c r="H2" s="527"/>
      <c r="I2" s="527"/>
      <c r="J2" s="527"/>
      <c r="K2" s="527"/>
      <c r="L2" s="527"/>
    </row>
    <row r="3" spans="1:12" s="482" customFormat="1" x14ac:dyDescent="0.2">
      <c r="A3" s="527"/>
      <c r="B3" s="527"/>
      <c r="C3" s="527"/>
      <c r="D3" s="527"/>
      <c r="E3" s="527"/>
      <c r="F3" s="527"/>
      <c r="G3" s="527"/>
      <c r="H3" s="527"/>
      <c r="I3" s="527"/>
      <c r="J3" s="527"/>
      <c r="K3" s="527"/>
      <c r="L3" s="527"/>
    </row>
    <row r="4" spans="1:12" s="482" customFormat="1" x14ac:dyDescent="0.2">
      <c r="A4" s="527"/>
      <c r="B4" s="527"/>
      <c r="C4" s="527"/>
      <c r="D4" s="527"/>
      <c r="E4" s="527"/>
      <c r="F4" s="527"/>
      <c r="G4" s="527"/>
      <c r="H4" s="527"/>
      <c r="I4" s="527"/>
      <c r="J4" s="527"/>
      <c r="K4" s="527"/>
      <c r="L4" s="527"/>
    </row>
    <row r="5" spans="1:12" s="482" customFormat="1" x14ac:dyDescent="0.2">
      <c r="A5" s="527"/>
      <c r="B5" s="530"/>
      <c r="C5" s="531"/>
      <c r="D5" s="532"/>
      <c r="E5" s="527"/>
      <c r="F5" s="527"/>
      <c r="G5" s="527"/>
      <c r="H5" s="527"/>
      <c r="I5" s="527"/>
      <c r="J5" s="527"/>
      <c r="K5" s="527"/>
      <c r="L5" s="527"/>
    </row>
    <row r="6" spans="1:12" s="482" customFormat="1" ht="15" x14ac:dyDescent="0.2">
      <c r="A6" s="527"/>
      <c r="B6" s="1179" t="s">
        <v>1794</v>
      </c>
      <c r="C6" s="1179"/>
      <c r="D6" s="1179"/>
      <c r="E6" s="1179"/>
      <c r="F6" s="1179"/>
      <c r="G6" s="1179"/>
      <c r="H6" s="1179"/>
      <c r="I6" s="1179"/>
      <c r="J6" s="1179"/>
      <c r="K6" s="1179"/>
      <c r="L6" s="527"/>
    </row>
    <row r="7" spans="1:12" s="482" customFormat="1" ht="15" x14ac:dyDescent="0.2">
      <c r="A7" s="527"/>
      <c r="B7" s="1179" t="s">
        <v>1795</v>
      </c>
      <c r="C7" s="1179"/>
      <c r="D7" s="1179"/>
      <c r="E7" s="1179"/>
      <c r="F7" s="1179"/>
      <c r="G7" s="1179"/>
      <c r="H7" s="1179"/>
      <c r="I7" s="1179"/>
      <c r="J7" s="1179"/>
      <c r="K7" s="1179"/>
      <c r="L7" s="527"/>
    </row>
    <row r="8" spans="1:12" s="482" customFormat="1" ht="51" x14ac:dyDescent="0.2">
      <c r="A8" s="527"/>
      <c r="B8" s="528" t="s">
        <v>1783</v>
      </c>
      <c r="C8" s="528" t="s">
        <v>1788</v>
      </c>
      <c r="D8" s="528" t="s">
        <v>1784</v>
      </c>
      <c r="E8" s="528" t="s">
        <v>1785</v>
      </c>
      <c r="F8" s="528" t="s">
        <v>1786</v>
      </c>
      <c r="G8" s="528" t="s">
        <v>1787</v>
      </c>
      <c r="H8" s="528" t="s">
        <v>1789</v>
      </c>
      <c r="I8" s="529" t="s">
        <v>1790</v>
      </c>
      <c r="J8" s="528" t="s">
        <v>1791</v>
      </c>
      <c r="K8" s="529" t="s">
        <v>1792</v>
      </c>
      <c r="L8" s="527"/>
    </row>
    <row r="9" spans="1:12" s="482" customFormat="1" x14ac:dyDescent="0.2">
      <c r="A9" s="527"/>
      <c r="B9" s="496" t="s">
        <v>1686</v>
      </c>
      <c r="C9" s="498">
        <v>29809977000</v>
      </c>
      <c r="D9" s="486"/>
      <c r="E9" s="485"/>
      <c r="F9" s="487"/>
      <c r="G9" s="488"/>
      <c r="H9" s="484"/>
      <c r="I9" s="489"/>
      <c r="J9" s="489"/>
      <c r="K9" s="489"/>
      <c r="L9" s="527"/>
    </row>
    <row r="10" spans="1:12" s="482" customFormat="1" x14ac:dyDescent="0.2">
      <c r="A10" s="527"/>
      <c r="B10" s="492" t="s">
        <v>1684</v>
      </c>
      <c r="C10" s="502">
        <v>22267500000</v>
      </c>
      <c r="D10" s="650">
        <f>C11+C17</f>
        <v>22267500000</v>
      </c>
      <c r="E10" s="485"/>
      <c r="F10" s="487"/>
      <c r="G10" s="488"/>
      <c r="H10" s="484"/>
      <c r="I10" s="489"/>
      <c r="J10" s="489"/>
      <c r="K10" s="489"/>
      <c r="L10" s="527"/>
    </row>
    <row r="11" spans="1:12" s="482" customFormat="1" x14ac:dyDescent="0.2">
      <c r="A11" s="527"/>
      <c r="B11" s="496" t="s">
        <v>1683</v>
      </c>
      <c r="C11" s="498">
        <v>13495500000</v>
      </c>
      <c r="D11" s="486"/>
      <c r="E11" s="485"/>
      <c r="F11" s="487"/>
      <c r="G11" s="488"/>
      <c r="H11" s="484"/>
      <c r="I11" s="489"/>
      <c r="J11" s="489"/>
      <c r="K11" s="489"/>
      <c r="L11" s="527"/>
    </row>
    <row r="12" spans="1:12" s="482" customFormat="1" x14ac:dyDescent="0.2">
      <c r="A12" s="527"/>
      <c r="B12" s="497" t="s">
        <v>1682</v>
      </c>
      <c r="C12" s="498">
        <v>13495500000</v>
      </c>
      <c r="D12" s="486"/>
      <c r="E12" s="485"/>
      <c r="F12" s="487"/>
      <c r="G12" s="488"/>
      <c r="H12" s="484"/>
      <c r="I12" s="489"/>
      <c r="J12" s="489"/>
      <c r="K12" s="489"/>
      <c r="L12" s="527"/>
    </row>
    <row r="13" spans="1:12" s="482" customFormat="1" x14ac:dyDescent="0.2">
      <c r="A13" s="527"/>
      <c r="B13" s="499" t="s">
        <v>1681</v>
      </c>
      <c r="C13" s="500">
        <v>13475500000</v>
      </c>
      <c r="D13" s="486"/>
      <c r="E13" s="485"/>
      <c r="F13" s="487"/>
      <c r="G13" s="488"/>
      <c r="H13" s="484"/>
      <c r="I13" s="489"/>
      <c r="J13" s="489"/>
      <c r="K13" s="489"/>
      <c r="L13" s="527"/>
    </row>
    <row r="14" spans="1:12" s="482" customFormat="1" x14ac:dyDescent="0.2">
      <c r="A14" s="527"/>
      <c r="B14" s="483" t="s">
        <v>1643</v>
      </c>
      <c r="C14" s="485">
        <v>730500000</v>
      </c>
      <c r="D14" s="486">
        <f>COUNTIF('Actualizada - presupuesto'!$E$7:$E$111,'Resumen_Seguimiento Presupuesto'!B14)</f>
        <v>16</v>
      </c>
      <c r="E14" s="485">
        <f>SUMIFS('Actualizada - presupuesto'!$F$7:$F$111,'Actualizada - presupuesto'!$E$7:$E$111,B14)</f>
        <v>727229972</v>
      </c>
      <c r="F14" s="487">
        <f>COUNTIFS('Actualizada - presupuesto'!$L$7:$L$111,"SI",'Actualizada - presupuesto'!$E$7:$E$111,B14)</f>
        <v>15</v>
      </c>
      <c r="G14" s="488">
        <f>SUMIFS('Actualizada - presupuesto'!$F$7:$F$111,'Actualizada - presupuesto'!$E$7:$E$111,B14,'Actualizada - presupuesto'!$L$7:$L$111,"SI")</f>
        <v>720569972</v>
      </c>
      <c r="H14" s="484">
        <f>SUMIFS('Actualizada - presupuesto'!$AM$7:$AM$111,'Actualizada - presupuesto'!$E$7:$E$111,B14)</f>
        <v>0</v>
      </c>
      <c r="I14" s="490">
        <f>(H14/C14)*100%</f>
        <v>0</v>
      </c>
      <c r="J14" s="485">
        <f>SUMIFS('Actualizada - presupuesto'!$AW$7:$AW$111,'Actualizada - presupuesto'!$E$7:$E$111,B14)</f>
        <v>678466</v>
      </c>
      <c r="K14" s="491">
        <f t="shared" ref="K14:K52" si="0">(J14/C14)*100%</f>
        <v>9.2876933607118409E-4</v>
      </c>
      <c r="L14" s="527"/>
    </row>
    <row r="15" spans="1:12" s="482" customFormat="1" x14ac:dyDescent="0.2">
      <c r="A15" s="527"/>
      <c r="B15" s="483" t="s">
        <v>1644</v>
      </c>
      <c r="C15" s="485">
        <v>12745000000</v>
      </c>
      <c r="D15" s="486">
        <f>COUNTIF('Actualizada - presupuesto'!$E$7:$E$111,'Resumen_Seguimiento Presupuesto'!B15)</f>
        <v>0</v>
      </c>
      <c r="E15" s="485">
        <f>SUMIFS('Actualizada - presupuesto'!$F$7:$F$111,'Actualizada - presupuesto'!$E$7:$E$111,B15)</f>
        <v>0</v>
      </c>
      <c r="F15" s="487">
        <f>COUNTIFS('Actualizada - presupuesto'!$L$7:$L$111,"SI",'Actualizada - presupuesto'!$E$7:$E$111,B15)</f>
        <v>0</v>
      </c>
      <c r="G15" s="488">
        <f>SUMIFS('Actualizada - presupuesto'!$F$7:$F$111,'Actualizada - presupuesto'!$E$7:$E$111,B15,'Actualizada - presupuesto'!$L$7:$L$111,"SI")</f>
        <v>0</v>
      </c>
      <c r="H15" s="484">
        <f>SUMIFS('Actualizada - presupuesto'!$AM$7:$AM$111,'Actualizada - presupuesto'!$E$7:$E$111,B15)</f>
        <v>0</v>
      </c>
      <c r="I15" s="490">
        <f>(H15/C15)*100%</f>
        <v>0</v>
      </c>
      <c r="J15" s="485">
        <f>SUMIFS('Actualizada - presupuesto'!$AW$7:$AW$111,'Actualizada - presupuesto'!$E$7:$E$111,B15)</f>
        <v>0</v>
      </c>
      <c r="K15" s="491">
        <f t="shared" si="0"/>
        <v>0</v>
      </c>
      <c r="L15" s="527"/>
    </row>
    <row r="16" spans="1:12" s="482" customFormat="1" x14ac:dyDescent="0.2">
      <c r="A16" s="527"/>
      <c r="B16" s="483" t="s">
        <v>1645</v>
      </c>
      <c r="C16" s="485">
        <v>20000000</v>
      </c>
      <c r="D16" s="486">
        <f>COUNTIF('Actualizada - presupuesto'!$E$7:$E$111,'Resumen_Seguimiento Presupuesto'!B16)</f>
        <v>1</v>
      </c>
      <c r="E16" s="485">
        <f>SUMIFS('Actualizada - presupuesto'!$F$7:$F$111,'Actualizada - presupuesto'!$E$7:$E$111,B16)</f>
        <v>18000000</v>
      </c>
      <c r="F16" s="487">
        <f>COUNTIFS('Actualizada - presupuesto'!$L$7:$L$111,"SI",'Actualizada - presupuesto'!$E$7:$E$111,B16)</f>
        <v>1</v>
      </c>
      <c r="G16" s="488">
        <f>SUMIFS('Actualizada - presupuesto'!$F$7:$F$111,'Actualizada - presupuesto'!$E$7:$E$111,B16,'Actualizada - presupuesto'!$L$7:$L$111,"SI")</f>
        <v>18000000</v>
      </c>
      <c r="H16" s="484">
        <f>SUMIFS('Actualizada - presupuesto'!$AM$7:$AM$111,'Actualizada - presupuesto'!$E$7:$E$111,B16)</f>
        <v>0</v>
      </c>
      <c r="I16" s="490">
        <f>(H16/C16)*100%</f>
        <v>0</v>
      </c>
      <c r="J16" s="485">
        <f>SUMIFS('Actualizada - presupuesto'!$AW$7:$AW$111,'Actualizada - presupuesto'!$E$7:$E$111,B16)</f>
        <v>42413</v>
      </c>
      <c r="K16" s="491">
        <f t="shared" si="0"/>
        <v>2.12065E-3</v>
      </c>
      <c r="L16" s="527"/>
    </row>
    <row r="17" spans="1:12" s="482" customFormat="1" x14ac:dyDescent="0.2">
      <c r="A17" s="527"/>
      <c r="B17" s="493" t="s">
        <v>1793</v>
      </c>
      <c r="C17" s="501">
        <v>8772000000</v>
      </c>
      <c r="D17" s="486"/>
      <c r="E17" s="485"/>
      <c r="F17" s="487"/>
      <c r="G17" s="488"/>
      <c r="H17" s="484"/>
      <c r="I17" s="490"/>
      <c r="J17" s="485"/>
      <c r="K17" s="491"/>
      <c r="L17" s="527"/>
    </row>
    <row r="18" spans="1:12" s="482" customFormat="1" x14ac:dyDescent="0.2">
      <c r="A18" s="527"/>
      <c r="B18" s="503" t="s">
        <v>1647</v>
      </c>
      <c r="C18" s="500">
        <v>1589000000</v>
      </c>
      <c r="D18" s="486"/>
      <c r="E18" s="485"/>
      <c r="F18" s="487"/>
      <c r="G18" s="488"/>
      <c r="H18" s="484"/>
      <c r="I18" s="490"/>
      <c r="J18" s="485"/>
      <c r="K18" s="491"/>
      <c r="L18" s="527"/>
    </row>
    <row r="19" spans="1:12" s="482" customFormat="1" x14ac:dyDescent="0.2">
      <c r="A19" s="527"/>
      <c r="B19" s="483" t="s">
        <v>1648</v>
      </c>
      <c r="C19" s="485">
        <v>914000000</v>
      </c>
      <c r="D19" s="486">
        <f>COUNTIF('Actualizada - presupuesto'!$E$7:$E$111,'Resumen_Seguimiento Presupuesto'!B19)</f>
        <v>15</v>
      </c>
      <c r="E19" s="485">
        <f>SUMIFS('Actualizada - presupuesto'!$F$7:$F$111,'Actualizada - presupuesto'!$E$7:$E$111,B19)</f>
        <v>1314726924</v>
      </c>
      <c r="F19" s="487">
        <f>COUNTIFS('Actualizada - presupuesto'!$L$7:$L$111,"SI",'Actualizada - presupuesto'!$E$7:$E$111,B19)</f>
        <v>11</v>
      </c>
      <c r="G19" s="488">
        <f>SUMIFS('Actualizada - presupuesto'!$F$7:$F$111,'Actualizada - presupuesto'!$E$7:$E$111,B19,'Actualizada - presupuesto'!$L$7:$L$111,"SI")</f>
        <v>1088361990</v>
      </c>
      <c r="H19" s="484" t="e">
        <f>SUMIFS('Actualizada - presupuesto'!$AM$7:$AM$111,'Actualizada - presupuesto'!$E$7:$E$111,B19)</f>
        <v>#N/A</v>
      </c>
      <c r="I19" s="490" t="e">
        <f t="shared" ref="I19:I52" si="1">(H19/C19)*100%</f>
        <v>#N/A</v>
      </c>
      <c r="J19" s="485">
        <f>SUMIFS('Actualizada - presupuesto'!$AW$7:$AW$111,'Actualizada - presupuesto'!$E$7:$E$111,B19)</f>
        <v>382283</v>
      </c>
      <c r="K19" s="491">
        <f t="shared" si="0"/>
        <v>4.1825273522975932E-4</v>
      </c>
      <c r="L19" s="527"/>
    </row>
    <row r="20" spans="1:12" s="482" customFormat="1" x14ac:dyDescent="0.2">
      <c r="A20" s="527"/>
      <c r="B20" s="483" t="s">
        <v>1649</v>
      </c>
      <c r="C20" s="485">
        <v>452000000</v>
      </c>
      <c r="D20" s="486">
        <f>COUNTIF('Actualizada - presupuesto'!$E$7:$E$111,'Resumen_Seguimiento Presupuesto'!B20)</f>
        <v>3</v>
      </c>
      <c r="E20" s="485">
        <f>SUMIFS('Actualizada - presupuesto'!$F$7:$F$111,'Actualizada - presupuesto'!$E$7:$E$111,B20)</f>
        <v>448015000</v>
      </c>
      <c r="F20" s="487">
        <f>COUNTIFS('Actualizada - presupuesto'!$L$7:$L$111,"SI",'Actualizada - presupuesto'!$E$7:$E$111,B20)</f>
        <v>2</v>
      </c>
      <c r="G20" s="488">
        <f>SUMIFS('Actualizada - presupuesto'!$F$7:$F$111,'Actualizada - presupuesto'!$E$7:$E$111,B20,'Actualizada - presupuesto'!$L$7:$L$111,"SI")</f>
        <v>448015000</v>
      </c>
      <c r="H20" s="484" t="e">
        <f>SUMIFS('Actualizada - presupuesto'!$AM$7:$AM$111,'Actualizada - presupuesto'!$E$7:$E$111,B20)</f>
        <v>#N/A</v>
      </c>
      <c r="I20" s="490" t="e">
        <f t="shared" si="1"/>
        <v>#N/A</v>
      </c>
      <c r="J20" s="485">
        <f>SUMIFS('Actualizada - presupuesto'!$AW$7:$AW$111,'Actualizada - presupuesto'!$E$7:$E$111,B20)</f>
        <v>85074</v>
      </c>
      <c r="K20" s="491">
        <f t="shared" si="0"/>
        <v>1.8821681415929204E-4</v>
      </c>
      <c r="L20" s="527"/>
    </row>
    <row r="21" spans="1:12" s="482" customFormat="1" x14ac:dyDescent="0.2">
      <c r="A21" s="527"/>
      <c r="B21" s="483" t="s">
        <v>1650</v>
      </c>
      <c r="C21" s="485">
        <v>223000000</v>
      </c>
      <c r="D21" s="486">
        <f>COUNTIF('Actualizada - presupuesto'!$E$7:$E$111,'Resumen_Seguimiento Presupuesto'!B21)</f>
        <v>4</v>
      </c>
      <c r="E21" s="485">
        <f>SUMIFS('Actualizada - presupuesto'!$F$7:$F$111,'Actualizada - presupuesto'!$E$7:$E$111,B21)</f>
        <v>208212000</v>
      </c>
      <c r="F21" s="487">
        <f>COUNTIFS('Actualizada - presupuesto'!$L$7:$L$111,"SI",'Actualizada - presupuesto'!$E$7:$E$111,B21)</f>
        <v>4</v>
      </c>
      <c r="G21" s="488">
        <f>SUMIFS('Actualizada - presupuesto'!$F$7:$F$111,'Actualizada - presupuesto'!$E$7:$E$111,B21,'Actualizada - presupuesto'!$L$7:$L$111,"SI")</f>
        <v>208212000</v>
      </c>
      <c r="H21" s="484">
        <f>SUMIFS('Actualizada - presupuesto'!$AM$7:$AM$111,'Actualizada - presupuesto'!$E$7:$E$111,B21)</f>
        <v>0</v>
      </c>
      <c r="I21" s="490">
        <f t="shared" si="1"/>
        <v>0</v>
      </c>
      <c r="J21" s="485">
        <f>SUMIFS('Actualizada - presupuesto'!$AW$7:$AW$111,'Actualizada - presupuesto'!$E$7:$E$111,B21)</f>
        <v>169874</v>
      </c>
      <c r="K21" s="491">
        <f t="shared" si="0"/>
        <v>7.6176681614349771E-4</v>
      </c>
      <c r="L21" s="527"/>
    </row>
    <row r="22" spans="1:12" s="482" customFormat="1" x14ac:dyDescent="0.2">
      <c r="A22" s="527"/>
      <c r="B22" s="503" t="s">
        <v>1651</v>
      </c>
      <c r="C22" s="500">
        <v>7182000000</v>
      </c>
      <c r="D22" s="486"/>
      <c r="E22" s="485"/>
      <c r="F22" s="487"/>
      <c r="G22" s="488"/>
      <c r="H22" s="484"/>
      <c r="I22" s="490"/>
      <c r="J22" s="485"/>
      <c r="K22" s="491"/>
      <c r="L22" s="527"/>
    </row>
    <row r="23" spans="1:12" s="482" customFormat="1" x14ac:dyDescent="0.2">
      <c r="A23" s="527"/>
      <c r="B23" s="483" t="s">
        <v>1652</v>
      </c>
      <c r="C23" s="485">
        <v>229000000</v>
      </c>
      <c r="D23" s="486">
        <f>COUNTIF('Actualizada - presupuesto'!$E$7:$E$111,'Resumen_Seguimiento Presupuesto'!B23)</f>
        <v>5</v>
      </c>
      <c r="E23" s="485">
        <f>SUMIFS('Actualizada - presupuesto'!$F$7:$F$111,'Actualizada - presupuesto'!$E$7:$E$111,B23)</f>
        <v>201208146</v>
      </c>
      <c r="F23" s="487">
        <f>COUNTIFS('Actualizada - presupuesto'!$L$7:$L$111,"SI",'Actualizada - presupuesto'!$E$7:$E$111,B23)</f>
        <v>5</v>
      </c>
      <c r="G23" s="488">
        <f>SUMIFS('Actualizada - presupuesto'!$F$7:$F$111,'Actualizada - presupuesto'!$E$7:$E$111,B23,'Actualizada - presupuesto'!$L$7:$L$111,"SI")</f>
        <v>201208146</v>
      </c>
      <c r="H23" s="484" t="e">
        <f>SUMIFS('Actualizada - presupuesto'!$AM$7:$AM$111,'Actualizada - presupuesto'!$E$7:$E$111,B23)</f>
        <v>#N/A</v>
      </c>
      <c r="I23" s="490" t="e">
        <f t="shared" si="1"/>
        <v>#N/A</v>
      </c>
      <c r="J23" s="485">
        <f>SUMIFS('Actualizada - presupuesto'!$AW$7:$AW$111,'Actualizada - presupuesto'!$E$7:$E$111,B23)</f>
        <v>127533</v>
      </c>
      <c r="K23" s="491">
        <f t="shared" si="0"/>
        <v>5.5691266375545848E-4</v>
      </c>
      <c r="L23" s="527"/>
    </row>
    <row r="24" spans="1:12" s="482" customFormat="1" x14ac:dyDescent="0.2">
      <c r="A24" s="527"/>
      <c r="B24" s="483" t="s">
        <v>1653</v>
      </c>
      <c r="C24" s="485">
        <v>54000000</v>
      </c>
      <c r="D24" s="486">
        <f>COUNTIF('Actualizada - presupuesto'!$E$7:$E$111,'Resumen_Seguimiento Presupuesto'!B24)</f>
        <v>11</v>
      </c>
      <c r="E24" s="485">
        <f>SUMIFS('Actualizada - presupuesto'!$F$7:$F$111,'Actualizada - presupuesto'!$E$7:$E$111,B24)</f>
        <v>48599594</v>
      </c>
      <c r="F24" s="487">
        <f>COUNTIFS('Actualizada - presupuesto'!$L$7:$L$111,"SI",'Actualizada - presupuesto'!$E$7:$E$111,B24)</f>
        <v>10</v>
      </c>
      <c r="G24" s="488">
        <f>SUMIFS('Actualizada - presupuesto'!$F$7:$F$111,'Actualizada - presupuesto'!$E$7:$E$111,B24,'Actualizada - presupuesto'!$L$7:$L$111,"SI")</f>
        <v>48599594</v>
      </c>
      <c r="H24" s="484" t="e">
        <f>SUMIFS('Actualizada - presupuesto'!$AM$7:$AM$111,'Actualizada - presupuesto'!$E$7:$E$111,B24)</f>
        <v>#N/A</v>
      </c>
      <c r="I24" s="490" t="e">
        <f t="shared" si="1"/>
        <v>#N/A</v>
      </c>
      <c r="J24" s="485">
        <f>SUMIFS('Actualizada - presupuesto'!$AW$7:$AW$111,'Actualizada - presupuesto'!$E$7:$E$111,B24)</f>
        <v>382969</v>
      </c>
      <c r="K24" s="491">
        <f t="shared" si="0"/>
        <v>7.0920185185185183E-3</v>
      </c>
      <c r="L24" s="527"/>
    </row>
    <row r="25" spans="1:12" s="482" customFormat="1" x14ac:dyDescent="0.2">
      <c r="A25" s="527"/>
      <c r="B25" s="503" t="s">
        <v>1654</v>
      </c>
      <c r="C25" s="500">
        <v>1243000000</v>
      </c>
      <c r="D25" s="486"/>
      <c r="E25" s="485"/>
      <c r="F25" s="487"/>
      <c r="G25" s="488"/>
      <c r="H25" s="484"/>
      <c r="I25" s="490"/>
      <c r="J25" s="485"/>
      <c r="K25" s="491"/>
      <c r="L25" s="527"/>
    </row>
    <row r="26" spans="1:12" s="482" customFormat="1" x14ac:dyDescent="0.2">
      <c r="A26" s="527"/>
      <c r="B26" s="483" t="s">
        <v>1655</v>
      </c>
      <c r="C26" s="485">
        <v>1243000000</v>
      </c>
      <c r="D26" s="486">
        <f>COUNTIF('Actualizada - presupuesto'!$E$7:$E$111,'Resumen_Seguimiento Presupuesto'!B26)</f>
        <v>17</v>
      </c>
      <c r="E26" s="485" t="e">
        <f>SUMIFS('Actualizada - presupuesto'!$F$7:$F$111,'Actualizada - presupuesto'!$E$7:$E$111,B26)</f>
        <v>#N/A</v>
      </c>
      <c r="F26" s="487">
        <f>COUNTIFS('Actualizada - presupuesto'!$L$7:$L$111,"SI",'Actualizada - presupuesto'!$E$7:$E$111,B26)</f>
        <v>16</v>
      </c>
      <c r="G26" s="488">
        <f>SUMIFS('Actualizada - presupuesto'!$F$7:$F$111,'Actualizada - presupuesto'!$E$7:$E$111,B26,'Actualizada - presupuesto'!$L$7:$L$111,"SI")</f>
        <v>1068156710</v>
      </c>
      <c r="H26" s="484">
        <f>SUMIFS('Actualizada - presupuesto'!$AM$7:$AM$111,'Actualizada - presupuesto'!$E$7:$E$111,B26)</f>
        <v>0</v>
      </c>
      <c r="I26" s="490">
        <f t="shared" si="1"/>
        <v>0</v>
      </c>
      <c r="J26" s="485">
        <f>SUMIFS('Actualizada - presupuesto'!$AW$7:$AW$111,'Actualizada - presupuesto'!$E$7:$E$111,B26)</f>
        <v>723787</v>
      </c>
      <c r="K26" s="491">
        <f t="shared" si="0"/>
        <v>5.8229042638777151E-4</v>
      </c>
      <c r="L26" s="527"/>
    </row>
    <row r="27" spans="1:12" s="482" customFormat="1" x14ac:dyDescent="0.2">
      <c r="A27" s="527"/>
      <c r="B27" s="503" t="s">
        <v>1656</v>
      </c>
      <c r="C27" s="500">
        <v>1488000000</v>
      </c>
      <c r="D27" s="486"/>
      <c r="E27" s="485"/>
      <c r="F27" s="487"/>
      <c r="G27" s="488"/>
      <c r="H27" s="484"/>
      <c r="I27" s="490"/>
      <c r="J27" s="485"/>
      <c r="K27" s="491"/>
      <c r="L27" s="527"/>
    </row>
    <row r="28" spans="1:12" s="482" customFormat="1" x14ac:dyDescent="0.2">
      <c r="A28" s="527"/>
      <c r="B28" s="483" t="s">
        <v>1657</v>
      </c>
      <c r="C28" s="485">
        <v>194693000</v>
      </c>
      <c r="D28" s="486">
        <f>COUNTIF('Actualizada - presupuesto'!$E$7:$E$111,'Resumen_Seguimiento Presupuesto'!B28)</f>
        <v>2</v>
      </c>
      <c r="E28" s="485">
        <f>SUMIFS('Actualizada - presupuesto'!$F$7:$F$111,'Actualizada - presupuesto'!$E$7:$E$111,B28)</f>
        <v>178692210</v>
      </c>
      <c r="F28" s="487">
        <f>COUNTIFS('Actualizada - presupuesto'!$L$7:$L$111,"SI",'Actualizada - presupuesto'!$E$7:$E$111,B28)</f>
        <v>0</v>
      </c>
      <c r="G28" s="488">
        <f>SUMIFS('Actualizada - presupuesto'!$F$7:$F$111,'Actualizada - presupuesto'!$E$7:$E$111,B28,'Actualizada - presupuesto'!$L$7:$L$111,"SI")</f>
        <v>0</v>
      </c>
      <c r="H28" s="484" t="e">
        <f>SUMIFS('Actualizada - presupuesto'!$AM$7:$AM$111,'Actualizada - presupuesto'!$E$7:$E$111,B28)</f>
        <v>#N/A</v>
      </c>
      <c r="I28" s="490" t="e">
        <f t="shared" si="1"/>
        <v>#N/A</v>
      </c>
      <c r="J28" s="485">
        <f>SUMIFS('Actualizada - presupuesto'!$AW$7:$AW$111,'Actualizada - presupuesto'!$E$7:$E$111,B28)</f>
        <v>0</v>
      </c>
      <c r="K28" s="491">
        <f t="shared" si="0"/>
        <v>0</v>
      </c>
      <c r="L28" s="527"/>
    </row>
    <row r="29" spans="1:12" s="482" customFormat="1" x14ac:dyDescent="0.2">
      <c r="A29" s="527"/>
      <c r="B29" s="483" t="s">
        <v>1658</v>
      </c>
      <c r="C29" s="485">
        <v>212307000</v>
      </c>
      <c r="D29" s="486">
        <f>COUNTIF('Actualizada - presupuesto'!$E$7:$E$111,'Resumen_Seguimiento Presupuesto'!B29)</f>
        <v>2</v>
      </c>
      <c r="E29" s="485">
        <f>SUMIFS('Actualizada - presupuesto'!$F$7:$F$111,'Actualizada - presupuesto'!$E$7:$E$111,B29)</f>
        <v>200314259</v>
      </c>
      <c r="F29" s="487">
        <f>COUNTIFS('Actualizada - presupuesto'!$L$7:$L$111,"SI",'Actualizada - presupuesto'!$E$7:$E$111,B29)</f>
        <v>0</v>
      </c>
      <c r="G29" s="488">
        <f>SUMIFS('Actualizada - presupuesto'!$F$7:$F$111,'Actualizada - presupuesto'!$E$7:$E$111,B29,'Actualizada - presupuesto'!$L$7:$L$111,"SI")</f>
        <v>0</v>
      </c>
      <c r="H29" s="484" t="e">
        <f>SUMIFS('Actualizada - presupuesto'!$AM$7:$AM$111,'Actualizada - presupuesto'!$E$7:$E$111,B29)</f>
        <v>#N/A</v>
      </c>
      <c r="I29" s="490" t="e">
        <f t="shared" si="1"/>
        <v>#N/A</v>
      </c>
      <c r="J29" s="485">
        <f>SUMIFS('Actualizada - presupuesto'!$AW$7:$AW$111,'Actualizada - presupuesto'!$E$7:$E$111,B29)</f>
        <v>0</v>
      </c>
      <c r="K29" s="491">
        <f t="shared" si="0"/>
        <v>0</v>
      </c>
      <c r="L29" s="527"/>
    </row>
    <row r="30" spans="1:12" s="482" customFormat="1" x14ac:dyDescent="0.2">
      <c r="A30" s="527"/>
      <c r="B30" s="483" t="s">
        <v>1659</v>
      </c>
      <c r="C30" s="485">
        <v>1081000000</v>
      </c>
      <c r="D30" s="486">
        <f>COUNTIF('Actualizada - presupuesto'!$E$7:$E$111,'Resumen_Seguimiento Presupuesto'!B30)</f>
        <v>0</v>
      </c>
      <c r="E30" s="485">
        <f>SUMIFS('Actualizada - presupuesto'!$F$7:$F$111,'Actualizada - presupuesto'!$E$7:$E$111,B30)</f>
        <v>0</v>
      </c>
      <c r="F30" s="487">
        <f>COUNTIFS('Actualizada - presupuesto'!$L$7:$L$111,"SI",'Actualizada - presupuesto'!$E$7:$E$111,B30)</f>
        <v>0</v>
      </c>
      <c r="G30" s="488">
        <f>SUMIFS('Actualizada - presupuesto'!$F$7:$F$111,'Actualizada - presupuesto'!$E$7:$E$111,B30,'Actualizada - presupuesto'!$L$7:$L$111,"SI")</f>
        <v>0</v>
      </c>
      <c r="H30" s="484">
        <f>SUMIFS('Actualizada - presupuesto'!$AM$7:$AM$111,'Actualizada - presupuesto'!$E$7:$E$111,B30)</f>
        <v>0</v>
      </c>
      <c r="I30" s="490">
        <f t="shared" si="1"/>
        <v>0</v>
      </c>
      <c r="J30" s="485">
        <f>SUMIFS('Actualizada - presupuesto'!$AW$7:$AW$111,'Actualizada - presupuesto'!$E$7:$E$111,B30)</f>
        <v>0</v>
      </c>
      <c r="K30" s="491">
        <f t="shared" si="0"/>
        <v>0</v>
      </c>
      <c r="L30" s="527"/>
    </row>
    <row r="31" spans="1:12" s="482" customFormat="1" x14ac:dyDescent="0.2">
      <c r="A31" s="527"/>
      <c r="B31" s="503" t="s">
        <v>1660</v>
      </c>
      <c r="C31" s="500">
        <v>430000000</v>
      </c>
      <c r="D31" s="486"/>
      <c r="E31" s="485"/>
      <c r="F31" s="487"/>
      <c r="G31" s="488"/>
      <c r="H31" s="484"/>
      <c r="I31" s="490"/>
      <c r="J31" s="485"/>
      <c r="K31" s="491"/>
      <c r="L31" s="527"/>
    </row>
    <row r="32" spans="1:12" s="482" customFormat="1" x14ac:dyDescent="0.2">
      <c r="A32" s="527"/>
      <c r="B32" s="483" t="s">
        <v>1661</v>
      </c>
      <c r="C32" s="485">
        <v>206250000</v>
      </c>
      <c r="D32" s="486">
        <f>COUNTIF('Actualizada - presupuesto'!$E$7:$E$111,'Resumen_Seguimiento Presupuesto'!B32)</f>
        <v>0</v>
      </c>
      <c r="E32" s="485">
        <f>SUMIFS('Actualizada - presupuesto'!$F$7:$F$111,'Actualizada - presupuesto'!$E$7:$E$111,B32)</f>
        <v>0</v>
      </c>
      <c r="F32" s="487">
        <f>COUNTIFS('Actualizada - presupuesto'!$L$7:$L$111,"SI",'Actualizada - presupuesto'!$E$7:$E$111,B32)</f>
        <v>0</v>
      </c>
      <c r="G32" s="488">
        <f>SUMIFS('Actualizada - presupuesto'!$F$7:$F$111,'Actualizada - presupuesto'!$E$7:$E$111,B32,'Actualizada - presupuesto'!$L$7:$L$111,"SI")</f>
        <v>0</v>
      </c>
      <c r="H32" s="484">
        <f>SUMIFS('Actualizada - presupuesto'!$AM$7:$AM$111,'Actualizada - presupuesto'!$E$7:$E$111,B32)</f>
        <v>0</v>
      </c>
      <c r="I32" s="490">
        <f t="shared" si="1"/>
        <v>0</v>
      </c>
      <c r="J32" s="485">
        <f>SUMIFS('Actualizada - presupuesto'!$AW$7:$AW$111,'Actualizada - presupuesto'!$E$7:$E$111,B32)</f>
        <v>0</v>
      </c>
      <c r="K32" s="491">
        <f t="shared" si="0"/>
        <v>0</v>
      </c>
      <c r="L32" s="527"/>
    </row>
    <row r="33" spans="1:12" s="482" customFormat="1" x14ac:dyDescent="0.2">
      <c r="A33" s="527"/>
      <c r="B33" s="483" t="s">
        <v>1662</v>
      </c>
      <c r="C33" s="485">
        <v>36750000</v>
      </c>
      <c r="D33" s="486">
        <f>COUNTIF('Actualizada - presupuesto'!$E$7:$E$111,'Resumen_Seguimiento Presupuesto'!B33)</f>
        <v>0</v>
      </c>
      <c r="E33" s="485">
        <f>SUMIFS('Actualizada - presupuesto'!$F$7:$F$111,'Actualizada - presupuesto'!$E$7:$E$111,B33)</f>
        <v>0</v>
      </c>
      <c r="F33" s="487">
        <f>COUNTIFS('Actualizada - presupuesto'!$L$7:$L$111,"SI",'Actualizada - presupuesto'!$E$7:$E$111,B33)</f>
        <v>0</v>
      </c>
      <c r="G33" s="488">
        <f>SUMIFS('Actualizada - presupuesto'!$F$7:$F$111,'Actualizada - presupuesto'!$E$7:$E$111,B33,'Actualizada - presupuesto'!$L$7:$L$111,"SI")</f>
        <v>0</v>
      </c>
      <c r="H33" s="484">
        <f>SUMIFS('Actualizada - presupuesto'!$AM$7:$AM$111,'Actualizada - presupuesto'!$E$7:$E$111,B33)</f>
        <v>0</v>
      </c>
      <c r="I33" s="490">
        <f t="shared" si="1"/>
        <v>0</v>
      </c>
      <c r="J33" s="485">
        <f>SUMIFS('Actualizada - presupuesto'!$AW$7:$AW$111,'Actualizada - presupuesto'!$E$7:$E$111,B33)</f>
        <v>0</v>
      </c>
      <c r="K33" s="491">
        <f t="shared" si="0"/>
        <v>0</v>
      </c>
      <c r="L33" s="527"/>
    </row>
    <row r="34" spans="1:12" s="482" customFormat="1" x14ac:dyDescent="0.2">
      <c r="A34" s="527"/>
      <c r="B34" s="483" t="s">
        <v>1663</v>
      </c>
      <c r="C34" s="485">
        <v>58000000</v>
      </c>
      <c r="D34" s="486">
        <f>COUNTIF('Actualizada - presupuesto'!$E$7:$E$111,'Resumen_Seguimiento Presupuesto'!B34)</f>
        <v>0</v>
      </c>
      <c r="E34" s="485">
        <f>SUMIFS('Actualizada - presupuesto'!$F$7:$F$111,'Actualizada - presupuesto'!$E$7:$E$111,B34)</f>
        <v>0</v>
      </c>
      <c r="F34" s="487">
        <f>COUNTIFS('Actualizada - presupuesto'!$L$7:$L$111,"SI",'Actualizada - presupuesto'!$E$7:$E$111,B34)</f>
        <v>0</v>
      </c>
      <c r="G34" s="488">
        <f>SUMIFS('Actualizada - presupuesto'!$F$7:$F$111,'Actualizada - presupuesto'!$E$7:$E$111,B34,'Actualizada - presupuesto'!$L$7:$L$111,"SI")</f>
        <v>0</v>
      </c>
      <c r="H34" s="484">
        <f>SUMIFS('Actualizada - presupuesto'!$AM$7:$AM$111,'Actualizada - presupuesto'!$E$7:$E$111,B34)</f>
        <v>0</v>
      </c>
      <c r="I34" s="490">
        <f t="shared" si="1"/>
        <v>0</v>
      </c>
      <c r="J34" s="485">
        <f>SUMIFS('Actualizada - presupuesto'!$AW$7:$AW$111,'Actualizada - presupuesto'!$E$7:$E$111,B34)</f>
        <v>0</v>
      </c>
      <c r="K34" s="491">
        <f t="shared" si="0"/>
        <v>0</v>
      </c>
      <c r="L34" s="527"/>
    </row>
    <row r="35" spans="1:12" s="482" customFormat="1" x14ac:dyDescent="0.2">
      <c r="A35" s="527"/>
      <c r="B35" s="483" t="s">
        <v>1664</v>
      </c>
      <c r="C35" s="485">
        <v>129000000</v>
      </c>
      <c r="D35" s="486">
        <f>COUNTIF('Actualizada - presupuesto'!$E$7:$E$111,'Resumen_Seguimiento Presupuesto'!B35)</f>
        <v>0</v>
      </c>
      <c r="E35" s="485">
        <f>SUMIFS('Actualizada - presupuesto'!$F$7:$F$111,'Actualizada - presupuesto'!$E$7:$E$111,B35)</f>
        <v>0</v>
      </c>
      <c r="F35" s="487">
        <f>COUNTIFS('Actualizada - presupuesto'!$L$7:$L$111,"SI",'Actualizada - presupuesto'!$E$7:$E$111,B35)</f>
        <v>0</v>
      </c>
      <c r="G35" s="488">
        <f>SUMIFS('Actualizada - presupuesto'!$F$7:$F$111,'Actualizada - presupuesto'!$E$7:$E$111,B35,'Actualizada - presupuesto'!$L$7:$L$111,"SI")</f>
        <v>0</v>
      </c>
      <c r="H35" s="484">
        <f>SUMIFS('Actualizada - presupuesto'!$AM$7:$AM$111,'Actualizada - presupuesto'!$E$7:$E$111,B35)</f>
        <v>0</v>
      </c>
      <c r="I35" s="490">
        <f t="shared" si="1"/>
        <v>0</v>
      </c>
      <c r="J35" s="485">
        <f>SUMIFS('Actualizada - presupuesto'!$AW$7:$AW$111,'Actualizada - presupuesto'!$E$7:$E$111,B35)</f>
        <v>0</v>
      </c>
      <c r="K35" s="491">
        <f t="shared" si="0"/>
        <v>0</v>
      </c>
      <c r="L35" s="527"/>
    </row>
    <row r="36" spans="1:12" s="482" customFormat="1" x14ac:dyDescent="0.2">
      <c r="A36" s="527"/>
      <c r="B36" s="503" t="s">
        <v>1665</v>
      </c>
      <c r="C36" s="500">
        <v>478000000</v>
      </c>
      <c r="D36" s="486"/>
      <c r="E36" s="485"/>
      <c r="F36" s="487"/>
      <c r="G36" s="488"/>
      <c r="H36" s="484"/>
      <c r="I36" s="490"/>
      <c r="J36" s="485"/>
      <c r="K36" s="491"/>
      <c r="L36" s="527"/>
    </row>
    <row r="37" spans="1:12" s="482" customFormat="1" x14ac:dyDescent="0.2">
      <c r="A37" s="527"/>
      <c r="B37" s="483" t="s">
        <v>1666</v>
      </c>
      <c r="C37" s="485">
        <v>478000000</v>
      </c>
      <c r="D37" s="486">
        <f>COUNTIF('Actualizada - presupuesto'!$E$7:$E$111,'Resumen_Seguimiento Presupuesto'!B37)</f>
        <v>1</v>
      </c>
      <c r="E37" s="485">
        <f>SUMIFS('Actualizada - presupuesto'!$F$7:$F$111,'Actualizada - presupuesto'!$E$7:$E$111,B37)</f>
        <v>478000000</v>
      </c>
      <c r="F37" s="487">
        <f>COUNTIFS('Actualizada - presupuesto'!$L$7:$L$111,"SI",'Actualizada - presupuesto'!$E$7:$E$111,B37)</f>
        <v>1</v>
      </c>
      <c r="G37" s="488">
        <f>SUMIFS('Actualizada - presupuesto'!$F$7:$F$111,'Actualizada - presupuesto'!$E$7:$E$111,B37,'Actualizada - presupuesto'!$L$7:$L$111,"SI")</f>
        <v>478000000</v>
      </c>
      <c r="H37" s="484">
        <f>SUMIFS('Actualizada - presupuesto'!$AM$7:$AM$111,'Actualizada - presupuesto'!$E$7:$E$111,B37)</f>
        <v>0</v>
      </c>
      <c r="I37" s="490">
        <f t="shared" si="1"/>
        <v>0</v>
      </c>
      <c r="J37" s="485">
        <f>SUMIFS('Actualizada - presupuesto'!$AW$7:$AW$111,'Actualizada - presupuesto'!$E$7:$E$111,B37)</f>
        <v>42704</v>
      </c>
      <c r="K37" s="491">
        <f t="shared" si="0"/>
        <v>8.9338912133891208E-5</v>
      </c>
      <c r="L37" s="527"/>
    </row>
    <row r="38" spans="1:12" s="482" customFormat="1" x14ac:dyDescent="0.2">
      <c r="A38" s="527"/>
      <c r="B38" s="483" t="s">
        <v>1667</v>
      </c>
      <c r="C38" s="485">
        <v>834000000</v>
      </c>
      <c r="D38" s="486">
        <f>COUNTIF('Actualizada - presupuesto'!$E$7:$E$111,'Resumen_Seguimiento Presupuesto'!B38)</f>
        <v>3</v>
      </c>
      <c r="E38" s="485">
        <f>SUMIFS('Actualizada - presupuesto'!$F$7:$F$111,'Actualizada - presupuesto'!$E$7:$E$111,B38)</f>
        <v>606630800</v>
      </c>
      <c r="F38" s="487">
        <f>COUNTIFS('Actualizada - presupuesto'!$L$7:$L$111,"SI",'Actualizada - presupuesto'!$E$7:$E$111,B38)</f>
        <v>3</v>
      </c>
      <c r="G38" s="488">
        <f>SUMIFS('Actualizada - presupuesto'!$F$7:$F$111,'Actualizada - presupuesto'!$E$7:$E$111,B38,'Actualizada - presupuesto'!$L$7:$L$111,"SI")</f>
        <v>606630800</v>
      </c>
      <c r="H38" s="484">
        <f>SUMIFS('Actualizada - presupuesto'!$AM$7:$AM$111,'Actualizada - presupuesto'!$E$7:$E$111,B38)</f>
        <v>0</v>
      </c>
      <c r="I38" s="490">
        <f t="shared" si="1"/>
        <v>0</v>
      </c>
      <c r="J38" s="485">
        <f>SUMIFS('Actualizada - presupuesto'!$AW$7:$AW$111,'Actualizada - presupuesto'!$E$7:$E$111,B38)</f>
        <v>85177</v>
      </c>
      <c r="K38" s="491">
        <f t="shared" si="0"/>
        <v>1.0213069544364508E-4</v>
      </c>
      <c r="L38" s="527"/>
    </row>
    <row r="39" spans="1:12" s="482" customFormat="1" x14ac:dyDescent="0.2">
      <c r="A39" s="527"/>
      <c r="B39" s="483" t="s">
        <v>1668</v>
      </c>
      <c r="C39" s="485">
        <v>478000000</v>
      </c>
      <c r="D39" s="486">
        <f>COUNTIF('Actualizada - presupuesto'!$E$7:$E$111,'Resumen_Seguimiento Presupuesto'!B39)</f>
        <v>4</v>
      </c>
      <c r="E39" s="485">
        <f>SUMIFS('Actualizada - presupuesto'!$F$7:$F$111,'Actualizada - presupuesto'!$E$7:$E$111,B39)</f>
        <v>343600000</v>
      </c>
      <c r="F39" s="487">
        <f>COUNTIFS('Actualizada - presupuesto'!$L$7:$L$111,"SI",'Actualizada - presupuesto'!$E$7:$E$111,B39)</f>
        <v>3</v>
      </c>
      <c r="G39" s="488">
        <f>SUMIFS('Actualizada - presupuesto'!$F$7:$F$111,'Actualizada - presupuesto'!$E$7:$E$111,B39,'Actualizada - presupuesto'!$L$7:$L$111,"SI")</f>
        <v>163600000</v>
      </c>
      <c r="H39" s="484">
        <f>SUMIFS('Actualizada - presupuesto'!$AM$7:$AM$111,'Actualizada - presupuesto'!$E$7:$E$111,B39)</f>
        <v>0</v>
      </c>
      <c r="I39" s="490">
        <f t="shared" si="1"/>
        <v>0</v>
      </c>
      <c r="J39" s="485">
        <f>SUMIFS('Actualizada - presupuesto'!$AW$7:$AW$111,'Actualizada - presupuesto'!$E$7:$E$111,B39)</f>
        <v>128016</v>
      </c>
      <c r="K39" s="491">
        <f t="shared" si="0"/>
        <v>2.6781589958158996E-4</v>
      </c>
      <c r="L39" s="527"/>
    </row>
    <row r="40" spans="1:12" s="482" customFormat="1" x14ac:dyDescent="0.2">
      <c r="A40" s="527"/>
      <c r="B40" s="483" t="s">
        <v>1669</v>
      </c>
      <c r="C40" s="485">
        <v>108000000</v>
      </c>
      <c r="D40" s="486">
        <f>COUNTIF('Actualizada - presupuesto'!$E$7:$E$111,'Resumen_Seguimiento Presupuesto'!B40)</f>
        <v>3</v>
      </c>
      <c r="E40" s="485">
        <f>SUMIFS('Actualizada - presupuesto'!$F$7:$F$111,'Actualizada - presupuesto'!$E$7:$E$111,B40)</f>
        <v>77531000</v>
      </c>
      <c r="F40" s="487">
        <f>COUNTIFS('Actualizada - presupuesto'!$L$7:$L$111,"SI",'Actualizada - presupuesto'!$E$7:$E$111,B40)</f>
        <v>3</v>
      </c>
      <c r="G40" s="488">
        <f>SUMIFS('Actualizada - presupuesto'!$F$7:$F$111,'Actualizada - presupuesto'!$E$7:$E$111,B40,'Actualizada - presupuesto'!$L$7:$L$111,"SI")</f>
        <v>77531000</v>
      </c>
      <c r="H40" s="484">
        <f>SUMIFS('Actualizada - presupuesto'!$AM$7:$AM$111,'Actualizada - presupuesto'!$E$7:$E$111,B40)</f>
        <v>0</v>
      </c>
      <c r="I40" s="490">
        <f t="shared" si="1"/>
        <v>0</v>
      </c>
      <c r="J40" s="485">
        <f>SUMIFS('Actualizada - presupuesto'!$AW$7:$AW$111,'Actualizada - presupuesto'!$E$7:$E$111,B40)</f>
        <v>127211</v>
      </c>
      <c r="K40" s="491">
        <f t="shared" si="0"/>
        <v>1.1778796296296296E-3</v>
      </c>
      <c r="L40" s="527"/>
    </row>
    <row r="41" spans="1:12" s="482" customFormat="1" ht="25.5" x14ac:dyDescent="0.2">
      <c r="A41" s="527"/>
      <c r="B41" s="503" t="s">
        <v>1670</v>
      </c>
      <c r="C41" s="500">
        <v>40000000</v>
      </c>
      <c r="D41" s="486"/>
      <c r="E41" s="485"/>
      <c r="F41" s="487"/>
      <c r="G41" s="488"/>
      <c r="H41" s="484"/>
      <c r="I41" s="490"/>
      <c r="J41" s="485"/>
      <c r="K41" s="491"/>
      <c r="L41" s="527"/>
    </row>
    <row r="42" spans="1:12" s="482" customFormat="1" ht="25.5" x14ac:dyDescent="0.2">
      <c r="A42" s="527"/>
      <c r="B42" s="483" t="s">
        <v>1671</v>
      </c>
      <c r="C42" s="485">
        <v>40000000</v>
      </c>
      <c r="D42" s="486">
        <f>COUNTIF('Actualizada - presupuesto'!$E$7:$E$111,'Resumen_Seguimiento Presupuesto'!B42)</f>
        <v>0</v>
      </c>
      <c r="E42" s="485">
        <f>SUMIFS('Actualizada - presupuesto'!$F$7:$F$111,'Actualizada - presupuesto'!$E$7:$E$111,B42)</f>
        <v>0</v>
      </c>
      <c r="F42" s="487">
        <f>COUNTIFS('Actualizada - presupuesto'!$L$7:$L$111,"SI",'Actualizada - presupuesto'!$E$7:$E$111,B42)</f>
        <v>0</v>
      </c>
      <c r="G42" s="488">
        <f>SUMIFS('Actualizada - presupuesto'!$F$7:$F$111,'Actualizada - presupuesto'!$E$7:$E$111,B42,'Actualizada - presupuesto'!$L$7:$L$111,"SI")</f>
        <v>0</v>
      </c>
      <c r="H42" s="484">
        <f>SUMIFS('Actualizada - presupuesto'!$AM$7:$AM$111,'Actualizada - presupuesto'!$E$7:$E$111,B42)</f>
        <v>0</v>
      </c>
      <c r="I42" s="490">
        <f t="shared" si="1"/>
        <v>0</v>
      </c>
      <c r="J42" s="485">
        <f>SUMIFS('Actualizada - presupuesto'!$AW$7:$AW$111,'Actualizada - presupuesto'!$E$7:$E$111,B42)</f>
        <v>0</v>
      </c>
      <c r="K42" s="491">
        <f t="shared" si="0"/>
        <v>0</v>
      </c>
      <c r="L42" s="527"/>
    </row>
    <row r="43" spans="1:12" s="482" customFormat="1" x14ac:dyDescent="0.2">
      <c r="A43" s="527"/>
      <c r="B43" s="483" t="s">
        <v>1672</v>
      </c>
      <c r="C43" s="485">
        <v>1800000000</v>
      </c>
      <c r="D43" s="486">
        <f>COUNTIF('Actualizada - presupuesto'!$E$7:$E$111,'Resumen_Seguimiento Presupuesto'!B43)</f>
        <v>2</v>
      </c>
      <c r="E43" s="485">
        <f>SUMIFS('Actualizada - presupuesto'!$F$7:$F$111,'Actualizada - presupuesto'!$E$7:$E$111,B43)</f>
        <v>1727938453</v>
      </c>
      <c r="F43" s="487">
        <f>COUNTIFS('Actualizada - presupuesto'!$L$7:$L$111,"SI",'Actualizada - presupuesto'!$E$7:$E$111,B43)</f>
        <v>2</v>
      </c>
      <c r="G43" s="488">
        <f>SUMIFS('Actualizada - presupuesto'!$F$7:$F$111,'Actualizada - presupuesto'!$E$7:$E$111,B43,'Actualizada - presupuesto'!$L$7:$L$111,"SI")</f>
        <v>1727938453</v>
      </c>
      <c r="H43" s="484">
        <f>SUMIFS('Actualizada - presupuesto'!$AM$7:$AM$111,'Actualizada - presupuesto'!$E$7:$E$111,B43)</f>
        <v>0</v>
      </c>
      <c r="I43" s="490">
        <f t="shared" si="1"/>
        <v>0</v>
      </c>
      <c r="J43" s="485">
        <f>SUMIFS('Actualizada - presupuesto'!$AW$7:$AW$111,'Actualizada - presupuesto'!$E$7:$E$111,B43)</f>
        <v>85216</v>
      </c>
      <c r="K43" s="491">
        <f t="shared" si="0"/>
        <v>4.734222222222222E-5</v>
      </c>
      <c r="L43" s="527"/>
    </row>
    <row r="44" spans="1:12" s="482" customFormat="1" x14ac:dyDescent="0.2">
      <c r="A44" s="527"/>
      <c r="B44" s="503" t="s">
        <v>1673</v>
      </c>
      <c r="C44" s="500">
        <v>1000000</v>
      </c>
      <c r="D44" s="486"/>
      <c r="E44" s="485"/>
      <c r="F44" s="487"/>
      <c r="G44" s="488"/>
      <c r="H44" s="484"/>
      <c r="I44" s="490"/>
      <c r="J44" s="485"/>
      <c r="K44" s="491"/>
      <c r="L44" s="527"/>
    </row>
    <row r="45" spans="1:12" s="482" customFormat="1" ht="25.5" x14ac:dyDescent="0.2">
      <c r="A45" s="527"/>
      <c r="B45" s="483" t="s">
        <v>1674</v>
      </c>
      <c r="C45" s="485">
        <v>1000000</v>
      </c>
      <c r="D45" s="486">
        <f>COUNTIF('Actualizada - presupuesto'!$E$7:$E$111,'Resumen_Seguimiento Presupuesto'!B45)</f>
        <v>0</v>
      </c>
      <c r="E45" s="485">
        <f>SUMIFS('Actualizada - presupuesto'!$F$7:$F$111,'Actualizada - presupuesto'!$E$7:$E$111,B45)</f>
        <v>0</v>
      </c>
      <c r="F45" s="487">
        <f>COUNTIFS('Actualizada - presupuesto'!$L$7:$L$111,"SI",'Actualizada - presupuesto'!$E$7:$E$111,B45)</f>
        <v>0</v>
      </c>
      <c r="G45" s="488">
        <f>SUMIFS('Actualizada - presupuesto'!$F$7:$F$111,'Actualizada - presupuesto'!$E$7:$E$111,B45,'Actualizada - presupuesto'!$L$7:$L$111,"SI")</f>
        <v>0</v>
      </c>
      <c r="H45" s="484">
        <f>SUMIFS('Actualizada - presupuesto'!$AM$7:$AM$111,'Actualizada - presupuesto'!$E$7:$E$111,B45)</f>
        <v>0</v>
      </c>
      <c r="I45" s="490">
        <f t="shared" si="1"/>
        <v>0</v>
      </c>
      <c r="J45" s="485">
        <f>SUMIFS('Actualizada - presupuesto'!$AW$7:$AW$111,'Actualizada - presupuesto'!$E$7:$E$111,B45)</f>
        <v>0</v>
      </c>
      <c r="K45" s="491">
        <f t="shared" si="0"/>
        <v>0</v>
      </c>
      <c r="L45" s="527"/>
    </row>
    <row r="46" spans="1:12" s="482" customFormat="1" x14ac:dyDescent="0.2">
      <c r="A46" s="527"/>
      <c r="B46" s="494" t="s">
        <v>1688</v>
      </c>
      <c r="C46" s="502">
        <v>7542477000</v>
      </c>
      <c r="D46" s="486"/>
      <c r="E46" s="485"/>
      <c r="F46" s="487"/>
      <c r="G46" s="488"/>
      <c r="H46" s="484"/>
      <c r="I46" s="490"/>
      <c r="J46" s="485"/>
      <c r="K46" s="491"/>
      <c r="L46" s="527"/>
    </row>
    <row r="47" spans="1:12" s="482" customFormat="1" x14ac:dyDescent="0.2">
      <c r="A47" s="527"/>
      <c r="B47" s="495" t="s">
        <v>1687</v>
      </c>
      <c r="C47" s="498">
        <v>7542477000</v>
      </c>
      <c r="D47" s="486"/>
      <c r="E47" s="485"/>
      <c r="F47" s="487"/>
      <c r="G47" s="488"/>
      <c r="H47" s="484"/>
      <c r="I47" s="490"/>
      <c r="J47" s="485"/>
      <c r="K47" s="491"/>
      <c r="L47" s="527"/>
    </row>
    <row r="48" spans="1:12" s="482" customFormat="1" x14ac:dyDescent="0.2">
      <c r="A48" s="527"/>
      <c r="B48" s="483" t="s">
        <v>1676</v>
      </c>
      <c r="C48" s="485">
        <v>7542477000</v>
      </c>
      <c r="D48" s="486">
        <f>COUNTIF('Actualizada - presupuesto'!$E$7:$E$111,'Resumen_Seguimiento Presupuesto'!B48)</f>
        <v>0</v>
      </c>
      <c r="E48" s="485">
        <f>SUMIFS('Actualizada - presupuesto'!$F$7:$F$111,'Actualizada - presupuesto'!$E$7:$E$111,B48)</f>
        <v>0</v>
      </c>
      <c r="F48" s="487">
        <f>COUNTIFS('Actualizada - presupuesto'!$L$7:$L$111,"SI",'Actualizada - presupuesto'!$E$7:$E$111,B48)</f>
        <v>0</v>
      </c>
      <c r="G48" s="488">
        <f>SUMIFS('Actualizada - presupuesto'!$F$7:$F$111,'Actualizada - presupuesto'!$E$7:$E$111,B48,'Actualizada - presupuesto'!$L$7:$L$111,"SI")</f>
        <v>0</v>
      </c>
      <c r="H48" s="484">
        <f>SUMIFS('Actualizada - presupuesto'!$AM$7:$AM$111,'Actualizada - presupuesto'!$E$7:$E$111,B48)</f>
        <v>0</v>
      </c>
      <c r="I48" s="490">
        <f t="shared" si="1"/>
        <v>0</v>
      </c>
      <c r="J48" s="485">
        <f>SUMIFS('Actualizada - presupuesto'!$AW$7:$AW$111,'Actualizada - presupuesto'!$E$7:$E$111,B48)</f>
        <v>0</v>
      </c>
      <c r="K48" s="491">
        <f t="shared" si="0"/>
        <v>0</v>
      </c>
      <c r="L48" s="527"/>
    </row>
    <row r="49" spans="1:12" s="482" customFormat="1" ht="25.5" x14ac:dyDescent="0.2">
      <c r="A49" s="527"/>
      <c r="B49" s="483" t="s">
        <v>1677</v>
      </c>
      <c r="C49" s="485">
        <v>7542477000</v>
      </c>
      <c r="D49" s="486">
        <f>COUNTIF('Actualizada - presupuesto'!$E$7:$E$111,'Resumen_Seguimiento Presupuesto'!B49)</f>
        <v>0</v>
      </c>
      <c r="E49" s="485">
        <f>SUMIFS('Actualizada - presupuesto'!$F$7:$F$111,'Actualizada - presupuesto'!$E$7:$E$111,B49)</f>
        <v>0</v>
      </c>
      <c r="F49" s="487">
        <f>COUNTIFS('Actualizada - presupuesto'!$L$7:$L$111,"SI",'Actualizada - presupuesto'!$E$7:$E$111,B49)</f>
        <v>0</v>
      </c>
      <c r="G49" s="488">
        <f>SUMIFS('Actualizada - presupuesto'!$F$7:$F$111,'Actualizada - presupuesto'!$E$7:$E$111,B49,'Actualizada - presupuesto'!$L$7:$L$111,"SI")</f>
        <v>0</v>
      </c>
      <c r="H49" s="484">
        <f>SUMIFS('Actualizada - presupuesto'!$AM$7:$AM$111,'Actualizada - presupuesto'!$E$7:$E$111,B49)</f>
        <v>0</v>
      </c>
      <c r="I49" s="490">
        <f t="shared" si="1"/>
        <v>0</v>
      </c>
      <c r="J49" s="485">
        <f>SUMIFS('Actualizada - presupuesto'!$AW$7:$AW$111,'Actualizada - presupuesto'!$E$7:$E$111,B49)</f>
        <v>0</v>
      </c>
      <c r="K49" s="491">
        <f t="shared" si="0"/>
        <v>0</v>
      </c>
      <c r="L49" s="527"/>
    </row>
    <row r="50" spans="1:12" s="482" customFormat="1" ht="25.5" x14ac:dyDescent="0.2">
      <c r="A50" s="527"/>
      <c r="B50" s="483" t="s">
        <v>1678</v>
      </c>
      <c r="C50" s="485">
        <v>7542477000</v>
      </c>
      <c r="D50" s="486">
        <f>COUNTIF('Actualizada - presupuesto'!$E$7:$E$111,'Resumen_Seguimiento Presupuesto'!B50)</f>
        <v>0</v>
      </c>
      <c r="E50" s="485">
        <f>SUMIFS('Actualizada - presupuesto'!$F$7:$F$111,'Actualizada - presupuesto'!$E$7:$E$111,B50)</f>
        <v>0</v>
      </c>
      <c r="F50" s="487">
        <f>COUNTIFS('Actualizada - presupuesto'!$L$7:$L$111,"SI",'Actualizada - presupuesto'!$E$7:$E$111,B50)</f>
        <v>0</v>
      </c>
      <c r="G50" s="488">
        <f>SUMIFS('Actualizada - presupuesto'!$F$7:$F$111,'Actualizada - presupuesto'!$E$7:$E$111,B50,'Actualizada - presupuesto'!$L$7:$L$111,"SI")</f>
        <v>0</v>
      </c>
      <c r="H50" s="484">
        <f>SUMIFS('Actualizada - presupuesto'!$AM$7:$AM$111,'Actualizada - presupuesto'!$E$7:$E$111,B50)</f>
        <v>0</v>
      </c>
      <c r="I50" s="490">
        <f t="shared" si="1"/>
        <v>0</v>
      </c>
      <c r="J50" s="485">
        <f>SUMIFS('Actualizada - presupuesto'!$AW$7:$AW$111,'Actualizada - presupuesto'!$E$7:$E$111,B50)</f>
        <v>0</v>
      </c>
      <c r="K50" s="491">
        <f t="shared" si="0"/>
        <v>0</v>
      </c>
      <c r="L50" s="527"/>
    </row>
    <row r="51" spans="1:12" s="482" customFormat="1" ht="25.5" x14ac:dyDescent="0.2">
      <c r="A51" s="527"/>
      <c r="B51" s="483" t="s">
        <v>1679</v>
      </c>
      <c r="C51" s="485">
        <v>7542477000</v>
      </c>
      <c r="D51" s="486">
        <f>COUNTIF('Actualizada - presupuesto'!$E$7:$E$111,'Resumen_Seguimiento Presupuesto'!B51)</f>
        <v>16</v>
      </c>
      <c r="E51" s="485" t="e">
        <f>SUMIFS('Actualizada - presupuesto'!$F$7:$F$111,'Actualizada - presupuesto'!$E$7:$E$111,B51)</f>
        <v>#N/A</v>
      </c>
      <c r="F51" s="487">
        <f>COUNTIFS('Actualizada - presupuesto'!$L$7:$L$111,"SI",'Actualizada - presupuesto'!$E$7:$E$111,B51)</f>
        <v>10</v>
      </c>
      <c r="G51" s="488" t="e">
        <f>SUMIFS('Actualizada - presupuesto'!$F$7:$F$111,'Actualizada - presupuesto'!$E$7:$E$111,B51,'Actualizada - presupuesto'!$L$7:$L$111,"SI")</f>
        <v>#N/A</v>
      </c>
      <c r="H51" s="484" t="e">
        <f>SUMIFS('Actualizada - presupuesto'!$AM$7:$AM$111,'Actualizada - presupuesto'!$E$7:$E$111,B51)</f>
        <v>#N/A</v>
      </c>
      <c r="I51" s="490" t="e">
        <f t="shared" si="1"/>
        <v>#N/A</v>
      </c>
      <c r="J51" s="485">
        <f>SUMIFS('Actualizada - presupuesto'!$AW$7:$AW$111,'Actualizada - presupuesto'!$E$7:$E$111,B51)</f>
        <v>254323</v>
      </c>
      <c r="K51" s="491">
        <f t="shared" si="0"/>
        <v>3.3718763742998489E-5</v>
      </c>
      <c r="L51" s="527"/>
    </row>
    <row r="52" spans="1:12" s="482" customFormat="1" ht="25.5" x14ac:dyDescent="0.2">
      <c r="A52" s="527"/>
      <c r="B52" s="483" t="s">
        <v>1680</v>
      </c>
      <c r="C52" s="485">
        <v>7542477000</v>
      </c>
      <c r="D52" s="486">
        <f>COUNTIF('Actualizada - presupuesto'!$E$7:$E$111,'Resumen_Seguimiento Presupuesto'!B52)</f>
        <v>0</v>
      </c>
      <c r="E52" s="485">
        <f>SUMIFS('Actualizada - presupuesto'!$F$7:$F$111,'Actualizada - presupuesto'!$E$7:$E$111,B52)</f>
        <v>0</v>
      </c>
      <c r="F52" s="487">
        <f>COUNTIFS('Actualizada - presupuesto'!$L$7:$L$111,"SI",'Actualizada - presupuesto'!$E$7:$E$111,B52)</f>
        <v>0</v>
      </c>
      <c r="G52" s="488">
        <f>SUMIFS('Actualizada - presupuesto'!$F$7:$F$111,'Actualizada - presupuesto'!$E$7:$E$111,B52,'Actualizada - presupuesto'!$L$7:$L$111,"SI")</f>
        <v>0</v>
      </c>
      <c r="H52" s="484">
        <f>SUMIFS('Actualizada - presupuesto'!$AM$7:$AM$111,'Actualizada - presupuesto'!$E$7:$E$111,B52)</f>
        <v>0</v>
      </c>
      <c r="I52" s="490">
        <f t="shared" si="1"/>
        <v>0</v>
      </c>
      <c r="J52" s="485">
        <f>SUMIFS('Actualizada - presupuesto'!$AW$7:$AW$111,'Actualizada - presupuesto'!$E$7:$E$111,B52)</f>
        <v>0</v>
      </c>
      <c r="K52" s="491">
        <f t="shared" si="0"/>
        <v>0</v>
      </c>
      <c r="L52" s="527"/>
    </row>
  </sheetData>
  <mergeCells count="2">
    <mergeCell ref="B6:K6"/>
    <mergeCell ref="B7:K7"/>
  </mergeCell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AA398"/>
  <sheetViews>
    <sheetView zoomScale="90" zoomScaleNormal="90" workbookViewId="0">
      <pane xSplit="5" ySplit="2" topLeftCell="F69" activePane="bottomRight" state="frozen"/>
      <selection pane="topRight" activeCell="F1" sqref="F1"/>
      <selection pane="bottomLeft" activeCell="A3" sqref="A3"/>
      <selection pane="bottomRight" activeCell="J95" sqref="J95"/>
    </sheetView>
  </sheetViews>
  <sheetFormatPr baseColWidth="10" defaultRowHeight="12" outlineLevelRow="1" x14ac:dyDescent="0.25"/>
  <cols>
    <col min="1" max="1" width="2.42578125" style="535" customWidth="1"/>
    <col min="2" max="2" width="10" style="535" customWidth="1"/>
    <col min="3" max="3" width="18" style="535" customWidth="1"/>
    <col min="4" max="4" width="46.140625" style="535" customWidth="1"/>
    <col min="5" max="5" width="18.42578125" style="535" customWidth="1"/>
    <col min="6" max="6" width="15.140625" style="535" customWidth="1"/>
    <col min="7" max="7" width="14.140625" style="535" hidden="1" customWidth="1"/>
    <col min="8" max="8" width="12.7109375" style="535" hidden="1" customWidth="1"/>
    <col min="9" max="9" width="15" style="535" hidden="1" customWidth="1"/>
    <col min="10" max="10" width="16.7109375" style="535" customWidth="1"/>
    <col min="11" max="11" width="9" style="611" customWidth="1"/>
    <col min="12" max="12" width="16.7109375" style="535" customWidth="1"/>
    <col min="13" max="13" width="12.85546875" style="535" hidden="1" customWidth="1"/>
    <col min="14" max="14" width="16.7109375" style="535" customWidth="1"/>
    <col min="15" max="15" width="16.7109375" style="697" customWidth="1"/>
    <col min="16" max="16" width="15.140625" style="547" customWidth="1"/>
    <col min="17" max="19" width="11.42578125" style="535" customWidth="1"/>
    <col min="20" max="20" width="16.7109375" style="535" customWidth="1"/>
    <col min="21" max="21" width="17.5703125" style="656" bestFit="1" customWidth="1"/>
    <col min="22" max="22" width="17.85546875" style="535" bestFit="1" customWidth="1"/>
    <col min="23" max="26" width="11.42578125" style="535"/>
    <col min="27" max="27" width="6.140625" style="535" customWidth="1"/>
    <col min="28" max="16384" width="11.42578125" style="535"/>
  </cols>
  <sheetData>
    <row r="1" spans="2:27" ht="23.25" customHeight="1" thickBot="1" x14ac:dyDescent="0.3">
      <c r="B1" s="1187" t="s">
        <v>1841</v>
      </c>
      <c r="C1" s="1188"/>
      <c r="D1" s="1188"/>
      <c r="E1" s="1188"/>
      <c r="F1" s="1188"/>
      <c r="G1" s="1188"/>
      <c r="H1" s="1188"/>
      <c r="I1" s="1188"/>
      <c r="J1" s="1188"/>
      <c r="K1" s="1188"/>
      <c r="L1" s="1188"/>
      <c r="M1" s="1188"/>
      <c r="N1" s="1188"/>
      <c r="O1" s="1188"/>
      <c r="P1" s="1188"/>
      <c r="Q1" s="1188"/>
      <c r="R1" s="1188"/>
      <c r="S1" s="1188"/>
      <c r="T1" s="1189"/>
      <c r="AA1" s="535" t="s">
        <v>1903</v>
      </c>
    </row>
    <row r="2" spans="2:27" ht="36" x14ac:dyDescent="0.25">
      <c r="B2" s="1185" t="s">
        <v>1783</v>
      </c>
      <c r="C2" s="1185"/>
      <c r="D2" s="1185"/>
      <c r="E2" s="729" t="s">
        <v>2265</v>
      </c>
      <c r="F2" s="729" t="s">
        <v>1842</v>
      </c>
      <c r="G2" s="729" t="s">
        <v>1897</v>
      </c>
      <c r="H2" s="729" t="s">
        <v>1898</v>
      </c>
      <c r="I2" s="729" t="s">
        <v>1840</v>
      </c>
      <c r="J2" s="729" t="s">
        <v>1899</v>
      </c>
      <c r="K2" s="716" t="s">
        <v>1900</v>
      </c>
      <c r="L2" s="729" t="s">
        <v>1901</v>
      </c>
      <c r="M2" s="729" t="s">
        <v>1902</v>
      </c>
      <c r="N2" s="729" t="s">
        <v>1904</v>
      </c>
      <c r="O2" s="717" t="s">
        <v>1122</v>
      </c>
      <c r="P2" s="718" t="s">
        <v>1847</v>
      </c>
      <c r="Q2" s="729" t="s">
        <v>1848</v>
      </c>
      <c r="R2" s="729" t="s">
        <v>1849</v>
      </c>
      <c r="S2" s="729" t="s">
        <v>375</v>
      </c>
      <c r="T2" s="729" t="s">
        <v>1850</v>
      </c>
    </row>
    <row r="3" spans="2:27" ht="15" customHeight="1" x14ac:dyDescent="0.25">
      <c r="B3" s="1183" t="s">
        <v>1686</v>
      </c>
      <c r="C3" s="1183"/>
      <c r="D3" s="1183"/>
      <c r="E3" s="541">
        <v>31035477000</v>
      </c>
      <c r="F3" s="541"/>
      <c r="G3" s="541"/>
      <c r="H3" s="541"/>
      <c r="I3" s="541">
        <f>+I4+I226</f>
        <v>8272977000</v>
      </c>
      <c r="J3" s="541">
        <f>+J4+J226</f>
        <v>27324734236.200001</v>
      </c>
      <c r="K3" s="646">
        <f t="shared" ref="K3:K8" si="0">+J3/E3</f>
        <v>0.88043545250488664</v>
      </c>
      <c r="L3" s="541">
        <f>+L4+L226</f>
        <v>3107763756</v>
      </c>
      <c r="M3" s="541">
        <f>+M4+M251</f>
        <v>132180622</v>
      </c>
      <c r="N3" s="541">
        <f>+N4+N226</f>
        <v>586182073.80000019</v>
      </c>
      <c r="O3" s="541"/>
      <c r="P3" s="651"/>
      <c r="Q3" s="571"/>
      <c r="R3" s="571"/>
      <c r="S3" s="571"/>
      <c r="T3" s="571"/>
    </row>
    <row r="4" spans="2:27" ht="15" customHeight="1" x14ac:dyDescent="0.25">
      <c r="B4" s="1183" t="s">
        <v>1684</v>
      </c>
      <c r="C4" s="1183"/>
      <c r="D4" s="1183"/>
      <c r="E4" s="541">
        <v>22793000000</v>
      </c>
      <c r="F4" s="542"/>
      <c r="G4" s="541">
        <f>+G5+G58</f>
        <v>858500000</v>
      </c>
      <c r="H4" s="541">
        <f>+H5+H58</f>
        <v>128000000</v>
      </c>
      <c r="I4" s="541">
        <f>+I5+I58</f>
        <v>730500000</v>
      </c>
      <c r="J4" s="541">
        <f>+J5+J49</f>
        <v>19666824034</v>
      </c>
      <c r="K4" s="646">
        <f t="shared" si="0"/>
        <v>0.86284491001623309</v>
      </c>
      <c r="L4" s="541">
        <f>+L5+L49</f>
        <v>2657286756</v>
      </c>
      <c r="M4" s="541">
        <f>+M5+M49</f>
        <v>132180622</v>
      </c>
      <c r="N4" s="541">
        <f>+N5+N49</f>
        <v>452092276</v>
      </c>
      <c r="O4" s="674"/>
      <c r="P4" s="572"/>
      <c r="Q4" s="571"/>
      <c r="R4" s="571"/>
      <c r="S4" s="571"/>
      <c r="T4" s="571"/>
    </row>
    <row r="5" spans="2:27" ht="15" customHeight="1" x14ac:dyDescent="0.25">
      <c r="B5" s="1182" t="s">
        <v>1683</v>
      </c>
      <c r="C5" s="1182"/>
      <c r="D5" s="1182"/>
      <c r="E5" s="539">
        <v>13641779000</v>
      </c>
      <c r="F5" s="540"/>
      <c r="G5" s="539">
        <f t="shared" ref="G5:I6" si="1">+G6</f>
        <v>858500000</v>
      </c>
      <c r="H5" s="539">
        <f t="shared" si="1"/>
        <v>128000000</v>
      </c>
      <c r="I5" s="539">
        <f t="shared" si="1"/>
        <v>730500000</v>
      </c>
      <c r="J5" s="539">
        <f t="shared" ref="J5:N6" si="2">+J6</f>
        <v>11413365052</v>
      </c>
      <c r="K5" s="602">
        <f t="shared" si="0"/>
        <v>0.83664784864202824</v>
      </c>
      <c r="L5" s="539">
        <f t="shared" si="2"/>
        <v>2225164920</v>
      </c>
      <c r="M5" s="539">
        <f t="shared" si="2"/>
        <v>3249028</v>
      </c>
      <c r="N5" s="539">
        <f t="shared" si="2"/>
        <v>3249028</v>
      </c>
      <c r="O5" s="675"/>
      <c r="P5" s="570"/>
      <c r="Q5" s="569"/>
      <c r="R5" s="569"/>
      <c r="S5" s="569"/>
      <c r="T5" s="569"/>
    </row>
    <row r="6" spans="2:27" ht="15" customHeight="1" x14ac:dyDescent="0.25">
      <c r="B6" s="1182" t="s">
        <v>1682</v>
      </c>
      <c r="C6" s="1182"/>
      <c r="D6" s="1182"/>
      <c r="E6" s="539">
        <v>13641779000</v>
      </c>
      <c r="F6" s="540"/>
      <c r="G6" s="539">
        <f t="shared" si="1"/>
        <v>858500000</v>
      </c>
      <c r="H6" s="539">
        <f t="shared" si="1"/>
        <v>128000000</v>
      </c>
      <c r="I6" s="539">
        <f t="shared" si="1"/>
        <v>730500000</v>
      </c>
      <c r="J6" s="539">
        <f t="shared" si="2"/>
        <v>11413365052</v>
      </c>
      <c r="K6" s="602">
        <f t="shared" si="0"/>
        <v>0.83664784864202824</v>
      </c>
      <c r="L6" s="539">
        <f t="shared" si="2"/>
        <v>2225164920</v>
      </c>
      <c r="M6" s="539">
        <f t="shared" si="2"/>
        <v>3249028</v>
      </c>
      <c r="N6" s="539">
        <f t="shared" si="2"/>
        <v>3249028</v>
      </c>
      <c r="O6" s="675"/>
      <c r="P6" s="570"/>
      <c r="Q6" s="569"/>
      <c r="R6" s="569"/>
      <c r="S6" s="569"/>
      <c r="T6" s="569"/>
    </row>
    <row r="7" spans="2:27" ht="15" customHeight="1" x14ac:dyDescent="0.25">
      <c r="B7" s="1182" t="s">
        <v>1681</v>
      </c>
      <c r="C7" s="1182"/>
      <c r="D7" s="1182"/>
      <c r="E7" s="539">
        <v>13548179000</v>
      </c>
      <c r="F7" s="631"/>
      <c r="G7" s="539">
        <f>+G8+G49+G52</f>
        <v>858500000</v>
      </c>
      <c r="H7" s="539">
        <f>+H8+H49+H52</f>
        <v>128000000</v>
      </c>
      <c r="I7" s="539">
        <f>+I8+I49+I52</f>
        <v>730500000</v>
      </c>
      <c r="J7" s="539">
        <f>+J8+J34+J37</f>
        <v>11413365052</v>
      </c>
      <c r="K7" s="602">
        <f t="shared" si="0"/>
        <v>0.84242797884497989</v>
      </c>
      <c r="L7" s="539">
        <f>+L8+L34+L37</f>
        <v>2225164920</v>
      </c>
      <c r="M7" s="539">
        <f>+M8+M34+M37</f>
        <v>3249028</v>
      </c>
      <c r="N7" s="539">
        <f>+N8+N34+N37</f>
        <v>3249028</v>
      </c>
      <c r="O7" s="675"/>
      <c r="P7" s="570"/>
      <c r="Q7" s="569"/>
      <c r="R7" s="569"/>
      <c r="S7" s="569"/>
      <c r="T7" s="569"/>
    </row>
    <row r="8" spans="2:27" ht="15" customHeight="1" x14ac:dyDescent="0.25">
      <c r="B8" s="1181" t="s">
        <v>1643</v>
      </c>
      <c r="C8" s="1181"/>
      <c r="D8" s="1181"/>
      <c r="E8" s="581">
        <v>843179000</v>
      </c>
      <c r="F8" s="586">
        <v>19</v>
      </c>
      <c r="G8" s="581">
        <v>858500000</v>
      </c>
      <c r="H8" s="582">
        <v>128000000</v>
      </c>
      <c r="I8" s="581">
        <f>+G8-H8</f>
        <v>730500000</v>
      </c>
      <c r="J8" s="584">
        <f>SUM(J10:J31)</f>
        <v>839929972</v>
      </c>
      <c r="K8" s="603">
        <f t="shared" si="0"/>
        <v>0.99614669245794785</v>
      </c>
      <c r="L8" s="584">
        <f>SUM(L10:L31)</f>
        <v>0</v>
      </c>
      <c r="M8" s="585">
        <f>+E8-(J8+L8)</f>
        <v>3249028</v>
      </c>
      <c r="N8" s="632">
        <f>+E8-J8-L8</f>
        <v>3249028</v>
      </c>
      <c r="O8" s="676"/>
      <c r="P8" s="584"/>
      <c r="Q8" s="592"/>
      <c r="R8" s="592"/>
      <c r="S8" s="592"/>
      <c r="T8" s="592"/>
    </row>
    <row r="9" spans="2:27" ht="24" outlineLevel="1" x14ac:dyDescent="0.25">
      <c r="B9" s="537" t="s">
        <v>1693</v>
      </c>
      <c r="C9" s="537" t="s">
        <v>912</v>
      </c>
      <c r="D9" s="537" t="s">
        <v>1822</v>
      </c>
      <c r="E9" s="545" t="s">
        <v>1846</v>
      </c>
      <c r="F9" s="534" t="s">
        <v>1853</v>
      </c>
      <c r="G9" s="534"/>
      <c r="H9" s="534"/>
      <c r="I9" s="534"/>
      <c r="J9" s="537" t="s">
        <v>1845</v>
      </c>
      <c r="K9" s="652"/>
      <c r="L9" s="537" t="s">
        <v>1939</v>
      </c>
      <c r="M9" s="537"/>
      <c r="N9" s="537" t="s">
        <v>1940</v>
      </c>
      <c r="O9" s="677"/>
      <c r="P9" s="568" t="s">
        <v>1847</v>
      </c>
      <c r="Q9" s="537" t="s">
        <v>1848</v>
      </c>
      <c r="R9" s="537" t="s">
        <v>1849</v>
      </c>
      <c r="S9" s="537" t="s">
        <v>375</v>
      </c>
      <c r="T9" s="537" t="s">
        <v>1850</v>
      </c>
    </row>
    <row r="10" spans="2:27" ht="14.25" customHeight="1" outlineLevel="1" x14ac:dyDescent="0.25">
      <c r="B10" s="537">
        <v>122</v>
      </c>
      <c r="C10" s="533" t="str">
        <f>IF(ISERROR(VLOOKUP(B10,'Base de Datos'!$C$7:$F$4092,2,0))=TRUE,"",(VLOOKUP('Presupuesto - PAA 2015'!B10,'Base de Datos'!$C$7:$F$4092,3,0)))</f>
        <v>150244-0-2015</v>
      </c>
      <c r="D10" s="533" t="str">
        <f>IF(ISERROR(VLOOKUP(B10,'Base de Datos'!$C$7:$F$4092,3,0))=TRUE,"",(VLOOKUP('Presupuesto - PAA 2015'!B10,'Base de Datos'!$C$7:$F$4092,4,0)))</f>
        <v>COTECNA CERTIFICADORA SERVICES LIMITADA</v>
      </c>
      <c r="E10" s="536">
        <v>2365972</v>
      </c>
      <c r="F10" s="534" t="str">
        <f>VLOOKUP(B10,'Actualizada - presupuesto'!$D$7:$L$111,9,0)</f>
        <v>SI</v>
      </c>
      <c r="G10" s="534"/>
      <c r="H10" s="534"/>
      <c r="I10" s="534"/>
      <c r="J10" s="536">
        <f>IF(ISERROR(VLOOKUP(B10,'Base de Datos'!$C$7:$N$4092,6,0))=TRUE,"Sin Celebrar",(VLOOKUP(B10,'Base de Datos'!$C$7:$N$4092,7,0)))</f>
        <v>2365972</v>
      </c>
      <c r="K10" s="600"/>
      <c r="L10" s="536" t="str">
        <f>IF(J10=$AA$1,E10, " ")</f>
        <v xml:space="preserve"> </v>
      </c>
      <c r="M10" s="536"/>
      <c r="N10" s="536" t="str">
        <f>IF(J10&lt;E10,(E10-J10)," ")</f>
        <v xml:space="preserve"> </v>
      </c>
      <c r="O10" s="719" t="str">
        <f>IF(ISERROR(VLOOKUP(B10,'Base de Datos'!$C$7:$K$1048576,7,0))=TRUE," ",(VLOOKUP(B10,'Base de Datos'!$C$7:$K$1048576,8,0)))</f>
        <v>150244-0-2015</v>
      </c>
      <c r="P10" s="551">
        <f>IF(ISERROR(VLOOKUP(B10,'Base de Datos'!$C$7:$N$4077,9,0))=TRUE," ",(VLOOKUP(B10,'Base de Datos'!$C$7:$N$4077,10,0)))</f>
        <v>42158</v>
      </c>
      <c r="Q10" s="551" t="s">
        <v>381</v>
      </c>
      <c r="R10" s="551">
        <f>IF(ISERROR(VLOOKUP(B10,'Base de Datos'!$C$7:$N$4077,10,0))=TRUE," ",(VLOOKUP(B10,'Base de Datos'!$C$7:$N$4077,11,0)))</f>
        <v>42174</v>
      </c>
      <c r="S10" s="551">
        <f>IF(ISERROR(VLOOKUP(B10,'Base de Datos'!$C$7:$N$4077,11,0))=TRUE," ",(VLOOKUP(B10,'Base de Datos'!$C$7:$N$4077,12,0)))</f>
        <v>42296</v>
      </c>
      <c r="T10" s="533" t="str">
        <f ca="1">VLOOKUP(C10,'Base de Datos'!$E$7:$AR$382,39,0)</f>
        <v>NO</v>
      </c>
      <c r="U10" s="722"/>
      <c r="V10" s="634"/>
    </row>
    <row r="11" spans="2:27" ht="14.25" customHeight="1" outlineLevel="1" x14ac:dyDescent="0.25">
      <c r="B11" s="537">
        <v>123</v>
      </c>
      <c r="C11" s="533" t="str">
        <f>IF(ISERROR(VLOOKUP(B11,'Base de Datos'!$C$7:$F$4092,2,0))=TRUE,"",(VLOOKUP('Presupuesto - PAA 2015'!B11,'Base de Datos'!$C$7:$F$4092,3,0)))</f>
        <v>150221-0-2015</v>
      </c>
      <c r="D11" s="533" t="str">
        <f>IF(ISERROR(VLOOKUP(B11,'Base de Datos'!$C$7:$F$4092,3,0))=TRUE,"",(VLOOKUP('Presupuesto - PAA 2015'!B11,'Base de Datos'!$C$7:$F$4092,4,0)))</f>
        <v>SGS COLOMBIA S.A.</v>
      </c>
      <c r="E11" s="536">
        <v>7714000</v>
      </c>
      <c r="F11" s="534" t="str">
        <f>VLOOKUP(B11,'Actualizada - presupuesto'!$D$7:$L$111,9,0)</f>
        <v>SI</v>
      </c>
      <c r="G11" s="534"/>
      <c r="H11" s="534"/>
      <c r="I11" s="534"/>
      <c r="J11" s="536">
        <f>IF(ISERROR(VLOOKUP(B11,'Base de Datos'!$C$7:$N$4092,6,0))=TRUE,"Sin Celebrar",(VLOOKUP(B11,'Base de Datos'!$C$7:$N$4092,7,0)))</f>
        <v>7714000</v>
      </c>
      <c r="K11" s="600"/>
      <c r="L11" s="536" t="str">
        <f t="shared" ref="L11:L31" si="3">IF(J11=$AA$1,E11, " ")</f>
        <v xml:space="preserve"> </v>
      </c>
      <c r="M11" s="536"/>
      <c r="N11" s="536" t="str">
        <f>IF(J11&lt;E11,(E11-J11)," ")</f>
        <v xml:space="preserve"> </v>
      </c>
      <c r="O11" s="719" t="str">
        <f>IF(ISERROR(VLOOKUP(B11,'Base de Datos'!$C$7:$K$1048576,7,0))=TRUE," ",(VLOOKUP(B11,'Base de Datos'!$C$7:$K$1048576,8,0)))</f>
        <v>SDH-SMINC-28-2015</v>
      </c>
      <c r="P11" s="551">
        <f>IF(ISERROR(VLOOKUP(B11,'Base de Datos'!$C$7:$N$4077,9,0))=TRUE," ",(VLOOKUP(B11,'Base de Datos'!$C$7:$N$4077,10,0)))</f>
        <v>42132</v>
      </c>
      <c r="Q11" s="533" t="s">
        <v>544</v>
      </c>
      <c r="R11" s="551">
        <f>IF(ISERROR(VLOOKUP(B11,'Base de Datos'!$C$7:$N$4077,10,0))=TRUE," ",(VLOOKUP(B11,'Base de Datos'!$C$7:$N$4077,11,0)))</f>
        <v>42144</v>
      </c>
      <c r="S11" s="551">
        <f>IF(ISERROR(VLOOKUP(B11,'Base de Datos'!$C$7:$N$4077,11,0))=TRUE," ",(VLOOKUP(B11,'Base de Datos'!$C$7:$N$4077,12,0)))</f>
        <v>42236</v>
      </c>
      <c r="T11" s="533" t="str">
        <f ca="1">VLOOKUP(C11,'Base de Datos'!$E$7:$AR$382,39,0)</f>
        <v>NO</v>
      </c>
      <c r="U11" s="722"/>
      <c r="V11" s="634"/>
    </row>
    <row r="12" spans="2:27" ht="14.25" customHeight="1" outlineLevel="1" x14ac:dyDescent="0.25">
      <c r="B12" s="537">
        <v>124</v>
      </c>
      <c r="C12" s="533" t="str">
        <f>IF(ISERROR(VLOOKUP(B12,'Base de Datos'!$C$7:$F$4092,2,0))=TRUE,"",(VLOOKUP('Presupuesto - PAA 2015'!B12,'Base de Datos'!$C$7:$F$4092,3,0)))</f>
        <v>150049-0-2015</v>
      </c>
      <c r="D12" s="533" t="str">
        <f>IF(ISERROR(VLOOKUP(B12,'Base de Datos'!$C$7:$F$4092,3,0))=TRUE,"",(VLOOKUP('Presupuesto - PAA 2015'!B12,'Base de Datos'!$C$7:$F$4092,4,0)))</f>
        <v>ROSA ENRIQUELINA GÓMEZ CORREDOR</v>
      </c>
      <c r="E12" s="536">
        <f>VLOOKUP(B12,'[6]Abr 24-2015'!$C$53:$AA$327,24,0)</f>
        <v>60000000</v>
      </c>
      <c r="F12" s="534" t="str">
        <f>VLOOKUP(B12,'Actualizada - presupuesto'!$D$7:$L$111,9,0)</f>
        <v>SI</v>
      </c>
      <c r="G12" s="534"/>
      <c r="H12" s="534"/>
      <c r="I12" s="534"/>
      <c r="J12" s="536">
        <f>IF(ISERROR(VLOOKUP(B12,'Base de Datos'!$C$7:$N$4092,6,0))=TRUE,"Sin Celebrar",(VLOOKUP(B12,'Base de Datos'!$C$7:$N$4092,7,0)))</f>
        <v>60000000</v>
      </c>
      <c r="K12" s="600"/>
      <c r="L12" s="536" t="str">
        <f t="shared" si="3"/>
        <v xml:space="preserve"> </v>
      </c>
      <c r="M12" s="536"/>
      <c r="N12" s="536" t="str">
        <f t="shared" ref="N12:N31" si="4">IF(J12&lt;E12,(E12-J12)," ")</f>
        <v xml:space="preserve"> </v>
      </c>
      <c r="O12" s="719" t="str">
        <f>IF(ISERROR(VLOOKUP(B12,'Base de Datos'!$C$7:$K$1048576,7,0))=TRUE," ",(VLOOKUP(B12,'Base de Datos'!$C$7:$K$1048576,8,0)))</f>
        <v>150049-0-2015</v>
      </c>
      <c r="P12" s="551">
        <f>IF(ISERROR(VLOOKUP(B12,'Base de Datos'!$C$7:$N$4077,9,0))=TRUE," ",(VLOOKUP(B12,'Base de Datos'!$C$7:$N$4077,10,0)))</f>
        <v>42044</v>
      </c>
      <c r="Q12" s="533" t="s">
        <v>1851</v>
      </c>
      <c r="R12" s="551">
        <f>IF(ISERROR(VLOOKUP(B12,'Base de Datos'!$C$7:$N$4077,10,0))=TRUE," ",(VLOOKUP(B12,'Base de Datos'!$C$7:$N$4077,11,0)))</f>
        <v>42045</v>
      </c>
      <c r="S12" s="551">
        <f>IF(ISERROR(VLOOKUP(B12,'Base de Datos'!$C$7:$N$4077,11,0))=TRUE," ",(VLOOKUP(B12,'Base de Datos'!$C$7:$N$4077,12,0)))</f>
        <v>42410</v>
      </c>
      <c r="T12" s="533" t="str">
        <f ca="1">VLOOKUP(C12,'Base de Datos'!$E$7:$AR$382,39,0)</f>
        <v>NO</v>
      </c>
      <c r="U12" s="722"/>
      <c r="V12" s="634"/>
    </row>
    <row r="13" spans="2:27" ht="14.25" customHeight="1" outlineLevel="1" x14ac:dyDescent="0.25">
      <c r="B13" s="537">
        <v>125</v>
      </c>
      <c r="C13" s="533" t="str">
        <f>IF(ISERROR(VLOOKUP(B13,'Base de Datos'!$C$7:$F$4092,2,0))=TRUE,"",(VLOOKUP('Presupuesto - PAA 2015'!B13,'Base de Datos'!$C$7:$F$4092,3,0)))</f>
        <v>150081-0-2015</v>
      </c>
      <c r="D13" s="533" t="str">
        <f>IF(ISERROR(VLOOKUP(B13,'Base de Datos'!$C$7:$F$4092,3,0))=TRUE,"",(VLOOKUP('Presupuesto - PAA 2015'!B13,'Base de Datos'!$C$7:$F$4092,4,0)))</f>
        <v>LEIDY YONETH RIVERA GONZALEZ (Cesionario) / LUISA FERNANDA GUTIÉRREZ RAMÍREZ (Antes)</v>
      </c>
      <c r="E13" s="536">
        <f>VLOOKUP(B13,'[6]Abr 24-2015'!$C$53:$AA$327,24,0)</f>
        <v>63654000</v>
      </c>
      <c r="F13" s="534" t="str">
        <f>VLOOKUP(B13,'Actualizada - presupuesto'!$D$7:$L$111,9,0)</f>
        <v>SI</v>
      </c>
      <c r="G13" s="534"/>
      <c r="H13" s="534"/>
      <c r="I13" s="534"/>
      <c r="J13" s="536">
        <f>IF(ISERROR(VLOOKUP(B13,'Base de Datos'!$C$7:$N$4092,6,0))=TRUE,"Sin Celebrar",(VLOOKUP(B13,'Base de Datos'!$C$7:$N$4092,7,0)))</f>
        <v>63654000</v>
      </c>
      <c r="K13" s="600"/>
      <c r="L13" s="536" t="str">
        <f t="shared" si="3"/>
        <v xml:space="preserve"> </v>
      </c>
      <c r="M13" s="536"/>
      <c r="N13" s="536" t="str">
        <f t="shared" si="4"/>
        <v xml:space="preserve"> </v>
      </c>
      <c r="O13" s="719" t="str">
        <f>IF(ISERROR(VLOOKUP(B13,'Base de Datos'!$C$7:$K$1048576,7,0))=TRUE," ",(VLOOKUP(B13,'Base de Datos'!$C$7:$K$1048576,8,0)))</f>
        <v>150081-0-2015</v>
      </c>
      <c r="P13" s="551">
        <f>IF(ISERROR(VLOOKUP(B13,'Base de Datos'!$C$7:$N$4077,9,0))=TRUE," ",(VLOOKUP(B13,'Base de Datos'!$C$7:$N$4077,10,0)))</f>
        <v>42054</v>
      </c>
      <c r="Q13" s="533" t="s">
        <v>1851</v>
      </c>
      <c r="R13" s="551">
        <f>IF(ISERROR(VLOOKUP(B13,'Base de Datos'!$C$7:$N$4077,10,0))=TRUE," ",(VLOOKUP(B13,'Base de Datos'!$C$7:$N$4077,11,0)))</f>
        <v>42060</v>
      </c>
      <c r="S13" s="551">
        <f>IF(ISERROR(VLOOKUP(B13,'Base de Datos'!$C$7:$N$4077,11,0))=TRUE," ",(VLOOKUP(B13,'Base de Datos'!$C$7:$N$4077,12,0)))</f>
        <v>42425</v>
      </c>
      <c r="T13" s="533" t="str">
        <f ca="1">VLOOKUP(C13,'Base de Datos'!$E$7:$AR$382,39,0)</f>
        <v>NO</v>
      </c>
      <c r="U13" s="722"/>
      <c r="V13" s="634"/>
    </row>
    <row r="14" spans="2:27" ht="14.25" customHeight="1" outlineLevel="1" x14ac:dyDescent="0.25">
      <c r="B14" s="537">
        <v>126</v>
      </c>
      <c r="C14" s="533" t="str">
        <f>IF(ISERROR(VLOOKUP(B14,'Base de Datos'!$C$7:$F$4092,2,0))=TRUE,"",(VLOOKUP('Presupuesto - PAA 2015'!B14,'Base de Datos'!$C$7:$F$4092,3,0)))</f>
        <v>150067-0-2015</v>
      </c>
      <c r="D14" s="533" t="str">
        <f>IF(ISERROR(VLOOKUP(B14,'Base de Datos'!$C$7:$F$4092,3,0))=TRUE,"",(VLOOKUP('Presupuesto - PAA 2015'!B14,'Base de Datos'!$C$7:$F$4092,4,0)))</f>
        <v>WIESNER FABIÁN ROBAYO SALCEDO</v>
      </c>
      <c r="E14" s="536">
        <f>VLOOKUP(B14,'[6]Abr 24-2015'!$C$53:$AA$327,24,0)</f>
        <v>48000000</v>
      </c>
      <c r="F14" s="534" t="str">
        <f>VLOOKUP(B14,'Actualizada - presupuesto'!$D$7:$L$111,9,0)</f>
        <v>SI</v>
      </c>
      <c r="G14" s="534"/>
      <c r="H14" s="534"/>
      <c r="I14" s="534"/>
      <c r="J14" s="536">
        <f>IF(ISERROR(VLOOKUP(B14,'Base de Datos'!$C$7:$N$4092,6,0))=TRUE,"Sin Celebrar",(VLOOKUP(B14,'Base de Datos'!$C$7:$N$4092,7,0)))</f>
        <v>48000000</v>
      </c>
      <c r="K14" s="600"/>
      <c r="L14" s="536" t="str">
        <f t="shared" si="3"/>
        <v xml:space="preserve"> </v>
      </c>
      <c r="M14" s="536"/>
      <c r="N14" s="536" t="str">
        <f t="shared" si="4"/>
        <v xml:space="preserve"> </v>
      </c>
      <c r="O14" s="719" t="str">
        <f>IF(ISERROR(VLOOKUP(B14,'Base de Datos'!$C$7:$K$1048576,7,0))=TRUE," ",(VLOOKUP(B14,'Base de Datos'!$C$7:$K$1048576,8,0)))</f>
        <v>150067-0-2015</v>
      </c>
      <c r="P14" s="551">
        <f>IF(ISERROR(VLOOKUP(B14,'Base de Datos'!$C$7:$N$4077,9,0))=TRUE," ",(VLOOKUP(B14,'Base de Datos'!$C$7:$N$4077,10,0)))</f>
        <v>42051</v>
      </c>
      <c r="Q14" s="533" t="s">
        <v>1851</v>
      </c>
      <c r="R14" s="551">
        <f>IF(ISERROR(VLOOKUP(B14,'Base de Datos'!$C$7:$N$4077,10,0))=TRUE," ",(VLOOKUP(B14,'Base de Datos'!$C$7:$N$4077,11,0)))</f>
        <v>42053</v>
      </c>
      <c r="S14" s="551">
        <f>IF(ISERROR(VLOOKUP(B14,'Base de Datos'!$C$7:$N$4077,11,0))=TRUE," ",(VLOOKUP(B14,'Base de Datos'!$C$7:$N$4077,12,0)))</f>
        <v>42418</v>
      </c>
      <c r="T14" s="533" t="str">
        <f ca="1">VLOOKUP(C14,'Base de Datos'!$E$7:$AR$382,39,0)</f>
        <v>NO</v>
      </c>
      <c r="U14" s="722"/>
      <c r="V14" s="634"/>
    </row>
    <row r="15" spans="2:27" ht="14.25" customHeight="1" outlineLevel="1" x14ac:dyDescent="0.25">
      <c r="B15" s="537">
        <v>127</v>
      </c>
      <c r="C15" s="533" t="str">
        <f>IF(ISERROR(VLOOKUP(B15,'Base de Datos'!$C$7:$F$4092,2,0))=TRUE,"",(VLOOKUP('Presupuesto - PAA 2015'!B15,'Base de Datos'!$C$7:$F$4092,3,0)))</f>
        <v>150101-0-2015</v>
      </c>
      <c r="D15" s="533" t="str">
        <f>IF(ISERROR(VLOOKUP(B15,'Base de Datos'!$C$7:$F$4092,3,0))=TRUE,"",(VLOOKUP('Presupuesto - PAA 2015'!B15,'Base de Datos'!$C$7:$F$4092,4,0)))</f>
        <v>GLORIA CATALINA ROSERO TOLEDO</v>
      </c>
      <c r="E15" s="536">
        <f>VLOOKUP(B15,'[6]Abr 24-2015'!$C$53:$AA$327,24,0)</f>
        <v>78000000</v>
      </c>
      <c r="F15" s="534" t="str">
        <f>VLOOKUP(B15,'Actualizada - presupuesto'!$D$7:$L$111,9,0)</f>
        <v>SI</v>
      </c>
      <c r="G15" s="534"/>
      <c r="H15" s="534"/>
      <c r="I15" s="534"/>
      <c r="J15" s="536">
        <f>IF(ISERROR(VLOOKUP(B15,'Base de Datos'!$C$7:$N$4092,6,0))=TRUE,"Sin Celebrar",(VLOOKUP(B15,'Base de Datos'!$C$7:$N$4092,7,0)))</f>
        <v>78000000</v>
      </c>
      <c r="K15" s="600"/>
      <c r="L15" s="536" t="str">
        <f t="shared" si="3"/>
        <v xml:space="preserve"> </v>
      </c>
      <c r="M15" s="536"/>
      <c r="N15" s="536" t="str">
        <f t="shared" si="4"/>
        <v xml:space="preserve"> </v>
      </c>
      <c r="O15" s="719" t="str">
        <f>IF(ISERROR(VLOOKUP(B15,'Base de Datos'!$C$7:$K$1048576,7,0))=TRUE," ",(VLOOKUP(B15,'Base de Datos'!$C$7:$K$1048576,8,0)))</f>
        <v>150101-0-2015</v>
      </c>
      <c r="P15" s="551">
        <f>IF(ISERROR(VLOOKUP(B15,'Base de Datos'!$C$7:$N$4077,9,0))=TRUE," ",(VLOOKUP(B15,'Base de Datos'!$C$7:$N$4077,10,0)))</f>
        <v>42066</v>
      </c>
      <c r="Q15" s="533" t="s">
        <v>1851</v>
      </c>
      <c r="R15" s="551">
        <f>IF(ISERROR(VLOOKUP(B15,'Base de Datos'!$C$7:$N$4077,10,0))=TRUE," ",(VLOOKUP(B15,'Base de Datos'!$C$7:$N$4077,11,0)))</f>
        <v>42066</v>
      </c>
      <c r="S15" s="551">
        <f>IF(ISERROR(VLOOKUP(B15,'Base de Datos'!$C$7:$N$4077,11,0))=TRUE," ",(VLOOKUP(B15,'Base de Datos'!$C$7:$N$4077,12,0)))</f>
        <v>42432</v>
      </c>
      <c r="T15" s="533" t="str">
        <f ca="1">VLOOKUP(C15,'Base de Datos'!$E$7:$AR$382,39,0)</f>
        <v>NO</v>
      </c>
      <c r="U15" s="722"/>
      <c r="V15" s="634"/>
    </row>
    <row r="16" spans="2:27" ht="14.25" customHeight="1" outlineLevel="1" x14ac:dyDescent="0.25">
      <c r="B16" s="537">
        <v>128</v>
      </c>
      <c r="C16" s="533" t="str">
        <f>IF(ISERROR(VLOOKUP(B16,'Base de Datos'!$C$7:$F$4092,2,0))=TRUE,"",(VLOOKUP('Presupuesto - PAA 2015'!B16,'Base de Datos'!$C$7:$F$4092,3,0)))</f>
        <v>150100-0-2015</v>
      </c>
      <c r="D16" s="533" t="str">
        <f>IF(ISERROR(VLOOKUP(B16,'Base de Datos'!$C$7:$F$4092,3,0))=TRUE,"",(VLOOKUP('Presupuesto - PAA 2015'!B16,'Base de Datos'!$C$7:$F$4092,4,0)))</f>
        <v>KHAANKO NORBERTO RUIZ RODRÍGUEZ</v>
      </c>
      <c r="E16" s="536">
        <f>VLOOKUP(B16,'[6]Abr 24-2015'!$C$53:$AA$327,24,0)</f>
        <v>38400000</v>
      </c>
      <c r="F16" s="534" t="str">
        <f>VLOOKUP(B16,'Actualizada - presupuesto'!$D$7:$L$111,9,0)</f>
        <v>SI</v>
      </c>
      <c r="G16" s="534"/>
      <c r="H16" s="534"/>
      <c r="I16" s="534"/>
      <c r="J16" s="536">
        <f>IF(ISERROR(VLOOKUP(B16,'Base de Datos'!$C$7:$N$4092,6,0))=TRUE,"Sin Celebrar",(VLOOKUP(B16,'Base de Datos'!$C$7:$N$4092,7,0)))</f>
        <v>38400000</v>
      </c>
      <c r="K16" s="600"/>
      <c r="L16" s="536" t="str">
        <f t="shared" si="3"/>
        <v xml:space="preserve"> </v>
      </c>
      <c r="M16" s="536"/>
      <c r="N16" s="536" t="str">
        <f t="shared" si="4"/>
        <v xml:space="preserve"> </v>
      </c>
      <c r="O16" s="719" t="str">
        <f>IF(ISERROR(VLOOKUP(B16,'Base de Datos'!$C$7:$K$1048576,7,0))=TRUE," ",(VLOOKUP(B16,'Base de Datos'!$C$7:$K$1048576,8,0)))</f>
        <v>150100-0-2015</v>
      </c>
      <c r="P16" s="551">
        <f>IF(ISERROR(VLOOKUP(B16,'Base de Datos'!$C$7:$N$4077,9,0))=TRUE," ",(VLOOKUP(B16,'Base de Datos'!$C$7:$N$4077,10,0)))</f>
        <v>42062</v>
      </c>
      <c r="Q16" s="533" t="s">
        <v>1851</v>
      </c>
      <c r="R16" s="551">
        <f>IF(ISERROR(VLOOKUP(B16,'Base de Datos'!$C$7:$N$4077,10,0))=TRUE," ",(VLOOKUP(B16,'Base de Datos'!$C$7:$N$4077,11,0)))</f>
        <v>42073</v>
      </c>
      <c r="S16" s="551">
        <f>IF(ISERROR(VLOOKUP(B16,'Base de Datos'!$C$7:$N$4077,11,0))=TRUE," ",(VLOOKUP(B16,'Base de Datos'!$C$7:$N$4077,12,0)))</f>
        <v>42439</v>
      </c>
      <c r="T16" s="533" t="str">
        <f ca="1">VLOOKUP(C16,'Base de Datos'!$E$7:$AR$382,39,0)</f>
        <v>NO</v>
      </c>
      <c r="U16" s="722"/>
      <c r="V16" s="634"/>
    </row>
    <row r="17" spans="2:22" ht="14.25" customHeight="1" outlineLevel="1" x14ac:dyDescent="0.25">
      <c r="B17" s="537">
        <v>129</v>
      </c>
      <c r="C17" s="533" t="str">
        <f>IF(ISERROR(VLOOKUP(B17,'Base de Datos'!$C$7:$F$4092,2,0))=TRUE,"",(VLOOKUP('Presupuesto - PAA 2015'!B17,'Base de Datos'!$C$7:$F$4092,3,0)))</f>
        <v>150035-0-2015</v>
      </c>
      <c r="D17" s="533" t="str">
        <f>IF(ISERROR(VLOOKUP(B17,'Base de Datos'!$C$7:$F$4092,3,0))=TRUE,"",(VLOOKUP('Presupuesto - PAA 2015'!B17,'Base de Datos'!$C$7:$F$4092,4,0)))</f>
        <v>EDGAR EULICES GONZÁLEZ</v>
      </c>
      <c r="E17" s="536">
        <f>VLOOKUP(B17,'[6]Abr 24-2015'!$C$53:$AA$327,24,0)</f>
        <v>46068000</v>
      </c>
      <c r="F17" s="534" t="str">
        <f>VLOOKUP(B17,'Actualizada - presupuesto'!$D$7:$L$111,9,0)</f>
        <v>SI</v>
      </c>
      <c r="G17" s="534"/>
      <c r="H17" s="534"/>
      <c r="I17" s="534"/>
      <c r="J17" s="536">
        <f>IF(ISERROR(VLOOKUP(B17,'Base de Datos'!$C$7:$N$4092,6,0))=TRUE,"Sin Celebrar",(VLOOKUP(B17,'Base de Datos'!$C$7:$N$4092,7,0)))</f>
        <v>46068000</v>
      </c>
      <c r="K17" s="600"/>
      <c r="L17" s="536" t="str">
        <f t="shared" si="3"/>
        <v xml:space="preserve"> </v>
      </c>
      <c r="M17" s="536"/>
      <c r="N17" s="536" t="str">
        <f t="shared" si="4"/>
        <v xml:space="preserve"> </v>
      </c>
      <c r="O17" s="719" t="str">
        <f>IF(ISERROR(VLOOKUP(B17,'Base de Datos'!$C$7:$K$1048576,7,0))=TRUE," ",(VLOOKUP(B17,'Base de Datos'!$C$7:$K$1048576,8,0)))</f>
        <v>1400035-0-2015</v>
      </c>
      <c r="P17" s="551">
        <f>IF(ISERROR(VLOOKUP(B17,'Base de Datos'!$C$7:$N$4077,9,0))=TRUE," ",(VLOOKUP(B17,'Base de Datos'!$C$7:$N$4077,10,0)))</f>
        <v>42033</v>
      </c>
      <c r="Q17" s="533" t="s">
        <v>1851</v>
      </c>
      <c r="R17" s="551">
        <f>IF(ISERROR(VLOOKUP(B17,'Base de Datos'!$C$7:$N$4077,10,0))=TRUE," ",(VLOOKUP(B17,'Base de Datos'!$C$7:$N$4077,11,0)))</f>
        <v>42037</v>
      </c>
      <c r="S17" s="551">
        <f>IF(ISERROR(VLOOKUP(B17,'Base de Datos'!$C$7:$N$4077,11,0))=TRUE," ",(VLOOKUP(B17,'Base de Datos'!$C$7:$N$4077,12,0)))</f>
        <v>42402</v>
      </c>
      <c r="T17" s="533" t="str">
        <f ca="1">VLOOKUP(C17,'Base de Datos'!$E$7:$AR$382,39,0)</f>
        <v>NO</v>
      </c>
      <c r="U17" s="722"/>
      <c r="V17" s="634"/>
    </row>
    <row r="18" spans="2:22" ht="14.25" customHeight="1" outlineLevel="1" x14ac:dyDescent="0.25">
      <c r="B18" s="537">
        <v>130</v>
      </c>
      <c r="C18" s="533" t="str">
        <f>IF(ISERROR(VLOOKUP(B18,'Base de Datos'!$C$7:$F$4092,2,0))=TRUE,"",(VLOOKUP('Presupuesto - PAA 2015'!B18,'Base de Datos'!$C$7:$F$4092,3,0)))</f>
        <v>150073-0-2015</v>
      </c>
      <c r="D18" s="533" t="str">
        <f>IF(ISERROR(VLOOKUP(B18,'Base de Datos'!$C$7:$F$4092,3,0))=TRUE,"",(VLOOKUP('Presupuesto - PAA 2015'!B18,'Base de Datos'!$C$7:$F$4092,4,0)))</f>
        <v>ELVIN ALEXANDER AVEBDAÑO FONSECA (Cesionario) / JAVIER ANDRÉS VIDAL MELO (Antes)</v>
      </c>
      <c r="E18" s="536">
        <f>VLOOKUP(B18,'[6]Abr 24-2015'!$C$53:$AA$327,24,0)</f>
        <v>60000000</v>
      </c>
      <c r="F18" s="534" t="str">
        <f>VLOOKUP(B18,'Actualizada - presupuesto'!$D$7:$L$111,9,0)</f>
        <v>SI</v>
      </c>
      <c r="G18" s="534"/>
      <c r="H18" s="534"/>
      <c r="I18" s="534"/>
      <c r="J18" s="536">
        <f>IF(ISERROR(VLOOKUP(B18,'Base de Datos'!$C$7:$N$4092,6,0))=TRUE,"Sin Celebrar",(VLOOKUP(B18,'Base de Datos'!$C$7:$N$4092,7,0)))</f>
        <v>60000000</v>
      </c>
      <c r="K18" s="600"/>
      <c r="L18" s="536" t="str">
        <f t="shared" si="3"/>
        <v xml:space="preserve"> </v>
      </c>
      <c r="M18" s="536"/>
      <c r="N18" s="536" t="str">
        <f t="shared" si="4"/>
        <v xml:space="preserve"> </v>
      </c>
      <c r="O18" s="719" t="str">
        <f>IF(ISERROR(VLOOKUP(B18,'Base de Datos'!$C$7:$K$1048576,7,0))=TRUE," ",(VLOOKUP(B18,'Base de Datos'!$C$7:$K$1048576,8,0)))</f>
        <v>150073-0-2015</v>
      </c>
      <c r="P18" s="551">
        <f>IF(ISERROR(VLOOKUP(B18,'Base de Datos'!$C$7:$N$4077,9,0))=TRUE," ",(VLOOKUP(B18,'Base de Datos'!$C$7:$N$4077,10,0)))</f>
        <v>42052</v>
      </c>
      <c r="Q18" s="533" t="s">
        <v>1851</v>
      </c>
      <c r="R18" s="551">
        <f>IF(ISERROR(VLOOKUP(B18,'Base de Datos'!$C$7:$N$4077,10,0))=TRUE," ",(VLOOKUP(B18,'Base de Datos'!$C$7:$N$4077,11,0)))</f>
        <v>42054</v>
      </c>
      <c r="S18" s="551">
        <f>IF(ISERROR(VLOOKUP(B18,'Base de Datos'!$C$7:$N$4077,11,0))=TRUE," ",(VLOOKUP(B18,'Base de Datos'!$C$7:$N$4077,12,0)))</f>
        <v>42419</v>
      </c>
      <c r="T18" s="533" t="str">
        <f ca="1">VLOOKUP(C18,'Base de Datos'!$E$7:$AR$382,39,0)</f>
        <v>NO</v>
      </c>
      <c r="U18" s="722"/>
      <c r="V18" s="634"/>
    </row>
    <row r="19" spans="2:22" ht="14.25" customHeight="1" outlineLevel="1" x14ac:dyDescent="0.25">
      <c r="B19" s="537">
        <v>131</v>
      </c>
      <c r="C19" s="533" t="str">
        <f>IF(ISERROR(VLOOKUP(B19,'Base de Datos'!$C$7:$F$4092,2,0))=TRUE,"",(VLOOKUP('Presupuesto - PAA 2015'!B19,'Base de Datos'!$C$7:$F$4092,3,0)))</f>
        <v>150102-0-2015</v>
      </c>
      <c r="D19" s="533" t="str">
        <f>IF(ISERROR(VLOOKUP(B19,'Base de Datos'!$C$7:$F$4092,3,0))=TRUE,"",(VLOOKUP('Presupuesto - PAA 2015'!B19,'Base de Datos'!$C$7:$F$4092,4,0)))</f>
        <v>LINA MARÍA GONZÁLEZ RUIZ</v>
      </c>
      <c r="E19" s="536">
        <f>VLOOKUP(B19,'[6]Abr 24-2015'!$C$53:$AA$327,24,0)</f>
        <v>30900000</v>
      </c>
      <c r="F19" s="534" t="str">
        <f>VLOOKUP(B19,'Actualizada - presupuesto'!$D$7:$L$111,9,0)</f>
        <v>SI</v>
      </c>
      <c r="G19" s="534"/>
      <c r="H19" s="534"/>
      <c r="I19" s="534"/>
      <c r="J19" s="536">
        <f>IF(ISERROR(VLOOKUP(B19,'Base de Datos'!$C$7:$N$4092,6,0))=TRUE,"Sin Celebrar",(VLOOKUP(B19,'Base de Datos'!$C$7:$N$4092,7,0)))</f>
        <v>30900000</v>
      </c>
      <c r="K19" s="600"/>
      <c r="L19" s="536" t="str">
        <f t="shared" si="3"/>
        <v xml:space="preserve"> </v>
      </c>
      <c r="M19" s="536"/>
      <c r="N19" s="536" t="str">
        <f t="shared" si="4"/>
        <v xml:space="preserve"> </v>
      </c>
      <c r="O19" s="719" t="str">
        <f>IF(ISERROR(VLOOKUP(B19,'Base de Datos'!$C$7:$K$1048576,7,0))=TRUE," ",(VLOOKUP(B19,'Base de Datos'!$C$7:$K$1048576,8,0)))</f>
        <v>150102-0-2015</v>
      </c>
      <c r="P19" s="551">
        <f>IF(ISERROR(VLOOKUP(B19,'Base de Datos'!$C$7:$N$4077,9,0))=TRUE," ",(VLOOKUP(B19,'Base de Datos'!$C$7:$N$4077,10,0)))</f>
        <v>42066</v>
      </c>
      <c r="Q19" s="533" t="s">
        <v>1851</v>
      </c>
      <c r="R19" s="551">
        <f>IF(ISERROR(VLOOKUP(B19,'Base de Datos'!$C$7:$N$4077,10,0))=TRUE," ",(VLOOKUP(B19,'Base de Datos'!$C$7:$N$4077,11,0)))</f>
        <v>42073</v>
      </c>
      <c r="S19" s="551">
        <f>IF(ISERROR(VLOOKUP(B19,'Base de Datos'!$C$7:$N$4077,11,0))=TRUE," ",(VLOOKUP(B19,'Base de Datos'!$C$7:$N$4077,12,0)))</f>
        <v>42439</v>
      </c>
      <c r="T19" s="533" t="str">
        <f ca="1">VLOOKUP(C19,'Base de Datos'!$E$7:$AR$382,39,0)</f>
        <v>NO</v>
      </c>
      <c r="U19" s="722"/>
      <c r="V19" s="634"/>
    </row>
    <row r="20" spans="2:22" ht="14.25" customHeight="1" outlineLevel="1" x14ac:dyDescent="0.25">
      <c r="B20" s="537">
        <v>132</v>
      </c>
      <c r="C20" s="533" t="str">
        <f>IF(ISERROR(VLOOKUP(B20,'Base de Datos'!$C$7:$F$4092,2,0))=TRUE,"",(VLOOKUP('Presupuesto - PAA 2015'!B20,'Base de Datos'!$C$7:$F$4092,3,0)))</f>
        <v>150083-0-2015</v>
      </c>
      <c r="D20" s="533" t="str">
        <f>IF(ISERROR(VLOOKUP(B20,'Base de Datos'!$C$7:$F$4092,3,0))=TRUE,"",(VLOOKUP('Presupuesto - PAA 2015'!B20,'Base de Datos'!$C$7:$F$4092,4,0)))</f>
        <v>DIANA MARCELA REYES</v>
      </c>
      <c r="E20" s="536">
        <f>VLOOKUP(B20,'[6]Abr 24-2015'!$C$53:$AA$327,24,0)</f>
        <v>30900000</v>
      </c>
      <c r="F20" s="534" t="str">
        <f>VLOOKUP(B20,'Actualizada - presupuesto'!$D$7:$L$111,9,0)</f>
        <v>SI</v>
      </c>
      <c r="G20" s="534"/>
      <c r="H20" s="534"/>
      <c r="I20" s="534"/>
      <c r="J20" s="536">
        <f>IF(ISERROR(VLOOKUP(B20,'Base de Datos'!$C$7:$N$4092,6,0))=TRUE,"Sin Celebrar",(VLOOKUP(B20,'Base de Datos'!$C$7:$N$4092,7,0)))</f>
        <v>30900000</v>
      </c>
      <c r="K20" s="600"/>
      <c r="L20" s="536" t="str">
        <f t="shared" si="3"/>
        <v xml:space="preserve"> </v>
      </c>
      <c r="M20" s="536"/>
      <c r="N20" s="536" t="str">
        <f t="shared" si="4"/>
        <v xml:space="preserve"> </v>
      </c>
      <c r="O20" s="719" t="str">
        <f>IF(ISERROR(VLOOKUP(B20,'Base de Datos'!$C$7:$K$1048576,7,0))=TRUE," ",(VLOOKUP(B20,'Base de Datos'!$C$7:$K$1048576,8,0)))</f>
        <v>150083-0-2015</v>
      </c>
      <c r="P20" s="551">
        <f>IF(ISERROR(VLOOKUP(B20,'Base de Datos'!$C$7:$N$4077,9,0))=TRUE," ",(VLOOKUP(B20,'Base de Datos'!$C$7:$N$4077,10,0)))</f>
        <v>42055</v>
      </c>
      <c r="Q20" s="533" t="s">
        <v>1851</v>
      </c>
      <c r="R20" s="551">
        <f>IF(ISERROR(VLOOKUP(B20,'Base de Datos'!$C$7:$N$4077,10,0))=TRUE," ",(VLOOKUP(B20,'Base de Datos'!$C$7:$N$4077,11,0)))</f>
        <v>42065</v>
      </c>
      <c r="S20" s="551">
        <f>IF(ISERROR(VLOOKUP(B20,'Base de Datos'!$C$7:$N$4077,11,0))=TRUE," ",(VLOOKUP(B20,'Base de Datos'!$C$7:$N$4077,12,0)))</f>
        <v>42431</v>
      </c>
      <c r="T20" s="533" t="str">
        <f ca="1">VLOOKUP(C20,'Base de Datos'!$E$7:$AR$382,39,0)</f>
        <v>NO</v>
      </c>
      <c r="U20" s="722"/>
      <c r="V20" s="634"/>
    </row>
    <row r="21" spans="2:22" ht="14.25" customHeight="1" outlineLevel="1" x14ac:dyDescent="0.25">
      <c r="B21" s="537">
        <v>133</v>
      </c>
      <c r="C21" s="533" t="str">
        <f>IF(ISERROR(VLOOKUP(B21,'Base de Datos'!$C$7:$F$4092,2,0))=TRUE,"",(VLOOKUP('Presupuesto - PAA 2015'!B21,'Base de Datos'!$C$7:$F$4092,3,0)))</f>
        <v>150076-0-2015</v>
      </c>
      <c r="D21" s="533" t="str">
        <f>IF(ISERROR(VLOOKUP(B21,'Base de Datos'!$C$7:$F$4092,3,0))=TRUE,"",(VLOOKUP('Presupuesto - PAA 2015'!B21,'Base de Datos'!$C$7:$F$4092,4,0)))</f>
        <v>JUDITH HERNÁNDEZ VILLALBA</v>
      </c>
      <c r="E21" s="536">
        <f>VLOOKUP(B21,'[6]Abr 24-2015'!$C$53:$AA$327,24,0)</f>
        <v>63654000</v>
      </c>
      <c r="F21" s="534" t="str">
        <f>VLOOKUP(B21,'Actualizada - presupuesto'!$D$7:$L$111,9,0)</f>
        <v>SI</v>
      </c>
      <c r="G21" s="534"/>
      <c r="H21" s="534"/>
      <c r="I21" s="534"/>
      <c r="J21" s="536">
        <f>IF(ISERROR(VLOOKUP(B21,'Base de Datos'!$C$7:$N$4092,6,0))=TRUE,"Sin Celebrar",(VLOOKUP(B21,'Base de Datos'!$C$7:$N$4092,7,0)))</f>
        <v>63654000</v>
      </c>
      <c r="K21" s="600"/>
      <c r="L21" s="536" t="str">
        <f t="shared" si="3"/>
        <v xml:space="preserve"> </v>
      </c>
      <c r="M21" s="536"/>
      <c r="N21" s="536" t="str">
        <f t="shared" si="4"/>
        <v xml:space="preserve"> </v>
      </c>
      <c r="O21" s="719" t="str">
        <f>IF(ISERROR(VLOOKUP(B21,'Base de Datos'!$C$7:$K$1048576,7,0))=TRUE," ",(VLOOKUP(B21,'Base de Datos'!$C$7:$K$1048576,8,0)))</f>
        <v>150076-0-2015</v>
      </c>
      <c r="P21" s="551">
        <f>IF(ISERROR(VLOOKUP(B21,'Base de Datos'!$C$7:$N$4077,9,0))=TRUE," ",(VLOOKUP(B21,'Base de Datos'!$C$7:$N$4077,10,0)))</f>
        <v>42053</v>
      </c>
      <c r="Q21" s="533" t="s">
        <v>1851</v>
      </c>
      <c r="R21" s="551">
        <f>IF(ISERROR(VLOOKUP(B21,'Base de Datos'!$C$7:$N$4077,10,0))=TRUE," ",(VLOOKUP(B21,'Base de Datos'!$C$7:$N$4077,11,0)))</f>
        <v>42054</v>
      </c>
      <c r="S21" s="551">
        <f>IF(ISERROR(VLOOKUP(B21,'Base de Datos'!$C$7:$N$4077,11,0))=TRUE," ",(VLOOKUP(B21,'Base de Datos'!$C$7:$N$4077,12,0)))</f>
        <v>42419</v>
      </c>
      <c r="T21" s="533" t="str">
        <f ca="1">VLOOKUP(C21,'Base de Datos'!$E$7:$AR$382,39,0)</f>
        <v>NO</v>
      </c>
      <c r="U21" s="722"/>
      <c r="V21" s="634"/>
    </row>
    <row r="22" spans="2:22" ht="14.25" customHeight="1" outlineLevel="1" x14ac:dyDescent="0.25">
      <c r="B22" s="537">
        <v>134</v>
      </c>
      <c r="C22" s="533" t="str">
        <f>IF(ISERROR(VLOOKUP(B22,'Base de Datos'!$C$7:$F$4092,2,0))=TRUE,"",(VLOOKUP('Presupuesto - PAA 2015'!B22,'Base de Datos'!$C$7:$F$4092,3,0)))</f>
        <v>150369-0-2015</v>
      </c>
      <c r="D22" s="533" t="str">
        <f>IF(ISERROR(VLOOKUP(B22,'Base de Datos'!$C$7:$F$4092,3,0))=TRUE,"",(VLOOKUP('Presupuesto - PAA 2015'!B22,'Base de Datos'!$C$7:$F$4092,4,0)))</f>
        <v>DANIEL JOSE MORALES VARGAS</v>
      </c>
      <c r="E22" s="536">
        <v>6660000</v>
      </c>
      <c r="F22" s="534">
        <f>VLOOKUP(B22,'Actualizada - presupuesto'!$D$7:$L$111,9,0)</f>
        <v>0</v>
      </c>
      <c r="G22" s="534"/>
      <c r="H22" s="534"/>
      <c r="I22" s="534"/>
      <c r="J22" s="536">
        <f>IF(ISERROR(VLOOKUP(B22,'Base de Datos'!$C$7:$N$4092,6,0))=TRUE,"Sin Celebrar",(VLOOKUP(B22,'Base de Datos'!$C$7:$N$4092,7,0)))</f>
        <v>6660000</v>
      </c>
      <c r="K22" s="600"/>
      <c r="L22" s="536" t="str">
        <f t="shared" si="3"/>
        <v xml:space="preserve"> </v>
      </c>
      <c r="M22" s="536"/>
      <c r="N22" s="536" t="str">
        <f t="shared" si="4"/>
        <v xml:space="preserve"> </v>
      </c>
      <c r="O22" s="719" t="str">
        <f>IF(ISERROR(VLOOKUP(B22,'Base de Datos'!$C$7:$K$1048576,7,0))=TRUE," ",(VLOOKUP(B22,'Base de Datos'!$C$7:$K$1048576,8,0)))</f>
        <v>150369-0-2015</v>
      </c>
      <c r="P22" s="551">
        <f>IF(ISERROR(VLOOKUP(B22,'Base de Datos'!$C$7:$N$4077,9,0))=TRUE," ",(VLOOKUP(B22,'Base de Datos'!$C$7:$N$4077,10,0)))</f>
        <v>42284</v>
      </c>
      <c r="Q22" s="533" t="s">
        <v>378</v>
      </c>
      <c r="R22" s="551">
        <f>IF(ISERROR(VLOOKUP(B22,'Base de Datos'!$C$7:$N$4077,10,0))=TRUE," ",(VLOOKUP(B22,'Base de Datos'!$C$7:$N$4077,11,0)))</f>
        <v>42303</v>
      </c>
      <c r="S22" s="551">
        <f>IF(ISERROR(VLOOKUP(B22,'Base de Datos'!$C$7:$N$4077,11,0))=TRUE," ",(VLOOKUP(B22,'Base de Datos'!$C$7:$N$4077,12,0)))</f>
        <v>42364</v>
      </c>
      <c r="T22" s="533" t="str">
        <f ca="1">VLOOKUP(C22,'Base de Datos'!$E$7:$AR$382,39,0)</f>
        <v>NO</v>
      </c>
      <c r="U22" s="722"/>
      <c r="V22" s="634"/>
    </row>
    <row r="23" spans="2:22" ht="27" customHeight="1" outlineLevel="1" x14ac:dyDescent="0.25">
      <c r="B23" s="537">
        <v>135</v>
      </c>
      <c r="C23" s="533" t="str">
        <f>IF(ISERROR(VLOOKUP(B23,'Base de Datos'!$C$7:$F$4092,2,0))=TRUE,"",(VLOOKUP('Presupuesto - PAA 2015'!B23,'Base de Datos'!$C$7:$F$4092,3,0)))</f>
        <v>150028-0-2015</v>
      </c>
      <c r="D23" s="533" t="str">
        <f>IF(ISERROR(VLOOKUP(B23,'Base de Datos'!$C$7:$F$4092,3,0))=TRUE,"",(VLOOKUP('Presupuesto - PAA 2015'!B23,'Base de Datos'!$C$7:$F$4092,4,0)))</f>
        <v>RICARDO ROJAS SANABRIA (Cesionario) / Antes: NAYIVE CARRASCO PATIÑO</v>
      </c>
      <c r="E23" s="536">
        <f>VLOOKUP(B23,'[6]Abr 24-2015'!$C$53:$AA$327,24,0)</f>
        <v>84000000</v>
      </c>
      <c r="F23" s="534" t="str">
        <f>VLOOKUP(B23,'Actualizada - presupuesto'!$D$7:$L$111,9,0)</f>
        <v>SI</v>
      </c>
      <c r="G23" s="534"/>
      <c r="H23" s="534"/>
      <c r="I23" s="534"/>
      <c r="J23" s="536">
        <f>IF(ISERROR(VLOOKUP(B23,'Base de Datos'!$C$7:$N$4092,6,0))=TRUE,"Sin Celebrar",(VLOOKUP(B23,'Base de Datos'!$C$7:$N$4092,7,0)))</f>
        <v>84000000</v>
      </c>
      <c r="K23" s="600"/>
      <c r="L23" s="536" t="str">
        <f t="shared" si="3"/>
        <v xml:space="preserve"> </v>
      </c>
      <c r="M23" s="536"/>
      <c r="N23" s="536" t="str">
        <f t="shared" si="4"/>
        <v xml:space="preserve"> </v>
      </c>
      <c r="O23" s="719" t="str">
        <f>IF(ISERROR(VLOOKUP(B23,'Base de Datos'!$C$7:$K$1048576,7,0))=TRUE," ",(VLOOKUP(B23,'Base de Datos'!$C$7:$K$1048576,8,0)))</f>
        <v>150028-0-2015</v>
      </c>
      <c r="P23" s="551">
        <f>IF(ISERROR(VLOOKUP(B23,'Base de Datos'!$C$7:$N$4077,9,0))=TRUE," ",(VLOOKUP(B23,'Base de Datos'!$C$7:$N$4077,10,0)))</f>
        <v>42027</v>
      </c>
      <c r="Q23" s="533" t="s">
        <v>1851</v>
      </c>
      <c r="R23" s="551">
        <f>IF(ISERROR(VLOOKUP(B23,'Base de Datos'!$C$7:$N$4077,10,0))=TRUE," ",(VLOOKUP(B23,'Base de Datos'!$C$7:$N$4077,11,0)))</f>
        <v>42031</v>
      </c>
      <c r="S23" s="551">
        <f>IF(ISERROR(VLOOKUP(B23,'Base de Datos'!$C$7:$N$4077,11,0))=TRUE," ",(VLOOKUP(B23,'Base de Datos'!$C$7:$N$4077,12,0)))</f>
        <v>42396</v>
      </c>
      <c r="T23" s="533" t="str">
        <f ca="1">VLOOKUP(C23,'Base de Datos'!$E$7:$AR$382,39,0)</f>
        <v>NO</v>
      </c>
      <c r="U23" s="722"/>
      <c r="V23" s="634"/>
    </row>
    <row r="24" spans="2:22" ht="14.25" customHeight="1" outlineLevel="1" x14ac:dyDescent="0.25">
      <c r="B24" s="537">
        <v>136</v>
      </c>
      <c r="C24" s="533" t="str">
        <f>IF(ISERROR(VLOOKUP(B24,'Base de Datos'!$C$7:$F$4092,2,0))=TRUE,"",(VLOOKUP('Presupuesto - PAA 2015'!B24,'Base de Datos'!$C$7:$F$4092,3,0)))</f>
        <v>150080-0-2015</v>
      </c>
      <c r="D24" s="533" t="str">
        <f>IF(ISERROR(VLOOKUP(B24,'Base de Datos'!$C$7:$F$4092,3,0))=TRUE,"",(VLOOKUP('Presupuesto - PAA 2015'!B24,'Base de Datos'!$C$7:$F$4092,4,0)))</f>
        <v>LIZETH  GONZÁLEZ VARGAS</v>
      </c>
      <c r="E24" s="536">
        <f>VLOOKUP(B24,'[6]Abr 24-2015'!$C$53:$AA$327,24,0)</f>
        <v>43260000</v>
      </c>
      <c r="F24" s="534" t="str">
        <f>VLOOKUP(B24,'Actualizada - presupuesto'!$D$7:$L$111,9,0)</f>
        <v>SI</v>
      </c>
      <c r="G24" s="534"/>
      <c r="H24" s="534"/>
      <c r="I24" s="534"/>
      <c r="J24" s="536">
        <f>IF(ISERROR(VLOOKUP(B24,'Base de Datos'!$C$7:$N$4092,6,0))=TRUE,"Sin Celebrar",(VLOOKUP(B24,'Base de Datos'!$C$7:$N$4092,7,0)))</f>
        <v>43260000</v>
      </c>
      <c r="K24" s="600"/>
      <c r="L24" s="536" t="str">
        <f t="shared" si="3"/>
        <v xml:space="preserve"> </v>
      </c>
      <c r="M24" s="536"/>
      <c r="N24" s="536" t="str">
        <f t="shared" si="4"/>
        <v xml:space="preserve"> </v>
      </c>
      <c r="O24" s="719" t="str">
        <f>IF(ISERROR(VLOOKUP(B24,'Base de Datos'!$C$7:$K$1048576,7,0))=TRUE," ",(VLOOKUP(B24,'Base de Datos'!$C$7:$K$1048576,8,0)))</f>
        <v>150080-0-2015</v>
      </c>
      <c r="P24" s="551">
        <f>IF(ISERROR(VLOOKUP(B24,'Base de Datos'!$C$7:$N$4077,9,0))=TRUE," ",(VLOOKUP(B24,'Base de Datos'!$C$7:$N$4077,10,0)))</f>
        <v>42054</v>
      </c>
      <c r="Q24" s="533" t="s">
        <v>1851</v>
      </c>
      <c r="R24" s="551">
        <f>IF(ISERROR(VLOOKUP(B24,'Base de Datos'!$C$7:$N$4077,10,0))=TRUE," ",(VLOOKUP(B24,'Base de Datos'!$C$7:$N$4077,11,0)))</f>
        <v>42060</v>
      </c>
      <c r="S24" s="551">
        <f>IF(ISERROR(VLOOKUP(B24,'Base de Datos'!$C$7:$N$4077,11,0))=TRUE," ",(VLOOKUP(B24,'Base de Datos'!$C$7:$N$4077,12,0)))</f>
        <v>42425</v>
      </c>
      <c r="T24" s="533" t="str">
        <f ca="1">VLOOKUP(C24,'Base de Datos'!$E$7:$AR$382,39,0)</f>
        <v>NO</v>
      </c>
      <c r="U24" s="722"/>
      <c r="V24" s="634"/>
    </row>
    <row r="25" spans="2:22" ht="24" outlineLevel="1" x14ac:dyDescent="0.25">
      <c r="B25" s="552">
        <v>137</v>
      </c>
      <c r="C25" s="533" t="str">
        <f>IF(ISERROR(VLOOKUP(B25,'Base de Datos'!$C$7:$F$4092,2,0))=TRUE,"",(VLOOKUP('Presupuesto - PAA 2015'!B25,'Base de Datos'!$C$7:$F$4092,3,0)))</f>
        <v>150053-0-2015</v>
      </c>
      <c r="D25" s="533" t="str">
        <f>IF(ISERROR(VLOOKUP(B25,'Base de Datos'!$C$7:$F$4092,3,0))=TRUE,"",(VLOOKUP('Presupuesto - PAA 2015'!B25,'Base de Datos'!$C$7:$F$4092,4,0)))</f>
        <v xml:space="preserve">ADRIANA MARGARITA PAYARES (Cesionaria) / Antes: JEAN PAUL RUBIO MARTIN </v>
      </c>
      <c r="E25" s="554">
        <f>VLOOKUP(B25,'[6]Abr 24-2015'!$C$53:$AA$327,24,0)</f>
        <v>63654000</v>
      </c>
      <c r="F25" s="534" t="str">
        <f>VLOOKUP(B25,'Actualizada - presupuesto'!$D$7:$L$111,9,0)</f>
        <v>SI</v>
      </c>
      <c r="G25" s="555"/>
      <c r="H25" s="555"/>
      <c r="I25" s="555"/>
      <c r="J25" s="536">
        <f>IF(ISERROR(VLOOKUP(B25,'Base de Datos'!$C$7:$N$4092,6,0))=TRUE,"Sin Celebrar",(VLOOKUP(B25,'Base de Datos'!$C$7:$N$4092,7,0)))</f>
        <v>63654000</v>
      </c>
      <c r="K25" s="604"/>
      <c r="L25" s="536" t="str">
        <f t="shared" si="3"/>
        <v xml:space="preserve"> </v>
      </c>
      <c r="M25" s="554"/>
      <c r="N25" s="536" t="str">
        <f t="shared" si="4"/>
        <v xml:space="preserve"> </v>
      </c>
      <c r="O25" s="719" t="str">
        <f>IF(ISERROR(VLOOKUP(B25,'Base de Datos'!$C$7:$K$1048576,7,0))=TRUE," ",(VLOOKUP(B25,'Base de Datos'!$C$7:$K$1048576,8,0)))</f>
        <v>150053-0-2015</v>
      </c>
      <c r="P25" s="551">
        <f>IF(ISERROR(VLOOKUP(B25,'Base de Datos'!$C$7:$N$4077,9,0))=TRUE," ",(VLOOKUP(B25,'Base de Datos'!$C$7:$N$4077,10,0)))</f>
        <v>42044</v>
      </c>
      <c r="Q25" s="553" t="s">
        <v>1851</v>
      </c>
      <c r="R25" s="551">
        <f>IF(ISERROR(VLOOKUP(B25,'Base de Datos'!$C$7:$N$4077,10,0))=TRUE," ",(VLOOKUP(B25,'Base de Datos'!$C$7:$N$4077,11,0)))</f>
        <v>42045</v>
      </c>
      <c r="S25" s="551">
        <f>IF(ISERROR(VLOOKUP(B25,'Base de Datos'!$C$7:$N$4077,11,0))=TRUE," ",(VLOOKUP(B25,'Base de Datos'!$C$7:$N$4077,12,0)))</f>
        <v>42379</v>
      </c>
      <c r="T25" s="533" t="str">
        <f ca="1">VLOOKUP(C25,'Base de Datos'!$E$7:$AR$382,39,0)</f>
        <v>NO</v>
      </c>
      <c r="U25" s="722"/>
      <c r="V25" s="634"/>
    </row>
    <row r="26" spans="2:22" outlineLevel="1" x14ac:dyDescent="0.25">
      <c r="B26" s="552">
        <v>319</v>
      </c>
      <c r="C26" s="533" t="str">
        <f>IF(ISERROR(VLOOKUP(B26,'Base de Datos'!$C$7:$F$4092,2,0))=TRUE,"",(VLOOKUP('Presupuesto - PAA 2015'!B26,'Base de Datos'!$C$7:$F$4092,3,0)))</f>
        <v>150281-0-2015</v>
      </c>
      <c r="D26" s="533" t="str">
        <f>IF(ISERROR(VLOOKUP(B26,'Base de Datos'!$C$7:$F$4092,3,0))=TRUE,"",(VLOOKUP('Presupuesto - PAA 2015'!B26,'Base de Datos'!$C$7:$F$4092,4,0)))</f>
        <v>HUGO FERNANDO LONDOÑO ULLOA</v>
      </c>
      <c r="E26" s="554">
        <v>31800000</v>
      </c>
      <c r="F26" s="534" t="s">
        <v>390</v>
      </c>
      <c r="G26" s="555"/>
      <c r="H26" s="555"/>
      <c r="I26" s="555"/>
      <c r="J26" s="536">
        <f>IF(ISERROR(VLOOKUP(B26,'Base de Datos'!$C$7:$N$4092,6,0))=TRUE,"Sin Celebrar",(VLOOKUP(B26,'Base de Datos'!$C$7:$N$4092,7,0)))</f>
        <v>31800000</v>
      </c>
      <c r="K26" s="604"/>
      <c r="L26" s="536" t="str">
        <f t="shared" si="3"/>
        <v xml:space="preserve"> </v>
      </c>
      <c r="M26" s="554"/>
      <c r="N26" s="536" t="str">
        <f t="shared" si="4"/>
        <v xml:space="preserve"> </v>
      </c>
      <c r="O26" s="719" t="s">
        <v>2048</v>
      </c>
      <c r="P26" s="551">
        <f>IF(ISERROR(VLOOKUP(B26,'Base de Datos'!$C$7:$N$4077,9,0))=TRUE," ",(VLOOKUP(B26,'Base de Datos'!$C$7:$N$4077,10,0)))</f>
        <v>42179</v>
      </c>
      <c r="Q26" s="553" t="s">
        <v>382</v>
      </c>
      <c r="R26" s="551">
        <f>IF(ISERROR(VLOOKUP(B26,'Base de Datos'!$C$7:$N$4077,10,0))=TRUE," ",(VLOOKUP(B26,'Base de Datos'!$C$7:$N$4077,11,0)))</f>
        <v>42186</v>
      </c>
      <c r="S26" s="551">
        <f>IF(ISERROR(VLOOKUP(B26,'Base de Datos'!$C$7:$N$4077,11,0))=TRUE," ",(VLOOKUP(B26,'Base de Datos'!$C$7:$N$4077,12,0)))</f>
        <v>42370</v>
      </c>
      <c r="T26" s="533" t="str">
        <f ca="1">VLOOKUP(C26,'Base de Datos'!$E$7:$AR$382,39,0)</f>
        <v>NO</v>
      </c>
      <c r="U26" s="722"/>
      <c r="V26" s="634"/>
    </row>
    <row r="27" spans="2:22" outlineLevel="1" x14ac:dyDescent="0.25">
      <c r="B27" s="552">
        <v>320</v>
      </c>
      <c r="C27" s="533" t="str">
        <f>IF(ISERROR(VLOOKUP(B27,'Base de Datos'!$C$7:$F$4092,2,0))=TRUE,"",(VLOOKUP('Presupuesto - PAA 2015'!B27,'Base de Datos'!$C$7:$F$4092,3,0)))</f>
        <v>150276-0-2015</v>
      </c>
      <c r="D27" s="533" t="str">
        <f>IF(ISERROR(VLOOKUP(B27,'Base de Datos'!$C$7:$F$4092,3,0))=TRUE,"",(VLOOKUP('Presupuesto - PAA 2015'!B27,'Base de Datos'!$C$7:$F$4092,4,0)))</f>
        <v>JAVIER IGNACIO JATIVA GARCIA</v>
      </c>
      <c r="E27" s="536">
        <v>21600000</v>
      </c>
      <c r="F27" s="534" t="s">
        <v>390</v>
      </c>
      <c r="G27" s="555"/>
      <c r="H27" s="555"/>
      <c r="I27" s="555"/>
      <c r="J27" s="536">
        <f>IF(ISERROR(VLOOKUP(B27,'Base de Datos'!$C$7:$N$4092,6,0))=TRUE,"Sin Celebrar",(VLOOKUP(B27,'Base de Datos'!$C$7:$N$4092,7,0)))</f>
        <v>21600000</v>
      </c>
      <c r="K27" s="604"/>
      <c r="L27" s="536" t="str">
        <f t="shared" si="3"/>
        <v xml:space="preserve"> </v>
      </c>
      <c r="M27" s="554"/>
      <c r="N27" s="536" t="str">
        <f t="shared" si="4"/>
        <v xml:space="preserve"> </v>
      </c>
      <c r="O27" s="719" t="s">
        <v>2030</v>
      </c>
      <c r="P27" s="551">
        <f>IF(ISERROR(VLOOKUP(B27,'Base de Datos'!$C$7:$N$4077,9,0))=TRUE," ",(VLOOKUP(B27,'Base de Datos'!$C$7:$N$4077,10,0)))</f>
        <v>42179</v>
      </c>
      <c r="Q27" s="553" t="s">
        <v>382</v>
      </c>
      <c r="R27" s="551">
        <f>IF(ISERROR(VLOOKUP(B27,'Base de Datos'!$C$7:$N$4077,10,0))=TRUE," ",(VLOOKUP(B27,'Base de Datos'!$C$7:$N$4077,11,0)))</f>
        <v>42186</v>
      </c>
      <c r="S27" s="551">
        <f>IF(ISERROR(VLOOKUP(B27,'Base de Datos'!$C$7:$N$4077,11,0))=TRUE," ",(VLOOKUP(B27,'Base de Datos'!$C$7:$N$4077,12,0)))</f>
        <v>42370</v>
      </c>
      <c r="T27" s="533" t="str">
        <f ca="1">VLOOKUP(C27,'Base de Datos'!$E$7:$AR$382,39,0)</f>
        <v>NO</v>
      </c>
      <c r="U27" s="722"/>
      <c r="V27" s="634"/>
    </row>
    <row r="28" spans="2:22" outlineLevel="1" x14ac:dyDescent="0.25">
      <c r="B28" s="552">
        <v>324</v>
      </c>
      <c r="C28" s="533" t="str">
        <f>IF(ISERROR(VLOOKUP(B28,'Base de Datos'!$C$7:$F$4092,2,0))=TRUE,"",(VLOOKUP('Presupuesto - PAA 2015'!B28,'Base de Datos'!$C$7:$F$4092,3,0)))</f>
        <v>150286-0-2015</v>
      </c>
      <c r="D28" s="533" t="str">
        <f>IF(ISERROR(VLOOKUP(B28,'Base de Datos'!$C$7:$F$4092,3,0))=TRUE,"",(VLOOKUP('Presupuesto - PAA 2015'!B28,'Base de Datos'!$C$7:$F$4092,4,0)))</f>
        <v>CLAUDIA ELVIRA RODRIGUEZ POVEDA</v>
      </c>
      <c r="E28" s="536">
        <v>31800000</v>
      </c>
      <c r="F28" s="534" t="s">
        <v>390</v>
      </c>
      <c r="G28" s="555"/>
      <c r="H28" s="555"/>
      <c r="I28" s="555"/>
      <c r="J28" s="536">
        <f>IF(ISERROR(VLOOKUP(B28,'Base de Datos'!$C$7:$N$4092,6,0))=TRUE,"Sin Celebrar",(VLOOKUP(B28,'Base de Datos'!$C$7:$N$4092,7,0)))</f>
        <v>31800000</v>
      </c>
      <c r="K28" s="604"/>
      <c r="L28" s="536" t="str">
        <f t="shared" si="3"/>
        <v xml:space="preserve"> </v>
      </c>
      <c r="M28" s="554"/>
      <c r="N28" s="536" t="str">
        <f t="shared" si="4"/>
        <v xml:space="preserve"> </v>
      </c>
      <c r="O28" s="719" t="s">
        <v>2043</v>
      </c>
      <c r="P28" s="551">
        <f>IF(ISERROR(VLOOKUP(B28,'Base de Datos'!$C$7:$N$4077,9,0))=TRUE," ",(VLOOKUP(B28,'Base de Datos'!$C$7:$N$4077,10,0)))</f>
        <v>42179</v>
      </c>
      <c r="Q28" s="553" t="s">
        <v>382</v>
      </c>
      <c r="R28" s="551">
        <f>IF(ISERROR(VLOOKUP(B28,'Base de Datos'!$C$7:$N$4077,10,0))=TRUE," ",(VLOOKUP(B28,'Base de Datos'!$C$7:$N$4077,11,0)))</f>
        <v>42186</v>
      </c>
      <c r="S28" s="551">
        <f>IF(ISERROR(VLOOKUP(B28,'Base de Datos'!$C$7:$N$4077,11,0))=TRUE," ",(VLOOKUP(B28,'Base de Datos'!$C$7:$N$4077,12,0)))</f>
        <v>42370</v>
      </c>
      <c r="T28" s="533" t="str">
        <f ca="1">VLOOKUP(C28,'Base de Datos'!$E$7:$AR$382,39,0)</f>
        <v>NO</v>
      </c>
      <c r="U28" s="722"/>
      <c r="V28" s="634"/>
    </row>
    <row r="29" spans="2:22" outlineLevel="1" x14ac:dyDescent="0.25">
      <c r="B29" s="552">
        <v>366</v>
      </c>
      <c r="C29" s="533" t="str">
        <f>IF(ISERROR(VLOOKUP(B29,'Base de Datos'!$C$7:$F$4092,2,0))=TRUE,"",(VLOOKUP('Presupuesto - PAA 2015'!B29,'Base de Datos'!$C$7:$F$4092,3,0)))</f>
        <v>150398-0-2015</v>
      </c>
      <c r="D29" s="533" t="str">
        <f>IF(ISERROR(VLOOKUP(B29,'Base de Datos'!$C$7:$F$4092,3,0))=TRUE,"",(VLOOKUP('Presupuesto - PAA 2015'!B29,'Base de Datos'!$C$7:$F$4092,4,0)))</f>
        <v>MARLON ENRIQUE MIRANDA TRUJILLO</v>
      </c>
      <c r="E29" s="536">
        <v>27500000</v>
      </c>
      <c r="F29" s="534" t="s">
        <v>390</v>
      </c>
      <c r="G29" s="555"/>
      <c r="H29" s="555"/>
      <c r="I29" s="555"/>
      <c r="J29" s="536">
        <f>IF(ISERROR(VLOOKUP(B29,'Base de Datos'!$C$7:$N$4092,6,0))=TRUE,"Sin Celebrar",(VLOOKUP(B29,'Base de Datos'!$C$7:$N$4092,7,0)))</f>
        <v>27500000</v>
      </c>
      <c r="K29" s="604"/>
      <c r="L29" s="536" t="str">
        <f>IF(J29=$AA$1,E29, " ")</f>
        <v xml:space="preserve"> </v>
      </c>
      <c r="M29" s="554"/>
      <c r="N29" s="536" t="str">
        <f>IF(J29&lt;E29,(E29-J29)," ")</f>
        <v xml:space="preserve"> </v>
      </c>
      <c r="O29" s="719" t="s">
        <v>2346</v>
      </c>
      <c r="P29" s="551">
        <f>IF(ISERROR(VLOOKUP(B29,'Base de Datos'!$C$7:$N$4077,9,0))=TRUE," ",(VLOOKUP(B29,'Base de Datos'!$C$7:$N$4077,10,0)))</f>
        <v>42342</v>
      </c>
      <c r="Q29" s="553" t="s">
        <v>544</v>
      </c>
      <c r="R29" s="551">
        <f>IF(ISERROR(VLOOKUP(B29,'Base de Datos'!$C$7:$N$4077,10,0))=TRUE," ",(VLOOKUP(B29,'Base de Datos'!$C$7:$N$4077,11,0)))</f>
        <v>42349</v>
      </c>
      <c r="S29" s="551">
        <f>IF(ISERROR(VLOOKUP(B29,'Base de Datos'!$C$7:$N$4077,11,0))=TRUE," ",(VLOOKUP(B29,'Base de Datos'!$C$7:$N$4077,12,0)))</f>
        <v>42501</v>
      </c>
      <c r="T29" s="533"/>
      <c r="U29" s="722"/>
      <c r="V29" s="634"/>
    </row>
    <row r="30" spans="2:22" outlineLevel="1" x14ac:dyDescent="0.25">
      <c r="B30" s="552"/>
      <c r="C30" s="553"/>
      <c r="D30" s="533" t="s">
        <v>1935</v>
      </c>
      <c r="E30" s="536">
        <f>+E8-SUM(E10:E29)</f>
        <v>3249028</v>
      </c>
      <c r="F30" s="534"/>
      <c r="G30" s="555"/>
      <c r="H30" s="555"/>
      <c r="I30" s="555"/>
      <c r="J30" s="536"/>
      <c r="K30" s="604"/>
      <c r="L30" s="536" t="str">
        <f t="shared" si="3"/>
        <v xml:space="preserve"> </v>
      </c>
      <c r="M30" s="554"/>
      <c r="N30" s="536">
        <f t="shared" si="4"/>
        <v>3249028</v>
      </c>
      <c r="O30" s="679"/>
      <c r="P30" s="551" t="str">
        <f>IF(ISERROR(VLOOKUP(B30,'Base de Datos'!$C$7:$N$315,9,0))=TRUE," ",(VLOOKUP(B30,'Base de Datos'!$C$7:$N$315,9,0)))</f>
        <v xml:space="preserve"> </v>
      </c>
      <c r="Q30" s="553"/>
      <c r="R30" s="551" t="str">
        <f>IF(ISERROR(VLOOKUP(B30,'Base de Datos'!$C$7:$N$315,10,0))=TRUE," ",(VLOOKUP(B30,'Base de Datos'!$C$7:$N$315,10,0)))</f>
        <v xml:space="preserve"> </v>
      </c>
      <c r="S30" s="551" t="str">
        <f>IF(ISERROR(VLOOKUP(B30,'Base de Datos'!$C$7:$N$315,11,0))=TRUE," ",(VLOOKUP(B30,'Base de Datos'!$C$7:$N$315,11,0)))</f>
        <v xml:space="preserve"> </v>
      </c>
      <c r="T30" s="533"/>
      <c r="U30" s="722"/>
      <c r="V30" s="634"/>
    </row>
    <row r="31" spans="2:22" ht="12.75" outlineLevel="1" thickBot="1" x14ac:dyDescent="0.3">
      <c r="B31" s="552"/>
      <c r="C31" s="553"/>
      <c r="D31" s="553"/>
      <c r="E31" s="554"/>
      <c r="F31" s="555"/>
      <c r="G31" s="555"/>
      <c r="H31" s="555"/>
      <c r="I31" s="555"/>
      <c r="J31" s="536"/>
      <c r="K31" s="604"/>
      <c r="L31" s="554" t="str">
        <f t="shared" si="3"/>
        <v xml:space="preserve"> </v>
      </c>
      <c r="M31" s="554"/>
      <c r="N31" s="554" t="str">
        <f t="shared" si="4"/>
        <v xml:space="preserve"> </v>
      </c>
      <c r="O31" s="679"/>
      <c r="P31" s="556" t="str">
        <f>IF(ISERROR(VLOOKUP(B31,'Base de Datos'!$C$7:$N$315,9,0))=TRUE," ",(VLOOKUP(B31,'Base de Datos'!$C$7:$N$315,9,0)))</f>
        <v xml:space="preserve"> </v>
      </c>
      <c r="Q31" s="553"/>
      <c r="R31" s="556" t="str">
        <f>IF(ISERROR(VLOOKUP(B31,'Base de Datos'!$C$7:$N$315,10,0))=TRUE," ",(VLOOKUP(B31,'Base de Datos'!$C$7:$N$315,10,0)))</f>
        <v xml:space="preserve"> </v>
      </c>
      <c r="S31" s="556" t="str">
        <f>IF(ISERROR(VLOOKUP(B31,'Base de Datos'!$C$7:$N$315,11,0))=TRUE," ",(VLOOKUP(B31,'Base de Datos'!$C$7:$N$315,11,0)))</f>
        <v xml:space="preserve"> </v>
      </c>
      <c r="T31" s="553"/>
      <c r="U31" s="722"/>
      <c r="V31" s="634"/>
    </row>
    <row r="32" spans="2:22" outlineLevel="1" x14ac:dyDescent="0.25">
      <c r="B32" s="1191"/>
      <c r="C32" s="1192"/>
      <c r="D32" s="1192"/>
      <c r="E32" s="559"/>
      <c r="F32" s="559"/>
      <c r="G32" s="559"/>
      <c r="H32" s="559"/>
      <c r="I32" s="559"/>
      <c r="J32" s="559"/>
      <c r="K32" s="605"/>
      <c r="L32" s="559"/>
      <c r="M32" s="559"/>
      <c r="N32" s="559"/>
      <c r="O32" s="680"/>
      <c r="P32" s="560"/>
      <c r="Q32" s="561"/>
      <c r="R32" s="560"/>
      <c r="S32" s="560"/>
      <c r="T32" s="562"/>
      <c r="U32" s="722"/>
      <c r="V32" s="634"/>
    </row>
    <row r="33" spans="2:22" ht="12.75" outlineLevel="1" thickBot="1" x14ac:dyDescent="0.3">
      <c r="B33" s="1193"/>
      <c r="C33" s="1194"/>
      <c r="D33" s="1194"/>
      <c r="E33" s="563"/>
      <c r="F33" s="579"/>
      <c r="G33" s="579"/>
      <c r="H33" s="579"/>
      <c r="I33" s="579"/>
      <c r="J33" s="563"/>
      <c r="K33" s="606"/>
      <c r="L33" s="563"/>
      <c r="M33" s="563"/>
      <c r="N33" s="563"/>
      <c r="O33" s="681"/>
      <c r="P33" s="564"/>
      <c r="Q33" s="565"/>
      <c r="R33" s="564"/>
      <c r="S33" s="564"/>
      <c r="T33" s="566"/>
      <c r="U33" s="722"/>
      <c r="V33" s="634"/>
    </row>
    <row r="34" spans="2:22" ht="15" customHeight="1" x14ac:dyDescent="0.25">
      <c r="B34" s="1195" t="s">
        <v>1644</v>
      </c>
      <c r="C34" s="1195"/>
      <c r="D34" s="1195"/>
      <c r="E34" s="587">
        <v>12705000000</v>
      </c>
      <c r="F34" s="588">
        <f>COUNTIF('Actualizada - presupuesto'!$E$7:$E$111,B34)</f>
        <v>0</v>
      </c>
      <c r="G34" s="588"/>
      <c r="H34" s="588"/>
      <c r="I34" s="581">
        <v>12745000000</v>
      </c>
      <c r="J34" s="587">
        <f>+J35</f>
        <v>10479835080</v>
      </c>
      <c r="K34" s="607">
        <f>J35/I34</f>
        <v>0.82227030835621817</v>
      </c>
      <c r="L34" s="587">
        <f>E34-J34</f>
        <v>2225164920</v>
      </c>
      <c r="M34" s="632">
        <f>+E34-(J34+L34)</f>
        <v>0</v>
      </c>
      <c r="N34" s="587">
        <f>+E34-J34-L34</f>
        <v>0</v>
      </c>
      <c r="O34" s="682"/>
      <c r="P34" s="589" t="str">
        <f>IF(ISERROR(VLOOKUP(B34,'Base de Datos'!$C$7:$N$315,8,0))=TRUE," ",(VLOOKUP(B34,'Base de Datos'!$C$7:$N$315,8,0)))</f>
        <v xml:space="preserve"> </v>
      </c>
      <c r="Q34" s="590"/>
      <c r="R34" s="589" t="str">
        <f>IF(ISERROR(VLOOKUP(B34,'Base de Datos'!$C$7:$N$315,9,0))=TRUE," ",(VLOOKUP(B34,'Base de Datos'!$C$7:$N$315,9,0)))</f>
        <v xml:space="preserve"> </v>
      </c>
      <c r="S34" s="589" t="str">
        <f>IF(ISERROR(VLOOKUP(B34,'Base de Datos'!$C$7:$N$315,10,0))=TRUE," ",(VLOOKUP(B34,'Base de Datos'!$C$7:$N$315,10,0)))</f>
        <v xml:space="preserve"> </v>
      </c>
      <c r="T34" s="714"/>
      <c r="U34" s="722"/>
      <c r="V34" s="634"/>
    </row>
    <row r="35" spans="2:22" s="598" customFormat="1" ht="15" customHeight="1" outlineLevel="1" x14ac:dyDescent="0.25">
      <c r="B35" s="593"/>
      <c r="C35" s="593"/>
      <c r="D35" s="731" t="s">
        <v>2264</v>
      </c>
      <c r="E35" s="594"/>
      <c r="F35" s="595"/>
      <c r="G35" s="595"/>
      <c r="H35" s="595"/>
      <c r="I35" s="595"/>
      <c r="J35" s="580">
        <v>10479835080</v>
      </c>
      <c r="K35" s="608"/>
      <c r="L35" s="594"/>
      <c r="M35" s="594"/>
      <c r="N35" s="594"/>
      <c r="O35" s="683"/>
      <c r="P35" s="596"/>
      <c r="Q35" s="597"/>
      <c r="R35" s="596"/>
      <c r="S35" s="596"/>
      <c r="T35" s="715"/>
      <c r="U35" s="722"/>
      <c r="V35" s="634"/>
    </row>
    <row r="36" spans="2:22" s="598" customFormat="1" ht="15" customHeight="1" outlineLevel="1" x14ac:dyDescent="0.25">
      <c r="B36" s="593"/>
      <c r="C36" s="593"/>
      <c r="D36" s="593"/>
      <c r="E36" s="594"/>
      <c r="F36" s="595"/>
      <c r="G36" s="595"/>
      <c r="H36" s="595"/>
      <c r="I36" s="595"/>
      <c r="J36" s="594"/>
      <c r="K36" s="608"/>
      <c r="L36" s="594"/>
      <c r="M36" s="594"/>
      <c r="N36" s="594"/>
      <c r="O36" s="683"/>
      <c r="P36" s="596"/>
      <c r="Q36" s="597"/>
      <c r="R36" s="596"/>
      <c r="S36" s="596"/>
      <c r="T36" s="715"/>
      <c r="U36" s="722"/>
      <c r="V36" s="634"/>
    </row>
    <row r="37" spans="2:22" ht="15" customHeight="1" x14ac:dyDescent="0.25">
      <c r="B37" s="1181" t="s">
        <v>1645</v>
      </c>
      <c r="C37" s="1181"/>
      <c r="D37" s="1181"/>
      <c r="E37" s="581">
        <v>93600000</v>
      </c>
      <c r="F37" s="586">
        <v>3</v>
      </c>
      <c r="G37" s="586"/>
      <c r="H37" s="586"/>
      <c r="I37" s="586"/>
      <c r="J37" s="581">
        <f>SUM(J39:J47)</f>
        <v>93600000</v>
      </c>
      <c r="K37" s="603">
        <f>J37/E37</f>
        <v>1</v>
      </c>
      <c r="L37" s="581">
        <f>SUM(L39:L47)</f>
        <v>0</v>
      </c>
      <c r="M37" s="632">
        <v>0</v>
      </c>
      <c r="N37" s="581">
        <f>+E37-J37-L37</f>
        <v>0</v>
      </c>
      <c r="O37" s="684"/>
      <c r="P37" s="591" t="str">
        <f>IF(ISERROR(VLOOKUP(B37,'Base de Datos'!$C$7:$N$315,8,0))=TRUE," ",(VLOOKUP(B37,'Base de Datos'!$C$7:$N$315,8,0)))</f>
        <v xml:space="preserve"> </v>
      </c>
      <c r="Q37" s="592"/>
      <c r="R37" s="591" t="str">
        <f>IF(ISERROR(VLOOKUP(B37,'Base de Datos'!$C$7:$N$315,9,0))=TRUE," ",(VLOOKUP(B37,'Base de Datos'!$C$7:$N$315,9,0)))</f>
        <v xml:space="preserve"> </v>
      </c>
      <c r="S37" s="591" t="str">
        <f>IF(ISERROR(VLOOKUP(B37,'Base de Datos'!$C$7:$N$315,10,0))=TRUE," ",(VLOOKUP(B37,'Base de Datos'!$C$7:$N$315,10,0)))</f>
        <v xml:space="preserve"> </v>
      </c>
      <c r="T37" s="592"/>
      <c r="U37" s="722"/>
      <c r="V37" s="634"/>
    </row>
    <row r="38" spans="2:22" ht="24" outlineLevel="1" x14ac:dyDescent="0.25">
      <c r="B38" s="537" t="s">
        <v>1693</v>
      </c>
      <c r="C38" s="537" t="s">
        <v>912</v>
      </c>
      <c r="D38" s="537" t="s">
        <v>1822</v>
      </c>
      <c r="E38" s="545" t="s">
        <v>1846</v>
      </c>
      <c r="F38" s="534" t="s">
        <v>1853</v>
      </c>
      <c r="G38" s="534"/>
      <c r="H38" s="534"/>
      <c r="I38" s="534"/>
      <c r="J38" s="537" t="s">
        <v>1845</v>
      </c>
      <c r="K38" s="652"/>
      <c r="L38" s="537" t="s">
        <v>1939</v>
      </c>
      <c r="M38" s="537"/>
      <c r="N38" s="537" t="s">
        <v>1940</v>
      </c>
      <c r="O38" s="677"/>
      <c r="P38" s="568" t="s">
        <v>1847</v>
      </c>
      <c r="Q38" s="537" t="s">
        <v>1848</v>
      </c>
      <c r="R38" s="537" t="s">
        <v>1849</v>
      </c>
      <c r="S38" s="537" t="s">
        <v>375</v>
      </c>
      <c r="T38" s="537" t="s">
        <v>1850</v>
      </c>
      <c r="U38" s="722"/>
      <c r="V38" s="634"/>
    </row>
    <row r="39" spans="2:22" outlineLevel="1" x14ac:dyDescent="0.25">
      <c r="B39" s="552">
        <v>274</v>
      </c>
      <c r="C39" s="533" t="str">
        <f>IF(ISERROR(VLOOKUP(B39,'Base de Datos'!$C$7:$F$4092,2,0))=TRUE,"",(VLOOKUP('Presupuesto - PAA 2015'!B39,'Base de Datos'!$C$7:$F$4092,3,0)))</f>
        <v>150214-0-2015</v>
      </c>
      <c r="D39" s="533" t="str">
        <f>IF(ISERROR(VLOOKUP(B39,'Base de Datos'!$C$7:$F$4092,3,0))=TRUE,"",(VLOOKUP('Presupuesto - PAA 2015'!B39,'Base de Datos'!$C$7:$F$4092,4,0)))</f>
        <v>CARLOS FERNANDO IBARRA VALLEJO</v>
      </c>
      <c r="E39" s="554">
        <v>18000000</v>
      </c>
      <c r="F39" s="534" t="s">
        <v>390</v>
      </c>
      <c r="G39" s="555"/>
      <c r="H39" s="555"/>
      <c r="I39" s="555"/>
      <c r="J39" s="536">
        <f>IF(ISERROR(VLOOKUP(B39,'Base de Datos'!$C$7:$N$4092,6,0))=TRUE,"Sin Celebrar",(VLOOKUP(B39,'Base de Datos'!$C$7:$N$4092,7,0)))</f>
        <v>18000000</v>
      </c>
      <c r="K39" s="604"/>
      <c r="L39" s="536" t="str">
        <f>IF(J39=$AA$1,E39, " ")</f>
        <v xml:space="preserve"> </v>
      </c>
      <c r="M39" s="554"/>
      <c r="N39" s="536" t="str">
        <f t="shared" ref="N39:N47" si="5">IF(J39&lt;E39,(E39-J39)," ")</f>
        <v xml:space="preserve"> </v>
      </c>
      <c r="O39" s="678" t="s">
        <v>1880</v>
      </c>
      <c r="P39" s="551">
        <f>IF(ISERROR(VLOOKUP(B39,'Base de Datos'!$C$7:$N$4077,9,0))=TRUE," ",(VLOOKUP(B39,'Base de Datos'!$C$7:$N$4077,10,0)))</f>
        <v>42130</v>
      </c>
      <c r="Q39" s="553" t="s">
        <v>1321</v>
      </c>
      <c r="R39" s="551">
        <f>IF(ISERROR(VLOOKUP(B39,'Base de Datos'!$C$7:$N$4077,10,0))=TRUE," ",(VLOOKUP(B39,'Base de Datos'!$C$7:$N$4077,11,0)))</f>
        <v>42137</v>
      </c>
      <c r="S39" s="551">
        <f>IF(ISERROR(VLOOKUP(B39,'Base de Datos'!$C$7:$N$4077,11,0))=TRUE," ",(VLOOKUP(B39,'Base de Datos'!$C$7:$N$4077,12,0)))</f>
        <v>42413</v>
      </c>
      <c r="T39" s="533" t="str">
        <f ca="1">VLOOKUP(C39,'Base de Datos'!$E$7:$AR$382,39,0)</f>
        <v>NO</v>
      </c>
      <c r="U39" s="722"/>
      <c r="V39" s="634"/>
    </row>
    <row r="40" spans="2:22" outlineLevel="1" x14ac:dyDescent="0.25">
      <c r="B40" s="552">
        <v>322</v>
      </c>
      <c r="C40" s="533" t="str">
        <f>IF(ISERROR(VLOOKUP(B40,'Base de Datos'!$C$7:$F$4092,2,0))=TRUE,"",(VLOOKUP('Presupuesto - PAA 2015'!B40,'Base de Datos'!$C$7:$F$4092,3,0)))</f>
        <v>150278-0-2015</v>
      </c>
      <c r="D40" s="533" t="str">
        <f>IF(ISERROR(VLOOKUP(B40,'Base de Datos'!$C$7:$F$4092,3,0))=TRUE,"",(VLOOKUP('Presupuesto - PAA 2015'!B40,'Base de Datos'!$C$7:$F$4092,4,0)))</f>
        <v>YURI VIVIANA REYES BENITEZ</v>
      </c>
      <c r="E40" s="554">
        <v>10800000</v>
      </c>
      <c r="F40" s="555" t="s">
        <v>390</v>
      </c>
      <c r="G40" s="555"/>
      <c r="H40" s="555"/>
      <c r="I40" s="555"/>
      <c r="J40" s="536">
        <f>IF(ISERROR(VLOOKUP(B40,'Base de Datos'!$C$7:$N$4092,6,0))=TRUE,"Sin Celebrar",(VLOOKUP(B40,'Base de Datos'!$C$7:$N$4092,7,0)))</f>
        <v>10800000</v>
      </c>
      <c r="K40" s="604"/>
      <c r="L40" s="554"/>
      <c r="M40" s="554"/>
      <c r="N40" s="536" t="str">
        <f t="shared" si="5"/>
        <v xml:space="preserve"> </v>
      </c>
      <c r="O40" s="678" t="s">
        <v>2035</v>
      </c>
      <c r="P40" s="551">
        <f>IF(ISERROR(VLOOKUP(B40,'Base de Datos'!$C$7:$N$4077,9,0))=TRUE," ",(VLOOKUP(B40,'Base de Datos'!$C$7:$N$4077,10,0)))</f>
        <v>42179</v>
      </c>
      <c r="Q40" s="553" t="s">
        <v>382</v>
      </c>
      <c r="R40" s="551">
        <f>IF(ISERROR(VLOOKUP(B40,'Base de Datos'!$C$7:$N$4077,10,0))=TRUE," ",(VLOOKUP(B40,'Base de Datos'!$C$7:$N$4077,11,0)))</f>
        <v>42186</v>
      </c>
      <c r="S40" s="551">
        <f>IF(ISERROR(VLOOKUP(B40,'Base de Datos'!$C$7:$N$4077,11,0))=TRUE," ",(VLOOKUP(B40,'Base de Datos'!$C$7:$N$4077,12,0)))</f>
        <v>42370</v>
      </c>
      <c r="T40" s="533" t="str">
        <f ca="1">VLOOKUP(C40,'Base de Datos'!$E$7:$AR$382,39,0)</f>
        <v>NO</v>
      </c>
      <c r="U40" s="722"/>
      <c r="V40" s="634"/>
    </row>
    <row r="41" spans="2:22" outlineLevel="1" x14ac:dyDescent="0.25">
      <c r="B41" s="552">
        <v>321</v>
      </c>
      <c r="C41" s="723" t="s">
        <v>2027</v>
      </c>
      <c r="D41" s="723" t="s">
        <v>2028</v>
      </c>
      <c r="E41" s="554">
        <v>10800000</v>
      </c>
      <c r="F41" s="555" t="s">
        <v>390</v>
      </c>
      <c r="G41" s="555"/>
      <c r="H41" s="555"/>
      <c r="I41" s="555"/>
      <c r="J41" s="554">
        <v>10800000</v>
      </c>
      <c r="K41" s="604"/>
      <c r="L41" s="554"/>
      <c r="M41" s="554"/>
      <c r="N41" s="536" t="str">
        <f t="shared" si="5"/>
        <v xml:space="preserve"> </v>
      </c>
      <c r="O41" s="679" t="s">
        <v>2027</v>
      </c>
      <c r="P41" s="556">
        <v>42179</v>
      </c>
      <c r="Q41" s="553" t="s">
        <v>382</v>
      </c>
      <c r="R41" s="551">
        <f>IF(ISERROR(VLOOKUP(B41,'Base de Datos'!$C$7:$N$4077,10,0))=TRUE," ",(VLOOKUP(B41,'Base de Datos'!$C$7:$N$4077,11,0)))</f>
        <v>42186</v>
      </c>
      <c r="S41" s="551">
        <f>IF(ISERROR(VLOOKUP(B41,'Base de Datos'!$C$7:$N$4077,11,0))=TRUE," ",(VLOOKUP(B41,'Base de Datos'!$C$7:$N$4077,12,0)))</f>
        <v>42370</v>
      </c>
      <c r="T41" s="533" t="str">
        <f ca="1">VLOOKUP(C41,'Base de Datos'!$E$7:$AR$382,39,0)</f>
        <v>NO</v>
      </c>
      <c r="U41" s="722"/>
      <c r="V41" s="634"/>
    </row>
    <row r="42" spans="2:22" outlineLevel="1" x14ac:dyDescent="0.25">
      <c r="B42" s="552">
        <v>321</v>
      </c>
      <c r="C42" s="723" t="s">
        <v>2033</v>
      </c>
      <c r="D42" s="723" t="s">
        <v>2034</v>
      </c>
      <c r="E42" s="554">
        <v>10800000</v>
      </c>
      <c r="F42" s="555" t="s">
        <v>390</v>
      </c>
      <c r="G42" s="555"/>
      <c r="H42" s="555"/>
      <c r="I42" s="555"/>
      <c r="J42" s="554">
        <v>10800000</v>
      </c>
      <c r="K42" s="604"/>
      <c r="L42" s="554"/>
      <c r="M42" s="554"/>
      <c r="N42" s="536" t="str">
        <f t="shared" si="5"/>
        <v xml:space="preserve"> </v>
      </c>
      <c r="O42" s="679" t="s">
        <v>2033</v>
      </c>
      <c r="P42" s="556">
        <v>42179</v>
      </c>
      <c r="Q42" s="553" t="s">
        <v>382</v>
      </c>
      <c r="R42" s="551">
        <f>IF(ISERROR(VLOOKUP(B42,'Base de Datos'!$C$7:$N$4077,10,0))=TRUE," ",(VLOOKUP(B42,'Base de Datos'!$C$7:$N$4077,11,0)))</f>
        <v>42186</v>
      </c>
      <c r="S42" s="551">
        <f>IF(ISERROR(VLOOKUP(B42,'Base de Datos'!$C$7:$N$4077,11,0))=TRUE," ",(VLOOKUP(B42,'Base de Datos'!$C$7:$N$4077,12,0)))</f>
        <v>42370</v>
      </c>
      <c r="T42" s="533" t="str">
        <f ca="1">VLOOKUP(C42,'Base de Datos'!$E$7:$AR$382,39,0)</f>
        <v>NO</v>
      </c>
      <c r="U42" s="722"/>
      <c r="V42" s="634"/>
    </row>
    <row r="43" spans="2:22" outlineLevel="1" x14ac:dyDescent="0.25">
      <c r="B43" s="552">
        <v>321</v>
      </c>
      <c r="C43" s="723" t="s">
        <v>2038</v>
      </c>
      <c r="D43" s="723" t="s">
        <v>2039</v>
      </c>
      <c r="E43" s="554">
        <v>10800000</v>
      </c>
      <c r="F43" s="555" t="s">
        <v>390</v>
      </c>
      <c r="G43" s="555"/>
      <c r="H43" s="555"/>
      <c r="I43" s="555"/>
      <c r="J43" s="554">
        <v>10800000</v>
      </c>
      <c r="K43" s="604"/>
      <c r="L43" s="554"/>
      <c r="M43" s="554"/>
      <c r="N43" s="536" t="str">
        <f t="shared" si="5"/>
        <v xml:space="preserve"> </v>
      </c>
      <c r="O43" s="679" t="s">
        <v>2038</v>
      </c>
      <c r="P43" s="556">
        <v>42179</v>
      </c>
      <c r="Q43" s="553" t="s">
        <v>382</v>
      </c>
      <c r="R43" s="551">
        <f>IF(ISERROR(VLOOKUP(B43,'Base de Datos'!$C$7:$N$4077,10,0))=TRUE," ",(VLOOKUP(B43,'Base de Datos'!$C$7:$N$4077,11,0)))</f>
        <v>42186</v>
      </c>
      <c r="S43" s="551">
        <f>IF(ISERROR(VLOOKUP(B43,'Base de Datos'!$C$7:$N$4077,11,0))=TRUE," ",(VLOOKUP(B43,'Base de Datos'!$C$7:$N$4077,12,0)))</f>
        <v>42370</v>
      </c>
      <c r="T43" s="533" t="str">
        <f ca="1">VLOOKUP(C43,'Base de Datos'!$E$7:$AR$382,39,0)</f>
        <v>NO</v>
      </c>
      <c r="U43" s="722"/>
      <c r="V43" s="634"/>
    </row>
    <row r="44" spans="2:22" outlineLevel="1" x14ac:dyDescent="0.25">
      <c r="B44" s="552">
        <v>321</v>
      </c>
      <c r="C44" s="723" t="s">
        <v>2040</v>
      </c>
      <c r="D44" s="723" t="s">
        <v>2041</v>
      </c>
      <c r="E44" s="554">
        <v>10800000</v>
      </c>
      <c r="F44" s="555" t="s">
        <v>390</v>
      </c>
      <c r="G44" s="555"/>
      <c r="H44" s="555"/>
      <c r="I44" s="555"/>
      <c r="J44" s="554">
        <v>10800000</v>
      </c>
      <c r="K44" s="604"/>
      <c r="L44" s="554"/>
      <c r="M44" s="554"/>
      <c r="N44" s="536" t="str">
        <f t="shared" si="5"/>
        <v xml:space="preserve"> </v>
      </c>
      <c r="O44" s="679" t="s">
        <v>2040</v>
      </c>
      <c r="P44" s="556">
        <v>42179</v>
      </c>
      <c r="Q44" s="553" t="s">
        <v>382</v>
      </c>
      <c r="R44" s="551">
        <f>IF(ISERROR(VLOOKUP(B44,'Base de Datos'!$C$7:$N$4077,10,0))=TRUE," ",(VLOOKUP(B44,'Base de Datos'!$C$7:$N$4077,11,0)))</f>
        <v>42186</v>
      </c>
      <c r="S44" s="551">
        <f>IF(ISERROR(VLOOKUP(B44,'Base de Datos'!$C$7:$N$4077,11,0))=TRUE," ",(VLOOKUP(B44,'Base de Datos'!$C$7:$N$4077,12,0)))</f>
        <v>42370</v>
      </c>
      <c r="T44" s="533" t="str">
        <f ca="1">VLOOKUP(C44,'Base de Datos'!$E$7:$AR$382,39,0)</f>
        <v>NO</v>
      </c>
      <c r="U44" s="722"/>
      <c r="V44" s="634"/>
    </row>
    <row r="45" spans="2:22" outlineLevel="1" x14ac:dyDescent="0.25">
      <c r="B45" s="552">
        <v>321</v>
      </c>
      <c r="C45" s="723" t="s">
        <v>2046</v>
      </c>
      <c r="D45" s="723" t="s">
        <v>2047</v>
      </c>
      <c r="E45" s="554">
        <v>10800000</v>
      </c>
      <c r="F45" s="555" t="s">
        <v>390</v>
      </c>
      <c r="G45" s="555"/>
      <c r="H45" s="555"/>
      <c r="I45" s="555"/>
      <c r="J45" s="554">
        <v>10800000</v>
      </c>
      <c r="K45" s="604"/>
      <c r="L45" s="554"/>
      <c r="M45" s="554"/>
      <c r="N45" s="536" t="str">
        <f t="shared" si="5"/>
        <v xml:space="preserve"> </v>
      </c>
      <c r="O45" s="679" t="s">
        <v>2046</v>
      </c>
      <c r="P45" s="556">
        <v>42179</v>
      </c>
      <c r="Q45" s="553" t="s">
        <v>382</v>
      </c>
      <c r="R45" s="551">
        <f>IF(ISERROR(VLOOKUP(B45,'Base de Datos'!$C$7:$N$4077,10,0))=TRUE," ",(VLOOKUP(B45,'Base de Datos'!$C$7:$N$4077,11,0)))</f>
        <v>42186</v>
      </c>
      <c r="S45" s="551">
        <f>IF(ISERROR(VLOOKUP(B45,'Base de Datos'!$C$7:$N$4077,11,0))=TRUE," ",(VLOOKUP(B45,'Base de Datos'!$C$7:$N$4077,12,0)))</f>
        <v>42370</v>
      </c>
      <c r="T45" s="533" t="str">
        <f ca="1">VLOOKUP(C45,'Base de Datos'!$E$7:$AR$382,39,0)</f>
        <v>NO</v>
      </c>
      <c r="U45" s="722"/>
      <c r="V45" s="634"/>
    </row>
    <row r="46" spans="2:22" outlineLevel="1" x14ac:dyDescent="0.25">
      <c r="B46" s="552">
        <v>321</v>
      </c>
      <c r="C46" s="723" t="s">
        <v>2066</v>
      </c>
      <c r="D46" s="723" t="s">
        <v>2065</v>
      </c>
      <c r="E46" s="554">
        <v>10800000</v>
      </c>
      <c r="F46" s="555" t="s">
        <v>390</v>
      </c>
      <c r="G46" s="555"/>
      <c r="H46" s="555"/>
      <c r="I46" s="555"/>
      <c r="J46" s="554">
        <v>10800000</v>
      </c>
      <c r="K46" s="604"/>
      <c r="L46" s="536" t="str">
        <f>IF(J46=$AA$1,E46, " ")</f>
        <v xml:space="preserve"> </v>
      </c>
      <c r="M46" s="554"/>
      <c r="N46" s="536" t="str">
        <f t="shared" si="5"/>
        <v xml:space="preserve"> </v>
      </c>
      <c r="O46" s="723" t="s">
        <v>2066</v>
      </c>
      <c r="P46" s="551">
        <v>42193</v>
      </c>
      <c r="Q46" s="553" t="s">
        <v>382</v>
      </c>
      <c r="R46" s="551">
        <v>42198</v>
      </c>
      <c r="S46" s="551">
        <v>42382</v>
      </c>
      <c r="T46" s="533" t="str">
        <f ca="1">VLOOKUP(C46,'Base de Datos'!$E$7:$AR$382,39,0)</f>
        <v>NO</v>
      </c>
      <c r="U46" s="722"/>
      <c r="V46" s="634"/>
    </row>
    <row r="47" spans="2:22" outlineLevel="1" x14ac:dyDescent="0.25">
      <c r="B47" s="552"/>
      <c r="C47" s="553"/>
      <c r="D47" s="553" t="s">
        <v>1935</v>
      </c>
      <c r="E47" s="554">
        <f>E37-SUM(E39:E46)</f>
        <v>0</v>
      </c>
      <c r="F47" s="555"/>
      <c r="G47" s="555"/>
      <c r="H47" s="555"/>
      <c r="I47" s="555"/>
      <c r="J47" s="536"/>
      <c r="K47" s="604"/>
      <c r="L47" s="554"/>
      <c r="M47" s="554"/>
      <c r="N47" s="554" t="str">
        <f t="shared" si="5"/>
        <v xml:space="preserve"> </v>
      </c>
      <c r="O47" s="679"/>
      <c r="P47" s="556"/>
      <c r="Q47" s="553"/>
      <c r="R47" s="556"/>
      <c r="S47" s="556"/>
      <c r="T47" s="533"/>
      <c r="U47" s="722"/>
      <c r="V47" s="634"/>
    </row>
    <row r="48" spans="2:22" outlineLevel="1" x14ac:dyDescent="0.25">
      <c r="B48" s="1190"/>
      <c r="C48" s="1190"/>
      <c r="D48" s="1190"/>
      <c r="E48" s="536"/>
      <c r="F48" s="534"/>
      <c r="G48" s="534"/>
      <c r="H48" s="534"/>
      <c r="I48" s="534"/>
      <c r="J48" s="536"/>
      <c r="K48" s="600"/>
      <c r="L48" s="536"/>
      <c r="M48" s="536"/>
      <c r="N48" s="536"/>
      <c r="O48" s="678"/>
      <c r="P48" s="551"/>
      <c r="Q48" s="533"/>
      <c r="R48" s="551"/>
      <c r="S48" s="551"/>
      <c r="T48" s="533"/>
      <c r="U48" s="722"/>
      <c r="V48" s="634"/>
    </row>
    <row r="49" spans="2:22" ht="15" customHeight="1" x14ac:dyDescent="0.25">
      <c r="B49" s="1196" t="s">
        <v>1793</v>
      </c>
      <c r="C49" s="1196"/>
      <c r="D49" s="1196"/>
      <c r="E49" s="557">
        <v>9151221000</v>
      </c>
      <c r="F49" s="633"/>
      <c r="G49" s="558"/>
      <c r="H49" s="558"/>
      <c r="I49" s="558"/>
      <c r="J49" s="567">
        <f>J50+J90+J216</f>
        <v>8253458982</v>
      </c>
      <c r="K49" s="609">
        <f>J49/E49</f>
        <v>0.90189702357750945</v>
      </c>
      <c r="L49" s="567">
        <f>L50+L90+L216</f>
        <v>432121836</v>
      </c>
      <c r="M49" s="567">
        <f>M50+M90+M216</f>
        <v>128931594</v>
      </c>
      <c r="N49" s="567">
        <f>N50+N90+N216</f>
        <v>448843248</v>
      </c>
      <c r="O49" s="685"/>
      <c r="P49" s="567"/>
      <c r="Q49" s="574"/>
      <c r="R49" s="573" t="str">
        <f>IF(ISERROR(VLOOKUP(B49,'Base de Datos'!$C$7:$N$315,9,0))=TRUE," ",(VLOOKUP(B49,'Base de Datos'!$C$7:$N$315,9,0)))</f>
        <v xml:space="preserve"> </v>
      </c>
      <c r="S49" s="573" t="str">
        <f>IF(ISERROR(VLOOKUP(B49,'Base de Datos'!$C$7:$N$315,10,0))=TRUE," ",(VLOOKUP(B49,'Base de Datos'!$C$7:$N$315,10,0)))</f>
        <v xml:space="preserve"> </v>
      </c>
      <c r="T49" s="569"/>
      <c r="U49" s="722"/>
      <c r="V49" s="634"/>
    </row>
    <row r="50" spans="2:22" ht="15" customHeight="1" x14ac:dyDescent="0.25">
      <c r="B50" s="1182" t="s">
        <v>1647</v>
      </c>
      <c r="C50" s="1182"/>
      <c r="D50" s="1182"/>
      <c r="E50" s="539">
        <v>2089000000</v>
      </c>
      <c r="F50" s="631"/>
      <c r="G50" s="540"/>
      <c r="H50" s="540"/>
      <c r="I50" s="540"/>
      <c r="J50" s="631">
        <f>+J51+J75+J82</f>
        <v>1940688061</v>
      </c>
      <c r="K50" s="631"/>
      <c r="L50" s="631">
        <f>+L51+L75+L82</f>
        <v>54285345</v>
      </c>
      <c r="M50" s="631">
        <f>+M51+M75+M82</f>
        <v>128931594</v>
      </c>
      <c r="N50" s="631">
        <f>+N51+N75+N82</f>
        <v>94026594</v>
      </c>
      <c r="O50" s="686"/>
      <c r="P50" s="575" t="str">
        <f>IF(ISERROR(VLOOKUP(B50,'Base de Datos'!$C$7:$N$315,8,0))=TRUE," ",(VLOOKUP(B50,'Base de Datos'!$C$7:$N$315,8,0)))</f>
        <v xml:space="preserve"> </v>
      </c>
      <c r="Q50" s="569"/>
      <c r="R50" s="575" t="str">
        <f>IF(ISERROR(VLOOKUP(B50,'Base de Datos'!$C$7:$N$315,9,0))=TRUE," ",(VLOOKUP(B50,'Base de Datos'!$C$7:$N$315,9,0)))</f>
        <v xml:space="preserve"> </v>
      </c>
      <c r="S50" s="575" t="str">
        <f>IF(ISERROR(VLOOKUP(B50,'Base de Datos'!$C$7:$N$315,10,0))=TRUE," ",(VLOOKUP(B50,'Base de Datos'!$C$7:$N$315,10,0)))</f>
        <v xml:space="preserve"> </v>
      </c>
      <c r="T50" s="569"/>
      <c r="U50" s="722"/>
      <c r="V50" s="634"/>
    </row>
    <row r="51" spans="2:22" ht="15" customHeight="1" x14ac:dyDescent="0.25">
      <c r="B51" s="1181" t="s">
        <v>1648</v>
      </c>
      <c r="C51" s="1181"/>
      <c r="D51" s="1181"/>
      <c r="E51" s="581">
        <v>1414000000</v>
      </c>
      <c r="F51" s="586">
        <f>COUNTIF('Actualizada - presupuesto'!$E$7:$E$111,B51)</f>
        <v>15</v>
      </c>
      <c r="G51" s="586"/>
      <c r="H51" s="586"/>
      <c r="I51" s="586"/>
      <c r="J51" s="581">
        <f>SUM(J54:J72)</f>
        <v>1245571061</v>
      </c>
      <c r="K51" s="603">
        <f>J51/E51</f>
        <v>0.88088476732673271</v>
      </c>
      <c r="L51" s="581">
        <f>SUM(L54:L72)</f>
        <v>54285345</v>
      </c>
      <c r="M51" s="585">
        <f>+E51-(J51+L51)</f>
        <v>114143594</v>
      </c>
      <c r="N51" s="581">
        <f>+E51-J51-L51</f>
        <v>114143594</v>
      </c>
      <c r="O51" s="684"/>
      <c r="P51" s="591" t="str">
        <f>IF(ISERROR(VLOOKUP(B51,'Base de Datos'!$C$7:$N$315,8,0))=TRUE," ",(VLOOKUP(B51,'Base de Datos'!$C$7:$N$315,8,0)))</f>
        <v xml:space="preserve"> </v>
      </c>
      <c r="Q51" s="592"/>
      <c r="R51" s="591" t="str">
        <f>IF(ISERROR(VLOOKUP(B51,'Base de Datos'!$C$7:$N$315,9,0))=TRUE," ",(VLOOKUP(B51,'Base de Datos'!$C$7:$N$315,9,0)))</f>
        <v xml:space="preserve"> </v>
      </c>
      <c r="S51" s="591" t="str">
        <f>IF(ISERROR(VLOOKUP(B51,'Base de Datos'!$C$7:$N$315,10,0))=TRUE," ",(VLOOKUP(B51,'Base de Datos'!$C$7:$N$315,10,0)))</f>
        <v xml:space="preserve"> </v>
      </c>
      <c r="T51" s="592"/>
      <c r="U51" s="722"/>
      <c r="V51" s="634"/>
    </row>
    <row r="52" spans="2:22" ht="24" outlineLevel="1" x14ac:dyDescent="0.25">
      <c r="B52" s="537" t="s">
        <v>1693</v>
      </c>
      <c r="C52" s="537" t="s">
        <v>912</v>
      </c>
      <c r="D52" s="537" t="s">
        <v>1822</v>
      </c>
      <c r="E52" s="545" t="s">
        <v>1846</v>
      </c>
      <c r="F52" s="534" t="s">
        <v>1853</v>
      </c>
      <c r="G52" s="534"/>
      <c r="H52" s="534"/>
      <c r="I52" s="534"/>
      <c r="J52" s="537" t="s">
        <v>1845</v>
      </c>
      <c r="K52" s="652"/>
      <c r="L52" s="537" t="s">
        <v>1939</v>
      </c>
      <c r="M52" s="537"/>
      <c r="N52" s="537" t="s">
        <v>1940</v>
      </c>
      <c r="O52" s="677"/>
      <c r="P52" s="568" t="s">
        <v>1847</v>
      </c>
      <c r="Q52" s="537" t="s">
        <v>1848</v>
      </c>
      <c r="R52" s="537" t="s">
        <v>1849</v>
      </c>
      <c r="S52" s="537" t="s">
        <v>375</v>
      </c>
      <c r="T52" s="537" t="s">
        <v>1850</v>
      </c>
      <c r="U52" s="722"/>
      <c r="V52" s="634"/>
    </row>
    <row r="53" spans="2:22" outlineLevel="1" x14ac:dyDescent="0.25">
      <c r="B53" s="537">
        <v>53</v>
      </c>
      <c r="C53" s="533" t="str">
        <f>IF(ISERROR(VLOOKUP(B53,'Base de Datos'!$C$7:$F$4092,2,0))=TRUE,"",(VLOOKUP('Presupuesto - PAA 2015'!B53,'Base de Datos'!$C$7:$F$4092,3,0)))</f>
        <v/>
      </c>
      <c r="D53" s="538" t="s">
        <v>2148</v>
      </c>
      <c r="E53" s="545" t="s">
        <v>2150</v>
      </c>
      <c r="F53" s="534"/>
      <c r="G53" s="534"/>
      <c r="H53" s="534"/>
      <c r="I53" s="534"/>
      <c r="J53" s="536" t="str">
        <f>IF(ISERROR(VLOOKUP(B53,'Base de Datos'!$C$7:$N$4092,6,0))=TRUE,"Sin Celebrar",(VLOOKUP(B53,'Base de Datos'!$C$7:$N$4092,7,0)))</f>
        <v>Sin Celebrar</v>
      </c>
      <c r="K53" s="652"/>
      <c r="L53" s="537"/>
      <c r="M53" s="537"/>
      <c r="N53" s="537"/>
      <c r="O53" s="719" t="str">
        <f>IF(ISERROR(VLOOKUP(B53,'Base de Datos'!$C$7:$K$1048576,7,0))=TRUE," ",(VLOOKUP(B53,'Base de Datos'!$C$7:$K$1048576,8,0)))</f>
        <v xml:space="preserve"> </v>
      </c>
      <c r="P53" s="551" t="str">
        <f>IF(ISERROR(VLOOKUP(B53,'Base de Datos'!$C$7:$N$4077,9,0))=TRUE," ",(VLOOKUP(B53,'Base de Datos'!$C$7:$N$4077,10,0)))</f>
        <v xml:space="preserve"> </v>
      </c>
      <c r="Q53" s="537"/>
      <c r="R53" s="551" t="str">
        <f>IF(ISERROR(VLOOKUP(B53,'Base de Datos'!$C$7:$N$4077,10,0))=TRUE," ",(VLOOKUP(B53,'Base de Datos'!$C$7:$N$4077,11,0)))</f>
        <v xml:space="preserve"> </v>
      </c>
      <c r="S53" s="551" t="str">
        <f>IF(ISERROR(VLOOKUP(B53,'Base de Datos'!$C$7:$N$4077,11,0))=TRUE," ",(VLOOKUP(B53,'Base de Datos'!$C$7:$N$4077,12,0)))</f>
        <v xml:space="preserve"> </v>
      </c>
      <c r="T53" s="533" t="s">
        <v>1992</v>
      </c>
      <c r="U53" s="722"/>
      <c r="V53" s="634"/>
    </row>
    <row r="54" spans="2:22" ht="12" customHeight="1" outlineLevel="1" x14ac:dyDescent="0.25">
      <c r="B54" s="537">
        <v>54</v>
      </c>
      <c r="C54" s="533" t="str">
        <f>IF(ISERROR(VLOOKUP(B54,'Base de Datos'!$C$7:$F$4092,2,0))=TRUE,"",(VLOOKUP('Presupuesto - PAA 2015'!B54,'Base de Datos'!$C$7:$F$4092,3,0)))</f>
        <v>150211-0-2015</v>
      </c>
      <c r="D54" s="533" t="str">
        <f>IF(ISERROR(VLOOKUP(B54,'Base de Datos'!$C$7:$F$4092,3,0))=TRUE,"",(VLOOKUP('Presupuesto - PAA 2015'!B54,'Base de Datos'!$C$7:$F$4092,4,0)))</f>
        <v>SEAN ELECTRONICA LIMITADA</v>
      </c>
      <c r="E54" s="536">
        <f>VLOOKUP(B54,'[6]Abr 24-2015'!$C$53:$AA$327,24,0)</f>
        <v>60000000</v>
      </c>
      <c r="F54" s="534" t="str">
        <f>VLOOKUP(B54,'Actualizada - presupuesto'!$D$7:$L$111,9,0)</f>
        <v>SI</v>
      </c>
      <c r="G54" s="534"/>
      <c r="H54" s="534"/>
      <c r="I54" s="534"/>
      <c r="J54" s="536">
        <f>IF(ISERROR(VLOOKUP(B54,'Base de Datos'!$C$7:$N$4092,6,0))=TRUE,"Sin Celebrar",(VLOOKUP(B54,'Base de Datos'!$C$7:$N$4092,7,0)))</f>
        <v>60000000</v>
      </c>
      <c r="K54" s="600"/>
      <c r="L54" s="536" t="str">
        <f t="shared" ref="L54:L67" si="6">IF(J54=$AA$1,E54, " ")</f>
        <v xml:space="preserve"> </v>
      </c>
      <c r="M54" s="536"/>
      <c r="N54" s="536" t="str">
        <f t="shared" ref="N54:N67" si="7">IF(J54&lt;E54,(E54-J54)," ")</f>
        <v xml:space="preserve"> </v>
      </c>
      <c r="O54" s="719" t="str">
        <f>IF(ISERROR(VLOOKUP(B54,'Base de Datos'!$C$7:$K$1048576,7,0))=TRUE," ",(VLOOKUP(B54,'Base de Datos'!$C$7:$K$1048576,8,0)))</f>
        <v>SDH-SIE-01-2015</v>
      </c>
      <c r="P54" s="551">
        <f>IF(ISERROR(VLOOKUP(B54,'Base de Datos'!$C$7:$N$4077,9,0))=TRUE," ",(VLOOKUP(B54,'Base de Datos'!$C$7:$N$4077,10,0)))</f>
        <v>42128</v>
      </c>
      <c r="Q54" s="533" t="s">
        <v>1851</v>
      </c>
      <c r="R54" s="551">
        <f>IF(ISERROR(VLOOKUP(B54,'Base de Datos'!$C$7:$N$4077,10,0))=TRUE," ",(VLOOKUP(B54,'Base de Datos'!$C$7:$N$4077,11,0)))</f>
        <v>42156</v>
      </c>
      <c r="S54" s="551">
        <f>IF(ISERROR(VLOOKUP(B54,'Base de Datos'!$C$7:$N$4077,11,0))=TRUE," ",(VLOOKUP(B54,'Base de Datos'!$C$7:$N$4077,12,0)))</f>
        <v>42522</v>
      </c>
      <c r="T54" s="533" t="str">
        <f ca="1">VLOOKUP(C54,'Base de Datos'!$E$7:$AR$382,39,0)</f>
        <v>NO</v>
      </c>
      <c r="U54" s="722"/>
      <c r="V54" s="634"/>
    </row>
    <row r="55" spans="2:22" ht="15" customHeight="1" outlineLevel="1" x14ac:dyDescent="0.25">
      <c r="B55" s="537">
        <v>55</v>
      </c>
      <c r="C55" s="533" t="str">
        <f>IF(ISERROR(VLOOKUP(B55,'Base de Datos'!$C$7:$F$4092,2,0))=TRUE,"",(VLOOKUP('Presupuesto - PAA 2015'!B55,'Base de Datos'!$C$7:$F$4092,3,0)))</f>
        <v>150189-0-2015</v>
      </c>
      <c r="D55" s="533" t="str">
        <f>IF(ISERROR(VLOOKUP(B55,'Base de Datos'!$C$7:$F$4092,3,0))=TRUE,"",(VLOOKUP('Presupuesto - PAA 2015'!B55,'Base de Datos'!$C$7:$F$4092,4,0)))</f>
        <v>UNIPLES S.A.</v>
      </c>
      <c r="E55" s="536">
        <v>10514762</v>
      </c>
      <c r="F55" s="534" t="str">
        <f>VLOOKUP(B55,'Actualizada - presupuesto'!$D$7:$L$111,9,0)</f>
        <v>SI</v>
      </c>
      <c r="G55" s="534"/>
      <c r="H55" s="534"/>
      <c r="I55" s="534"/>
      <c r="J55" s="536">
        <f>IF(ISERROR(VLOOKUP(B55,'Base de Datos'!$C$7:$N$4092,6,0))=TRUE,"Sin Celebrar",(VLOOKUP(B55,'Base de Datos'!$C$7:$N$4092,7,0)))</f>
        <v>10514762</v>
      </c>
      <c r="K55" s="600"/>
      <c r="L55" s="536" t="str">
        <f t="shared" si="6"/>
        <v xml:space="preserve"> </v>
      </c>
      <c r="M55" s="536"/>
      <c r="N55" s="536" t="str">
        <f t="shared" si="7"/>
        <v xml:space="preserve"> </v>
      </c>
      <c r="O55" s="719" t="str">
        <f>IF(ISERROR(VLOOKUP(B55,'Base de Datos'!$C$7:$K$1048576,7,0))=TRUE," ",(VLOOKUP(B55,'Base de Datos'!$C$7:$K$1048576,8,0)))</f>
        <v>SDH-SMINC-013-2015</v>
      </c>
      <c r="P55" s="551">
        <f>IF(ISERROR(VLOOKUP(B55,'Base de Datos'!$C$7:$N$4077,9,0))=TRUE," ",(VLOOKUP(B55,'Base de Datos'!$C$7:$N$4077,10,0)))</f>
        <v>42108</v>
      </c>
      <c r="Q55" s="533" t="s">
        <v>378</v>
      </c>
      <c r="R55" s="551">
        <f>IF(ISERROR(VLOOKUP(B55,'Base de Datos'!$C$7:$N$4077,10,0))=TRUE," ",(VLOOKUP(B55,'Base de Datos'!$C$7:$N$4077,11,0)))</f>
        <v>42117</v>
      </c>
      <c r="S55" s="551">
        <f>IF(ISERROR(VLOOKUP(B55,'Base de Datos'!$C$7:$N$4077,11,0))=TRUE," ",(VLOOKUP(B55,'Base de Datos'!$C$7:$N$4077,12,0)))</f>
        <v>42147</v>
      </c>
      <c r="T55" s="533" t="str">
        <f ca="1">VLOOKUP(C55,'Base de Datos'!$E$7:$AR$382,39,0)</f>
        <v>NO</v>
      </c>
      <c r="U55" s="722"/>
      <c r="V55" s="634"/>
    </row>
    <row r="56" spans="2:22" ht="15" customHeight="1" outlineLevel="1" x14ac:dyDescent="0.25">
      <c r="B56" s="537">
        <v>56</v>
      </c>
      <c r="C56" s="533" t="str">
        <f>IF(ISERROR(VLOOKUP(B56,'Base de Datos'!$C$7:$F$4092,2,0))=TRUE,"",(VLOOKUP('Presupuesto - PAA 2015'!B56,'Base de Datos'!$C$7:$F$4092,3,0)))</f>
        <v>180343-0-2018</v>
      </c>
      <c r="D56" s="533" t="s">
        <v>2149</v>
      </c>
      <c r="E56" s="545" t="s">
        <v>2150</v>
      </c>
      <c r="F56" s="534"/>
      <c r="G56" s="534"/>
      <c r="H56" s="534"/>
      <c r="I56" s="534"/>
      <c r="J56" s="536">
        <f>IF(ISERROR(VLOOKUP(B56,'Base de Datos'!$C$7:$N$4092,6,0))=TRUE,"Sin Celebrar",(VLOOKUP(B56,'Base de Datos'!$C$7:$N$4092,7,0)))</f>
        <v>990000</v>
      </c>
      <c r="K56" s="600"/>
      <c r="L56" s="536"/>
      <c r="M56" s="536"/>
      <c r="N56" s="536"/>
      <c r="O56" s="719" t="str">
        <f>IF(ISERROR(VLOOKUP(B56,'Base de Datos'!$C$7:$K$1048576,7,0))=TRUE," ",(VLOOKUP(B56,'Base de Datos'!$C$7:$K$1048576,8,0)))</f>
        <v>SDH-CD-55-2018</v>
      </c>
      <c r="P56" s="551">
        <f>IF(ISERROR(VLOOKUP(B56,'Base de Datos'!$C$7:$N$4077,9,0))=TRUE," ",(VLOOKUP(B56,'Base de Datos'!$C$7:$N$4077,10,0)))</f>
        <v>43381</v>
      </c>
      <c r="Q56" s="533"/>
      <c r="R56" s="551">
        <f>IF(ISERROR(VLOOKUP(B56,'Base de Datos'!$C$7:$N$4077,10,0))=TRUE," ",(VLOOKUP(B56,'Base de Datos'!$C$7:$N$4077,11,0)))</f>
        <v>43384</v>
      </c>
      <c r="S56" s="551">
        <f>IF(ISERROR(VLOOKUP(B56,'Base de Datos'!$C$7:$N$4077,11,0))=TRUE," ",(VLOOKUP(B56,'Base de Datos'!$C$7:$N$4077,12,0)))</f>
        <v>43748</v>
      </c>
      <c r="T56" s="533" t="s">
        <v>1992</v>
      </c>
      <c r="U56" s="722"/>
      <c r="V56" s="634"/>
    </row>
    <row r="57" spans="2:22" ht="15" customHeight="1" outlineLevel="1" x14ac:dyDescent="0.25">
      <c r="B57" s="537">
        <v>57</v>
      </c>
      <c r="C57" s="533" t="str">
        <f>IF(ISERROR(VLOOKUP(B57,'Base de Datos'!$C$7:$F$4092,2,0))=TRUE,"",(VLOOKUP('Presupuesto - PAA 2015'!B57,'Base de Datos'!$C$7:$F$4092,3,0)))</f>
        <v>150351-0-2015</v>
      </c>
      <c r="D57" s="533" t="str">
        <f>IF(ISERROR(VLOOKUP(B57,'Base de Datos'!$C$7:$F$4092,3,0))=TRUE,"",(VLOOKUP('Presupuesto - PAA 2015'!B57,'Base de Datos'!$C$7:$F$4092,4,0)))</f>
        <v>UNION TEMPORAL TECNOPROCESOS SAS NEGSA</v>
      </c>
      <c r="E57" s="536">
        <v>154954934</v>
      </c>
      <c r="F57" s="534">
        <f>VLOOKUP(B57,'Actualizada - presupuesto'!$D$7:$L$111,9,0)</f>
        <v>0</v>
      </c>
      <c r="G57" s="534"/>
      <c r="H57" s="534"/>
      <c r="I57" s="534"/>
      <c r="J57" s="536">
        <f>IF(ISERROR(VLOOKUP(B57,'Base de Datos'!$C$7:$N$4092,6,0))=TRUE,"Sin Celebrar",(VLOOKUP(B57,'Base de Datos'!$C$7:$N$4092,7,0)))</f>
        <v>154954934</v>
      </c>
      <c r="K57" s="600"/>
      <c r="L57" s="536" t="str">
        <f t="shared" si="6"/>
        <v xml:space="preserve"> </v>
      </c>
      <c r="M57" s="536"/>
      <c r="N57" s="536" t="str">
        <f t="shared" si="7"/>
        <v xml:space="preserve"> </v>
      </c>
      <c r="O57" s="719" t="str">
        <f>IF(ISERROR(VLOOKUP(B57,'Base de Datos'!$C$7:$K$1048576,7,0))=TRUE," ",(VLOOKUP(B57,'Base de Datos'!$C$7:$K$1048576,8,0)))</f>
        <v>SDH-SIE-10-2015</v>
      </c>
      <c r="P57" s="551">
        <f>IF(ISERROR(VLOOKUP(B57,'Base de Datos'!$C$7:$N$4077,9,0))=TRUE," ",(VLOOKUP(B57,'Base de Datos'!$C$7:$N$4077,10,0)))</f>
        <v>42258</v>
      </c>
      <c r="Q57" s="533" t="s">
        <v>1851</v>
      </c>
      <c r="R57" s="551">
        <f>IF(ISERROR(VLOOKUP(B57,'Base de Datos'!$C$7:$N$4077,10,0))=TRUE," ",(VLOOKUP(B57,'Base de Datos'!$C$7:$N$4077,11,0)))</f>
        <v>42293</v>
      </c>
      <c r="S57" s="551">
        <f>IF(ISERROR(VLOOKUP(B57,'Base de Datos'!$C$7:$N$4077,11,0))=TRUE," ",(VLOOKUP(B57,'Base de Datos'!$C$7:$N$4077,12,0)))</f>
        <v>42659</v>
      </c>
      <c r="T57" s="533" t="str">
        <f ca="1">VLOOKUP(C57,'Base de Datos'!$E$7:$AR$382,39,0)</f>
        <v>SI</v>
      </c>
      <c r="U57" s="722"/>
      <c r="V57" s="634"/>
    </row>
    <row r="58" spans="2:22" ht="15" customHeight="1" outlineLevel="1" x14ac:dyDescent="0.25">
      <c r="B58" s="537">
        <v>58</v>
      </c>
      <c r="C58" s="533" t="str">
        <f>IF(ISERROR(VLOOKUP(B58,'Base de Datos'!$C$7:$F$4092,2,0))=TRUE,"",(VLOOKUP('Presupuesto - PAA 2015'!B58,'Base de Datos'!$C$7:$F$4092,3,0)))</f>
        <v>150312-0-2015</v>
      </c>
      <c r="D58" s="533" t="str">
        <f>IF(ISERROR(VLOOKUP(B58,'Base de Datos'!$C$7:$F$4092,3,0))=TRUE,"",(VLOOKUP('Presupuesto - PAA 2015'!B58,'Base de Datos'!$C$7:$F$4092,4,0)))</f>
        <v xml:space="preserve">SIIGO S.A </v>
      </c>
      <c r="E58" s="536">
        <v>450880</v>
      </c>
      <c r="F58" s="534" t="str">
        <f>VLOOKUP(B58,'Actualizada - presupuesto'!$D$7:$L$111,9,0)</f>
        <v>SI</v>
      </c>
      <c r="G58" s="534"/>
      <c r="H58" s="534"/>
      <c r="I58" s="534"/>
      <c r="J58" s="536">
        <f>IF(ISERROR(VLOOKUP(B58,'Base de Datos'!$C$7:$N$4092,6,0))=TRUE,"Sin Celebrar",(VLOOKUP(B58,'Base de Datos'!$C$7:$N$4092,7,0)))</f>
        <v>450880</v>
      </c>
      <c r="K58" s="600"/>
      <c r="L58" s="536" t="str">
        <f t="shared" si="6"/>
        <v xml:space="preserve"> </v>
      </c>
      <c r="M58" s="536"/>
      <c r="N58" s="536" t="str">
        <f t="shared" si="7"/>
        <v xml:space="preserve"> </v>
      </c>
      <c r="O58" s="719" t="str">
        <f>IF(ISERROR(VLOOKUP(B58,'Base de Datos'!$C$7:$K$1048576,7,0))=TRUE," ",(VLOOKUP(B58,'Base de Datos'!$C$7:$K$1048576,8,0)))</f>
        <v>150312-0-2015</v>
      </c>
      <c r="P58" s="551">
        <f>IF(ISERROR(VLOOKUP(B58,'Base de Datos'!$C$7:$N$4077,9,0))=TRUE," ",(VLOOKUP(B58,'Base de Datos'!$C$7:$N$4077,10,0)))</f>
        <v>42194</v>
      </c>
      <c r="Q58" s="533" t="s">
        <v>1851</v>
      </c>
      <c r="R58" s="551">
        <f>IF(ISERROR(VLOOKUP(B58,'Base de Datos'!$C$7:$N$4077,10,0))=TRUE," ",(VLOOKUP(B58,'Base de Datos'!$C$7:$N$4077,11,0)))</f>
        <v>42219</v>
      </c>
      <c r="S58" s="551">
        <f>IF(ISERROR(VLOOKUP(B58,'Base de Datos'!$C$7:$N$4077,11,0))=TRUE," ",(VLOOKUP(B58,'Base de Datos'!$C$7:$N$4077,12,0)))</f>
        <v>42311</v>
      </c>
      <c r="T58" s="533" t="str">
        <f ca="1">VLOOKUP(C58,'Base de Datos'!$E$7:$AR$382,39,0)</f>
        <v>NO</v>
      </c>
      <c r="U58" s="722"/>
      <c r="V58" s="634"/>
    </row>
    <row r="59" spans="2:22" ht="15" customHeight="1" outlineLevel="1" x14ac:dyDescent="0.25">
      <c r="B59" s="537">
        <v>59</v>
      </c>
      <c r="C59" s="533" t="str">
        <f>IF(ISERROR(VLOOKUP(B59,'Base de Datos'!$C$7:$F$4092,2,0))=TRUE,"",(VLOOKUP('Presupuesto - PAA 2015'!B59,'Base de Datos'!$C$7:$F$4092,3,0)))</f>
        <v>150322-0-2015</v>
      </c>
      <c r="D59" s="533" t="str">
        <f>IF(ISERROR(VLOOKUP(B59,'Base de Datos'!$C$7:$F$4092,3,0))=TRUE,"",(VLOOKUP('Presupuesto - PAA 2015'!B59,'Base de Datos'!$C$7:$F$4092,4,0)))</f>
        <v>GREEN TIC S.A.S.</v>
      </c>
      <c r="E59" s="536">
        <v>20136071</v>
      </c>
      <c r="F59" s="534" t="str">
        <f>VLOOKUP(B59,'Actualizada - presupuesto'!$D$7:$L$111,9,0)</f>
        <v>SI</v>
      </c>
      <c r="G59" s="534"/>
      <c r="H59" s="534"/>
      <c r="I59" s="534"/>
      <c r="J59" s="536">
        <f>IF(ISERROR(VLOOKUP(B59,'Base de Datos'!$C$7:$N$4092,6,0))=TRUE,"Sin Celebrar",(VLOOKUP(B59,'Base de Datos'!$C$7:$N$4092,7,0)))</f>
        <v>20136071</v>
      </c>
      <c r="K59" s="600"/>
      <c r="L59" s="536" t="str">
        <f t="shared" si="6"/>
        <v xml:space="preserve"> </v>
      </c>
      <c r="M59" s="536"/>
      <c r="N59" s="536" t="str">
        <f t="shared" si="7"/>
        <v xml:space="preserve"> </v>
      </c>
      <c r="O59" s="719" t="str">
        <f>IF(ISERROR(VLOOKUP(B59,'Base de Datos'!$C$7:$K$1048576,7,0))=TRUE," ",(VLOOKUP(B59,'Base de Datos'!$C$7:$K$1048576,8,0)))</f>
        <v>SDH-SMINC-044-2015</v>
      </c>
      <c r="P59" s="551">
        <f>IF(ISERROR(VLOOKUP(B59,'Base de Datos'!$C$7:$N$4077,9,0))=TRUE," ",(VLOOKUP(B59,'Base de Datos'!$C$7:$N$4077,10,0)))</f>
        <v>42209</v>
      </c>
      <c r="Q59" s="533" t="s">
        <v>1851</v>
      </c>
      <c r="R59" s="551">
        <f>IF(ISERROR(VLOOKUP(B59,'Base de Datos'!$C$7:$N$4077,10,0))=TRUE," ",(VLOOKUP(B59,'Base de Datos'!$C$7:$N$4077,11,0)))</f>
        <v>42221</v>
      </c>
      <c r="S59" s="551">
        <f>IF(ISERROR(VLOOKUP(B59,'Base de Datos'!$C$7:$N$4077,11,0))=TRUE," ",(VLOOKUP(B59,'Base de Datos'!$C$7:$N$4077,12,0)))</f>
        <v>42587</v>
      </c>
      <c r="T59" s="533" t="str">
        <f ca="1">VLOOKUP(C59,'Base de Datos'!$E$7:$AR$382,39,0)</f>
        <v>NO</v>
      </c>
      <c r="U59" s="722"/>
      <c r="V59" s="634"/>
    </row>
    <row r="60" spans="2:22" ht="15" customHeight="1" outlineLevel="1" x14ac:dyDescent="0.25">
      <c r="B60" s="537">
        <v>60</v>
      </c>
      <c r="C60" s="533" t="str">
        <f>IF(ISERROR(VLOOKUP(B60,'Base de Datos'!$C$7:$F$4092,2,0))=TRUE,"",(VLOOKUP('Presupuesto - PAA 2015'!B60,'Base de Datos'!$C$7:$F$4092,3,0)))</f>
        <v>150314-0-2015</v>
      </c>
      <c r="D60" s="533" t="str">
        <f>IF(ISERROR(VLOOKUP(B60,'Base de Datos'!$C$7:$F$4092,3,0))=TRUE,"",(VLOOKUP('Presupuesto - PAA 2015'!B60,'Base de Datos'!$C$7:$F$4092,4,0)))</f>
        <v>INGEAL S.A.</v>
      </c>
      <c r="E60" s="536">
        <v>85933385</v>
      </c>
      <c r="F60" s="534" t="str">
        <f>VLOOKUP(B60,'Actualizada - presupuesto'!$D$7:$L$111,9,0)</f>
        <v>SI</v>
      </c>
      <c r="G60" s="534"/>
      <c r="H60" s="534"/>
      <c r="I60" s="534"/>
      <c r="J60" s="536">
        <f>IF(ISERROR(VLOOKUP(B60,'Base de Datos'!$C$7:$N$4092,6,0))=TRUE,"Sin Celebrar",(VLOOKUP(B60,'Base de Datos'!$C$7:$N$4092,7,0)))</f>
        <v>85933385</v>
      </c>
      <c r="K60" s="600"/>
      <c r="L60" s="536" t="str">
        <f t="shared" si="6"/>
        <v xml:space="preserve"> </v>
      </c>
      <c r="M60" s="536"/>
      <c r="N60" s="536" t="str">
        <f t="shared" si="7"/>
        <v xml:space="preserve"> </v>
      </c>
      <c r="O60" s="719" t="str">
        <f>IF(ISERROR(VLOOKUP(B60,'Base de Datos'!$C$7:$K$1048576,7,0))=TRUE," ",(VLOOKUP(B60,'Base de Datos'!$C$7:$K$1048576,8,0)))</f>
        <v>SDH-SIE-08-2015</v>
      </c>
      <c r="P60" s="551">
        <f>IF(ISERROR(VLOOKUP(B60,'Base de Datos'!$C$7:$N$4077,9,0))=TRUE," ",(VLOOKUP(B60,'Base de Datos'!$C$7:$N$4077,10,0)))</f>
        <v>42200</v>
      </c>
      <c r="Q60" s="533" t="s">
        <v>1851</v>
      </c>
      <c r="R60" s="551">
        <f>IF(ISERROR(VLOOKUP(B60,'Base de Datos'!$C$7:$N$4077,10,0))=TRUE," ",(VLOOKUP(B60,'Base de Datos'!$C$7:$N$4077,11,0)))</f>
        <v>42209</v>
      </c>
      <c r="S60" s="551">
        <f>IF(ISERROR(VLOOKUP(B60,'Base de Datos'!$C$7:$N$4077,11,0))=TRUE," ",(VLOOKUP(B60,'Base de Datos'!$C$7:$N$4077,12,0)))</f>
        <v>42575</v>
      </c>
      <c r="T60" s="533" t="str">
        <f ca="1">VLOOKUP(C60,'Base de Datos'!$E$7:$AR$382,39,0)</f>
        <v>NO</v>
      </c>
      <c r="U60" s="722"/>
      <c r="V60" s="634"/>
    </row>
    <row r="61" spans="2:22" ht="15" customHeight="1" outlineLevel="1" x14ac:dyDescent="0.25">
      <c r="B61" s="537">
        <v>61</v>
      </c>
      <c r="C61" s="533" t="str">
        <f>IF(ISERROR(VLOOKUP(B61,'Base de Datos'!$C$7:$F$4092,2,0))=TRUE,"",(VLOOKUP('Presupuesto - PAA 2015'!B61,'Base de Datos'!$C$7:$F$4092,3,0)))</f>
        <v>180204-0-2018</v>
      </c>
      <c r="D61" s="538" t="s">
        <v>1825</v>
      </c>
      <c r="E61" s="536">
        <f>VLOOKUP(B61,'[6]Abr 24-2015'!$C$53:$AA$327,24,0)</f>
        <v>40610000</v>
      </c>
      <c r="F61" s="534">
        <f>VLOOKUP(B61,'Actualizada - presupuesto'!$D$7:$L$111,9,0)</f>
        <v>0</v>
      </c>
      <c r="G61" s="534"/>
      <c r="H61" s="534"/>
      <c r="I61" s="534"/>
      <c r="J61" s="536">
        <f>IF(ISERROR(VLOOKUP(B61,'Base de Datos'!$C$7:$N$4092,6,0))=TRUE,"Sin Celebrar",(VLOOKUP(B61,'Base de Datos'!$C$7:$N$4092,7,0)))</f>
        <v>18450000</v>
      </c>
      <c r="K61" s="600"/>
      <c r="L61" s="536" t="str">
        <f t="shared" si="6"/>
        <v xml:space="preserve"> </v>
      </c>
      <c r="M61" s="536"/>
      <c r="N61" s="536">
        <f t="shared" si="7"/>
        <v>22160000</v>
      </c>
      <c r="O61" s="719" t="str">
        <f>IF(ISERROR(VLOOKUP(B61,'Base de Datos'!$C$7:$K$1048576,7,0))=TRUE," ",(VLOOKUP(B61,'Base de Datos'!$C$7:$K$1048576,8,0)))</f>
        <v>180204-0-2018</v>
      </c>
      <c r="P61" s="551">
        <f>IF(ISERROR(VLOOKUP(B61,'Base de Datos'!$C$7:$N$4077,9,0))=TRUE," ",(VLOOKUP(B61,'Base de Datos'!$C$7:$N$4077,10,0)))</f>
        <v>43280</v>
      </c>
      <c r="Q61" s="533" t="s">
        <v>544</v>
      </c>
      <c r="R61" s="551">
        <f>IF(ISERROR(VLOOKUP(B61,'Base de Datos'!$C$7:$N$4077,10,0))=TRUE," ",(VLOOKUP(B61,'Base de Datos'!$C$7:$N$4077,11,0)))</f>
        <v>43357</v>
      </c>
      <c r="S61" s="551">
        <f>IF(ISERROR(VLOOKUP(B61,'Base de Datos'!$C$7:$N$4077,11,0))=TRUE," ",(VLOOKUP(B61,'Base de Datos'!$C$7:$N$4077,12,0)))</f>
        <v>43721</v>
      </c>
      <c r="T61" s="533" t="s">
        <v>1992</v>
      </c>
      <c r="U61" s="722"/>
      <c r="V61" s="634"/>
    </row>
    <row r="62" spans="2:22" ht="15" customHeight="1" outlineLevel="1" x14ac:dyDescent="0.25">
      <c r="B62" s="537">
        <v>62</v>
      </c>
      <c r="C62" s="533" t="str">
        <f>IF(ISERROR(VLOOKUP(B62,'Base de Datos'!$C$7:$F$4092,2,0))=TRUE,"",(VLOOKUP('Presupuesto - PAA 2015'!B62,'Base de Datos'!$C$7:$F$4092,3,0)))</f>
        <v>150405-0-2015</v>
      </c>
      <c r="D62" s="533" t="str">
        <f>IF(ISERROR(VLOOKUP(B62,'Base de Datos'!$C$7:$F$4092,3,0))=TRUE,"",(VLOOKUP('Presupuesto - PAA 2015'!B62,'Base de Datos'!$C$7:$F$4092,4,0)))</f>
        <v>PROSEGUR TECNOLOGIA S.A.S</v>
      </c>
      <c r="E62" s="536">
        <v>194667840</v>
      </c>
      <c r="F62" s="534" t="str">
        <f>VLOOKUP(B62,'Actualizada - presupuesto'!$D$7:$L$111,9,0)</f>
        <v>SI</v>
      </c>
      <c r="G62" s="534"/>
      <c r="H62" s="534"/>
      <c r="I62" s="534"/>
      <c r="J62" s="536">
        <f>IF(ISERROR(VLOOKUP(B62,'Base de Datos'!$C$7:$N$4092,6,0))=TRUE,"Sin Celebrar",(VLOOKUP(B62,'Base de Datos'!$C$7:$N$4092,7,0)))</f>
        <v>64250000</v>
      </c>
      <c r="K62" s="600"/>
      <c r="L62" s="536" t="str">
        <f t="shared" si="6"/>
        <v xml:space="preserve"> </v>
      </c>
      <c r="M62" s="536"/>
      <c r="N62" s="536">
        <f t="shared" si="7"/>
        <v>130417840</v>
      </c>
      <c r="O62" s="719" t="str">
        <f>IF(ISERROR(VLOOKUP(B62,'Base de Datos'!$C$7:$K$1048576,7,0))=TRUE," ",(VLOOKUP(B62,'Base de Datos'!$C$7:$K$1048576,8,0)))</f>
        <v>SDH-SMINC-067-2015</v>
      </c>
      <c r="P62" s="551">
        <f>IF(ISERROR(VLOOKUP(B62,'Base de Datos'!$C$7:$N$4077,9,0))=TRUE," ",(VLOOKUP(B62,'Base de Datos'!$C$7:$N$4077,10,0)))</f>
        <v>42359</v>
      </c>
      <c r="Q62" s="533" t="s">
        <v>1854</v>
      </c>
      <c r="R62" s="551">
        <f>IF(ISERROR(VLOOKUP(B62,'Base de Datos'!$C$7:$N$4077,10,0))=TRUE," ",(VLOOKUP(B62,'Base de Datos'!$C$7:$N$4077,11,0)))</f>
        <v>42384</v>
      </c>
      <c r="S62" s="551">
        <f>IF(ISERROR(VLOOKUP(B62,'Base de Datos'!$C$7:$N$4077,11,0))=TRUE," ",(VLOOKUP(B62,'Base de Datos'!$C$7:$N$4077,12,0)))</f>
        <v>42505</v>
      </c>
      <c r="T62" s="533" t="s">
        <v>1992</v>
      </c>
      <c r="U62" s="722"/>
      <c r="V62" s="634"/>
    </row>
    <row r="63" spans="2:22" ht="15" customHeight="1" outlineLevel="1" x14ac:dyDescent="0.25">
      <c r="B63" s="537">
        <v>63</v>
      </c>
      <c r="C63" s="533" t="str">
        <f>IF(ISERROR(VLOOKUP(B63,'Base de Datos'!$C$7:$F$4092,2,0))=TRUE,"",(VLOOKUP('Presupuesto - PAA 2015'!B63,'Base de Datos'!$C$7:$F$4092,3,0)))</f>
        <v>150249-0-2015</v>
      </c>
      <c r="D63" s="533" t="str">
        <f>IF(ISERROR(VLOOKUP(B63,'Base de Datos'!$C$7:$F$4092,3,0))=TRUE,"",(VLOOKUP('Presupuesto - PAA 2015'!B63,'Base de Datos'!$C$7:$F$4092,4,0)))</f>
        <v>BRANCH OF MICROSOFT COLOMBIA INC</v>
      </c>
      <c r="E63" s="536">
        <v>213397762</v>
      </c>
      <c r="F63" s="534" t="str">
        <f>VLOOKUP(B63,'Actualizada - presupuesto'!$D$7:$L$111,9,0)</f>
        <v>SI</v>
      </c>
      <c r="G63" s="534"/>
      <c r="H63" s="534"/>
      <c r="I63" s="534"/>
      <c r="J63" s="536">
        <f>IF(ISERROR(VLOOKUP(B63,'Base de Datos'!$C$7:$N$4092,6,0))=TRUE,"Sin Celebrar",(VLOOKUP(B63,'Base de Datos'!$C$7:$N$4092,7,0)))</f>
        <v>213397762</v>
      </c>
      <c r="K63" s="600"/>
      <c r="L63" s="536" t="str">
        <f t="shared" si="6"/>
        <v xml:space="preserve"> </v>
      </c>
      <c r="M63" s="536"/>
      <c r="N63" s="536" t="str">
        <f t="shared" si="7"/>
        <v xml:space="preserve"> </v>
      </c>
      <c r="O63" s="719" t="str">
        <f>IF(ISERROR(VLOOKUP(B63,'Base de Datos'!$C$7:$K$1048576,7,0))=TRUE," ",(VLOOKUP(B63,'Base de Datos'!$C$7:$K$1048576,8,0)))</f>
        <v>150249-0-2015</v>
      </c>
      <c r="P63" s="551">
        <f>IF(ISERROR(VLOOKUP(B63,'Base de Datos'!$C$7:$N$4077,9,0))=TRUE," ",(VLOOKUP(B63,'Base de Datos'!$C$7:$N$4077,10,0)))</f>
        <v>42165</v>
      </c>
      <c r="Q63" s="533" t="s">
        <v>1851</v>
      </c>
      <c r="R63" s="551">
        <f>IF(ISERROR(VLOOKUP(B63,'Base de Datos'!$C$7:$N$4077,10,0))=TRUE," ",(VLOOKUP(B63,'Base de Datos'!$C$7:$N$4077,11,0)))</f>
        <v>42181</v>
      </c>
      <c r="S63" s="551">
        <f>IF(ISERROR(VLOOKUP(B63,'Base de Datos'!$C$7:$N$4077,11,0))=TRUE," ",(VLOOKUP(B63,'Base de Datos'!$C$7:$N$4077,12,0)))</f>
        <v>42537</v>
      </c>
      <c r="T63" s="533" t="str">
        <f ca="1">VLOOKUP(C63,'Base de Datos'!$E$7:$AR$382,39,0)</f>
        <v>NO</v>
      </c>
      <c r="U63" s="722"/>
      <c r="V63" s="634"/>
    </row>
    <row r="64" spans="2:22" ht="15" customHeight="1" outlineLevel="1" x14ac:dyDescent="0.25">
      <c r="B64" s="537">
        <v>64</v>
      </c>
      <c r="C64" s="533" t="str">
        <f>IF(ISERROR(VLOOKUP(B64,'Base de Datos'!$C$7:$F$4092,2,0))=TRUE,"",(VLOOKUP('Presupuesto - PAA 2015'!B64,'Base de Datos'!$C$7:$F$4092,3,0)))</f>
        <v>180336-0-2018</v>
      </c>
      <c r="D64" s="538" t="s">
        <v>1826</v>
      </c>
      <c r="E64" s="536">
        <f>VLOOKUP(B64,'[6]Abr 24-2015'!$C$53:$AA$327,24,0)</f>
        <v>8300000</v>
      </c>
      <c r="F64" s="534">
        <f>VLOOKUP(B64,'Actualizada - presupuesto'!$D$7:$L$111,9,0)</f>
        <v>0</v>
      </c>
      <c r="G64" s="534"/>
      <c r="H64" s="534"/>
      <c r="I64" s="534"/>
      <c r="J64" s="536">
        <f>IF(ISERROR(VLOOKUP(B64,'Base de Datos'!$C$7:$N$4092,6,0))=TRUE,"Sin Celebrar",(VLOOKUP(B64,'Base de Datos'!$C$7:$N$4092,7,0)))</f>
        <v>2200000</v>
      </c>
      <c r="K64" s="600"/>
      <c r="L64" s="536" t="str">
        <f t="shared" si="6"/>
        <v xml:space="preserve"> </v>
      </c>
      <c r="M64" s="536"/>
      <c r="N64" s="536">
        <f t="shared" si="7"/>
        <v>6100000</v>
      </c>
      <c r="O64" s="719" t="str">
        <f>IF(ISERROR(VLOOKUP(B64,'Base de Datos'!$C$7:$K$1048576,7,0))=TRUE," ",(VLOOKUP(B64,'Base de Datos'!$C$7:$K$1048576,8,0)))</f>
        <v>SDH-SMINC-45-2018</v>
      </c>
      <c r="P64" s="551">
        <f>IF(ISERROR(VLOOKUP(B64,'Base de Datos'!$C$7:$N$4077,9,0))=TRUE," ",(VLOOKUP(B64,'Base de Datos'!$C$7:$N$4077,10,0)))</f>
        <v>43376</v>
      </c>
      <c r="Q64" s="533" t="s">
        <v>544</v>
      </c>
      <c r="R64" s="551">
        <f>IF(ISERROR(VLOOKUP(B64,'Base de Datos'!$C$7:$N$4077,10,0))=TRUE," ",(VLOOKUP(B64,'Base de Datos'!$C$7:$N$4077,11,0)))</f>
        <v>43389</v>
      </c>
      <c r="S64" s="551">
        <f>IF(ISERROR(VLOOKUP(B64,'Base de Datos'!$C$7:$N$4077,11,0))=TRUE," ",(VLOOKUP(B64,'Base de Datos'!$C$7:$N$4077,12,0)))</f>
        <v>43511</v>
      </c>
      <c r="T64" s="533" t="e">
        <f>VLOOKUP(C64,'Base de Datos'!$E$7:$AR$382,39,0)</f>
        <v>#N/A</v>
      </c>
      <c r="U64" s="722"/>
      <c r="V64" s="634"/>
    </row>
    <row r="65" spans="2:22" ht="15" customHeight="1" outlineLevel="1" x14ac:dyDescent="0.25">
      <c r="B65" s="537">
        <v>65</v>
      </c>
      <c r="C65" s="533" t="s">
        <v>1158</v>
      </c>
      <c r="D65" s="538" t="s">
        <v>2376</v>
      </c>
      <c r="E65" s="536">
        <f>VLOOKUP(B65,'[6]Abr 24-2015'!$C$53:$AA$327,24,0)</f>
        <v>22500000</v>
      </c>
      <c r="F65" s="534">
        <f>VLOOKUP(B65,'Actualizada - presupuesto'!$D$7:$L$111,9,0)</f>
        <v>0</v>
      </c>
      <c r="G65" s="534"/>
      <c r="H65" s="534"/>
      <c r="I65" s="534"/>
      <c r="J65" s="536">
        <v>22272000</v>
      </c>
      <c r="K65" s="600"/>
      <c r="L65" s="536" t="str">
        <f t="shared" si="6"/>
        <v xml:space="preserve"> </v>
      </c>
      <c r="M65" s="536"/>
      <c r="N65" s="536">
        <f t="shared" si="7"/>
        <v>228000</v>
      </c>
      <c r="O65" s="719" t="str">
        <f>IF(ISERROR(VLOOKUP(B65,'Base de Datos'!$C$7:$K$1048576,7,0))=TRUE," ",(VLOOKUP(B65,'Base de Datos'!$C$7:$K$1048576,8,0)))</f>
        <v>SDH-LP-01-2018</v>
      </c>
      <c r="P65" s="551">
        <f>IF(ISERROR(VLOOKUP(B65,'Base de Datos'!$C$7:$N$4077,9,0))=TRUE," ",(VLOOKUP(B65,'Base de Datos'!$C$7:$N$4077,10,0)))</f>
        <v>43230</v>
      </c>
      <c r="Q65" s="533" t="s">
        <v>382</v>
      </c>
      <c r="R65" s="551">
        <f>IF(ISERROR(VLOOKUP(B65,'Base de Datos'!$C$7:$N$4077,10,0))=TRUE," ",(VLOOKUP(B65,'Base de Datos'!$C$7:$N$4077,11,0)))</f>
        <v>43232</v>
      </c>
      <c r="S65" s="551">
        <f>IF(ISERROR(VLOOKUP(B65,'Base de Datos'!$C$7:$N$4077,11,0))=TRUE," ",(VLOOKUP(B65,'Base de Datos'!$C$7:$N$4077,12,0)))</f>
        <v>43523</v>
      </c>
      <c r="T65" s="533" t="s">
        <v>1992</v>
      </c>
      <c r="U65" s="722"/>
      <c r="V65" s="634"/>
    </row>
    <row r="66" spans="2:22" ht="19.5" customHeight="1" outlineLevel="1" x14ac:dyDescent="0.25">
      <c r="B66" s="537">
        <v>277</v>
      </c>
      <c r="C66" s="533" t="str">
        <f>IF(ISERROR(VLOOKUP(B66,'Base de Datos'!$C$7:$F$4092,2,0))=TRUE,"",(VLOOKUP('Presupuesto - PAA 2015'!B66,'Base de Datos'!$C$7:$F$4092,3,0)))</f>
        <v>150200-0-2015</v>
      </c>
      <c r="D66" s="533" t="str">
        <f>IF(ISERROR(VLOOKUP(B66,'Base de Datos'!$C$7:$F$4092,3,0))=TRUE,"",(VLOOKUP('Presupuesto - PAA 2015'!B66,'Base de Datos'!$C$7:$F$4092,4,0)))</f>
        <v>INGELECTRO SAS</v>
      </c>
      <c r="E66" s="536">
        <v>12975945</v>
      </c>
      <c r="F66" s="534" t="str">
        <f>VLOOKUP(B66,'Actualizada - presupuesto'!$D$7:$L$111,9,0)</f>
        <v>SI</v>
      </c>
      <c r="G66" s="534"/>
      <c r="H66" s="534"/>
      <c r="I66" s="534"/>
      <c r="J66" s="536">
        <f>IF(ISERROR(VLOOKUP(B66,'Base de Datos'!$C$7:$N$4092,6,0))=TRUE,"Sin Celebrar",(VLOOKUP(B66,'Base de Datos'!$C$7:$N$4092,7,0)))</f>
        <v>12975945</v>
      </c>
      <c r="K66" s="600"/>
      <c r="L66" s="536" t="str">
        <f t="shared" si="6"/>
        <v xml:space="preserve"> </v>
      </c>
      <c r="M66" s="536"/>
      <c r="N66" s="536" t="str">
        <f t="shared" si="7"/>
        <v xml:space="preserve"> </v>
      </c>
      <c r="O66" s="719" t="str">
        <f>IF(ISERROR(VLOOKUP(B66,'Base de Datos'!$C$7:$K$1048576,7,0))=TRUE," ",(VLOOKUP(B66,'Base de Datos'!$C$7:$K$1048576,8,0)))</f>
        <v>SDH-SMINC-017-2015</v>
      </c>
      <c r="P66" s="551">
        <f>IF(ISERROR(VLOOKUP(B66,'Base de Datos'!$C$7:$N$4077,9,0))=TRUE," ",(VLOOKUP(B66,'Base de Datos'!$C$7:$N$4077,10,0)))</f>
        <v>42117</v>
      </c>
      <c r="Q66" s="533" t="s">
        <v>380</v>
      </c>
      <c r="R66" s="551">
        <f>IF(ISERROR(VLOOKUP(B66,'Base de Datos'!$C$7:$N$4077,10,0))=TRUE," ",(VLOOKUP(B66,'Base de Datos'!$C$7:$N$4077,11,0)))</f>
        <v>42135</v>
      </c>
      <c r="S66" s="551">
        <f>IF(ISERROR(VLOOKUP(B66,'Base de Datos'!$C$7:$N$4077,11,0))=TRUE," ",(VLOOKUP(B66,'Base de Datos'!$C$7:$N$4077,12,0)))</f>
        <v>42258</v>
      </c>
      <c r="T66" s="533" t="str">
        <f ca="1">VLOOKUP(C66,'Base de Datos'!$E$7:$AR$382,39,0)</f>
        <v>NO</v>
      </c>
      <c r="U66" s="722"/>
      <c r="V66" s="634"/>
    </row>
    <row r="67" spans="2:22" ht="15" customHeight="1" outlineLevel="1" x14ac:dyDescent="0.25">
      <c r="B67" s="771">
        <v>282</v>
      </c>
      <c r="C67" s="533" t="str">
        <f>IF(ISERROR(VLOOKUP(B67,'Base de Datos'!$C$7:$F$4092,2,0))=TRUE,"",(VLOOKUP('Presupuesto - PAA 2015'!B67,'Base de Datos'!$C$7:$F$4092,3,0)))</f>
        <v>150344-0-2015</v>
      </c>
      <c r="D67" s="533" t="str">
        <f>IF(ISERROR(VLOOKUP(B67,'Base de Datos'!$C$7:$F$4092,3,0))=TRUE,"",(VLOOKUP('Presupuesto - PAA 2015'!B67,'Base de Datos'!$C$7:$F$4092,4,0)))</f>
        <v>UNION TEMPORAL NEWNET - SUMIMAS</v>
      </c>
      <c r="E67" s="753">
        <v>436000000</v>
      </c>
      <c r="F67" s="534" t="str">
        <f>VLOOKUP(B67,'Actualizada - presupuesto'!$D$7:$L$111,9,0)</f>
        <v>SI</v>
      </c>
      <c r="G67" s="534"/>
      <c r="H67" s="534"/>
      <c r="I67" s="534"/>
      <c r="J67" s="536">
        <f>IF(ISERROR(VLOOKUP(B67,'Base de Datos'!$C$7:$N$4092,6,0))=TRUE,"Sin Celebrar",(VLOOKUP(B67,'Base de Datos'!$C$7:$N$4092,7,0)))</f>
        <v>382091582</v>
      </c>
      <c r="K67" s="600"/>
      <c r="L67" s="536" t="str">
        <f t="shared" si="6"/>
        <v xml:space="preserve"> </v>
      </c>
      <c r="M67" s="536"/>
      <c r="N67" s="536">
        <f t="shared" si="7"/>
        <v>53908418</v>
      </c>
      <c r="O67" s="719" t="str">
        <f>IF(ISERROR(VLOOKUP(B67,'Base de Datos'!$C$7:$K$1048576,7,0))=TRUE," ",(VLOOKUP(B67,'Base de Datos'!$C$7:$K$1048576,8,0)))</f>
        <v>SDH-LP-02-2015</v>
      </c>
      <c r="P67" s="551">
        <f>IF(ISERROR(VLOOKUP(B67,'Base de Datos'!$C$7:$N$4077,9,0))=TRUE," ",(VLOOKUP(B67,'Base de Datos'!$C$7:$N$4077,10,0)))</f>
        <v>42240</v>
      </c>
      <c r="Q67" s="533" t="s">
        <v>1854</v>
      </c>
      <c r="R67" s="551">
        <f>IF(ISERROR(VLOOKUP(B67,'Base de Datos'!$C$7:$N$4077,10,0))=TRUE," ",(VLOOKUP(B67,'Base de Datos'!$C$7:$N$4077,11,0)))</f>
        <v>42261</v>
      </c>
      <c r="S67" s="551">
        <f>IF(ISERROR(VLOOKUP(B67,'Base de Datos'!$C$7:$N$4077,11,0))=TRUE," ",(VLOOKUP(B67,'Base de Datos'!$C$7:$N$4077,12,0)))</f>
        <v>42565</v>
      </c>
      <c r="T67" s="533" t="str">
        <f ca="1">VLOOKUP(C67,'Base de Datos'!$E$7:$AR$382,39,0)</f>
        <v>NO</v>
      </c>
      <c r="U67" s="722"/>
      <c r="V67" s="634"/>
    </row>
    <row r="68" spans="2:22" ht="21" customHeight="1" outlineLevel="1" x14ac:dyDescent="0.25">
      <c r="B68" s="552">
        <v>284</v>
      </c>
      <c r="C68" s="533" t="s">
        <v>1356</v>
      </c>
      <c r="D68" s="553" t="s">
        <v>1827</v>
      </c>
      <c r="E68" s="554">
        <v>54285345</v>
      </c>
      <c r="F68" s="534" t="str">
        <f>VLOOKUP(B68,'Actualizada - presupuesto'!$D$7:$L$111,9,0)</f>
        <v>SI</v>
      </c>
      <c r="G68" s="555"/>
      <c r="H68" s="555"/>
      <c r="I68" s="555"/>
      <c r="J68" s="536" t="str">
        <f>IF(ISERROR(VLOOKUP(B68,'Base de Datos'!$C$7:$N$4092,6,0))=TRUE,"Sin Celebrar",(VLOOKUP(B68,'Base de Datos'!$C$7:$N$4092,7,0)))</f>
        <v>Sin Celebrar</v>
      </c>
      <c r="K68" s="604"/>
      <c r="L68" s="536">
        <f>IF(J68=$AA$1,E68, " ")</f>
        <v>54285345</v>
      </c>
      <c r="M68" s="554"/>
      <c r="N68" s="536" t="str">
        <f>IF(J68&lt;E68,(E68-J68)," ")</f>
        <v xml:space="preserve"> </v>
      </c>
      <c r="O68" s="719" t="str">
        <f>IF(ISERROR(VLOOKUP(B68,'Base de Datos'!$C$7:$K$1048576,7,0))=TRUE," ",(VLOOKUP(B68,'Base de Datos'!$C$7:$K$1048576,8,0)))</f>
        <v xml:space="preserve"> </v>
      </c>
      <c r="P68" s="551" t="str">
        <f>IF(ISERROR(VLOOKUP(B68,'Base de Datos'!$C$7:$N$4077,9,0))=TRUE," ",(VLOOKUP(B68,'Base de Datos'!$C$7:$N$4077,10,0)))</f>
        <v xml:space="preserve"> </v>
      </c>
      <c r="Q68" s="553" t="s">
        <v>379</v>
      </c>
      <c r="R68" s="551" t="str">
        <f>IF(ISERROR(VLOOKUP(B68,'Base de Datos'!$C$7:$N$4077,10,0))=TRUE," ",(VLOOKUP(B68,'Base de Datos'!$C$7:$N$4077,11,0)))</f>
        <v xml:space="preserve"> </v>
      </c>
      <c r="S68" s="551" t="str">
        <f>IF(ISERROR(VLOOKUP(B68,'Base de Datos'!$C$7:$N$4077,11,0))=TRUE," ",(VLOOKUP(B68,'Base de Datos'!$C$7:$N$4077,12,0)))</f>
        <v xml:space="preserve"> </v>
      </c>
      <c r="T68" s="533" t="str">
        <f ca="1">VLOOKUP(C68,'Base de Datos'!$E$7:$AR$382,39,0)</f>
        <v>NO</v>
      </c>
      <c r="U68" s="722"/>
      <c r="V68" s="634"/>
    </row>
    <row r="69" spans="2:22" ht="21" customHeight="1" outlineLevel="1" x14ac:dyDescent="0.25">
      <c r="B69" s="552">
        <v>307</v>
      </c>
      <c r="C69" s="533" t="str">
        <f>IF(ISERROR(VLOOKUP(B69,'Base de Datos'!$C$7:$F$4092,2,0))=TRUE,"",(VLOOKUP('Presupuesto - PAA 2015'!B69,'Base de Datos'!$C$7:$F$4092,3,0)))</f>
        <v>150329-0-2015</v>
      </c>
      <c r="D69" s="533" t="str">
        <f>IF(ISERROR(VLOOKUP(B69,'Base de Datos'!$C$7:$F$4092,3,0))=TRUE,"",(VLOOKUP('Presupuesto - PAA 2015'!B69,'Base de Datos'!$C$7:$F$4092,4,0)))</f>
        <v xml:space="preserve">INFORMATICA DOCUMENTAL SAS </v>
      </c>
      <c r="E69" s="554">
        <v>20880000</v>
      </c>
      <c r="F69" s="534" t="s">
        <v>390</v>
      </c>
      <c r="G69" s="555"/>
      <c r="H69" s="555"/>
      <c r="I69" s="555"/>
      <c r="J69" s="536">
        <f>IF(ISERROR(VLOOKUP(B69,'Base de Datos'!$C$7:$N$4092,6,0))=TRUE,"Sin Celebrar",(VLOOKUP(B69,'Base de Datos'!$C$7:$N$4092,7,0)))</f>
        <v>20880000</v>
      </c>
      <c r="K69" s="604"/>
      <c r="L69" s="536" t="str">
        <f>IF(J69=$AA$1,E69, " ")</f>
        <v xml:space="preserve"> </v>
      </c>
      <c r="M69" s="554"/>
      <c r="N69" s="536" t="str">
        <f>IF(J69&lt;E69,(E69-J69)," ")</f>
        <v xml:space="preserve"> </v>
      </c>
      <c r="O69" s="719" t="str">
        <f>IF(ISERROR(VLOOKUP(B69,'Base de Datos'!$C$7:$K$1048576,7,0))=TRUE," ",(VLOOKUP(B69,'Base de Datos'!$C$7:$K$1048576,8,0)))</f>
        <v>150329-0-2015</v>
      </c>
      <c r="P69" s="551">
        <f>IF(ISERROR(VLOOKUP(B69,'Base de Datos'!$C$7:$N$4077,9,0))=TRUE," ",(VLOOKUP(B69,'Base de Datos'!$C$7:$N$4077,10,0)))</f>
        <v>42219</v>
      </c>
      <c r="Q69" s="553" t="s">
        <v>1851</v>
      </c>
      <c r="R69" s="551">
        <f>IF(ISERROR(VLOOKUP(B69,'Base de Datos'!$C$7:$N$4077,10,0))=TRUE," ",(VLOOKUP(B69,'Base de Datos'!$C$7:$N$4077,11,0)))</f>
        <v>42226</v>
      </c>
      <c r="S69" s="551">
        <f>IF(ISERROR(VLOOKUP(B69,'Base de Datos'!$C$7:$N$4077,11,0))=TRUE," ",(VLOOKUP(B69,'Base de Datos'!$C$7:$N$4077,12,0)))</f>
        <v>42592</v>
      </c>
      <c r="T69" s="533" t="str">
        <f ca="1">VLOOKUP(C69,'Base de Datos'!$E$7:$AR$382,39,0)</f>
        <v>NO</v>
      </c>
      <c r="U69" s="722"/>
      <c r="V69" s="634"/>
    </row>
    <row r="70" spans="2:22" ht="21" customHeight="1" outlineLevel="1" x14ac:dyDescent="0.25">
      <c r="B70" s="552">
        <v>308</v>
      </c>
      <c r="C70" s="533" t="str">
        <f>IF(ISERROR(VLOOKUP(B70,'Base de Datos'!$C$7:$F$4092,2,0))=TRUE,"",(VLOOKUP('Presupuesto - PAA 2015'!B70,'Base de Datos'!$C$7:$F$4092,3,0)))</f>
        <v>150391-0-2015</v>
      </c>
      <c r="D70" s="533" t="str">
        <f>IF(ISERROR(VLOOKUP(B70,'Base de Datos'!$C$7:$F$4092,3,0))=TRUE,"",(VLOOKUP('Presupuesto - PAA 2015'!B70,'Base de Datos'!$C$7:$F$4092,4,0)))</f>
        <v>UNIÓN TEMPORAL BMIND - KOGHI</v>
      </c>
      <c r="E70" s="554">
        <v>100000000</v>
      </c>
      <c r="F70" s="534"/>
      <c r="G70" s="555"/>
      <c r="H70" s="555"/>
      <c r="I70" s="555"/>
      <c r="J70" s="536">
        <f>IF(ISERROR(VLOOKUP(B70,'Base de Datos'!$C$7:$N$4092,6,0))=TRUE,"Sin Celebrar",(VLOOKUP(B70,'Base de Datos'!$C$7:$N$4092,7,0)))</f>
        <v>96032643</v>
      </c>
      <c r="K70" s="604"/>
      <c r="L70" s="536" t="str">
        <f>IF(J70=$AA$1,E70, " ")</f>
        <v xml:space="preserve"> </v>
      </c>
      <c r="M70" s="554"/>
      <c r="N70" s="536">
        <f>IF(J70&lt;E70,(E70-J70)," ")</f>
        <v>3967357</v>
      </c>
      <c r="O70" s="719" t="str">
        <f>IF(ISERROR(VLOOKUP(B70,'Base de Datos'!$C$7:$K$1048576,7,0))=TRUE," ",(VLOOKUP(B70,'Base de Datos'!$C$7:$K$1048576,8,0)))</f>
        <v>SDH-SAMC-08-2015</v>
      </c>
      <c r="P70" s="551">
        <f>IF(ISERROR(VLOOKUP(B70,'Base de Datos'!$C$7:$N$4077,9,0))=TRUE," ",(VLOOKUP(B70,'Base de Datos'!$C$7:$N$4077,10,0)))</f>
        <v>42325</v>
      </c>
      <c r="Q70" s="553" t="s">
        <v>1851</v>
      </c>
      <c r="R70" s="551">
        <f>IF(ISERROR(VLOOKUP(B70,'Base de Datos'!$C$7:$N$4077,10,0))=TRUE," ",(VLOOKUP(B70,'Base de Datos'!$C$7:$N$4077,11,0)))</f>
        <v>42345</v>
      </c>
      <c r="S70" s="551">
        <f>IF(ISERROR(VLOOKUP(B70,'Base de Datos'!$C$7:$N$4077,11,0))=TRUE," ",(VLOOKUP(B70,'Base de Datos'!$C$7:$N$4077,12,0)))</f>
        <v>42620</v>
      </c>
      <c r="T70" s="533" t="s">
        <v>1992</v>
      </c>
      <c r="U70" s="722"/>
      <c r="V70" s="634"/>
    </row>
    <row r="71" spans="2:22" outlineLevel="1" x14ac:dyDescent="0.25">
      <c r="B71" s="552">
        <v>314</v>
      </c>
      <c r="C71" s="533" t="str">
        <f>IF(ISERROR(VLOOKUP(B71,'Base de Datos'!$C$7:$F$4092,2,0))=TRUE,"",(VLOOKUP('Presupuesto - PAA 2015'!B71,'Base de Datos'!$C$7:$F$4092,3,0)))</f>
        <v>150308-0-2015</v>
      </c>
      <c r="D71" s="533" t="str">
        <f>IF(ISERROR(VLOOKUP(B71,'Base de Datos'!$C$7:$F$4092,3,0))=TRUE,"",(VLOOKUP('Presupuesto - PAA 2015'!B71,'Base de Datos'!$C$7:$F$4092,4,0)))</f>
        <v xml:space="preserve">ARANDA SOFTWARE ANDINA SAS  </v>
      </c>
      <c r="E71" s="554">
        <v>50041097</v>
      </c>
      <c r="F71" s="534" t="s">
        <v>390</v>
      </c>
      <c r="G71" s="555"/>
      <c r="H71" s="555"/>
      <c r="I71" s="555"/>
      <c r="J71" s="536">
        <f>IF(ISERROR(VLOOKUP(B71,'Base de Datos'!$C$7:$N$4092,6,0))=TRUE,"Sin Celebrar",(VLOOKUP(B71,'Base de Datos'!$C$7:$N$4092,7,0)))</f>
        <v>80041097</v>
      </c>
      <c r="K71" s="604"/>
      <c r="L71" s="536" t="str">
        <f>IF(J71=$AA$1,E71, " ")</f>
        <v xml:space="preserve"> </v>
      </c>
      <c r="M71" s="554"/>
      <c r="N71" s="536" t="str">
        <f>IF(J71&lt;E71,(E71-J71)," ")</f>
        <v xml:space="preserve"> </v>
      </c>
      <c r="O71" s="719" t="str">
        <f>IF(ISERROR(VLOOKUP(B71,'Base de Datos'!$C$7:$K$1048576,7,0))=TRUE," ",(VLOOKUP(B71,'Base de Datos'!$C$7:$K$1048576,8,0)))</f>
        <v>150308-0-2015</v>
      </c>
      <c r="P71" s="551">
        <f>IF(ISERROR(VLOOKUP(B71,'Base de Datos'!$C$7:$N$4077,9,0))=TRUE," ",(VLOOKUP(B71,'Base de Datos'!$C$7:$N$4077,10,0)))</f>
        <v>42193</v>
      </c>
      <c r="Q71" s="553"/>
      <c r="R71" s="551">
        <f>IF(ISERROR(VLOOKUP(B71,'Base de Datos'!$C$7:$N$4077,10,0))=TRUE," ",(VLOOKUP(B71,'Base de Datos'!$C$7:$N$4077,11,0)))</f>
        <v>42199</v>
      </c>
      <c r="S71" s="551">
        <f>IF(ISERROR(VLOOKUP(B71,'Base de Datos'!$C$7:$N$4077,11,0))=TRUE," ",(VLOOKUP(B71,'Base de Datos'!$C$7:$N$4077,12,0)))</f>
        <v>42565</v>
      </c>
      <c r="T71" s="533" t="str">
        <f ca="1">VLOOKUP(C71,'Base de Datos'!$E$7:$AR$382,39,0)</f>
        <v>NO</v>
      </c>
      <c r="U71" s="722"/>
      <c r="V71" s="634"/>
    </row>
    <row r="72" spans="2:22" outlineLevel="1" x14ac:dyDescent="0.25">
      <c r="B72" s="552"/>
      <c r="C72" s="553"/>
      <c r="D72" s="553" t="s">
        <v>1935</v>
      </c>
      <c r="E72" s="701">
        <f>E51-SUM(E54:E71)</f>
        <v>-71648021</v>
      </c>
      <c r="F72" s="555"/>
      <c r="G72" s="555"/>
      <c r="H72" s="555"/>
      <c r="I72" s="555"/>
      <c r="J72" s="536"/>
      <c r="K72" s="604"/>
      <c r="L72" s="536"/>
      <c r="M72" s="554"/>
      <c r="N72" s="536" t="str">
        <f>IF(J72&lt;E72,(E72-J72)," ")</f>
        <v xml:space="preserve"> </v>
      </c>
      <c r="O72" s="719" t="str">
        <f>IF(ISERROR(VLOOKUP(B72,'Base de Datos'!$C$7:$K$1048576,7,0))=TRUE," ",(VLOOKUP(B72,'Base de Datos'!$C$7:$K$1048576,7,0)))</f>
        <v xml:space="preserve"> </v>
      </c>
      <c r="P72" s="551" t="str">
        <f>IF(ISERROR(VLOOKUP(B72,'Base de Datos'!$C$7:$N$4077,9,0))=TRUE," ",(VLOOKUP(B72,'Base de Datos'!$C$7:$N$4077,9,0)))</f>
        <v xml:space="preserve"> </v>
      </c>
      <c r="Q72" s="553"/>
      <c r="R72" s="556" t="str">
        <f>IF(ISERROR(VLOOKUP(B72,'Base de Datos'!$C$7:$N$315,10,0))=TRUE," ",(VLOOKUP(B72,'Base de Datos'!$C$7:$N$315,10,0)))</f>
        <v xml:space="preserve"> </v>
      </c>
      <c r="S72" s="556" t="str">
        <f>IF(ISERROR(VLOOKUP(B72,'Base de Datos'!$C$7:$N$315,11,0))=TRUE," ",(VLOOKUP(B72,'Base de Datos'!$C$7:$N$315,11,0)))</f>
        <v xml:space="preserve"> </v>
      </c>
      <c r="T72" s="533"/>
      <c r="U72" s="722"/>
      <c r="V72" s="634"/>
    </row>
    <row r="73" spans="2:22" outlineLevel="1" x14ac:dyDescent="0.25">
      <c r="B73" s="1190"/>
      <c r="C73" s="1190"/>
      <c r="D73" s="1190"/>
      <c r="E73" s="536"/>
      <c r="F73" s="534"/>
      <c r="G73" s="534"/>
      <c r="H73" s="534"/>
      <c r="I73" s="534"/>
      <c r="J73" s="536"/>
      <c r="K73" s="600"/>
      <c r="L73" s="536"/>
      <c r="M73" s="536"/>
      <c r="N73" s="536"/>
      <c r="O73" s="678"/>
      <c r="P73" s="551"/>
      <c r="Q73" s="533"/>
      <c r="R73" s="551"/>
      <c r="S73" s="551"/>
      <c r="T73" s="533"/>
      <c r="U73" s="722"/>
      <c r="V73" s="634"/>
    </row>
    <row r="74" spans="2:22" outlineLevel="1" x14ac:dyDescent="0.25">
      <c r="B74" s="1190"/>
      <c r="C74" s="1190"/>
      <c r="D74" s="1190"/>
      <c r="E74" s="536"/>
      <c r="F74" s="534"/>
      <c r="G74" s="534"/>
      <c r="H74" s="534"/>
      <c r="I74" s="534"/>
      <c r="J74" s="536"/>
      <c r="K74" s="600"/>
      <c r="L74" s="536"/>
      <c r="M74" s="536"/>
      <c r="N74" s="536"/>
      <c r="O74" s="678"/>
      <c r="P74" s="551"/>
      <c r="Q74" s="533"/>
      <c r="R74" s="551"/>
      <c r="S74" s="551"/>
      <c r="T74" s="533"/>
      <c r="U74" s="722"/>
      <c r="V74" s="634"/>
    </row>
    <row r="75" spans="2:22" ht="15" customHeight="1" x14ac:dyDescent="0.25">
      <c r="B75" s="1195" t="s">
        <v>1649</v>
      </c>
      <c r="C75" s="1195"/>
      <c r="D75" s="1195"/>
      <c r="E75" s="587">
        <v>452000000</v>
      </c>
      <c r="F75" s="588">
        <f>COUNTIF('Actualizada - presupuesto'!$E$7:$E$111,B75)</f>
        <v>3</v>
      </c>
      <c r="G75" s="588"/>
      <c r="H75" s="588"/>
      <c r="I75" s="588"/>
      <c r="J75" s="587">
        <f>SUM(J77:J80)</f>
        <v>486905000</v>
      </c>
      <c r="K75" s="607">
        <f>J75/E75</f>
        <v>1.0772234513274337</v>
      </c>
      <c r="L75" s="587">
        <f>SUM(L77:L80)</f>
        <v>0</v>
      </c>
      <c r="M75" s="632">
        <v>0</v>
      </c>
      <c r="N75" s="587">
        <f>+E75-J75-L75</f>
        <v>-34905000</v>
      </c>
      <c r="O75" s="682"/>
      <c r="P75" s="589" t="str">
        <f>IF(ISERROR(VLOOKUP(B75,'Base de Datos'!$C$7:$N$315,8,0))=TRUE," ",(VLOOKUP(B75,'Base de Datos'!$C$7:$N$315,8,0)))</f>
        <v xml:space="preserve"> </v>
      </c>
      <c r="Q75" s="590"/>
      <c r="R75" s="589" t="str">
        <f>IF(ISERROR(VLOOKUP(B75,'Base de Datos'!$C$7:$N$315,9,0))=TRUE," ",(VLOOKUP(B75,'Base de Datos'!$C$7:$N$315,9,0)))</f>
        <v xml:space="preserve"> </v>
      </c>
      <c r="S75" s="589" t="str">
        <f>IF(ISERROR(VLOOKUP(B75,'Base de Datos'!$C$7:$N$315,10,0))=TRUE," ",(VLOOKUP(B75,'Base de Datos'!$C$7:$N$315,10,0)))</f>
        <v xml:space="preserve"> </v>
      </c>
      <c r="T75" s="592"/>
      <c r="U75" s="722"/>
      <c r="V75" s="634"/>
    </row>
    <row r="76" spans="2:22" ht="24" outlineLevel="1" x14ac:dyDescent="0.25">
      <c r="B76" s="537" t="s">
        <v>1693</v>
      </c>
      <c r="C76" s="537" t="s">
        <v>912</v>
      </c>
      <c r="D76" s="537" t="s">
        <v>1822</v>
      </c>
      <c r="E76" s="545" t="s">
        <v>1846</v>
      </c>
      <c r="F76" s="534" t="s">
        <v>1853</v>
      </c>
      <c r="G76" s="534"/>
      <c r="H76" s="534"/>
      <c r="I76" s="534"/>
      <c r="J76" s="537" t="s">
        <v>1845</v>
      </c>
      <c r="K76" s="652"/>
      <c r="L76" s="537" t="s">
        <v>1939</v>
      </c>
      <c r="M76" s="537"/>
      <c r="N76" s="537" t="s">
        <v>1940</v>
      </c>
      <c r="O76" s="677"/>
      <c r="P76" s="568" t="s">
        <v>1847</v>
      </c>
      <c r="Q76" s="537" t="s">
        <v>1848</v>
      </c>
      <c r="R76" s="537" t="s">
        <v>1849</v>
      </c>
      <c r="S76" s="537" t="s">
        <v>375</v>
      </c>
      <c r="T76" s="552" t="s">
        <v>1850</v>
      </c>
      <c r="U76" s="722"/>
      <c r="V76" s="634"/>
    </row>
    <row r="77" spans="2:22" outlineLevel="1" x14ac:dyDescent="0.25">
      <c r="B77" s="537">
        <v>162</v>
      </c>
      <c r="C77" s="533" t="str">
        <f>IF(ISERROR(VLOOKUP(B77,'Base de Datos'!$C$7:$F$4092,2,0))=TRUE,"",(VLOOKUP('Presupuesto - PAA 2015'!B77,'Base de Datos'!$C$7:$F$4092,3,0)))</f>
        <v>150097-0-2015</v>
      </c>
      <c r="D77" s="533" t="str">
        <f>IF(ISERROR(VLOOKUP(B77,'Base de Datos'!$C$7:$F$4092,3,0))=TRUE,"",(VLOOKUP('Presupuesto - PAA 2015'!B77,'Base de Datos'!$C$7:$F$4092,4,0)))</f>
        <v>ORGANIZACIÓN TERPEL S.A.</v>
      </c>
      <c r="E77" s="536">
        <v>444600000</v>
      </c>
      <c r="F77" s="534" t="str">
        <f>VLOOKUP(B77,'Actualizada - presupuesto'!$D$7:$L$111,9,0)</f>
        <v>SI</v>
      </c>
      <c r="G77" s="534"/>
      <c r="H77" s="534"/>
      <c r="I77" s="534"/>
      <c r="J77" s="536">
        <f>IF(ISERROR(VLOOKUP(B77,'Base de Datos'!$C$7:$N$4092,6,0))=TRUE,"Sin Celebrar",(VLOOKUP(B77,'Base de Datos'!$C$7:$N$4092,7,0)))</f>
        <v>444600000</v>
      </c>
      <c r="K77" s="600"/>
      <c r="L77" s="536" t="str">
        <f>IF(J77=$AA$1,E77, " ")</f>
        <v xml:space="preserve"> </v>
      </c>
      <c r="M77" s="536"/>
      <c r="N77" s="536" t="str">
        <f>IF(J77&lt;E77,(E77-J77)," ")</f>
        <v xml:space="preserve"> </v>
      </c>
      <c r="O77" s="719">
        <f>IF(ISERROR(VLOOKUP(B77,'Base de Datos'!$C$7:$K$1048576,7,0))=TRUE," ",(VLOOKUP(B77,'Base de Datos'!$C$7:$K$1048576,8,0)))</f>
        <v>0</v>
      </c>
      <c r="P77" s="551">
        <f>IF(ISERROR(VLOOKUP(B77,'Base de Datos'!$C$7:$N$4077,9,0))=TRUE," ",(VLOOKUP(B77,'Base de Datos'!$C$7:$N$4077,10,0)))</f>
        <v>0</v>
      </c>
      <c r="Q77" s="533" t="s">
        <v>1851</v>
      </c>
      <c r="R77" s="551">
        <f>IF(ISERROR(VLOOKUP(B77,'Base de Datos'!$C$7:$N$4077,10,0))=TRUE," ",(VLOOKUP(B77,'Base de Datos'!$C$7:$N$4077,11,0)))</f>
        <v>42064</v>
      </c>
      <c r="S77" s="551">
        <f>IF(ISERROR(VLOOKUP(B77,'Base de Datos'!$C$7:$N$4077,11,0))=TRUE," ",(VLOOKUP(B77,'Base de Datos'!$C$7:$N$4077,12,0)))</f>
        <v>42339</v>
      </c>
      <c r="T77" s="533" t="str">
        <f ca="1">VLOOKUP(C77,'Base de Datos'!$E$7:$AR$382,39,0)</f>
        <v>NO</v>
      </c>
      <c r="U77" s="722"/>
      <c r="V77" s="634"/>
    </row>
    <row r="78" spans="2:22" outlineLevel="1" x14ac:dyDescent="0.25">
      <c r="B78" s="537">
        <v>163</v>
      </c>
      <c r="C78" s="533" t="str">
        <f>IF(ISERROR(VLOOKUP(B78,'Base de Datos'!$C$7:$F$4092,2,0))=TRUE,"",(VLOOKUP('Presupuesto - PAA 2015'!B78,'Base de Datos'!$C$7:$F$4092,3,0)))</f>
        <v>170139-0-2017</v>
      </c>
      <c r="D78" s="533" t="s">
        <v>1828</v>
      </c>
      <c r="E78" s="732"/>
      <c r="F78" s="534" t="str">
        <f>VLOOKUP(B78,'Actualizada - presupuesto'!$D$7:$L$111,9,0)</f>
        <v>NA</v>
      </c>
      <c r="G78" s="534"/>
      <c r="H78" s="534"/>
      <c r="I78" s="534"/>
      <c r="J78" s="536">
        <f>IF(ISERROR(VLOOKUP(B78,'Base de Datos'!$C$7:$N$4092,6,0))=TRUE,"Sin Celebrar",(VLOOKUP(B78,'Base de Datos'!$C$7:$N$4092,7,0)))</f>
        <v>13500000</v>
      </c>
      <c r="K78" s="600"/>
      <c r="L78" s="580" t="str">
        <f>IF(J78=$AA$1,E78, " ")</f>
        <v xml:space="preserve"> </v>
      </c>
      <c r="M78" s="536"/>
      <c r="N78" s="536" t="str">
        <f>IF(J78&lt;E78,(E78-J78)," ")</f>
        <v xml:space="preserve"> </v>
      </c>
      <c r="O78" s="719" t="str">
        <f>IF(ISERROR(VLOOKUP(B78,'Base de Datos'!$C$7:$K$1048576,7,0))=TRUE," ",(VLOOKUP(B78,'Base de Datos'!$C$7:$K$1048576,8,0)))</f>
        <v>170139-0-2017</v>
      </c>
      <c r="P78" s="551">
        <f>IF(ISERROR(VLOOKUP(B78,'Base de Datos'!$C$7:$N$4077,9,0))=TRUE," ",(VLOOKUP(B78,'Base de Datos'!$C$7:$N$4077,10,0)))</f>
        <v>42872</v>
      </c>
      <c r="Q78" s="533" t="s">
        <v>378</v>
      </c>
      <c r="R78" s="551">
        <f>IF(ISERROR(VLOOKUP(B78,'Base de Datos'!$C$7:$N$4077,10,0))=TRUE," ",(VLOOKUP(B78,'Base de Datos'!$C$7:$N$4077,11,0)))</f>
        <v>42887</v>
      </c>
      <c r="S78" s="551">
        <f>IF(ISERROR(VLOOKUP(B78,'Base de Datos'!$C$7:$N$4077,11,0))=TRUE," ",(VLOOKUP(B78,'Base de Datos'!$C$7:$N$4077,12,0)))</f>
        <v>43160</v>
      </c>
      <c r="T78" s="533" t="s">
        <v>1569</v>
      </c>
      <c r="U78" s="722"/>
      <c r="V78" s="634"/>
    </row>
    <row r="79" spans="2:22" ht="24" outlineLevel="1" x14ac:dyDescent="0.25">
      <c r="B79" s="552">
        <v>164</v>
      </c>
      <c r="C79" s="533" t="str">
        <f>IF(ISERROR(VLOOKUP(B79,'Base de Datos'!$C$7:$F$4092,2,0))=TRUE,"",(VLOOKUP('Presupuesto - PAA 2015'!B79,'Base de Datos'!$C$7:$F$4092,3,0)))</f>
        <v>150358-0-2015</v>
      </c>
      <c r="D79" s="533" t="str">
        <f>IF(ISERROR(VLOOKUP(B79,'Base de Datos'!$C$7:$F$4092,3,0))=TRUE,"",(VLOOKUP('Presupuesto - PAA 2015'!B79,'Base de Datos'!$C$7:$F$4092,4,0)))</f>
        <v>MITSU MOTORS SERVICE S.A.S.</v>
      </c>
      <c r="E79" s="554">
        <v>3415000</v>
      </c>
      <c r="F79" s="534" t="str">
        <f>VLOOKUP(B79,'Actualizada - presupuesto'!$D$7:$L$111,9,0)</f>
        <v>SI</v>
      </c>
      <c r="G79" s="555"/>
      <c r="H79" s="555"/>
      <c r="I79" s="555"/>
      <c r="J79" s="536">
        <f>IF(ISERROR(VLOOKUP(B79,'Base de Datos'!$C$7:$N$4092,6,0))=TRUE,"Sin Celebrar",(VLOOKUP(B79,'Base de Datos'!$C$7:$N$4092,7,0)))</f>
        <v>28805000</v>
      </c>
      <c r="K79" s="604"/>
      <c r="L79" s="580" t="str">
        <f>IF(J79=$AA$1,E79, " ")</f>
        <v xml:space="preserve"> </v>
      </c>
      <c r="M79" s="554"/>
      <c r="N79" s="554" t="str">
        <f>IF(J79&lt;E79,(E79-J79)," ")</f>
        <v xml:space="preserve"> </v>
      </c>
      <c r="O79" s="719" t="str">
        <f>IF(ISERROR(VLOOKUP(B79,'Base de Datos'!$C$7:$K$1048576,7,0))=TRUE," ",(VLOOKUP(B79,'Base de Datos'!$C$7:$K$1048576,8,0)))</f>
        <v>SDH-SMINC-053-2015</v>
      </c>
      <c r="P79" s="551">
        <f>IF(ISERROR(VLOOKUP(B79,'Base de Datos'!$C$7:$N$4077,9,0))=TRUE," ",(VLOOKUP(B79,'Base de Datos'!$C$7:$N$4077,10,0)))</f>
        <v>42268</v>
      </c>
      <c r="Q79" s="553" t="s">
        <v>1851</v>
      </c>
      <c r="R79" s="551">
        <f>IF(ISERROR(VLOOKUP(B79,'Base de Datos'!$C$7:$N$4077,10,0))=TRUE," ",(VLOOKUP(B79,'Base de Datos'!$C$7:$N$4077,11,0)))</f>
        <v>42296</v>
      </c>
      <c r="S79" s="551">
        <f>IF(ISERROR(VLOOKUP(B79,'Base de Datos'!$C$7:$N$4077,11,0))=TRUE," ",(VLOOKUP(B79,'Base de Datos'!$C$7:$N$4077,12,0)))</f>
        <v>42662</v>
      </c>
      <c r="T79" s="533" t="str">
        <f ca="1">VLOOKUP(C79,'Base de Datos'!$E$7:$AR$382,39,0)</f>
        <v>NO</v>
      </c>
      <c r="U79" s="722"/>
      <c r="V79" s="634"/>
    </row>
    <row r="80" spans="2:22" outlineLevel="1" x14ac:dyDescent="0.25">
      <c r="B80" s="648"/>
      <c r="C80" s="648"/>
      <c r="D80" s="533" t="s">
        <v>1938</v>
      </c>
      <c r="E80" s="536">
        <f>E75-(SUM(E77:E79))</f>
        <v>3985000</v>
      </c>
      <c r="F80" s="647"/>
      <c r="G80" s="534"/>
      <c r="H80" s="534"/>
      <c r="I80" s="534"/>
      <c r="J80" s="554"/>
      <c r="K80" s="600"/>
      <c r="L80" s="554"/>
      <c r="M80" s="536"/>
      <c r="N80" s="554">
        <f>IF(J80&lt;E80,(E80-J80)," ")</f>
        <v>3985000</v>
      </c>
      <c r="O80" s="679"/>
      <c r="P80" s="551" t="str">
        <f>IF(ISERROR(VLOOKUP(B80,'Base de Datos'!$C$7:$N$315,9,0))=TRUE," ",(VLOOKUP(B80,'Base de Datos'!$C$7:$N$315,9,0)))</f>
        <v xml:space="preserve"> </v>
      </c>
      <c r="Q80" s="533"/>
      <c r="R80" s="556" t="str">
        <f>IF(ISERROR(VLOOKUP(B80,'Base de Datos'!$C$7:$N$315,10,0))=TRUE," ",(VLOOKUP(B80,'Base de Datos'!$C$7:$N$315,10,0)))</f>
        <v xml:space="preserve"> </v>
      </c>
      <c r="S80" s="556" t="str">
        <f>IF(ISERROR(VLOOKUP(B80,'Base de Datos'!$C$7:$N$315,11,0))=TRUE," ",(VLOOKUP(B80,'Base de Datos'!$C$7:$N$315,11,0)))</f>
        <v xml:space="preserve"> </v>
      </c>
      <c r="T80" s="721"/>
      <c r="U80" s="722"/>
      <c r="V80" s="634"/>
    </row>
    <row r="81" spans="2:22" outlineLevel="1" x14ac:dyDescent="0.25">
      <c r="B81" s="648"/>
      <c r="C81" s="648"/>
      <c r="D81" s="648"/>
      <c r="E81" s="536"/>
      <c r="F81" s="647"/>
      <c r="G81" s="647"/>
      <c r="H81" s="647"/>
      <c r="I81" s="647"/>
      <c r="J81" s="536"/>
      <c r="K81" s="600"/>
      <c r="L81" s="536"/>
      <c r="M81" s="536"/>
      <c r="N81" s="536"/>
      <c r="O81" s="678"/>
      <c r="P81" s="551"/>
      <c r="Q81" s="533"/>
      <c r="R81" s="551"/>
      <c r="S81" s="551"/>
      <c r="T81" s="533"/>
      <c r="U81" s="722"/>
      <c r="V81" s="634"/>
    </row>
    <row r="82" spans="2:22" ht="15" customHeight="1" x14ac:dyDescent="0.25">
      <c r="B82" s="1195" t="s">
        <v>1650</v>
      </c>
      <c r="C82" s="1195"/>
      <c r="D82" s="1195"/>
      <c r="E82" s="587">
        <v>223000000</v>
      </c>
      <c r="F82" s="588">
        <f>COUNTIF('Actualizada - presupuesto'!$E$7:$E$111,B82)</f>
        <v>4</v>
      </c>
      <c r="G82" s="588"/>
      <c r="H82" s="588"/>
      <c r="I82" s="588"/>
      <c r="J82" s="587">
        <f>SUM(J84:J88)</f>
        <v>208212000</v>
      </c>
      <c r="K82" s="607">
        <f>J82/E82</f>
        <v>0.93368609865470853</v>
      </c>
      <c r="L82" s="587">
        <f>SUM(L84:L88)</f>
        <v>0</v>
      </c>
      <c r="M82" s="632">
        <f>+E82-(J82+L82)</f>
        <v>14788000</v>
      </c>
      <c r="N82" s="587">
        <f>+E82-J82-L82</f>
        <v>14788000</v>
      </c>
      <c r="O82" s="682"/>
      <c r="P82" s="589" t="str">
        <f>IF(ISERROR(VLOOKUP(B82,'Base de Datos'!$C$7:$N$315,8,0))=TRUE," ",(VLOOKUP(B82,'Base de Datos'!$C$7:$N$315,8,0)))</f>
        <v xml:space="preserve"> </v>
      </c>
      <c r="Q82" s="590"/>
      <c r="R82" s="589" t="str">
        <f>IF(ISERROR(VLOOKUP(B82,'Base de Datos'!$C$7:$N$315,9,0))=TRUE," ",(VLOOKUP(B82,'Base de Datos'!$C$7:$N$315,9,0)))</f>
        <v xml:space="preserve"> </v>
      </c>
      <c r="S82" s="589" t="str">
        <f>IF(ISERROR(VLOOKUP(B82,'Base de Datos'!$C$7:$N$315,10,0))=TRUE," ",(VLOOKUP(B82,'Base de Datos'!$C$7:$N$315,10,0)))</f>
        <v xml:space="preserve"> </v>
      </c>
      <c r="T82" s="592"/>
      <c r="U82" s="722"/>
      <c r="V82" s="634"/>
    </row>
    <row r="83" spans="2:22" ht="24" outlineLevel="1" x14ac:dyDescent="0.25">
      <c r="B83" s="537" t="s">
        <v>1693</v>
      </c>
      <c r="C83" s="537" t="s">
        <v>912</v>
      </c>
      <c r="D83" s="537" t="s">
        <v>1822</v>
      </c>
      <c r="E83" s="545" t="s">
        <v>1846</v>
      </c>
      <c r="F83" s="534" t="s">
        <v>1853</v>
      </c>
      <c r="G83" s="534"/>
      <c r="H83" s="534"/>
      <c r="I83" s="534"/>
      <c r="J83" s="537" t="s">
        <v>1845</v>
      </c>
      <c r="K83" s="652"/>
      <c r="L83" s="537" t="s">
        <v>1939</v>
      </c>
      <c r="M83" s="537"/>
      <c r="N83" s="537" t="s">
        <v>1940</v>
      </c>
      <c r="O83" s="677"/>
      <c r="P83" s="568" t="s">
        <v>1847</v>
      </c>
      <c r="Q83" s="537" t="s">
        <v>1848</v>
      </c>
      <c r="R83" s="537" t="s">
        <v>1849</v>
      </c>
      <c r="S83" s="537" t="s">
        <v>375</v>
      </c>
      <c r="T83" s="537" t="s">
        <v>1850</v>
      </c>
      <c r="U83" s="722"/>
      <c r="V83" s="634"/>
    </row>
    <row r="84" spans="2:22" outlineLevel="1" x14ac:dyDescent="0.25">
      <c r="B84" s="537">
        <v>165</v>
      </c>
      <c r="C84" s="533" t="str">
        <f>IF(ISERROR(VLOOKUP(B84,'Base de Datos'!$C$7:$F$4092,2,0))=TRUE,"",(VLOOKUP('Presupuesto - PAA 2015'!B84,'Base de Datos'!$C$7:$F$4092,3,0)))</f>
        <v>150265-0-2015</v>
      </c>
      <c r="D84" s="533" t="str">
        <f>IF(ISERROR(VLOOKUP(B84,'Base de Datos'!$C$7:$F$4092,3,0))=TRUE,"",(VLOOKUP('Presupuesto - PAA 2015'!B84,'Base de Datos'!$C$7:$F$4092,4,0)))</f>
        <v>FLOREZ &amp; ALVAREZ S.A.</v>
      </c>
      <c r="E84" s="536">
        <v>133000000</v>
      </c>
      <c r="F84" s="534" t="str">
        <f>VLOOKUP(B84,'Actualizada - presupuesto'!$D$7:$L$111,9,0)</f>
        <v>SI</v>
      </c>
      <c r="G84" s="534"/>
      <c r="H84" s="534"/>
      <c r="I84" s="534"/>
      <c r="J84" s="536">
        <v>133000000</v>
      </c>
      <c r="K84" s="600"/>
      <c r="L84" s="536" t="str">
        <f>IF(J84=$AA$1,E84, " ")</f>
        <v xml:space="preserve"> </v>
      </c>
      <c r="M84" s="536"/>
      <c r="N84" s="536" t="str">
        <f>IF(J84&lt;E84,(E84-J84)," ")</f>
        <v xml:space="preserve"> </v>
      </c>
      <c r="O84" s="719" t="str">
        <f>IF(ISERROR(VLOOKUP(B84,'Base de Datos'!$C$7:$K$1048576,7,0))=TRUE," ",(VLOOKUP(B84,'Base de Datos'!$C$7:$K$1048576,8,0)))</f>
        <v>SDH-SIE-05-2015</v>
      </c>
      <c r="P84" s="551">
        <f>IF(ISERROR(VLOOKUP(B84,'Base de Datos'!$C$7:$N$4077,9,0))=TRUE," ",(VLOOKUP(B84,'Base de Datos'!$C$7:$N$4077,10,0)))</f>
        <v>42174</v>
      </c>
      <c r="Q84" s="533" t="s">
        <v>1854</v>
      </c>
      <c r="R84" s="551">
        <f>IF(ISERROR(VLOOKUP(B84,'Base de Datos'!$C$7:$N$4077,10,0))=TRUE," ",(VLOOKUP(B84,'Base de Datos'!$C$7:$N$4077,11,0)))</f>
        <v>42187</v>
      </c>
      <c r="S84" s="551">
        <f>IF(ISERROR(VLOOKUP(B84,'Base de Datos'!$C$7:$N$4077,11,0))=TRUE," ",(VLOOKUP(B84,'Base de Datos'!$C$7:$N$4077,12,0)))</f>
        <v>42492</v>
      </c>
      <c r="T84" s="533" t="str">
        <f ca="1">VLOOKUP(C84,'Base de Datos'!$E$7:$AR$382,39,0)</f>
        <v>NO</v>
      </c>
      <c r="U84" s="722"/>
      <c r="V84" s="634"/>
    </row>
    <row r="85" spans="2:22" ht="17.25" customHeight="1" outlineLevel="1" x14ac:dyDescent="0.25">
      <c r="B85" s="537">
        <v>166</v>
      </c>
      <c r="C85" s="533" t="str">
        <f>IF(ISERROR(VLOOKUP(B85,'Base de Datos'!$C$7:$F$4092,2,0))=TRUE,"",(VLOOKUP('Presupuesto - PAA 2015'!B85,'Base de Datos'!$C$7:$F$4092,3,0)))</f>
        <v>150232-0-2015</v>
      </c>
      <c r="D85" s="533" t="str">
        <f>IF(ISERROR(VLOOKUP(B85,'Base de Datos'!$C$7:$F$4092,3,0))=TRUE,"",(VLOOKUP('Presupuesto - PAA 2015'!B85,'Base de Datos'!$C$7:$F$4092,4,0)))</f>
        <v>FORMARCHIVOS Y SUMINISTROS SAS</v>
      </c>
      <c r="E85" s="536">
        <v>5000000</v>
      </c>
      <c r="F85" s="534" t="str">
        <f>VLOOKUP(B85,'Actualizada - presupuesto'!$D$7:$L$111,9,0)</f>
        <v>SI</v>
      </c>
      <c r="G85" s="534"/>
      <c r="H85" s="534"/>
      <c r="I85" s="534"/>
      <c r="J85" s="536">
        <f>IF(ISERROR(VLOOKUP(B85,'Base de Datos'!$C$7:$N$4092,6,0))=TRUE,"Sin Celebrar",(VLOOKUP(B85,'Base de Datos'!$C$7:$N$4092,7,0)))</f>
        <v>5000000</v>
      </c>
      <c r="K85" s="600"/>
      <c r="L85" s="536" t="str">
        <f>IF(J85=$AA$1,E85, " ")</f>
        <v xml:space="preserve"> </v>
      </c>
      <c r="M85" s="536"/>
      <c r="N85" s="536" t="str">
        <f>IF(J85&lt;E85,(E85-J85)," ")</f>
        <v xml:space="preserve"> </v>
      </c>
      <c r="O85" s="719" t="str">
        <f>IF(ISERROR(VLOOKUP(B85,'Base de Datos'!$C$7:$K$1048576,7,0))=TRUE," ",(VLOOKUP(B85,'Base de Datos'!$C$7:$K$1048576,8,0)))</f>
        <v>SDH-SMINC-26-2015</v>
      </c>
      <c r="P85" s="551">
        <f>IF(ISERROR(VLOOKUP(B85,'Base de Datos'!$C$7:$N$4077,9,0))=TRUE," ",(VLOOKUP(B85,'Base de Datos'!$C$7:$N$4077,10,0)))</f>
        <v>42149</v>
      </c>
      <c r="Q85" s="533" t="s">
        <v>1855</v>
      </c>
      <c r="R85" s="551">
        <f>IF(ISERROR(VLOOKUP(B85,'Base de Datos'!$C$7:$N$4077,10,0))=TRUE," ",(VLOOKUP(B85,'Base de Datos'!$C$7:$N$4077,11,0)))</f>
        <v>42160</v>
      </c>
      <c r="S85" s="551">
        <f>IF(ISERROR(VLOOKUP(B85,'Base de Datos'!$C$7:$N$4077,11,0))=TRUE," ",(VLOOKUP(B85,'Base de Datos'!$C$7:$N$4077,12,0)))</f>
        <v>42252</v>
      </c>
      <c r="T85" s="533" t="str">
        <f ca="1">VLOOKUP(C85,'Base de Datos'!$E$7:$AR$382,39,0)</f>
        <v>NO</v>
      </c>
      <c r="U85" s="722"/>
      <c r="V85" s="634"/>
    </row>
    <row r="86" spans="2:22" outlineLevel="1" x14ac:dyDescent="0.25">
      <c r="B86" s="537">
        <v>167</v>
      </c>
      <c r="C86" s="533" t="str">
        <f>IF(ISERROR(VLOOKUP(B86,'Base de Datos'!$C$7:$F$4092,2,0))=TRUE,"",(VLOOKUP('Presupuesto - PAA 2015'!B86,'Base de Datos'!$C$7:$F$4092,3,0)))</f>
        <v>150252-0-2015</v>
      </c>
      <c r="D86" s="533" t="str">
        <f>IF(ISERROR(VLOOKUP(B86,'Base de Datos'!$C$7:$F$4092,3,0))=TRUE,"",(VLOOKUP('Presupuesto - PAA 2015'!B86,'Base de Datos'!$C$7:$F$4092,4,0)))</f>
        <v xml:space="preserve">INSTITUCIONAL STAR SERVICES LTDA </v>
      </c>
      <c r="E86" s="536">
        <v>69400000</v>
      </c>
      <c r="F86" s="534" t="str">
        <f>VLOOKUP(B86,'Actualizada - presupuesto'!$D$7:$L$111,9,0)</f>
        <v>SI</v>
      </c>
      <c r="G86" s="534"/>
      <c r="H86" s="534"/>
      <c r="I86" s="534"/>
      <c r="J86" s="536">
        <f>IF(ISERROR(VLOOKUP(B86,'Base de Datos'!$C$7:$N$4092,6,0))=TRUE,"Sin Celebrar",(VLOOKUP(B86,'Base de Datos'!$C$7:$N$4092,7,0)))</f>
        <v>69400000</v>
      </c>
      <c r="K86" s="600"/>
      <c r="L86" s="536" t="str">
        <f>IF(J86=$AA$1,E86, " ")</f>
        <v xml:space="preserve"> </v>
      </c>
      <c r="M86" s="536"/>
      <c r="N86" s="536" t="str">
        <f>IF(J86&lt;E86,(E86-J86)," ")</f>
        <v xml:space="preserve"> </v>
      </c>
      <c r="O86" s="719" t="str">
        <f>IF(ISERROR(VLOOKUP(B86,'Base de Datos'!$C$7:$K$1048576,7,0))=TRUE," ",(VLOOKUP(B86,'Base de Datos'!$C$7:$K$1048576,8,0)))</f>
        <v>SDH-SIE-06-2015</v>
      </c>
      <c r="P86" s="551">
        <f>IF(ISERROR(VLOOKUP(B86,'Base de Datos'!$C$7:$N$4077,9,0))=TRUE," ",(VLOOKUP(B86,'Base de Datos'!$C$7:$N$4077,10,0)))</f>
        <v>42167</v>
      </c>
      <c r="Q86" s="533" t="s">
        <v>1851</v>
      </c>
      <c r="R86" s="551">
        <f>IF(ISERROR(VLOOKUP(B86,'Base de Datos'!$C$7:$N$4077,10,0))=TRUE," ",(VLOOKUP(B86,'Base de Datos'!$C$7:$N$4077,11,0)))</f>
        <v>42186</v>
      </c>
      <c r="S86" s="551">
        <f>IF(ISERROR(VLOOKUP(B86,'Base de Datos'!$C$7:$N$4077,11,0))=TRUE," ",(VLOOKUP(B86,'Base de Datos'!$C$7:$N$4077,12,0)))</f>
        <v>42491</v>
      </c>
      <c r="T86" s="533" t="str">
        <f ca="1">VLOOKUP(C86,'Base de Datos'!$E$7:$AR$382,39,0)</f>
        <v>NO</v>
      </c>
      <c r="U86" s="722"/>
      <c r="V86" s="634"/>
    </row>
    <row r="87" spans="2:22" ht="16.5" customHeight="1" outlineLevel="1" x14ac:dyDescent="0.25">
      <c r="B87" s="552">
        <v>266</v>
      </c>
      <c r="C87" s="533" t="str">
        <f>IF(ISERROR(VLOOKUP(B87,'Base de Datos'!$C$7:$F$4092,2,0))=TRUE,"",(VLOOKUP('Presupuesto - PAA 2015'!B87,'Base de Datos'!$C$7:$F$4092,3,0)))</f>
        <v>150331-0-2015</v>
      </c>
      <c r="D87" s="533" t="str">
        <f>IF(ISERROR(VLOOKUP(B87,'Base de Datos'!$C$7:$F$4092,3,0))=TRUE,"",(VLOOKUP('Presupuesto - PAA 2015'!B87,'Base de Datos'!$C$7:$F$4092,4,0)))</f>
        <v xml:space="preserve">VIDEO BEAMS Y LAMPARAS SAS </v>
      </c>
      <c r="E87" s="554">
        <v>812000</v>
      </c>
      <c r="F87" s="534" t="str">
        <f>VLOOKUP(B87,'Actualizada - presupuesto'!$D$7:$L$111,9,0)</f>
        <v>SI</v>
      </c>
      <c r="G87" s="555"/>
      <c r="H87" s="555"/>
      <c r="I87" s="555"/>
      <c r="J87" s="536">
        <f>IF(ISERROR(VLOOKUP(B87,'Base de Datos'!$C$7:$N$4092,6,0))=TRUE,"Sin Celebrar",(VLOOKUP(B87,'Base de Datos'!$C$7:$N$4092,7,0)))</f>
        <v>812000</v>
      </c>
      <c r="K87" s="604"/>
      <c r="L87" s="554" t="str">
        <f>IF(J87=$AA$1,E87, " ")</f>
        <v xml:space="preserve"> </v>
      </c>
      <c r="M87" s="554"/>
      <c r="N87" s="554" t="str">
        <f>IF(J87&lt;E87,(E87-J87)," ")</f>
        <v xml:space="preserve"> </v>
      </c>
      <c r="O87" s="719" t="str">
        <f>IF(ISERROR(VLOOKUP(B87,'Base de Datos'!$C$7:$K$1048576,7,0))=TRUE," ",(VLOOKUP(B87,'Base de Datos'!$C$7:$K$1048576,8,0)))</f>
        <v>SDH-SMINC-047-2015</v>
      </c>
      <c r="P87" s="551">
        <f>IF(ISERROR(VLOOKUP(B87,'Base de Datos'!$C$7:$N$4077,9,0))=TRUE," ",(VLOOKUP(B87,'Base de Datos'!$C$7:$N$4077,10,0)))</f>
        <v>42220</v>
      </c>
      <c r="Q87" s="553" t="s">
        <v>381</v>
      </c>
      <c r="R87" s="551">
        <f>IF(ISERROR(VLOOKUP(B87,'Base de Datos'!$C$7:$N$4077,10,0))=TRUE," ",(VLOOKUP(B87,'Base de Datos'!$C$7:$N$4077,11,0)))</f>
        <v>42235</v>
      </c>
      <c r="S87" s="551">
        <f>IF(ISERROR(VLOOKUP(B87,'Base de Datos'!$C$7:$N$4077,11,0))=TRUE," ",(VLOOKUP(B87,'Base de Datos'!$C$7:$N$4077,12,0)))</f>
        <v>42265</v>
      </c>
      <c r="T87" s="533" t="str">
        <f ca="1">VLOOKUP(C87,'Base de Datos'!$E$7:$AR$382,39,0)</f>
        <v>NO</v>
      </c>
      <c r="U87" s="722"/>
      <c r="V87" s="634"/>
    </row>
    <row r="88" spans="2:22" outlineLevel="1" x14ac:dyDescent="0.25">
      <c r="B88" s="648"/>
      <c r="C88" s="648"/>
      <c r="D88" s="533" t="s">
        <v>1935</v>
      </c>
      <c r="E88" s="536">
        <f>E82-SUM(E84:E87)</f>
        <v>14788000</v>
      </c>
      <c r="F88" s="534"/>
      <c r="G88" s="534"/>
      <c r="H88" s="534"/>
      <c r="I88" s="534"/>
      <c r="J88" s="536"/>
      <c r="K88" s="600"/>
      <c r="L88" s="554"/>
      <c r="M88" s="536"/>
      <c r="N88" s="554">
        <f>IF(J88&lt;E88,(E88-J88)," ")</f>
        <v>14788000</v>
      </c>
      <c r="O88" s="679"/>
      <c r="P88" s="551" t="str">
        <f>IF(ISERROR(VLOOKUP(B88,'Base de Datos'!$C$7:$N$315,9,0))=TRUE," ",(VLOOKUP(B88,'Base de Datos'!$C$7:$N$315,9,0)))</f>
        <v xml:space="preserve"> </v>
      </c>
      <c r="Q88" s="533"/>
      <c r="R88" s="556" t="str">
        <f>IF(ISERROR(VLOOKUP(B88,'Base de Datos'!$C$7:$N$315,10,0))=TRUE," ",(VLOOKUP(B88,'Base de Datos'!$C$7:$N$315,10,0)))</f>
        <v xml:space="preserve"> </v>
      </c>
      <c r="S88" s="556" t="str">
        <f>IF(ISERROR(VLOOKUP(B88,'Base de Datos'!$C$7:$N$315,11,0))=TRUE," ",(VLOOKUP(B88,'Base de Datos'!$C$7:$N$315,11,0)))</f>
        <v xml:space="preserve"> </v>
      </c>
      <c r="T88" s="533"/>
      <c r="U88" s="722"/>
      <c r="V88" s="634"/>
    </row>
    <row r="89" spans="2:22" outlineLevel="1" x14ac:dyDescent="0.25">
      <c r="B89" s="648"/>
      <c r="C89" s="648"/>
      <c r="D89" s="648"/>
      <c r="E89" s="536"/>
      <c r="F89" s="534"/>
      <c r="G89" s="534"/>
      <c r="H89" s="534"/>
      <c r="I89" s="534"/>
      <c r="J89" s="536"/>
      <c r="K89" s="600"/>
      <c r="L89" s="536"/>
      <c r="M89" s="536"/>
      <c r="N89" s="536"/>
      <c r="O89" s="678"/>
      <c r="P89" s="551"/>
      <c r="Q89" s="533"/>
      <c r="R89" s="551"/>
      <c r="S89" s="551"/>
      <c r="T89" s="533"/>
      <c r="U89" s="722"/>
      <c r="V89" s="634"/>
    </row>
    <row r="90" spans="2:22" ht="15" customHeight="1" x14ac:dyDescent="0.25">
      <c r="B90" s="1196" t="s">
        <v>1651</v>
      </c>
      <c r="C90" s="1196"/>
      <c r="D90" s="1196"/>
      <c r="E90" s="557">
        <v>7026221000</v>
      </c>
      <c r="F90" s="558">
        <f>COUNTIF('Actualizada - presupuesto'!$E$7:$E$111,B90)</f>
        <v>0</v>
      </c>
      <c r="G90" s="558"/>
      <c r="H90" s="558"/>
      <c r="I90" s="558"/>
      <c r="J90" s="567">
        <f>+J91+J100+J116+J139+J158+J175+J180+J188+J196+J204+J209</f>
        <v>6311862387</v>
      </c>
      <c r="K90" s="610">
        <f>J90/E90</f>
        <v>0.89832961231933928</v>
      </c>
      <c r="L90" s="567">
        <f>+L91+L100+L116+L139+L158+L175+L180+L188+L196+L204+L209</f>
        <v>377745025</v>
      </c>
      <c r="M90" s="653">
        <v>0</v>
      </c>
      <c r="N90" s="567">
        <f>+N91+N100+N116+N139+N158+N175+N180+N188+N196+N204+N209</f>
        <v>336613570</v>
      </c>
      <c r="O90" s="685"/>
      <c r="P90" s="567"/>
      <c r="Q90" s="574"/>
      <c r="R90" s="573" t="str">
        <f>IF(ISERROR(VLOOKUP(B90,'Base de Datos'!$C$7:$N$315,9,0))=TRUE," ",(VLOOKUP(B90,'Base de Datos'!$C$7:$N$315,9,0)))</f>
        <v xml:space="preserve"> </v>
      </c>
      <c r="S90" s="573" t="str">
        <f>IF(ISERROR(VLOOKUP(B90,'Base de Datos'!$C$7:$N$315,10,0))=TRUE," ",(VLOOKUP(B90,'Base de Datos'!$C$7:$N$315,10,0)))</f>
        <v xml:space="preserve"> </v>
      </c>
      <c r="T90" s="569"/>
      <c r="U90" s="722"/>
      <c r="V90" s="634"/>
    </row>
    <row r="91" spans="2:22" ht="15" customHeight="1" x14ac:dyDescent="0.25">
      <c r="B91" s="1181" t="s">
        <v>1652</v>
      </c>
      <c r="C91" s="1181"/>
      <c r="D91" s="1181"/>
      <c r="E91" s="581">
        <v>229000000</v>
      </c>
      <c r="F91" s="586">
        <f>COUNTIF('Actualizada - presupuesto'!$E$7:$E$111,B91)</f>
        <v>5</v>
      </c>
      <c r="G91" s="586"/>
      <c r="H91" s="586"/>
      <c r="I91" s="586"/>
      <c r="J91" s="581">
        <f>SUM(J93:J98)</f>
        <v>194508146</v>
      </c>
      <c r="K91" s="603">
        <f>J91/E91</f>
        <v>0.84938055021834058</v>
      </c>
      <c r="L91" s="581">
        <f>SUM(L93:L98)</f>
        <v>0</v>
      </c>
      <c r="M91" s="632">
        <v>0</v>
      </c>
      <c r="N91" s="581">
        <f>+E91-J91-L91</f>
        <v>34491854</v>
      </c>
      <c r="O91" s="684"/>
      <c r="P91" s="591" t="str">
        <f>IF(ISERROR(VLOOKUP(B91,'Base de Datos'!$C$7:$N$315,8,0))=TRUE," ",(VLOOKUP(B91,'Base de Datos'!$C$7:$N$315,8,0)))</f>
        <v xml:space="preserve"> </v>
      </c>
      <c r="Q91" s="592"/>
      <c r="R91" s="591" t="str">
        <f>IF(ISERROR(VLOOKUP(B91,'Base de Datos'!$C$7:$N$315,9,0))=TRUE," ",(VLOOKUP(B91,'Base de Datos'!$C$7:$N$315,9,0)))</f>
        <v xml:space="preserve"> </v>
      </c>
      <c r="S91" s="591" t="str">
        <f>IF(ISERROR(VLOOKUP(B91,'Base de Datos'!$C$7:$N$315,10,0))=TRUE," ",(VLOOKUP(B91,'Base de Datos'!$C$7:$N$315,10,0)))</f>
        <v xml:space="preserve"> </v>
      </c>
      <c r="T91" s="592"/>
      <c r="U91" s="722"/>
      <c r="V91" s="634"/>
    </row>
    <row r="92" spans="2:22" ht="24" outlineLevel="1" x14ac:dyDescent="0.25">
      <c r="B92" s="537" t="s">
        <v>1693</v>
      </c>
      <c r="C92" s="537" t="s">
        <v>912</v>
      </c>
      <c r="D92" s="537" t="s">
        <v>1822</v>
      </c>
      <c r="E92" s="545" t="s">
        <v>1846</v>
      </c>
      <c r="F92" s="534" t="s">
        <v>1853</v>
      </c>
      <c r="G92" s="534"/>
      <c r="H92" s="534"/>
      <c r="I92" s="534"/>
      <c r="J92" s="537" t="s">
        <v>1845</v>
      </c>
      <c r="K92" s="652"/>
      <c r="L92" s="537" t="s">
        <v>1939</v>
      </c>
      <c r="M92" s="537"/>
      <c r="N92" s="537" t="s">
        <v>1940</v>
      </c>
      <c r="O92" s="677"/>
      <c r="P92" s="568" t="s">
        <v>1847</v>
      </c>
      <c r="Q92" s="537" t="s">
        <v>1848</v>
      </c>
      <c r="R92" s="537" t="s">
        <v>1849</v>
      </c>
      <c r="S92" s="537" t="s">
        <v>375</v>
      </c>
      <c r="T92" s="537" t="s">
        <v>1850</v>
      </c>
      <c r="U92" s="722"/>
      <c r="V92" s="634"/>
    </row>
    <row r="93" spans="2:22" ht="24" customHeight="1" outlineLevel="1" x14ac:dyDescent="0.25">
      <c r="B93" s="537">
        <v>68</v>
      </c>
      <c r="C93" s="533" t="str">
        <f>IF(ISERROR(VLOOKUP(B93,'Base de Datos'!$C$7:$F$4092,2,0))=TRUE,"",(VLOOKUP('Presupuesto - PAA 2015'!B93,'Base de Datos'!$C$7:$F$4092,3,0)))</f>
        <v>150104-0-2015</v>
      </c>
      <c r="D93" s="533" t="str">
        <f>IF(ISERROR(VLOOKUP(B93,'Base de Datos'!$C$7:$F$4092,3,0))=TRUE,"",(VLOOKUP('Presupuesto - PAA 2015'!B93,'Base de Datos'!$C$7:$F$4092,4,0)))</f>
        <v>EMPRESA DE TELECOMUNICACIONES DE BOGOTA S.A.   ESP</v>
      </c>
      <c r="E93" s="536">
        <v>150000000</v>
      </c>
      <c r="F93" s="534" t="str">
        <f>VLOOKUP(B93,'Actualizada - presupuesto'!$D$7:$L$111,9,0)</f>
        <v>SI</v>
      </c>
      <c r="G93" s="534"/>
      <c r="H93" s="534"/>
      <c r="I93" s="534"/>
      <c r="J93" s="536">
        <f>IF(ISERROR(VLOOKUP(B93,'Base de Datos'!$C$7:$N$4092,6,0))=TRUE,"Sin Celebrar",(VLOOKUP(B93,'Base de Datos'!$C$7:$N$4092,7,0)))</f>
        <v>150000000</v>
      </c>
      <c r="K93" s="600"/>
      <c r="L93" s="536" t="str">
        <f>IF(J93=$AA$1,E93, " ")</f>
        <v xml:space="preserve"> </v>
      </c>
      <c r="M93" s="536"/>
      <c r="N93" s="536" t="str">
        <f t="shared" ref="N93:N98" si="8">IF(J93&lt;E93,(E93-J93)," ")</f>
        <v xml:space="preserve"> </v>
      </c>
      <c r="O93" s="719" t="str">
        <f>IF(ISERROR(VLOOKUP(B93,'Base de Datos'!$C$7:$K$1048576,7,0))=TRUE," ",(VLOOKUP(B93,'Base de Datos'!$C$7:$K$1048576,8,0)))</f>
        <v>150104-0-2015</v>
      </c>
      <c r="P93" s="551">
        <f>IF(ISERROR(VLOOKUP(B93,'Base de Datos'!$C$7:$N$4077,9,0))=TRUE," ",(VLOOKUP(B93,'Base de Datos'!$C$7:$N$4077,10,0)))</f>
        <v>42066</v>
      </c>
      <c r="Q93" s="533" t="s">
        <v>1851</v>
      </c>
      <c r="R93" s="551">
        <f>IF(ISERROR(VLOOKUP(B93,'Base de Datos'!$C$7:$N$4077,10,0))=TRUE," ",(VLOOKUP(B93,'Base de Datos'!$C$7:$N$4077,11,0)))</f>
        <v>42090</v>
      </c>
      <c r="S93" s="551">
        <f>IF(ISERROR(VLOOKUP(B93,'Base de Datos'!$C$7:$N$4077,11,0))=TRUE," ",(VLOOKUP(B93,'Base de Datos'!$C$7:$N$4077,12,0)))</f>
        <v>42456</v>
      </c>
      <c r="T93" s="533" t="str">
        <f ca="1">VLOOKUP(C93,'Base de Datos'!$E$7:$AR$382,39,0)</f>
        <v>NO</v>
      </c>
      <c r="U93" s="722"/>
      <c r="V93" s="634"/>
    </row>
    <row r="94" spans="2:22" outlineLevel="1" x14ac:dyDescent="0.25">
      <c r="B94" s="537">
        <v>138</v>
      </c>
      <c r="C94" s="533" t="s">
        <v>283</v>
      </c>
      <c r="D94" s="538" t="s">
        <v>1960</v>
      </c>
      <c r="E94" s="536">
        <v>5100746</v>
      </c>
      <c r="F94" s="534" t="str">
        <f>VLOOKUP(B94,'Actualizada - presupuesto'!$D$7:$L$111,9,0)</f>
        <v>SI</v>
      </c>
      <c r="G94" s="534"/>
      <c r="H94" s="534"/>
      <c r="I94" s="534"/>
      <c r="J94" s="536">
        <v>5100746</v>
      </c>
      <c r="K94" s="600"/>
      <c r="L94" s="536" t="str">
        <f>IF(J94=$AA$1,E94, " ")</f>
        <v xml:space="preserve"> </v>
      </c>
      <c r="M94" s="536"/>
      <c r="N94" s="536" t="str">
        <f t="shared" si="8"/>
        <v xml:space="preserve"> </v>
      </c>
      <c r="O94" s="719" t="str">
        <f>IF(ISERROR(VLOOKUP(B94,'Base de Datos'!$C$7:$K$1048576,7,0))=TRUE," ",(VLOOKUP(B94,'Base de Datos'!$C$7:$K$1048576,8,0)))</f>
        <v>160245-0-2016</v>
      </c>
      <c r="P94" s="551">
        <f>IF(ISERROR(VLOOKUP(B94,'Base de Datos'!$C$7:$N$4077,9,0))=TRUE," ",(VLOOKUP(B94,'Base de Datos'!$C$7:$N$4077,10,0)))</f>
        <v>42643</v>
      </c>
      <c r="Q94" s="533" t="s">
        <v>378</v>
      </c>
      <c r="R94" s="551">
        <f>IF(ISERROR(VLOOKUP(B94,'Base de Datos'!$C$7:$N$4077,10,0))=TRUE," ",(VLOOKUP(B94,'Base de Datos'!$C$7:$N$4077,11,0)))</f>
        <v>42703</v>
      </c>
      <c r="S94" s="551">
        <f>IF(ISERROR(VLOOKUP(B94,'Base de Datos'!$C$7:$N$4077,11,0))=TRUE," ",(VLOOKUP(B94,'Base de Datos'!$C$7:$N$4077,12,0)))</f>
        <v>43068</v>
      </c>
      <c r="T94" s="533" t="str">
        <f ca="1">VLOOKUP(C94,'Base de Datos'!$E$7:$AR$382,39,0)</f>
        <v>NO</v>
      </c>
      <c r="U94" s="722"/>
      <c r="V94" s="634"/>
    </row>
    <row r="95" spans="2:22" ht="15" customHeight="1" outlineLevel="1" x14ac:dyDescent="0.25">
      <c r="B95" s="537">
        <v>139</v>
      </c>
      <c r="C95" s="533" t="str">
        <f>IF(ISERROR(VLOOKUP(B95,'Base de Datos'!$C$7:$F$4092,2,0))=TRUE,"",(VLOOKUP('Presupuesto - PAA 2015'!B95,'Base de Datos'!$C$7:$F$4092,3,0)))</f>
        <v>150262-0-2015</v>
      </c>
      <c r="D95" s="533" t="str">
        <f>IF(ISERROR(VLOOKUP(B95,'Base de Datos'!$C$7:$F$4092,3,0))=TRUE,"",(VLOOKUP('Presupuesto - PAA 2015'!B95,'Base de Datos'!$C$7:$F$4092,4,0)))</f>
        <v xml:space="preserve">DIRECTV COLOMBIA LTDA  </v>
      </c>
      <c r="E95" s="536">
        <v>1607400</v>
      </c>
      <c r="F95" s="534" t="str">
        <f>VLOOKUP(B95,'Actualizada - presupuesto'!$D$7:$L$111,9,0)</f>
        <v>SI</v>
      </c>
      <c r="G95" s="534"/>
      <c r="H95" s="534"/>
      <c r="I95" s="534"/>
      <c r="J95" s="536">
        <f>IF(ISERROR(VLOOKUP(B95,'Base de Datos'!$C$7:$N$4092,6,0))=TRUE,"Sin Celebrar",(VLOOKUP(B95,'Base de Datos'!$C$7:$N$4092,7,0)))</f>
        <v>1607400</v>
      </c>
      <c r="K95" s="600"/>
      <c r="L95" s="536" t="str">
        <f>IF(J95=$AA$1,E95, " ")</f>
        <v xml:space="preserve"> </v>
      </c>
      <c r="M95" s="536"/>
      <c r="N95" s="536" t="str">
        <f t="shared" si="8"/>
        <v xml:space="preserve"> </v>
      </c>
      <c r="O95" s="719" t="str">
        <f>IF(ISERROR(VLOOKUP(B95,'Base de Datos'!$C$7:$K$1048576,7,0))=TRUE," ",(VLOOKUP(B95,'Base de Datos'!$C$7:$K$1048576,8,0)))</f>
        <v>SDH-SMINC-035-2015</v>
      </c>
      <c r="P95" s="551">
        <f>IF(ISERROR(VLOOKUP(B95,'Base de Datos'!$C$7:$N$4077,9,0))=TRUE," ",(VLOOKUP(B95,'Base de Datos'!$C$7:$N$4077,10,0)))</f>
        <v>42172</v>
      </c>
      <c r="Q95" s="533" t="s">
        <v>1851</v>
      </c>
      <c r="R95" s="551">
        <f>IF(ISERROR(VLOOKUP(B95,'Base de Datos'!$C$7:$N$4077,10,0))=TRUE," ",(VLOOKUP(B95,'Base de Datos'!$C$7:$N$4077,11,0)))</f>
        <v>42202</v>
      </c>
      <c r="S95" s="551">
        <f>IF(ISERROR(VLOOKUP(B95,'Base de Datos'!$C$7:$N$4077,11,0))=TRUE," ",(VLOOKUP(B95,'Base de Datos'!$C$7:$N$4077,12,0)))</f>
        <v>42567</v>
      </c>
      <c r="T95" s="533" t="str">
        <f ca="1">VLOOKUP(C95,'Base de Datos'!$E$7:$AR$382,39,0)</f>
        <v>NO</v>
      </c>
      <c r="U95" s="722"/>
      <c r="V95" s="634"/>
    </row>
    <row r="96" spans="2:22" ht="13.5" customHeight="1" outlineLevel="1" x14ac:dyDescent="0.25">
      <c r="B96" s="537">
        <v>168</v>
      </c>
      <c r="C96" s="533" t="str">
        <f>IF(ISERROR(VLOOKUP(B96,'Base de Datos'!$C$7:$F$4092,2,0))=TRUE,"",(VLOOKUP('Presupuesto - PAA 2015'!B96,'Base de Datos'!$C$7:$F$4092,3,0)))</f>
        <v>150209-0-2015</v>
      </c>
      <c r="D96" s="533" t="str">
        <f>IF(ISERROR(VLOOKUP(B96,'Base de Datos'!$C$7:$F$4092,3,0))=TRUE,"",(VLOOKUP('Presupuesto - PAA 2015'!B96,'Base de Datos'!$C$7:$F$4092,4,0)))</f>
        <v>A&amp;V EXPRESS S.A.</v>
      </c>
      <c r="E96" s="536">
        <v>33500000</v>
      </c>
      <c r="F96" s="534" t="str">
        <f>VLOOKUP(B96,'Actualizada - presupuesto'!$D$7:$L$111,9,0)</f>
        <v>SI</v>
      </c>
      <c r="G96" s="534"/>
      <c r="H96" s="534"/>
      <c r="I96" s="534"/>
      <c r="J96" s="536">
        <f>IF(ISERROR(VLOOKUP(B96,'Base de Datos'!$C$7:$N$4092,6,0))=TRUE,"Sin Celebrar",(VLOOKUP(B96,'Base de Datos'!$C$7:$N$4092,7,0)))</f>
        <v>33500000</v>
      </c>
      <c r="K96" s="600"/>
      <c r="L96" s="536" t="str">
        <f>IF(J96=$AA$1,E96, " ")</f>
        <v xml:space="preserve"> </v>
      </c>
      <c r="M96" s="536"/>
      <c r="N96" s="536" t="str">
        <f t="shared" si="8"/>
        <v xml:space="preserve"> </v>
      </c>
      <c r="O96" s="719" t="str">
        <f>IF(ISERROR(VLOOKUP(B96,'Base de Datos'!$C$7:$K$1048576,7,0))=TRUE," ",(VLOOKUP(B96,'Base de Datos'!$C$7:$K$1048576,8,0)))</f>
        <v>SDH-SIE-02-2015</v>
      </c>
      <c r="P96" s="551">
        <f>IF(ISERROR(VLOOKUP(B96,'Base de Datos'!$C$7:$N$4077,9,0))=TRUE," ",(VLOOKUP(B96,'Base de Datos'!$C$7:$N$4077,10,0)))</f>
        <v>42124</v>
      </c>
      <c r="Q96" s="533" t="s">
        <v>1851</v>
      </c>
      <c r="R96" s="551">
        <f>IF(ISERROR(VLOOKUP(B96,'Base de Datos'!$C$7:$N$4077,10,0))=TRUE," ",(VLOOKUP(B96,'Base de Datos'!$C$7:$N$4077,11,0)))</f>
        <v>42130</v>
      </c>
      <c r="S96" s="551">
        <f>IF(ISERROR(VLOOKUP(B96,'Base de Datos'!$C$7:$N$4077,11,0))=TRUE," ",(VLOOKUP(B96,'Base de Datos'!$C$7:$N$4077,12,0)))</f>
        <v>42496</v>
      </c>
      <c r="T96" s="533" t="str">
        <f ca="1">VLOOKUP(C96,'Base de Datos'!$E$7:$AR$382,39,0)</f>
        <v>NO</v>
      </c>
      <c r="U96" s="722"/>
      <c r="V96" s="634"/>
    </row>
    <row r="97" spans="2:22" outlineLevel="1" x14ac:dyDescent="0.25">
      <c r="B97" s="552">
        <v>169</v>
      </c>
      <c r="C97" s="533" t="str">
        <f>IF(ISERROR(VLOOKUP(B97,'Base de Datos'!$C$7:$F$4092,2,0))=TRUE,"",(VLOOKUP('Presupuesto - PAA 2015'!B97,'Base de Datos'!$C$7:$F$4092,3,0)))</f>
        <v>170095-0-2017</v>
      </c>
      <c r="D97" s="553" t="s">
        <v>1829</v>
      </c>
      <c r="E97" s="554">
        <v>11000000</v>
      </c>
      <c r="F97" s="534" t="str">
        <f>VLOOKUP(B97,'Actualizada - presupuesto'!$D$7:$L$111,9,0)</f>
        <v>SI</v>
      </c>
      <c r="G97" s="555"/>
      <c r="H97" s="555"/>
      <c r="I97" s="555"/>
      <c r="J97" s="536">
        <f>IF(ISERROR(VLOOKUP(B97,'Base de Datos'!$C$7:$N$4092,6,0))=TRUE,"Sin Celebrar",(VLOOKUP(B97,'Base de Datos'!$C$7:$N$4092,7,0)))</f>
        <v>4300000</v>
      </c>
      <c r="K97" s="604"/>
      <c r="L97" s="554" t="str">
        <f>IF(J97=$AA$1,E97, " ")</f>
        <v xml:space="preserve"> </v>
      </c>
      <c r="M97" s="554"/>
      <c r="N97" s="554">
        <f t="shared" si="8"/>
        <v>6700000</v>
      </c>
      <c r="O97" s="719">
        <f>IF(ISERROR(VLOOKUP(B97,'Base de Datos'!$C$7:$K$1048576,7,0))=TRUE," ",(VLOOKUP(B97,'Base de Datos'!$C$7:$K$1048576,7,0)))</f>
        <v>4300000</v>
      </c>
      <c r="P97" s="551">
        <f>IF(ISERROR(VLOOKUP(B97,'Base de Datos'!$C$7:$N$4077,9,0))=TRUE," ",(VLOOKUP(B97,'Base de Datos'!$C$7:$N$4077,9,0)))</f>
        <v>2017</v>
      </c>
      <c r="Q97" s="553" t="s">
        <v>1851</v>
      </c>
      <c r="R97" s="551">
        <f>IF(ISERROR(VLOOKUP(B97,'Base de Datos'!$C$7:$N$4077,10,0))=TRUE," ",(VLOOKUP(B97,'Base de Datos'!$C$7:$N$4077,11,0)))</f>
        <v>42849</v>
      </c>
      <c r="S97" s="551">
        <f>IF(ISERROR(VLOOKUP(B97,'Base de Datos'!$C$7:$N$4077,11,0))=TRUE," ",(VLOOKUP(B97,'Base de Datos'!$C$7:$N$4077,12,0)))</f>
        <v>43002</v>
      </c>
      <c r="T97" s="533" t="e">
        <f>VLOOKUP(C97,'Base de Datos'!$E$7:$AR$382,39,0)</f>
        <v>#N/A</v>
      </c>
      <c r="U97" s="722"/>
      <c r="V97" s="634"/>
    </row>
    <row r="98" spans="2:22" outlineLevel="1" x14ac:dyDescent="0.25">
      <c r="B98" s="533"/>
      <c r="C98" s="533"/>
      <c r="D98" s="533" t="s">
        <v>1935</v>
      </c>
      <c r="E98" s="536">
        <f>E91-SUM(E93:E97)</f>
        <v>27791854</v>
      </c>
      <c r="F98" s="534"/>
      <c r="G98" s="534"/>
      <c r="H98" s="534"/>
      <c r="I98" s="534"/>
      <c r="J98" s="536"/>
      <c r="K98" s="600"/>
      <c r="L98" s="554"/>
      <c r="M98" s="536"/>
      <c r="N98" s="554">
        <f t="shared" si="8"/>
        <v>27791854</v>
      </c>
      <c r="O98" s="679"/>
      <c r="P98" s="551" t="str">
        <f>IF(ISERROR(VLOOKUP(B98,'Base de Datos'!$C$7:$N$315,9,0))=TRUE," ",(VLOOKUP(B98,'Base de Datos'!$C$7:$N$315,9,0)))</f>
        <v xml:space="preserve"> </v>
      </c>
      <c r="Q98" s="533"/>
      <c r="R98" s="556" t="str">
        <f>IF(ISERROR(VLOOKUP(B98,'Base de Datos'!$C$7:$N$315,10,0))=TRUE," ",(VLOOKUP(B98,'Base de Datos'!$C$7:$N$315,10,0)))</f>
        <v xml:space="preserve"> </v>
      </c>
      <c r="S98" s="556" t="str">
        <f>IF(ISERROR(VLOOKUP(B98,'Base de Datos'!$C$7:$N$315,11,0))=TRUE," ",(VLOOKUP(B98,'Base de Datos'!$C$7:$N$315,11,0)))</f>
        <v xml:space="preserve"> </v>
      </c>
      <c r="T98" s="533"/>
      <c r="U98" s="722"/>
      <c r="V98" s="634"/>
    </row>
    <row r="99" spans="2:22" outlineLevel="1" x14ac:dyDescent="0.25">
      <c r="B99" s="533"/>
      <c r="C99" s="533"/>
      <c r="D99" s="533"/>
      <c r="E99" s="536"/>
      <c r="F99" s="534"/>
      <c r="G99" s="534"/>
      <c r="H99" s="534"/>
      <c r="I99" s="534"/>
      <c r="J99" s="536"/>
      <c r="K99" s="600"/>
      <c r="L99" s="536"/>
      <c r="M99" s="536"/>
      <c r="N99" s="536"/>
      <c r="O99" s="678"/>
      <c r="P99" s="551"/>
      <c r="Q99" s="533"/>
      <c r="R99" s="551"/>
      <c r="S99" s="551"/>
      <c r="T99" s="533"/>
      <c r="U99" s="722"/>
      <c r="V99" s="634"/>
    </row>
    <row r="100" spans="2:22" ht="15" customHeight="1" x14ac:dyDescent="0.25">
      <c r="B100" s="1195" t="s">
        <v>1653</v>
      </c>
      <c r="C100" s="1195"/>
      <c r="D100" s="1195"/>
      <c r="E100" s="587">
        <v>54000000</v>
      </c>
      <c r="F100" s="588">
        <f>COUNTIF('Actualizada - presupuesto'!$E$7:$E$111,B100)</f>
        <v>11</v>
      </c>
      <c r="G100" s="588"/>
      <c r="H100" s="588"/>
      <c r="I100" s="588"/>
      <c r="J100" s="587">
        <f>SUM(J102:J114)</f>
        <v>51341594</v>
      </c>
      <c r="K100" s="607">
        <f>J100/E100</f>
        <v>0.95077025925925929</v>
      </c>
      <c r="L100" s="587">
        <f>SUM(L102:L114)</f>
        <v>0</v>
      </c>
      <c r="M100" s="632">
        <v>0</v>
      </c>
      <c r="N100" s="587">
        <f>+E100-J100-L100</f>
        <v>2658406</v>
      </c>
      <c r="O100" s="682"/>
      <c r="P100" s="589" t="str">
        <f>IF(ISERROR(VLOOKUP(B100,'Base de Datos'!$C$7:$N$315,8,0))=TRUE," ",(VLOOKUP(B100,'Base de Datos'!$C$7:$N$315,8,0)))</f>
        <v xml:space="preserve"> </v>
      </c>
      <c r="Q100" s="590"/>
      <c r="R100" s="589" t="str">
        <f>IF(ISERROR(VLOOKUP(B100,'Base de Datos'!$C$7:$N$315,9,0))=TRUE," ",(VLOOKUP(B100,'Base de Datos'!$C$7:$N$315,9,0)))</f>
        <v xml:space="preserve"> </v>
      </c>
      <c r="S100" s="589" t="str">
        <f>IF(ISERROR(VLOOKUP(B100,'Base de Datos'!$C$7:$N$315,10,0))=TRUE," ",(VLOOKUP(B100,'Base de Datos'!$C$7:$N$315,10,0)))</f>
        <v xml:space="preserve"> </v>
      </c>
      <c r="T100" s="592"/>
      <c r="U100" s="722"/>
      <c r="V100" s="634"/>
    </row>
    <row r="101" spans="2:22" ht="24" outlineLevel="1" x14ac:dyDescent="0.25">
      <c r="B101" s="537" t="s">
        <v>1693</v>
      </c>
      <c r="C101" s="537" t="s">
        <v>912</v>
      </c>
      <c r="D101" s="537" t="s">
        <v>1822</v>
      </c>
      <c r="E101" s="545" t="s">
        <v>1846</v>
      </c>
      <c r="F101" s="534" t="s">
        <v>1853</v>
      </c>
      <c r="G101" s="534"/>
      <c r="H101" s="534"/>
      <c r="I101" s="534"/>
      <c r="J101" s="537" t="s">
        <v>1845</v>
      </c>
      <c r="K101" s="652"/>
      <c r="L101" s="537" t="s">
        <v>1939</v>
      </c>
      <c r="M101" s="537"/>
      <c r="N101" s="537" t="s">
        <v>1940</v>
      </c>
      <c r="O101" s="677"/>
      <c r="P101" s="568" t="s">
        <v>1847</v>
      </c>
      <c r="Q101" s="537" t="s">
        <v>1848</v>
      </c>
      <c r="R101" s="537" t="s">
        <v>1849</v>
      </c>
      <c r="S101" s="537" t="s">
        <v>375</v>
      </c>
      <c r="T101" s="537" t="s">
        <v>1850</v>
      </c>
      <c r="U101" s="722"/>
      <c r="V101" s="634"/>
    </row>
    <row r="102" spans="2:22" ht="15" customHeight="1" outlineLevel="1" x14ac:dyDescent="0.25">
      <c r="B102" s="537">
        <v>140</v>
      </c>
      <c r="C102" s="533" t="str">
        <f>IF(ISERROR(VLOOKUP(B102,'Base de Datos'!$C$7:$F$4092,2,0))=TRUE,"",(VLOOKUP('Presupuesto - PAA 2015'!B102,'Base de Datos'!$C$7:$F$4092,3,0)))</f>
        <v>150320-0-2015</v>
      </c>
      <c r="D102" s="533" t="str">
        <f>IF(ISERROR(VLOOKUP(B102,'Base de Datos'!$C$7:$F$4092,3,0))=TRUE,"",(VLOOKUP('Presupuesto - PAA 2015'!B102,'Base de Datos'!$C$7:$F$4092,4,0)))</f>
        <v>GRUPO EDITORIAL NUEVA LEGISLACION S.A.S.</v>
      </c>
      <c r="E102" s="536">
        <v>715000</v>
      </c>
      <c r="F102" s="534" t="str">
        <f>VLOOKUP(B102,'Actualizada - presupuesto'!$D$7:$L$111,9,0)</f>
        <v>SI</v>
      </c>
      <c r="G102" s="534"/>
      <c r="H102" s="534"/>
      <c r="I102" s="534"/>
      <c r="J102" s="536">
        <f>IF(ISERROR(VLOOKUP(B102,'Base de Datos'!$C$7:$N$4092,6,0))=TRUE,"Sin Celebrar",(VLOOKUP(B102,'Base de Datos'!$C$7:$N$4092,7,0)))</f>
        <v>715000</v>
      </c>
      <c r="K102" s="600"/>
      <c r="L102" s="536" t="str">
        <f t="shared" ref="L102:L112" si="9">IF(J102=$AA$1,E102, " ")</f>
        <v xml:space="preserve"> </v>
      </c>
      <c r="M102" s="536"/>
      <c r="N102" s="536" t="str">
        <f t="shared" ref="N102:N114" si="10">IF(J102&lt;E102,(E102-J102)," ")</f>
        <v xml:space="preserve"> </v>
      </c>
      <c r="O102" s="719" t="str">
        <f>IF(ISERROR(VLOOKUP(B102,'Base de Datos'!$C$7:$K$1048576,7,0))=TRUE," ",(VLOOKUP(B102,'Base de Datos'!$C$7:$K$1048576,8,0)))</f>
        <v>SDH-SMINC-42-2015</v>
      </c>
      <c r="P102" s="551">
        <f>IF(ISERROR(VLOOKUP(B102,'Base de Datos'!$C$7:$N$4077,9,0))=TRUE," ",(VLOOKUP(B102,'Base de Datos'!$C$7:$N$4077,10,0)))</f>
        <v>42207</v>
      </c>
      <c r="Q102" s="533" t="s">
        <v>1851</v>
      </c>
      <c r="R102" s="551">
        <f>IF(ISERROR(VLOOKUP(B102,'Base de Datos'!$C$7:$N$4077,10,0))=TRUE," ",(VLOOKUP(B102,'Base de Datos'!$C$7:$N$4077,11,0)))</f>
        <v>42221</v>
      </c>
      <c r="S102" s="551">
        <f>IF(ISERROR(VLOOKUP(B102,'Base de Datos'!$C$7:$N$4077,11,0))=TRUE," ",(VLOOKUP(B102,'Base de Datos'!$C$7:$N$4077,12,0)))</f>
        <v>42587</v>
      </c>
      <c r="T102" s="533" t="str">
        <f ca="1">VLOOKUP(C102,'Base de Datos'!$E$7:$AR$382,39,0)</f>
        <v>NO</v>
      </c>
      <c r="U102" s="722"/>
      <c r="V102" s="634"/>
    </row>
    <row r="103" spans="2:22" ht="15" customHeight="1" outlineLevel="1" x14ac:dyDescent="0.25">
      <c r="B103" s="537">
        <v>141</v>
      </c>
      <c r="C103" s="533" t="str">
        <f>IF(ISERROR(VLOOKUP(B103,'Base de Datos'!$C$7:$F$4092,2,0))=TRUE,"",(VLOOKUP('Presupuesto - PAA 2015'!B103,'Base de Datos'!$C$7:$F$4092,3,0)))</f>
        <v>150123-0-2015</v>
      </c>
      <c r="D103" s="533" t="str">
        <f>IF(ISERROR(VLOOKUP(B103,'Base de Datos'!$C$7:$F$4092,3,0))=TRUE,"",(VLOOKUP('Presupuesto - PAA 2015'!B103,'Base de Datos'!$C$7:$F$4092,4,0)))</f>
        <v>CASA EDITORIAL EL TIEMPO SA</v>
      </c>
      <c r="E103" s="536">
        <v>1226994</v>
      </c>
      <c r="F103" s="534" t="str">
        <f>VLOOKUP(B103,'Actualizada - presupuesto'!$D$7:$L$111,9,0)</f>
        <v>SI</v>
      </c>
      <c r="G103" s="534"/>
      <c r="H103" s="534"/>
      <c r="I103" s="534"/>
      <c r="J103" s="536">
        <f>IF(ISERROR(VLOOKUP(B103,'Base de Datos'!$C$7:$N$4092,6,0))=TRUE,"Sin Celebrar",(VLOOKUP(B103,'Base de Datos'!$C$7:$N$4092,7,0)))</f>
        <v>1226994</v>
      </c>
      <c r="K103" s="600"/>
      <c r="L103" s="536" t="str">
        <f t="shared" si="9"/>
        <v xml:space="preserve"> </v>
      </c>
      <c r="M103" s="536"/>
      <c r="N103" s="536" t="str">
        <f t="shared" si="10"/>
        <v xml:space="preserve"> </v>
      </c>
      <c r="O103" s="719" t="str">
        <f>IF(ISERROR(VLOOKUP(B103,'Base de Datos'!$C$7:$K$1048576,7,0))=TRUE," ",(VLOOKUP(B103,'Base de Datos'!$C$7:$K$1048576,8,0)))</f>
        <v>150123-0-2015</v>
      </c>
      <c r="P103" s="551">
        <f>IF(ISERROR(VLOOKUP(B103,'Base de Datos'!$C$7:$N$4077,9,0))=TRUE," ",(VLOOKUP(B103,'Base de Datos'!$C$7:$N$4077,10,0)))</f>
        <v>42080</v>
      </c>
      <c r="Q103" s="533" t="s">
        <v>1851</v>
      </c>
      <c r="R103" s="551">
        <f>IF(ISERROR(VLOOKUP(B103,'Base de Datos'!$C$7:$N$4077,10,0))=TRUE," ",(VLOOKUP(B103,'Base de Datos'!$C$7:$N$4077,11,0)))</f>
        <v>42082</v>
      </c>
      <c r="S103" s="551">
        <f>IF(ISERROR(VLOOKUP(B103,'Base de Datos'!$C$7:$N$4077,11,0))=TRUE," ",(VLOOKUP(B103,'Base de Datos'!$C$7:$N$4077,12,0)))</f>
        <v>42447</v>
      </c>
      <c r="T103" s="533" t="str">
        <f ca="1">VLOOKUP(C103,'Base de Datos'!$E$7:$AR$382,39,0)</f>
        <v>NO</v>
      </c>
      <c r="U103" s="722"/>
      <c r="V103" s="634"/>
    </row>
    <row r="104" spans="2:22" ht="15" customHeight="1" outlineLevel="1" x14ac:dyDescent="0.25">
      <c r="B104" s="537">
        <v>142</v>
      </c>
      <c r="C104" s="533" t="str">
        <f>IF(ISERROR(VLOOKUP(B104,'Base de Datos'!$C$7:$F$4092,2,0))=TRUE,"",(VLOOKUP('Presupuesto - PAA 2015'!B104,'Base de Datos'!$C$7:$F$4092,3,0)))</f>
        <v>150228-0-2015</v>
      </c>
      <c r="D104" s="533" t="str">
        <f>IF(ISERROR(VLOOKUP(B104,'Base de Datos'!$C$7:$F$4092,3,0))=TRUE,"",(VLOOKUP('Presupuesto - PAA 2015'!B104,'Base de Datos'!$C$7:$F$4092,4,0)))</f>
        <v xml:space="preserve">REVISTA EL CONGRESO SIGLO XXI </v>
      </c>
      <c r="E104" s="536">
        <v>7800000</v>
      </c>
      <c r="F104" s="534" t="str">
        <f>VLOOKUP(B104,'Actualizada - presupuesto'!$D$7:$L$111,9,0)</f>
        <v>SI</v>
      </c>
      <c r="G104" s="534"/>
      <c r="H104" s="534"/>
      <c r="I104" s="534"/>
      <c r="J104" s="536">
        <f>IF(ISERROR(VLOOKUP(B104,'Base de Datos'!$C$7:$N$4092,6,0))=TRUE,"Sin Celebrar",(VLOOKUP(B104,'Base de Datos'!$C$7:$N$4092,7,0)))</f>
        <v>7800000</v>
      </c>
      <c r="K104" s="600"/>
      <c r="L104" s="536" t="str">
        <f t="shared" si="9"/>
        <v xml:space="preserve"> </v>
      </c>
      <c r="M104" s="536"/>
      <c r="N104" s="536" t="str">
        <f t="shared" si="10"/>
        <v xml:space="preserve"> </v>
      </c>
      <c r="O104" s="719" t="str">
        <f>IF(ISERROR(VLOOKUP(B104,'Base de Datos'!$C$7:$K$1048576,7,0))=TRUE," ",(VLOOKUP(B104,'Base de Datos'!$C$7:$K$1048576,8,0)))</f>
        <v>150228-0-2015</v>
      </c>
      <c r="P104" s="551">
        <f>IF(ISERROR(VLOOKUP(B104,'Base de Datos'!$C$7:$N$4077,9,0))=TRUE," ",(VLOOKUP(B104,'Base de Datos'!$C$7:$N$4077,10,0)))</f>
        <v>42139</v>
      </c>
      <c r="Q104" s="533" t="s">
        <v>1851</v>
      </c>
      <c r="R104" s="551">
        <f>IF(ISERROR(VLOOKUP(B104,'Base de Datos'!$C$7:$N$4077,10,0))=TRUE," ",(VLOOKUP(B104,'Base de Datos'!$C$7:$N$4077,11,0)))</f>
        <v>42145</v>
      </c>
      <c r="S104" s="551">
        <f>IF(ISERROR(VLOOKUP(B104,'Base de Datos'!$C$7:$N$4077,11,0))=TRUE," ",(VLOOKUP(B104,'Base de Datos'!$C$7:$N$4077,12,0)))</f>
        <v>42511</v>
      </c>
      <c r="T104" s="533" t="str">
        <f ca="1">VLOOKUP(C104,'Base de Datos'!$E$7:$AR$382,39,0)</f>
        <v>NO</v>
      </c>
      <c r="U104" s="722"/>
      <c r="V104" s="634"/>
    </row>
    <row r="105" spans="2:22" ht="24.75" customHeight="1" outlineLevel="1" x14ac:dyDescent="0.25">
      <c r="B105" s="537">
        <v>143</v>
      </c>
      <c r="C105" s="533" t="str">
        <f>IF(ISERROR(VLOOKUP(B105,'Base de Datos'!$C$7:$F$4092,2,0))=TRUE,"",(VLOOKUP('Presupuesto - PAA 2015'!B105,'Base de Datos'!$C$7:$F$4092,3,0)))</f>
        <v>150124-0-2015</v>
      </c>
      <c r="D105" s="533" t="str">
        <f>IF(ISERROR(VLOOKUP(B105,'Base de Datos'!$C$7:$F$4092,3,0))=TRUE,"",(VLOOKUP('Presupuesto - PAA 2015'!B105,'Base de Datos'!$C$7:$F$4092,4,0)))</f>
        <v>DPC LTDA PUBLICACIONES DESPACHOS PÚBLICOS DE COLOMBIA LTDA</v>
      </c>
      <c r="E105" s="536">
        <v>4100000</v>
      </c>
      <c r="F105" s="534" t="str">
        <f>VLOOKUP(B105,'Actualizada - presupuesto'!$D$7:$L$111,9,0)</f>
        <v>SI</v>
      </c>
      <c r="G105" s="534"/>
      <c r="H105" s="534"/>
      <c r="I105" s="534"/>
      <c r="J105" s="536">
        <f>IF(ISERROR(VLOOKUP(B105,'Base de Datos'!$C$7:$N$4092,6,0))=TRUE,"Sin Celebrar",(VLOOKUP(B105,'Base de Datos'!$C$7:$N$4092,7,0)))</f>
        <v>4100000</v>
      </c>
      <c r="K105" s="600"/>
      <c r="L105" s="536" t="str">
        <f t="shared" si="9"/>
        <v xml:space="preserve"> </v>
      </c>
      <c r="M105" s="536"/>
      <c r="N105" s="536" t="str">
        <f t="shared" si="10"/>
        <v xml:space="preserve"> </v>
      </c>
      <c r="O105" s="719" t="str">
        <f>IF(ISERROR(VLOOKUP(B105,'Base de Datos'!$C$7:$K$1048576,7,0))=TRUE," ",(VLOOKUP(B105,'Base de Datos'!$C$7:$K$1048576,8,0)))</f>
        <v>150124-0-2015</v>
      </c>
      <c r="P105" s="551">
        <f>IF(ISERROR(VLOOKUP(B105,'Base de Datos'!$C$7:$N$4077,9,0))=TRUE," ",(VLOOKUP(B105,'Base de Datos'!$C$7:$N$4077,10,0)))</f>
        <v>42080</v>
      </c>
      <c r="Q105" s="533" t="s">
        <v>1851</v>
      </c>
      <c r="R105" s="551">
        <f>IF(ISERROR(VLOOKUP(B105,'Base de Datos'!$C$7:$N$4077,10,0))=TRUE," ",(VLOOKUP(B105,'Base de Datos'!$C$7:$N$4077,11,0)))</f>
        <v>42088</v>
      </c>
      <c r="S105" s="551">
        <f>IF(ISERROR(VLOOKUP(B105,'Base de Datos'!$C$7:$N$4077,11,0))=TRUE," ",(VLOOKUP(B105,'Base de Datos'!$C$7:$N$4077,12,0)))</f>
        <v>42241</v>
      </c>
      <c r="T105" s="533" t="str">
        <f ca="1">VLOOKUP(C105,'Base de Datos'!$E$7:$AR$382,39,0)</f>
        <v>NO</v>
      </c>
      <c r="U105" s="722"/>
      <c r="V105" s="634"/>
    </row>
    <row r="106" spans="2:22" ht="14.25" customHeight="1" outlineLevel="1" x14ac:dyDescent="0.25">
      <c r="B106" s="537">
        <v>144</v>
      </c>
      <c r="C106" s="533" t="str">
        <f>IF(ISERROR(VLOOKUP(B106,'Base de Datos'!$C$7:$F$4092,2,0))=TRUE,"",(VLOOKUP('Presupuesto - PAA 2015'!B106,'Base de Datos'!$C$7:$F$4092,3,0)))</f>
        <v>150330-0-2015</v>
      </c>
      <c r="D106" s="533" t="str">
        <f>IF(ISERROR(VLOOKUP(B106,'Base de Datos'!$C$7:$F$4092,3,0))=TRUE,"",(VLOOKUP('Presupuesto - PAA 2015'!B106,'Base de Datos'!$C$7:$F$4092,4,0)))</f>
        <v xml:space="preserve">COMUNICAN SA </v>
      </c>
      <c r="E106" s="536">
        <v>936000</v>
      </c>
      <c r="F106" s="534" t="str">
        <f>VLOOKUP(B106,'Actualizada - presupuesto'!$D$7:$L$111,9,0)</f>
        <v>SI</v>
      </c>
      <c r="G106" s="534"/>
      <c r="H106" s="534"/>
      <c r="I106" s="534"/>
      <c r="J106" s="536">
        <f>IF(ISERROR(VLOOKUP(B106,'Base de Datos'!$C$7:$N$4092,6,0))=TRUE,"Sin Celebrar",(VLOOKUP(B106,'Base de Datos'!$C$7:$N$4092,7,0)))</f>
        <v>936000</v>
      </c>
      <c r="K106" s="600"/>
      <c r="L106" s="536" t="str">
        <f t="shared" si="9"/>
        <v xml:space="preserve"> </v>
      </c>
      <c r="M106" s="536"/>
      <c r="N106" s="536" t="str">
        <f t="shared" si="10"/>
        <v xml:space="preserve"> </v>
      </c>
      <c r="O106" s="719" t="str">
        <f>IF(ISERROR(VLOOKUP(B106,'Base de Datos'!$C$7:$K$1048576,7,0))=TRUE," ",(VLOOKUP(B106,'Base de Datos'!$C$7:$K$1048576,8,0)))</f>
        <v>150330-0-2015</v>
      </c>
      <c r="P106" s="551">
        <f>IF(ISERROR(VLOOKUP(B106,'Base de Datos'!$C$7:$N$4077,9,0))=TRUE," ",(VLOOKUP(B106,'Base de Datos'!$C$7:$N$4077,10,0)))</f>
        <v>42220</v>
      </c>
      <c r="Q106" s="533" t="s">
        <v>1851</v>
      </c>
      <c r="R106" s="551">
        <f>IF(ISERROR(VLOOKUP(B106,'Base de Datos'!$C$7:$N$4077,10,0))=TRUE," ",(VLOOKUP(B106,'Base de Datos'!$C$7:$N$4077,11,0)))</f>
        <v>42261</v>
      </c>
      <c r="S106" s="551">
        <f>IF(ISERROR(VLOOKUP(B106,'Base de Datos'!$C$7:$N$4077,11,0))=TRUE," ",(VLOOKUP(B106,'Base de Datos'!$C$7:$N$4077,12,0)))</f>
        <v>42627</v>
      </c>
      <c r="T106" s="533" t="str">
        <f ca="1">VLOOKUP(C106,'Base de Datos'!$E$7:$AR$382,39,0)</f>
        <v>NO</v>
      </c>
      <c r="U106" s="722"/>
      <c r="V106" s="634"/>
    </row>
    <row r="107" spans="2:22" ht="14.25" customHeight="1" outlineLevel="1" x14ac:dyDescent="0.25">
      <c r="B107" s="537">
        <v>145</v>
      </c>
      <c r="C107" s="533" t="str">
        <f>IF(ISERROR(VLOOKUP(B107,'Base de Datos'!$C$7:$F$4092,2,0))=TRUE,"",(VLOOKUP('Presupuesto - PAA 2015'!B107,'Base de Datos'!$C$7:$F$4092,3,0)))</f>
        <v>150363-0-2015</v>
      </c>
      <c r="D107" s="533" t="str">
        <f>IF(ISERROR(VLOOKUP(B107,'Base de Datos'!$C$7:$F$4092,3,0))=TRUE,"",(VLOOKUP('Presupuesto - PAA 2015'!B107,'Base de Datos'!$C$7:$F$4092,4,0)))</f>
        <v>EDITORIAL EL GLOBO S.A.</v>
      </c>
      <c r="E107" s="536">
        <v>764100</v>
      </c>
      <c r="F107" s="534" t="str">
        <f>VLOOKUP(B107,'Actualizada - presupuesto'!$D$7:$L$111,9,0)</f>
        <v>SI</v>
      </c>
      <c r="G107" s="534"/>
      <c r="H107" s="534"/>
      <c r="I107" s="534"/>
      <c r="J107" s="536">
        <f>IF(ISERROR(VLOOKUP(B107,'Base de Datos'!$C$7:$N$4092,6,0))=TRUE,"Sin Celebrar",(VLOOKUP(B107,'Base de Datos'!$C$7:$N$4092,7,0)))</f>
        <v>764100</v>
      </c>
      <c r="K107" s="600"/>
      <c r="L107" s="536" t="str">
        <f t="shared" si="9"/>
        <v xml:space="preserve"> </v>
      </c>
      <c r="M107" s="536"/>
      <c r="N107" s="536" t="str">
        <f t="shared" si="10"/>
        <v xml:space="preserve"> </v>
      </c>
      <c r="O107" s="719" t="str">
        <f>IF(ISERROR(VLOOKUP(B107,'Base de Datos'!$C$7:$K$1048576,7,0))=TRUE," ",(VLOOKUP(B107,'Base de Datos'!$C$7:$K$1048576,8,0)))</f>
        <v>150363-0-2015</v>
      </c>
      <c r="P107" s="551">
        <f>IF(ISERROR(VLOOKUP(B107,'Base de Datos'!$C$7:$N$4077,9,0))=TRUE," ",(VLOOKUP(B107,'Base de Datos'!$C$7:$N$4077,10,0)))</f>
        <v>42272</v>
      </c>
      <c r="Q107" s="533" t="s">
        <v>1851</v>
      </c>
      <c r="R107" s="551">
        <f>IF(ISERROR(VLOOKUP(B107,'Base de Datos'!$C$7:$N$4077,10,0))=TRUE," ",(VLOOKUP(B107,'Base de Datos'!$C$7:$N$4077,11,0)))</f>
        <v>42336</v>
      </c>
      <c r="S107" s="551">
        <f>IF(ISERROR(VLOOKUP(B107,'Base de Datos'!$C$7:$N$4077,11,0))=TRUE," ",(VLOOKUP(B107,'Base de Datos'!$C$7:$N$4077,12,0)))</f>
        <v>42702</v>
      </c>
      <c r="T107" s="533" t="str">
        <f ca="1">VLOOKUP(C107,'Base de Datos'!$E$7:$AR$382,39,0)</f>
        <v>NO</v>
      </c>
      <c r="U107" s="722"/>
      <c r="V107" s="634"/>
    </row>
    <row r="108" spans="2:22" ht="14.25" customHeight="1" outlineLevel="1" x14ac:dyDescent="0.25">
      <c r="B108" s="537">
        <v>146</v>
      </c>
      <c r="C108" s="533" t="str">
        <f>IF(ISERROR(VLOOKUP(B108,'Base de Datos'!$C$7:$F$4092,2,0))=TRUE,"",(VLOOKUP('Presupuesto - PAA 2015'!B108,'Base de Datos'!$C$7:$F$4092,3,0)))</f>
        <v>150342-0-2015</v>
      </c>
      <c r="D108" s="533" t="str">
        <f>IF(ISERROR(VLOOKUP(B108,'Base de Datos'!$C$7:$F$4092,3,0))=TRUE,"",(VLOOKUP('Presupuesto - PAA 2015'!B108,'Base de Datos'!$C$7:$F$4092,4,0)))</f>
        <v>PUBLICACIONES SEMANA S.A.</v>
      </c>
      <c r="E108" s="536">
        <v>825000</v>
      </c>
      <c r="F108" s="534" t="str">
        <f>VLOOKUP(B108,'Actualizada - presupuesto'!$D$7:$L$111,9,0)</f>
        <v>SI</v>
      </c>
      <c r="G108" s="534"/>
      <c r="H108" s="534"/>
      <c r="I108" s="534"/>
      <c r="J108" s="536">
        <f>IF(ISERROR(VLOOKUP(B108,'Base de Datos'!$C$7:$N$4092,6,0))=TRUE,"Sin Celebrar",(VLOOKUP(B108,'Base de Datos'!$C$7:$N$4092,7,0)))</f>
        <v>825000</v>
      </c>
      <c r="K108" s="600"/>
      <c r="L108" s="536" t="str">
        <f t="shared" si="9"/>
        <v xml:space="preserve"> </v>
      </c>
      <c r="M108" s="536"/>
      <c r="N108" s="536" t="str">
        <f t="shared" si="10"/>
        <v xml:space="preserve"> </v>
      </c>
      <c r="O108" s="719" t="str">
        <f>IF(ISERROR(VLOOKUP(B108,'Base de Datos'!$C$7:$K$1048576,7,0))=TRUE," ",(VLOOKUP(B108,'Base de Datos'!$C$7:$K$1048576,8,0)))</f>
        <v>150342-0-2015</v>
      </c>
      <c r="P108" s="551">
        <f>IF(ISERROR(VLOOKUP(B108,'Base de Datos'!$C$7:$N$4077,9,0))=TRUE," ",(VLOOKUP(B108,'Base de Datos'!$C$7:$N$4077,10,0)))</f>
        <v>42237</v>
      </c>
      <c r="Q108" s="533" t="s">
        <v>1854</v>
      </c>
      <c r="R108" s="551">
        <f>IF(ISERROR(VLOOKUP(B108,'Base de Datos'!$C$7:$N$4077,10,0))=TRUE," ",(VLOOKUP(B108,'Base de Datos'!$C$7:$N$4077,11,0)))</f>
        <v>42278</v>
      </c>
      <c r="S108" s="551">
        <f>IF(ISERROR(VLOOKUP(B108,'Base de Datos'!$C$7:$N$4077,11,0))=TRUE," ",(VLOOKUP(B108,'Base de Datos'!$C$7:$N$4077,12,0)))</f>
        <v>42644</v>
      </c>
      <c r="T108" s="533" t="str">
        <f ca="1">VLOOKUP(C108,'Base de Datos'!$E$7:$AR$382,39,0)</f>
        <v>NO</v>
      </c>
      <c r="U108" s="722"/>
      <c r="V108" s="634"/>
    </row>
    <row r="109" spans="2:22" ht="14.25" customHeight="1" outlineLevel="1" x14ac:dyDescent="0.25">
      <c r="B109" s="537">
        <v>147</v>
      </c>
      <c r="C109" s="533" t="str">
        <f>IF(ISERROR(VLOOKUP(B109,'Base de Datos'!$C$7:$F$4085,2,0))=TRUE,"",(VLOOKUP('Presupuesto - PAA 2015'!B109,'Base de Datos'!$C$7:$F$4085,2,0)))</f>
        <v>2016147</v>
      </c>
      <c r="D109" s="533" t="s">
        <v>1830</v>
      </c>
      <c r="E109" s="732"/>
      <c r="F109" s="534" t="str">
        <f>VLOOKUP(B109,'Actualizada - presupuesto'!$D$7:$L$111,9,0)</f>
        <v>NA</v>
      </c>
      <c r="G109" s="534"/>
      <c r="H109" s="534"/>
      <c r="I109" s="534"/>
      <c r="J109" s="536" t="str">
        <f>IF(ISERROR(VLOOKUP(B109,'Base de Datos'!$C$7:$N$4077,6,0))=TRUE,"Sin Celebrar",(VLOOKUP(B109,'Base de Datos'!$C$7:$N$4077,6,0)))</f>
        <v>Suministro de elementos de promoción institucional y actos protocolarios del Concejo de Bogotá, D.C., de conformidad con lo establecido en la presente invitación pública SDH-SMINC-17-2016 y la propuesta presentada por ustedes.</v>
      </c>
      <c r="K109" s="600"/>
      <c r="L109" s="536" t="str">
        <f t="shared" si="9"/>
        <v xml:space="preserve"> </v>
      </c>
      <c r="M109" s="536"/>
      <c r="N109" s="536" t="str">
        <f t="shared" si="10"/>
        <v xml:space="preserve"> </v>
      </c>
      <c r="O109" s="719" t="str">
        <f>IF(ISERROR(VLOOKUP(B109,'Base de Datos'!$C$7:$K$1048576,7,0))=TRUE," ",(VLOOKUP(B109,'Base de Datos'!$C$7:$K$1048576,8,0)))</f>
        <v>SDH-SMINC-17-2016</v>
      </c>
      <c r="P109" s="551">
        <f>IF(ISERROR(VLOOKUP(B109,'Base de Datos'!$C$7:$N$4077,9,0))=TRUE," ",(VLOOKUP(B109,'Base de Datos'!$C$7:$N$4077,10,0)))</f>
        <v>42556</v>
      </c>
      <c r="Q109" s="533" t="s">
        <v>1851</v>
      </c>
      <c r="R109" s="551">
        <f>IF(ISERROR(VLOOKUP(B109,'Base de Datos'!$C$7:$N$4077,10,0))=TRUE," ",(VLOOKUP(B109,'Base de Datos'!$C$7:$N$4077,11,0)))</f>
        <v>42579</v>
      </c>
      <c r="S109" s="551">
        <f>IF(ISERROR(VLOOKUP(B109,'Base de Datos'!$C$7:$N$4077,11,0))=TRUE," ",(VLOOKUP(B109,'Base de Datos'!$C$7:$N$4077,12,0)))</f>
        <v>42794</v>
      </c>
      <c r="T109" s="533" t="e">
        <f>VLOOKUP(C109,'Base de Datos'!$E$7:$AR$382,39,0)</f>
        <v>#N/A</v>
      </c>
      <c r="U109" s="722"/>
      <c r="V109" s="634"/>
    </row>
    <row r="110" spans="2:22" ht="28.5" customHeight="1" outlineLevel="1" x14ac:dyDescent="0.25">
      <c r="B110" s="537">
        <v>148</v>
      </c>
      <c r="C110" s="533" t="str">
        <f>IF(ISERROR(VLOOKUP(B110,'Base de Datos'!$C$7:$F$4092,2,0))=TRUE,"",(VLOOKUP('Presupuesto - PAA 2015'!B110,'Base de Datos'!$C$7:$F$4092,3,0)))</f>
        <v>150338-0-2015</v>
      </c>
      <c r="D110" s="533" t="str">
        <f>IF(ISERROR(VLOOKUP(B110,'Base de Datos'!$C$7:$F$4092,3,0))=TRUE,"",(VLOOKUP('Presupuesto - PAA 2015'!B110,'Base de Datos'!$C$7:$F$4092,4,0)))</f>
        <v>EDITORIAL LA UNIDAD S.A EN EJECUCIÓN DEL ACUERDO DE REESTRUCTURACIÓN</v>
      </c>
      <c r="E110" s="536">
        <v>880500</v>
      </c>
      <c r="F110" s="534" t="str">
        <f>VLOOKUP(B110,'Actualizada - presupuesto'!$D$7:$L$111,9,0)</f>
        <v>SI</v>
      </c>
      <c r="G110" s="534"/>
      <c r="H110" s="534"/>
      <c r="I110" s="534"/>
      <c r="J110" s="536">
        <f>IF(ISERROR(VLOOKUP(B110,'Base de Datos'!$C$7:$N$4092,6,0))=TRUE,"Sin Celebrar",(VLOOKUP(B110,'Base de Datos'!$C$7:$N$4092,7,0)))</f>
        <v>880500</v>
      </c>
      <c r="K110" s="600"/>
      <c r="L110" s="536" t="str">
        <f t="shared" si="9"/>
        <v xml:space="preserve"> </v>
      </c>
      <c r="M110" s="536"/>
      <c r="N110" s="536" t="str">
        <f t="shared" si="10"/>
        <v xml:space="preserve"> </v>
      </c>
      <c r="O110" s="719" t="str">
        <f>IF(ISERROR(VLOOKUP(B110,'Base de Datos'!$C$7:$K$1048576,7,0))=TRUE," ",(VLOOKUP(B110,'Base de Datos'!$C$7:$K$1048576,8,0)))</f>
        <v>150338-0-2015</v>
      </c>
      <c r="P110" s="551">
        <f>IF(ISERROR(VLOOKUP(B110,'Base de Datos'!$C$7:$N$4077,9,0))=TRUE," ",(VLOOKUP(B110,'Base de Datos'!$C$7:$N$4077,10,0)))</f>
        <v>42230</v>
      </c>
      <c r="Q110" s="533" t="s">
        <v>1851</v>
      </c>
      <c r="R110" s="551">
        <f>IF(ISERROR(VLOOKUP(B110,'Base de Datos'!$C$7:$N$4077,10,0))=TRUE," ",(VLOOKUP(B110,'Base de Datos'!$C$7:$N$4077,11,0)))</f>
        <v>42262</v>
      </c>
      <c r="S110" s="551">
        <f>IF(ISERROR(VLOOKUP(B110,'Base de Datos'!$C$7:$N$4077,11,0))=TRUE," ",(VLOOKUP(B110,'Base de Datos'!$C$7:$N$4077,12,0)))</f>
        <v>42628</v>
      </c>
      <c r="T110" s="533" t="str">
        <f ca="1">VLOOKUP(C110,'Base de Datos'!$E$7:$AR$382,39,0)</f>
        <v>NO</v>
      </c>
      <c r="U110" s="722"/>
      <c r="V110" s="634"/>
    </row>
    <row r="111" spans="2:22" ht="14.25" customHeight="1" outlineLevel="1" x14ac:dyDescent="0.25">
      <c r="B111" s="537">
        <v>170</v>
      </c>
      <c r="C111" s="533" t="str">
        <f>IF(ISERROR(VLOOKUP(B111,'Base de Datos'!$C$7:$F$4092,2,0))=TRUE,"",(VLOOKUP('Presupuesto - PAA 2015'!B111,'Base de Datos'!$C$7:$F$4092,3,0)))</f>
        <v>150241-0-2015</v>
      </c>
      <c r="D111" s="533" t="str">
        <f>IF(ISERROR(VLOOKUP(B111,'Base de Datos'!$C$7:$F$4092,3,0))=TRUE,"",(VLOOKUP('Presupuesto - PAA 2015'!B111,'Base de Datos'!$C$7:$F$4092,4,0)))</f>
        <v>SOLUTION COPY LTDA</v>
      </c>
      <c r="E111" s="536">
        <v>30552000</v>
      </c>
      <c r="F111" s="534" t="str">
        <f>VLOOKUP(B111,'Actualizada - presupuesto'!$D$7:$L$111,9,0)</f>
        <v>SI</v>
      </c>
      <c r="G111" s="534"/>
      <c r="H111" s="534"/>
      <c r="I111" s="534"/>
      <c r="J111" s="536">
        <f>IF(ISERROR(VLOOKUP(B111,'Base de Datos'!$C$7:$N$4092,6,0))=TRUE,"Sin Celebrar",(VLOOKUP(B111,'Base de Datos'!$C$7:$N$4092,7,0)))</f>
        <v>30552000</v>
      </c>
      <c r="K111" s="600"/>
      <c r="L111" s="536" t="str">
        <f t="shared" si="9"/>
        <v xml:space="preserve"> </v>
      </c>
      <c r="M111" s="536"/>
      <c r="N111" s="536" t="str">
        <f t="shared" si="10"/>
        <v xml:space="preserve"> </v>
      </c>
      <c r="O111" s="719" t="str">
        <f>IF(ISERROR(VLOOKUP(B111,'Base de Datos'!$C$7:$K$1048576,7,0))=TRUE," ",(VLOOKUP(B111,'Base de Datos'!$C$7:$K$1048576,8,0)))</f>
        <v>SDH-SIE-07-2015</v>
      </c>
      <c r="P111" s="551">
        <f>IF(ISERROR(VLOOKUP(B111,'Base de Datos'!$C$7:$N$4077,9,0))=TRUE," ",(VLOOKUP(B111,'Base de Datos'!$C$7:$N$4077,10,0)))</f>
        <v>42157</v>
      </c>
      <c r="Q111" s="533" t="s">
        <v>1854</v>
      </c>
      <c r="R111" s="551">
        <f>IF(ISERROR(VLOOKUP(B111,'Base de Datos'!$C$7:$N$4077,10,0))=TRUE," ",(VLOOKUP(B111,'Base de Datos'!$C$7:$N$4077,11,0)))</f>
        <v>42187</v>
      </c>
      <c r="S111" s="551">
        <f>IF(ISERROR(VLOOKUP(B111,'Base de Datos'!$C$7:$N$4077,11,0))=TRUE," ",(VLOOKUP(B111,'Base de Datos'!$C$7:$N$4077,12,0)))</f>
        <v>42431</v>
      </c>
      <c r="T111" s="533" t="str">
        <f ca="1">VLOOKUP(C111,'Base de Datos'!$E$7:$AR$382,39,0)</f>
        <v>NO</v>
      </c>
      <c r="U111" s="722"/>
      <c r="V111" s="634"/>
    </row>
    <row r="112" spans="2:22" ht="14.25" customHeight="1" outlineLevel="1" x14ac:dyDescent="0.25">
      <c r="B112" s="552">
        <v>267</v>
      </c>
      <c r="C112" s="533" t="s">
        <v>1344</v>
      </c>
      <c r="D112" s="553" t="s">
        <v>1852</v>
      </c>
      <c r="E112" s="554">
        <v>800000</v>
      </c>
      <c r="F112" s="555" t="s">
        <v>390</v>
      </c>
      <c r="G112" s="555"/>
      <c r="H112" s="555"/>
      <c r="I112" s="555"/>
      <c r="J112" s="554">
        <v>800000</v>
      </c>
      <c r="K112" s="604"/>
      <c r="L112" s="536" t="str">
        <f t="shared" si="9"/>
        <v xml:space="preserve"> </v>
      </c>
      <c r="M112" s="554"/>
      <c r="N112" s="554" t="str">
        <f t="shared" si="10"/>
        <v xml:space="preserve"> </v>
      </c>
      <c r="O112" s="719" t="str">
        <f>IF(ISERROR(VLOOKUP(B112,'Base de Datos'!$C$7:$K$1048576,7,0))=TRUE," ",(VLOOKUP(B112,'Base de Datos'!$C$7:$K$1048576,8,0)))</f>
        <v xml:space="preserve"> </v>
      </c>
      <c r="P112" s="551" t="str">
        <f>IF(ISERROR(VLOOKUP(B112,'Base de Datos'!$C$7:$N$4077,9,0))=TRUE," ",(VLOOKUP(B112,'Base de Datos'!$C$7:$N$4077,10,0)))</f>
        <v xml:space="preserve"> </v>
      </c>
      <c r="Q112" s="553"/>
      <c r="R112" s="551" t="str">
        <f>IF(ISERROR(VLOOKUP(B112,'Base de Datos'!$C$7:$N$4077,10,0))=TRUE," ",(VLOOKUP(B112,'Base de Datos'!$C$7:$N$4077,11,0)))</f>
        <v xml:space="preserve"> </v>
      </c>
      <c r="S112" s="551" t="str">
        <f>IF(ISERROR(VLOOKUP(B112,'Base de Datos'!$C$7:$N$4077,11,0))=TRUE," ",(VLOOKUP(B112,'Base de Datos'!$C$7:$N$4077,12,0)))</f>
        <v xml:space="preserve"> </v>
      </c>
      <c r="T112" s="533" t="str">
        <f ca="1">VLOOKUP(C112,'Base de Datos'!$E$7:$AR$382,39,0)</f>
        <v>NO</v>
      </c>
      <c r="U112" s="722"/>
      <c r="V112" s="634"/>
    </row>
    <row r="113" spans="2:22" ht="24.75" customHeight="1" outlineLevel="1" x14ac:dyDescent="0.25">
      <c r="B113" s="552">
        <v>335</v>
      </c>
      <c r="C113" s="533" t="str">
        <f>IF(ISERROR(VLOOKUP(B113,'Base de Datos'!$C$7:$F$4092,2,0))=TRUE,"",(VLOOKUP('Presupuesto - PAA 2015'!B113,'Base de Datos'!$C$7:$F$4092,3,0)))</f>
        <v>150380-0-2015</v>
      </c>
      <c r="D113" s="533" t="str">
        <f>IF(ISERROR(VLOOKUP(B113,'Base de Datos'!$C$7:$F$4092,3,0))=TRUE,"",(VLOOKUP('Presupuesto - PAA 2015'!B113,'Base de Datos'!$C$7:$F$4092,4,0)))</f>
        <v>EDITORES CONARTE SAS</v>
      </c>
      <c r="E113" s="554">
        <v>2742000</v>
      </c>
      <c r="F113" s="555"/>
      <c r="G113" s="555"/>
      <c r="H113" s="555"/>
      <c r="I113" s="555"/>
      <c r="J113" s="536">
        <f>IF(ISERROR(VLOOKUP(B113,'Base de Datos'!$C$7:$N$4092,6,0))=TRUE,"Sin Celebrar",(VLOOKUP(B113,'Base de Datos'!$C$7:$N$4092,7,0)))</f>
        <v>2742000</v>
      </c>
      <c r="K113" s="604"/>
      <c r="L113" s="536"/>
      <c r="M113" s="554"/>
      <c r="N113" s="554"/>
      <c r="O113" s="719" t="str">
        <f>IF(ISERROR(VLOOKUP(B113,'Base de Datos'!$C$7:$K$1048576,7,0))=TRUE," ",(VLOOKUP(B113,'Base de Datos'!$C$7:$K$1048576,8,0)))</f>
        <v>SDH-SMINC-60-2015</v>
      </c>
      <c r="P113" s="551">
        <f>IF(ISERROR(VLOOKUP(B113,'Base de Datos'!$C$7:$N$4077,9,0))=TRUE," ",(VLOOKUP(B113,'Base de Datos'!$C$7:$N$4077,10,0)))</f>
        <v>42305</v>
      </c>
      <c r="Q113" s="553" t="s">
        <v>544</v>
      </c>
      <c r="R113" s="551">
        <f>IF(ISERROR(VLOOKUP(B113,'Base de Datos'!$C$7:$N$4077,10,0))=TRUE," ",(VLOOKUP(B113,'Base de Datos'!$C$7:$N$4077,11,0)))</f>
        <v>42321</v>
      </c>
      <c r="S113" s="551">
        <f>IF(ISERROR(VLOOKUP(B113,'Base de Datos'!$C$7:$N$4077,11,0))=TRUE," ",(VLOOKUP(B113,'Base de Datos'!$C$7:$N$4077,12,0)))</f>
        <v>42534</v>
      </c>
      <c r="T113" s="533" t="str">
        <f ca="1">VLOOKUP(C113,'Base de Datos'!$E$7:$AR$382,39,0)</f>
        <v>NO</v>
      </c>
      <c r="U113" s="722"/>
      <c r="V113" s="634"/>
    </row>
    <row r="114" spans="2:22" outlineLevel="1" x14ac:dyDescent="0.25">
      <c r="B114" s="533"/>
      <c r="C114" s="533"/>
      <c r="D114" s="533" t="s">
        <v>1935</v>
      </c>
      <c r="E114" s="536">
        <f>E100-SUM(E102:E113)</f>
        <v>2658406</v>
      </c>
      <c r="F114" s="534"/>
      <c r="G114" s="534"/>
      <c r="H114" s="534"/>
      <c r="I114" s="534"/>
      <c r="J114" s="536"/>
      <c r="K114" s="600"/>
      <c r="L114" s="536"/>
      <c r="M114" s="536"/>
      <c r="N114" s="554">
        <f t="shared" si="10"/>
        <v>2658406</v>
      </c>
      <c r="O114" s="679"/>
      <c r="P114" s="551" t="str">
        <f>IF(ISERROR(VLOOKUP(B114,'Base de Datos'!$C$7:$N$4077,9,0))=TRUE," ",(VLOOKUP(B114,'Base de Datos'!$C$7:$N$4077,9,0)))</f>
        <v xml:space="preserve"> </v>
      </c>
      <c r="Q114" s="533"/>
      <c r="R114" s="556" t="str">
        <f>IF(ISERROR(VLOOKUP(B114,'Base de Datos'!$C$7:$N$4077,10,0))=TRUE," ",(VLOOKUP(B114,'Base de Datos'!$C$7:$N$4077,10,0)))</f>
        <v xml:space="preserve"> </v>
      </c>
      <c r="S114" s="556" t="str">
        <f>IF(ISERROR(VLOOKUP(B114,'Base de Datos'!$C$7:$N$4077,11,0))=TRUE," ",(VLOOKUP(B114,'Base de Datos'!$C$7:$N$4077,11,0)))</f>
        <v xml:space="preserve"> </v>
      </c>
      <c r="T114" s="533"/>
      <c r="U114" s="722"/>
      <c r="V114" s="634"/>
    </row>
    <row r="115" spans="2:22" outlineLevel="1" x14ac:dyDescent="0.25">
      <c r="B115" s="533"/>
      <c r="C115" s="533"/>
      <c r="D115" s="533"/>
      <c r="E115" s="536"/>
      <c r="F115" s="534"/>
      <c r="G115" s="534"/>
      <c r="H115" s="534"/>
      <c r="I115" s="534"/>
      <c r="J115" s="536"/>
      <c r="K115" s="600"/>
      <c r="L115" s="536"/>
      <c r="M115" s="536"/>
      <c r="N115" s="536"/>
      <c r="O115" s="678"/>
      <c r="P115" s="551"/>
      <c r="Q115" s="533"/>
      <c r="R115" s="551"/>
      <c r="S115" s="551"/>
      <c r="T115" s="533"/>
      <c r="U115" s="722"/>
      <c r="V115" s="634"/>
    </row>
    <row r="116" spans="2:22" ht="15" customHeight="1" x14ac:dyDescent="0.25">
      <c r="B116" s="1196" t="s">
        <v>1654</v>
      </c>
      <c r="C116" s="1196"/>
      <c r="D116" s="1196"/>
      <c r="E116" s="557">
        <v>1188000000</v>
      </c>
      <c r="F116" s="558">
        <f>COUNTIF('Actualizada - presupuesto'!$E$7:$E$111,B116)</f>
        <v>0</v>
      </c>
      <c r="G116" s="558"/>
      <c r="H116" s="558"/>
      <c r="I116" s="558"/>
      <c r="J116" s="567">
        <f>+J117</f>
        <v>1168456110</v>
      </c>
      <c r="K116" s="609">
        <f>J116/E116</f>
        <v>0.9835489141414141</v>
      </c>
      <c r="L116" s="567">
        <f>+L117</f>
        <v>0</v>
      </c>
      <c r="M116" s="567"/>
      <c r="N116" s="567">
        <f>+N117</f>
        <v>19543890</v>
      </c>
      <c r="O116" s="685"/>
      <c r="P116" s="573" t="str">
        <f>IF(ISERROR(VLOOKUP(B116,'Base de Datos'!$C$7:$N$315,8,0))=TRUE," ",(VLOOKUP(B116,'Base de Datos'!$C$7:$N$315,8,0)))</f>
        <v xml:space="preserve"> </v>
      </c>
      <c r="Q116" s="574"/>
      <c r="R116" s="573" t="str">
        <f>IF(ISERROR(VLOOKUP(B116,'Base de Datos'!$C$7:$N$315,9,0))=TRUE," ",(VLOOKUP(B116,'Base de Datos'!$C$7:$N$315,9,0)))</f>
        <v xml:space="preserve"> </v>
      </c>
      <c r="S116" s="573" t="str">
        <f>IF(ISERROR(VLOOKUP(B116,'Base de Datos'!$C$7:$N$315,10,0))=TRUE," ",(VLOOKUP(B116,'Base de Datos'!$C$7:$N$315,10,0)))</f>
        <v xml:space="preserve"> </v>
      </c>
      <c r="T116" s="569"/>
      <c r="U116" s="722"/>
      <c r="V116" s="634"/>
    </row>
    <row r="117" spans="2:22" ht="15" customHeight="1" x14ac:dyDescent="0.25">
      <c r="B117" s="1181" t="s">
        <v>1655</v>
      </c>
      <c r="C117" s="1181"/>
      <c r="D117" s="1181"/>
      <c r="E117" s="581">
        <v>1188000000</v>
      </c>
      <c r="F117" s="586">
        <f>COUNTIF('Actualizada - presupuesto'!$E$7:$E$111,B117)</f>
        <v>17</v>
      </c>
      <c r="G117" s="586"/>
      <c r="H117" s="586"/>
      <c r="I117" s="586"/>
      <c r="J117" s="581">
        <f>SUM(J119:J136)</f>
        <v>1168456110</v>
      </c>
      <c r="K117" s="603">
        <f>J117/E117</f>
        <v>0.9835489141414141</v>
      </c>
      <c r="L117" s="581">
        <f>SUM(L119:L136)</f>
        <v>0</v>
      </c>
      <c r="M117" s="581"/>
      <c r="N117" s="581">
        <f>+E117-J117-L117</f>
        <v>19543890</v>
      </c>
      <c r="O117" s="684"/>
      <c r="P117" s="591" t="str">
        <f>IF(ISERROR(VLOOKUP(B117,'Base de Datos'!$C$7:$N$315,8,0))=TRUE," ",(VLOOKUP(B117,'Base de Datos'!$C$7:$N$315,8,0)))</f>
        <v xml:space="preserve"> </v>
      </c>
      <c r="Q117" s="592"/>
      <c r="R117" s="591" t="str">
        <f>IF(ISERROR(VLOOKUP(B117,'Base de Datos'!$C$7:$N$315,9,0))=TRUE," ",(VLOOKUP(B117,'Base de Datos'!$C$7:$N$315,9,0)))</f>
        <v xml:space="preserve"> </v>
      </c>
      <c r="S117" s="591" t="str">
        <f>IF(ISERROR(VLOOKUP(B117,'Base de Datos'!$C$7:$N$315,10,0))=TRUE," ",(VLOOKUP(B117,'Base de Datos'!$C$7:$N$315,10,0)))</f>
        <v xml:space="preserve"> </v>
      </c>
      <c r="T117" s="592"/>
      <c r="U117" s="722"/>
      <c r="V117" s="634"/>
    </row>
    <row r="118" spans="2:22" ht="24" outlineLevel="1" x14ac:dyDescent="0.25">
      <c r="B118" s="537" t="s">
        <v>1693</v>
      </c>
      <c r="C118" s="537" t="s">
        <v>912</v>
      </c>
      <c r="D118" s="537" t="s">
        <v>1822</v>
      </c>
      <c r="E118" s="545" t="s">
        <v>1846</v>
      </c>
      <c r="F118" s="534" t="s">
        <v>1853</v>
      </c>
      <c r="G118" s="534"/>
      <c r="H118" s="534"/>
      <c r="I118" s="534"/>
      <c r="J118" s="537" t="s">
        <v>1845</v>
      </c>
      <c r="K118" s="652"/>
      <c r="L118" s="537" t="s">
        <v>1939</v>
      </c>
      <c r="M118" s="537"/>
      <c r="N118" s="537" t="s">
        <v>1940</v>
      </c>
      <c r="O118" s="677"/>
      <c r="P118" s="568" t="s">
        <v>1847</v>
      </c>
      <c r="Q118" s="537" t="s">
        <v>1848</v>
      </c>
      <c r="R118" s="537" t="s">
        <v>1849</v>
      </c>
      <c r="S118" s="537" t="s">
        <v>375</v>
      </c>
      <c r="T118" s="537" t="s">
        <v>1850</v>
      </c>
      <c r="U118" s="722"/>
      <c r="V118" s="634"/>
    </row>
    <row r="119" spans="2:22" ht="24" outlineLevel="1" x14ac:dyDescent="0.25">
      <c r="B119" s="537">
        <v>149</v>
      </c>
      <c r="C119" s="533" t="str">
        <f>IF(ISERROR(VLOOKUP(B119,'Base de Datos'!$C$7:$F$4092,2,0))=TRUE,"",(VLOOKUP('Presupuesto - PAA 2015'!B119,'Base de Datos'!$C$7:$F$4092,3,0)))</f>
        <v>150223-0-2015</v>
      </c>
      <c r="D119" s="533" t="str">
        <f>IF(ISERROR(VLOOKUP(B119,'Base de Datos'!$C$7:$F$4092,3,0))=TRUE,"",(VLOOKUP('Presupuesto - PAA 2015'!B119,'Base de Datos'!$C$7:$F$4092,4,0)))</f>
        <v>SECURITYCOM SAS</v>
      </c>
      <c r="E119" s="536">
        <v>2000000</v>
      </c>
      <c r="F119" s="534" t="str">
        <f>VLOOKUP(B119,'Actualizada - presupuesto'!$D$7:$L$111,9,0)</f>
        <v>SI</v>
      </c>
      <c r="G119" s="534"/>
      <c r="H119" s="534"/>
      <c r="I119" s="534"/>
      <c r="J119" s="536">
        <f>IF(ISERROR(VLOOKUP(B119,'Base de Datos'!$C$7:$N$4092,6,0))=TRUE,"Sin Celebrar",(VLOOKUP(B119,'Base de Datos'!$C$7:$N$4092,7,0)))</f>
        <v>2000000</v>
      </c>
      <c r="K119" s="600"/>
      <c r="L119" s="536" t="str">
        <f t="shared" ref="L119:L133" si="11">IF(J119=$AA$1,E119, " ")</f>
        <v xml:space="preserve"> </v>
      </c>
      <c r="M119" s="536"/>
      <c r="N119" s="536" t="str">
        <f t="shared" ref="N119:N133" si="12">IF(J119&lt;E119,(E119-J119)," ")</f>
        <v xml:space="preserve"> </v>
      </c>
      <c r="O119" s="719" t="str">
        <f>IF(ISERROR(VLOOKUP(B119,'Base de Datos'!$C$7:$K$1048576,7,0))=TRUE," ",(VLOOKUP(B119,'Base de Datos'!$C$7:$K$1048576,8,0)))</f>
        <v>SDH-SMINC-024-2015</v>
      </c>
      <c r="P119" s="551">
        <f>IF(ISERROR(VLOOKUP(B119,'Base de Datos'!$C$7:$N$4077,9,0))=TRUE," ",(VLOOKUP(B119,'Base de Datos'!$C$7:$N$4077,10,0)))</f>
        <v>42135</v>
      </c>
      <c r="Q119" s="533" t="s">
        <v>1854</v>
      </c>
      <c r="R119" s="551">
        <f>IF(ISERROR(VLOOKUP(B119,'Base de Datos'!$C$7:$N$4077,10,0))=TRUE," ",(VLOOKUP(B119,'Base de Datos'!$C$7:$N$4077,11,0)))</f>
        <v>42150</v>
      </c>
      <c r="S119" s="551">
        <f>IF(ISERROR(VLOOKUP(B119,'Base de Datos'!$C$7:$N$4077,11,0))=TRUE," ",(VLOOKUP(B119,'Base de Datos'!$C$7:$N$4077,12,0)))</f>
        <v>42455</v>
      </c>
      <c r="T119" s="533" t="str">
        <f ca="1">VLOOKUP(C119,'Base de Datos'!$E$7:$AR$382,39,0)</f>
        <v>NO</v>
      </c>
      <c r="U119" s="722"/>
      <c r="V119" s="634"/>
    </row>
    <row r="120" spans="2:22" ht="12" customHeight="1" outlineLevel="1" x14ac:dyDescent="0.25">
      <c r="B120" s="537">
        <v>150</v>
      </c>
      <c r="C120" s="533" t="str">
        <f>IF(ISERROR(VLOOKUP(B120,'Base de Datos'!$C$7:$F$4092,2,0))=TRUE,"",(VLOOKUP('Presupuesto - PAA 2015'!B120,'Base de Datos'!$C$7:$F$4092,3,0)))</f>
        <v>150168-0-2015</v>
      </c>
      <c r="D120" s="533" t="str">
        <f>IF(ISERROR(VLOOKUP(B120,'Base de Datos'!$C$7:$F$4092,3,0))=TRUE,"",(VLOOKUP('Presupuesto - PAA 2015'!B120,'Base de Datos'!$C$7:$F$4092,4,0)))</f>
        <v>MONRAK INGENIERIA LIMITADA</v>
      </c>
      <c r="E120" s="536">
        <v>4721200</v>
      </c>
      <c r="F120" s="534" t="str">
        <f>VLOOKUP(B120,'Actualizada - presupuesto'!$D$7:$L$111,9,0)</f>
        <v>SI</v>
      </c>
      <c r="G120" s="534"/>
      <c r="H120" s="534"/>
      <c r="I120" s="534"/>
      <c r="J120" s="536">
        <f>IF(ISERROR(VLOOKUP(B120,'Base de Datos'!$C$7:$N$4092,6,0))=TRUE,"Sin Celebrar",(VLOOKUP(B120,'Base de Datos'!$C$7:$N$4092,7,0)))</f>
        <v>4721200</v>
      </c>
      <c r="K120" s="600"/>
      <c r="L120" s="536" t="str">
        <f t="shared" si="11"/>
        <v xml:space="preserve"> </v>
      </c>
      <c r="M120" s="536"/>
      <c r="N120" s="536" t="str">
        <f t="shared" si="12"/>
        <v xml:space="preserve"> </v>
      </c>
      <c r="O120" s="719" t="str">
        <f>IF(ISERROR(VLOOKUP(B120,'Base de Datos'!$C$7:$K$1048576,7,0))=TRUE," ",(VLOOKUP(B120,'Base de Datos'!$C$7:$K$1048576,8,0)))</f>
        <v>SDH-SMINC-09-2015</v>
      </c>
      <c r="P120" s="551">
        <f>IF(ISERROR(VLOOKUP(B120,'Base de Datos'!$C$7:$N$4077,9,0))=TRUE," ",(VLOOKUP(B120,'Base de Datos'!$C$7:$N$4077,10,0)))</f>
        <v>42104</v>
      </c>
      <c r="Q120" s="533" t="s">
        <v>1109</v>
      </c>
      <c r="R120" s="551">
        <f>IF(ISERROR(VLOOKUP(B120,'Base de Datos'!$C$7:$N$4077,10,0))=TRUE," ",(VLOOKUP(B120,'Base de Datos'!$C$7:$N$4077,11,0)))</f>
        <v>42116</v>
      </c>
      <c r="S120" s="551">
        <f>IF(ISERROR(VLOOKUP(B120,'Base de Datos'!$C$7:$N$4077,11,0))=TRUE," ",(VLOOKUP(B120,'Base de Datos'!$C$7:$N$4077,12,0)))</f>
        <v>42451</v>
      </c>
      <c r="T120" s="533" t="str">
        <f ca="1">VLOOKUP(C120,'Base de Datos'!$E$7:$AR$382,39,0)</f>
        <v>NO</v>
      </c>
      <c r="U120" s="722"/>
      <c r="V120" s="634"/>
    </row>
    <row r="121" spans="2:22" ht="24" outlineLevel="1" x14ac:dyDescent="0.25">
      <c r="B121" s="537">
        <v>151</v>
      </c>
      <c r="C121" s="533" t="str">
        <f>IF(ISERROR(VLOOKUP(B121,'Base de Datos'!$C$7:$F$4092,2,0))=TRUE,"",(VLOOKUP('Presupuesto - PAA 2015'!B121,'Base de Datos'!$C$7:$F$4092,3,0)))</f>
        <v>150333-0-2015</v>
      </c>
      <c r="D121" s="533" t="str">
        <f>IF(ISERROR(VLOOKUP(B121,'Base de Datos'!$C$7:$F$4092,3,0))=TRUE,"",(VLOOKUP('Presupuesto - PAA 2015'!B121,'Base de Datos'!$C$7:$F$4092,4,0)))</f>
        <v>Consultoría Estructural y de Construcción SAS - CEYCO Ingeniería SAS</v>
      </c>
      <c r="E121" s="536">
        <v>14917500</v>
      </c>
      <c r="F121" s="534" t="str">
        <f>VLOOKUP(B121,'Actualizada - presupuesto'!$D$7:$L$111,9,0)</f>
        <v>SI</v>
      </c>
      <c r="G121" s="534"/>
      <c r="H121" s="534"/>
      <c r="I121" s="534"/>
      <c r="J121" s="536">
        <f>IF(ISERROR(VLOOKUP(B121,'Base de Datos'!$C$7:$N$4092,6,0))=TRUE,"Sin Celebrar",(VLOOKUP(B121,'Base de Datos'!$C$7:$N$4092,7,0)))</f>
        <v>14917500</v>
      </c>
      <c r="K121" s="600"/>
      <c r="L121" s="536" t="str">
        <f t="shared" si="11"/>
        <v xml:space="preserve"> </v>
      </c>
      <c r="M121" s="536"/>
      <c r="N121" s="536" t="str">
        <f t="shared" si="12"/>
        <v xml:space="preserve"> </v>
      </c>
      <c r="O121" s="719" t="str">
        <f>IF(ISERROR(VLOOKUP(B121,'Base de Datos'!$C$7:$K$1048576,7,0))=TRUE," ",(VLOOKUP(B121,'Base de Datos'!$C$7:$K$1048576,8,0)))</f>
        <v>SDH-SMINC-041-2015</v>
      </c>
      <c r="P121" s="551">
        <f>IF(ISERROR(VLOOKUP(B121,'Base de Datos'!$C$7:$N$4077,9,0))=TRUE," ",(VLOOKUP(B121,'Base de Datos'!$C$7:$N$4077,10,0)))</f>
        <v>42228</v>
      </c>
      <c r="Q121" s="533" t="s">
        <v>1854</v>
      </c>
      <c r="R121" s="551">
        <f>IF(ISERROR(VLOOKUP(B121,'Base de Datos'!$C$7:$N$4077,10,0))=TRUE," ",(VLOOKUP(B121,'Base de Datos'!$C$7:$N$4077,11,0)))</f>
        <v>42247</v>
      </c>
      <c r="S121" s="551">
        <f>IF(ISERROR(VLOOKUP(B121,'Base de Datos'!$C$7:$N$4077,11,0))=TRUE," ",(VLOOKUP(B121,'Base de Datos'!$C$7:$N$4077,12,0)))</f>
        <v>42551</v>
      </c>
      <c r="T121" s="533" t="str">
        <f ca="1">VLOOKUP(C121,'Base de Datos'!$E$7:$AR$382,39,0)</f>
        <v>SI</v>
      </c>
      <c r="U121" s="722"/>
      <c r="V121" s="634"/>
    </row>
    <row r="122" spans="2:22" ht="13.5" customHeight="1" outlineLevel="1" x14ac:dyDescent="0.25">
      <c r="B122" s="537">
        <v>152</v>
      </c>
      <c r="C122" s="533" t="str">
        <f>IF(ISERROR(VLOOKUP(B122,'Base de Datos'!$C$7:$F$4092,2,0))=TRUE,"",(VLOOKUP('Presupuesto - PAA 2015'!B122,'Base de Datos'!$C$7:$F$4092,3,0)))</f>
        <v>150129-0-2015</v>
      </c>
      <c r="D122" s="533" t="str">
        <f>IF(ISERROR(VLOOKUP(B122,'Base de Datos'!$C$7:$F$4092,3,0))=TRUE,"",(VLOOKUP('Presupuesto - PAA 2015'!B122,'Base de Datos'!$C$7:$F$4092,4,0)))</f>
        <v>DIEGO ALEJANDRO RUBIO RAMOS</v>
      </c>
      <c r="E122" s="536">
        <v>7442000</v>
      </c>
      <c r="F122" s="534" t="str">
        <f>VLOOKUP(B122,'Actualizada - presupuesto'!$D$7:$L$111,9,0)</f>
        <v>SI</v>
      </c>
      <c r="G122" s="534"/>
      <c r="H122" s="534"/>
      <c r="I122" s="534"/>
      <c r="J122" s="536">
        <f>IF(ISERROR(VLOOKUP(B122,'Base de Datos'!$C$7:$N$4092,6,0))=TRUE,"Sin Celebrar",(VLOOKUP(B122,'Base de Datos'!$C$7:$N$4092,7,0)))</f>
        <v>7442000</v>
      </c>
      <c r="K122" s="600"/>
      <c r="L122" s="536" t="str">
        <f t="shared" si="11"/>
        <v xml:space="preserve"> </v>
      </c>
      <c r="M122" s="536"/>
      <c r="N122" s="536" t="str">
        <f t="shared" si="12"/>
        <v xml:space="preserve"> </v>
      </c>
      <c r="O122" s="719" t="str">
        <f>IF(ISERROR(VLOOKUP(B122,'Base de Datos'!$C$7:$K$1048576,7,0))=TRUE," ",(VLOOKUP(B122,'Base de Datos'!$C$7:$K$1048576,8,0)))</f>
        <v>SDH-SMINC-02-2015</v>
      </c>
      <c r="P122" s="551">
        <f>IF(ISERROR(VLOOKUP(B122,'Base de Datos'!$C$7:$N$4077,9,0))=TRUE," ",(VLOOKUP(B122,'Base de Datos'!$C$7:$N$4077,10,0)))</f>
        <v>42082</v>
      </c>
      <c r="Q122" s="533" t="s">
        <v>1851</v>
      </c>
      <c r="R122" s="551">
        <f>IF(ISERROR(VLOOKUP(B122,'Base de Datos'!$C$7:$N$4077,10,0))=TRUE," ",(VLOOKUP(B122,'Base de Datos'!$C$7:$N$4077,11,0)))</f>
        <v>42111</v>
      </c>
      <c r="S122" s="551">
        <f>IF(ISERROR(VLOOKUP(B122,'Base de Datos'!$C$7:$N$4077,11,0))=TRUE," ",(VLOOKUP(B122,'Base de Datos'!$C$7:$N$4077,12,0)))</f>
        <v>42477</v>
      </c>
      <c r="T122" s="533" t="str">
        <f ca="1">VLOOKUP(C122,'Base de Datos'!$E$7:$AR$382,39,0)</f>
        <v>NO</v>
      </c>
      <c r="U122" s="722"/>
      <c r="V122" s="634"/>
    </row>
    <row r="123" spans="2:22" ht="10.5" customHeight="1" outlineLevel="1" x14ac:dyDescent="0.25">
      <c r="B123" s="627">
        <v>154</v>
      </c>
      <c r="C123" s="533" t="str">
        <f>IF(ISERROR(VLOOKUP(B123,'Base de Datos'!$C$7:$F$4092,2,0))=TRUE,"",(VLOOKUP('Presupuesto - PAA 2015'!B123,'Base de Datos'!$C$7:$F$4092,3,0)))</f>
        <v>150229-0-2015</v>
      </c>
      <c r="D123" s="533" t="str">
        <f>IF(ISERROR(VLOOKUP(B123,'Base de Datos'!$C$7:$F$4092,3,0))=TRUE,"",(VLOOKUP('Presupuesto - PAA 2015'!B123,'Base de Datos'!$C$7:$F$4092,4,0)))</f>
        <v xml:space="preserve">MOTORES Y MAQUINAS S.A. MOTORYSA </v>
      </c>
      <c r="E123" s="536">
        <v>28000000</v>
      </c>
      <c r="F123" s="534" t="str">
        <f>VLOOKUP(B123,'Actualizada - presupuesto'!$D$7:$L$111,9,0)</f>
        <v>SI</v>
      </c>
      <c r="G123" s="534"/>
      <c r="H123" s="534"/>
      <c r="I123" s="534"/>
      <c r="J123" s="536">
        <f>IF(ISERROR(VLOOKUP(B123,'Base de Datos'!$C$7:$N$4092,6,0))=TRUE,"Sin Celebrar",(VLOOKUP(B123,'Base de Datos'!$C$7:$N$4092,7,0)))</f>
        <v>28000000</v>
      </c>
      <c r="K123" s="600"/>
      <c r="L123" s="536" t="str">
        <f t="shared" si="11"/>
        <v xml:space="preserve"> </v>
      </c>
      <c r="M123" s="536"/>
      <c r="N123" s="536" t="str">
        <f t="shared" si="12"/>
        <v xml:space="preserve"> </v>
      </c>
      <c r="O123" s="719" t="str">
        <f>IF(ISERROR(VLOOKUP(B123,'Base de Datos'!$C$7:$K$1048576,7,0))=TRUE," ",(VLOOKUP(B123,'Base de Datos'!$C$7:$K$1048576,8,0)))</f>
        <v>150229-0-2015</v>
      </c>
      <c r="P123" s="551">
        <f>IF(ISERROR(VLOOKUP(B123,'Base de Datos'!$C$7:$N$4077,9,0))=TRUE," ",(VLOOKUP(B123,'Base de Datos'!$C$7:$N$4077,10,0)))</f>
        <v>42144</v>
      </c>
      <c r="Q123" s="533" t="s">
        <v>1109</v>
      </c>
      <c r="R123" s="551">
        <f>IF(ISERROR(VLOOKUP(B123,'Base de Datos'!$C$7:$N$4077,10,0))=TRUE," ",(VLOOKUP(B123,'Base de Datos'!$C$7:$N$4077,11,0)))</f>
        <v>42180</v>
      </c>
      <c r="S123" s="551">
        <f>IF(ISERROR(VLOOKUP(B123,'Base de Datos'!$C$7:$N$4077,11,0))=TRUE," ",(VLOOKUP(B123,'Base de Datos'!$C$7:$N$4077,12,0)))</f>
        <v>42546</v>
      </c>
      <c r="T123" s="533" t="str">
        <f ca="1">VLOOKUP(C123,'Base de Datos'!$E$7:$AR$382,39,0)</f>
        <v>NO</v>
      </c>
      <c r="U123" s="722"/>
      <c r="V123" s="634"/>
    </row>
    <row r="124" spans="2:22" ht="24" outlineLevel="1" x14ac:dyDescent="0.25">
      <c r="B124" s="537">
        <v>155</v>
      </c>
      <c r="C124" s="533" t="str">
        <f>IF(ISERROR(VLOOKUP(B124,'Base de Datos'!$C$7:$F$4092,2,0))=TRUE,"",(VLOOKUP('Presupuesto - PAA 2015'!B124,'Base de Datos'!$C$7:$F$4092,3,0)))</f>
        <v>150341-0-2015</v>
      </c>
      <c r="D124" s="533" t="str">
        <f>IF(ISERROR(VLOOKUP(B124,'Base de Datos'!$C$7:$F$4092,3,0))=TRUE,"",(VLOOKUP('Presupuesto - PAA 2015'!B124,'Base de Datos'!$C$7:$F$4092,4,0)))</f>
        <v>INGENIERIA DE BOMBAS Y PLANTAS LIMITADA</v>
      </c>
      <c r="E124" s="536">
        <v>5000000</v>
      </c>
      <c r="F124" s="534" t="str">
        <f>VLOOKUP(B124,'Actualizada - presupuesto'!$D$7:$L$111,9,0)</f>
        <v>SI</v>
      </c>
      <c r="G124" s="534"/>
      <c r="H124" s="534"/>
      <c r="I124" s="534"/>
      <c r="J124" s="536">
        <f>IF(ISERROR(VLOOKUP(B124,'Base de Datos'!$C$7:$N$4092,6,0))=TRUE,"Sin Celebrar",(VLOOKUP(B124,'Base de Datos'!$C$7:$N$4092,7,0)))</f>
        <v>5000000</v>
      </c>
      <c r="K124" s="600"/>
      <c r="L124" s="536" t="str">
        <f t="shared" si="11"/>
        <v xml:space="preserve"> </v>
      </c>
      <c r="M124" s="536"/>
      <c r="N124" s="536" t="str">
        <f t="shared" si="12"/>
        <v xml:space="preserve"> </v>
      </c>
      <c r="O124" s="719" t="str">
        <f>IF(ISERROR(VLOOKUP(B124,'Base de Datos'!$C$7:$K$1048576,7,0))=TRUE," ",(VLOOKUP(B124,'Base de Datos'!$C$7:$K$1048576,8,0)))</f>
        <v>SDH-SMINC-49-2015</v>
      </c>
      <c r="P124" s="551">
        <f>IF(ISERROR(VLOOKUP(B124,'Base de Datos'!$C$7:$N$4077,9,0))=TRUE," ",(VLOOKUP(B124,'Base de Datos'!$C$7:$N$4077,10,0)))</f>
        <v>42236</v>
      </c>
      <c r="Q124" s="533" t="s">
        <v>1321</v>
      </c>
      <c r="R124" s="551">
        <f>IF(ISERROR(VLOOKUP(B124,'Base de Datos'!$C$7:$N$4077,10,0))=TRUE," ",(VLOOKUP(B124,'Base de Datos'!$C$7:$N$4077,11,0)))</f>
        <v>42244</v>
      </c>
      <c r="S124" s="551">
        <f>IF(ISERROR(VLOOKUP(B124,'Base de Datos'!$C$7:$N$4077,11,0))=TRUE," ",(VLOOKUP(B124,'Base de Datos'!$C$7:$N$4077,12,0)))</f>
        <v>42549</v>
      </c>
      <c r="T124" s="533" t="str">
        <f ca="1">VLOOKUP(C124,'Base de Datos'!$E$7:$AR$382,39,0)</f>
        <v>NO</v>
      </c>
      <c r="U124" s="722"/>
      <c r="V124" s="634"/>
    </row>
    <row r="125" spans="2:22" ht="24" outlineLevel="1" x14ac:dyDescent="0.25">
      <c r="B125" s="537">
        <v>164</v>
      </c>
      <c r="C125" s="533" t="str">
        <f>IF(ISERROR(VLOOKUP(B125,'Base de Datos'!$C$7:$F$4092,2,0))=TRUE,"",(VLOOKUP('Presupuesto - PAA 2015'!B125,'Base de Datos'!$C$7:$F$4092,3,0)))</f>
        <v>150358-0-2015</v>
      </c>
      <c r="D125" s="533" t="str">
        <f>IF(ISERROR(VLOOKUP(B125,'Base de Datos'!$C$7:$F$4092,3,0))=TRUE,"",(VLOOKUP('Presupuesto - PAA 2015'!B125,'Base de Datos'!$C$7:$F$4092,4,0)))</f>
        <v>MITSU MOTORS SERVICE S.A.S.</v>
      </c>
      <c r="E125" s="536">
        <v>25390000</v>
      </c>
      <c r="F125" s="534" t="str">
        <f>VLOOKUP(B125,'Actualizada - presupuesto'!$D$7:$L$111,9,0)</f>
        <v>SI</v>
      </c>
      <c r="G125" s="534"/>
      <c r="H125" s="534"/>
      <c r="I125" s="534"/>
      <c r="J125" s="536">
        <v>25390000</v>
      </c>
      <c r="K125" s="600"/>
      <c r="L125" s="536" t="str">
        <f t="shared" si="11"/>
        <v xml:space="preserve"> </v>
      </c>
      <c r="M125" s="536"/>
      <c r="N125" s="536" t="str">
        <f t="shared" si="12"/>
        <v xml:space="preserve"> </v>
      </c>
      <c r="O125" s="719" t="str">
        <f>IF(ISERROR(VLOOKUP(B125,'Base de Datos'!$C$7:$K$1048576,7,0))=TRUE," ",(VLOOKUP(B125,'Base de Datos'!$C$7:$K$1048576,8,0)))</f>
        <v>SDH-SMINC-053-2015</v>
      </c>
      <c r="P125" s="551">
        <f>IF(ISERROR(VLOOKUP(B125,'Base de Datos'!$C$7:$N$4077,9,0))=TRUE," ",(VLOOKUP(B125,'Base de Datos'!$C$7:$N$4077,10,0)))</f>
        <v>42268</v>
      </c>
      <c r="Q125" s="533" t="s">
        <v>1851</v>
      </c>
      <c r="R125" s="551">
        <f>IF(ISERROR(VLOOKUP(B125,'Base de Datos'!$C$7:$N$4077,10,0))=TRUE," ",(VLOOKUP(B125,'Base de Datos'!$C$7:$N$4077,11,0)))</f>
        <v>42296</v>
      </c>
      <c r="S125" s="551">
        <f>IF(ISERROR(VLOOKUP(B125,'Base de Datos'!$C$7:$N$4077,11,0))=TRUE," ",(VLOOKUP(B125,'Base de Datos'!$C$7:$N$4077,12,0)))</f>
        <v>42662</v>
      </c>
      <c r="T125" s="533" t="str">
        <f ca="1">VLOOKUP(C125,'Base de Datos'!$E$7:$AR$382,39,0)</f>
        <v>NO</v>
      </c>
      <c r="U125" s="722"/>
      <c r="V125" s="634"/>
    </row>
    <row r="126" spans="2:22" ht="15" customHeight="1" outlineLevel="1" x14ac:dyDescent="0.25">
      <c r="B126" s="537">
        <v>165</v>
      </c>
      <c r="C126" s="533" t="str">
        <f>IF(ISERROR(VLOOKUP(B126,'Base de Datos'!$C$7:$F$4092,2,0))=TRUE,"",(VLOOKUP('Presupuesto - PAA 2015'!B126,'Base de Datos'!$C$7:$F$4092,3,0)))</f>
        <v>150265-0-2015</v>
      </c>
      <c r="D126" s="533" t="str">
        <f>IF(ISERROR(VLOOKUP(B126,'Base de Datos'!$C$7:$F$4092,3,0))=TRUE,"",(VLOOKUP('Presupuesto - PAA 2015'!B126,'Base de Datos'!$C$7:$F$4092,4,0)))</f>
        <v>FLOREZ &amp; ALVAREZ S.A.</v>
      </c>
      <c r="E126" s="536">
        <v>209000000</v>
      </c>
      <c r="F126" s="534" t="str">
        <f>VLOOKUP(B126,'Actualizada - presupuesto'!$D$7:$L$111,9,0)</f>
        <v>SI</v>
      </c>
      <c r="G126" s="534"/>
      <c r="H126" s="534"/>
      <c r="I126" s="534"/>
      <c r="J126" s="536">
        <v>209000000</v>
      </c>
      <c r="K126" s="600"/>
      <c r="L126" s="536" t="str">
        <f t="shared" si="11"/>
        <v xml:space="preserve"> </v>
      </c>
      <c r="M126" s="536"/>
      <c r="N126" s="536" t="str">
        <f t="shared" si="12"/>
        <v xml:space="preserve"> </v>
      </c>
      <c r="O126" s="719" t="str">
        <f>IF(ISERROR(VLOOKUP(B126,'Base de Datos'!$C$7:$K$1048576,7,0))=TRUE," ",(VLOOKUP(B126,'Base de Datos'!$C$7:$K$1048576,8,0)))</f>
        <v>SDH-SIE-05-2015</v>
      </c>
      <c r="P126" s="551">
        <f>IF(ISERROR(VLOOKUP(B126,'Base de Datos'!$C$7:$N$4077,9,0))=TRUE," ",(VLOOKUP(B126,'Base de Datos'!$C$7:$N$4077,10,0)))</f>
        <v>42174</v>
      </c>
      <c r="Q126" s="533" t="s">
        <v>1854</v>
      </c>
      <c r="R126" s="551">
        <f>IF(ISERROR(VLOOKUP(B126,'Base de Datos'!$C$7:$N$4077,10,0))=TRUE," ",(VLOOKUP(B126,'Base de Datos'!$C$7:$N$4077,11,0)))</f>
        <v>42187</v>
      </c>
      <c r="S126" s="551">
        <f>IF(ISERROR(VLOOKUP(B126,'Base de Datos'!$C$7:$N$4077,11,0))=TRUE," ",(VLOOKUP(B126,'Base de Datos'!$C$7:$N$4077,12,0)))</f>
        <v>42492</v>
      </c>
      <c r="T126" s="533" t="str">
        <f ca="1">VLOOKUP(C126,'Base de Datos'!$E$7:$AR$382,39,0)</f>
        <v>NO</v>
      </c>
      <c r="U126" s="722"/>
      <c r="V126" s="634"/>
    </row>
    <row r="127" spans="2:22" outlineLevel="1" x14ac:dyDescent="0.25">
      <c r="B127" s="537">
        <v>171</v>
      </c>
      <c r="C127" s="533" t="str">
        <f>IF(ISERROR(VLOOKUP(B127,'Base de Datos'!$C$7:$F$4092,2,0))=TRUE,"",(VLOOKUP('Presupuesto - PAA 2015'!B127,'Base de Datos'!$C$7:$F$4092,3,0)))</f>
        <v>150219-0-2015</v>
      </c>
      <c r="D127" s="533" t="str">
        <f>IF(ISERROR(VLOOKUP(B127,'Base de Datos'!$C$7:$F$4092,3,0))=TRUE,"",(VLOOKUP('Presupuesto - PAA 2015'!B127,'Base de Datos'!$C$7:$F$4092,4,0)))</f>
        <v>MITSUBISHI ELECTRIC DE COLOMBIA LTDA</v>
      </c>
      <c r="E127" s="536">
        <v>14210000</v>
      </c>
      <c r="F127" s="534" t="str">
        <f>VLOOKUP(B127,'Actualizada - presupuesto'!$D$7:$L$111,9,0)</f>
        <v>SI</v>
      </c>
      <c r="G127" s="534"/>
      <c r="H127" s="534"/>
      <c r="I127" s="534"/>
      <c r="J127" s="536">
        <f>IF(ISERROR(VLOOKUP(B127,'Base de Datos'!$C$7:$N$4092,6,0))=TRUE,"Sin Celebrar",(VLOOKUP(B127,'Base de Datos'!$C$7:$N$4092,7,0)))</f>
        <v>14210000</v>
      </c>
      <c r="K127" s="600"/>
      <c r="L127" s="536" t="str">
        <f t="shared" si="11"/>
        <v xml:space="preserve"> </v>
      </c>
      <c r="M127" s="536"/>
      <c r="N127" s="536" t="str">
        <f t="shared" si="12"/>
        <v xml:space="preserve"> </v>
      </c>
      <c r="O127" s="719" t="str">
        <f>IF(ISERROR(VLOOKUP(B127,'Base de Datos'!$C$7:$K$1048576,7,0))=TRUE," ",(VLOOKUP(B127,'Base de Datos'!$C$7:$K$1048576,8,0)))</f>
        <v>150219-0-2015</v>
      </c>
      <c r="P127" s="551">
        <f>IF(ISERROR(VLOOKUP(B127,'Base de Datos'!$C$7:$N$4077,9,0))=TRUE," ",(VLOOKUP(B127,'Base de Datos'!$C$7:$N$4077,10,0)))</f>
        <v>42132</v>
      </c>
      <c r="Q127" s="533" t="s">
        <v>1854</v>
      </c>
      <c r="R127" s="551">
        <f>IF(ISERROR(VLOOKUP(B127,'Base de Datos'!$C$7:$N$4077,10,0))=TRUE," ",(VLOOKUP(B127,'Base de Datos'!$C$7:$N$4077,11,0)))</f>
        <v>42149</v>
      </c>
      <c r="S127" s="551">
        <f>IF(ISERROR(VLOOKUP(B127,'Base de Datos'!$C$7:$N$4077,11,0))=TRUE," ",(VLOOKUP(B127,'Base de Datos'!$C$7:$N$4077,12,0)))</f>
        <v>42454</v>
      </c>
      <c r="T127" s="533" t="str">
        <f ca="1">VLOOKUP(C127,'Base de Datos'!$E$7:$AR$382,39,0)</f>
        <v>NO</v>
      </c>
      <c r="U127" s="722"/>
      <c r="V127" s="634"/>
    </row>
    <row r="128" spans="2:22" ht="12" customHeight="1" outlineLevel="1" x14ac:dyDescent="0.25">
      <c r="B128" s="537">
        <v>172</v>
      </c>
      <c r="C128" s="533" t="str">
        <f>IF(ISERROR(VLOOKUP(B128,'Base de Datos'!$C$7:$F$4092,2,0))=TRUE,"",(VLOOKUP('Presupuesto - PAA 2015'!B128,'Base de Datos'!$C$7:$F$4092,3,0)))</f>
        <v>150215-0-2015</v>
      </c>
      <c r="D128" s="533" t="str">
        <f>IF(ISERROR(VLOOKUP(B128,'Base de Datos'!$C$7:$F$4092,3,0))=TRUE,"",(VLOOKUP('Presupuesto - PAA 2015'!B128,'Base de Datos'!$C$7:$F$4092,4,0)))</f>
        <v>MODULARES OFIMA LTDA</v>
      </c>
      <c r="E128" s="536">
        <v>5874000</v>
      </c>
      <c r="F128" s="534" t="str">
        <f>VLOOKUP(B128,'Actualizada - presupuesto'!$D$7:$L$111,9,0)</f>
        <v>SI</v>
      </c>
      <c r="G128" s="534"/>
      <c r="H128" s="534"/>
      <c r="I128" s="534"/>
      <c r="J128" s="536">
        <f>IF(ISERROR(VLOOKUP(B128,'Base de Datos'!$C$7:$N$4092,6,0))=TRUE,"Sin Celebrar",(VLOOKUP(B128,'Base de Datos'!$C$7:$N$4092,7,0)))</f>
        <v>5874000</v>
      </c>
      <c r="K128" s="600"/>
      <c r="L128" s="536" t="str">
        <f t="shared" si="11"/>
        <v xml:space="preserve"> </v>
      </c>
      <c r="M128" s="536"/>
      <c r="N128" s="536" t="str">
        <f t="shared" si="12"/>
        <v xml:space="preserve"> </v>
      </c>
      <c r="O128" s="719" t="str">
        <f>IF(ISERROR(VLOOKUP(B128,'Base de Datos'!$C$7:$K$1048576,7,0))=TRUE," ",(VLOOKUP(B128,'Base de Datos'!$C$7:$K$1048576,8,0)))</f>
        <v>SDH-SMINC-19-2015</v>
      </c>
      <c r="P128" s="551">
        <f>IF(ISERROR(VLOOKUP(B128,'Base de Datos'!$C$7:$N$4077,9,0))=TRUE," ",(VLOOKUP(B128,'Base de Datos'!$C$7:$N$4077,10,0)))</f>
        <v>42130</v>
      </c>
      <c r="Q128" s="533" t="s">
        <v>1851</v>
      </c>
      <c r="R128" s="551">
        <f>IF(ISERROR(VLOOKUP(B128,'Base de Datos'!$C$7:$N$4077,10,0))=TRUE," ",(VLOOKUP(B128,'Base de Datos'!$C$7:$N$4077,11,0)))</f>
        <v>42149</v>
      </c>
      <c r="S128" s="551">
        <f>IF(ISERROR(VLOOKUP(B128,'Base de Datos'!$C$7:$N$4077,11,0))=TRUE," ",(VLOOKUP(B128,'Base de Datos'!$C$7:$N$4077,12,0)))</f>
        <v>42515</v>
      </c>
      <c r="T128" s="533" t="str">
        <f ca="1">VLOOKUP(C128,'Base de Datos'!$E$7:$AR$382,39,0)</f>
        <v>NO</v>
      </c>
      <c r="U128" s="722"/>
      <c r="V128" s="634"/>
    </row>
    <row r="129" spans="2:22" ht="24" outlineLevel="1" x14ac:dyDescent="0.25">
      <c r="B129" s="537">
        <v>173</v>
      </c>
      <c r="C129" s="533" t="str">
        <f>IF(ISERROR(VLOOKUP(B129,'Base de Datos'!$C$7:$F$4092,2,0))=TRUE,"",(VLOOKUP('Presupuesto - PAA 2015'!B129,'Base de Datos'!$C$7:$F$4092,3,0)))</f>
        <v>150323-0-2015</v>
      </c>
      <c r="D129" s="533" t="str">
        <f>IF(ISERROR(VLOOKUP(B129,'Base de Datos'!$C$7:$F$4092,3,0))=TRUE,"",(VLOOKUP('Presupuesto - PAA 2015'!B129,'Base de Datos'!$C$7:$F$4092,4,0)))</f>
        <v>ALCALA &amp; ESPINOSA DISEÑO Y CONSTRUCCIÓN Ltda.</v>
      </c>
      <c r="E129" s="536">
        <v>213921490</v>
      </c>
      <c r="F129" s="534" t="str">
        <f>VLOOKUP(B129,'Actualizada - presupuesto'!$D$7:$L$111,9,0)</f>
        <v>SI</v>
      </c>
      <c r="G129" s="534"/>
      <c r="H129" s="534"/>
      <c r="I129" s="534"/>
      <c r="J129" s="536">
        <f>IF(ISERROR(VLOOKUP(B129,'Base de Datos'!$C$7:$N$4092,6,0))=TRUE,"Sin Celebrar",(VLOOKUP(B129,'Base de Datos'!$C$7:$N$4092,7,0)))</f>
        <v>213921490</v>
      </c>
      <c r="K129" s="600"/>
      <c r="L129" s="536" t="str">
        <f t="shared" si="11"/>
        <v xml:space="preserve"> </v>
      </c>
      <c r="M129" s="536"/>
      <c r="N129" s="536" t="str">
        <f t="shared" si="12"/>
        <v xml:space="preserve"> </v>
      </c>
      <c r="O129" s="719" t="str">
        <f>IF(ISERROR(VLOOKUP(B129,'Base de Datos'!$C$7:$K$1048576,7,0))=TRUE," ",(VLOOKUP(B129,'Base de Datos'!$C$7:$K$1048576,8,0)))</f>
        <v>SDH-SAMC-05-2015</v>
      </c>
      <c r="P129" s="551">
        <f>IF(ISERROR(VLOOKUP(B129,'Base de Datos'!$C$7:$N$4077,9,0))=TRUE," ",(VLOOKUP(B129,'Base de Datos'!$C$7:$N$4077,10,0)))</f>
        <v>42213</v>
      </c>
      <c r="Q129" s="533" t="s">
        <v>1321</v>
      </c>
      <c r="R129" s="551">
        <f>IF(ISERROR(VLOOKUP(B129,'Base de Datos'!$C$7:$N$4077,10,0))=TRUE," ",(VLOOKUP(B129,'Base de Datos'!$C$7:$N$4077,11,0)))</f>
        <v>42250</v>
      </c>
      <c r="S129" s="551">
        <f>IF(ISERROR(VLOOKUP(B129,'Base de Datos'!$C$7:$N$4077,11,0))=TRUE," ",(VLOOKUP(B129,'Base de Datos'!$C$7:$N$4077,12,0)))</f>
        <v>42524</v>
      </c>
      <c r="T129" s="533" t="str">
        <f ca="1">VLOOKUP(C129,'Base de Datos'!$E$7:$AR$382,39,0)</f>
        <v>NO</v>
      </c>
      <c r="U129" s="722"/>
      <c r="V129" s="634"/>
    </row>
    <row r="130" spans="2:22" outlineLevel="1" x14ac:dyDescent="0.25">
      <c r="B130" s="537">
        <v>174</v>
      </c>
      <c r="C130" s="533" t="str">
        <f>IF(ISERROR(VLOOKUP(B130,'Base de Datos'!$C$7:$F$4092,2,0))=TRUE,"",(VLOOKUP('Presupuesto - PAA 2015'!B130,'Base de Datos'!$C$7:$F$4092,3,0)))</f>
        <v>150226-0-2015</v>
      </c>
      <c r="D130" s="533" t="str">
        <f>IF(ISERROR(VLOOKUP(B130,'Base de Datos'!$C$7:$F$4092,3,0))=TRUE,"",(VLOOKUP('Presupuesto - PAA 2015'!B130,'Base de Datos'!$C$7:$F$4092,4,0)))</f>
        <v>COOPERATIVA DE VIGILANTES STARCOOP CTA</v>
      </c>
      <c r="E130" s="536">
        <v>566000000</v>
      </c>
      <c r="F130" s="534" t="str">
        <f>VLOOKUP(B130,'Actualizada - presupuesto'!$D$7:$L$111,9,0)</f>
        <v>SI</v>
      </c>
      <c r="G130" s="534"/>
      <c r="H130" s="534"/>
      <c r="I130" s="534"/>
      <c r="J130" s="536">
        <f>IF(ISERROR(VLOOKUP(B130,'Base de Datos'!$C$7:$N$4092,6,0))=TRUE,"Sin Celebrar",(VLOOKUP(B130,'Base de Datos'!$C$7:$N$4092,7,0)))</f>
        <v>566000000</v>
      </c>
      <c r="K130" s="600"/>
      <c r="L130" s="536" t="str">
        <f t="shared" si="11"/>
        <v xml:space="preserve"> </v>
      </c>
      <c r="M130" s="536"/>
      <c r="N130" s="536" t="str">
        <f t="shared" si="12"/>
        <v xml:space="preserve"> </v>
      </c>
      <c r="O130" s="719" t="str">
        <f>IF(ISERROR(VLOOKUP(B130,'Base de Datos'!$C$7:$K$1048576,7,0))=TRUE," ",(VLOOKUP(B130,'Base de Datos'!$C$7:$K$1048576,8,0)))</f>
        <v>SDH-SIE-03-2015</v>
      </c>
      <c r="P130" s="551">
        <f>IF(ISERROR(VLOOKUP(B130,'Base de Datos'!$C$7:$N$4077,9,0))=TRUE," ",(VLOOKUP(B130,'Base de Datos'!$C$7:$N$4077,10,0)))</f>
        <v>42136</v>
      </c>
      <c r="Q130" s="533" t="s">
        <v>1851</v>
      </c>
      <c r="R130" s="551">
        <f>IF(ISERROR(VLOOKUP(B130,'Base de Datos'!$C$7:$N$4077,10,0))=TRUE," ",(VLOOKUP(B130,'Base de Datos'!$C$7:$N$4077,11,0)))</f>
        <v>42141</v>
      </c>
      <c r="S130" s="551">
        <f>IF(ISERROR(VLOOKUP(B130,'Base de Datos'!$C$7:$N$4077,11,0))=TRUE," ",(VLOOKUP(B130,'Base de Datos'!$C$7:$N$4077,12,0)))</f>
        <v>42507</v>
      </c>
      <c r="T130" s="533" t="str">
        <f ca="1">VLOOKUP(C130,'Base de Datos'!$E$7:$AR$382,39,0)</f>
        <v>NO</v>
      </c>
      <c r="U130" s="722"/>
      <c r="V130" s="634"/>
    </row>
    <row r="131" spans="2:22" ht="9.75" customHeight="1" outlineLevel="1" x14ac:dyDescent="0.25">
      <c r="B131" s="537">
        <v>175</v>
      </c>
      <c r="C131" s="533" t="str">
        <f>IF(ISERROR(VLOOKUP(B131,'Base de Datos'!$C$7:$F$4092,2,0))=TRUE,"",(VLOOKUP('Presupuesto - PAA 2015'!B131,'Base de Datos'!$C$7:$F$4092,3,0)))</f>
        <v>150191-0-2015</v>
      </c>
      <c r="D131" s="533" t="str">
        <f>IF(ISERROR(VLOOKUP(B131,'Base de Datos'!$C$7:$F$4092,3,0))=TRUE,"",(VLOOKUP('Presupuesto - PAA 2015'!B131,'Base de Datos'!$C$7:$F$4092,4,0)))</f>
        <v>HERNANDO  BULLA ORJUELA</v>
      </c>
      <c r="E131" s="536">
        <v>27620000</v>
      </c>
      <c r="F131" s="534" t="str">
        <f>VLOOKUP(B131,'Actualizada - presupuesto'!$D$7:$L$111,9,0)</f>
        <v>SI</v>
      </c>
      <c r="G131" s="534"/>
      <c r="H131" s="534"/>
      <c r="I131" s="534"/>
      <c r="J131" s="536">
        <f>IF(ISERROR(VLOOKUP(B131,'Base de Datos'!$C$7:$N$4092,6,0))=TRUE,"Sin Celebrar",(VLOOKUP(B131,'Base de Datos'!$C$7:$N$4092,7,0)))</f>
        <v>27620000</v>
      </c>
      <c r="K131" s="600"/>
      <c r="L131" s="536" t="str">
        <f t="shared" si="11"/>
        <v xml:space="preserve"> </v>
      </c>
      <c r="M131" s="536"/>
      <c r="N131" s="536" t="str">
        <f t="shared" si="12"/>
        <v xml:space="preserve"> </v>
      </c>
      <c r="O131" s="719" t="str">
        <f>IF(ISERROR(VLOOKUP(B131,'Base de Datos'!$C$7:$K$1048576,7,0))=TRUE," ",(VLOOKUP(B131,'Base de Datos'!$C$7:$K$1048576,8,0)))</f>
        <v>SDH-SMINC-15-2015</v>
      </c>
      <c r="P131" s="551">
        <f>IF(ISERROR(VLOOKUP(B131,'Base de Datos'!$C$7:$N$4077,9,0))=TRUE," ",(VLOOKUP(B131,'Base de Datos'!$C$7:$N$4077,10,0)))</f>
        <v>42109</v>
      </c>
      <c r="Q131" s="533" t="s">
        <v>1851</v>
      </c>
      <c r="R131" s="551">
        <f>IF(ISERROR(VLOOKUP(B131,'Base de Datos'!$C$7:$N$4077,10,0))=TRUE," ",(VLOOKUP(B131,'Base de Datos'!$C$7:$N$4077,11,0)))</f>
        <v>42137</v>
      </c>
      <c r="S131" s="551">
        <f>IF(ISERROR(VLOOKUP(B131,'Base de Datos'!$C$7:$N$4077,11,0))=TRUE," ",(VLOOKUP(B131,'Base de Datos'!$C$7:$N$4077,12,0)))</f>
        <v>42503</v>
      </c>
      <c r="T131" s="533" t="str">
        <f ca="1">VLOOKUP(C131,'Base de Datos'!$E$7:$AR$382,39,0)</f>
        <v>NO</v>
      </c>
      <c r="U131" s="722"/>
      <c r="V131" s="634"/>
    </row>
    <row r="132" spans="2:22" ht="14.25" customHeight="1" outlineLevel="1" x14ac:dyDescent="0.25">
      <c r="B132" s="537">
        <v>176</v>
      </c>
      <c r="C132" s="533" t="str">
        <f>IF(ISERROR(VLOOKUP(B132,'Base de Datos'!$C$7:$F$4092,2,0))=TRUE,"",(VLOOKUP('Presupuesto - PAA 2015'!B132,'Base de Datos'!$C$7:$F$4092,3,0)))</f>
        <v>150141-0-2015</v>
      </c>
      <c r="D132" s="533" t="str">
        <f>IF(ISERROR(VLOOKUP(B132,'Base de Datos'!$C$7:$F$4092,3,0))=TRUE,"",(VLOOKUP('Presupuesto - PAA 2015'!B132,'Base de Datos'!$C$7:$F$4092,4,0)))</f>
        <v>MIGUEL ANDRÉS GUTIÉRREZ ROMERO</v>
      </c>
      <c r="E132" s="536">
        <v>28000000</v>
      </c>
      <c r="F132" s="534" t="str">
        <f>VLOOKUP(B132,'Actualizada - presupuesto'!$D$7:$L$111,9,0)</f>
        <v>SI</v>
      </c>
      <c r="G132" s="534"/>
      <c r="H132" s="534"/>
      <c r="I132" s="534"/>
      <c r="J132" s="536">
        <f>IF(ISERROR(VLOOKUP(B132,'Base de Datos'!$C$7:$N$4092,6,0))=TRUE,"Sin Celebrar",(VLOOKUP(B132,'Base de Datos'!$C$7:$N$4092,7,0)))</f>
        <v>28000000</v>
      </c>
      <c r="K132" s="600"/>
      <c r="L132" s="536" t="str">
        <f t="shared" si="11"/>
        <v xml:space="preserve"> </v>
      </c>
      <c r="M132" s="536"/>
      <c r="N132" s="536" t="str">
        <f t="shared" si="12"/>
        <v xml:space="preserve"> </v>
      </c>
      <c r="O132" s="719" t="str">
        <f>IF(ISERROR(VLOOKUP(B132,'Base de Datos'!$C$7:$K$1048576,7,0))=TRUE," ",(VLOOKUP(B132,'Base de Datos'!$C$7:$K$1048576,8,0)))</f>
        <v>SDH-SMINC-07-2015</v>
      </c>
      <c r="P132" s="551">
        <f>IF(ISERROR(VLOOKUP(B132,'Base de Datos'!$C$7:$N$4077,9,0))=TRUE," ",(VLOOKUP(B132,'Base de Datos'!$C$7:$N$4077,10,0)))</f>
        <v>42093</v>
      </c>
      <c r="Q132" s="533" t="s">
        <v>1851</v>
      </c>
      <c r="R132" s="551">
        <f>IF(ISERROR(VLOOKUP(B132,'Base de Datos'!$C$7:$N$4077,10,0))=TRUE," ",(VLOOKUP(B132,'Base de Datos'!$C$7:$N$4077,11,0)))</f>
        <v>42116</v>
      </c>
      <c r="S132" s="551">
        <f>IF(ISERROR(VLOOKUP(B132,'Base de Datos'!$C$7:$N$4077,11,0))=TRUE," ",(VLOOKUP(B132,'Base de Datos'!$C$7:$N$4077,12,0)))</f>
        <v>42482</v>
      </c>
      <c r="T132" s="533" t="str">
        <f ca="1">VLOOKUP(C132,'Base de Datos'!$E$7:$AR$382,39,0)</f>
        <v>NO</v>
      </c>
      <c r="U132" s="722"/>
      <c r="V132" s="634"/>
    </row>
    <row r="133" spans="2:22" ht="24" outlineLevel="1" x14ac:dyDescent="0.25">
      <c r="B133" s="537">
        <v>177</v>
      </c>
      <c r="C133" s="533" t="str">
        <f>IF(ISERROR(VLOOKUP(B133,'Base de Datos'!$C$7:$F$4092,2,0))=TRUE,"",(VLOOKUP('Presupuesto - PAA 2015'!B133,'Base de Datos'!$C$7:$F$4092,3,0)))</f>
        <v>150193-0-2015</v>
      </c>
      <c r="D133" s="533" t="str">
        <f>IF(ISERROR(VLOOKUP(B133,'Base de Datos'!$C$7:$F$4092,3,0))=TRUE,"",(VLOOKUP('Presupuesto - PAA 2015'!B133,'Base de Datos'!$C$7:$F$4092,4,0)))</f>
        <v>SOMOS LA OPTIMIZACION EMPRESARIAL A SU SERVICIO- SOPT SAS</v>
      </c>
      <c r="E133" s="536">
        <v>11000000</v>
      </c>
      <c r="F133" s="534" t="str">
        <f>VLOOKUP(B133,'Actualizada - presupuesto'!$D$7:$L$111,9,0)</f>
        <v>SI</v>
      </c>
      <c r="G133" s="534"/>
      <c r="H133" s="534"/>
      <c r="I133" s="534"/>
      <c r="J133" s="536">
        <f>IF(ISERROR(VLOOKUP(B133,'Base de Datos'!$C$7:$N$4092,6,0))=TRUE,"Sin Celebrar",(VLOOKUP(B133,'Base de Datos'!$C$7:$N$4092,7,0)))</f>
        <v>11000000</v>
      </c>
      <c r="K133" s="600"/>
      <c r="L133" s="536" t="str">
        <f t="shared" si="11"/>
        <v xml:space="preserve"> </v>
      </c>
      <c r="M133" s="536"/>
      <c r="N133" s="536" t="str">
        <f t="shared" si="12"/>
        <v xml:space="preserve"> </v>
      </c>
      <c r="O133" s="719" t="str">
        <f>IF(ISERROR(VLOOKUP(B133,'Base de Datos'!$C$7:$K$1048576,7,0))=TRUE," ",(VLOOKUP(B133,'Base de Datos'!$C$7:$K$1048576,8,0)))</f>
        <v>SDH-SMINC-010-2015</v>
      </c>
      <c r="P133" s="551">
        <f>IF(ISERROR(VLOOKUP(B133,'Base de Datos'!$C$7:$N$4077,9,0))=TRUE," ",(VLOOKUP(B133,'Base de Datos'!$C$7:$N$4077,10,0)))</f>
        <v>42109</v>
      </c>
      <c r="Q133" s="533" t="s">
        <v>1851</v>
      </c>
      <c r="R133" s="551">
        <f>IF(ISERROR(VLOOKUP(B133,'Base de Datos'!$C$7:$N$4077,10,0))=TRUE," ",(VLOOKUP(B133,'Base de Datos'!$C$7:$N$4077,11,0)))</f>
        <v>42135</v>
      </c>
      <c r="S133" s="551">
        <f>IF(ISERROR(VLOOKUP(B133,'Base de Datos'!$C$7:$N$4077,11,0))=TRUE," ",(VLOOKUP(B133,'Base de Datos'!$C$7:$N$4077,12,0)))</f>
        <v>42501</v>
      </c>
      <c r="T133" s="533" t="str">
        <f ca="1">VLOOKUP(C133,'Base de Datos'!$E$7:$AR$382,39,0)</f>
        <v>NO</v>
      </c>
      <c r="U133" s="722"/>
      <c r="V133" s="634"/>
    </row>
    <row r="134" spans="2:22" ht="24" outlineLevel="1" x14ac:dyDescent="0.25">
      <c r="B134" s="552">
        <v>178</v>
      </c>
      <c r="C134" s="533" t="str">
        <f>IF(ISERROR(VLOOKUP(B134,'Base de Datos'!$C$7:$F$4092,2,0))=TRUE,"",(VLOOKUP('Presupuesto - PAA 2015'!B134,'Base de Datos'!$C$7:$F$4092,3,0)))</f>
        <v>150152-0-2015</v>
      </c>
      <c r="D134" s="533" t="str">
        <f>IF(ISERROR(VLOOKUP(B134,'Base de Datos'!$C$7:$F$4092,3,0))=TRUE,"",(VLOOKUP('Presupuesto - PAA 2015'!B134,'Base de Datos'!$C$7:$F$4092,4,0)))</f>
        <v>REPRESENTACIONES E INVERSIONES AGUAFILTERS J F LTDA</v>
      </c>
      <c r="E134" s="554">
        <v>3035520</v>
      </c>
      <c r="F134" s="534" t="str">
        <f>VLOOKUP(B134,'Actualizada - presupuesto'!$D$7:$L$111,9,0)</f>
        <v>SI</v>
      </c>
      <c r="G134" s="555"/>
      <c r="H134" s="555"/>
      <c r="I134" s="555"/>
      <c r="J134" s="536">
        <f>IF(ISERROR(VLOOKUP(B134,'Base de Datos'!$C$7:$N$4092,6,0))=TRUE,"Sin Celebrar",(VLOOKUP(B134,'Base de Datos'!$C$7:$N$4092,7,0)))</f>
        <v>3035520</v>
      </c>
      <c r="K134" s="604"/>
      <c r="L134" s="536" t="str">
        <f>IF(J134=$AA$1,E134, " ")</f>
        <v xml:space="preserve"> </v>
      </c>
      <c r="M134" s="554"/>
      <c r="N134" s="536" t="str">
        <f>IF(J134&lt;E134,(E134-J134)," ")</f>
        <v xml:space="preserve"> </v>
      </c>
      <c r="O134" s="719" t="str">
        <f>IF(ISERROR(VLOOKUP(B134,'Base de Datos'!$C$7:$K$1048576,7,0))=TRUE," ",(VLOOKUP(B134,'Base de Datos'!$C$7:$K$1048576,8,0)))</f>
        <v>SDH-SMINC-05-2015</v>
      </c>
      <c r="P134" s="551">
        <f>IF(ISERROR(VLOOKUP(B134,'Base de Datos'!$C$7:$N$4077,9,0))=TRUE," ",(VLOOKUP(B134,'Base de Datos'!$C$7:$N$4077,10,0)))</f>
        <v>42100</v>
      </c>
      <c r="Q134" s="553" t="s">
        <v>1851</v>
      </c>
      <c r="R134" s="551">
        <f>IF(ISERROR(VLOOKUP(B134,'Base de Datos'!$C$7:$N$4077,10,0))=TRUE," ",(VLOOKUP(B134,'Base de Datos'!$C$7:$N$4077,11,0)))</f>
        <v>42121</v>
      </c>
      <c r="S134" s="551">
        <f>IF(ISERROR(VLOOKUP(B134,'Base de Datos'!$C$7:$N$4077,11,0))=TRUE," ",(VLOOKUP(B134,'Base de Datos'!$C$7:$N$4077,12,0)))</f>
        <v>42487</v>
      </c>
      <c r="T134" s="533" t="str">
        <f ca="1">VLOOKUP(C134,'Base de Datos'!$E$7:$AR$382,39,0)</f>
        <v>NO</v>
      </c>
      <c r="U134" s="722"/>
      <c r="V134" s="634"/>
    </row>
    <row r="135" spans="2:22" ht="24" outlineLevel="1" x14ac:dyDescent="0.25">
      <c r="B135" s="552">
        <v>327</v>
      </c>
      <c r="C135" s="533" t="s">
        <v>292</v>
      </c>
      <c r="D135" s="553" t="s">
        <v>2106</v>
      </c>
      <c r="E135" s="554">
        <v>2324400</v>
      </c>
      <c r="F135" s="555" t="s">
        <v>390</v>
      </c>
      <c r="G135" s="555"/>
      <c r="H135" s="555"/>
      <c r="I135" s="555"/>
      <c r="J135" s="554">
        <v>2324400</v>
      </c>
      <c r="K135" s="604"/>
      <c r="L135" s="536" t="str">
        <f>IF(J135=$AA$1,E135, " ")</f>
        <v xml:space="preserve"> </v>
      </c>
      <c r="M135" s="554"/>
      <c r="N135" s="536" t="str">
        <f>IF(J135&lt;E135,(E135-J135)," ")</f>
        <v xml:space="preserve"> </v>
      </c>
      <c r="O135" s="719" t="str">
        <f>IF(ISERROR(VLOOKUP(B135,'Base de Datos'!$C$7:$K$1048576,7,0))=TRUE," ",(VLOOKUP(B135,'Base de Datos'!$C$7:$K$1048576,8,0)))</f>
        <v xml:space="preserve"> </v>
      </c>
      <c r="P135" s="551" t="str">
        <f>IF(ISERROR(VLOOKUP(B135,'Base de Datos'!$C$7:$N$4077,9,0))=TRUE," ",(VLOOKUP(B135,'Base de Datos'!$C$7:$N$4077,10,0)))</f>
        <v xml:space="preserve"> </v>
      </c>
      <c r="Q135" s="553"/>
      <c r="R135" s="556" t="str">
        <f>IF(ISERROR(VLOOKUP(B135,'Base de Datos'!$C$7:$N$4077,10,0))=TRUE," ",(VLOOKUP(B135,'Base de Datos'!$C$7:$N$4077,10,0)))</f>
        <v xml:space="preserve"> </v>
      </c>
      <c r="S135" s="556" t="str">
        <f>IF(ISERROR(VLOOKUP(B135,'Base de Datos'!$C$7:$N$4077,11,0))=TRUE," ",(VLOOKUP(B135,'Base de Datos'!$C$7:$N$4077,11,0)))</f>
        <v xml:space="preserve"> </v>
      </c>
      <c r="T135" s="533" t="str">
        <f ca="1">VLOOKUP(C135,'Base de Datos'!$E$7:$AR$382,39,0)</f>
        <v>NO</v>
      </c>
      <c r="U135" s="722"/>
      <c r="V135" s="634"/>
    </row>
    <row r="136" spans="2:22" outlineLevel="1" x14ac:dyDescent="0.25">
      <c r="B136" s="552"/>
      <c r="C136" s="553"/>
      <c r="D136" s="553" t="s">
        <v>1935</v>
      </c>
      <c r="E136" s="536">
        <f>E117-SUM(E119:E135)</f>
        <v>19543890</v>
      </c>
      <c r="F136" s="555"/>
      <c r="G136" s="555"/>
      <c r="H136" s="555"/>
      <c r="I136" s="555"/>
      <c r="J136" s="554"/>
      <c r="K136" s="604"/>
      <c r="L136" s="554"/>
      <c r="M136" s="554"/>
      <c r="N136" s="554">
        <f>IF(J136&lt;E136,(E136-J136)," ")</f>
        <v>19543890</v>
      </c>
      <c r="O136" s="679"/>
      <c r="P136" s="551" t="str">
        <f>IF(ISERROR(VLOOKUP(B136,'Base de Datos'!$C$7:$N$315,9,0))=TRUE," ",(VLOOKUP(B136,'Base de Datos'!$C$7:$N$315,9,0)))</f>
        <v xml:space="preserve"> </v>
      </c>
      <c r="Q136" s="553"/>
      <c r="R136" s="556" t="str">
        <f>IF(ISERROR(VLOOKUP(B136,'Base de Datos'!$C$7:$N$4077,10,0))=TRUE," ",(VLOOKUP(B136,'Base de Datos'!$C$7:$N$4077,10,0)))</f>
        <v xml:space="preserve"> </v>
      </c>
      <c r="S136" s="556" t="str">
        <f>IF(ISERROR(VLOOKUP(B136,'Base de Datos'!$C$7:$N$4077,11,0))=TRUE," ",(VLOOKUP(B136,'Base de Datos'!$C$7:$N$4077,11,0)))</f>
        <v xml:space="preserve"> </v>
      </c>
      <c r="T136" s="533"/>
      <c r="U136" s="722"/>
      <c r="V136" s="634"/>
    </row>
    <row r="137" spans="2:22" outlineLevel="1" x14ac:dyDescent="0.25">
      <c r="B137" s="648"/>
      <c r="C137" s="648"/>
      <c r="D137" s="648"/>
      <c r="E137" s="536"/>
      <c r="F137" s="534"/>
      <c r="G137" s="534"/>
      <c r="H137" s="534"/>
      <c r="I137" s="534"/>
      <c r="J137" s="536"/>
      <c r="K137" s="600"/>
      <c r="L137" s="536"/>
      <c r="M137" s="536"/>
      <c r="N137" s="536"/>
      <c r="O137" s="678"/>
      <c r="P137" s="551"/>
      <c r="Q137" s="533"/>
      <c r="R137" s="551"/>
      <c r="S137" s="551"/>
      <c r="T137" s="533"/>
      <c r="U137" s="722"/>
      <c r="V137" s="634"/>
    </row>
    <row r="138" spans="2:22" outlineLevel="1" x14ac:dyDescent="0.25">
      <c r="B138" s="648"/>
      <c r="C138" s="648"/>
      <c r="D138" s="648"/>
      <c r="E138" s="536"/>
      <c r="F138" s="534"/>
      <c r="G138" s="534"/>
      <c r="H138" s="534"/>
      <c r="I138" s="534"/>
      <c r="J138" s="536"/>
      <c r="K138" s="600"/>
      <c r="L138" s="536"/>
      <c r="M138" s="536"/>
      <c r="N138" s="536"/>
      <c r="O138" s="678"/>
      <c r="P138" s="551"/>
      <c r="Q138" s="533"/>
      <c r="R138" s="551"/>
      <c r="S138" s="551"/>
      <c r="T138" s="533"/>
      <c r="U138" s="722"/>
      <c r="V138" s="634"/>
    </row>
    <row r="139" spans="2:22" ht="15" customHeight="1" x14ac:dyDescent="0.25">
      <c r="B139" s="1196" t="s">
        <v>1656</v>
      </c>
      <c r="C139" s="1196"/>
      <c r="D139" s="1196"/>
      <c r="E139" s="557">
        <v>1513500000</v>
      </c>
      <c r="F139" s="558">
        <f>COUNTIF('Actualizada - presupuesto'!$E$7:$E$111,B139)</f>
        <v>0</v>
      </c>
      <c r="G139" s="558"/>
      <c r="H139" s="558"/>
      <c r="I139" s="558"/>
      <c r="J139" s="567">
        <v>1306122735</v>
      </c>
      <c r="K139" s="609">
        <f>J139/E139</f>
        <v>0.86298165510406344</v>
      </c>
      <c r="L139" s="567">
        <f>+L140+L147+L154</f>
        <v>190346405</v>
      </c>
      <c r="M139" s="567"/>
      <c r="N139" s="567">
        <f>+N140+N147+N154</f>
        <v>17030842</v>
      </c>
      <c r="O139" s="685"/>
      <c r="P139" s="573" t="str">
        <f>IF(ISERROR(VLOOKUP(B139,'Base de Datos'!$C$7:$N$315,8,0))=TRUE," ",(VLOOKUP(B139,'Base de Datos'!$C$7:$N$315,8,0)))</f>
        <v xml:space="preserve"> </v>
      </c>
      <c r="Q139" s="574"/>
      <c r="R139" s="573" t="str">
        <f>IF(ISERROR(VLOOKUP(B139,'Base de Datos'!$C$7:$N$315,9,0))=TRUE," ",(VLOOKUP(B139,'Base de Datos'!$C$7:$N$315,9,0)))</f>
        <v xml:space="preserve"> </v>
      </c>
      <c r="S139" s="573" t="str">
        <f>IF(ISERROR(VLOOKUP(B139,'Base de Datos'!$C$7:$N$315,10,0))=TRUE," ",(VLOOKUP(B139,'Base de Datos'!$C$7:$N$315,10,0)))</f>
        <v xml:space="preserve"> </v>
      </c>
      <c r="T139" s="569"/>
      <c r="U139" s="722"/>
      <c r="V139" s="634"/>
    </row>
    <row r="140" spans="2:22" ht="15" customHeight="1" x14ac:dyDescent="0.25">
      <c r="B140" s="1181" t="s">
        <v>1657</v>
      </c>
      <c r="C140" s="1181"/>
      <c r="D140" s="1181"/>
      <c r="E140" s="581">
        <v>205193000</v>
      </c>
      <c r="F140" s="586">
        <f>COUNTIF('Actualizada - presupuesto'!$E$7:$E$111,B140)</f>
        <v>2</v>
      </c>
      <c r="G140" s="586"/>
      <c r="H140" s="586"/>
      <c r="I140" s="586"/>
      <c r="J140" s="733">
        <v>188702234</v>
      </c>
      <c r="K140" s="603">
        <f>J140/E140</f>
        <v>0.91963290170717327</v>
      </c>
      <c r="L140" s="581">
        <f>SUM(L142:L145)</f>
        <v>0</v>
      </c>
      <c r="M140" s="581"/>
      <c r="N140" s="581">
        <f>+E140-J140-L140</f>
        <v>16490766</v>
      </c>
      <c r="O140" s="684"/>
      <c r="P140" s="591" t="str">
        <f>IF(ISERROR(VLOOKUP(B140,'Base de Datos'!$C$7:$N$315,8,0))=TRUE," ",(VLOOKUP(B140,'Base de Datos'!$C$7:$N$315,8,0)))</f>
        <v xml:space="preserve"> </v>
      </c>
      <c r="Q140" s="592"/>
      <c r="R140" s="591" t="str">
        <f>IF(ISERROR(VLOOKUP(B140,'Base de Datos'!$C$7:$N$315,9,0))=TRUE," ",(VLOOKUP(B140,'Base de Datos'!$C$7:$N$315,9,0)))</f>
        <v xml:space="preserve"> </v>
      </c>
      <c r="S140" s="591" t="str">
        <f>IF(ISERROR(VLOOKUP(B140,'Base de Datos'!$C$7:$N$315,10,0))=TRUE," ",(VLOOKUP(B140,'Base de Datos'!$C$7:$N$315,10,0)))</f>
        <v xml:space="preserve"> </v>
      </c>
      <c r="T140" s="592"/>
      <c r="U140" s="722"/>
      <c r="V140" s="634"/>
    </row>
    <row r="141" spans="2:22" ht="24" outlineLevel="1" x14ac:dyDescent="0.25">
      <c r="B141" s="537" t="s">
        <v>1693</v>
      </c>
      <c r="C141" s="537" t="s">
        <v>912</v>
      </c>
      <c r="D141" s="537" t="s">
        <v>1822</v>
      </c>
      <c r="E141" s="545" t="s">
        <v>1846</v>
      </c>
      <c r="F141" s="534" t="s">
        <v>1853</v>
      </c>
      <c r="G141" s="534"/>
      <c r="H141" s="534"/>
      <c r="I141" s="534"/>
      <c r="J141" s="537" t="s">
        <v>1845</v>
      </c>
      <c r="K141" s="652"/>
      <c r="L141" s="537" t="s">
        <v>1939</v>
      </c>
      <c r="M141" s="537"/>
      <c r="N141" s="537" t="s">
        <v>1940</v>
      </c>
      <c r="O141" s="677"/>
      <c r="P141" s="568" t="s">
        <v>1847</v>
      </c>
      <c r="Q141" s="537" t="s">
        <v>1848</v>
      </c>
      <c r="R141" s="537" t="s">
        <v>1849</v>
      </c>
      <c r="S141" s="537" t="s">
        <v>375</v>
      </c>
      <c r="T141" s="537" t="s">
        <v>1850</v>
      </c>
      <c r="U141" s="722"/>
      <c r="V141" s="634"/>
    </row>
    <row r="142" spans="2:22" ht="20.25" customHeight="1" outlineLevel="1" x14ac:dyDescent="0.25">
      <c r="B142" s="537">
        <v>179</v>
      </c>
      <c r="C142" s="533" t="str">
        <f>IF(ISERROR(VLOOKUP(B142,'Base de Datos'!$C$7:$F$4092,2,0))=TRUE,"",(VLOOKUP('Presupuesto - PAA 2015'!B142,'Base de Datos'!$C$7:$F$4092,3,0)))</f>
        <v>150302-0-2015</v>
      </c>
      <c r="D142" s="533" t="str">
        <f>IF(ISERROR(VLOOKUP(B142,'Base de Datos'!$C$7:$F$4092,3,0))=TRUE,"",(VLOOKUP('Presupuesto - PAA 2015'!B142,'Base de Datos'!$C$7:$F$4092,4,0)))</f>
        <v xml:space="preserve">AXA COLPATRIA SEGUROS S. A. </v>
      </c>
      <c r="E142" s="536">
        <v>174490259</v>
      </c>
      <c r="F142" s="534">
        <f>VLOOKUP(B142,'Actualizada - presupuesto'!$D$7:$L$111,9,0)</f>
        <v>0</v>
      </c>
      <c r="G142" s="534"/>
      <c r="H142" s="534"/>
      <c r="I142" s="534"/>
      <c r="J142" s="554">
        <v>2324400</v>
      </c>
      <c r="K142" s="600"/>
      <c r="L142" s="536" t="str">
        <f>IF(J142=$AA$1,E142, " ")</f>
        <v xml:space="preserve"> </v>
      </c>
      <c r="M142" s="536"/>
      <c r="N142" s="536">
        <f>IF(J142&lt;E142,(E142-J142)," ")</f>
        <v>172165859</v>
      </c>
      <c r="O142" s="719" t="str">
        <f>IF(ISERROR(VLOOKUP(B142,'Base de Datos'!$C$7:$K$1048576,7,0))=TRUE," ",(VLOOKUP(B142,'Base de Datos'!$C$7:$K$1048576,8,0)))</f>
        <v>SDH-SAMC-04-2015</v>
      </c>
      <c r="P142" s="551">
        <f>IF(ISERROR(VLOOKUP(B142,'Base de Datos'!$C$7:$N$4077,9,0))=TRUE," ",(VLOOKUP(B142,'Base de Datos'!$C$7:$N$4077,10,0)))</f>
        <v>42187</v>
      </c>
      <c r="Q142" s="533" t="s">
        <v>1851</v>
      </c>
      <c r="R142" s="551">
        <f>IF(ISERROR(VLOOKUP(B142,'Base de Datos'!$C$7:$N$4077,10,0))=TRUE," ",(VLOOKUP(B142,'Base de Datos'!$C$7:$N$4077,11,0)))</f>
        <v>0</v>
      </c>
      <c r="S142" s="551">
        <f>IF(ISERROR(VLOOKUP(B142,'Base de Datos'!$C$7:$N$4077,11,0))=TRUE," ",(VLOOKUP(B142,'Base de Datos'!$C$7:$N$4077,12,0)))</f>
        <v>0</v>
      </c>
      <c r="T142" s="533" t="str">
        <f ca="1">VLOOKUP(C142,'Base de Datos'!$E$7:$AR$382,39,0)</f>
        <v>NO</v>
      </c>
      <c r="U142" s="722"/>
      <c r="V142" s="634"/>
    </row>
    <row r="143" spans="2:22" ht="11.25" customHeight="1" outlineLevel="1" x14ac:dyDescent="0.25">
      <c r="B143" s="552">
        <v>180</v>
      </c>
      <c r="C143" s="553"/>
      <c r="D143" s="553" t="s">
        <v>1512</v>
      </c>
      <c r="E143" s="554">
        <v>4201951</v>
      </c>
      <c r="F143" s="534">
        <f>VLOOKUP(B143,'Actualizada - presupuesto'!$D$7:$L$111,9,0)</f>
        <v>0</v>
      </c>
      <c r="G143" s="555"/>
      <c r="H143" s="555"/>
      <c r="I143" s="555"/>
      <c r="J143" s="536" t="str">
        <f>IF(ISERROR(VLOOKUP(B143,'Base de Datos'!$C$7:$N$4077,6,0))=TRUE,"Sin Celebrar",(VLOOKUP(B143,'Base de Datos'!$C$7:$N$4077,6,0)))</f>
        <v>Prestar servicios de soporte y mantenimiento para la plataforma VMware del Concejo de Bogotá.</v>
      </c>
      <c r="K143" s="604"/>
      <c r="L143" s="554" t="str">
        <f>IF(J143=$AA$1,E143, " ")</f>
        <v xml:space="preserve"> </v>
      </c>
      <c r="M143" s="554"/>
      <c r="N143" s="554" t="str">
        <f>IF(J143&lt;E143,(E143-J143)," ")</f>
        <v xml:space="preserve"> </v>
      </c>
      <c r="O143" s="719">
        <f>IF(ISERROR(VLOOKUP(B143,'Base de Datos'!$C$7:$K$1048576,7,0))=TRUE," ",(VLOOKUP(B143,'Base de Datos'!$C$7:$K$1048576,7,0)))</f>
        <v>43000000</v>
      </c>
      <c r="P143" s="551" t="str">
        <f>IF(ISERROR(VLOOKUP(B143,'Base de Datos'!$C$7:$N$315,9,0))=TRUE," ",(VLOOKUP(B143,'Base de Datos'!$C$7:$N$315,9,0)))</f>
        <v xml:space="preserve"> </v>
      </c>
      <c r="Q143" s="553" t="s">
        <v>1851</v>
      </c>
      <c r="R143" s="556" t="str">
        <f>IF(ISERROR(VLOOKUP(B143,'Base de Datos'!$C$7:$N$315,10,0))=TRUE," ",(VLOOKUP(B143,'Base de Datos'!$C$7:$N$315,10,0)))</f>
        <v xml:space="preserve"> </v>
      </c>
      <c r="S143" s="556" t="str">
        <f>IF(ISERROR(VLOOKUP(B143,'Base de Datos'!$C$7:$N$315,11,0))=TRUE," ",(VLOOKUP(B143,'Base de Datos'!$C$7:$N$315,11,0)))</f>
        <v xml:space="preserve"> </v>
      </c>
      <c r="T143" s="533" t="e">
        <f>VLOOKUP(C143,'Base de Datos'!$E$7:$AR$382,39,0)</f>
        <v>#N/A</v>
      </c>
      <c r="U143" s="722"/>
      <c r="V143" s="634"/>
    </row>
    <row r="144" spans="2:22" outlineLevel="1" x14ac:dyDescent="0.25">
      <c r="B144" s="552">
        <v>305</v>
      </c>
      <c r="C144" s="553"/>
      <c r="D144" s="553" t="s">
        <v>1979</v>
      </c>
      <c r="E144" s="554">
        <v>10010016</v>
      </c>
      <c r="F144" s="534"/>
      <c r="G144" s="555"/>
      <c r="H144" s="555"/>
      <c r="I144" s="555"/>
      <c r="J144" s="536" t="str">
        <f>IF(ISERROR(VLOOKUP(B144,'Base de Datos'!$C$7:$N$4077,6,0))=TRUE,"Sin Celebrar",(VLOOKUP(B144,'Base de Datos'!$C$7:$N$4077,6,0)))</f>
        <v>El objeto del presente Convenio es la constitución de un FONDO en Administración denominado "FONDO CUENTA CONCEJO DE BOGOTÁ D.C., SECRETARÍA DISTRITAL DE HACIENDA - ICETEX", con los recursos entregados por EL CONSTITUYENTE a EL ICETEX, quien actuará como administrador y mandatario, con el fin de financiar programas de educación formal, para los empleados de Carrera Administrativa y Libre Nombramiento y Remoción del CONCEJO DE BOGOTÁ.</v>
      </c>
      <c r="K144" s="604"/>
      <c r="L144" s="554" t="str">
        <f>IF(J144=$AA$1,E144, " ")</f>
        <v xml:space="preserve"> </v>
      </c>
      <c r="M144" s="554"/>
      <c r="N144" s="554" t="str">
        <f>IF(J144&lt;E144,(E144-J144)," ")</f>
        <v xml:space="preserve"> </v>
      </c>
      <c r="O144" s="678"/>
      <c r="P144" s="551"/>
      <c r="Q144" s="553" t="s">
        <v>1980</v>
      </c>
      <c r="R144" s="556"/>
      <c r="S144" s="556"/>
      <c r="T144" s="533" t="e">
        <f>VLOOKUP(C144,'Base de Datos'!$E$7:$AR$382,39,0)</f>
        <v>#N/A</v>
      </c>
      <c r="U144" s="722"/>
      <c r="V144" s="634"/>
    </row>
    <row r="145" spans="2:22" outlineLevel="1" x14ac:dyDescent="0.25">
      <c r="B145" s="648"/>
      <c r="C145" s="648"/>
      <c r="D145" s="533" t="s">
        <v>1935</v>
      </c>
      <c r="E145" s="536">
        <f>E140-SUM(E142:E144)</f>
        <v>16490774</v>
      </c>
      <c r="F145" s="534"/>
      <c r="G145" s="534"/>
      <c r="H145" s="534"/>
      <c r="I145" s="534"/>
      <c r="J145" s="536"/>
      <c r="K145" s="600"/>
      <c r="L145" s="536"/>
      <c r="M145" s="536"/>
      <c r="N145" s="554">
        <f>IF(J145&lt;E145,(E145-J145)," ")</f>
        <v>16490774</v>
      </c>
      <c r="O145" s="678"/>
      <c r="P145" s="551" t="str">
        <f>IF(ISERROR(VLOOKUP(B145,'Base de Datos'!$C$7:$N$315,9,0))=TRUE," ",(VLOOKUP(B145,'Base de Datos'!$C$7:$N$315,9,0)))</f>
        <v xml:space="preserve"> </v>
      </c>
      <c r="Q145" s="533"/>
      <c r="R145" s="556" t="str">
        <f>IF(ISERROR(VLOOKUP(B145,'Base de Datos'!$C$7:$N$315,10,0))=TRUE," ",(VLOOKUP(B145,'Base de Datos'!$C$7:$N$315,10,0)))</f>
        <v xml:space="preserve"> </v>
      </c>
      <c r="S145" s="556" t="str">
        <f>IF(ISERROR(VLOOKUP(B145,'Base de Datos'!$C$7:$N$315,11,0))=TRUE," ",(VLOOKUP(B145,'Base de Datos'!$C$7:$N$315,11,0)))</f>
        <v xml:space="preserve"> </v>
      </c>
      <c r="T145" s="533"/>
      <c r="U145" s="722"/>
      <c r="V145" s="634"/>
    </row>
    <row r="146" spans="2:22" outlineLevel="1" x14ac:dyDescent="0.25">
      <c r="B146" s="533"/>
      <c r="C146" s="533"/>
      <c r="D146" s="533"/>
      <c r="E146" s="536"/>
      <c r="F146" s="534"/>
      <c r="G146" s="534"/>
      <c r="H146" s="534"/>
      <c r="I146" s="534"/>
      <c r="J146" s="536"/>
      <c r="K146" s="600"/>
      <c r="L146" s="536"/>
      <c r="M146" s="536"/>
      <c r="N146" s="536"/>
      <c r="O146" s="678"/>
      <c r="P146" s="551"/>
      <c r="Q146" s="533"/>
      <c r="R146" s="551"/>
      <c r="S146" s="551"/>
      <c r="T146" s="533"/>
      <c r="U146" s="722"/>
      <c r="V146" s="634"/>
    </row>
    <row r="147" spans="2:22" ht="15" customHeight="1" x14ac:dyDescent="0.25">
      <c r="B147" s="1195" t="s">
        <v>1658</v>
      </c>
      <c r="C147" s="1195"/>
      <c r="D147" s="1195"/>
      <c r="E147" s="587">
        <v>227307000</v>
      </c>
      <c r="F147" s="588">
        <f>COUNTIF('Actualizada - presupuesto'!$E$7:$E$111,B147)</f>
        <v>2</v>
      </c>
      <c r="G147" s="588"/>
      <c r="H147" s="588"/>
      <c r="I147" s="588"/>
      <c r="J147" s="587">
        <f>SUM(J149:J151)</f>
        <v>226766924</v>
      </c>
      <c r="K147" s="607">
        <f>J147/E147</f>
        <v>0.99762402389719629</v>
      </c>
      <c r="L147" s="587">
        <f>SUM(L149:L151)</f>
        <v>0</v>
      </c>
      <c r="M147" s="587"/>
      <c r="N147" s="587">
        <f>+E147-J147-L147</f>
        <v>540076</v>
      </c>
      <c r="O147" s="682"/>
      <c r="P147" s="589" t="str">
        <f>IF(ISERROR(VLOOKUP(B147,'Base de Datos'!$C$7:$N$315,8,0))=TRUE," ",(VLOOKUP(B147,'Base de Datos'!$C$7:$N$315,8,0)))</f>
        <v xml:space="preserve"> </v>
      </c>
      <c r="Q147" s="590"/>
      <c r="R147" s="589" t="str">
        <f>IF(ISERROR(VLOOKUP(B147,'Base de Datos'!$C$7:$N$315,9,0))=TRUE," ",(VLOOKUP(B147,'Base de Datos'!$C$7:$N$315,9,0)))</f>
        <v xml:space="preserve"> </v>
      </c>
      <c r="S147" s="589" t="str">
        <f>IF(ISERROR(VLOOKUP(B147,'Base de Datos'!$C$7:$N$315,10,0))=TRUE," ",(VLOOKUP(B147,'Base de Datos'!$C$7:$N$315,10,0)))</f>
        <v xml:space="preserve"> </v>
      </c>
      <c r="T147" s="592"/>
      <c r="U147" s="722"/>
      <c r="V147" s="634"/>
    </row>
    <row r="148" spans="2:22" ht="24" outlineLevel="1" x14ac:dyDescent="0.25">
      <c r="B148" s="537" t="s">
        <v>1693</v>
      </c>
      <c r="C148" s="537" t="s">
        <v>912</v>
      </c>
      <c r="D148" s="537" t="s">
        <v>1822</v>
      </c>
      <c r="E148" s="545" t="s">
        <v>1846</v>
      </c>
      <c r="F148" s="534" t="s">
        <v>1853</v>
      </c>
      <c r="G148" s="534"/>
      <c r="H148" s="534"/>
      <c r="I148" s="534"/>
      <c r="J148" s="537" t="s">
        <v>1845</v>
      </c>
      <c r="K148" s="652"/>
      <c r="L148" s="537" t="s">
        <v>1939</v>
      </c>
      <c r="M148" s="537"/>
      <c r="N148" s="537" t="s">
        <v>1940</v>
      </c>
      <c r="O148" s="677"/>
      <c r="P148" s="568" t="s">
        <v>1847</v>
      </c>
      <c r="Q148" s="537" t="s">
        <v>1848</v>
      </c>
      <c r="R148" s="537" t="s">
        <v>1849</v>
      </c>
      <c r="S148" s="537" t="s">
        <v>375</v>
      </c>
      <c r="T148" s="537" t="s">
        <v>1850</v>
      </c>
      <c r="U148" s="722"/>
      <c r="V148" s="634"/>
    </row>
    <row r="149" spans="2:22" ht="13.5" customHeight="1" outlineLevel="1" x14ac:dyDescent="0.25">
      <c r="B149" s="537">
        <v>156</v>
      </c>
      <c r="C149" s="533" t="s">
        <v>872</v>
      </c>
      <c r="D149" s="533" t="s">
        <v>1833</v>
      </c>
      <c r="E149" s="536">
        <v>25824000</v>
      </c>
      <c r="F149" s="534">
        <f>VLOOKUP(B149,'Actualizada - presupuesto'!$D$7:$L$111,9,0)</f>
        <v>0</v>
      </c>
      <c r="G149" s="534"/>
      <c r="H149" s="534"/>
      <c r="I149" s="534"/>
      <c r="J149" s="536">
        <v>25823237</v>
      </c>
      <c r="K149" s="600"/>
      <c r="L149" s="536" t="str">
        <f>IF(J149=$AA$1,E149, " ")</f>
        <v xml:space="preserve"> </v>
      </c>
      <c r="M149" s="536"/>
      <c r="N149" s="536">
        <f>IF(J149&lt;E149,(E149-J149)," ")</f>
        <v>763</v>
      </c>
      <c r="O149" s="719">
        <f>IF(ISERROR(VLOOKUP(B149,'Base de Datos'!$C$7:$K$1048576,7,0))=TRUE," ",(VLOOKUP(B149,'Base de Datos'!$C$7:$K$1048576,7,0)))</f>
        <v>57000000</v>
      </c>
      <c r="P149" s="551" t="str">
        <f>IF(ISERROR(VLOOKUP(B149,'Base de Datos'!$C$7:$N$315,9,0))=TRUE," ",(VLOOKUP(B149,'Base de Datos'!$C$7:$N$315,9,0)))</f>
        <v xml:space="preserve"> </v>
      </c>
      <c r="Q149" s="533"/>
      <c r="R149" s="556" t="str">
        <f>IF(ISERROR(VLOOKUP(B149,'Base de Datos'!$C$7:$N$315,10,0))=TRUE," ",(VLOOKUP(B149,'Base de Datos'!$C$7:$N$315,10,0)))</f>
        <v xml:space="preserve"> </v>
      </c>
      <c r="S149" s="556" t="str">
        <f>IF(ISERROR(VLOOKUP(B149,'Base de Datos'!$C$7:$N$315,11,0))=TRUE," ",(VLOOKUP(B149,'Base de Datos'!$C$7:$N$315,11,0)))</f>
        <v xml:space="preserve"> </v>
      </c>
      <c r="T149" s="533" t="e">
        <f>VLOOKUP(C149,'Base de Datos'!$E$7:$AR$382,39,0)</f>
        <v>#N/A</v>
      </c>
      <c r="U149" s="722"/>
      <c r="V149" s="634"/>
    </row>
    <row r="150" spans="2:22" ht="21" customHeight="1" outlineLevel="1" x14ac:dyDescent="0.25">
      <c r="B150" s="552">
        <v>179</v>
      </c>
      <c r="C150" s="533" t="str">
        <f>IF(ISERROR(VLOOKUP(B150,'Base de Datos'!$C$7:$F$4092,2,0))=TRUE,"",(VLOOKUP('Presupuesto - PAA 2015'!B150,'Base de Datos'!$C$7:$F$4092,3,0)))</f>
        <v>150302-0-2015</v>
      </c>
      <c r="D150" s="533" t="str">
        <f>IF(ISERROR(VLOOKUP(B150,'Base de Datos'!$C$7:$F$4092,3,0))=TRUE,"",(VLOOKUP('Presupuesto - PAA 2015'!B150,'Base de Datos'!$C$7:$F$4092,4,0)))</f>
        <v xml:space="preserve">AXA COLPATRIA SEGUROS S. A. </v>
      </c>
      <c r="E150" s="554">
        <v>186482674</v>
      </c>
      <c r="F150" s="534">
        <f>VLOOKUP(B150,'Actualizada - presupuesto'!$D$7:$L$111,9,0)</f>
        <v>0</v>
      </c>
      <c r="G150" s="555"/>
      <c r="H150" s="555"/>
      <c r="I150" s="555"/>
      <c r="J150" s="536">
        <f>IF(ISERROR(VLOOKUP(B150,'Base de Datos'!$C$7:$N$4092,6,0))=TRUE,"Sin Celebrar",(VLOOKUP(B150,'Base de Datos'!$C$7:$N$4092,7,0)))</f>
        <v>186482674</v>
      </c>
      <c r="K150" s="604"/>
      <c r="L150" s="554" t="str">
        <f>IF(J150=$AA$1,E150, " ")</f>
        <v xml:space="preserve"> </v>
      </c>
      <c r="M150" s="554"/>
      <c r="N150" s="554" t="str">
        <f>IF(J150&lt;E150,(E150-J150)," ")</f>
        <v xml:space="preserve"> </v>
      </c>
      <c r="O150" s="719" t="str">
        <f>IF(ISERROR(VLOOKUP(B150,'Base de Datos'!$C$7:$K$1048576,7,0))=TRUE," ",(VLOOKUP(B150,'Base de Datos'!$C$7:$K$1048576,8,0)))</f>
        <v>SDH-SAMC-04-2015</v>
      </c>
      <c r="P150" s="551">
        <f>IF(ISERROR(VLOOKUP(B150,'Base de Datos'!$C$7:$N$4077,9,0))=TRUE," ",(VLOOKUP(B150,'Base de Datos'!$C$7:$N$4077,10,0)))</f>
        <v>42187</v>
      </c>
      <c r="Q150" s="553" t="s">
        <v>1851</v>
      </c>
      <c r="R150" s="551">
        <f>IF(ISERROR(VLOOKUP(B150,'Base de Datos'!$C$7:$N$4077,10,0))=TRUE," ",(VLOOKUP(B150,'Base de Datos'!$C$7:$N$4077,11,0)))</f>
        <v>0</v>
      </c>
      <c r="S150" s="551">
        <f>IF(ISERROR(VLOOKUP(B150,'Base de Datos'!$C$7:$N$4077,11,0))=TRUE," ",(VLOOKUP(B150,'Base de Datos'!$C$7:$N$4077,12,0)))</f>
        <v>0</v>
      </c>
      <c r="T150" s="533" t="str">
        <f ca="1">VLOOKUP(C150,'Base de Datos'!$E$7:$AR$382,39,0)</f>
        <v>NO</v>
      </c>
      <c r="U150" s="722"/>
      <c r="V150" s="634"/>
    </row>
    <row r="151" spans="2:22" outlineLevel="1" x14ac:dyDescent="0.25">
      <c r="B151" s="537">
        <v>304</v>
      </c>
      <c r="C151" s="533" t="s">
        <v>872</v>
      </c>
      <c r="D151" s="533" t="s">
        <v>1833</v>
      </c>
      <c r="E151" s="536">
        <v>14461013</v>
      </c>
      <c r="F151" s="534"/>
      <c r="G151" s="534"/>
      <c r="H151" s="534"/>
      <c r="I151" s="534"/>
      <c r="J151" s="554">
        <v>14461013</v>
      </c>
      <c r="K151" s="600"/>
      <c r="L151" s="554" t="str">
        <f>IF(J151=$AA$1,E151, " ")</f>
        <v xml:space="preserve"> </v>
      </c>
      <c r="M151" s="536"/>
      <c r="N151" s="554" t="str">
        <f>IF(J151&lt;E151,(E151-J151)," ")</f>
        <v xml:space="preserve"> </v>
      </c>
      <c r="O151" s="719" t="str">
        <f>IF(ISERROR(VLOOKUP(B151,'Base de Datos'!$C$7:$K$1048576,7,0))=TRUE," ",(VLOOKUP(B151,'Base de Datos'!$C$7:$K$1048576,7,0)))</f>
        <v xml:space="preserve"> </v>
      </c>
      <c r="P151" s="551"/>
      <c r="Q151" s="533" t="s">
        <v>1978</v>
      </c>
      <c r="R151" s="556" t="str">
        <f>IF(ISERROR(VLOOKUP(B151,'Base de Datos'!$C$7:$N$315,10,0))=TRUE," ",(VLOOKUP(B151,'Base de Datos'!$C$7:$N$315,10,0)))</f>
        <v xml:space="preserve"> </v>
      </c>
      <c r="S151" s="556" t="str">
        <f>IF(ISERROR(VLOOKUP(B151,'Base de Datos'!$C$7:$N$315,11,0))=TRUE," ",(VLOOKUP(B151,'Base de Datos'!$C$7:$N$315,11,0)))</f>
        <v xml:space="preserve"> </v>
      </c>
      <c r="T151" s="533" t="e">
        <f>VLOOKUP(C151,'Base de Datos'!$E$7:$AR$382,39,0)</f>
        <v>#N/A</v>
      </c>
      <c r="U151" s="722"/>
      <c r="V151" s="634"/>
    </row>
    <row r="152" spans="2:22" outlineLevel="1" x14ac:dyDescent="0.25">
      <c r="B152" s="537"/>
      <c r="C152" s="533"/>
      <c r="D152" s="533" t="s">
        <v>1935</v>
      </c>
      <c r="E152" s="536">
        <f>+E147-SUM(E149:E151)</f>
        <v>539313</v>
      </c>
      <c r="F152" s="534"/>
      <c r="G152" s="534"/>
      <c r="H152" s="534"/>
      <c r="I152" s="534"/>
      <c r="J152" s="554"/>
      <c r="K152" s="600"/>
      <c r="L152" s="554"/>
      <c r="M152" s="536"/>
      <c r="N152" s="554">
        <f>IF(J152&lt;E152,(E152-J152)," ")</f>
        <v>539313</v>
      </c>
      <c r="O152" s="719"/>
      <c r="P152" s="551"/>
      <c r="Q152" s="533"/>
      <c r="R152" s="556"/>
      <c r="S152" s="556"/>
      <c r="T152" s="533"/>
      <c r="U152" s="722"/>
      <c r="V152" s="634"/>
    </row>
    <row r="153" spans="2:22" outlineLevel="1" x14ac:dyDescent="0.25">
      <c r="B153" s="648"/>
      <c r="C153" s="648"/>
      <c r="D153" s="648"/>
      <c r="E153" s="536"/>
      <c r="F153" s="534"/>
      <c r="G153" s="534"/>
      <c r="H153" s="534"/>
      <c r="I153" s="534"/>
      <c r="J153" s="536"/>
      <c r="K153" s="600"/>
      <c r="L153" s="536"/>
      <c r="M153" s="536"/>
      <c r="N153" s="536"/>
      <c r="O153" s="678"/>
      <c r="P153" s="551"/>
      <c r="Q153" s="533"/>
      <c r="R153" s="551"/>
      <c r="S153" s="551"/>
      <c r="T153" s="533"/>
      <c r="U153" s="722"/>
      <c r="V153" s="634"/>
    </row>
    <row r="154" spans="2:22" ht="15" customHeight="1" x14ac:dyDescent="0.25">
      <c r="B154" s="1195" t="s">
        <v>1659</v>
      </c>
      <c r="C154" s="1195"/>
      <c r="D154" s="1195"/>
      <c r="E154" s="587">
        <v>1081000000</v>
      </c>
      <c r="F154" s="588"/>
      <c r="G154" s="588"/>
      <c r="H154" s="588"/>
      <c r="I154" s="588"/>
      <c r="J154" s="587">
        <f>+J156</f>
        <v>890653595</v>
      </c>
      <c r="K154" s="607">
        <f>J154/E154</f>
        <v>0.82391636910268273</v>
      </c>
      <c r="L154" s="587">
        <f>+L156</f>
        <v>190346405</v>
      </c>
      <c r="M154" s="587"/>
      <c r="N154" s="587">
        <f>+E154-J154-L154</f>
        <v>0</v>
      </c>
      <c r="O154" s="682"/>
      <c r="P154" s="589" t="str">
        <f>IF(ISERROR(VLOOKUP(B154,'Base de Datos'!$C$7:$N$315,8,0))=TRUE," ",(VLOOKUP(B154,'Base de Datos'!$C$7:$N$315,8,0)))</f>
        <v xml:space="preserve"> </v>
      </c>
      <c r="Q154" s="590"/>
      <c r="R154" s="589" t="str">
        <f>IF(ISERROR(VLOOKUP(B154,'Base de Datos'!$C$7:$N$315,9,0))=TRUE," ",(VLOOKUP(B154,'Base de Datos'!$C$7:$N$315,9,0)))</f>
        <v xml:space="preserve"> </v>
      </c>
      <c r="S154" s="589" t="str">
        <f>IF(ISERROR(VLOOKUP(B154,'Base de Datos'!$C$7:$N$315,10,0))=TRUE," ",(VLOOKUP(B154,'Base de Datos'!$C$7:$N$315,10,0)))</f>
        <v xml:space="preserve"> </v>
      </c>
      <c r="T154" s="592"/>
      <c r="U154" s="722"/>
      <c r="V154" s="634"/>
    </row>
    <row r="155" spans="2:22" ht="24" customHeight="1" outlineLevel="1" x14ac:dyDescent="0.25">
      <c r="B155" s="537" t="s">
        <v>1693</v>
      </c>
      <c r="C155" s="537" t="s">
        <v>912</v>
      </c>
      <c r="D155" s="537" t="s">
        <v>1822</v>
      </c>
      <c r="E155" s="545" t="s">
        <v>1846</v>
      </c>
      <c r="F155" s="534" t="s">
        <v>1853</v>
      </c>
      <c r="G155" s="534"/>
      <c r="H155" s="534"/>
      <c r="I155" s="534"/>
      <c r="J155" s="537" t="s">
        <v>1845</v>
      </c>
      <c r="K155" s="652"/>
      <c r="L155" s="537" t="s">
        <v>1939</v>
      </c>
      <c r="M155" s="537"/>
      <c r="N155" s="537" t="s">
        <v>1940</v>
      </c>
      <c r="O155" s="677"/>
      <c r="P155" s="568" t="s">
        <v>1847</v>
      </c>
      <c r="Q155" s="537" t="s">
        <v>1848</v>
      </c>
      <c r="R155" s="537" t="s">
        <v>1849</v>
      </c>
      <c r="S155" s="537" t="s">
        <v>375</v>
      </c>
      <c r="T155" s="537" t="s">
        <v>1850</v>
      </c>
      <c r="U155" s="722"/>
      <c r="V155" s="634"/>
    </row>
    <row r="156" spans="2:22" ht="15" customHeight="1" outlineLevel="1" x14ac:dyDescent="0.25">
      <c r="B156" s="537"/>
      <c r="C156" s="533"/>
      <c r="D156" s="768" t="s">
        <v>2264</v>
      </c>
      <c r="E156" s="534"/>
      <c r="F156" s="536"/>
      <c r="G156" s="595"/>
      <c r="H156" s="595"/>
      <c r="I156" s="595"/>
      <c r="J156" s="580">
        <v>890653595</v>
      </c>
      <c r="K156" s="643"/>
      <c r="L156" s="580">
        <f>+E154-J156</f>
        <v>190346405</v>
      </c>
      <c r="M156" s="642"/>
      <c r="N156" s="536"/>
      <c r="O156" s="687"/>
      <c r="P156" s="644"/>
      <c r="Q156" s="645"/>
      <c r="R156" s="644"/>
      <c r="S156" s="644"/>
      <c r="T156" s="614"/>
      <c r="U156" s="722"/>
      <c r="V156" s="634"/>
    </row>
    <row r="157" spans="2:22" ht="15" customHeight="1" outlineLevel="1" x14ac:dyDescent="0.25">
      <c r="B157" s="537"/>
      <c r="C157" s="533"/>
      <c r="D157" s="533"/>
      <c r="E157" s="534"/>
      <c r="F157" s="536"/>
      <c r="G157" s="595"/>
      <c r="H157" s="595"/>
      <c r="I157" s="595"/>
      <c r="J157" s="642"/>
      <c r="K157" s="643"/>
      <c r="L157" s="642"/>
      <c r="M157" s="642"/>
      <c r="N157" s="642"/>
      <c r="O157" s="688"/>
      <c r="P157" s="644"/>
      <c r="Q157" s="645"/>
      <c r="R157" s="644"/>
      <c r="S157" s="644"/>
      <c r="T157" s="614"/>
      <c r="U157" s="722"/>
      <c r="V157" s="634"/>
    </row>
    <row r="158" spans="2:22" ht="15" customHeight="1" x14ac:dyDescent="0.25">
      <c r="B158" s="1182" t="s">
        <v>1660</v>
      </c>
      <c r="C158" s="1182"/>
      <c r="D158" s="1182"/>
      <c r="E158" s="539">
        <v>430000000</v>
      </c>
      <c r="F158" s="540"/>
      <c r="G158" s="540"/>
      <c r="H158" s="540"/>
      <c r="I158" s="540"/>
      <c r="J158" s="543">
        <f>+J159+J163+J167+J171</f>
        <v>242601380</v>
      </c>
      <c r="K158" s="609">
        <f>J158/E158</f>
        <v>0.56418925581395352</v>
      </c>
      <c r="L158" s="543">
        <f>+L159+L163+L167+L171</f>
        <v>187398620</v>
      </c>
      <c r="M158" s="543"/>
      <c r="N158" s="543">
        <f>+N159+N163+N167+N171</f>
        <v>0</v>
      </c>
      <c r="O158" s="689"/>
      <c r="P158" s="575" t="str">
        <f>IF(ISERROR(VLOOKUP(B158,'Base de Datos'!$C$7:$N$315,8,0))=TRUE," ",(VLOOKUP(B158,'Base de Datos'!$C$7:$N$315,8,0)))</f>
        <v xml:space="preserve"> </v>
      </c>
      <c r="Q158" s="569"/>
      <c r="R158" s="575" t="str">
        <f>IF(ISERROR(VLOOKUP(B158,'Base de Datos'!$C$7:$N$315,9,0))=TRUE," ",(VLOOKUP(B158,'Base de Datos'!$C$7:$N$315,9,0)))</f>
        <v xml:space="preserve"> </v>
      </c>
      <c r="S158" s="575" t="str">
        <f>IF(ISERROR(VLOOKUP(B158,'Base de Datos'!$C$7:$N$315,10,0))=TRUE," ",(VLOOKUP(B158,'Base de Datos'!$C$7:$N$315,10,0)))</f>
        <v xml:space="preserve"> </v>
      </c>
      <c r="T158" s="569"/>
      <c r="U158" s="722"/>
      <c r="V158" s="634"/>
    </row>
    <row r="159" spans="2:22" ht="15" customHeight="1" x14ac:dyDescent="0.25">
      <c r="B159" s="1180" t="s">
        <v>1661</v>
      </c>
      <c r="C159" s="1180"/>
      <c r="D159" s="1180"/>
      <c r="E159" s="543">
        <v>206250000</v>
      </c>
      <c r="F159" s="540"/>
      <c r="G159" s="540"/>
      <c r="H159" s="540"/>
      <c r="I159" s="540"/>
      <c r="J159" s="543">
        <f>+J161</f>
        <v>106215940</v>
      </c>
      <c r="K159" s="609">
        <f>J159/E159</f>
        <v>0.51498637575757578</v>
      </c>
      <c r="L159" s="543">
        <f>+E159-J159</f>
        <v>100034060</v>
      </c>
      <c r="M159" s="543"/>
      <c r="N159" s="543">
        <f>+N161</f>
        <v>0</v>
      </c>
      <c r="O159" s="689"/>
      <c r="P159" s="575" t="str">
        <f>IF(ISERROR(VLOOKUP(B159,'Base de Datos'!$C$7:$N$315,8,0))=TRUE," ",(VLOOKUP(B159,'Base de Datos'!$C$7:$N$315,8,0)))</f>
        <v xml:space="preserve"> </v>
      </c>
      <c r="Q159" s="569"/>
      <c r="R159" s="575" t="str">
        <f>IF(ISERROR(VLOOKUP(B159,'Base de Datos'!$C$7:$N$315,9,0))=TRUE," ",(VLOOKUP(B159,'Base de Datos'!$C$7:$N$315,9,0)))</f>
        <v xml:space="preserve"> </v>
      </c>
      <c r="S159" s="575" t="str">
        <f>IF(ISERROR(VLOOKUP(B159,'Base de Datos'!$C$7:$N$315,10,0))=TRUE," ",(VLOOKUP(B159,'Base de Datos'!$C$7:$N$315,10,0)))</f>
        <v xml:space="preserve"> </v>
      </c>
      <c r="T159" s="569"/>
      <c r="U159" s="722"/>
      <c r="V159" s="634"/>
    </row>
    <row r="160" spans="2:22" s="615" customFormat="1" ht="24" outlineLevel="1" x14ac:dyDescent="0.25">
      <c r="B160" s="537" t="s">
        <v>1693</v>
      </c>
      <c r="C160" s="537" t="s">
        <v>912</v>
      </c>
      <c r="D160" s="537" t="s">
        <v>1822</v>
      </c>
      <c r="E160" s="545" t="s">
        <v>1846</v>
      </c>
      <c r="F160" s="534" t="s">
        <v>1853</v>
      </c>
      <c r="G160" s="534"/>
      <c r="H160" s="534"/>
      <c r="I160" s="534"/>
      <c r="J160" s="537" t="s">
        <v>1845</v>
      </c>
      <c r="K160" s="652"/>
      <c r="L160" s="537" t="s">
        <v>1939</v>
      </c>
      <c r="M160" s="537"/>
      <c r="N160" s="537" t="s">
        <v>1940</v>
      </c>
      <c r="O160" s="677"/>
      <c r="P160" s="568" t="s">
        <v>1847</v>
      </c>
      <c r="Q160" s="537" t="s">
        <v>1848</v>
      </c>
      <c r="R160" s="537" t="s">
        <v>1849</v>
      </c>
      <c r="S160" s="537" t="s">
        <v>375</v>
      </c>
      <c r="T160" s="537" t="s">
        <v>1850</v>
      </c>
      <c r="U160" s="722"/>
      <c r="V160" s="634"/>
    </row>
    <row r="161" spans="2:22" s="615" customFormat="1" ht="15" customHeight="1" outlineLevel="1" x14ac:dyDescent="0.25">
      <c r="B161" s="537"/>
      <c r="C161" s="533"/>
      <c r="D161" s="768" t="s">
        <v>2264</v>
      </c>
      <c r="E161" s="534"/>
      <c r="F161" s="536"/>
      <c r="G161" s="536"/>
      <c r="H161" s="536"/>
      <c r="I161" s="536"/>
      <c r="J161" s="536">
        <v>106215940</v>
      </c>
      <c r="K161" s="536"/>
      <c r="L161" s="536">
        <f>9700000*8</f>
        <v>77600000</v>
      </c>
      <c r="M161" s="580"/>
      <c r="N161" s="580"/>
      <c r="O161" s="690"/>
      <c r="P161" s="613"/>
      <c r="Q161" s="614"/>
      <c r="R161" s="613"/>
      <c r="S161" s="613"/>
      <c r="T161" s="614"/>
      <c r="U161" s="722"/>
      <c r="V161" s="634"/>
    </row>
    <row r="162" spans="2:22" s="615" customFormat="1" ht="15" customHeight="1" outlineLevel="1" x14ac:dyDescent="0.25">
      <c r="B162" s="731"/>
      <c r="C162" s="731"/>
      <c r="D162" s="731"/>
      <c r="E162" s="580"/>
      <c r="F162" s="534"/>
      <c r="G162" s="534"/>
      <c r="H162" s="534"/>
      <c r="I162" s="534"/>
      <c r="J162" s="580"/>
      <c r="K162" s="612"/>
      <c r="L162" s="580"/>
      <c r="M162" s="580"/>
      <c r="N162" s="580"/>
      <c r="O162" s="690"/>
      <c r="P162" s="613"/>
      <c r="Q162" s="614"/>
      <c r="R162" s="613"/>
      <c r="S162" s="613"/>
      <c r="T162" s="614"/>
      <c r="U162" s="722"/>
      <c r="V162" s="634"/>
    </row>
    <row r="163" spans="2:22" ht="15" customHeight="1" x14ac:dyDescent="0.25">
      <c r="B163" s="1180" t="s">
        <v>1662</v>
      </c>
      <c r="C163" s="1180"/>
      <c r="D163" s="1180"/>
      <c r="E163" s="543">
        <v>36750000</v>
      </c>
      <c r="F163" s="540"/>
      <c r="G163" s="540"/>
      <c r="H163" s="540"/>
      <c r="I163" s="540"/>
      <c r="J163" s="543">
        <f>+J165</f>
        <v>12264940</v>
      </c>
      <c r="K163" s="609">
        <f>J163/E163</f>
        <v>0.33373986394557825</v>
      </c>
      <c r="L163" s="543">
        <f>+E163-J163</f>
        <v>24485060</v>
      </c>
      <c r="M163" s="543"/>
      <c r="N163" s="543">
        <f>+N165</f>
        <v>0</v>
      </c>
      <c r="O163" s="689"/>
      <c r="P163" s="575" t="str">
        <f>IF(ISERROR(VLOOKUP(B163,'Base de Datos'!$C$7:$N$315,8,0))=TRUE," ",(VLOOKUP(B163,'Base de Datos'!$C$7:$N$315,8,0)))</f>
        <v xml:space="preserve"> </v>
      </c>
      <c r="Q163" s="569"/>
      <c r="R163" s="575" t="str">
        <f>IF(ISERROR(VLOOKUP(B163,'Base de Datos'!$C$7:$N$315,9,0))=TRUE," ",(VLOOKUP(B163,'Base de Datos'!$C$7:$N$315,9,0)))</f>
        <v xml:space="preserve"> </v>
      </c>
      <c r="S163" s="575" t="str">
        <f>IF(ISERROR(VLOOKUP(B163,'Base de Datos'!$C$7:$N$315,10,0))=TRUE," ",(VLOOKUP(B163,'Base de Datos'!$C$7:$N$315,10,0)))</f>
        <v xml:space="preserve"> </v>
      </c>
      <c r="T163" s="569"/>
      <c r="U163" s="722"/>
      <c r="V163" s="634"/>
    </row>
    <row r="164" spans="2:22" ht="24.75" customHeight="1" outlineLevel="1" x14ac:dyDescent="0.25">
      <c r="B164" s="537" t="s">
        <v>1693</v>
      </c>
      <c r="C164" s="537" t="s">
        <v>912</v>
      </c>
      <c r="D164" s="537" t="s">
        <v>1822</v>
      </c>
      <c r="E164" s="545" t="s">
        <v>1846</v>
      </c>
      <c r="F164" s="534" t="s">
        <v>1853</v>
      </c>
      <c r="G164" s="534"/>
      <c r="H164" s="534"/>
      <c r="I164" s="534"/>
      <c r="J164" s="537" t="s">
        <v>1845</v>
      </c>
      <c r="K164" s="652"/>
      <c r="L164" s="537" t="s">
        <v>1939</v>
      </c>
      <c r="M164" s="537"/>
      <c r="N164" s="537" t="s">
        <v>1940</v>
      </c>
      <c r="O164" s="677"/>
      <c r="P164" s="568" t="s">
        <v>1847</v>
      </c>
      <c r="Q164" s="537" t="s">
        <v>1848</v>
      </c>
      <c r="R164" s="537" t="s">
        <v>1849</v>
      </c>
      <c r="S164" s="537" t="s">
        <v>375</v>
      </c>
      <c r="T164" s="537" t="s">
        <v>1850</v>
      </c>
      <c r="U164" s="722"/>
      <c r="V164" s="634"/>
    </row>
    <row r="165" spans="2:22" ht="15" customHeight="1" outlineLevel="1" x14ac:dyDescent="0.25">
      <c r="B165" s="537"/>
      <c r="C165" s="533"/>
      <c r="D165" s="770" t="s">
        <v>2264</v>
      </c>
      <c r="E165" s="534"/>
      <c r="F165" s="536"/>
      <c r="G165" s="536"/>
      <c r="H165" s="536"/>
      <c r="I165" s="536"/>
      <c r="J165" s="536">
        <v>12264940</v>
      </c>
      <c r="K165" s="536"/>
      <c r="L165" s="536">
        <f>3200000*4</f>
        <v>12800000</v>
      </c>
      <c r="M165" s="580"/>
      <c r="N165" s="580"/>
      <c r="O165" s="690"/>
      <c r="P165" s="613"/>
      <c r="Q165" s="614"/>
      <c r="R165" s="613"/>
      <c r="S165" s="613"/>
      <c r="T165" s="614"/>
      <c r="U165" s="722"/>
      <c r="V165" s="634"/>
    </row>
    <row r="166" spans="2:22" s="615" customFormat="1" ht="15" customHeight="1" outlineLevel="1" x14ac:dyDescent="0.25">
      <c r="B166" s="731"/>
      <c r="C166" s="731"/>
      <c r="D166" s="731"/>
      <c r="E166" s="580"/>
      <c r="F166" s="534"/>
      <c r="G166" s="534"/>
      <c r="H166" s="534"/>
      <c r="I166" s="534"/>
      <c r="J166" s="580"/>
      <c r="K166" s="612"/>
      <c r="L166" s="580"/>
      <c r="M166" s="580"/>
      <c r="N166" s="580"/>
      <c r="O166" s="690"/>
      <c r="P166" s="613"/>
      <c r="Q166" s="614"/>
      <c r="R166" s="613"/>
      <c r="S166" s="613"/>
      <c r="T166" s="614"/>
      <c r="U166" s="722"/>
      <c r="V166" s="634"/>
    </row>
    <row r="167" spans="2:22" ht="15" customHeight="1" x14ac:dyDescent="0.25">
      <c r="B167" s="1180" t="s">
        <v>1663</v>
      </c>
      <c r="C167" s="1180"/>
      <c r="D167" s="1180"/>
      <c r="E167" s="543">
        <v>58000000</v>
      </c>
      <c r="F167" s="540"/>
      <c r="G167" s="540"/>
      <c r="H167" s="540"/>
      <c r="I167" s="540"/>
      <c r="J167" s="543">
        <f>+J169</f>
        <v>5462970</v>
      </c>
      <c r="K167" s="609">
        <f>J167/E167</f>
        <v>9.4189137931034478E-2</v>
      </c>
      <c r="L167" s="543">
        <f>+E167-J167</f>
        <v>52537030</v>
      </c>
      <c r="M167" s="543"/>
      <c r="N167" s="543">
        <f>+N169</f>
        <v>0</v>
      </c>
      <c r="O167" s="689"/>
      <c r="P167" s="575" t="str">
        <f>IF(ISERROR(VLOOKUP(B167,'Base de Datos'!$C$7:$N$315,8,0))=TRUE," ",(VLOOKUP(B167,'Base de Datos'!$C$7:$N$315,8,0)))</f>
        <v xml:space="preserve"> </v>
      </c>
      <c r="Q167" s="569"/>
      <c r="R167" s="575" t="str">
        <f>IF(ISERROR(VLOOKUP(B167,'Base de Datos'!$C$7:$N$315,9,0))=TRUE," ",(VLOOKUP(B167,'Base de Datos'!$C$7:$N$315,9,0)))</f>
        <v xml:space="preserve"> </v>
      </c>
      <c r="S167" s="575" t="str">
        <f>IF(ISERROR(VLOOKUP(B167,'Base de Datos'!$C$7:$N$315,10,0))=TRUE," ",(VLOOKUP(B167,'Base de Datos'!$C$7:$N$315,10,0)))</f>
        <v xml:space="preserve"> </v>
      </c>
      <c r="T167" s="569"/>
      <c r="U167" s="722"/>
      <c r="V167" s="634"/>
    </row>
    <row r="168" spans="2:22" ht="23.25" customHeight="1" outlineLevel="1" x14ac:dyDescent="0.25">
      <c r="B168" s="537" t="s">
        <v>1693</v>
      </c>
      <c r="C168" s="537" t="s">
        <v>912</v>
      </c>
      <c r="D168" s="537" t="s">
        <v>1822</v>
      </c>
      <c r="E168" s="545" t="s">
        <v>1846</v>
      </c>
      <c r="F168" s="534" t="s">
        <v>1853</v>
      </c>
      <c r="G168" s="534"/>
      <c r="H168" s="534"/>
      <c r="I168" s="534"/>
      <c r="J168" s="537" t="s">
        <v>1845</v>
      </c>
      <c r="K168" s="652"/>
      <c r="L168" s="537" t="s">
        <v>1939</v>
      </c>
      <c r="M168" s="537"/>
      <c r="N168" s="537" t="s">
        <v>1940</v>
      </c>
      <c r="O168" s="677"/>
      <c r="P168" s="568" t="s">
        <v>1847</v>
      </c>
      <c r="Q168" s="537" t="s">
        <v>1848</v>
      </c>
      <c r="R168" s="537" t="s">
        <v>1849</v>
      </c>
      <c r="S168" s="537" t="s">
        <v>375</v>
      </c>
      <c r="T168" s="537" t="s">
        <v>1850</v>
      </c>
      <c r="U168" s="722"/>
      <c r="V168" s="634"/>
    </row>
    <row r="169" spans="2:22" ht="15" customHeight="1" outlineLevel="1" x14ac:dyDescent="0.25">
      <c r="B169" s="537"/>
      <c r="C169" s="533"/>
      <c r="D169" s="770" t="s">
        <v>2264</v>
      </c>
      <c r="E169" s="534"/>
      <c r="F169" s="536"/>
      <c r="G169" s="536"/>
      <c r="H169" s="536"/>
      <c r="I169" s="536"/>
      <c r="J169" s="536">
        <v>5462970</v>
      </c>
      <c r="K169" s="536"/>
      <c r="L169" s="536">
        <f>1200000*4</f>
        <v>4800000</v>
      </c>
      <c r="M169" s="580"/>
      <c r="N169" s="580"/>
      <c r="O169" s="690"/>
      <c r="P169" s="613"/>
      <c r="Q169" s="614"/>
      <c r="R169" s="613"/>
      <c r="S169" s="613"/>
      <c r="T169" s="614"/>
      <c r="U169" s="722"/>
      <c r="V169" s="634"/>
    </row>
    <row r="170" spans="2:22" s="615" customFormat="1" ht="15" customHeight="1" outlineLevel="1" x14ac:dyDescent="0.25">
      <c r="B170" s="731"/>
      <c r="C170" s="731"/>
      <c r="D170" s="731"/>
      <c r="E170" s="580"/>
      <c r="F170" s="534"/>
      <c r="G170" s="534"/>
      <c r="H170" s="534"/>
      <c r="I170" s="534"/>
      <c r="J170" s="580"/>
      <c r="K170" s="612"/>
      <c r="L170" s="580"/>
      <c r="M170" s="580"/>
      <c r="N170" s="580"/>
      <c r="O170" s="690"/>
      <c r="P170" s="613"/>
      <c r="Q170" s="614"/>
      <c r="R170" s="613"/>
      <c r="S170" s="613"/>
      <c r="T170" s="614"/>
      <c r="U170" s="722"/>
      <c r="V170" s="634"/>
    </row>
    <row r="171" spans="2:22" ht="15" customHeight="1" x14ac:dyDescent="0.25">
      <c r="B171" s="1180" t="s">
        <v>1664</v>
      </c>
      <c r="C171" s="1180"/>
      <c r="D171" s="1180"/>
      <c r="E171" s="543">
        <v>129000000</v>
      </c>
      <c r="F171" s="540"/>
      <c r="G171" s="540"/>
      <c r="H171" s="540"/>
      <c r="I171" s="540"/>
      <c r="J171" s="543">
        <f>+J173</f>
        <v>118657530</v>
      </c>
      <c r="K171" s="609">
        <f>J171/E171</f>
        <v>0.91982581395348839</v>
      </c>
      <c r="L171" s="543">
        <f>+L173</f>
        <v>10342470</v>
      </c>
      <c r="M171" s="543"/>
      <c r="N171" s="543">
        <f>+N173</f>
        <v>0</v>
      </c>
      <c r="O171" s="689"/>
      <c r="P171" s="575" t="str">
        <f>IF(ISERROR(VLOOKUP(B171,'Base de Datos'!$C$7:$N$315,8,0))=TRUE," ",(VLOOKUP(B171,'Base de Datos'!$C$7:$N$315,8,0)))</f>
        <v xml:space="preserve"> </v>
      </c>
      <c r="Q171" s="569"/>
      <c r="R171" s="575" t="str">
        <f>IF(ISERROR(VLOOKUP(B171,'Base de Datos'!$C$7:$N$315,9,0))=TRUE," ",(VLOOKUP(B171,'Base de Datos'!$C$7:$N$315,9,0)))</f>
        <v xml:space="preserve"> </v>
      </c>
      <c r="S171" s="575" t="str">
        <f>IF(ISERROR(VLOOKUP(B171,'Base de Datos'!$C$7:$N$315,10,0))=TRUE," ",(VLOOKUP(B171,'Base de Datos'!$C$7:$N$315,10,0)))</f>
        <v xml:space="preserve"> </v>
      </c>
      <c r="T171" s="569"/>
      <c r="U171" s="722"/>
      <c r="V171" s="634"/>
    </row>
    <row r="172" spans="2:22" s="615" customFormat="1" ht="21.75" customHeight="1" outlineLevel="1" x14ac:dyDescent="0.25">
      <c r="B172" s="537" t="s">
        <v>1693</v>
      </c>
      <c r="C172" s="537" t="s">
        <v>912</v>
      </c>
      <c r="D172" s="537" t="s">
        <v>1822</v>
      </c>
      <c r="E172" s="545" t="s">
        <v>1846</v>
      </c>
      <c r="F172" s="534" t="s">
        <v>1853</v>
      </c>
      <c r="G172" s="534"/>
      <c r="H172" s="534"/>
      <c r="I172" s="534"/>
      <c r="J172" s="537" t="s">
        <v>1845</v>
      </c>
      <c r="K172" s="652"/>
      <c r="L172" s="537" t="s">
        <v>1939</v>
      </c>
      <c r="M172" s="537"/>
      <c r="N172" s="537" t="s">
        <v>1940</v>
      </c>
      <c r="O172" s="677"/>
      <c r="P172" s="568" t="s">
        <v>1847</v>
      </c>
      <c r="Q172" s="537" t="s">
        <v>1848</v>
      </c>
      <c r="R172" s="537" t="s">
        <v>1849</v>
      </c>
      <c r="S172" s="537" t="s">
        <v>375</v>
      </c>
      <c r="T172" s="537" t="s">
        <v>1850</v>
      </c>
      <c r="U172" s="722"/>
      <c r="V172" s="634"/>
    </row>
    <row r="173" spans="2:22" s="615" customFormat="1" ht="15" customHeight="1" outlineLevel="1" x14ac:dyDescent="0.25">
      <c r="B173" s="627"/>
      <c r="C173" s="614"/>
      <c r="D173" s="770" t="s">
        <v>2264</v>
      </c>
      <c r="E173" s="534"/>
      <c r="F173" s="580"/>
      <c r="G173" s="580"/>
      <c r="H173" s="580"/>
      <c r="I173" s="580"/>
      <c r="J173" s="580">
        <v>118657530</v>
      </c>
      <c r="K173" s="580"/>
      <c r="L173" s="580">
        <f>+E171-J173</f>
        <v>10342470</v>
      </c>
      <c r="M173" s="580"/>
      <c r="N173" s="580"/>
      <c r="O173" s="690"/>
      <c r="P173" s="613"/>
      <c r="Q173" s="614"/>
      <c r="R173" s="613"/>
      <c r="S173" s="613"/>
      <c r="T173" s="614"/>
      <c r="U173" s="722"/>
      <c r="V173" s="634"/>
    </row>
    <row r="174" spans="2:22" s="615" customFormat="1" ht="15" customHeight="1" outlineLevel="1" x14ac:dyDescent="0.25">
      <c r="B174" s="731"/>
      <c r="C174" s="731"/>
      <c r="D174" s="731"/>
      <c r="E174" s="580"/>
      <c r="F174" s="534"/>
      <c r="G174" s="534"/>
      <c r="H174" s="534"/>
      <c r="I174" s="534"/>
      <c r="J174" s="580"/>
      <c r="K174" s="612"/>
      <c r="L174" s="580"/>
      <c r="M174" s="580"/>
      <c r="N174" s="580"/>
      <c r="O174" s="690"/>
      <c r="P174" s="613"/>
      <c r="Q174" s="614"/>
      <c r="R174" s="613"/>
      <c r="S174" s="613"/>
      <c r="T174" s="614"/>
      <c r="U174" s="722"/>
      <c r="V174" s="634"/>
    </row>
    <row r="175" spans="2:22" ht="15" customHeight="1" x14ac:dyDescent="0.25">
      <c r="B175" s="1182" t="s">
        <v>1665</v>
      </c>
      <c r="C175" s="1182"/>
      <c r="D175" s="1182"/>
      <c r="E175" s="539">
        <v>478000000</v>
      </c>
      <c r="F175" s="540"/>
      <c r="G175" s="540"/>
      <c r="H175" s="540"/>
      <c r="I175" s="540"/>
      <c r="J175" s="543">
        <f>+J176</f>
        <v>436914000</v>
      </c>
      <c r="K175" s="610"/>
      <c r="L175" s="543">
        <f>+L176</f>
        <v>0</v>
      </c>
      <c r="M175" s="543"/>
      <c r="N175" s="543">
        <f>+N176</f>
        <v>41086000</v>
      </c>
      <c r="O175" s="689"/>
      <c r="P175" s="575" t="str">
        <f>IF(ISERROR(VLOOKUP(B175,'Base de Datos'!$C$7:$N$315,8,0))=TRUE," ",(VLOOKUP(B175,'Base de Datos'!$C$7:$N$315,8,0)))</f>
        <v xml:space="preserve"> </v>
      </c>
      <c r="Q175" s="569"/>
      <c r="R175" s="575" t="str">
        <f>IF(ISERROR(VLOOKUP(B175,'Base de Datos'!$C$7:$N$315,9,0))=TRUE," ",(VLOOKUP(B175,'Base de Datos'!$C$7:$N$315,9,0)))</f>
        <v xml:space="preserve"> </v>
      </c>
      <c r="S175" s="575" t="str">
        <f>IF(ISERROR(VLOOKUP(B175,'Base de Datos'!$C$7:$N$315,10,0))=TRUE," ",(VLOOKUP(B175,'Base de Datos'!$C$7:$N$315,10,0)))</f>
        <v xml:space="preserve"> </v>
      </c>
      <c r="T175" s="569"/>
      <c r="U175" s="722"/>
      <c r="V175" s="634"/>
    </row>
    <row r="176" spans="2:22" ht="15" customHeight="1" x14ac:dyDescent="0.25">
      <c r="B176" s="1181" t="s">
        <v>1666</v>
      </c>
      <c r="C176" s="1181"/>
      <c r="D176" s="1181"/>
      <c r="E176" s="581">
        <v>478000000</v>
      </c>
      <c r="F176" s="586">
        <f>COUNTIF('Actualizada - presupuesto'!$E$7:$E$111,B176)</f>
        <v>1</v>
      </c>
      <c r="G176" s="586"/>
      <c r="H176" s="586"/>
      <c r="I176" s="586"/>
      <c r="J176" s="581">
        <f>SUM(J178)</f>
        <v>436914000</v>
      </c>
      <c r="K176" s="603">
        <f>J176/E176</f>
        <v>0.91404602510460253</v>
      </c>
      <c r="L176" s="581">
        <f>SUM(L178)</f>
        <v>0</v>
      </c>
      <c r="M176" s="581"/>
      <c r="N176" s="581">
        <f>+E176-J176-L176</f>
        <v>41086000</v>
      </c>
      <c r="O176" s="684"/>
      <c r="P176" s="591" t="str">
        <f>IF(ISERROR(VLOOKUP(B176,'Base de Datos'!$C$7:$N$315,8,0))=TRUE," ",(VLOOKUP(B176,'Base de Datos'!$C$7:$N$315,8,0)))</f>
        <v xml:space="preserve"> </v>
      </c>
      <c r="Q176" s="592"/>
      <c r="R176" s="591" t="str">
        <f>IF(ISERROR(VLOOKUP(B176,'Base de Datos'!$C$7:$N$315,9,0))=TRUE," ",(VLOOKUP(B176,'Base de Datos'!$C$7:$N$315,9,0)))</f>
        <v xml:space="preserve"> </v>
      </c>
      <c r="S176" s="591" t="str">
        <f>IF(ISERROR(VLOOKUP(B176,'Base de Datos'!$C$7:$N$315,10,0))=TRUE," ",(VLOOKUP(B176,'Base de Datos'!$C$7:$N$315,10,0)))</f>
        <v xml:space="preserve"> </v>
      </c>
      <c r="T176" s="592"/>
      <c r="U176" s="722"/>
      <c r="V176" s="634"/>
    </row>
    <row r="177" spans="2:22" ht="24" outlineLevel="1" x14ac:dyDescent="0.25">
      <c r="B177" s="537" t="s">
        <v>1693</v>
      </c>
      <c r="C177" s="537" t="s">
        <v>912</v>
      </c>
      <c r="D177" s="537" t="s">
        <v>1822</v>
      </c>
      <c r="E177" s="545" t="s">
        <v>1846</v>
      </c>
      <c r="F177" s="534" t="s">
        <v>1853</v>
      </c>
      <c r="G177" s="534"/>
      <c r="H177" s="534"/>
      <c r="I177" s="534"/>
      <c r="J177" s="537" t="s">
        <v>1845</v>
      </c>
      <c r="K177" s="652"/>
      <c r="L177" s="537" t="s">
        <v>1939</v>
      </c>
      <c r="M177" s="537"/>
      <c r="N177" s="537" t="s">
        <v>1940</v>
      </c>
      <c r="O177" s="677"/>
      <c r="P177" s="568" t="s">
        <v>1847</v>
      </c>
      <c r="Q177" s="537" t="s">
        <v>1848</v>
      </c>
      <c r="R177" s="537" t="s">
        <v>1849</v>
      </c>
      <c r="S177" s="537" t="s">
        <v>375</v>
      </c>
      <c r="T177" s="537" t="s">
        <v>1850</v>
      </c>
      <c r="U177" s="722"/>
      <c r="V177" s="634"/>
    </row>
    <row r="178" spans="2:22" s="615" customFormat="1" ht="24" customHeight="1" outlineLevel="1" x14ac:dyDescent="0.25">
      <c r="B178" s="706">
        <v>181</v>
      </c>
      <c r="C178" s="533" t="str">
        <f>IF(ISERROR(VLOOKUP(B178,'Base de Datos'!$C$7:$F$4092,2,0))=TRUE,"",(VLOOKUP('Presupuesto - PAA 2015'!B178,'Base de Datos'!$C$7:$F$4092,3,0)))</f>
        <v>150373-0-2015</v>
      </c>
      <c r="D178" s="533" t="str">
        <f>IF(ISERROR(VLOOKUP(B178,'Base de Datos'!$C$7:$F$4092,3,0))=TRUE,"",(VLOOKUP('Presupuesto - PAA 2015'!B178,'Base de Datos'!$C$7:$F$4092,4,0)))</f>
        <v>CENTRO DE RECURSOS EDUCATIVOS PARA LA COMPETITIVIDAD EMPRESARIAL LTDA. CRECE LTDA.</v>
      </c>
      <c r="E178" s="708">
        <v>478000000</v>
      </c>
      <c r="F178" s="534" t="str">
        <f>VLOOKUP(B178,'Actualizada - presupuesto'!$D$7:$L$111,9,0)</f>
        <v>SI</v>
      </c>
      <c r="G178" s="555"/>
      <c r="H178" s="555"/>
      <c r="I178" s="555"/>
      <c r="J178" s="536">
        <f>IF(ISERROR(VLOOKUP(B178,'Base de Datos'!$C$7:$N$4092,6,0))=TRUE,"Sin Celebrar",(VLOOKUP(B178,'Base de Datos'!$C$7:$N$4092,7,0)))</f>
        <v>436914000</v>
      </c>
      <c r="K178" s="709"/>
      <c r="L178" s="708" t="str">
        <f>IF(J178=$AA$1,E178, " ")</f>
        <v xml:space="preserve"> </v>
      </c>
      <c r="M178" s="708"/>
      <c r="N178" s="708">
        <f>IF(J178&lt;E178,(E178-J178)," ")</f>
        <v>41086000</v>
      </c>
      <c r="O178" s="719" t="str">
        <f>IF(ISERROR(VLOOKUP(B178,'Base de Datos'!$C$7:$K$1048576,7,0))=TRUE," ",(VLOOKUP(B178,'Base de Datos'!$C$7:$K$1048576,8,0)))</f>
        <v>SDH-LP-04-2015</v>
      </c>
      <c r="P178" s="551">
        <f>IF(ISERROR(VLOOKUP(B178,'Base de Datos'!$C$7:$N$4077,9,0))=TRUE," ",(VLOOKUP(B178,'Base de Datos'!$C$7:$N$4077,10,0)))</f>
        <v>42293</v>
      </c>
      <c r="Q178" s="707" t="s">
        <v>1321</v>
      </c>
      <c r="R178" s="551">
        <f>IF(ISERROR(VLOOKUP(B178,'Base de Datos'!$C$7:$N$4077,10,0))=TRUE," ",(VLOOKUP(B178,'Base de Datos'!$C$7:$N$4077,11,0)))</f>
        <v>42362</v>
      </c>
      <c r="S178" s="551">
        <f>IF(ISERROR(VLOOKUP(B178,'Base de Datos'!$C$7:$N$4077,11,0))=TRUE," ",(VLOOKUP(B178,'Base de Datos'!$C$7:$N$4077,12,0)))</f>
        <v>42605</v>
      </c>
      <c r="T178" s="533" t="str">
        <f ca="1">VLOOKUP(C178,'Base de Datos'!$E$7:$AR$382,39,0)</f>
        <v>NO</v>
      </c>
      <c r="U178" s="722"/>
      <c r="V178" s="634"/>
    </row>
    <row r="179" spans="2:22" outlineLevel="1" x14ac:dyDescent="0.25">
      <c r="B179" s="648"/>
      <c r="C179" s="648"/>
      <c r="D179" s="648"/>
      <c r="E179" s="536"/>
      <c r="F179" s="534"/>
      <c r="G179" s="534"/>
      <c r="H179" s="534"/>
      <c r="I179" s="534"/>
      <c r="J179" s="536"/>
      <c r="K179" s="600"/>
      <c r="L179" s="536"/>
      <c r="M179" s="536"/>
      <c r="N179" s="536"/>
      <c r="O179" s="678"/>
      <c r="P179" s="551"/>
      <c r="Q179" s="533"/>
      <c r="R179" s="551"/>
      <c r="S179" s="551"/>
      <c r="T179" s="533"/>
      <c r="U179" s="722"/>
      <c r="V179" s="634"/>
    </row>
    <row r="180" spans="2:22" ht="15" customHeight="1" x14ac:dyDescent="0.25">
      <c r="B180" s="1195" t="s">
        <v>1667</v>
      </c>
      <c r="C180" s="1195"/>
      <c r="D180" s="1195"/>
      <c r="E180" s="587">
        <v>834000000</v>
      </c>
      <c r="F180" s="588">
        <f>COUNTIF('Actualizada - presupuesto'!$E$7:$E$111,B180)</f>
        <v>3</v>
      </c>
      <c r="G180" s="588"/>
      <c r="H180" s="588"/>
      <c r="I180" s="588"/>
      <c r="J180" s="587">
        <f>SUM(J182:J186)</f>
        <v>750240969</v>
      </c>
      <c r="K180" s="607">
        <f>J180/E180</f>
        <v>0.89956950719424456</v>
      </c>
      <c r="L180" s="587">
        <f>SUM(L182:L186)</f>
        <v>0</v>
      </c>
      <c r="M180" s="587"/>
      <c r="N180" s="587">
        <f>+E180-J180-L180</f>
        <v>83759031</v>
      </c>
      <c r="O180" s="682"/>
      <c r="P180" s="589" t="str">
        <f>IF(ISERROR(VLOOKUP(B180,'Base de Datos'!$C$7:$N$315,8,0))=TRUE," ",(VLOOKUP(B180,'Base de Datos'!$C$7:$N$315,8,0)))</f>
        <v xml:space="preserve"> </v>
      </c>
      <c r="Q180" s="590"/>
      <c r="R180" s="589" t="str">
        <f>IF(ISERROR(VLOOKUP(B180,'Base de Datos'!$C$7:$N$315,9,0))=TRUE," ",(VLOOKUP(B180,'Base de Datos'!$C$7:$N$315,9,0)))</f>
        <v xml:space="preserve"> </v>
      </c>
      <c r="S180" s="589" t="str">
        <f>IF(ISERROR(VLOOKUP(B180,'Base de Datos'!$C$7:$N$315,10,0))=TRUE," ",(VLOOKUP(B180,'Base de Datos'!$C$7:$N$315,10,0)))</f>
        <v xml:space="preserve"> </v>
      </c>
      <c r="T180" s="592"/>
      <c r="U180" s="722"/>
      <c r="V180" s="634"/>
    </row>
    <row r="181" spans="2:22" ht="24" outlineLevel="1" x14ac:dyDescent="0.25">
      <c r="B181" s="537" t="s">
        <v>1693</v>
      </c>
      <c r="C181" s="537" t="s">
        <v>912</v>
      </c>
      <c r="D181" s="537" t="s">
        <v>1822</v>
      </c>
      <c r="E181" s="545" t="s">
        <v>1846</v>
      </c>
      <c r="F181" s="534" t="s">
        <v>1853</v>
      </c>
      <c r="G181" s="534"/>
      <c r="H181" s="534"/>
      <c r="I181" s="534"/>
      <c r="J181" s="537" t="s">
        <v>1845</v>
      </c>
      <c r="K181" s="652"/>
      <c r="L181" s="537" t="s">
        <v>1939</v>
      </c>
      <c r="M181" s="537"/>
      <c r="N181" s="537" t="s">
        <v>1940</v>
      </c>
      <c r="O181" s="677"/>
      <c r="P181" s="568" t="s">
        <v>1847</v>
      </c>
      <c r="Q181" s="537" t="s">
        <v>1848</v>
      </c>
      <c r="R181" s="537" t="s">
        <v>1849</v>
      </c>
      <c r="S181" s="537" t="s">
        <v>375</v>
      </c>
      <c r="T181" s="537" t="s">
        <v>1850</v>
      </c>
      <c r="U181" s="722"/>
      <c r="V181" s="634"/>
    </row>
    <row r="182" spans="2:22" ht="12.75" customHeight="1" outlineLevel="1" x14ac:dyDescent="0.25">
      <c r="B182" s="537">
        <v>184</v>
      </c>
      <c r="C182" s="533" t="str">
        <f>IF(ISERROR(VLOOKUP(B182,'Base de Datos'!$C$7:$F$4092,2,0))=TRUE,"",(VLOOKUP('Presupuesto - PAA 2015'!B182,'Base de Datos'!$C$7:$F$4092,3,0)))</f>
        <v>150386-0-2015</v>
      </c>
      <c r="D182" s="533" t="str">
        <f>IF(ISERROR(VLOOKUP(B182,'Base de Datos'!$C$7:$F$4092,3,0))=TRUE,"",(VLOOKUP('Presupuesto - PAA 2015'!B182,'Base de Datos'!$C$7:$F$4092,4,0)))</f>
        <v>ALMACENES EXITO S.A</v>
      </c>
      <c r="E182" s="536">
        <v>40000000</v>
      </c>
      <c r="F182" s="534" t="str">
        <f>VLOOKUP(B182,'Actualizada - presupuesto'!$D$7:$L$111,9,0)</f>
        <v>SI</v>
      </c>
      <c r="G182" s="534"/>
      <c r="H182" s="534"/>
      <c r="I182" s="534"/>
      <c r="J182" s="536">
        <f>IF(ISERROR(VLOOKUP(B182,'Base de Datos'!$C$7:$N$4092,6,0))=TRUE,"Sin Celebrar",(VLOOKUP(B182,'Base de Datos'!$C$7:$N$4092,7,0)))</f>
        <v>37372300</v>
      </c>
      <c r="K182" s="600"/>
      <c r="L182" s="536" t="str">
        <f>IF(J182=$AA$1,E182, " ")</f>
        <v xml:space="preserve"> </v>
      </c>
      <c r="M182" s="536"/>
      <c r="N182" s="536">
        <f>IF(J182&lt;E182,(E182-J182)," ")</f>
        <v>2627700</v>
      </c>
      <c r="O182" s="719" t="str">
        <f>IF(ISERROR(VLOOKUP(B182,'Base de Datos'!$C$7:$K$1048576,7,0))=TRUE," ",(VLOOKUP(B182,'Base de Datos'!$C$7:$K$1048576,8,0)))</f>
        <v>SDH-SAMC-06-2015</v>
      </c>
      <c r="P182" s="551">
        <f>IF(ISERROR(VLOOKUP(B182,'Base de Datos'!$C$7:$N$4077,9,0))=TRUE," ",(VLOOKUP(B182,'Base de Datos'!$C$7:$N$4077,10,0)))</f>
        <v>42314</v>
      </c>
      <c r="Q182" s="533" t="s">
        <v>381</v>
      </c>
      <c r="R182" s="551">
        <f>IF(ISERROR(VLOOKUP(B182,'Base de Datos'!$C$7:$N$4077,10,0))=TRUE," ",(VLOOKUP(B182,'Base de Datos'!$C$7:$N$4077,11,0)))</f>
        <v>42331</v>
      </c>
      <c r="S182" s="551">
        <f>IF(ISERROR(VLOOKUP(B182,'Base de Datos'!$C$7:$N$4077,11,0))=TRUE," ",(VLOOKUP(B182,'Base de Datos'!$C$7:$N$4077,12,0)))</f>
        <v>42392</v>
      </c>
      <c r="T182" s="533" t="str">
        <f ca="1">VLOOKUP(C182,'Base de Datos'!$E$7:$AR$382,39,0)</f>
        <v>NO</v>
      </c>
      <c r="U182" s="722"/>
      <c r="V182" s="634"/>
    </row>
    <row r="183" spans="2:22" outlineLevel="1" x14ac:dyDescent="0.25">
      <c r="B183" s="537">
        <v>185</v>
      </c>
      <c r="C183" s="533" t="str">
        <f>IF(ISERROR(VLOOKUP(B183,'Base de Datos'!$C$7:$F$4092,2,0))=TRUE,"",(VLOOKUP('Presupuesto - PAA 2015'!B183,'Base de Datos'!$C$7:$F$4092,3,0)))</f>
        <v>150377-0-2015</v>
      </c>
      <c r="D183" s="533" t="str">
        <f>IF(ISERROR(VLOOKUP(B183,'Base de Datos'!$C$7:$F$4092,3,0))=TRUE,"",(VLOOKUP('Presupuesto - PAA 2015'!B183,'Base de Datos'!$C$7:$F$4092,4,0)))</f>
        <v>CAJA DE COMPENSACION FAMILIAR COMPENSAR</v>
      </c>
      <c r="E183" s="536">
        <v>550762000</v>
      </c>
      <c r="F183" s="534" t="str">
        <f>VLOOKUP(B183,'Actualizada - presupuesto'!$D$7:$L$111,9,0)</f>
        <v>SI</v>
      </c>
      <c r="G183" s="534"/>
      <c r="H183" s="534"/>
      <c r="I183" s="534"/>
      <c r="J183" s="536">
        <f>IF(ISERROR(VLOOKUP(B183,'Base de Datos'!$C$7:$N$4092,6,0))=TRUE,"Sin Celebrar",(VLOOKUP(B183,'Base de Datos'!$C$7:$N$4092,7,0)))</f>
        <v>550762000</v>
      </c>
      <c r="K183" s="600"/>
      <c r="L183" s="536" t="str">
        <f>IF(J183=$AA$1,E183, " ")</f>
        <v xml:space="preserve"> </v>
      </c>
      <c r="M183" s="536"/>
      <c r="N183" s="536" t="str">
        <f>IF(J183&lt;E183,(E183-J183)," ")</f>
        <v xml:space="preserve"> </v>
      </c>
      <c r="O183" s="719" t="str">
        <f>IF(ISERROR(VLOOKUP(B183,'Base de Datos'!$C$7:$K$1048576,7,0))=TRUE," ",(VLOOKUP(B183,'Base de Datos'!$C$7:$K$1048576,8,0)))</f>
        <v>SDH-LP-03-2015</v>
      </c>
      <c r="P183" s="551">
        <f>IF(ISERROR(VLOOKUP(B183,'Base de Datos'!$C$7:$N$4077,9,0))=TRUE," ",(VLOOKUP(B183,'Base de Datos'!$C$7:$N$4077,10,0)))</f>
        <v>42297</v>
      </c>
      <c r="Q183" s="533" t="s">
        <v>1321</v>
      </c>
      <c r="R183" s="551">
        <f>IF(ISERROR(VLOOKUP(B183,'Base de Datos'!$C$7:$N$4077,10,0))=TRUE," ",(VLOOKUP(B183,'Base de Datos'!$C$7:$N$4077,11,0)))</f>
        <v>42305</v>
      </c>
      <c r="S183" s="551">
        <f>IF(ISERROR(VLOOKUP(B183,'Base de Datos'!$C$7:$N$4077,11,0))=TRUE," ",(VLOOKUP(B183,'Base de Datos'!$C$7:$N$4077,12,0)))</f>
        <v>42579</v>
      </c>
      <c r="T183" s="533" t="str">
        <f ca="1">VLOOKUP(C183,'Base de Datos'!$E$7:$AR$382,39,0)</f>
        <v>NO</v>
      </c>
      <c r="U183" s="722"/>
      <c r="V183" s="634"/>
    </row>
    <row r="184" spans="2:22" outlineLevel="1" x14ac:dyDescent="0.25">
      <c r="B184" s="552">
        <v>289</v>
      </c>
      <c r="C184" s="553" t="s">
        <v>1424</v>
      </c>
      <c r="D184" s="553" t="s">
        <v>1834</v>
      </c>
      <c r="E184" s="554">
        <v>15868800</v>
      </c>
      <c r="F184" s="534" t="str">
        <f>VLOOKUP(B184,'Actualizada - presupuesto'!$D$7:$L$111,9,0)</f>
        <v>SI</v>
      </c>
      <c r="G184" s="555"/>
      <c r="H184" s="555"/>
      <c r="I184" s="555"/>
      <c r="J184" s="554">
        <v>15868800</v>
      </c>
      <c r="K184" s="604"/>
      <c r="L184" s="554" t="str">
        <f>IF(J184=$AA$1,E184, " ")</f>
        <v xml:space="preserve"> </v>
      </c>
      <c r="M184" s="554"/>
      <c r="N184" s="536" t="str">
        <f>IF(J184&lt;E184,(E184-J184)," ")</f>
        <v xml:space="preserve"> </v>
      </c>
      <c r="O184" s="719" t="str">
        <f>IF(ISERROR(VLOOKUP(B184,'Base de Datos'!$C$7:$K$1048576,7,0))=TRUE," ",(VLOOKUP(B184,'Base de Datos'!$C$7:$K$1048576,7,0)))</f>
        <v xml:space="preserve"> </v>
      </c>
      <c r="P184" s="551" t="str">
        <f>IF(ISERROR(VLOOKUP(B184,'Base de Datos'!$C$7:$N$315,9,0))=TRUE," ",(VLOOKUP(B184,'Base de Datos'!$C$7:$N$315,9,0)))</f>
        <v xml:space="preserve"> </v>
      </c>
      <c r="Q184" s="553"/>
      <c r="R184" s="710" t="str">
        <f>IF(ISERROR(VLOOKUP(B184,'Base de Datos'!$C$7:$N$4077,10,0))=TRUE," ",(VLOOKUP(B184,'Base de Datos'!$C$7:$N$4077,10,0)))</f>
        <v xml:space="preserve"> </v>
      </c>
      <c r="S184" s="710" t="str">
        <f>IF(ISERROR(VLOOKUP(B184,'Base de Datos'!$C$7:$N$4077,11,0))=TRUE," ",(VLOOKUP(B184,'Base de Datos'!$C$7:$N$4077,11,0)))</f>
        <v xml:space="preserve"> </v>
      </c>
      <c r="T184" s="533" t="str">
        <f ca="1">VLOOKUP(C184,'Base de Datos'!$E$7:$AR$382,39,0)</f>
        <v>NO</v>
      </c>
      <c r="U184" s="722"/>
      <c r="V184" s="634"/>
    </row>
    <row r="185" spans="2:22" outlineLevel="1" x14ac:dyDescent="0.25">
      <c r="B185" s="552">
        <v>309</v>
      </c>
      <c r="C185" s="553" t="s">
        <v>1424</v>
      </c>
      <c r="D185" s="553" t="s">
        <v>1834</v>
      </c>
      <c r="E185" s="554">
        <v>146237869</v>
      </c>
      <c r="F185" s="534" t="s">
        <v>390</v>
      </c>
      <c r="G185" s="555"/>
      <c r="H185" s="555"/>
      <c r="I185" s="555"/>
      <c r="J185" s="536">
        <v>146237869</v>
      </c>
      <c r="K185" s="604"/>
      <c r="L185" s="554" t="str">
        <f>IF(J185=$AA$1,E185, " ")</f>
        <v xml:space="preserve"> </v>
      </c>
      <c r="M185" s="554"/>
      <c r="N185" s="536" t="str">
        <f>IF(J185&lt;E185,(E185-J185)," ")</f>
        <v xml:space="preserve"> </v>
      </c>
      <c r="O185" s="719">
        <f>IF(ISERROR(VLOOKUP(B185,'Base de Datos'!$C$7:$K$1048576,7,0))=TRUE," ",(VLOOKUP(B185,'Base de Datos'!$C$7:$K$1048576,7,0)))</f>
        <v>53864000</v>
      </c>
      <c r="P185" s="551"/>
      <c r="Q185" s="553"/>
      <c r="R185" s="710">
        <f>IF(ISERROR(VLOOKUP(B185,'Base de Datos'!$C$7:$N$4077,10,0))=TRUE," ",(VLOOKUP(B185,'Base de Datos'!$C$7:$N$4077,10,0)))</f>
        <v>43612</v>
      </c>
      <c r="S185" s="710">
        <f>IF(ISERROR(VLOOKUP(B185,'Base de Datos'!$C$7:$N$4077,11,0))=TRUE," ",(VLOOKUP(B185,'Base de Datos'!$C$7:$N$4077,11,0)))</f>
        <v>43614</v>
      </c>
      <c r="T185" s="533" t="str">
        <f ca="1">VLOOKUP(C185,'Base de Datos'!$E$7:$AR$382,39,0)</f>
        <v>NO</v>
      </c>
      <c r="U185" s="722"/>
      <c r="V185" s="634"/>
    </row>
    <row r="186" spans="2:22" outlineLevel="1" x14ac:dyDescent="0.25">
      <c r="B186" s="533"/>
      <c r="C186" s="533"/>
      <c r="D186" s="533" t="s">
        <v>1935</v>
      </c>
      <c r="E186" s="536">
        <f>E180-SUM(E182:E185)</f>
        <v>81131331</v>
      </c>
      <c r="F186" s="534"/>
      <c r="G186" s="534"/>
      <c r="H186" s="534"/>
      <c r="I186" s="534"/>
      <c r="J186" s="536"/>
      <c r="K186" s="600"/>
      <c r="L186" s="554"/>
      <c r="M186" s="554"/>
      <c r="N186" s="536">
        <f>IF(J186&lt;E186,(E186-J186)," ")</f>
        <v>81131331</v>
      </c>
      <c r="O186" s="679"/>
      <c r="P186" s="551" t="str">
        <f>IF(ISERROR(VLOOKUP(B186,'Base de Datos'!$C$7:$N$315,9,0))=TRUE," ",(VLOOKUP(B186,'Base de Datos'!$C$7:$N$315,9,0)))</f>
        <v xml:space="preserve"> </v>
      </c>
      <c r="Q186" s="533"/>
      <c r="R186" s="710" t="str">
        <f>IF(ISERROR(VLOOKUP(B186,'Base de Datos'!$C$7:$N$4077,10,0))=TRUE," ",(VLOOKUP(B186,'Base de Datos'!$C$7:$N$4077,10,0)))</f>
        <v xml:space="preserve"> </v>
      </c>
      <c r="S186" s="710" t="str">
        <f>IF(ISERROR(VLOOKUP(B186,'Base de Datos'!$C$7:$N$4077,11,0))=TRUE," ",(VLOOKUP(B186,'Base de Datos'!$C$7:$N$4077,11,0)))</f>
        <v xml:space="preserve"> </v>
      </c>
      <c r="T186" s="533"/>
      <c r="U186" s="722"/>
      <c r="V186" s="634"/>
    </row>
    <row r="187" spans="2:22" outlineLevel="1" x14ac:dyDescent="0.25">
      <c r="B187" s="533"/>
      <c r="C187" s="533"/>
      <c r="D187" s="533"/>
      <c r="E187" s="536"/>
      <c r="F187" s="534"/>
      <c r="G187" s="534"/>
      <c r="H187" s="534"/>
      <c r="I187" s="534"/>
      <c r="J187" s="536"/>
      <c r="K187" s="600"/>
      <c r="L187" s="536"/>
      <c r="M187" s="536"/>
      <c r="N187" s="536"/>
      <c r="O187" s="678"/>
      <c r="P187" s="551"/>
      <c r="Q187" s="533"/>
      <c r="R187" s="551"/>
      <c r="S187" s="551"/>
      <c r="T187" s="533"/>
      <c r="U187" s="722"/>
      <c r="V187" s="634"/>
    </row>
    <row r="188" spans="2:22" ht="15" customHeight="1" x14ac:dyDescent="0.25">
      <c r="B188" s="1199" t="s">
        <v>1668</v>
      </c>
      <c r="C188" s="1199"/>
      <c r="D188" s="1199"/>
      <c r="E188" s="587">
        <v>351721000</v>
      </c>
      <c r="F188" s="588">
        <f>COUNTIF('Actualizada - presupuesto'!$E$7:$E$111,B188)</f>
        <v>4</v>
      </c>
      <c r="G188" s="588"/>
      <c r="H188" s="588"/>
      <c r="I188" s="588"/>
      <c r="J188" s="587">
        <f>SUM(J190:J194)</f>
        <v>343600000</v>
      </c>
      <c r="K188" s="607">
        <f>J188/E188</f>
        <v>0.97691067635995577</v>
      </c>
      <c r="L188" s="587">
        <f>SUM(L190:L194)</f>
        <v>0</v>
      </c>
      <c r="M188" s="587"/>
      <c r="N188" s="587">
        <f>+E188-J188-L188</f>
        <v>8121000</v>
      </c>
      <c r="O188" s="682"/>
      <c r="P188" s="589" t="str">
        <f>IF(ISERROR(VLOOKUP(B188,'Base de Datos'!$C$7:$N$315,8,0))=TRUE," ",(VLOOKUP(B188,'Base de Datos'!$C$7:$N$315,8,0)))</f>
        <v xml:space="preserve"> </v>
      </c>
      <c r="Q188" s="590"/>
      <c r="R188" s="589" t="str">
        <f>IF(ISERROR(VLOOKUP(B188,'Base de Datos'!$C$7:$N$315,9,0))=TRUE," ",(VLOOKUP(B188,'Base de Datos'!$C$7:$N$315,9,0)))</f>
        <v xml:space="preserve"> </v>
      </c>
      <c r="S188" s="589" t="str">
        <f>IF(ISERROR(VLOOKUP(B188,'Base de Datos'!$C$7:$N$315,10,0))=TRUE," ",(VLOOKUP(B188,'Base de Datos'!$C$7:$N$315,10,0)))</f>
        <v xml:space="preserve"> </v>
      </c>
      <c r="T188" s="592"/>
      <c r="U188" s="722"/>
      <c r="V188" s="634"/>
    </row>
    <row r="189" spans="2:22" ht="24" outlineLevel="1" x14ac:dyDescent="0.25">
      <c r="B189" s="537" t="s">
        <v>1693</v>
      </c>
      <c r="C189" s="537" t="s">
        <v>912</v>
      </c>
      <c r="D189" s="537" t="s">
        <v>1822</v>
      </c>
      <c r="E189" s="545" t="s">
        <v>1846</v>
      </c>
      <c r="F189" s="534" t="s">
        <v>1853</v>
      </c>
      <c r="G189" s="534"/>
      <c r="H189" s="534"/>
      <c r="I189" s="534"/>
      <c r="J189" s="537" t="s">
        <v>1845</v>
      </c>
      <c r="K189" s="652"/>
      <c r="L189" s="537" t="s">
        <v>1939</v>
      </c>
      <c r="M189" s="537"/>
      <c r="N189" s="537" t="s">
        <v>1940</v>
      </c>
      <c r="O189" s="677"/>
      <c r="P189" s="568" t="s">
        <v>1847</v>
      </c>
      <c r="Q189" s="537" t="s">
        <v>1848</v>
      </c>
      <c r="R189" s="537" t="s">
        <v>1849</v>
      </c>
      <c r="S189" s="537" t="s">
        <v>375</v>
      </c>
      <c r="T189" s="537" t="s">
        <v>1850</v>
      </c>
      <c r="U189" s="722"/>
      <c r="V189" s="634"/>
    </row>
    <row r="190" spans="2:22" ht="16.5" customHeight="1" outlineLevel="1" x14ac:dyDescent="0.25">
      <c r="B190" s="537">
        <v>157</v>
      </c>
      <c r="C190" s="533" t="str">
        <f>IF(ISERROR(VLOOKUP(B190,'Base de Datos'!$C$7:$F$4092,2,0))=TRUE,"",(VLOOKUP('Presupuesto - PAA 2015'!B190,'Base de Datos'!$C$7:$F$4092,3,0)))</f>
        <v>150255-0-2015</v>
      </c>
      <c r="D190" s="533" t="str">
        <f>IF(ISERROR(VLOOKUP(B190,'Base de Datos'!$C$7:$F$4092,3,0))=TRUE,"",(VLOOKUP('Presupuesto - PAA 2015'!B190,'Base de Datos'!$C$7:$F$4092,4,0)))</f>
        <v>MEDALLAS COLOMBIANAS S.A.S</v>
      </c>
      <c r="E190" s="536">
        <v>29000000</v>
      </c>
      <c r="F190" s="534" t="str">
        <f>VLOOKUP(B190,'Actualizada - presupuesto'!$D$7:$L$111,9,0)</f>
        <v>SI</v>
      </c>
      <c r="G190" s="534"/>
      <c r="H190" s="534"/>
      <c r="I190" s="534"/>
      <c r="J190" s="536">
        <f>IF(ISERROR(VLOOKUP(B190,'Base de Datos'!$C$7:$N$4092,6,0))=TRUE,"Sin Celebrar",(VLOOKUP(B190,'Base de Datos'!$C$7:$N$4092,7,0)))</f>
        <v>29000000</v>
      </c>
      <c r="K190" s="600"/>
      <c r="L190" s="536" t="str">
        <f>IF(J190=$AA$1,E190, " ")</f>
        <v xml:space="preserve"> </v>
      </c>
      <c r="M190" s="536"/>
      <c r="N190" s="536" t="str">
        <f>IF(J190&lt;E190,(E190-J190)," ")</f>
        <v xml:space="preserve"> </v>
      </c>
      <c r="O190" s="719" t="str">
        <f>IF(ISERROR(VLOOKUP(B190,'Base de Datos'!$C$7:$K$1048576,7,0))=TRUE," ",(VLOOKUP(B190,'Base de Datos'!$C$7:$K$1048576,8,0)))</f>
        <v>SDH-SMINC-31-2015</v>
      </c>
      <c r="P190" s="551">
        <f>IF(ISERROR(VLOOKUP(B190,'Base de Datos'!$C$7:$N$4077,9,0))=TRUE," ",(VLOOKUP(B190,'Base de Datos'!$C$7:$N$4077,10,0)))</f>
        <v>42167</v>
      </c>
      <c r="Q190" s="533" t="s">
        <v>1854</v>
      </c>
      <c r="R190" s="551">
        <f>IF(ISERROR(VLOOKUP(B190,'Base de Datos'!$C$7:$N$4077,10,0))=TRUE," ",(VLOOKUP(B190,'Base de Datos'!$C$7:$N$4077,11,0)))</f>
        <v>42179</v>
      </c>
      <c r="S190" s="551">
        <f>IF(ISERROR(VLOOKUP(B190,'Base de Datos'!$C$7:$N$4077,11,0))=TRUE," ",(VLOOKUP(B190,'Base de Datos'!$C$7:$N$4077,12,0)))</f>
        <v>42484</v>
      </c>
      <c r="T190" s="533" t="str">
        <f ca="1">VLOOKUP(C190,'Base de Datos'!$E$7:$AR$382,39,0)</f>
        <v>NO</v>
      </c>
      <c r="U190" s="722"/>
      <c r="V190" s="634"/>
    </row>
    <row r="191" spans="2:22" ht="18" customHeight="1" outlineLevel="1" x14ac:dyDescent="0.25">
      <c r="B191" s="537">
        <v>158</v>
      </c>
      <c r="C191" s="533" t="str">
        <f>IF(ISERROR(VLOOKUP(B191,'Base de Datos'!$C$7:$F$4092,2,0))=TRUE,"",(VLOOKUP('Presupuesto - PAA 2015'!B191,'Base de Datos'!$C$7:$F$4092,3,0)))</f>
        <v>150271-0-2015</v>
      </c>
      <c r="D191" s="533" t="str">
        <f>IF(ISERROR(VLOOKUP(B191,'Base de Datos'!$C$7:$F$4092,3,0))=TRUE,"",(VLOOKUP('Presupuesto - PAA 2015'!B191,'Base de Datos'!$C$7:$F$4092,4,0)))</f>
        <v>INSTITUTO DISTRITAL DEL PATRIMONIO CULTURAL - IDPC</v>
      </c>
      <c r="E191" s="536">
        <v>180000000</v>
      </c>
      <c r="F191" s="534" t="s">
        <v>390</v>
      </c>
      <c r="G191" s="534"/>
      <c r="H191" s="534"/>
      <c r="I191" s="534"/>
      <c r="J191" s="536">
        <f>IF(ISERROR(VLOOKUP(B191,'Base de Datos'!$C$7:$N$4092,6,0))=TRUE,"Sin Celebrar",(VLOOKUP(B191,'Base de Datos'!$C$7:$N$4092,7,0)))</f>
        <v>180000000</v>
      </c>
      <c r="K191" s="600"/>
      <c r="L191" s="536" t="str">
        <f>IF(J191=$AA$1,E191, " ")</f>
        <v xml:space="preserve"> </v>
      </c>
      <c r="M191" s="536"/>
      <c r="N191" s="536" t="str">
        <f>IF(J191&lt;E191,(E191-J191)," ")</f>
        <v xml:space="preserve"> </v>
      </c>
      <c r="O191" s="719" t="str">
        <f>IF(ISERROR(VLOOKUP(B191,'Base de Datos'!$C$7:$K$1048576,7,0))=TRUE," ",(VLOOKUP(B191,'Base de Datos'!$C$7:$K$1048576,8,0)))</f>
        <v>150271-0-2015</v>
      </c>
      <c r="P191" s="551">
        <f>IF(ISERROR(VLOOKUP(B191,'Base de Datos'!$C$7:$N$4077,9,0))=TRUE," ",(VLOOKUP(B191,'Base de Datos'!$C$7:$N$4077,10,0)))</f>
        <v>42179</v>
      </c>
      <c r="Q191" s="533" t="s">
        <v>380</v>
      </c>
      <c r="R191" s="551">
        <f>IF(ISERROR(VLOOKUP(B191,'Base de Datos'!$C$7:$N$4077,10,0))=TRUE," ",(VLOOKUP(B191,'Base de Datos'!$C$7:$N$4077,11,0)))</f>
        <v>42219</v>
      </c>
      <c r="S191" s="551">
        <f>IF(ISERROR(VLOOKUP(B191,'Base de Datos'!$C$7:$N$4077,11,0))=TRUE," ",(VLOOKUP(B191,'Base de Datos'!$C$7:$N$4077,12,0)))</f>
        <v>42492</v>
      </c>
      <c r="T191" s="533" t="str">
        <f ca="1">VLOOKUP(C191,'Base de Datos'!$E$7:$AR$382,39,0)</f>
        <v>SI</v>
      </c>
      <c r="U191" s="722"/>
      <c r="V191" s="634"/>
    </row>
    <row r="192" spans="2:22" ht="15" customHeight="1" outlineLevel="1" x14ac:dyDescent="0.25">
      <c r="B192" s="537">
        <v>182</v>
      </c>
      <c r="C192" s="533" t="str">
        <f>IF(ISERROR(VLOOKUP(B192,'Base de Datos'!$C$7:$F$4092,2,0))=TRUE,"",(VLOOKUP('Presupuesto - PAA 2015'!B192,'Base de Datos'!$C$7:$F$4092,3,0)))</f>
        <v>150260-0-2015</v>
      </c>
      <c r="D192" s="533" t="str">
        <f>IF(ISERROR(VLOOKUP(B192,'Base de Datos'!$C$7:$F$4092,3,0))=TRUE,"",(VLOOKUP('Presupuesto - PAA 2015'!B192,'Base de Datos'!$C$7:$F$4092,4,0)))</f>
        <v>CAJA DE COMPENSACION FAMILIAR COMPENSAR</v>
      </c>
      <c r="E192" s="536">
        <v>102000000</v>
      </c>
      <c r="F192" s="534" t="str">
        <f>VLOOKUP(B192,'Actualizada - presupuesto'!$D$7:$L$111,9,0)</f>
        <v>SI</v>
      </c>
      <c r="G192" s="534"/>
      <c r="H192" s="534"/>
      <c r="I192" s="534"/>
      <c r="J192" s="536">
        <f>IF(ISERROR(VLOOKUP(B192,'Base de Datos'!$C$7:$N$4092,6,0))=TRUE,"Sin Celebrar",(VLOOKUP(B192,'Base de Datos'!$C$7:$N$4092,7,0)))</f>
        <v>102000000</v>
      </c>
      <c r="K192" s="600"/>
      <c r="L192" s="536" t="str">
        <f>IF(J192=$AA$1,E192, " ")</f>
        <v xml:space="preserve"> </v>
      </c>
      <c r="M192" s="536"/>
      <c r="N192" s="536" t="str">
        <f>IF(J192&lt;E192,(E192-J192)," ")</f>
        <v xml:space="preserve"> </v>
      </c>
      <c r="O192" s="719" t="str">
        <f>IF(ISERROR(VLOOKUP(B192,'Base de Datos'!$C$7:$K$1048576,7,0))=TRUE," ",(VLOOKUP(B192,'Base de Datos'!$C$7:$K$1048576,8,0)))</f>
        <v>SDH-SAMC-01-2015</v>
      </c>
      <c r="P192" s="551">
        <f>IF(ISERROR(VLOOKUP(B192,'Base de Datos'!$C$7:$N$4077,9,0))=TRUE," ",(VLOOKUP(B192,'Base de Datos'!$C$7:$N$4077,10,0)))</f>
        <v>42171</v>
      </c>
      <c r="Q192" s="533" t="s">
        <v>1854</v>
      </c>
      <c r="R192" s="551">
        <f>IF(ISERROR(VLOOKUP(B192,'Base de Datos'!$C$7:$N$4077,10,0))=TRUE," ",(VLOOKUP(B192,'Base de Datos'!$C$7:$N$4077,11,0)))</f>
        <v>42186</v>
      </c>
      <c r="S192" s="551">
        <f>IF(ISERROR(VLOOKUP(B192,'Base de Datos'!$C$7:$N$4077,11,0))=TRUE," ",(VLOOKUP(B192,'Base de Datos'!$C$7:$N$4077,12,0)))</f>
        <v>42519</v>
      </c>
      <c r="T192" s="533" t="str">
        <f ca="1">VLOOKUP(C192,'Base de Datos'!$E$7:$AR$382,39,0)</f>
        <v>NO</v>
      </c>
      <c r="U192" s="722"/>
      <c r="V192" s="634"/>
    </row>
    <row r="193" spans="2:22" outlineLevel="1" x14ac:dyDescent="0.25">
      <c r="B193" s="552">
        <v>275</v>
      </c>
      <c r="C193" s="553" t="s">
        <v>297</v>
      </c>
      <c r="D193" s="553" t="s">
        <v>1835</v>
      </c>
      <c r="E193" s="554">
        <v>32600000</v>
      </c>
      <c r="F193" s="534" t="str">
        <f>VLOOKUP(B193,'Actualizada - presupuesto'!$D$7:$L$111,9,0)</f>
        <v>SI</v>
      </c>
      <c r="G193" s="555"/>
      <c r="H193" s="555"/>
      <c r="I193" s="555"/>
      <c r="J193" s="554">
        <v>32600000</v>
      </c>
      <c r="K193" s="604"/>
      <c r="L193" s="554" t="str">
        <f>IF(J193=$AA$1,E193, " ")</f>
        <v xml:space="preserve"> </v>
      </c>
      <c r="M193" s="554"/>
      <c r="N193" s="554" t="str">
        <f>IF(J193&lt;E193,(E193-J193)," ")</f>
        <v xml:space="preserve"> </v>
      </c>
      <c r="O193" s="719" t="str">
        <f>IF(ISERROR(VLOOKUP(B193,'Base de Datos'!$C$7:$K$1048576,7,0))=TRUE," ",(VLOOKUP(B193,'Base de Datos'!$C$7:$K$1048576,7,0)))</f>
        <v xml:space="preserve"> </v>
      </c>
      <c r="P193" s="551" t="str">
        <f>IF(ISERROR(VLOOKUP(B193,'Base de Datos'!$C$7:$N$315,9,0))=TRUE," ",(VLOOKUP(B193,'Base de Datos'!$C$7:$N$315,9,0)))</f>
        <v xml:space="preserve"> </v>
      </c>
      <c r="Q193" s="553"/>
      <c r="R193" s="556" t="str">
        <f>IF(ISERROR(VLOOKUP(B193,'Base de Datos'!$C$7:$N$315,10,0))=TRUE," ",(VLOOKUP(B193,'Base de Datos'!$C$7:$N$315,10,0)))</f>
        <v xml:space="preserve"> </v>
      </c>
      <c r="S193" s="556" t="str">
        <f>IF(ISERROR(VLOOKUP(B193,'Base de Datos'!$C$7:$N$315,11,0))=TRUE," ",(VLOOKUP(B193,'Base de Datos'!$C$7:$N$315,11,0)))</f>
        <v xml:space="preserve"> </v>
      </c>
      <c r="T193" s="533" t="str">
        <f ca="1">VLOOKUP(C193,'Base de Datos'!$E$7:$AR$382,39,0)</f>
        <v>NO</v>
      </c>
      <c r="U193" s="722"/>
      <c r="V193" s="634"/>
    </row>
    <row r="194" spans="2:22" outlineLevel="1" x14ac:dyDescent="0.25">
      <c r="B194" s="533"/>
      <c r="C194" s="533"/>
      <c r="D194" s="533" t="s">
        <v>1935</v>
      </c>
      <c r="E194" s="536">
        <f>+E188-SUM(E190:E193)</f>
        <v>8121000</v>
      </c>
      <c r="F194" s="534"/>
      <c r="G194" s="534"/>
      <c r="H194" s="534"/>
      <c r="I194" s="534"/>
      <c r="J194" s="536"/>
      <c r="K194" s="600"/>
      <c r="L194" s="554"/>
      <c r="M194" s="554"/>
      <c r="N194" s="554">
        <f>IF(J194&lt;E194,(E194-J194)," ")</f>
        <v>8121000</v>
      </c>
      <c r="O194" s="679"/>
      <c r="P194" s="551" t="str">
        <f>IF(ISERROR(VLOOKUP(B194,'Base de Datos'!$C$7:$N$315,9,0))=TRUE," ",(VLOOKUP(B194,'Base de Datos'!$C$7:$N$315,9,0)))</f>
        <v xml:space="preserve"> </v>
      </c>
      <c r="Q194" s="533"/>
      <c r="R194" s="556" t="str">
        <f>IF(ISERROR(VLOOKUP(B194,'Base de Datos'!$C$7:$N$315,10,0))=TRUE," ",(VLOOKUP(B194,'Base de Datos'!$C$7:$N$315,10,0)))</f>
        <v xml:space="preserve"> </v>
      </c>
      <c r="S194" s="556" t="str">
        <f>IF(ISERROR(VLOOKUP(B194,'Base de Datos'!$C$7:$N$315,11,0))=TRUE," ",(VLOOKUP(B194,'Base de Datos'!$C$7:$N$315,11,0)))</f>
        <v xml:space="preserve"> </v>
      </c>
      <c r="T194" s="533"/>
      <c r="U194" s="722"/>
      <c r="V194" s="634"/>
    </row>
    <row r="195" spans="2:22" outlineLevel="1" x14ac:dyDescent="0.25">
      <c r="B195" s="533"/>
      <c r="C195" s="533"/>
      <c r="D195" s="533"/>
      <c r="E195" s="536"/>
      <c r="F195" s="534"/>
      <c r="G195" s="534"/>
      <c r="H195" s="534"/>
      <c r="I195" s="534"/>
      <c r="J195" s="536"/>
      <c r="K195" s="600"/>
      <c r="L195" s="536"/>
      <c r="M195" s="536"/>
      <c r="N195" s="536"/>
      <c r="O195" s="678"/>
      <c r="P195" s="551"/>
      <c r="Q195" s="533"/>
      <c r="R195" s="551"/>
      <c r="S195" s="551"/>
      <c r="T195" s="533"/>
      <c r="U195" s="722"/>
      <c r="V195" s="634"/>
    </row>
    <row r="196" spans="2:22" ht="15" customHeight="1" x14ac:dyDescent="0.25">
      <c r="B196" s="1195" t="s">
        <v>1669</v>
      </c>
      <c r="C196" s="1195"/>
      <c r="D196" s="1195"/>
      <c r="E196" s="587">
        <v>108000000</v>
      </c>
      <c r="F196" s="588">
        <f>COUNTIF('Actualizada - presupuesto'!$E$7:$E$111,B196)</f>
        <v>3</v>
      </c>
      <c r="G196" s="588"/>
      <c r="H196" s="588"/>
      <c r="I196" s="588"/>
      <c r="J196" s="587">
        <f>SUM(J198:J202)</f>
        <v>81139000</v>
      </c>
      <c r="K196" s="607">
        <f>J196/E196</f>
        <v>0.75128703703703703</v>
      </c>
      <c r="L196" s="587">
        <f>SUM(L198:L202)</f>
        <v>0</v>
      </c>
      <c r="M196" s="587"/>
      <c r="N196" s="587">
        <f>+E196-J196-L196</f>
        <v>26861000</v>
      </c>
      <c r="O196" s="682"/>
      <c r="P196" s="589" t="str">
        <f>IF(ISERROR(VLOOKUP(B196,'Base de Datos'!$C$7:$N$315,8,0))=TRUE," ",(VLOOKUP(B196,'Base de Datos'!$C$7:$N$315,8,0)))</f>
        <v xml:space="preserve"> </v>
      </c>
      <c r="Q196" s="590"/>
      <c r="R196" s="589" t="str">
        <f>IF(ISERROR(VLOOKUP(B196,'Base de Datos'!$C$7:$N$315,9,0))=TRUE," ",(VLOOKUP(B196,'Base de Datos'!$C$7:$N$315,9,0)))</f>
        <v xml:space="preserve"> </v>
      </c>
      <c r="S196" s="589" t="str">
        <f>IF(ISERROR(VLOOKUP(B196,'Base de Datos'!$C$7:$N$315,10,0))=TRUE," ",(VLOOKUP(B196,'Base de Datos'!$C$7:$N$315,10,0)))</f>
        <v xml:space="preserve"> </v>
      </c>
      <c r="T196" s="592"/>
      <c r="U196" s="722"/>
      <c r="V196" s="634"/>
    </row>
    <row r="197" spans="2:22" ht="24" outlineLevel="1" x14ac:dyDescent="0.25">
      <c r="B197" s="537" t="s">
        <v>1693</v>
      </c>
      <c r="C197" s="537" t="s">
        <v>912</v>
      </c>
      <c r="D197" s="537" t="s">
        <v>1822</v>
      </c>
      <c r="E197" s="545" t="s">
        <v>1846</v>
      </c>
      <c r="F197" s="534" t="s">
        <v>1853</v>
      </c>
      <c r="G197" s="534"/>
      <c r="H197" s="534"/>
      <c r="I197" s="534"/>
      <c r="J197" s="537" t="s">
        <v>1845</v>
      </c>
      <c r="K197" s="652"/>
      <c r="L197" s="537" t="s">
        <v>1939</v>
      </c>
      <c r="M197" s="537"/>
      <c r="N197" s="537" t="s">
        <v>1940</v>
      </c>
      <c r="O197" s="677"/>
      <c r="P197" s="568" t="s">
        <v>1847</v>
      </c>
      <c r="Q197" s="537" t="s">
        <v>1848</v>
      </c>
      <c r="R197" s="537" t="s">
        <v>1849</v>
      </c>
      <c r="S197" s="537" t="s">
        <v>375</v>
      </c>
      <c r="T197" s="537" t="s">
        <v>1850</v>
      </c>
      <c r="U197" s="722"/>
      <c r="V197" s="634"/>
    </row>
    <row r="198" spans="2:22" ht="24" outlineLevel="1" x14ac:dyDescent="0.25">
      <c r="B198" s="537">
        <v>186</v>
      </c>
      <c r="C198" s="533" t="str">
        <f>IF(ISERROR(VLOOKUP(B198,'Base de Datos'!$C$7:$F$4092,2,0))=TRUE,"",(VLOOKUP('Presupuesto - PAA 2015'!B198,'Base de Datos'!$C$7:$F$4092,3,0)))</f>
        <v>150353-0-2015</v>
      </c>
      <c r="D198" s="533" t="str">
        <f>IF(ISERROR(VLOOKUP(B198,'Base de Datos'!$C$7:$F$4092,3,0))=TRUE,"",(VLOOKUP('Presupuesto - PAA 2015'!B198,'Base de Datos'!$C$7:$F$4092,4,0)))</f>
        <v>PRODUCTORA Y COMERCIALIZADORA ODONTOLÓGICA NEW STETIC S.A.</v>
      </c>
      <c r="E198" s="536">
        <v>6000000</v>
      </c>
      <c r="F198" s="534" t="str">
        <f>VLOOKUP(B198,'Actualizada - presupuesto'!$D$7:$L$111,9,0)</f>
        <v>SI</v>
      </c>
      <c r="G198" s="534"/>
      <c r="H198" s="534"/>
      <c r="I198" s="534"/>
      <c r="J198" s="536">
        <f>IF(ISERROR(VLOOKUP(B198,'Base de Datos'!$C$7:$N$4092,6,0))=TRUE,"Sin Celebrar",(VLOOKUP(B198,'Base de Datos'!$C$7:$N$4092,7,0)))</f>
        <v>6000000</v>
      </c>
      <c r="K198" s="600"/>
      <c r="L198" s="536" t="str">
        <f>IF(J198=$AA$1,E198, " ")</f>
        <v xml:space="preserve"> </v>
      </c>
      <c r="M198" s="536"/>
      <c r="N198" s="536" t="str">
        <f>IF(J198&lt;E198,(E198-J198)," ")</f>
        <v xml:space="preserve"> </v>
      </c>
      <c r="O198" s="719" t="str">
        <f>IF(ISERROR(VLOOKUP(B198,'Base de Datos'!$C$7:$K$1048576,7,0))=TRUE," ",(VLOOKUP(B198,'Base de Datos'!$C$7:$K$1048576,8,0)))</f>
        <v>SDH-SMINC-052-2015</v>
      </c>
      <c r="P198" s="551">
        <f>IF(ISERROR(VLOOKUP(B198,'Base de Datos'!$C$7:$N$4077,9,0))=TRUE," ",(VLOOKUP(B198,'Base de Datos'!$C$7:$N$4077,10,0)))</f>
        <v>42261</v>
      </c>
      <c r="Q198" s="533" t="s">
        <v>378</v>
      </c>
      <c r="R198" s="551">
        <f>IF(ISERROR(VLOOKUP(B198,'Base de Datos'!$C$7:$N$4077,10,0))=TRUE," ",(VLOOKUP(B198,'Base de Datos'!$C$7:$N$4077,11,0)))</f>
        <v>42291</v>
      </c>
      <c r="S198" s="551">
        <f>IF(ISERROR(VLOOKUP(B198,'Base de Datos'!$C$7:$N$4077,11,0))=TRUE," ",(VLOOKUP(B198,'Base de Datos'!$C$7:$N$4077,12,0)))</f>
        <v>42352</v>
      </c>
      <c r="T198" s="533" t="str">
        <f ca="1">VLOOKUP(C198,'Base de Datos'!$E$7:$AR$382,39,0)</f>
        <v>NO</v>
      </c>
      <c r="U198" s="722"/>
      <c r="V198" s="634"/>
    </row>
    <row r="199" spans="2:22" ht="24" outlineLevel="1" x14ac:dyDescent="0.25">
      <c r="B199" s="537">
        <v>187</v>
      </c>
      <c r="C199" s="533" t="str">
        <f>IF(ISERROR(VLOOKUP(B199,'Base de Datos'!$C$7:$F$4092,2,0))=TRUE,"",(VLOOKUP('Presupuesto - PAA 2015'!B199,'Base de Datos'!$C$7:$F$4092,3,0)))</f>
        <v>150348-0-2015</v>
      </c>
      <c r="D199" s="533" t="str">
        <f>IF(ISERROR(VLOOKUP(B199,'Base de Datos'!$C$7:$F$4092,3,0))=TRUE,"",(VLOOKUP('Presupuesto - PAA 2015'!B199,'Base de Datos'!$C$7:$F$4092,4,0)))</f>
        <v>ORION CONIC S.A.S</v>
      </c>
      <c r="E199" s="536">
        <v>19141000</v>
      </c>
      <c r="F199" s="534" t="str">
        <f>VLOOKUP(B199,'Actualizada - presupuesto'!$D$7:$L$111,9,0)</f>
        <v>SI</v>
      </c>
      <c r="G199" s="534"/>
      <c r="H199" s="534"/>
      <c r="I199" s="534"/>
      <c r="J199" s="536">
        <f>IF(ISERROR(VLOOKUP(B199,'Base de Datos'!$C$7:$N$4092,6,0))=TRUE,"Sin Celebrar",(VLOOKUP(B199,'Base de Datos'!$C$7:$N$4092,7,0)))</f>
        <v>19141000</v>
      </c>
      <c r="K199" s="600"/>
      <c r="L199" s="536" t="str">
        <f>IF(J199=$AA$1,E199, " ")</f>
        <v xml:space="preserve"> </v>
      </c>
      <c r="M199" s="536"/>
      <c r="N199" s="536" t="str">
        <f>IF(J199&lt;E199,(E199-J199)," ")</f>
        <v xml:space="preserve"> </v>
      </c>
      <c r="O199" s="719" t="str">
        <f>IF(ISERROR(VLOOKUP(B199,'Base de Datos'!$C$7:$K$1048576,7,0))=TRUE," ",(VLOOKUP(B199,'Base de Datos'!$C$7:$K$1048576,8,0)))</f>
        <v>SDH-SMINC-50-2015</v>
      </c>
      <c r="P199" s="551">
        <f>IF(ISERROR(VLOOKUP(B199,'Base de Datos'!$C$7:$N$4077,9,0))=TRUE," ",(VLOOKUP(B199,'Base de Datos'!$C$7:$N$4077,10,0)))</f>
        <v>42248</v>
      </c>
      <c r="Q199" s="533" t="s">
        <v>380</v>
      </c>
      <c r="R199" s="551">
        <f>IF(ISERROR(VLOOKUP(B199,'Base de Datos'!$C$7:$N$4077,10,0))=TRUE," ",(VLOOKUP(B199,'Base de Datos'!$C$7:$N$4077,11,0)))</f>
        <v>42262</v>
      </c>
      <c r="S199" s="551">
        <f>IF(ISERROR(VLOOKUP(B199,'Base de Datos'!$C$7:$N$4077,11,0))=TRUE," ",(VLOOKUP(B199,'Base de Datos'!$C$7:$N$4077,12,0)))</f>
        <v>42384</v>
      </c>
      <c r="T199" s="533" t="str">
        <f ca="1">VLOOKUP(C199,'Base de Datos'!$E$7:$AR$382,39,0)</f>
        <v>NO</v>
      </c>
      <c r="U199" s="722"/>
      <c r="V199" s="634"/>
    </row>
    <row r="200" spans="2:22" ht="24" outlineLevel="1" x14ac:dyDescent="0.25">
      <c r="B200" s="552">
        <v>188</v>
      </c>
      <c r="C200" s="533" t="str">
        <f>IF(ISERROR(VLOOKUP(B200,'Base de Datos'!$C$7:$F$4092,2,0))=TRUE,"",(VLOOKUP('Presupuesto - PAA 2015'!B200,'Base de Datos'!$C$7:$F$4092,3,0)))</f>
        <v>150300-0-2015</v>
      </c>
      <c r="D200" s="533" t="str">
        <f>IF(ISERROR(VLOOKUP(B200,'Base de Datos'!$C$7:$F$4092,3,0))=TRUE,"",(VLOOKUP('Presupuesto - PAA 2015'!B200,'Base de Datos'!$C$7:$F$4092,4,0)))</f>
        <v>GERIZIM CENTRO MEDICO ESPECIALIZADO EN SALUD OCUPACIONAL EU</v>
      </c>
      <c r="E200" s="554">
        <v>52390000</v>
      </c>
      <c r="F200" s="534" t="str">
        <f>VLOOKUP(B200,'Actualizada - presupuesto'!$D$7:$L$111,9,0)</f>
        <v>SI</v>
      </c>
      <c r="G200" s="555"/>
      <c r="H200" s="555"/>
      <c r="I200" s="555"/>
      <c r="J200" s="536">
        <f>IF(ISERROR(VLOOKUP(B200,'Base de Datos'!$C$7:$N$4092,6,0))=TRUE,"Sin Celebrar",(VLOOKUP(B200,'Base de Datos'!$C$7:$N$4092,7,0)))</f>
        <v>52390000</v>
      </c>
      <c r="K200" s="604"/>
      <c r="L200" s="554" t="str">
        <f>IF(J200=$AA$1,E200, " ")</f>
        <v xml:space="preserve"> </v>
      </c>
      <c r="M200" s="554"/>
      <c r="N200" s="554" t="str">
        <f>IF(J200&lt;E200,(E200-J200)," ")</f>
        <v xml:space="preserve"> </v>
      </c>
      <c r="O200" s="719" t="str">
        <f>IF(ISERROR(VLOOKUP(B200,'Base de Datos'!$C$7:$K$1048576,7,0))=TRUE," ",(VLOOKUP(B200,'Base de Datos'!$C$7:$K$1048576,8,0)))</f>
        <v>SDH-SAMC-02-2015</v>
      </c>
      <c r="P200" s="551">
        <f>IF(ISERROR(VLOOKUP(B200,'Base de Datos'!$C$7:$N$4077,9,0))=TRUE," ",(VLOOKUP(B200,'Base de Datos'!$C$7:$N$4077,10,0)))</f>
        <v>42181</v>
      </c>
      <c r="Q200" s="553" t="s">
        <v>1321</v>
      </c>
      <c r="R200" s="551">
        <f>IF(ISERROR(VLOOKUP(B200,'Base de Datos'!$C$7:$N$4077,10,0))=TRUE," ",(VLOOKUP(B200,'Base de Datos'!$C$7:$N$4077,11,0)))</f>
        <v>42200</v>
      </c>
      <c r="S200" s="551">
        <f>IF(ISERROR(VLOOKUP(B200,'Base de Datos'!$C$7:$N$4077,11,0))=TRUE," ",(VLOOKUP(B200,'Base de Datos'!$C$7:$N$4077,12,0)))</f>
        <v>42475</v>
      </c>
      <c r="T200" s="533" t="str">
        <f ca="1">VLOOKUP(C200,'Base de Datos'!$E$7:$AR$382,39,0)</f>
        <v>NO</v>
      </c>
      <c r="U200" s="722"/>
      <c r="V200" s="634"/>
    </row>
    <row r="201" spans="2:22" ht="14.25" customHeight="1" outlineLevel="1" x14ac:dyDescent="0.25">
      <c r="B201" s="552">
        <v>189</v>
      </c>
      <c r="C201" s="533" t="str">
        <f>IF(ISERROR(VLOOKUP(B201,'Base de Datos'!$C$7:$F$4092,2,0))=TRUE,"",(VLOOKUP('Presupuesto - PAA 2015'!B201,'Base de Datos'!$C$7:$F$4092,3,0)))</f>
        <v>150316-0-2015</v>
      </c>
      <c r="D201" s="533" t="str">
        <f>IF(ISERROR(VLOOKUP(B201,'Base de Datos'!$C$7:$F$4092,3,0))=TRUE,"",(VLOOKUP('Presupuesto - PAA 2015'!B201,'Base de Datos'!$C$7:$F$4092,4,0)))</f>
        <v>PROCOLDEXT LTDA</v>
      </c>
      <c r="E201" s="554">
        <v>3608000</v>
      </c>
      <c r="F201" s="555" t="s">
        <v>390</v>
      </c>
      <c r="G201" s="555"/>
      <c r="H201" s="555"/>
      <c r="I201" s="555"/>
      <c r="J201" s="536">
        <f>IF(ISERROR(VLOOKUP(B201,'Base de Datos'!$C$7:$N$4092,6,0))=TRUE,"Sin Celebrar",(VLOOKUP(B201,'Base de Datos'!$C$7:$N$4092,7,0)))</f>
        <v>3608000</v>
      </c>
      <c r="K201" s="604"/>
      <c r="L201" s="554" t="str">
        <f>IF(J201=$AA$1,E201, " ")</f>
        <v xml:space="preserve"> </v>
      </c>
      <c r="M201" s="554"/>
      <c r="N201" s="554" t="str">
        <f>IF(J201&lt;E201,(E201-J201)," ")</f>
        <v xml:space="preserve"> </v>
      </c>
      <c r="O201" s="719" t="str">
        <f>IF(ISERROR(VLOOKUP(B201,'Base de Datos'!$C$7:$K$1048576,7,0))=TRUE," ",(VLOOKUP(B201,'Base de Datos'!$C$7:$K$1048576,8,0)))</f>
        <v>SDH-SMINC-36-2015</v>
      </c>
      <c r="P201" s="551">
        <f>IF(ISERROR(VLOOKUP(B201,'Base de Datos'!$C$7:$N$4077,9,0))=TRUE," ",(VLOOKUP(B201,'Base de Datos'!$C$7:$N$4077,10,0)))</f>
        <v>42201</v>
      </c>
      <c r="Q201" s="553" t="s">
        <v>379</v>
      </c>
      <c r="R201" s="551">
        <f>IF(ISERROR(VLOOKUP(B201,'Base de Datos'!$C$7:$N$4077,10,0))=TRUE," ",(VLOOKUP(B201,'Base de Datos'!$C$7:$N$4077,11,0)))</f>
        <v>42295</v>
      </c>
      <c r="S201" s="551">
        <f>IF(ISERROR(VLOOKUP(B201,'Base de Datos'!$C$7:$N$4077,11,0))=TRUE," ",(VLOOKUP(B201,'Base de Datos'!$C$7:$N$4077,12,0)))</f>
        <v>42387</v>
      </c>
      <c r="T201" s="533" t="str">
        <f ca="1">VLOOKUP(C201,'Base de Datos'!$E$7:$AR$382,39,0)</f>
        <v>NO</v>
      </c>
      <c r="U201" s="722"/>
      <c r="V201" s="634"/>
    </row>
    <row r="202" spans="2:22" outlineLevel="1" x14ac:dyDescent="0.25">
      <c r="B202" s="648"/>
      <c r="C202" s="648"/>
      <c r="D202" s="533" t="s">
        <v>1935</v>
      </c>
      <c r="E202" s="536">
        <f>+E196-SUM(E198:E201)</f>
        <v>26861000</v>
      </c>
      <c r="F202" s="534"/>
      <c r="G202" s="534"/>
      <c r="H202" s="534"/>
      <c r="I202" s="534"/>
      <c r="J202" s="554"/>
      <c r="K202" s="600"/>
      <c r="L202" s="554"/>
      <c r="M202" s="554"/>
      <c r="N202" s="554">
        <f>IF(J202&lt;E202,(E202-J202)," ")</f>
        <v>26861000</v>
      </c>
      <c r="O202" s="719" t="str">
        <f>IF(ISERROR(VLOOKUP(B202,'Base de Datos'!$C$7:$K$1048576,7,0))=TRUE," ",(VLOOKUP(B202,'Base de Datos'!$C$7:$K$1048576,7,0)))</f>
        <v xml:space="preserve"> </v>
      </c>
      <c r="P202" s="551" t="str">
        <f>IF(ISERROR(VLOOKUP(B202,'Base de Datos'!$C$7:$N$315,9,0))=TRUE," ",(VLOOKUP(B202,'Base de Datos'!$C$7:$N$315,9,0)))</f>
        <v xml:space="preserve"> </v>
      </c>
      <c r="Q202" s="533"/>
      <c r="R202" s="556" t="str">
        <f>IF(ISERROR(VLOOKUP(B202,'Base de Datos'!$C$7:$N$315,10,0))=TRUE," ",(VLOOKUP(B202,'Base de Datos'!$C$7:$N$315,10,0)))</f>
        <v xml:space="preserve"> </v>
      </c>
      <c r="S202" s="556" t="str">
        <f>IF(ISERROR(VLOOKUP(B202,'Base de Datos'!$C$7:$N$315,11,0))=TRUE," ",(VLOOKUP(B202,'Base de Datos'!$C$7:$N$315,11,0)))</f>
        <v xml:space="preserve"> </v>
      </c>
      <c r="T202" s="533"/>
      <c r="U202" s="722"/>
      <c r="V202" s="634"/>
    </row>
    <row r="203" spans="2:22" outlineLevel="1" x14ac:dyDescent="0.25">
      <c r="B203" s="648"/>
      <c r="C203" s="648"/>
      <c r="D203" s="648"/>
      <c r="E203" s="536"/>
      <c r="F203" s="534"/>
      <c r="G203" s="534"/>
      <c r="H203" s="534"/>
      <c r="I203" s="534"/>
      <c r="J203" s="536"/>
      <c r="K203" s="600"/>
      <c r="L203" s="536"/>
      <c r="M203" s="536"/>
      <c r="N203" s="536"/>
      <c r="O203" s="678"/>
      <c r="P203" s="551"/>
      <c r="Q203" s="533"/>
      <c r="R203" s="551"/>
      <c r="S203" s="551"/>
      <c r="T203" s="533"/>
      <c r="U203" s="722"/>
      <c r="V203" s="634"/>
    </row>
    <row r="204" spans="2:22" ht="15" customHeight="1" x14ac:dyDescent="0.25">
      <c r="B204" s="1196" t="s">
        <v>1670</v>
      </c>
      <c r="C204" s="1196"/>
      <c r="D204" s="1196"/>
      <c r="E204" s="557">
        <v>40000000</v>
      </c>
      <c r="F204" s="558">
        <f>COUNTIF('Actualizada - presupuesto'!$E$7:$E$111,B204)</f>
        <v>0</v>
      </c>
      <c r="G204" s="558"/>
      <c r="H204" s="558"/>
      <c r="I204" s="558"/>
      <c r="J204" s="567">
        <f>+J205</f>
        <v>40000000</v>
      </c>
      <c r="K204" s="609">
        <f>J204/E204</f>
        <v>1</v>
      </c>
      <c r="L204" s="567"/>
      <c r="M204" s="567"/>
      <c r="N204" s="567">
        <f>SUM(N205)</f>
        <v>0</v>
      </c>
      <c r="O204" s="685"/>
      <c r="P204" s="573" t="str">
        <f>IF(ISERROR(VLOOKUP(B204,'Base de Datos'!$C$7:$N$315,8,0))=TRUE," ",(VLOOKUP(B204,'Base de Datos'!$C$7:$N$315,8,0)))</f>
        <v xml:space="preserve"> </v>
      </c>
      <c r="Q204" s="574"/>
      <c r="R204" s="573" t="str">
        <f>IF(ISERROR(VLOOKUP(B204,'Base de Datos'!$C$7:$N$315,9,0))=TRUE," ",(VLOOKUP(B204,'Base de Datos'!$C$7:$N$315,9,0)))</f>
        <v xml:space="preserve"> </v>
      </c>
      <c r="S204" s="573" t="str">
        <f>IF(ISERROR(VLOOKUP(B204,'Base de Datos'!$C$7:$N$315,10,0))=TRUE," ",(VLOOKUP(B204,'Base de Datos'!$C$7:$N$315,10,0)))</f>
        <v xml:space="preserve"> </v>
      </c>
      <c r="T204" s="569"/>
      <c r="U204" s="722"/>
      <c r="V204" s="634"/>
    </row>
    <row r="205" spans="2:22" ht="15" customHeight="1" x14ac:dyDescent="0.25">
      <c r="B205" s="1180" t="s">
        <v>1839</v>
      </c>
      <c r="C205" s="1180"/>
      <c r="D205" s="1180"/>
      <c r="E205" s="543">
        <v>40000000</v>
      </c>
      <c r="F205" s="540">
        <f>COUNTIF('Actualizada - presupuesto'!$E$7:$E$111,B205)</f>
        <v>0</v>
      </c>
      <c r="G205" s="540"/>
      <c r="H205" s="540"/>
      <c r="I205" s="540"/>
      <c r="J205" s="543">
        <f>+J207</f>
        <v>40000000</v>
      </c>
      <c r="K205" s="610"/>
      <c r="L205" s="543"/>
      <c r="M205" s="543"/>
      <c r="N205" s="543"/>
      <c r="O205" s="689"/>
      <c r="P205" s="575" t="str">
        <f>IF(ISERROR(VLOOKUP(B205,'Base de Datos'!$C$7:$N$315,8,0))=TRUE," ",(VLOOKUP(B205,'Base de Datos'!$C$7:$N$315,8,0)))</f>
        <v xml:space="preserve"> </v>
      </c>
      <c r="Q205" s="569"/>
      <c r="R205" s="575" t="str">
        <f>IF(ISERROR(VLOOKUP(B205,'Base de Datos'!$C$7:$N$315,9,0))=TRUE," ",(VLOOKUP(B205,'Base de Datos'!$C$7:$N$315,9,0)))</f>
        <v xml:space="preserve"> </v>
      </c>
      <c r="S205" s="575" t="str">
        <f>IF(ISERROR(VLOOKUP(B205,'Base de Datos'!$C$7:$N$315,10,0))=TRUE," ",(VLOOKUP(B205,'Base de Datos'!$C$7:$N$315,10,0)))</f>
        <v xml:space="preserve"> </v>
      </c>
      <c r="T205" s="569"/>
      <c r="U205" s="722"/>
      <c r="V205" s="634"/>
    </row>
    <row r="206" spans="2:22" s="615" customFormat="1" ht="23.25" customHeight="1" outlineLevel="1" x14ac:dyDescent="0.25">
      <c r="B206" s="537" t="s">
        <v>1823</v>
      </c>
      <c r="C206" s="537" t="s">
        <v>912</v>
      </c>
      <c r="D206" s="537" t="s">
        <v>1822</v>
      </c>
      <c r="E206" s="534" t="s">
        <v>1853</v>
      </c>
      <c r="F206" s="545" t="s">
        <v>1846</v>
      </c>
      <c r="G206" s="545"/>
      <c r="H206" s="545"/>
      <c r="I206" s="545"/>
      <c r="J206" s="533" t="s">
        <v>1845</v>
      </c>
      <c r="K206" s="612"/>
      <c r="L206" s="580"/>
      <c r="M206" s="580"/>
      <c r="N206" s="580"/>
      <c r="O206" s="690"/>
      <c r="P206" s="613"/>
      <c r="Q206" s="614"/>
      <c r="R206" s="613"/>
      <c r="S206" s="613"/>
      <c r="T206" s="614"/>
      <c r="U206" s="722"/>
      <c r="V206" s="634"/>
    </row>
    <row r="207" spans="2:22" s="615" customFormat="1" ht="15" customHeight="1" outlineLevel="1" x14ac:dyDescent="0.25">
      <c r="B207" s="537"/>
      <c r="C207" s="533"/>
      <c r="D207" s="533"/>
      <c r="E207" s="534"/>
      <c r="F207" s="536">
        <v>40000000</v>
      </c>
      <c r="G207" s="536"/>
      <c r="H207" s="536"/>
      <c r="I207" s="536"/>
      <c r="J207" s="536">
        <v>40000000</v>
      </c>
      <c r="K207" s="612"/>
      <c r="L207" s="580"/>
      <c r="M207" s="580"/>
      <c r="N207" s="580"/>
      <c r="O207" s="690"/>
      <c r="P207" s="613"/>
      <c r="Q207" s="614"/>
      <c r="R207" s="613"/>
      <c r="S207" s="613"/>
      <c r="T207" s="614"/>
      <c r="U207" s="722"/>
      <c r="V207" s="634"/>
    </row>
    <row r="208" spans="2:22" s="615" customFormat="1" ht="15" customHeight="1" outlineLevel="1" x14ac:dyDescent="0.25">
      <c r="B208" s="731"/>
      <c r="C208" s="731"/>
      <c r="D208" s="731"/>
      <c r="E208" s="580"/>
      <c r="F208" s="534"/>
      <c r="G208" s="534"/>
      <c r="H208" s="534"/>
      <c r="I208" s="534"/>
      <c r="J208" s="580"/>
      <c r="K208" s="612"/>
      <c r="L208" s="580"/>
      <c r="M208" s="580"/>
      <c r="N208" s="580"/>
      <c r="O208" s="690"/>
      <c r="P208" s="613"/>
      <c r="Q208" s="614"/>
      <c r="R208" s="613"/>
      <c r="S208" s="613"/>
      <c r="T208" s="614"/>
      <c r="U208" s="722"/>
      <c r="V208" s="634"/>
    </row>
    <row r="209" spans="2:22" ht="15" customHeight="1" x14ac:dyDescent="0.25">
      <c r="B209" s="1181" t="s">
        <v>1672</v>
      </c>
      <c r="C209" s="1181"/>
      <c r="D209" s="1181"/>
      <c r="E209" s="581">
        <v>1800000000</v>
      </c>
      <c r="F209" s="586">
        <f>COUNTIF('Actualizada - presupuesto'!$E$7:$E$111,B209)</f>
        <v>2</v>
      </c>
      <c r="G209" s="586"/>
      <c r="H209" s="586"/>
      <c r="I209" s="586"/>
      <c r="J209" s="581">
        <f>SUM(J211:J213)</f>
        <v>1696938453</v>
      </c>
      <c r="K209" s="603">
        <f>J209/E209</f>
        <v>0.942743585</v>
      </c>
      <c r="L209" s="581">
        <f>SUM(L211:L213)</f>
        <v>0</v>
      </c>
      <c r="M209" s="581"/>
      <c r="N209" s="581">
        <f>+E209-J209-L209</f>
        <v>103061547</v>
      </c>
      <c r="O209" s="684"/>
      <c r="P209" s="591" t="str">
        <f>IF(ISERROR(VLOOKUP(B209,'Base de Datos'!$C$7:$N$315,8,0))=TRUE," ",(VLOOKUP(B209,'Base de Datos'!$C$7:$N$315,8,0)))</f>
        <v xml:space="preserve"> </v>
      </c>
      <c r="Q209" s="592"/>
      <c r="R209" s="591" t="str">
        <f>IF(ISERROR(VLOOKUP(B209,'Base de Datos'!$C$7:$N$315,9,0))=TRUE," ",(VLOOKUP(B209,'Base de Datos'!$C$7:$N$315,9,0)))</f>
        <v xml:space="preserve"> </v>
      </c>
      <c r="S209" s="591" t="str">
        <f>IF(ISERROR(VLOOKUP(B209,'Base de Datos'!$C$7:$N$315,10,0))=TRUE," ",(VLOOKUP(B209,'Base de Datos'!$C$7:$N$315,10,0)))</f>
        <v xml:space="preserve"> </v>
      </c>
      <c r="T209" s="592"/>
      <c r="U209" s="722"/>
      <c r="V209" s="634"/>
    </row>
    <row r="210" spans="2:22" ht="24" outlineLevel="1" x14ac:dyDescent="0.25">
      <c r="B210" s="537" t="s">
        <v>1693</v>
      </c>
      <c r="C210" s="537" t="s">
        <v>912</v>
      </c>
      <c r="D210" s="537" t="s">
        <v>1822</v>
      </c>
      <c r="E210" s="545" t="s">
        <v>1846</v>
      </c>
      <c r="F210" s="534" t="s">
        <v>1853</v>
      </c>
      <c r="G210" s="534"/>
      <c r="H210" s="534"/>
      <c r="I210" s="534"/>
      <c r="J210" s="537" t="s">
        <v>1845</v>
      </c>
      <c r="K210" s="652"/>
      <c r="L210" s="537" t="s">
        <v>1939</v>
      </c>
      <c r="M210" s="537"/>
      <c r="N210" s="537" t="s">
        <v>1940</v>
      </c>
      <c r="O210" s="677"/>
      <c r="P210" s="568" t="s">
        <v>1847</v>
      </c>
      <c r="Q210" s="537" t="s">
        <v>1848</v>
      </c>
      <c r="R210" s="537" t="s">
        <v>1849</v>
      </c>
      <c r="S210" s="537" t="s">
        <v>375</v>
      </c>
      <c r="T210" s="537" t="s">
        <v>1850</v>
      </c>
      <c r="U210" s="722"/>
      <c r="V210" s="634"/>
    </row>
    <row r="211" spans="2:22" outlineLevel="1" x14ac:dyDescent="0.25">
      <c r="B211" s="537">
        <v>160</v>
      </c>
      <c r="C211" s="533" t="str">
        <f>IF(ISERROR(VLOOKUP(B211,'Base de Datos'!$C$7:$F$4092,2,0))=TRUE,"",(VLOOKUP('Presupuesto - PAA 2015'!B211,'Base de Datos'!$C$7:$F$4092,3,0)))</f>
        <v>150400-0-2015</v>
      </c>
      <c r="D211" s="533" t="str">
        <f>IF(ISERROR(VLOOKUP(B211,'Base de Datos'!$C$7:$F$4092,3,0))=TRUE,"",(VLOOKUP('Presupuesto - PAA 2015'!B211,'Base de Datos'!$C$7:$F$4092,4,0)))</f>
        <v>CENTURY MEDIA S A S</v>
      </c>
      <c r="E211" s="536">
        <v>436000000</v>
      </c>
      <c r="F211" s="534" t="str">
        <f>VLOOKUP(B211,'Actualizada - presupuesto'!$D$7:$L$111,9,0)</f>
        <v>SI</v>
      </c>
      <c r="G211" s="534"/>
      <c r="H211" s="534"/>
      <c r="I211" s="534"/>
      <c r="J211" s="536">
        <f>IF(ISERROR(VLOOKUP(B211,'Base de Datos'!$C$7:$N$4092,6,0))=TRUE,"Sin Celebrar",(VLOOKUP(B211,'Base de Datos'!$C$7:$N$4092,7,0)))</f>
        <v>345000000</v>
      </c>
      <c r="K211" s="600"/>
      <c r="L211" s="536" t="str">
        <f>IF(J211=$AA$1,E211, " ")</f>
        <v xml:space="preserve"> </v>
      </c>
      <c r="M211" s="536"/>
      <c r="N211" s="536">
        <f>IF(J211&lt;E211,(E211-J211)," ")</f>
        <v>91000000</v>
      </c>
      <c r="O211" s="719" t="str">
        <f>IF(ISERROR(VLOOKUP(B211,'Base de Datos'!$C$7:$K$1048576,7,0))=TRUE," ",(VLOOKUP(B211,'Base de Datos'!$C$7:$K$1048576,8,0)))</f>
        <v>SDH-SIE-17-2015</v>
      </c>
      <c r="P211" s="551">
        <f>IF(ISERROR(VLOOKUP(B211,'Base de Datos'!$C$7:$N$4077,9,0))=TRUE," ",(VLOOKUP(B211,'Base de Datos'!$C$7:$N$4077,10,0)))</f>
        <v>42349</v>
      </c>
      <c r="Q211" s="533" t="s">
        <v>1321</v>
      </c>
      <c r="R211" s="551">
        <f>IF(ISERROR(VLOOKUP(B211,'Base de Datos'!$C$7:$N$4077,10,0))=TRUE," ",(VLOOKUP(B211,'Base de Datos'!$C$7:$N$4077,11,0)))</f>
        <v>42383</v>
      </c>
      <c r="S211" s="551">
        <f>IF(ISERROR(VLOOKUP(B211,'Base de Datos'!$C$7:$N$4077,11,0))=TRUE," ",(VLOOKUP(B211,'Base de Datos'!$C$7:$N$4077,12,0)))</f>
        <v>42627</v>
      </c>
      <c r="T211" s="533" t="str">
        <f ca="1">VLOOKUP(C211,'Base de Datos'!$E$7:$AR$382,39,0)</f>
        <v>SI</v>
      </c>
      <c r="U211" s="722"/>
      <c r="V211" s="634"/>
    </row>
    <row r="212" spans="2:22" ht="25.5" customHeight="1" outlineLevel="1" x14ac:dyDescent="0.25">
      <c r="B212" s="552">
        <v>161</v>
      </c>
      <c r="C212" s="533" t="str">
        <f>IF(ISERROR(VLOOKUP(B212,'Base de Datos'!$C$7:$F$4092,2,0))=TRUE,"",(VLOOKUP('Presupuesto - PAA 2015'!B212,'Base de Datos'!$C$7:$F$4092,3,0)))</f>
        <v>150225-0-2015</v>
      </c>
      <c r="D212" s="533" t="str">
        <f>IF(ISERROR(VLOOKUP(B212,'Base de Datos'!$C$7:$F$4092,3,0))=TRUE,"",(VLOOKUP('Presupuesto - PAA 2015'!B212,'Base de Datos'!$C$7:$F$4092,4,0)))</f>
        <v>CANAL REGIONAL DE TELEVISION TEVEANDINA LTDA - TEVEANDINA LTDA</v>
      </c>
      <c r="E212" s="554">
        <v>1291938453</v>
      </c>
      <c r="F212" s="534" t="str">
        <f>VLOOKUP(B212,'Actualizada - presupuesto'!$D$7:$L$111,9,0)</f>
        <v>SI</v>
      </c>
      <c r="G212" s="555"/>
      <c r="H212" s="555"/>
      <c r="I212" s="555"/>
      <c r="J212" s="536">
        <f>IF(ISERROR(VLOOKUP(B212,'Base de Datos'!$C$7:$N$4092,6,0))=TRUE,"Sin Celebrar",(VLOOKUP(B212,'Base de Datos'!$C$7:$N$4092,7,0)))</f>
        <v>1291938453</v>
      </c>
      <c r="K212" s="604"/>
      <c r="L212" s="554" t="str">
        <f>IF(J212=$AA$1,E212, " ")</f>
        <v xml:space="preserve"> </v>
      </c>
      <c r="M212" s="554"/>
      <c r="N212" s="554" t="str">
        <f>IF(J212&lt;E212,(E212-J212)," ")</f>
        <v xml:space="preserve"> </v>
      </c>
      <c r="O212" s="719" t="str">
        <f>IF(ISERROR(VLOOKUP(B212,'Base de Datos'!$C$7:$K$1048576,7,0))=TRUE," ",(VLOOKUP(B212,'Base de Datos'!$C$7:$K$1048576,8,0)))</f>
        <v>150225-0-2015</v>
      </c>
      <c r="P212" s="551">
        <f>IF(ISERROR(VLOOKUP(B212,'Base de Datos'!$C$7:$N$4077,9,0))=TRUE," ",(VLOOKUP(B212,'Base de Datos'!$C$7:$N$4077,10,0)))</f>
        <v>42135</v>
      </c>
      <c r="Q212" s="553" t="s">
        <v>1891</v>
      </c>
      <c r="R212" s="551">
        <f>IF(ISERROR(VLOOKUP(B212,'Base de Datos'!$C$7:$N$4077,10,0))=TRUE," ",(VLOOKUP(B212,'Base de Datos'!$C$7:$N$4077,11,0)))</f>
        <v>42139</v>
      </c>
      <c r="S212" s="551">
        <f>IF(ISERROR(VLOOKUP(B212,'Base de Datos'!$C$7:$N$4077,11,0))=TRUE," ",(VLOOKUP(B212,'Base de Datos'!$C$7:$N$4077,12,0)))</f>
        <v>42421</v>
      </c>
      <c r="T212" s="533" t="str">
        <f ca="1">VLOOKUP(C212,'Base de Datos'!$E$7:$AR$382,39,0)</f>
        <v>NO</v>
      </c>
      <c r="U212" s="722"/>
      <c r="V212" s="634"/>
    </row>
    <row r="213" spans="2:22" outlineLevel="1" x14ac:dyDescent="0.25">
      <c r="B213" s="537">
        <v>310</v>
      </c>
      <c r="C213" s="533" t="s">
        <v>1529</v>
      </c>
      <c r="D213" s="533" t="s">
        <v>1981</v>
      </c>
      <c r="E213" s="536">
        <v>60000000</v>
      </c>
      <c r="F213" s="534" t="s">
        <v>390</v>
      </c>
      <c r="G213" s="534"/>
      <c r="H213" s="534"/>
      <c r="I213" s="534"/>
      <c r="J213" s="536">
        <v>60000000</v>
      </c>
      <c r="K213" s="600"/>
      <c r="L213" s="554" t="str">
        <f>IF(J213=$AA$1,E213, " ")</f>
        <v xml:space="preserve"> </v>
      </c>
      <c r="M213" s="536"/>
      <c r="N213" s="536"/>
      <c r="O213" s="719" t="str">
        <f>IF(ISERROR(VLOOKUP(B213,'Base de Datos'!$C$7:$K$1048576,7,0))=TRUE," ",(VLOOKUP(B213,'Base de Datos'!$C$7:$K$1048576,7,0)))</f>
        <v xml:space="preserve"> </v>
      </c>
      <c r="P213" s="551"/>
      <c r="Q213" s="533"/>
      <c r="R213" s="556" t="str">
        <f>IF(ISERROR(VLOOKUP(B213,'Base de Datos'!$C$7:$N$315,10,0))=TRUE," ",(VLOOKUP(B213,'Base de Datos'!$C$7:$N$315,10,0)))</f>
        <v xml:space="preserve"> </v>
      </c>
      <c r="S213" s="556" t="str">
        <f>IF(ISERROR(VLOOKUP(B213,'Base de Datos'!$C$7:$N$315,11,0))=TRUE," ",(VLOOKUP(B213,'Base de Datos'!$C$7:$N$315,11,0)))</f>
        <v xml:space="preserve"> </v>
      </c>
      <c r="T213" s="533" t="str">
        <f ca="1">VLOOKUP(C213,'Base de Datos'!$E$7:$AR$382,39,0)</f>
        <v>NO</v>
      </c>
      <c r="U213" s="722"/>
      <c r="V213" s="634"/>
    </row>
    <row r="214" spans="2:22" outlineLevel="1" x14ac:dyDescent="0.25">
      <c r="B214" s="537"/>
      <c r="C214" s="648"/>
      <c r="D214" s="533" t="s">
        <v>1935</v>
      </c>
      <c r="E214" s="536">
        <f>+E209-(SUM(E211:E213))</f>
        <v>12061547</v>
      </c>
      <c r="F214" s="534"/>
      <c r="G214" s="534"/>
      <c r="H214" s="534"/>
      <c r="I214" s="534"/>
      <c r="J214" s="536"/>
      <c r="K214" s="600"/>
      <c r="L214" s="554"/>
      <c r="M214" s="536"/>
      <c r="N214" s="536"/>
      <c r="O214" s="719" t="str">
        <f>IF(ISERROR(VLOOKUP(B214,'Base de Datos'!$C$7:$K$1048576,7,0))=TRUE," ",(VLOOKUP(B214,'Base de Datos'!$C$7:$K$1048576,7,0)))</f>
        <v xml:space="preserve"> </v>
      </c>
      <c r="P214" s="551"/>
      <c r="Q214" s="533"/>
      <c r="R214" s="556"/>
      <c r="S214" s="556"/>
      <c r="T214" s="533"/>
      <c r="U214" s="722"/>
      <c r="V214" s="634"/>
    </row>
    <row r="215" spans="2:22" outlineLevel="1" x14ac:dyDescent="0.25">
      <c r="B215" s="648"/>
      <c r="C215" s="648"/>
      <c r="D215" s="648"/>
      <c r="E215" s="536"/>
      <c r="F215" s="534"/>
      <c r="G215" s="534"/>
      <c r="H215" s="534"/>
      <c r="I215" s="534"/>
      <c r="J215" s="536"/>
      <c r="K215" s="600"/>
      <c r="L215" s="536"/>
      <c r="M215" s="536"/>
      <c r="N215" s="536"/>
      <c r="O215" s="678"/>
      <c r="P215" s="551"/>
      <c r="Q215" s="533"/>
      <c r="R215" s="551"/>
      <c r="S215" s="551"/>
      <c r="T215" s="533"/>
      <c r="U215" s="722"/>
      <c r="V215" s="634"/>
    </row>
    <row r="216" spans="2:22" ht="15" customHeight="1" x14ac:dyDescent="0.25">
      <c r="B216" s="1196" t="s">
        <v>1673</v>
      </c>
      <c r="C216" s="1196"/>
      <c r="D216" s="1196"/>
      <c r="E216" s="557">
        <v>36000000</v>
      </c>
      <c r="F216" s="558"/>
      <c r="G216" s="558"/>
      <c r="H216" s="558"/>
      <c r="I216" s="558"/>
      <c r="J216" s="567">
        <f>+J217</f>
        <v>908534</v>
      </c>
      <c r="K216" s="609">
        <f>J216/E216</f>
        <v>2.5237055555555554E-2</v>
      </c>
      <c r="L216" s="567">
        <f>+L217</f>
        <v>91466</v>
      </c>
      <c r="M216" s="567"/>
      <c r="N216" s="567">
        <f>SUM(N217)</f>
        <v>18203084</v>
      </c>
      <c r="O216" s="685"/>
      <c r="P216" s="573" t="str">
        <f>IF(ISERROR(VLOOKUP(B216,'Base de Datos'!$C$7:$N$315,8,0))=TRUE," ",(VLOOKUP(B216,'Base de Datos'!$C$7:$N$315,8,0)))</f>
        <v xml:space="preserve"> </v>
      </c>
      <c r="Q216" s="574"/>
      <c r="R216" s="573" t="str">
        <f>IF(ISERROR(VLOOKUP(B216,'Base de Datos'!$C$7:$N$315,9,0))=TRUE," ",(VLOOKUP(B216,'Base de Datos'!$C$7:$N$315,9,0)))</f>
        <v xml:space="preserve"> </v>
      </c>
      <c r="S216" s="573" t="str">
        <f>IF(ISERROR(VLOOKUP(B216,'Base de Datos'!$C$7:$N$315,10,0))=TRUE," ",(VLOOKUP(B216,'Base de Datos'!$C$7:$N$315,10,0)))</f>
        <v xml:space="preserve"> </v>
      </c>
      <c r="T216" s="569"/>
      <c r="U216" s="722"/>
      <c r="V216" s="634"/>
    </row>
    <row r="217" spans="2:22" ht="15" customHeight="1" x14ac:dyDescent="0.25">
      <c r="B217" s="1180" t="s">
        <v>1838</v>
      </c>
      <c r="C217" s="1180"/>
      <c r="D217" s="1180"/>
      <c r="E217" s="543">
        <v>1000000</v>
      </c>
      <c r="F217" s="540"/>
      <c r="G217" s="540"/>
      <c r="H217" s="540"/>
      <c r="I217" s="540"/>
      <c r="J217" s="543">
        <f>+J219</f>
        <v>908534</v>
      </c>
      <c r="K217" s="610">
        <f>J217/E217</f>
        <v>0.90853399999999995</v>
      </c>
      <c r="L217" s="543">
        <f>+L219</f>
        <v>91466</v>
      </c>
      <c r="M217" s="543"/>
      <c r="N217" s="543">
        <f>SUM(N219:N225)</f>
        <v>18203084</v>
      </c>
      <c r="O217" s="689"/>
      <c r="P217" s="575" t="str">
        <f>IF(ISERROR(VLOOKUP(B217,'Base de Datos'!$C$7:$N$315,8,0))=TRUE," ",(VLOOKUP(B217,'Base de Datos'!$C$7:$N$315,8,0)))</f>
        <v xml:space="preserve"> </v>
      </c>
      <c r="Q217" s="569"/>
      <c r="R217" s="575" t="str">
        <f>IF(ISERROR(VLOOKUP(B217,'Base de Datos'!$C$7:$N$315,9,0))=TRUE," ",(VLOOKUP(B217,'Base de Datos'!$C$7:$N$315,9,0)))</f>
        <v xml:space="preserve"> </v>
      </c>
      <c r="S217" s="575" t="str">
        <f>IF(ISERROR(VLOOKUP(B217,'Base de Datos'!$C$7:$N$315,10,0))=TRUE," ",(VLOOKUP(B217,'Base de Datos'!$C$7:$N$315,10,0)))</f>
        <v xml:space="preserve"> </v>
      </c>
      <c r="T217" s="569"/>
      <c r="U217" s="722"/>
      <c r="V217" s="634"/>
    </row>
    <row r="218" spans="2:22" s="615" customFormat="1" ht="21.75" customHeight="1" outlineLevel="1" x14ac:dyDescent="0.25">
      <c r="B218" s="537" t="s">
        <v>1693</v>
      </c>
      <c r="C218" s="537" t="s">
        <v>912</v>
      </c>
      <c r="D218" s="537" t="s">
        <v>1822</v>
      </c>
      <c r="E218" s="545" t="s">
        <v>1846</v>
      </c>
      <c r="F218" s="534" t="s">
        <v>1853</v>
      </c>
      <c r="G218" s="534"/>
      <c r="H218" s="534"/>
      <c r="I218" s="534"/>
      <c r="J218" s="537" t="s">
        <v>1845</v>
      </c>
      <c r="K218" s="652"/>
      <c r="L218" s="537" t="s">
        <v>1939</v>
      </c>
      <c r="M218" s="537"/>
      <c r="N218" s="537" t="s">
        <v>1940</v>
      </c>
      <c r="O218" s="677"/>
      <c r="P218" s="568" t="s">
        <v>1847</v>
      </c>
      <c r="Q218" s="537" t="s">
        <v>1848</v>
      </c>
      <c r="R218" s="537" t="s">
        <v>1849</v>
      </c>
      <c r="S218" s="537" t="s">
        <v>375</v>
      </c>
      <c r="T218" s="537" t="s">
        <v>1850</v>
      </c>
      <c r="U218" s="722"/>
      <c r="V218" s="634"/>
    </row>
    <row r="219" spans="2:22" s="615" customFormat="1" ht="15" customHeight="1" outlineLevel="1" x14ac:dyDescent="0.25">
      <c r="B219" s="537"/>
      <c r="C219" s="533"/>
      <c r="D219" s="533" t="s">
        <v>2266</v>
      </c>
      <c r="E219" s="580">
        <v>1000000</v>
      </c>
      <c r="F219" s="536"/>
      <c r="G219" s="536"/>
      <c r="H219" s="536"/>
      <c r="I219" s="536"/>
      <c r="J219" s="536">
        <v>908534</v>
      </c>
      <c r="K219" s="612"/>
      <c r="L219" s="536">
        <f>E219-J219</f>
        <v>91466</v>
      </c>
      <c r="M219" s="580"/>
      <c r="N219" s="533"/>
      <c r="O219" s="691"/>
      <c r="P219" s="613"/>
      <c r="Q219" s="614"/>
      <c r="R219" s="613"/>
      <c r="S219" s="613"/>
      <c r="T219" s="614"/>
      <c r="U219" s="722"/>
      <c r="V219" s="634"/>
    </row>
    <row r="220" spans="2:22" s="615" customFormat="1" ht="15" customHeight="1" outlineLevel="1" x14ac:dyDescent="0.25">
      <c r="B220" s="537"/>
      <c r="C220" s="533"/>
      <c r="D220" s="533"/>
      <c r="E220" s="580"/>
      <c r="F220" s="536"/>
      <c r="G220" s="536"/>
      <c r="H220" s="536"/>
      <c r="I220" s="536"/>
      <c r="J220" s="536"/>
      <c r="K220" s="612"/>
      <c r="L220" s="536"/>
      <c r="M220" s="580"/>
      <c r="N220" s="533"/>
      <c r="O220" s="691"/>
      <c r="P220" s="613"/>
      <c r="Q220" s="614"/>
      <c r="R220" s="613"/>
      <c r="S220" s="613"/>
      <c r="T220" s="614"/>
      <c r="U220" s="722"/>
      <c r="V220" s="634"/>
    </row>
    <row r="221" spans="2:22" s="615" customFormat="1" ht="15" customHeight="1" x14ac:dyDescent="0.25">
      <c r="B221" s="1180" t="s">
        <v>2127</v>
      </c>
      <c r="C221" s="1180"/>
      <c r="D221" s="1180"/>
      <c r="E221" s="543">
        <v>35000000</v>
      </c>
      <c r="F221" s="540"/>
      <c r="G221" s="540"/>
      <c r="H221" s="540"/>
      <c r="I221" s="540"/>
      <c r="J221" s="543">
        <f>SUM(J223:J224)</f>
        <v>25744458</v>
      </c>
      <c r="K221" s="610"/>
      <c r="L221" s="543">
        <f>SUM(L223:L224)</f>
        <v>0</v>
      </c>
      <c r="M221" s="543"/>
      <c r="N221" s="543">
        <f>+E221-J221-L221</f>
        <v>9255542</v>
      </c>
      <c r="O221" s="689"/>
      <c r="P221" s="575" t="str">
        <f>IF(ISERROR(VLOOKUP(B221,'Base de Datos'!$C$7:$N$315,8,0))=TRUE," ",(VLOOKUP(B221,'Base de Datos'!$C$7:$N$315,8,0)))</f>
        <v xml:space="preserve"> </v>
      </c>
      <c r="Q221" s="569"/>
      <c r="R221" s="575" t="str">
        <f>IF(ISERROR(VLOOKUP(B221,'Base de Datos'!$C$7:$N$315,9,0))=TRUE," ",(VLOOKUP(B221,'Base de Datos'!$C$7:$N$315,9,0)))</f>
        <v xml:space="preserve"> </v>
      </c>
      <c r="S221" s="575" t="str">
        <f>IF(ISERROR(VLOOKUP(B221,'Base de Datos'!$C$7:$N$315,10,0))=TRUE," ",(VLOOKUP(B221,'Base de Datos'!$C$7:$N$315,10,0)))</f>
        <v xml:space="preserve"> </v>
      </c>
      <c r="T221" s="569"/>
      <c r="U221" s="722"/>
      <c r="V221" s="634"/>
    </row>
    <row r="222" spans="2:22" s="615" customFormat="1" ht="24" customHeight="1" outlineLevel="1" x14ac:dyDescent="0.25">
      <c r="B222" s="537" t="s">
        <v>1693</v>
      </c>
      <c r="C222" s="537" t="s">
        <v>912</v>
      </c>
      <c r="D222" s="537" t="s">
        <v>1822</v>
      </c>
      <c r="E222" s="545" t="s">
        <v>1846</v>
      </c>
      <c r="F222" s="534" t="s">
        <v>1853</v>
      </c>
      <c r="G222" s="534"/>
      <c r="H222" s="534"/>
      <c r="I222" s="534"/>
      <c r="J222" s="537" t="s">
        <v>1845</v>
      </c>
      <c r="K222" s="652"/>
      <c r="L222" s="537" t="s">
        <v>1939</v>
      </c>
      <c r="M222" s="537"/>
      <c r="N222" s="537" t="s">
        <v>1940</v>
      </c>
      <c r="O222" s="677"/>
      <c r="P222" s="568" t="s">
        <v>1847</v>
      </c>
      <c r="Q222" s="537" t="s">
        <v>1848</v>
      </c>
      <c r="R222" s="537" t="s">
        <v>1849</v>
      </c>
      <c r="S222" s="537" t="s">
        <v>375</v>
      </c>
      <c r="T222" s="537" t="s">
        <v>1850</v>
      </c>
      <c r="U222" s="722"/>
      <c r="V222" s="634"/>
    </row>
    <row r="223" spans="2:22" s="615" customFormat="1" ht="15" customHeight="1" outlineLevel="1" x14ac:dyDescent="0.25">
      <c r="B223" s="627">
        <v>367</v>
      </c>
      <c r="C223" s="533" t="str">
        <f>IF(ISERROR(VLOOKUP(B223,'Base de Datos'!$C$7:$F$4092,2,0))=TRUE,"",(VLOOKUP('Presupuesto - PAA 2015'!B223,'Base de Datos'!$C$7:$F$4092,3,0)))</f>
        <v>150394-0-2015</v>
      </c>
      <c r="D223" s="533" t="str">
        <f>IF(ISERROR(VLOOKUP(B223,'Base de Datos'!$C$7:$F$4092,3,0))=TRUE,"",(VLOOKUP('Presupuesto - PAA 2015'!B223,'Base de Datos'!$C$7:$F$4092,4,0)))</f>
        <v>SOLUCIONES H&amp;S SAS</v>
      </c>
      <c r="E223" s="580">
        <v>23860000</v>
      </c>
      <c r="F223" s="545" t="s">
        <v>390</v>
      </c>
      <c r="G223" s="536"/>
      <c r="H223" s="536"/>
      <c r="I223" s="536"/>
      <c r="J223" s="536">
        <f>IF(ISERROR(VLOOKUP(B223,'Base de Datos'!$C$7:$N$4092,6,0))=TRUE,"Sin Celebrar",(VLOOKUP(B223,'Base de Datos'!$C$7:$N$4092,7,0)))</f>
        <v>17340258</v>
      </c>
      <c r="K223" s="612"/>
      <c r="L223" s="554" t="str">
        <f>IF(J223=$AA$1,E223, " ")</f>
        <v xml:space="preserve"> </v>
      </c>
      <c r="M223" s="554"/>
      <c r="N223" s="554">
        <f>IF(J223&lt;E223,(E223-J223)," ")</f>
        <v>6519742</v>
      </c>
      <c r="O223" s="719" t="str">
        <f>IF(ISERROR(VLOOKUP(B223,'Base de Datos'!$C$7:$K$1048576,7,0))=TRUE," ",(VLOOKUP(B223,'Base de Datos'!$C$7:$K$1048576,8,0)))</f>
        <v>SDH-SMINC-063-2015</v>
      </c>
      <c r="P223" s="551">
        <f>IF(ISERROR(VLOOKUP(B223,'Base de Datos'!$C$7:$N$4077,9,0))=TRUE," ",(VLOOKUP(B223,'Base de Datos'!$C$7:$N$4077,10,0)))</f>
        <v>42332</v>
      </c>
      <c r="Q223" s="553" t="s">
        <v>378</v>
      </c>
      <c r="R223" s="551">
        <f>IF(ISERROR(VLOOKUP(B223,'Base de Datos'!$C$7:$N$4077,10,0))=TRUE," ",(VLOOKUP(B223,'Base de Datos'!$C$7:$N$4077,11,0)))</f>
        <v>42338</v>
      </c>
      <c r="S223" s="551">
        <f>IF(ISERROR(VLOOKUP(B223,'Base de Datos'!$C$7:$N$4077,11,0))=TRUE," ",(VLOOKUP(B223,'Base de Datos'!$C$7:$N$4077,12,0)))</f>
        <v>42399</v>
      </c>
      <c r="T223" s="533" t="s">
        <v>981</v>
      </c>
      <c r="U223" s="722"/>
      <c r="V223" s="634"/>
    </row>
    <row r="224" spans="2:22" s="615" customFormat="1" ht="15" customHeight="1" outlineLevel="1" x14ac:dyDescent="0.25">
      <c r="B224" s="627">
        <v>368</v>
      </c>
      <c r="C224" s="533" t="str">
        <f>IF(ISERROR(VLOOKUP(B224,'Base de Datos'!$C$7:$F$4092,2,0))=TRUE,"",(VLOOKUP('Presupuesto - PAA 2015'!B224,'Base de Datos'!$C$7:$F$4092,3,0)))</f>
        <v>150404-0-2015</v>
      </c>
      <c r="D224" s="533" t="str">
        <f>IF(ISERROR(VLOOKUP(B224,'Base de Datos'!$C$7:$F$4092,3,0))=TRUE,"",(VLOOKUP('Presupuesto - PAA 2015'!B224,'Base de Datos'!$C$7:$F$4092,4,0)))</f>
        <v>PUBLIDRUGS LTDA</v>
      </c>
      <c r="E224" s="580">
        <v>10832000</v>
      </c>
      <c r="F224" s="545" t="s">
        <v>390</v>
      </c>
      <c r="G224" s="536"/>
      <c r="H224" s="536"/>
      <c r="I224" s="536"/>
      <c r="J224" s="536">
        <f>IF(ISERROR(VLOOKUP(B224,'Base de Datos'!$C$7:$N$4092,6,0))=TRUE,"Sin Celebrar",(VLOOKUP(B224,'Base de Datos'!$C$7:$N$4092,7,0)))</f>
        <v>8404200</v>
      </c>
      <c r="K224" s="612"/>
      <c r="L224" s="554" t="str">
        <f>IF(J224=$AA$1,E224, " ")</f>
        <v xml:space="preserve"> </v>
      </c>
      <c r="M224" s="554"/>
      <c r="N224" s="554">
        <f>IF(J224&lt;E224,(E224-J224)," ")</f>
        <v>2427800</v>
      </c>
      <c r="O224" s="719" t="str">
        <f>IF(ISERROR(VLOOKUP(B224,'Base de Datos'!$C$7:$K$1048576,7,0))=TRUE," ",(VLOOKUP(B224,'Base de Datos'!$C$7:$K$1048576,8,0)))</f>
        <v>SDH-SMINC-064-2015</v>
      </c>
      <c r="P224" s="551">
        <f>IF(ISERROR(VLOOKUP(B224,'Base de Datos'!$C$7:$N$4077,9,0))=TRUE," ",(VLOOKUP(B224,'Base de Datos'!$C$7:$N$4077,10,0)))</f>
        <v>42352</v>
      </c>
      <c r="Q224" s="553" t="s">
        <v>378</v>
      </c>
      <c r="R224" s="551">
        <f>IF(ISERROR(VLOOKUP(B224,'Base de Datos'!$C$7:$N$4077,10,0))=TRUE," ",(VLOOKUP(B224,'Base de Datos'!$C$7:$N$4077,11,0)))</f>
        <v>42383</v>
      </c>
      <c r="S224" s="551">
        <f>IF(ISERROR(VLOOKUP(B224,'Base de Datos'!$C$7:$N$4077,11,0))=TRUE," ",(VLOOKUP(B224,'Base de Datos'!$C$7:$N$4077,12,0)))</f>
        <v>42443</v>
      </c>
      <c r="T224" s="533"/>
      <c r="U224" s="722"/>
      <c r="V224" s="634"/>
    </row>
    <row r="225" spans="2:22" s="615" customFormat="1" ht="15" customHeight="1" outlineLevel="1" x14ac:dyDescent="0.25">
      <c r="B225" s="731"/>
      <c r="C225" s="731"/>
      <c r="D225" s="731"/>
      <c r="E225" s="580"/>
      <c r="F225" s="534"/>
      <c r="G225" s="534"/>
      <c r="H225" s="534"/>
      <c r="I225" s="534"/>
      <c r="J225" s="580"/>
      <c r="K225" s="612"/>
      <c r="L225" s="580"/>
      <c r="M225" s="580"/>
      <c r="N225" s="580"/>
      <c r="O225" s="690"/>
      <c r="P225" s="613"/>
      <c r="Q225" s="614"/>
      <c r="R225" s="613"/>
      <c r="S225" s="613"/>
      <c r="T225" s="614"/>
      <c r="U225" s="722"/>
      <c r="V225" s="634"/>
    </row>
    <row r="226" spans="2:22" ht="15" customHeight="1" x14ac:dyDescent="0.25">
      <c r="B226" s="1183" t="s">
        <v>1688</v>
      </c>
      <c r="C226" s="1183"/>
      <c r="D226" s="1183"/>
      <c r="E226" s="541">
        <v>8242477000</v>
      </c>
      <c r="F226" s="542"/>
      <c r="G226" s="541">
        <f t="shared" ref="G226:N230" si="13">+G227</f>
        <v>7542477000</v>
      </c>
      <c r="H226" s="541">
        <f t="shared" si="13"/>
        <v>0</v>
      </c>
      <c r="I226" s="541">
        <f t="shared" si="13"/>
        <v>7542477000</v>
      </c>
      <c r="J226" s="541">
        <f t="shared" si="13"/>
        <v>7657910202.1999998</v>
      </c>
      <c r="K226" s="583">
        <f t="shared" si="13"/>
        <v>0.92907874686213865</v>
      </c>
      <c r="L226" s="541">
        <f t="shared" si="13"/>
        <v>450477000</v>
      </c>
      <c r="M226" s="576"/>
      <c r="N226" s="541">
        <f t="shared" si="13"/>
        <v>134089797.80000019</v>
      </c>
      <c r="O226" s="674"/>
      <c r="P226" s="576"/>
      <c r="Q226" s="571"/>
      <c r="R226" s="577" t="str">
        <f>IF(ISERROR(VLOOKUP(B226,'Base de Datos'!$C$7:$N$315,9,0))=TRUE," ",(VLOOKUP(B226,'Base de Datos'!$C$7:$N$315,9,0)))</f>
        <v xml:space="preserve"> </v>
      </c>
      <c r="S226" s="577" t="str">
        <f>IF(ISERROR(VLOOKUP(B226,'Base de Datos'!$C$7:$N$315,10,0))=TRUE," ",(VLOOKUP(B226,'Base de Datos'!$C$7:$N$315,10,0)))</f>
        <v xml:space="preserve"> </v>
      </c>
      <c r="T226" s="571"/>
      <c r="U226" s="722"/>
      <c r="V226" s="634"/>
    </row>
    <row r="227" spans="2:22" ht="15" customHeight="1" x14ac:dyDescent="0.25">
      <c r="B227" s="1182" t="s">
        <v>1687</v>
      </c>
      <c r="C227" s="1182"/>
      <c r="D227" s="1182"/>
      <c r="E227" s="539">
        <v>8242477000</v>
      </c>
      <c r="F227" s="540"/>
      <c r="G227" s="543">
        <f t="shared" si="13"/>
        <v>7542477000</v>
      </c>
      <c r="H227" s="543">
        <f t="shared" si="13"/>
        <v>0</v>
      </c>
      <c r="I227" s="543">
        <f t="shared" si="13"/>
        <v>7542477000</v>
      </c>
      <c r="J227" s="543">
        <f t="shared" si="13"/>
        <v>7657910202.1999998</v>
      </c>
      <c r="K227" s="601">
        <f t="shared" si="13"/>
        <v>0.92907874686213865</v>
      </c>
      <c r="L227" s="543">
        <f t="shared" si="13"/>
        <v>450477000</v>
      </c>
      <c r="M227" s="543"/>
      <c r="N227" s="543">
        <f t="shared" si="13"/>
        <v>134089797.80000019</v>
      </c>
      <c r="O227" s="689"/>
      <c r="P227" s="575" t="str">
        <f>IF(ISERROR(VLOOKUP(B227,'Base de Datos'!$C$7:$N$315,8,0))=TRUE," ",(VLOOKUP(B227,'Base de Datos'!$C$7:$N$315,8,0)))</f>
        <v xml:space="preserve"> </v>
      </c>
      <c r="Q227" s="569"/>
      <c r="R227" s="575" t="str">
        <f>IF(ISERROR(VLOOKUP(B227,'Base de Datos'!$C$7:$N$315,9,0))=TRUE," ",(VLOOKUP(B227,'Base de Datos'!$C$7:$N$315,9,0)))</f>
        <v xml:space="preserve"> </v>
      </c>
      <c r="S227" s="575" t="str">
        <f>IF(ISERROR(VLOOKUP(B227,'Base de Datos'!$C$7:$N$315,10,0))=TRUE," ",(VLOOKUP(B227,'Base de Datos'!$C$7:$N$315,10,0)))</f>
        <v xml:space="preserve"> </v>
      </c>
      <c r="T227" s="569"/>
      <c r="U227" s="722"/>
      <c r="V227" s="634"/>
    </row>
    <row r="228" spans="2:22" ht="15" customHeight="1" x14ac:dyDescent="0.25">
      <c r="B228" s="1180" t="s">
        <v>1676</v>
      </c>
      <c r="C228" s="1180"/>
      <c r="D228" s="1180"/>
      <c r="E228" s="543">
        <v>8242477000</v>
      </c>
      <c r="F228" s="540"/>
      <c r="G228" s="543">
        <f t="shared" si="13"/>
        <v>7542477000</v>
      </c>
      <c r="H228" s="543">
        <f t="shared" si="13"/>
        <v>0</v>
      </c>
      <c r="I228" s="543">
        <f t="shared" si="13"/>
        <v>7542477000</v>
      </c>
      <c r="J228" s="543">
        <f t="shared" si="13"/>
        <v>7657910202.1999998</v>
      </c>
      <c r="K228" s="601">
        <f t="shared" si="13"/>
        <v>0.92907874686213865</v>
      </c>
      <c r="L228" s="543">
        <f t="shared" si="13"/>
        <v>450477000</v>
      </c>
      <c r="M228" s="543"/>
      <c r="N228" s="543">
        <f t="shared" si="13"/>
        <v>134089797.80000019</v>
      </c>
      <c r="O228" s="689"/>
      <c r="P228" s="575" t="str">
        <f>IF(ISERROR(VLOOKUP(B228,'Base de Datos'!$C$7:$N$315,8,0))=TRUE," ",(VLOOKUP(B228,'Base de Datos'!$C$7:$N$315,8,0)))</f>
        <v xml:space="preserve"> </v>
      </c>
      <c r="Q228" s="569"/>
      <c r="R228" s="575" t="str">
        <f>IF(ISERROR(VLOOKUP(B228,'Base de Datos'!$C$7:$N$315,9,0))=TRUE," ",(VLOOKUP(B228,'Base de Datos'!$C$7:$N$315,9,0)))</f>
        <v xml:space="preserve"> </v>
      </c>
      <c r="S228" s="575" t="str">
        <f>IF(ISERROR(VLOOKUP(B228,'Base de Datos'!$C$7:$N$315,10,0))=TRUE," ",(VLOOKUP(B228,'Base de Datos'!$C$7:$N$315,10,0)))</f>
        <v xml:space="preserve"> </v>
      </c>
      <c r="T228" s="569"/>
      <c r="U228" s="722"/>
      <c r="V228" s="634"/>
    </row>
    <row r="229" spans="2:22" ht="15" customHeight="1" x14ac:dyDescent="0.25">
      <c r="B229" s="1180" t="s">
        <v>1837</v>
      </c>
      <c r="C229" s="1180"/>
      <c r="D229" s="1180"/>
      <c r="E229" s="543">
        <v>8242477000</v>
      </c>
      <c r="F229" s="540"/>
      <c r="G229" s="543">
        <f t="shared" si="13"/>
        <v>7542477000</v>
      </c>
      <c r="H229" s="543">
        <f t="shared" si="13"/>
        <v>0</v>
      </c>
      <c r="I229" s="543">
        <f t="shared" si="13"/>
        <v>7542477000</v>
      </c>
      <c r="J229" s="543">
        <f t="shared" si="13"/>
        <v>7657910202.1999998</v>
      </c>
      <c r="K229" s="601">
        <f t="shared" si="13"/>
        <v>0.92907874686213865</v>
      </c>
      <c r="L229" s="543">
        <f t="shared" si="13"/>
        <v>450477000</v>
      </c>
      <c r="M229" s="543"/>
      <c r="N229" s="543">
        <f t="shared" si="13"/>
        <v>134089797.80000019</v>
      </c>
      <c r="O229" s="689"/>
      <c r="P229" s="575" t="str">
        <f>IF(ISERROR(VLOOKUP(B229,'Base de Datos'!$C$7:$N$315,8,0))=TRUE," ",(VLOOKUP(B229,'Base de Datos'!$C$7:$N$315,8,0)))</f>
        <v xml:space="preserve"> </v>
      </c>
      <c r="Q229" s="569"/>
      <c r="R229" s="575" t="str">
        <f>IF(ISERROR(VLOOKUP(B229,'Base de Datos'!$C$7:$N$315,9,0))=TRUE," ",(VLOOKUP(B229,'Base de Datos'!$C$7:$N$315,9,0)))</f>
        <v xml:space="preserve"> </v>
      </c>
      <c r="S229" s="575" t="str">
        <f>IF(ISERROR(VLOOKUP(B229,'Base de Datos'!$C$7:$N$315,10,0))=TRUE," ",(VLOOKUP(B229,'Base de Datos'!$C$7:$N$315,10,0)))</f>
        <v xml:space="preserve"> </v>
      </c>
      <c r="T229" s="569"/>
      <c r="U229" s="722"/>
      <c r="V229" s="634"/>
    </row>
    <row r="230" spans="2:22" ht="15" customHeight="1" x14ac:dyDescent="0.25">
      <c r="B230" s="1180" t="s">
        <v>1836</v>
      </c>
      <c r="C230" s="1180"/>
      <c r="D230" s="1180"/>
      <c r="E230" s="543">
        <v>8242477000</v>
      </c>
      <c r="F230" s="540"/>
      <c r="G230" s="543">
        <f t="shared" si="13"/>
        <v>7542477000</v>
      </c>
      <c r="H230" s="543">
        <f t="shared" si="13"/>
        <v>0</v>
      </c>
      <c r="I230" s="543">
        <f t="shared" si="13"/>
        <v>7542477000</v>
      </c>
      <c r="J230" s="543">
        <f t="shared" si="13"/>
        <v>7657910202.1999998</v>
      </c>
      <c r="K230" s="601">
        <f t="shared" si="13"/>
        <v>0.92907874686213865</v>
      </c>
      <c r="L230" s="543">
        <f t="shared" si="13"/>
        <v>450477000</v>
      </c>
      <c r="M230" s="543"/>
      <c r="N230" s="543">
        <f t="shared" si="13"/>
        <v>134089797.80000019</v>
      </c>
      <c r="O230" s="689"/>
      <c r="P230" s="575" t="str">
        <f>IF(ISERROR(VLOOKUP(B230,'Base de Datos'!$C$7:$N$315,8,0))=TRUE," ",(VLOOKUP(B230,'Base de Datos'!$C$7:$N$315,8,0)))</f>
        <v xml:space="preserve"> </v>
      </c>
      <c r="Q230" s="569"/>
      <c r="R230" s="575" t="str">
        <f>IF(ISERROR(VLOOKUP(B230,'Base de Datos'!$C$7:$N$315,9,0))=TRUE," ",(VLOOKUP(B230,'Base de Datos'!$C$7:$N$315,9,0)))</f>
        <v xml:space="preserve"> </v>
      </c>
      <c r="S230" s="575" t="str">
        <f>IF(ISERROR(VLOOKUP(B230,'Base de Datos'!$C$7:$N$315,10,0))=TRUE," ",(VLOOKUP(B230,'Base de Datos'!$C$7:$N$315,10,0)))</f>
        <v xml:space="preserve"> </v>
      </c>
      <c r="T230" s="569"/>
      <c r="U230" s="722"/>
      <c r="V230" s="634"/>
    </row>
    <row r="231" spans="2:22" ht="15" customHeight="1" x14ac:dyDescent="0.25">
      <c r="B231" s="1181" t="s">
        <v>1874</v>
      </c>
      <c r="C231" s="1181"/>
      <c r="D231" s="1181"/>
      <c r="E231" s="581">
        <v>8242477000</v>
      </c>
      <c r="F231" s="586">
        <f>COUNTIF('Actualizada - presupuesto'!$E$7:$E$111,B231)</f>
        <v>0</v>
      </c>
      <c r="G231" s="581">
        <v>7542477000</v>
      </c>
      <c r="H231" s="586"/>
      <c r="I231" s="581">
        <v>7542477000</v>
      </c>
      <c r="J231" s="581">
        <f>+J233+J241</f>
        <v>7657910202.1999998</v>
      </c>
      <c r="K231" s="603">
        <f>J231/E231</f>
        <v>0.92907874686213865</v>
      </c>
      <c r="L231" s="581">
        <f>+L233+L241</f>
        <v>450477000</v>
      </c>
      <c r="M231" s="581"/>
      <c r="N231" s="581">
        <f>+E231-J231-L231</f>
        <v>134089797.80000019</v>
      </c>
      <c r="O231" s="684"/>
      <c r="P231" s="591" t="str">
        <f>IF(ISERROR(VLOOKUP(B231,'Base de Datos'!$C$7:$N$315,8,0))=TRUE," ",(VLOOKUP(B231,'Base de Datos'!$C$7:$N$315,8,0)))</f>
        <v xml:space="preserve"> </v>
      </c>
      <c r="Q231" s="592"/>
      <c r="R231" s="591" t="str">
        <f>IF(ISERROR(VLOOKUP(B231,'Base de Datos'!$C$7:$N$315,9,0))=TRUE," ",(VLOOKUP(B231,'Base de Datos'!$C$7:$N$315,9,0)))</f>
        <v xml:space="preserve"> </v>
      </c>
      <c r="S231" s="591" t="str">
        <f>IF(ISERROR(VLOOKUP(B231,'Base de Datos'!$C$7:$N$315,10,0))=TRUE," ",(VLOOKUP(B231,'Base de Datos'!$C$7:$N$315,10,0)))</f>
        <v xml:space="preserve"> </v>
      </c>
      <c r="T231" s="592"/>
      <c r="U231" s="722"/>
      <c r="V231" s="634"/>
    </row>
    <row r="232" spans="2:22" ht="24" outlineLevel="1" x14ac:dyDescent="0.25">
      <c r="B232" s="537" t="s">
        <v>1693</v>
      </c>
      <c r="C232" s="537" t="s">
        <v>912</v>
      </c>
      <c r="D232" s="537" t="s">
        <v>1822</v>
      </c>
      <c r="E232" s="545" t="s">
        <v>1846</v>
      </c>
      <c r="F232" s="534" t="s">
        <v>1853</v>
      </c>
      <c r="G232" s="534"/>
      <c r="H232" s="534"/>
      <c r="I232" s="534"/>
      <c r="J232" s="537" t="s">
        <v>1845</v>
      </c>
      <c r="K232" s="652"/>
      <c r="L232" s="537" t="s">
        <v>1939</v>
      </c>
      <c r="M232" s="537"/>
      <c r="N232" s="537" t="s">
        <v>1940</v>
      </c>
      <c r="O232" s="677"/>
      <c r="P232" s="568" t="s">
        <v>1847</v>
      </c>
      <c r="Q232" s="537" t="s">
        <v>1848</v>
      </c>
      <c r="R232" s="537" t="s">
        <v>1849</v>
      </c>
      <c r="S232" s="537" t="s">
        <v>375</v>
      </c>
      <c r="T232" s="537" t="s">
        <v>1850</v>
      </c>
      <c r="U232" s="722"/>
      <c r="V232" s="634"/>
    </row>
    <row r="233" spans="2:22" outlineLevel="1" x14ac:dyDescent="0.25">
      <c r="B233" s="616"/>
      <c r="C233" s="1182" t="s">
        <v>1910</v>
      </c>
      <c r="D233" s="1182"/>
      <c r="E233" s="618">
        <f>+E234</f>
        <v>400000000</v>
      </c>
      <c r="F233" s="540"/>
      <c r="G233" s="540"/>
      <c r="H233" s="540"/>
      <c r="I233" s="618">
        <v>400000000</v>
      </c>
      <c r="J233" s="622">
        <f>+J234</f>
        <v>398880000</v>
      </c>
      <c r="K233" s="601">
        <f>+J233/I233</f>
        <v>0.99719999999999998</v>
      </c>
      <c r="L233" s="622">
        <f>+L234</f>
        <v>0</v>
      </c>
      <c r="M233" s="543"/>
      <c r="N233" s="622">
        <f>+N234</f>
        <v>1120000</v>
      </c>
      <c r="O233" s="692"/>
      <c r="P233" s="575" t="str">
        <f>IF(ISERROR(VLOOKUP(B233,'Base de Datos'!$C$7:$N$315,8,0))=TRUE," ",(VLOOKUP(B233,'Base de Datos'!$C$7:$N$315,8,0)))</f>
        <v xml:space="preserve"> </v>
      </c>
      <c r="Q233" s="569"/>
      <c r="R233" s="575" t="str">
        <f>IF(ISERROR(VLOOKUP(B233,'Base de Datos'!$C$7:$N$315,9,0))=TRUE," ",(VLOOKUP(B233,'Base de Datos'!$C$7:$N$315,9,0)))</f>
        <v xml:space="preserve"> </v>
      </c>
      <c r="S233" s="575" t="str">
        <f>IF(ISERROR(VLOOKUP(B233,'Base de Datos'!$C$7:$N$315,10,0))=TRUE," ",(VLOOKUP(B233,'Base de Datos'!$C$7:$N$315,10,0)))</f>
        <v xml:space="preserve"> </v>
      </c>
      <c r="T233" s="569"/>
      <c r="U233" s="722"/>
      <c r="V233" s="634"/>
    </row>
    <row r="234" spans="2:22" ht="31.5" customHeight="1" outlineLevel="1" x14ac:dyDescent="0.25">
      <c r="B234" s="537"/>
      <c r="C234" s="1197" t="s">
        <v>1911</v>
      </c>
      <c r="D234" s="1198"/>
      <c r="E234" s="637">
        <v>400000000</v>
      </c>
      <c r="F234" s="636"/>
      <c r="G234" s="636"/>
      <c r="H234" s="636"/>
      <c r="I234" s="636"/>
      <c r="J234" s="638">
        <f>SUM(J235:J239)</f>
        <v>398880000</v>
      </c>
      <c r="K234" s="637"/>
      <c r="L234" s="638">
        <f>SUM(L235:L239)</f>
        <v>0</v>
      </c>
      <c r="M234" s="639"/>
      <c r="N234" s="638">
        <f>+E234-J234-L234</f>
        <v>1120000</v>
      </c>
      <c r="O234" s="693"/>
      <c r="P234" s="640" t="str">
        <f>IF(ISERROR(VLOOKUP(B234,'Base de Datos'!$C$7:$N$315,8,0))=TRUE," ",(VLOOKUP(B234,'Base de Datos'!$C$7:$N$315,8,0)))</f>
        <v xml:space="preserve"> </v>
      </c>
      <c r="Q234" s="641"/>
      <c r="R234" s="640" t="str">
        <f>IF(ISERROR(VLOOKUP(B234,'Base de Datos'!$C$7:$N$315,9,0))=TRUE," ",(VLOOKUP(B234,'Base de Datos'!$C$7:$N$315,9,0)))</f>
        <v xml:space="preserve"> </v>
      </c>
      <c r="S234" s="640" t="str">
        <f>IF(ISERROR(VLOOKUP(B234,'Base de Datos'!$C$7:$N$315,10,0))=TRUE," ",(VLOOKUP(B234,'Base de Datos'!$C$7:$N$315,10,0)))</f>
        <v xml:space="preserve"> </v>
      </c>
      <c r="T234" s="641"/>
      <c r="U234" s="722"/>
      <c r="V234" s="634"/>
    </row>
    <row r="235" spans="2:22" ht="13.5" customHeight="1" outlineLevel="1" x14ac:dyDescent="0.25">
      <c r="B235" s="627">
        <v>298</v>
      </c>
      <c r="C235" s="533" t="str">
        <f>IF(ISERROR(VLOOKUP(B235,'Base de Datos'!$C$7:$F$4092,2,0))=TRUE,"",(VLOOKUP('Presupuesto - PAA 2015'!B235,'Base de Datos'!$C$7:$F$4092,3,0)))</f>
        <v>150245-0-2015</v>
      </c>
      <c r="D235" s="533" t="str">
        <f>IF(ISERROR(VLOOKUP(B235,'Base de Datos'!$C$7:$F$4092,3,0))=TRUE,"",(VLOOKUP('Presupuesto - PAA 2015'!B235,'Base de Datos'!$C$7:$F$4092,4,0)))</f>
        <v>SANDRA MARCELA ROJAS MACIAS</v>
      </c>
      <c r="E235" s="536">
        <v>40800000</v>
      </c>
      <c r="F235" s="534" t="s">
        <v>390</v>
      </c>
      <c r="G235" s="534"/>
      <c r="H235" s="534"/>
      <c r="I235" s="534"/>
      <c r="J235" s="536">
        <f>IF(ISERROR(VLOOKUP(B235,'Base de Datos'!$C$7:$N$4092,6,0))=TRUE,"Sin Celebrar",(VLOOKUP(B235,'Base de Datos'!$C$7:$N$4092,7,0)))</f>
        <v>40800000</v>
      </c>
      <c r="K235" s="536"/>
      <c r="L235" s="536" t="str">
        <f>IF(J235=$AA$1,E235, " ")</f>
        <v xml:space="preserve"> </v>
      </c>
      <c r="M235" s="536"/>
      <c r="N235" s="536" t="str">
        <f>IF(J235&lt;E235,(E235-J235)," ")</f>
        <v xml:space="preserve"> </v>
      </c>
      <c r="O235" s="719" t="str">
        <f>IF(ISERROR(VLOOKUP(B235,'Base de Datos'!$C$7:$K$1048576,7,0))=TRUE," ",(VLOOKUP(B235,'Base de Datos'!$C$7:$K$1048576,8,0)))</f>
        <v>150245-0-2015</v>
      </c>
      <c r="P235" s="551">
        <f>IF(ISERROR(VLOOKUP(B235,'Base de Datos'!$C$7:$N$4077,9,0))=TRUE," ",(VLOOKUP(B235,'Base de Datos'!$C$7:$N$4077,10,0)))</f>
        <v>42158</v>
      </c>
      <c r="Q235" s="533" t="s">
        <v>382</v>
      </c>
      <c r="R235" s="551">
        <f>IF(ISERROR(VLOOKUP(B235,'Base de Datos'!$C$7:$N$4077,10,0))=TRUE," ",(VLOOKUP(B235,'Base de Datos'!$C$7:$N$4077,11,0)))</f>
        <v>42160</v>
      </c>
      <c r="S235" s="551">
        <f>IF(ISERROR(VLOOKUP(B235,'Base de Datos'!$C$7:$N$4077,11,0))=TRUE," ",(VLOOKUP(B235,'Base de Datos'!$C$7:$N$4077,12,0)))</f>
        <v>42343</v>
      </c>
      <c r="T235" s="533" t="str">
        <f ca="1">VLOOKUP(C235,'Base de Datos'!$E$7:$AR$382,39,0)</f>
        <v>NO</v>
      </c>
      <c r="U235" s="722"/>
      <c r="V235" s="634"/>
    </row>
    <row r="236" spans="2:22" outlineLevel="1" x14ac:dyDescent="0.25">
      <c r="B236" s="627">
        <v>299</v>
      </c>
      <c r="C236" s="533" t="str">
        <f>IF(ISERROR(VLOOKUP(B236,'Base de Datos'!$C$7:$F$4092,2,0))=TRUE,"",(VLOOKUP('Presupuesto - PAA 2015'!B236,'Base de Datos'!$C$7:$F$4092,3,0)))</f>
        <v>150250-0-2015</v>
      </c>
      <c r="D236" s="533" t="str">
        <f>IF(ISERROR(VLOOKUP(B236,'Base de Datos'!$C$7:$F$4092,3,0))=TRUE,"",(VLOOKUP('Presupuesto - PAA 2015'!B236,'Base de Datos'!$C$7:$F$4092,4,0)))</f>
        <v>CRISTIAN CAMILO RAMOS MARTINEZ</v>
      </c>
      <c r="E236" s="536">
        <v>12000000</v>
      </c>
      <c r="F236" s="534" t="s">
        <v>390</v>
      </c>
      <c r="G236" s="534"/>
      <c r="H236" s="534"/>
      <c r="I236" s="534"/>
      <c r="J236" s="536">
        <f>IF(ISERROR(VLOOKUP(B236,'Base de Datos'!$C$7:$N$4092,6,0))=TRUE,"Sin Celebrar",(VLOOKUP(B236,'Base de Datos'!$C$7:$N$4092,7,0)))</f>
        <v>12000000</v>
      </c>
      <c r="K236" s="536"/>
      <c r="L236" s="536" t="str">
        <f>IF(J236=$AA$1,E236, " ")</f>
        <v xml:space="preserve"> </v>
      </c>
      <c r="M236" s="536"/>
      <c r="N236" s="536" t="str">
        <f>IF(J236&lt;E236,(E236-J236)," ")</f>
        <v xml:space="preserve"> </v>
      </c>
      <c r="O236" s="719" t="str">
        <f>IF(ISERROR(VLOOKUP(B236,'Base de Datos'!$C$7:$K$1048576,7,0))=TRUE," ",(VLOOKUP(B236,'Base de Datos'!$C$7:$K$1048576,8,0)))</f>
        <v>150250-0-2015</v>
      </c>
      <c r="P236" s="551">
        <f>IF(ISERROR(VLOOKUP(B236,'Base de Datos'!$C$7:$N$4077,9,0))=TRUE," ",(VLOOKUP(B236,'Base de Datos'!$C$7:$N$4077,10,0)))</f>
        <v>42166</v>
      </c>
      <c r="Q236" s="533" t="s">
        <v>382</v>
      </c>
      <c r="R236" s="551">
        <f>IF(ISERROR(VLOOKUP(B236,'Base de Datos'!$C$7:$N$4077,10,0))=TRUE," ",(VLOOKUP(B236,'Base de Datos'!$C$7:$N$4077,11,0)))</f>
        <v>42173</v>
      </c>
      <c r="S236" s="551">
        <f>IF(ISERROR(VLOOKUP(B236,'Base de Datos'!$C$7:$N$4077,11,0))=TRUE," ",(VLOOKUP(B236,'Base de Datos'!$C$7:$N$4077,12,0)))</f>
        <v>42356</v>
      </c>
      <c r="T236" s="533" t="str">
        <f ca="1">VLOOKUP(C236,'Base de Datos'!$E$7:$AR$382,39,0)</f>
        <v>NO</v>
      </c>
      <c r="U236" s="722"/>
      <c r="V236" s="634"/>
    </row>
    <row r="237" spans="2:22" outlineLevel="1" x14ac:dyDescent="0.25">
      <c r="B237" s="627">
        <v>300</v>
      </c>
      <c r="C237" s="533" t="str">
        <f>IF(ISERROR(VLOOKUP(B237,'Base de Datos'!$C$7:$F$4092,2,0))=TRUE,"",(VLOOKUP('Presupuesto - PAA 2015'!B237,'Base de Datos'!$C$7:$F$4092,3,0)))</f>
        <v>150256-0-2015</v>
      </c>
      <c r="D237" s="533" t="str">
        <f>IF(ISERROR(VLOOKUP(B237,'Base de Datos'!$C$7:$F$4092,3,0))=TRUE,"",(VLOOKUP('Presupuesto - PAA 2015'!B237,'Base de Datos'!$C$7:$F$4092,4,0)))</f>
        <v>DAYANNA STEPHANY FERNANDEZ CARRILLO</v>
      </c>
      <c r="E237" s="536">
        <v>12000000</v>
      </c>
      <c r="F237" s="534" t="s">
        <v>390</v>
      </c>
      <c r="G237" s="534"/>
      <c r="H237" s="534"/>
      <c r="I237" s="534"/>
      <c r="J237" s="536">
        <f>IF(ISERROR(VLOOKUP(B237,'Base de Datos'!$C$7:$N$4092,6,0))=TRUE,"Sin Celebrar",(VLOOKUP(B237,'Base de Datos'!$C$7:$N$4092,7,0)))</f>
        <v>12000000</v>
      </c>
      <c r="K237" s="536"/>
      <c r="L237" s="536" t="str">
        <f>IF(J237=$AA$1,E237, " ")</f>
        <v xml:space="preserve"> </v>
      </c>
      <c r="M237" s="536"/>
      <c r="N237" s="536" t="str">
        <f>IF(J237&lt;E237,(E237-J237)," ")</f>
        <v xml:space="preserve"> </v>
      </c>
      <c r="O237" s="719" t="str">
        <f>IF(ISERROR(VLOOKUP(B237,'Base de Datos'!$C$7:$K$1048576,7,0))=TRUE," ",(VLOOKUP(B237,'Base de Datos'!$C$7:$K$1048576,8,0)))</f>
        <v>150256-0-2015</v>
      </c>
      <c r="P237" s="551">
        <f>IF(ISERROR(VLOOKUP(B237,'Base de Datos'!$C$7:$N$4077,9,0))=TRUE," ",(VLOOKUP(B237,'Base de Datos'!$C$7:$N$4077,10,0)))</f>
        <v>42171</v>
      </c>
      <c r="Q237" s="533" t="s">
        <v>382</v>
      </c>
      <c r="R237" s="551">
        <f>IF(ISERROR(VLOOKUP(B237,'Base de Datos'!$C$7:$N$4077,10,0))=TRUE," ",(VLOOKUP(B237,'Base de Datos'!$C$7:$N$4077,11,0)))</f>
        <v>42174</v>
      </c>
      <c r="S237" s="551">
        <f>IF(ISERROR(VLOOKUP(B237,'Base de Datos'!$C$7:$N$4077,11,0))=TRUE," ",(VLOOKUP(B237,'Base de Datos'!$C$7:$N$4077,12,0)))</f>
        <v>42357</v>
      </c>
      <c r="T237" s="533" t="str">
        <f ca="1">VLOOKUP(C237,'Base de Datos'!$E$7:$AR$382,39,0)</f>
        <v>NO</v>
      </c>
      <c r="U237" s="722"/>
      <c r="V237" s="634"/>
    </row>
    <row r="238" spans="2:22" outlineLevel="1" x14ac:dyDescent="0.25">
      <c r="B238" s="537"/>
      <c r="C238" s="533" t="s">
        <v>1598</v>
      </c>
      <c r="D238" s="617" t="s">
        <v>1599</v>
      </c>
      <c r="E238" s="536">
        <v>334080000</v>
      </c>
      <c r="F238" s="534" t="s">
        <v>590</v>
      </c>
      <c r="G238" s="534"/>
      <c r="H238" s="534"/>
      <c r="I238" s="534"/>
      <c r="J238" s="536">
        <v>334080000</v>
      </c>
      <c r="K238" s="536"/>
      <c r="L238" s="536" t="str">
        <f>IF(J238=$AA$1,E238, " ")</f>
        <v xml:space="preserve"> </v>
      </c>
      <c r="M238" s="536"/>
      <c r="N238" s="536" t="str">
        <f t="shared" ref="N238:N259" si="14">IF(J238&lt;E238,(E238-J238)," ")</f>
        <v xml:space="preserve"> </v>
      </c>
      <c r="O238" s="719" t="s">
        <v>1977</v>
      </c>
      <c r="P238" s="551">
        <v>42082</v>
      </c>
      <c r="Q238" s="533" t="s">
        <v>382</v>
      </c>
      <c r="R238" s="556">
        <v>42104</v>
      </c>
      <c r="S238" s="556">
        <v>42287</v>
      </c>
      <c r="T238" s="533" t="str">
        <f ca="1">VLOOKUP(C238,'Base de Datos'!$E$7:$AR$382,39,0)</f>
        <v>NO</v>
      </c>
      <c r="U238" s="722"/>
      <c r="V238" s="634"/>
    </row>
    <row r="239" spans="2:22" outlineLevel="1" x14ac:dyDescent="0.25">
      <c r="B239" s="537"/>
      <c r="C239" s="533"/>
      <c r="D239" s="617" t="s">
        <v>1935</v>
      </c>
      <c r="E239" s="536">
        <f>+E234-SUM(E235:E238)</f>
        <v>1120000</v>
      </c>
      <c r="F239" s="534"/>
      <c r="G239" s="534"/>
      <c r="H239" s="534"/>
      <c r="I239" s="534"/>
      <c r="J239" s="536"/>
      <c r="K239" s="536"/>
      <c r="L239" s="536"/>
      <c r="M239" s="536"/>
      <c r="N239" s="536">
        <f t="shared" si="14"/>
        <v>1120000</v>
      </c>
      <c r="O239" s="678"/>
      <c r="P239" s="551" t="str">
        <f>IF(ISERROR(VLOOKUP(B239,'Base de Datos'!$C$7:$N$315,8,0))=TRUE," ",(VLOOKUP(B239,'Base de Datos'!$C$7:$N$315,8,0)))</f>
        <v xml:space="preserve"> </v>
      </c>
      <c r="Q239" s="533"/>
      <c r="R239" s="551" t="str">
        <f>IF(ISERROR(VLOOKUP(B239,'Base de Datos'!$C$7:$N$315,9,0))=TRUE," ",(VLOOKUP(B239,'Base de Datos'!$C$7:$N$315,9,0)))</f>
        <v xml:space="preserve"> </v>
      </c>
      <c r="S239" s="551" t="str">
        <f>IF(ISERROR(VLOOKUP(B239,'Base de Datos'!$C$7:$N$315,10,0))=TRUE," ",(VLOOKUP(B239,'Base de Datos'!$C$7:$N$315,10,0)))</f>
        <v xml:space="preserve"> </v>
      </c>
      <c r="T239" s="533"/>
      <c r="U239" s="722"/>
      <c r="V239" s="634"/>
    </row>
    <row r="240" spans="2:22" outlineLevel="1" x14ac:dyDescent="0.25">
      <c r="B240" s="537"/>
      <c r="C240" s="533"/>
      <c r="D240" s="617"/>
      <c r="E240" s="536"/>
      <c r="F240" s="534"/>
      <c r="G240" s="534"/>
      <c r="H240" s="534"/>
      <c r="I240" s="534"/>
      <c r="J240" s="536"/>
      <c r="K240" s="536"/>
      <c r="L240" s="536"/>
      <c r="M240" s="536"/>
      <c r="N240" s="536" t="str">
        <f t="shared" si="14"/>
        <v xml:space="preserve"> </v>
      </c>
      <c r="O240" s="678"/>
      <c r="P240" s="551" t="str">
        <f>IF(ISERROR(VLOOKUP(B240,'Base de Datos'!$C$7:$N$315,8,0))=TRUE," ",(VLOOKUP(B240,'Base de Datos'!$C$7:$N$315,8,0)))</f>
        <v xml:space="preserve"> </v>
      </c>
      <c r="Q240" s="533"/>
      <c r="R240" s="551" t="str">
        <f>IF(ISERROR(VLOOKUP(B240,'Base de Datos'!$C$7:$N$315,9,0))=TRUE," ",(VLOOKUP(B240,'Base de Datos'!$C$7:$N$315,9,0)))</f>
        <v xml:space="preserve"> </v>
      </c>
      <c r="S240" s="551" t="str">
        <f>IF(ISERROR(VLOOKUP(B240,'Base de Datos'!$C$7:$N$315,10,0))=TRUE," ",(VLOOKUP(B240,'Base de Datos'!$C$7:$N$315,10,0)))</f>
        <v xml:space="preserve"> </v>
      </c>
      <c r="T240" s="533"/>
      <c r="U240" s="722"/>
      <c r="V240" s="634"/>
    </row>
    <row r="241" spans="2:22" ht="24" customHeight="1" outlineLevel="1" x14ac:dyDescent="0.25">
      <c r="B241" s="616"/>
      <c r="C241" s="1182" t="s">
        <v>1914</v>
      </c>
      <c r="D241" s="1182"/>
      <c r="E241" s="543">
        <f>+E242+E244+E249+E251+E264</f>
        <v>7722182796</v>
      </c>
      <c r="F241" s="631"/>
      <c r="G241" s="540"/>
      <c r="H241" s="540"/>
      <c r="I241" s="540"/>
      <c r="J241" s="543">
        <f>+J242+J244+J249+J251+J264</f>
        <v>7259030202.1999998</v>
      </c>
      <c r="K241" s="601">
        <f>+J241/E241</f>
        <v>0.94002309890411972</v>
      </c>
      <c r="L241" s="543">
        <f>+L242+L244+L249+L251+L264</f>
        <v>450477000</v>
      </c>
      <c r="M241" s="536"/>
      <c r="N241" s="543">
        <f>+E241-J241-L241</f>
        <v>12675593.800000191</v>
      </c>
      <c r="O241" s="689"/>
      <c r="P241" s="575" t="str">
        <f>IF(ISERROR(VLOOKUP(B241,'Base de Datos'!$C$7:$N$315,8,0))=TRUE," ",(VLOOKUP(B241,'Base de Datos'!$C$7:$N$315,8,0)))</f>
        <v xml:space="preserve"> </v>
      </c>
      <c r="Q241" s="569"/>
      <c r="R241" s="575" t="str">
        <f>IF(ISERROR(VLOOKUP(B241,'Base de Datos'!$C$7:$N$315,9,0))=TRUE," ",(VLOOKUP(B241,'Base de Datos'!$C$7:$N$315,9,0)))</f>
        <v xml:space="preserve"> </v>
      </c>
      <c r="S241" s="575" t="str">
        <f>IF(ISERROR(VLOOKUP(B241,'Base de Datos'!$C$7:$N$315,10,0))=TRUE," ",(VLOOKUP(B241,'Base de Datos'!$C$7:$N$315,10,0)))</f>
        <v xml:space="preserve"> </v>
      </c>
      <c r="T241" s="569"/>
      <c r="U241" s="722"/>
      <c r="V241" s="634"/>
    </row>
    <row r="242" spans="2:22" ht="24.75" customHeight="1" outlineLevel="1" x14ac:dyDescent="0.25">
      <c r="B242" s="537"/>
      <c r="C242" s="1201" t="s">
        <v>1915</v>
      </c>
      <c r="D242" s="1201"/>
      <c r="E242" s="619">
        <v>450477000</v>
      </c>
      <c r="F242" s="730"/>
      <c r="G242" s="621"/>
      <c r="H242" s="621"/>
      <c r="I242" s="621"/>
      <c r="J242" s="620">
        <f>SUM(J243)</f>
        <v>0</v>
      </c>
      <c r="K242" s="623">
        <f>+J242/E242</f>
        <v>0</v>
      </c>
      <c r="L242" s="620">
        <f>SUM(L243)</f>
        <v>450477000</v>
      </c>
      <c r="M242" s="619"/>
      <c r="N242" s="649">
        <f>SUM(N243)</f>
        <v>0</v>
      </c>
      <c r="O242" s="694"/>
      <c r="P242" s="625" t="str">
        <f>IF(ISERROR(VLOOKUP(B242,'Base de Datos'!$C$7:$N$315,8,0))=TRUE," ",(VLOOKUP(B242,'Base de Datos'!$C$7:$N$315,8,0)))</f>
        <v xml:space="preserve"> </v>
      </c>
      <c r="Q242" s="730"/>
      <c r="R242" s="625" t="str">
        <f>IF(ISERROR(VLOOKUP(B242,'Base de Datos'!$C$7:$N$315,9,0))=TRUE," ",(VLOOKUP(B242,'Base de Datos'!$C$7:$N$315,9,0)))</f>
        <v xml:space="preserve"> </v>
      </c>
      <c r="S242" s="625" t="str">
        <f>IF(ISERROR(VLOOKUP(B242,'Base de Datos'!$C$7:$N$315,10,0))=TRUE," ",(VLOOKUP(B242,'Base de Datos'!$C$7:$N$315,10,0)))</f>
        <v xml:space="preserve"> </v>
      </c>
      <c r="T242" s="730"/>
      <c r="U242" s="722"/>
      <c r="V242" s="634"/>
    </row>
    <row r="243" spans="2:22" ht="15" customHeight="1" outlineLevel="1" x14ac:dyDescent="0.25">
      <c r="B243" s="537">
        <v>213</v>
      </c>
      <c r="C243" s="617"/>
      <c r="D243" s="617" t="s">
        <v>1916</v>
      </c>
      <c r="E243" s="580">
        <v>450477000</v>
      </c>
      <c r="F243" s="534" t="str">
        <f>VLOOKUP(B243,'Actualizada - presupuesto'!$D$7:$L$111,9,0)</f>
        <v>SI</v>
      </c>
      <c r="G243" s="534"/>
      <c r="H243" s="534"/>
      <c r="I243" s="534"/>
      <c r="J243" s="536" t="str">
        <f>IF(ISERROR(VLOOKUP(B243,'Base de Datos'!$C$7:$N$315,6,0))=TRUE,"Sin Celebrar",(VLOOKUP(B243,'Base de Datos'!$C$7:$N$315,6,0)))</f>
        <v>Sin Celebrar</v>
      </c>
      <c r="K243" s="536"/>
      <c r="L243" s="536">
        <f>IF(J243=$AA$1,E243, " ")</f>
        <v>450477000</v>
      </c>
      <c r="M243" s="536"/>
      <c r="N243" s="554" t="str">
        <f>IF(J243&lt;E243,(E243-J243)," ")</f>
        <v xml:space="preserve"> </v>
      </c>
      <c r="O243" s="679"/>
      <c r="P243" s="551" t="str">
        <f>IF(ISERROR(VLOOKUP(B243,'Base de Datos'!$C$7:$N$315,8,0))=TRUE," ",(VLOOKUP(B243,'Base de Datos'!$C$7:$N$315,8,0)))</f>
        <v xml:space="preserve"> </v>
      </c>
      <c r="Q243" s="533"/>
      <c r="R243" s="551" t="str">
        <f>IF(ISERROR(VLOOKUP(B243,'Base de Datos'!$C$7:$N$315,9,0))=TRUE," ",(VLOOKUP(B243,'Base de Datos'!$C$7:$N$315,9,0)))</f>
        <v xml:space="preserve"> </v>
      </c>
      <c r="S243" s="551" t="str">
        <f>IF(ISERROR(VLOOKUP(B243,'Base de Datos'!$C$7:$N$315,10,0))=TRUE," ",(VLOOKUP(B243,'Base de Datos'!$C$7:$N$315,10,0)))</f>
        <v xml:space="preserve"> </v>
      </c>
      <c r="T243" s="533" t="e">
        <f>VLOOKUP(C243,'Base de Datos'!$E$7:$AR$382,39,0)</f>
        <v>#N/A</v>
      </c>
      <c r="U243" s="722"/>
      <c r="V243" s="634"/>
    </row>
    <row r="244" spans="2:22" ht="27" customHeight="1" outlineLevel="1" x14ac:dyDescent="0.25">
      <c r="B244" s="537"/>
      <c r="C244" s="1201" t="s">
        <v>1917</v>
      </c>
      <c r="D244" s="1201"/>
      <c r="E244" s="619">
        <f>SUM(E245:E248)</f>
        <v>466869877</v>
      </c>
      <c r="F244" s="621"/>
      <c r="G244" s="621"/>
      <c r="H244" s="621"/>
      <c r="I244" s="621"/>
      <c r="J244" s="619">
        <f>SUM(J245:J248)</f>
        <v>466869877</v>
      </c>
      <c r="K244" s="623">
        <f>+J244/E244</f>
        <v>1</v>
      </c>
      <c r="L244" s="619">
        <f>SUM(L245:L248)</f>
        <v>0</v>
      </c>
      <c r="M244" s="619"/>
      <c r="N244" s="619">
        <f>+E244-J244-L244</f>
        <v>0</v>
      </c>
      <c r="O244" s="694"/>
      <c r="P244" s="625" t="str">
        <f>IF(ISERROR(VLOOKUP(B244,'Base de Datos'!$C$7:$N$315,8,0))=TRUE," ",(VLOOKUP(B244,'Base de Datos'!$C$7:$N$315,8,0)))</f>
        <v xml:space="preserve"> </v>
      </c>
      <c r="Q244" s="730"/>
      <c r="R244" s="625" t="str">
        <f>IF(ISERROR(VLOOKUP(B244,'Base de Datos'!$C$7:$N$315,9,0))=TRUE," ",(VLOOKUP(B244,'Base de Datos'!$C$7:$N$315,9,0)))</f>
        <v xml:space="preserve"> </v>
      </c>
      <c r="S244" s="625" t="str">
        <f>IF(ISERROR(VLOOKUP(B244,'Base de Datos'!$C$7:$N$315,10,0))=TRUE," ",(VLOOKUP(B244,'Base de Datos'!$C$7:$N$315,10,0)))</f>
        <v xml:space="preserve"> </v>
      </c>
      <c r="T244" s="730"/>
      <c r="U244" s="722"/>
      <c r="V244" s="634"/>
    </row>
    <row r="245" spans="2:22" outlineLevel="1" x14ac:dyDescent="0.25">
      <c r="B245" s="537">
        <v>208</v>
      </c>
      <c r="C245" s="533" t="str">
        <f>IF(ISERROR(VLOOKUP(B245,'Base de Datos'!$C$7:$F$4092,2,0))=TRUE,"",(VLOOKUP('Presupuesto - PAA 2015'!B245,'Base de Datos'!$C$7:$F$4092,3,0)))</f>
        <v>150192-0-2015</v>
      </c>
      <c r="D245" s="533" t="str">
        <f>IF(ISERROR(VLOOKUP(B245,'Base de Datos'!$C$7:$F$4092,3,0))=TRUE,"",(VLOOKUP('Presupuesto - PAA 2015'!B245,'Base de Datos'!$C$7:$F$4092,4,0)))</f>
        <v>INVERSIONES MATAY SAS</v>
      </c>
      <c r="E245" s="536">
        <v>379200000</v>
      </c>
      <c r="F245" s="534" t="str">
        <f>VLOOKUP(B245,'Actualizada - presupuesto'!$D$7:$L$111,9,0)</f>
        <v>SI</v>
      </c>
      <c r="G245" s="534"/>
      <c r="H245" s="534"/>
      <c r="I245" s="534"/>
      <c r="J245" s="536">
        <f>IF(ISERROR(VLOOKUP(B245,'Base de Datos'!$C$7:$N$4092,6,0))=TRUE,"Sin Celebrar",(VLOOKUP(B245,'Base de Datos'!$C$7:$N$4092,7,0)))</f>
        <v>379200000</v>
      </c>
      <c r="K245" s="536"/>
      <c r="L245" s="536" t="str">
        <f t="shared" ref="L245:L259" si="15">IF(J245=$AA$1,E245, " ")</f>
        <v xml:space="preserve"> </v>
      </c>
      <c r="M245" s="536"/>
      <c r="N245" s="536" t="str">
        <f t="shared" si="14"/>
        <v xml:space="preserve"> </v>
      </c>
      <c r="O245" s="719" t="str">
        <f>IF(ISERROR(VLOOKUP(B245,'Base de Datos'!$C$7:$K$1048576,7,0))=TRUE," ",(VLOOKUP(B245,'Base de Datos'!$C$7:$K$1048576,8,0)))</f>
        <v>150192-0-2015</v>
      </c>
      <c r="P245" s="551">
        <f>IF(ISERROR(VLOOKUP(B245,'Base de Datos'!$C$7:$N$4077,9,0))=TRUE," ",(VLOOKUP(B245,'Base de Datos'!$C$7:$N$4077,10,0)))</f>
        <v>42109</v>
      </c>
      <c r="Q245" s="533" t="s">
        <v>1854</v>
      </c>
      <c r="R245" s="551">
        <f>IF(ISERROR(VLOOKUP(B245,'Base de Datos'!$C$7:$N$4077,10,0))=TRUE," ",(VLOOKUP(B245,'Base de Datos'!$C$7:$N$4077,11,0)))</f>
        <v>42109</v>
      </c>
      <c r="S245" s="551">
        <f>IF(ISERROR(VLOOKUP(B245,'Base de Datos'!$C$7:$N$4077,11,0))=TRUE," ",(VLOOKUP(B245,'Base de Datos'!$C$7:$N$4077,12,0)))</f>
        <v>42429</v>
      </c>
      <c r="T245" s="533" t="str">
        <f ca="1">VLOOKUP(C245,'Base de Datos'!$E$7:$AR$382,39,0)</f>
        <v>NO</v>
      </c>
      <c r="U245" s="722"/>
      <c r="V245" s="634"/>
    </row>
    <row r="246" spans="2:22" outlineLevel="1" x14ac:dyDescent="0.25">
      <c r="B246" s="537">
        <v>263</v>
      </c>
      <c r="C246" s="533" t="s">
        <v>307</v>
      </c>
      <c r="D246" s="617" t="s">
        <v>1920</v>
      </c>
      <c r="E246" s="536">
        <v>87669877</v>
      </c>
      <c r="F246" s="534" t="str">
        <f>VLOOKUP(B246,'Actualizada - presupuesto'!$D$7:$L$111,9,0)</f>
        <v>SI</v>
      </c>
      <c r="G246" s="534"/>
      <c r="H246" s="534"/>
      <c r="I246" s="534"/>
      <c r="J246" s="536">
        <v>87669877</v>
      </c>
      <c r="K246" s="536"/>
      <c r="L246" s="536" t="str">
        <f t="shared" si="15"/>
        <v xml:space="preserve"> </v>
      </c>
      <c r="M246" s="536"/>
      <c r="N246" s="536" t="str">
        <f t="shared" si="14"/>
        <v xml:space="preserve"> </v>
      </c>
      <c r="O246" s="719">
        <f>IF(ISERROR(VLOOKUP(B246,'Base de Datos'!$C$7:$K$1048576,7,0))=TRUE," ",(VLOOKUP(B246,'Base de Datos'!$C$7:$K$1048576,7,0)))</f>
        <v>44000000</v>
      </c>
      <c r="P246" s="551" t="str">
        <f>IF(ISERROR(VLOOKUP(B246,'Base de Datos'!$C$7:$N$315,9,0))=TRUE," ",(VLOOKUP(B246,'Base de Datos'!$C$7:$N$315,9,0)))</f>
        <v xml:space="preserve"> </v>
      </c>
      <c r="Q246" s="533"/>
      <c r="R246" s="556" t="str">
        <f>IF(ISERROR(VLOOKUP(B246,'Base de Datos'!$C$7:$N$315,10,0))=TRUE," ",(VLOOKUP(B246,'Base de Datos'!$C$7:$N$315,10,0)))</f>
        <v xml:space="preserve"> </v>
      </c>
      <c r="S246" s="556" t="str">
        <f>IF(ISERROR(VLOOKUP(B246,'Base de Datos'!$C$7:$N$315,11,0))=TRUE," ",(VLOOKUP(B246,'Base de Datos'!$C$7:$N$315,11,0)))</f>
        <v xml:space="preserve"> </v>
      </c>
      <c r="T246" s="533" t="str">
        <f ca="1">VLOOKUP(C246,'Base de Datos'!$E$7:$AR$382,39,0)</f>
        <v>NO</v>
      </c>
      <c r="U246" s="722"/>
      <c r="V246" s="634"/>
    </row>
    <row r="247" spans="2:22" ht="24" outlineLevel="1" x14ac:dyDescent="0.25">
      <c r="B247" s="537">
        <v>209</v>
      </c>
      <c r="C247" s="553" t="str">
        <f>IF(ISERROR(VLOOKUP(B247,'Base de Datos'!$C$7:$F$4085,2,0))=TRUE,"",(VLOOKUP('Presupuesto - PAA 2015'!B247,'Base de Datos'!$C$7:$F$4085,2,0)))</f>
        <v>2016209</v>
      </c>
      <c r="D247" s="617" t="s">
        <v>1921</v>
      </c>
      <c r="E247" s="732"/>
      <c r="F247" s="534">
        <f>VLOOKUP(B247,'Actualizada - presupuesto'!$D$7:$L$111,9,0)</f>
        <v>0</v>
      </c>
      <c r="G247" s="534"/>
      <c r="H247" s="534"/>
      <c r="I247" s="534"/>
      <c r="J247" s="536" t="str">
        <f>IF(ISERROR(VLOOKUP(B247,'Base de Datos'!$C$7:$N$315,6,0))=TRUE,"Sin Celebrar",(VLOOKUP(B247,'Base de Datos'!$C$7:$N$315,6,0)))</f>
        <v>Sin Celebrar</v>
      </c>
      <c r="K247" s="536"/>
      <c r="L247" s="536"/>
      <c r="M247" s="536"/>
      <c r="N247" s="536" t="str">
        <f t="shared" si="14"/>
        <v xml:space="preserve"> </v>
      </c>
      <c r="O247" s="719">
        <f>IF(ISERROR(VLOOKUP(B247,'Base de Datos'!$C$7:$K$1048576,7,0))=TRUE," ",(VLOOKUP(B247,'Base de Datos'!$C$7:$K$1048576,7,0)))</f>
        <v>3000000</v>
      </c>
      <c r="P247" s="551" t="str">
        <f>IF(ISERROR(VLOOKUP(B247,'Base de Datos'!$C$7:$N$315,9,0))=TRUE," ",(VLOOKUP(B247,'Base de Datos'!$C$7:$N$315,9,0)))</f>
        <v xml:space="preserve"> </v>
      </c>
      <c r="Q247" s="533"/>
      <c r="R247" s="556" t="str">
        <f>IF(ISERROR(VLOOKUP(B247,'Base de Datos'!$C$7:$N$315,10,0))=TRUE," ",(VLOOKUP(B247,'Base de Datos'!$C$7:$N$315,10,0)))</f>
        <v xml:space="preserve"> </v>
      </c>
      <c r="S247" s="556" t="str">
        <f>IF(ISERROR(VLOOKUP(B247,'Base de Datos'!$C$7:$N$315,11,0))=TRUE," ",(VLOOKUP(B247,'Base de Datos'!$C$7:$N$315,11,0)))</f>
        <v xml:space="preserve"> </v>
      </c>
      <c r="T247" s="533" t="e">
        <f>VLOOKUP(C247,'Base de Datos'!$E$7:$AR$382,39,0)</f>
        <v>#N/A</v>
      </c>
      <c r="U247" s="722"/>
      <c r="V247" s="634"/>
    </row>
    <row r="248" spans="2:22" ht="24" outlineLevel="1" x14ac:dyDescent="0.25">
      <c r="B248" s="537">
        <v>211</v>
      </c>
      <c r="C248" s="553" t="str">
        <f>IF(ISERROR(VLOOKUP(B248,'Base de Datos'!$C$7:$F$4085,2,0))=TRUE,"",(VLOOKUP('Presupuesto - PAA 2015'!B248,'Base de Datos'!$C$7:$F$4085,2,0)))</f>
        <v>2016211</v>
      </c>
      <c r="D248" s="617" t="s">
        <v>1922</v>
      </c>
      <c r="E248" s="732"/>
      <c r="F248" s="534">
        <f>VLOOKUP(B248,'Actualizada - presupuesto'!$D$7:$L$111,9,0)</f>
        <v>0</v>
      </c>
      <c r="G248" s="534"/>
      <c r="H248" s="534"/>
      <c r="I248" s="534"/>
      <c r="J248" s="536" t="str">
        <f>IF(ISERROR(VLOOKUP(B248,'Base de Datos'!$C$7:$N$315,6,0))=TRUE,"Sin Celebrar",(VLOOKUP(B248,'Base de Datos'!$C$7:$N$315,6,0)))</f>
        <v>Sin Celebrar</v>
      </c>
      <c r="K248" s="536"/>
      <c r="L248" s="536"/>
      <c r="M248" s="536"/>
      <c r="N248" s="536" t="str">
        <f t="shared" si="14"/>
        <v xml:space="preserve"> </v>
      </c>
      <c r="O248" s="719">
        <f>IF(ISERROR(VLOOKUP(B248,'Base de Datos'!$C$7:$K$1048576,7,0))=TRUE," ",(VLOOKUP(B248,'Base de Datos'!$C$7:$K$1048576,7,0)))</f>
        <v>12928000</v>
      </c>
      <c r="P248" s="551" t="str">
        <f>IF(ISERROR(VLOOKUP(B248,'Base de Datos'!$C$7:$N$315,9,0))=TRUE," ",(VLOOKUP(B248,'Base de Datos'!$C$7:$N$315,9,0)))</f>
        <v xml:space="preserve"> </v>
      </c>
      <c r="Q248" s="533"/>
      <c r="R248" s="556" t="str">
        <f>IF(ISERROR(VLOOKUP(B248,'Base de Datos'!$C$7:$N$315,10,0))=TRUE," ",(VLOOKUP(B248,'Base de Datos'!$C$7:$N$315,10,0)))</f>
        <v xml:space="preserve"> </v>
      </c>
      <c r="S248" s="556" t="str">
        <f>IF(ISERROR(VLOOKUP(B248,'Base de Datos'!$C$7:$N$315,11,0))=TRUE," ",(VLOOKUP(B248,'Base de Datos'!$C$7:$N$315,11,0)))</f>
        <v xml:space="preserve"> </v>
      </c>
      <c r="T248" s="533" t="e">
        <f>VLOOKUP(C248,'Base de Datos'!$E$7:$AR$382,39,0)</f>
        <v>#N/A</v>
      </c>
      <c r="U248" s="722"/>
      <c r="V248" s="634"/>
    </row>
    <row r="249" spans="2:22" ht="24.75" customHeight="1" outlineLevel="1" x14ac:dyDescent="0.25">
      <c r="B249" s="537"/>
      <c r="C249" s="1201" t="s">
        <v>1923</v>
      </c>
      <c r="D249" s="1201"/>
      <c r="E249" s="619">
        <f>+E250</f>
        <v>0</v>
      </c>
      <c r="F249" s="621"/>
      <c r="G249" s="624"/>
      <c r="H249" s="624"/>
      <c r="I249" s="624"/>
      <c r="J249" s="619">
        <f>SUM(J250)</f>
        <v>0</v>
      </c>
      <c r="K249" s="623" t="e">
        <f>+J249/E249</f>
        <v>#DIV/0!</v>
      </c>
      <c r="L249" s="619">
        <f>SUM(L250)</f>
        <v>0</v>
      </c>
      <c r="M249" s="619"/>
      <c r="N249" s="619">
        <f>+E249-J249-L249</f>
        <v>0</v>
      </c>
      <c r="O249" s="694"/>
      <c r="P249" s="625" t="str">
        <f>IF(ISERROR(VLOOKUP(B249,'Base de Datos'!$C$7:$N$315,8,0))=TRUE," ",(VLOOKUP(B249,'Base de Datos'!$C$7:$N$315,8,0)))</f>
        <v xml:space="preserve"> </v>
      </c>
      <c r="Q249" s="730"/>
      <c r="R249" s="625" t="str">
        <f>IF(ISERROR(VLOOKUP(B249,'Base de Datos'!$C$7:$N$315,9,0))=TRUE," ",(VLOOKUP(B249,'Base de Datos'!$C$7:$N$315,9,0)))</f>
        <v xml:space="preserve"> </v>
      </c>
      <c r="S249" s="625" t="str">
        <f>IF(ISERROR(VLOOKUP(B249,'Base de Datos'!$C$7:$N$315,10,0))=TRUE," ",(VLOOKUP(B249,'Base de Datos'!$C$7:$N$315,10,0)))</f>
        <v xml:space="preserve"> </v>
      </c>
      <c r="T249" s="730"/>
      <c r="U249" s="722"/>
      <c r="V249" s="634"/>
    </row>
    <row r="250" spans="2:22" ht="36" outlineLevel="1" x14ac:dyDescent="0.25">
      <c r="B250" s="537">
        <v>212</v>
      </c>
      <c r="C250" s="553">
        <f>IF(ISERROR(VLOOKUP(B250,'Base de Datos'!$C$7:$F$4085,2,0))=TRUE,"",(VLOOKUP('Presupuesto - PAA 2015'!B250,'Base de Datos'!$C$7:$F$4085,2,0)))</f>
        <v>0</v>
      </c>
      <c r="D250" s="617" t="s">
        <v>1924</v>
      </c>
      <c r="E250" s="732"/>
      <c r="F250" s="534">
        <f>VLOOKUP(B250,'Actualizada - presupuesto'!$D$7:$L$111,9,0)</f>
        <v>0</v>
      </c>
      <c r="G250" s="534"/>
      <c r="H250" s="534"/>
      <c r="I250" s="534"/>
      <c r="J250" s="536" t="str">
        <f>IF(ISERROR(VLOOKUP(B250,'Base de Datos'!$C$7:$N$315,6,0))=TRUE,"Sin Celebrar",(VLOOKUP(B250,'Base de Datos'!$C$7:$N$315,6,0)))</f>
        <v>Sin Celebrar</v>
      </c>
      <c r="K250" s="536"/>
      <c r="L250" s="536"/>
      <c r="M250" s="536"/>
      <c r="N250" s="536" t="str">
        <f t="shared" si="14"/>
        <v xml:space="preserve"> </v>
      </c>
      <c r="O250" s="719">
        <f>IF(ISERROR(VLOOKUP(B250,'Base de Datos'!$C$7:$K$1048576,7,0))=TRUE," ",(VLOOKUP(B250,'Base de Datos'!$C$7:$K$1048576,7,0)))</f>
        <v>480000000</v>
      </c>
      <c r="P250" s="551" t="str">
        <f>IF(ISERROR(VLOOKUP(B250,'Base de Datos'!$C$7:$N$315,9,0))=TRUE," ",(VLOOKUP(B250,'Base de Datos'!$C$7:$N$315,9,0)))</f>
        <v xml:space="preserve"> </v>
      </c>
      <c r="Q250" s="533"/>
      <c r="R250" s="556" t="str">
        <f>IF(ISERROR(VLOOKUP(B250,'Base de Datos'!$C$7:$N$315,10,0))=TRUE," ",(VLOOKUP(B250,'Base de Datos'!$C$7:$N$315,10,0)))</f>
        <v xml:space="preserve"> </v>
      </c>
      <c r="S250" s="556" t="str">
        <f>IF(ISERROR(VLOOKUP(B250,'Base de Datos'!$C$7:$N$315,11,0))=TRUE," ",(VLOOKUP(B250,'Base de Datos'!$C$7:$N$315,11,0)))</f>
        <v xml:space="preserve"> </v>
      </c>
      <c r="T250" s="533" t="e">
        <f>VLOOKUP(C250,'Base de Datos'!$E$7:$AR$382,39,0)</f>
        <v>#N/A</v>
      </c>
      <c r="U250" s="722"/>
      <c r="V250" s="634"/>
    </row>
    <row r="251" spans="2:22" outlineLevel="1" x14ac:dyDescent="0.25">
      <c r="B251" s="537"/>
      <c r="C251" s="1200" t="s">
        <v>1925</v>
      </c>
      <c r="D251" s="1200"/>
      <c r="E251" s="619">
        <f>SUM(E252:E260)</f>
        <v>2630558934</v>
      </c>
      <c r="F251" s="621"/>
      <c r="G251" s="621"/>
      <c r="H251" s="621"/>
      <c r="I251" s="621"/>
      <c r="J251" s="619">
        <f>SUM(J252:J260)</f>
        <v>2617883340.1999998</v>
      </c>
      <c r="K251" s="623">
        <f>+J251/E251</f>
        <v>0.99518140664473698</v>
      </c>
      <c r="L251" s="619">
        <f>SUM(L252:L260)</f>
        <v>0</v>
      </c>
      <c r="M251" s="619"/>
      <c r="N251" s="619">
        <f>+E251-J251-L251</f>
        <v>12675593.800000191</v>
      </c>
      <c r="O251" s="694"/>
      <c r="P251" s="625" t="str">
        <f>IF(ISERROR(VLOOKUP(B251,'Base de Datos'!$C$7:$N$315,8,0))=TRUE," ",(VLOOKUP(B251,'Base de Datos'!$C$7:$N$315,8,0)))</f>
        <v xml:space="preserve"> </v>
      </c>
      <c r="Q251" s="730"/>
      <c r="R251" s="625" t="str">
        <f>IF(ISERROR(VLOOKUP(B251,'Base de Datos'!$C$7:$N$315,9,0))=TRUE," ",(VLOOKUP(B251,'Base de Datos'!$C$7:$N$315,9,0)))</f>
        <v xml:space="preserve"> </v>
      </c>
      <c r="S251" s="625" t="str">
        <f>IF(ISERROR(VLOOKUP(B251,'Base de Datos'!$C$7:$N$315,10,0))=TRUE," ",(VLOOKUP(B251,'Base de Datos'!$C$7:$N$315,10,0)))</f>
        <v xml:space="preserve"> </v>
      </c>
      <c r="T251" s="730"/>
      <c r="U251" s="722"/>
      <c r="V251" s="634"/>
    </row>
    <row r="252" spans="2:22" s="615" customFormat="1" ht="15" customHeight="1" outlineLevel="1" x14ac:dyDescent="0.25">
      <c r="B252" s="627">
        <v>70</v>
      </c>
      <c r="C252" s="533" t="str">
        <f>IF(ISERROR(VLOOKUP(B252,'Base de Datos'!$C$7:$F$4092,2,0))=TRUE,"",(VLOOKUP('Presupuesto - PAA 2015'!B252,'Base de Datos'!$C$7:$F$4092,3,0)))</f>
        <v>150321-0-2015</v>
      </c>
      <c r="D252" s="533" t="str">
        <f>IF(ISERROR(VLOOKUP(B252,'Base de Datos'!$C$7:$F$4092,3,0))=TRUE,"",(VLOOKUP('Presupuesto - PAA 2015'!B252,'Base de Datos'!$C$7:$F$4092,4,0)))</f>
        <v>BUSINESSMIND COLOMBIA SA</v>
      </c>
      <c r="E252" s="580">
        <v>31577404</v>
      </c>
      <c r="F252" s="534" t="str">
        <f>VLOOKUP(B252,'Actualizada - presupuesto'!$D$7:$L$111,9,0)</f>
        <v>SI</v>
      </c>
      <c r="G252" s="534"/>
      <c r="H252" s="534"/>
      <c r="I252" s="534"/>
      <c r="J252" s="536">
        <f>IF(ISERROR(VLOOKUP(B252,'Base de Datos'!$C$7:$N$4092,6,0))=TRUE,"Sin Celebrar",(VLOOKUP(B252,'Base de Datos'!$C$7:$N$4092,7,0)))</f>
        <v>31577404</v>
      </c>
      <c r="K252" s="580"/>
      <c r="L252" s="580" t="str">
        <f t="shared" si="15"/>
        <v xml:space="preserve"> </v>
      </c>
      <c r="M252" s="580"/>
      <c r="N252" s="580" t="str">
        <f t="shared" si="14"/>
        <v xml:space="preserve"> </v>
      </c>
      <c r="O252" s="719" t="str">
        <f>IF(ISERROR(VLOOKUP(B252,'Base de Datos'!$C$7:$K$1048576,7,0))=TRUE," ",(VLOOKUP(B252,'Base de Datos'!$C$7:$K$1048576,8,0)))</f>
        <v>SDH-SMINC-043-2015</v>
      </c>
      <c r="P252" s="551">
        <f>IF(ISERROR(VLOOKUP(B252,'Base de Datos'!$C$7:$N$4077,9,0))=TRUE," ",(VLOOKUP(B252,'Base de Datos'!$C$7:$N$4077,10,0)))</f>
        <v>42208</v>
      </c>
      <c r="Q252" s="614" t="s">
        <v>378</v>
      </c>
      <c r="R252" s="551">
        <f>IF(ISERROR(VLOOKUP(B252,'Base de Datos'!$C$7:$N$4077,10,0))=TRUE," ",(VLOOKUP(B252,'Base de Datos'!$C$7:$N$4077,11,0)))</f>
        <v>42221</v>
      </c>
      <c r="S252" s="551">
        <f>IF(ISERROR(VLOOKUP(B252,'Base de Datos'!$C$7:$N$4077,11,0))=TRUE," ",(VLOOKUP(B252,'Base de Datos'!$C$7:$N$4077,12,0)))</f>
        <v>42282</v>
      </c>
      <c r="T252" s="533" t="str">
        <f ca="1">VLOOKUP(C252,'Base de Datos'!$E$7:$AR$382,39,0)</f>
        <v>NO</v>
      </c>
      <c r="U252" s="722"/>
      <c r="V252" s="634"/>
    </row>
    <row r="253" spans="2:22" s="615" customFormat="1" ht="14.25" customHeight="1" outlineLevel="1" x14ac:dyDescent="0.25">
      <c r="B253" s="627">
        <v>71</v>
      </c>
      <c r="C253" s="533" t="str">
        <f>IF(ISERROR(VLOOKUP(B253,'Base de Datos'!$C$7:$F$4092,2,0))=TRUE,"",(VLOOKUP('Presupuesto - PAA 2015'!B253,'Base de Datos'!$C$7:$F$4092,3,0)))</f>
        <v>150254-0-2015</v>
      </c>
      <c r="D253" s="533" t="str">
        <f>IF(ISERROR(VLOOKUP(B253,'Base de Datos'!$C$7:$F$4092,3,0))=TRUE,"",(VLOOKUP('Presupuesto - PAA 2015'!B253,'Base de Datos'!$C$7:$F$4092,4,0)))</f>
        <v>OFICOMCO SAS</v>
      </c>
      <c r="E253" s="580">
        <v>11167296</v>
      </c>
      <c r="F253" s="534" t="str">
        <f>VLOOKUP(B253,'Actualizada - presupuesto'!$D$7:$L$111,9,0)</f>
        <v>SI</v>
      </c>
      <c r="G253" s="534"/>
      <c r="H253" s="534"/>
      <c r="I253" s="534"/>
      <c r="J253" s="536">
        <f>IF(ISERROR(VLOOKUP(B253,'Base de Datos'!$C$7:$N$4092,6,0))=TRUE,"Sin Celebrar",(VLOOKUP(B253,'Base de Datos'!$C$7:$N$4092,7,0)))</f>
        <v>11167296</v>
      </c>
      <c r="K253" s="580"/>
      <c r="L253" s="580" t="str">
        <f t="shared" si="15"/>
        <v xml:space="preserve"> </v>
      </c>
      <c r="M253" s="580"/>
      <c r="N253" s="580" t="str">
        <f t="shared" si="14"/>
        <v xml:space="preserve"> </v>
      </c>
      <c r="O253" s="719" t="str">
        <f>IF(ISERROR(VLOOKUP(B253,'Base de Datos'!$C$7:$K$1048576,7,0))=TRUE," ",(VLOOKUP(B253,'Base de Datos'!$C$7:$K$1048576,8,0)))</f>
        <v>SDH-SMINC-32-2015</v>
      </c>
      <c r="P253" s="551">
        <f>IF(ISERROR(VLOOKUP(B253,'Base de Datos'!$C$7:$N$4077,9,0))=TRUE," ",(VLOOKUP(B253,'Base de Datos'!$C$7:$N$4077,10,0)))</f>
        <v>42167</v>
      </c>
      <c r="Q253" s="614" t="s">
        <v>378</v>
      </c>
      <c r="R253" s="551">
        <f>IF(ISERROR(VLOOKUP(B253,'Base de Datos'!$C$7:$N$4077,10,0))=TRUE," ",(VLOOKUP(B253,'Base de Datos'!$C$7:$N$4077,11,0)))</f>
        <v>42188</v>
      </c>
      <c r="S253" s="551">
        <f>IF(ISERROR(VLOOKUP(B253,'Base de Datos'!$C$7:$N$4077,11,0))=TRUE," ",(VLOOKUP(B253,'Base de Datos'!$C$7:$N$4077,12,0)))</f>
        <v>42250</v>
      </c>
      <c r="T253" s="533" t="str">
        <f ca="1">VLOOKUP(C253,'Base de Datos'!$E$7:$AR$382,39,0)</f>
        <v>NO</v>
      </c>
      <c r="U253" s="722"/>
      <c r="V253" s="634"/>
    </row>
    <row r="254" spans="2:22" s="615" customFormat="1" ht="24" outlineLevel="1" x14ac:dyDescent="0.25">
      <c r="B254" s="627">
        <v>73</v>
      </c>
      <c r="C254" s="553">
        <f>IF(ISERROR(VLOOKUP(B254,'Base de Datos'!$C$7:$F$4085,2,0))=TRUE,"",(VLOOKUP('Presupuesto - PAA 2015'!B254,'Base de Datos'!$C$7:$F$4085,2,0)))</f>
        <v>0</v>
      </c>
      <c r="D254" s="628" t="s">
        <v>1928</v>
      </c>
      <c r="E254" s="732"/>
      <c r="F254" s="534" t="str">
        <f>VLOOKUP(B254,'Actualizada - presupuesto'!$D$7:$L$111,9,0)</f>
        <v>SI</v>
      </c>
      <c r="G254" s="614"/>
      <c r="H254" s="614"/>
      <c r="I254" s="614"/>
      <c r="J254" s="536">
        <f>IF(ISERROR(VLOOKUP(B254,'Base de Datos'!$C$7:$N$4092,6,0))=TRUE,"Sin Celebrar",(VLOOKUP(B254,'Base de Datos'!$C$7:$N$4092,7,0)))</f>
        <v>8320000</v>
      </c>
      <c r="K254" s="580"/>
      <c r="L254" s="580" t="str">
        <f t="shared" si="15"/>
        <v xml:space="preserve"> </v>
      </c>
      <c r="M254" s="614"/>
      <c r="N254" s="580" t="str">
        <f t="shared" si="14"/>
        <v xml:space="preserve"> </v>
      </c>
      <c r="O254" s="719" t="str">
        <f>IF(ISERROR(VLOOKUP(B254,'Base de Datos'!$C$7:$K$1048576,7,0))=TRUE," ",(VLOOKUP(B254,'Base de Datos'!$C$7:$K$1048576,8,0)))</f>
        <v>170186-0-2017</v>
      </c>
      <c r="P254" s="551">
        <f>IF(ISERROR(VLOOKUP(B254,'Base de Datos'!$C$7:$N$4077,9,0))=TRUE," ",(VLOOKUP(B254,'Base de Datos'!$C$7:$N$4077,10,0)))</f>
        <v>42934</v>
      </c>
      <c r="Q254" s="614"/>
      <c r="R254" s="551">
        <f>IF(ISERROR(VLOOKUP(B254,'Base de Datos'!$C$7:$N$4077,10,0))=TRUE," ",(VLOOKUP(B254,'Base de Datos'!$C$7:$N$4077,11,0)))</f>
        <v>42941</v>
      </c>
      <c r="S254" s="551">
        <f>IF(ISERROR(VLOOKUP(B254,'Base de Datos'!$C$7:$N$4077,11,0))=TRUE," ",(VLOOKUP(B254,'Base de Datos'!$C$7:$N$4077,12,0)))</f>
        <v>43215</v>
      </c>
      <c r="T254" s="533" t="e">
        <f>VLOOKUP(C254,'Base de Datos'!$E$7:$AR$382,39,0)</f>
        <v>#N/A</v>
      </c>
      <c r="U254" s="722"/>
      <c r="V254" s="634"/>
    </row>
    <row r="255" spans="2:22" s="615" customFormat="1" outlineLevel="1" x14ac:dyDescent="0.25">
      <c r="B255" s="627">
        <v>74</v>
      </c>
      <c r="C255" s="533" t="str">
        <f>IF(ISERROR(VLOOKUP(B255,'Base de Datos'!$C$7:$F$4092,2,0))=TRUE,"",(VLOOKUP('Presupuesto - PAA 2015'!B255,'Base de Datos'!$C$7:$F$4092,3,0)))</f>
        <v>150382-0-2015</v>
      </c>
      <c r="D255" s="533" t="str">
        <f>IF(ISERROR(VLOOKUP(B255,'Base de Datos'!$C$7:$F$4092,3,0))=TRUE,"",(VLOOKUP('Presupuesto - PAA 2015'!B255,'Base de Datos'!$C$7:$F$4092,4,0)))</f>
        <v>OPENLINK SISTEMAS DE REDES DE DATOS S A S</v>
      </c>
      <c r="E255" s="580">
        <v>1544000000</v>
      </c>
      <c r="F255" s="534" t="s">
        <v>390</v>
      </c>
      <c r="G255" s="614"/>
      <c r="H255" s="614"/>
      <c r="I255" s="614"/>
      <c r="J255" s="536">
        <f>IF(ISERROR(VLOOKUP(B255,'Base de Datos'!$C$7:$N$4092,6,0))=TRUE,"Sin Celebrar",(VLOOKUP(B255,'Base de Datos'!$C$7:$N$4092,7,0)))</f>
        <v>1512217703</v>
      </c>
      <c r="K255" s="580"/>
      <c r="L255" s="580" t="str">
        <f t="shared" si="15"/>
        <v xml:space="preserve"> </v>
      </c>
      <c r="M255" s="614"/>
      <c r="N255" s="580">
        <f t="shared" si="14"/>
        <v>31782297</v>
      </c>
      <c r="O255" s="719" t="str">
        <f>IF(ISERROR(VLOOKUP(B255,'Base de Datos'!$C$7:$K$1048576,7,0))=TRUE," ",(VLOOKUP(B255,'Base de Datos'!$C$7:$K$1048576,8,0)))</f>
        <v>SDH-SIE-14-2015</v>
      </c>
      <c r="P255" s="551">
        <f>IF(ISERROR(VLOOKUP(B255,'Base de Datos'!$C$7:$N$4077,9,0))=TRUE," ",(VLOOKUP(B255,'Base de Datos'!$C$7:$N$4077,10,0)))</f>
        <v>42311</v>
      </c>
      <c r="Q255" s="614"/>
      <c r="R255" s="551">
        <f>IF(ISERROR(VLOOKUP(B255,'Base de Datos'!$C$7:$N$4077,10,0))=TRUE," ",(VLOOKUP(B255,'Base de Datos'!$C$7:$N$4077,11,0)))</f>
        <v>42333</v>
      </c>
      <c r="S255" s="551">
        <f>IF(ISERROR(VLOOKUP(B255,'Base de Datos'!$C$7:$N$4077,11,0))=TRUE," ",(VLOOKUP(B255,'Base de Datos'!$C$7:$N$4077,12,0)))</f>
        <v>42515</v>
      </c>
      <c r="T255" s="533" t="str">
        <f ca="1">VLOOKUP(C255,'Base de Datos'!$E$7:$AR$382,39,0)</f>
        <v>NO</v>
      </c>
      <c r="U255" s="722"/>
      <c r="V255" s="634"/>
    </row>
    <row r="256" spans="2:22" s="615" customFormat="1" ht="17.25" customHeight="1" outlineLevel="1" x14ac:dyDescent="0.25">
      <c r="B256" s="627">
        <v>75</v>
      </c>
      <c r="C256" s="533" t="str">
        <f>IF(ISERROR(VLOOKUP(B256,'Base de Datos'!$C$7:$F$4092,2,0))=TRUE,"",(VLOOKUP('Presupuesto - PAA 2015'!B256,'Base de Datos'!$C$7:$F$4092,3,0)))</f>
        <v>150236-0-2015</v>
      </c>
      <c r="D256" s="533" t="str">
        <f>IF(ISERROR(VLOOKUP(B256,'Base de Datos'!$C$7:$F$4092,3,0))=TRUE,"",(VLOOKUP('Presupuesto - PAA 2015'!B256,'Base de Datos'!$C$7:$F$4092,4,0)))</f>
        <v>SISTEG SAS</v>
      </c>
      <c r="E256" s="580">
        <v>8086410</v>
      </c>
      <c r="F256" s="534" t="str">
        <f>VLOOKUP(B256,'Actualizada - presupuesto'!$D$7:$L$111,9,0)</f>
        <v>SI</v>
      </c>
      <c r="G256" s="614"/>
      <c r="H256" s="614"/>
      <c r="I256" s="614"/>
      <c r="J256" s="536">
        <f>IF(ISERROR(VLOOKUP(B256,'Base de Datos'!$C$7:$N$4092,6,0))=TRUE,"Sin Celebrar",(VLOOKUP(B256,'Base de Datos'!$C$7:$N$4092,7,0)))</f>
        <v>8086410</v>
      </c>
      <c r="K256" s="580"/>
      <c r="L256" s="580" t="str">
        <f t="shared" si="15"/>
        <v xml:space="preserve"> </v>
      </c>
      <c r="M256" s="614"/>
      <c r="N256" s="580" t="str">
        <f t="shared" si="14"/>
        <v xml:space="preserve"> </v>
      </c>
      <c r="O256" s="719" t="str">
        <f>IF(ISERROR(VLOOKUP(B256,'Base de Datos'!$C$7:$K$1048576,7,0))=TRUE," ",(VLOOKUP(B256,'Base de Datos'!$C$7:$K$1048576,8,0)))</f>
        <v>SDH-SMINC-30-2015</v>
      </c>
      <c r="P256" s="551">
        <f>IF(ISERROR(VLOOKUP(B256,'Base de Datos'!$C$7:$N$4077,9,0))=TRUE," ",(VLOOKUP(B256,'Base de Datos'!$C$7:$N$4077,10,0)))</f>
        <v>42152</v>
      </c>
      <c r="Q256" s="533" t="s">
        <v>378</v>
      </c>
      <c r="R256" s="551">
        <f>IF(ISERROR(VLOOKUP(B256,'Base de Datos'!$C$7:$N$4077,10,0))=TRUE," ",(VLOOKUP(B256,'Base de Datos'!$C$7:$N$4077,11,0)))</f>
        <v>42165</v>
      </c>
      <c r="S256" s="551">
        <f>IF(ISERROR(VLOOKUP(B256,'Base de Datos'!$C$7:$N$4077,11,0))=TRUE," ",(VLOOKUP(B256,'Base de Datos'!$C$7:$N$4077,12,0)))</f>
        <v>42226</v>
      </c>
      <c r="T256" s="533" t="str">
        <f ca="1">VLOOKUP(C256,'Base de Datos'!$E$7:$AR$382,39,0)</f>
        <v>NO</v>
      </c>
      <c r="U256" s="722"/>
      <c r="V256" s="634"/>
    </row>
    <row r="257" spans="2:22" s="615" customFormat="1" outlineLevel="1" x14ac:dyDescent="0.25">
      <c r="B257" s="627">
        <v>314</v>
      </c>
      <c r="C257" s="533" t="str">
        <f>IF(ISERROR(VLOOKUP(B257,'Base de Datos'!$C$7:$F$4092,2,0))=TRUE,"",(VLOOKUP('Presupuesto - PAA 2015'!B257,'Base de Datos'!$C$7:$F$4092,3,0)))</f>
        <v>150308-0-2015</v>
      </c>
      <c r="D257" s="533" t="str">
        <f>IF(ISERROR(VLOOKUP(B257,'Base de Datos'!$C$7:$F$4092,3,0))=TRUE,"",(VLOOKUP('Presupuesto - PAA 2015'!B257,'Base de Datos'!$C$7:$F$4092,4,0)))</f>
        <v xml:space="preserve">ARANDA SOFTWARE ANDINA SAS  </v>
      </c>
      <c r="E257" s="630">
        <v>30000000</v>
      </c>
      <c r="F257" s="534" t="s">
        <v>390</v>
      </c>
      <c r="G257" s="614"/>
      <c r="H257" s="614"/>
      <c r="I257" s="614"/>
      <c r="J257" s="580">
        <v>30000000</v>
      </c>
      <c r="K257" s="614"/>
      <c r="L257" s="580" t="str">
        <f t="shared" si="15"/>
        <v xml:space="preserve"> </v>
      </c>
      <c r="M257" s="614"/>
      <c r="N257" s="580" t="str">
        <f t="shared" si="14"/>
        <v xml:space="preserve"> </v>
      </c>
      <c r="O257" s="719" t="str">
        <f>IF(ISERROR(VLOOKUP(B257,'Base de Datos'!$C$7:$K$1048576,7,0))=TRUE," ",(VLOOKUP(B257,'Base de Datos'!$C$7:$K$1048576,8,0)))</f>
        <v>150308-0-2015</v>
      </c>
      <c r="P257" s="551">
        <f>IF(ISERROR(VLOOKUP(B257,'Base de Datos'!$C$7:$N$4077,9,0))=TRUE," ",(VLOOKUP(B257,'Base de Datos'!$C$7:$N$4077,10,0)))</f>
        <v>42193</v>
      </c>
      <c r="Q257" s="614"/>
      <c r="R257" s="551">
        <f>IF(ISERROR(VLOOKUP(B257,'Base de Datos'!$C$7:$N$4077,10,0))=TRUE," ",(VLOOKUP(B257,'Base de Datos'!$C$7:$N$4077,11,0)))</f>
        <v>42199</v>
      </c>
      <c r="S257" s="551">
        <f>IF(ISERROR(VLOOKUP(B257,'Base de Datos'!$C$7:$N$4077,11,0))=TRUE," ",(VLOOKUP(B257,'Base de Datos'!$C$7:$N$4077,12,0)))</f>
        <v>42565</v>
      </c>
      <c r="T257" s="533" t="str">
        <f ca="1">VLOOKUP(C257,'Base de Datos'!$E$7:$AR$382,39,0)</f>
        <v>NO</v>
      </c>
      <c r="U257" s="722"/>
      <c r="V257" s="634"/>
    </row>
    <row r="258" spans="2:22" s="615" customFormat="1" outlineLevel="1" x14ac:dyDescent="0.25">
      <c r="B258" s="627">
        <v>325</v>
      </c>
      <c r="C258" s="533" t="str">
        <f>IF(ISERROR(VLOOKUP(B258,'Base de Datos'!$C$7:$F$4092,2,0))=TRUE,"",(VLOOKUP('Presupuesto - PAA 2015'!B258,'Base de Datos'!$C$7:$F$4092,3,0)))</f>
        <v>150346-0-2015</v>
      </c>
      <c r="D258" s="533" t="str">
        <f>IF(ISERROR(VLOOKUP(B258,'Base de Datos'!$C$7:$F$4092,3,0))=TRUE,"",(VLOOKUP('Presupuesto - PAA 2015'!B258,'Base de Datos'!$C$7:$F$4092,4,0)))</f>
        <v>JOHN KENNEDY LEON CASTIBLANCO</v>
      </c>
      <c r="E258" s="630">
        <v>33000000</v>
      </c>
      <c r="F258" s="534" t="s">
        <v>390</v>
      </c>
      <c r="G258" s="614"/>
      <c r="H258" s="614"/>
      <c r="I258" s="614"/>
      <c r="J258" s="536">
        <f>IF(ISERROR(VLOOKUP(B258,'Base de Datos'!$C$7:$N$4092,6,0))=TRUE,"Sin Celebrar",(VLOOKUP(B258,'Base de Datos'!$C$7:$N$4092,7,0)))</f>
        <v>33000000</v>
      </c>
      <c r="K258" s="614"/>
      <c r="L258" s="580" t="str">
        <f t="shared" si="15"/>
        <v xml:space="preserve"> </v>
      </c>
      <c r="M258" s="614"/>
      <c r="N258" s="580" t="str">
        <f t="shared" si="14"/>
        <v xml:space="preserve"> </v>
      </c>
      <c r="O258" s="719" t="str">
        <f>IF(ISERROR(VLOOKUP(B258,'Base de Datos'!$C$7:$K$1048576,7,0))=TRUE," ",(VLOOKUP(B258,'Base de Datos'!$C$7:$K$1048576,8,0)))</f>
        <v>150346-0-2015</v>
      </c>
      <c r="P258" s="551">
        <f>IF(ISERROR(VLOOKUP(B258,'Base de Datos'!$C$7:$N$4077,9,0))=TRUE," ",(VLOOKUP(B258,'Base de Datos'!$C$7:$N$4077,10,0)))</f>
        <v>42244</v>
      </c>
      <c r="Q258" s="614"/>
      <c r="R258" s="551">
        <f>IF(ISERROR(VLOOKUP(B258,'Base de Datos'!$C$7:$N$4077,10,0))=TRUE," ",(VLOOKUP(B258,'Base de Datos'!$C$7:$N$4077,11,0)))</f>
        <v>42249</v>
      </c>
      <c r="S258" s="551">
        <f>IF(ISERROR(VLOOKUP(B258,'Base de Datos'!$C$7:$N$4077,11,0))=TRUE," ",(VLOOKUP(B258,'Base de Datos'!$C$7:$N$4077,12,0)))</f>
        <v>42431</v>
      </c>
      <c r="T258" s="533" t="str">
        <f ca="1">VLOOKUP(C258,'Base de Datos'!$E$7:$AR$382,39,0)</f>
        <v>NO</v>
      </c>
      <c r="U258" s="722"/>
      <c r="V258" s="634"/>
    </row>
    <row r="259" spans="2:22" s="615" customFormat="1" outlineLevel="1" x14ac:dyDescent="0.25">
      <c r="B259" s="627">
        <v>326</v>
      </c>
      <c r="C259" s="533" t="str">
        <f>IF(ISERROR(VLOOKUP(B259,'Base de Datos'!$C$7:$F$4092,2,0))=TRUE,"",(VLOOKUP('Presupuesto - PAA 2015'!B259,'Base de Datos'!$C$7:$F$4092,3,0)))</f>
        <v>150340-0-2015</v>
      </c>
      <c r="D259" s="533" t="str">
        <f>IF(ISERROR(VLOOKUP(B259,'Base de Datos'!$C$7:$F$4092,3,0))=TRUE,"",(VLOOKUP('Presupuesto - PAA 2015'!B259,'Base de Datos'!$C$7:$F$4092,4,0)))</f>
        <v>RICOH COLOMBIA S.A.</v>
      </c>
      <c r="E259" s="630">
        <v>72727824</v>
      </c>
      <c r="F259" s="534" t="s">
        <v>390</v>
      </c>
      <c r="G259" s="614"/>
      <c r="H259" s="614"/>
      <c r="I259" s="614"/>
      <c r="J259" s="536">
        <f>IF(ISERROR(VLOOKUP(B259,'Base de Datos'!$C$7:$N$4092,6,0))=TRUE,"Sin Celebrar",(VLOOKUP(B259,'Base de Datos'!$C$7:$N$4092,7,0)))</f>
        <v>72727824</v>
      </c>
      <c r="K259" s="614"/>
      <c r="L259" s="580" t="str">
        <f t="shared" si="15"/>
        <v xml:space="preserve"> </v>
      </c>
      <c r="M259" s="614"/>
      <c r="N259" s="580" t="str">
        <f t="shared" si="14"/>
        <v xml:space="preserve"> </v>
      </c>
      <c r="O259" s="719" t="str">
        <f>IF(ISERROR(VLOOKUP(B259,'Base de Datos'!$C$7:$K$1048576,7,0))=TRUE," ",(VLOOKUP(B259,'Base de Datos'!$C$7:$K$1048576,8,0)))</f>
        <v>150340-0-2015</v>
      </c>
      <c r="P259" s="551">
        <f>IF(ISERROR(VLOOKUP(B259,'Base de Datos'!$C$7:$N$4077,9,0))=TRUE," ",(VLOOKUP(B259,'Base de Datos'!$C$7:$N$4077,10,0)))</f>
        <v>42236</v>
      </c>
      <c r="Q259" s="614"/>
      <c r="R259" s="551">
        <f>IF(ISERROR(VLOOKUP(B259,'Base de Datos'!$C$7:$N$4077,10,0))=TRUE," ",(VLOOKUP(B259,'Base de Datos'!$C$7:$N$4077,11,0)))</f>
        <v>42244</v>
      </c>
      <c r="S259" s="551">
        <f>IF(ISERROR(VLOOKUP(B259,'Base de Datos'!$C$7:$N$4077,11,0))=TRUE," ",(VLOOKUP(B259,'Base de Datos'!$C$7:$N$4077,12,0)))</f>
        <v>42305</v>
      </c>
      <c r="T259" s="533" t="str">
        <f ca="1">VLOOKUP(C259,'Base de Datos'!$E$7:$AR$382,39,0)</f>
        <v>NO</v>
      </c>
      <c r="U259" s="722"/>
      <c r="V259" s="634"/>
    </row>
    <row r="260" spans="2:22" s="615" customFormat="1" outlineLevel="1" x14ac:dyDescent="0.25">
      <c r="B260" s="627">
        <v>365</v>
      </c>
      <c r="C260" s="533" t="str">
        <f>IF(ISERROR(VLOOKUP(B260,'Base de Datos'!$C$7:$F$4092,2,0))=TRUE,"",(VLOOKUP('Presupuesto - PAA 2015'!B260,'Base de Datos'!$C$7:$F$4092,3,0)))</f>
        <v>150397-0-2015</v>
      </c>
      <c r="D260" s="533" t="str">
        <f>IF(ISERROR(VLOOKUP(B260,'Base de Datos'!$C$7:$F$4092,3,0))=TRUE,"",(VLOOKUP('Presupuesto - PAA 2015'!B260,'Base de Datos'!$C$7:$F$4092,4,0)))</f>
        <v>ORACLE COLOMBIA LTDA</v>
      </c>
      <c r="E260" s="630">
        <v>900000000</v>
      </c>
      <c r="F260" s="534" t="s">
        <v>390</v>
      </c>
      <c r="G260" s="614"/>
      <c r="H260" s="614"/>
      <c r="I260" s="614"/>
      <c r="J260" s="536">
        <f>IF(ISERROR(VLOOKUP(B260,'Base de Datos'!$C$7:$N$4092,6,0))=TRUE,"Sin Celebrar",(VLOOKUP(B260,'Base de Datos'!$C$7:$N$4092,7,0)))</f>
        <v>910786703.20000005</v>
      </c>
      <c r="K260" s="614"/>
      <c r="L260" s="580" t="str">
        <f>IF(J260=$AA$1,E260, " ")</f>
        <v xml:space="preserve"> </v>
      </c>
      <c r="M260" s="614"/>
      <c r="N260" s="580" t="str">
        <f>IF(J260&lt;E260,(E260-J260)," ")</f>
        <v xml:space="preserve"> </v>
      </c>
      <c r="O260" s="719" t="str">
        <f>IF(ISERROR(VLOOKUP(B260,'Base de Datos'!$C$7:$K$1048576,7,0))=TRUE," ",(VLOOKUP(B260,'Base de Datos'!$C$7:$K$1048576,8,0)))</f>
        <v>CCE-211-AG-2015</v>
      </c>
      <c r="P260" s="551">
        <f>IF(ISERROR(VLOOKUP(B260,'Base de Datos'!$C$7:$N$4077,9,0))=TRUE," ",(VLOOKUP(B260,'Base de Datos'!$C$7:$N$4077,10,0)))</f>
        <v>42341</v>
      </c>
      <c r="Q260" s="614" t="s">
        <v>382</v>
      </c>
      <c r="R260" s="551">
        <f>IF(ISERROR(VLOOKUP(B260,'Base de Datos'!$C$7:$N$4077,10,0))=TRUE," ",(VLOOKUP(B260,'Base de Datos'!$C$7:$N$4077,11,0)))</f>
        <v>42341</v>
      </c>
      <c r="S260" s="551">
        <f>IF(ISERROR(VLOOKUP(B260,'Base de Datos'!$C$7:$N$4077,11,0))=TRUE," ",(VLOOKUP(B260,'Base de Datos'!$C$7:$N$4077,12,0)))</f>
        <v>42524</v>
      </c>
      <c r="T260" s="533" t="s">
        <v>1992</v>
      </c>
      <c r="U260" s="722"/>
      <c r="V260" s="634"/>
    </row>
    <row r="261" spans="2:22" s="615" customFormat="1" outlineLevel="1" x14ac:dyDescent="0.25">
      <c r="B261" s="627">
        <v>365</v>
      </c>
      <c r="C261" s="533" t="s">
        <v>2375</v>
      </c>
      <c r="D261" s="533" t="s">
        <v>2362</v>
      </c>
      <c r="E261" s="630"/>
      <c r="F261" s="534"/>
      <c r="G261" s="614"/>
      <c r="H261" s="614"/>
      <c r="I261" s="614"/>
      <c r="J261" s="536">
        <v>295840339</v>
      </c>
      <c r="K261" s="614"/>
      <c r="L261" s="580"/>
      <c r="M261" s="614"/>
      <c r="N261" s="580"/>
      <c r="O261" s="719" t="s">
        <v>2363</v>
      </c>
      <c r="P261" s="551">
        <v>42349</v>
      </c>
      <c r="Q261" s="614" t="s">
        <v>382</v>
      </c>
      <c r="R261" s="551"/>
      <c r="S261" s="551"/>
      <c r="T261" s="533"/>
      <c r="U261" s="722"/>
      <c r="V261" s="634"/>
    </row>
    <row r="262" spans="2:22" s="615" customFormat="1" outlineLevel="1" x14ac:dyDescent="0.25">
      <c r="B262" s="627">
        <v>365</v>
      </c>
      <c r="C262" s="533" t="s">
        <v>2373</v>
      </c>
      <c r="D262" s="533" t="s">
        <v>2362</v>
      </c>
      <c r="E262" s="630"/>
      <c r="F262" s="534"/>
      <c r="G262" s="614"/>
      <c r="H262" s="614"/>
      <c r="I262" s="614"/>
      <c r="J262" s="536">
        <v>188315358.83000001</v>
      </c>
      <c r="K262" s="614"/>
      <c r="L262" s="580"/>
      <c r="M262" s="614"/>
      <c r="N262" s="580"/>
      <c r="O262" s="719" t="s">
        <v>2363</v>
      </c>
      <c r="P262" s="551">
        <v>42349</v>
      </c>
      <c r="Q262" s="614" t="s">
        <v>382</v>
      </c>
      <c r="R262" s="551"/>
      <c r="S262" s="551"/>
      <c r="T262" s="533"/>
      <c r="U262" s="722"/>
      <c r="V262" s="634"/>
    </row>
    <row r="263" spans="2:22" s="615" customFormat="1" outlineLevel="1" x14ac:dyDescent="0.25">
      <c r="B263" s="614"/>
      <c r="C263" s="614"/>
      <c r="D263" s="614"/>
      <c r="E263" s="630"/>
      <c r="F263" s="614"/>
      <c r="G263" s="614"/>
      <c r="H263" s="614"/>
      <c r="I263" s="614"/>
      <c r="J263" s="614"/>
      <c r="K263" s="614"/>
      <c r="L263" s="614"/>
      <c r="M263" s="614"/>
      <c r="N263" s="630"/>
      <c r="O263" s="695"/>
      <c r="P263" s="629"/>
      <c r="Q263" s="614"/>
      <c r="R263" s="614"/>
      <c r="S263" s="614"/>
      <c r="T263" s="614"/>
      <c r="U263" s="722"/>
      <c r="V263" s="634"/>
    </row>
    <row r="264" spans="2:22" outlineLevel="1" x14ac:dyDescent="0.25">
      <c r="B264" s="533"/>
      <c r="C264" s="1200" t="s">
        <v>1933</v>
      </c>
      <c r="D264" s="1200"/>
      <c r="E264" s="620">
        <f>+E265</f>
        <v>4174276985</v>
      </c>
      <c r="F264" s="730"/>
      <c r="G264" s="730"/>
      <c r="H264" s="730"/>
      <c r="I264" s="730"/>
      <c r="J264" s="620">
        <f>SUM(J265)</f>
        <v>4174276985</v>
      </c>
      <c r="K264" s="623">
        <f>+J264/E264</f>
        <v>1</v>
      </c>
      <c r="L264" s="620">
        <f>SUM(L265)</f>
        <v>0</v>
      </c>
      <c r="M264" s="730"/>
      <c r="N264" s="620" t="str">
        <f>+N265</f>
        <v xml:space="preserve"> </v>
      </c>
      <c r="O264" s="696"/>
      <c r="P264" s="626"/>
      <c r="Q264" s="730"/>
      <c r="R264" s="730"/>
      <c r="S264" s="730"/>
      <c r="T264" s="730"/>
      <c r="U264" s="722"/>
      <c r="V264" s="634"/>
    </row>
    <row r="265" spans="2:22" ht="24" outlineLevel="1" x14ac:dyDescent="0.25">
      <c r="B265" s="537">
        <v>210</v>
      </c>
      <c r="C265" s="533" t="str">
        <f>IF(ISERROR(VLOOKUP(B265,'Base de Datos'!$C$7:$F$4092,2,0))=TRUE,"",(VLOOKUP('Presupuesto - PAA 2015'!B265,'Base de Datos'!$C$7:$F$4092,3,0)))</f>
        <v>150198-0-2015</v>
      </c>
      <c r="D265" s="533" t="str">
        <f>IF(ISERROR(VLOOKUP(B265,'Base de Datos'!$C$7:$F$4092,3,0))=TRUE,"",(VLOOKUP('Presupuesto - PAA 2015'!B265,'Base de Datos'!$C$7:$F$4092,4,0)))</f>
        <v>UNIDAD NACIONAL DE PROTECCIÓN UNP</v>
      </c>
      <c r="E265" s="536">
        <v>4174276985</v>
      </c>
      <c r="F265" s="534" t="str">
        <f>VLOOKUP(B265,'Actualizada - presupuesto'!$D$7:$L$111,9,0)</f>
        <v>SI</v>
      </c>
      <c r="G265" s="533"/>
      <c r="H265" s="533"/>
      <c r="I265" s="533"/>
      <c r="J265" s="536">
        <f>IF(ISERROR(VLOOKUP(B265,'Base de Datos'!$C$7:$N$4092,6,0))=TRUE,"Sin Celebrar",(VLOOKUP(B265,'Base de Datos'!$C$7:$N$4092,7,0)))</f>
        <v>4174276985</v>
      </c>
      <c r="K265" s="536"/>
      <c r="L265" s="536" t="str">
        <f>IF(J265=$AA$1,E265, " ")</f>
        <v xml:space="preserve"> </v>
      </c>
      <c r="M265" s="533"/>
      <c r="N265" s="536" t="str">
        <f>IF(J265&lt;E265,(E265-J265)," ")</f>
        <v xml:space="preserve"> </v>
      </c>
      <c r="O265" s="719" t="str">
        <f>IF(ISERROR(VLOOKUP(B265,'Base de Datos'!$C$7:$K$1048576,7,0))=TRUE," ",(VLOOKUP(B265,'Base de Datos'!$C$7:$K$1048576,8,0)))</f>
        <v>150198-0-2015</v>
      </c>
      <c r="P265" s="551">
        <f>IF(ISERROR(VLOOKUP(B265,'Base de Datos'!$C$7:$N$4077,9,0))=TRUE," ",(VLOOKUP(B265,'Base de Datos'!$C$7:$N$4077,10,0)))</f>
        <v>42117</v>
      </c>
      <c r="Q265" s="533" t="s">
        <v>2093</v>
      </c>
      <c r="R265" s="551">
        <f>IF(ISERROR(VLOOKUP(B265,'Base de Datos'!$C$7:$N$4077,10,0))=TRUE," ",(VLOOKUP(B265,'Base de Datos'!$C$7:$N$4077,11,0)))</f>
        <v>42117</v>
      </c>
      <c r="S265" s="551">
        <f>IF(ISERROR(VLOOKUP(B265,'Base de Datos'!$C$7:$N$4077,11,0))=TRUE," ",(VLOOKUP(B265,'Base de Datos'!$C$7:$N$4077,12,0)))</f>
        <v>42468</v>
      </c>
      <c r="T265" s="533" t="str">
        <f ca="1">VLOOKUP(C265,'Base de Datos'!$E$7:$AR$382,39,0)</f>
        <v>NO</v>
      </c>
      <c r="U265" s="722"/>
      <c r="V265" s="634"/>
    </row>
    <row r="266" spans="2:22" outlineLevel="1" x14ac:dyDescent="0.25">
      <c r="B266" s="762"/>
      <c r="C266" s="763"/>
      <c r="D266" s="763"/>
      <c r="E266" s="764"/>
      <c r="F266" s="765"/>
      <c r="G266" s="763"/>
      <c r="H266" s="763"/>
      <c r="I266" s="763"/>
      <c r="J266" s="764"/>
      <c r="K266" s="764"/>
      <c r="L266" s="764"/>
      <c r="M266" s="763"/>
      <c r="N266" s="764"/>
      <c r="O266" s="766"/>
      <c r="P266" s="767"/>
      <c r="Q266" s="763"/>
      <c r="R266" s="767"/>
      <c r="S266" s="767"/>
      <c r="T266" s="763"/>
      <c r="U266" s="722"/>
      <c r="V266" s="634"/>
    </row>
    <row r="267" spans="2:22" outlineLevel="1" x14ac:dyDescent="0.25">
      <c r="B267" s="762"/>
      <c r="C267" s="763"/>
      <c r="D267" s="763"/>
      <c r="E267" s="764"/>
      <c r="F267" s="765"/>
      <c r="G267" s="763"/>
      <c r="H267" s="763"/>
      <c r="I267" s="763"/>
      <c r="J267" s="764"/>
      <c r="K267" s="764"/>
      <c r="L267" s="764"/>
      <c r="M267" s="763"/>
      <c r="N267" s="764"/>
      <c r="O267" s="766"/>
      <c r="P267" s="767"/>
      <c r="Q267" s="763"/>
      <c r="R267" s="767"/>
      <c r="S267" s="767"/>
      <c r="T267" s="763"/>
      <c r="U267" s="722"/>
      <c r="V267" s="634"/>
    </row>
    <row r="268" spans="2:22" outlineLevel="1" x14ac:dyDescent="0.25">
      <c r="B268" s="762"/>
      <c r="C268" s="763"/>
      <c r="D268" s="763"/>
      <c r="E268" s="764"/>
      <c r="F268" s="765"/>
      <c r="G268" s="763"/>
      <c r="H268" s="763"/>
      <c r="I268" s="763"/>
      <c r="J268" s="764"/>
      <c r="K268" s="764"/>
      <c r="L268" s="764"/>
      <c r="M268" s="763"/>
      <c r="N268" s="764"/>
      <c r="O268" s="766"/>
      <c r="P268" s="767"/>
      <c r="Q268" s="763"/>
      <c r="R268" s="767"/>
      <c r="S268" s="767"/>
      <c r="T268" s="763"/>
      <c r="U268" s="722"/>
      <c r="V268" s="634"/>
    </row>
    <row r="269" spans="2:22" x14ac:dyDescent="0.25">
      <c r="R269" s="697"/>
    </row>
    <row r="270" spans="2:22" ht="36" hidden="1" x14ac:dyDescent="0.25">
      <c r="B270" s="1186" t="s">
        <v>2126</v>
      </c>
      <c r="C270" s="1186"/>
      <c r="D270" s="1186"/>
      <c r="E270" s="734"/>
      <c r="F270" s="738" t="str">
        <f>+F271</f>
        <v>Valor total con adiciones</v>
      </c>
      <c r="G270" s="734" t="str">
        <f t="shared" ref="G270:T270" si="16">+G271</f>
        <v>Presupuesto Inicial</v>
      </c>
      <c r="H270" s="734" t="str">
        <f t="shared" si="16"/>
        <v>Presupuesto Modificado</v>
      </c>
      <c r="I270" s="734" t="str">
        <f t="shared" si="16"/>
        <v>Presupuesto Disponible (04-05-15)</v>
      </c>
      <c r="J270" s="739" t="str">
        <f t="shared" si="16"/>
        <v>Valor con Autorización de Giro</v>
      </c>
      <c r="K270" s="735" t="str">
        <f t="shared" si="16"/>
        <v>% EJE</v>
      </c>
      <c r="L270" s="734" t="str">
        <f t="shared" si="16"/>
        <v xml:space="preserve">SALDOS  </v>
      </c>
      <c r="M270" s="736"/>
      <c r="N270" s="734" t="str">
        <f t="shared" si="16"/>
        <v>SALDOS A LIBERAR</v>
      </c>
      <c r="O270" s="734" t="str">
        <f t="shared" si="16"/>
        <v>Estado</v>
      </c>
      <c r="P270" s="734" t="str">
        <f t="shared" si="16"/>
        <v>Observaciones</v>
      </c>
      <c r="Q270" s="734" t="str">
        <f t="shared" si="16"/>
        <v>Plazo de ejecución</v>
      </c>
      <c r="R270" s="734" t="str">
        <f t="shared" si="16"/>
        <v>Fecha de Inicio</v>
      </c>
      <c r="S270" s="734" t="str">
        <f t="shared" si="16"/>
        <v>Fecha de terminación</v>
      </c>
      <c r="T270" s="734" t="str">
        <f t="shared" si="16"/>
        <v>Responsable FC</v>
      </c>
    </row>
    <row r="271" spans="2:22" ht="36" hidden="1" x14ac:dyDescent="0.25">
      <c r="B271" s="1185" t="s">
        <v>1783</v>
      </c>
      <c r="C271" s="1185"/>
      <c r="D271" s="1185"/>
      <c r="E271" s="729" t="s">
        <v>2129</v>
      </c>
      <c r="F271" s="729" t="s">
        <v>2130</v>
      </c>
      <c r="G271" s="729" t="s">
        <v>1897</v>
      </c>
      <c r="H271" s="729" t="s">
        <v>1898</v>
      </c>
      <c r="I271" s="729" t="s">
        <v>1840</v>
      </c>
      <c r="J271" s="729" t="s">
        <v>2131</v>
      </c>
      <c r="K271" s="716" t="s">
        <v>1900</v>
      </c>
      <c r="L271" s="729" t="s">
        <v>2135</v>
      </c>
      <c r="M271" s="729" t="s">
        <v>1902</v>
      </c>
      <c r="N271" s="729" t="s">
        <v>1904</v>
      </c>
      <c r="O271" s="717" t="s">
        <v>2134</v>
      </c>
      <c r="P271" s="718" t="s">
        <v>1818</v>
      </c>
      <c r="Q271" s="729" t="s">
        <v>1848</v>
      </c>
      <c r="R271" s="729" t="s">
        <v>1849</v>
      </c>
      <c r="S271" s="729" t="s">
        <v>375</v>
      </c>
      <c r="T271" s="729" t="s">
        <v>1850</v>
      </c>
    </row>
    <row r="272" spans="2:22" hidden="1" x14ac:dyDescent="0.25">
      <c r="B272" s="1183" t="s">
        <v>1686</v>
      </c>
      <c r="C272" s="1183"/>
      <c r="D272" s="1183"/>
      <c r="E272" s="541">
        <f>+E273+E383</f>
        <v>16001697633</v>
      </c>
      <c r="F272" s="541">
        <f>+F273+F383</f>
        <v>17754440578</v>
      </c>
      <c r="G272" s="541"/>
      <c r="H272" s="541"/>
      <c r="I272" s="541">
        <f>+I273+I496</f>
        <v>730500000</v>
      </c>
      <c r="J272" s="541">
        <f>+J273+J383</f>
        <v>16073453549.200001</v>
      </c>
      <c r="K272" s="646">
        <f>+J272/E272</f>
        <v>1.0044842689723132</v>
      </c>
      <c r="L272" s="541">
        <f>+L273+L383</f>
        <v>546451496</v>
      </c>
      <c r="M272" s="541">
        <f>+M273+M521</f>
        <v>-10300000</v>
      </c>
      <c r="N272" s="541">
        <f ca="1">+N273+N383</f>
        <v>0</v>
      </c>
      <c r="O272" s="674"/>
      <c r="P272" s="651"/>
      <c r="Q272" s="571"/>
      <c r="R272" s="571"/>
      <c r="S272" s="571"/>
      <c r="T272" s="571"/>
    </row>
    <row r="273" spans="2:20" hidden="1" x14ac:dyDescent="0.25">
      <c r="B273" s="1183" t="s">
        <v>1684</v>
      </c>
      <c r="C273" s="1183"/>
      <c r="D273" s="1183"/>
      <c r="E273" s="541">
        <f>+E274+E289</f>
        <v>12961700936</v>
      </c>
      <c r="F273" s="541">
        <f>+F274+F289</f>
        <v>13698835881</v>
      </c>
      <c r="G273" s="541">
        <f>+G274+G332</f>
        <v>858500000</v>
      </c>
      <c r="H273" s="541">
        <f>+H274+H332</f>
        <v>128000000</v>
      </c>
      <c r="I273" s="541">
        <f>+I274+I332</f>
        <v>730500000</v>
      </c>
      <c r="J273" s="541">
        <f>+J274+J289</f>
        <v>12192652851.200001</v>
      </c>
      <c r="K273" s="646">
        <f>+J273/E273</f>
        <v>0.9406676570770095</v>
      </c>
      <c r="L273" s="541">
        <f>+L274+L289</f>
        <v>371647497</v>
      </c>
      <c r="M273" s="541">
        <f>+M274+M325</f>
        <v>-10300000</v>
      </c>
      <c r="N273" s="541">
        <f ca="1">+N274+N289</f>
        <v>0</v>
      </c>
      <c r="O273" s="674"/>
      <c r="P273" s="572"/>
      <c r="Q273" s="571"/>
      <c r="R273" s="571"/>
      <c r="S273" s="571"/>
      <c r="T273" s="571"/>
    </row>
    <row r="274" spans="2:20" hidden="1" x14ac:dyDescent="0.25">
      <c r="B274" s="1182" t="s">
        <v>1683</v>
      </c>
      <c r="C274" s="1182"/>
      <c r="D274" s="1182"/>
      <c r="E274" s="539">
        <f>+E275</f>
        <v>256100000</v>
      </c>
      <c r="F274" s="631">
        <f>+F275</f>
        <v>266400000</v>
      </c>
      <c r="G274" s="539">
        <f t="shared" ref="G274:I275" si="17">+G275</f>
        <v>858500000</v>
      </c>
      <c r="H274" s="539">
        <f t="shared" si="17"/>
        <v>128000000</v>
      </c>
      <c r="I274" s="539">
        <f t="shared" si="17"/>
        <v>730500000</v>
      </c>
      <c r="J274" s="539">
        <f>+J275</f>
        <v>237453332</v>
      </c>
      <c r="K274" s="602">
        <f>+J274/E274</f>
        <v>0.92718989457243262</v>
      </c>
      <c r="L274" s="539">
        <f t="shared" ref="L274:N275" si="18">+L275</f>
        <v>28946668</v>
      </c>
      <c r="M274" s="539">
        <f t="shared" si="18"/>
        <v>-10300000</v>
      </c>
      <c r="N274" s="539">
        <f t="shared" ca="1" si="18"/>
        <v>0</v>
      </c>
      <c r="O274" s="675"/>
      <c r="P274" s="570"/>
      <c r="Q274" s="569"/>
      <c r="R274" s="569"/>
      <c r="S274" s="569"/>
      <c r="T274" s="569"/>
    </row>
    <row r="275" spans="2:20" hidden="1" x14ac:dyDescent="0.25">
      <c r="B275" s="1182" t="s">
        <v>1682</v>
      </c>
      <c r="C275" s="1182"/>
      <c r="D275" s="1182"/>
      <c r="E275" s="539">
        <f>+E276+E285</f>
        <v>256100000</v>
      </c>
      <c r="F275" s="539">
        <f>+F276+F285</f>
        <v>266400000</v>
      </c>
      <c r="G275" s="539">
        <f t="shared" si="17"/>
        <v>858500000</v>
      </c>
      <c r="H275" s="539">
        <f t="shared" si="17"/>
        <v>128000000</v>
      </c>
      <c r="I275" s="539">
        <f t="shared" si="17"/>
        <v>730500000</v>
      </c>
      <c r="J275" s="539">
        <f>+J276+J285</f>
        <v>237453332</v>
      </c>
      <c r="K275" s="602">
        <f>+J275/E275</f>
        <v>0.92718989457243262</v>
      </c>
      <c r="L275" s="539">
        <f>+L276+L285</f>
        <v>28946668</v>
      </c>
      <c r="M275" s="539">
        <f t="shared" si="18"/>
        <v>-10300000</v>
      </c>
      <c r="N275" s="539">
        <f ca="1">+N276+N285</f>
        <v>0</v>
      </c>
      <c r="O275" s="675"/>
      <c r="P275" s="570"/>
      <c r="Q275" s="569"/>
      <c r="R275" s="569"/>
      <c r="S275" s="569"/>
      <c r="T275" s="569"/>
    </row>
    <row r="276" spans="2:20" hidden="1" x14ac:dyDescent="0.25">
      <c r="B276" s="1182" t="s">
        <v>1681</v>
      </c>
      <c r="C276" s="1182"/>
      <c r="D276" s="1182"/>
      <c r="E276" s="539">
        <f>+E277</f>
        <v>239600000</v>
      </c>
      <c r="F276" s="631">
        <f>+F277</f>
        <v>249900000</v>
      </c>
      <c r="G276" s="539">
        <f>+G277+G325+G328</f>
        <v>858500000</v>
      </c>
      <c r="H276" s="539">
        <f>+H277+H325+H328</f>
        <v>128000000</v>
      </c>
      <c r="I276" s="539">
        <f>+I277+I325+I328</f>
        <v>730500000</v>
      </c>
      <c r="J276" s="539">
        <f>+J277</f>
        <v>227153332</v>
      </c>
      <c r="K276" s="602">
        <f>+J276/E276</f>
        <v>0.94805230383973293</v>
      </c>
      <c r="L276" s="539">
        <f>+L277</f>
        <v>22746668</v>
      </c>
      <c r="M276" s="539">
        <f>+M277+M305+M309</f>
        <v>-10300000</v>
      </c>
      <c r="N276" s="539">
        <f ca="1">+N277</f>
        <v>0</v>
      </c>
      <c r="O276" s="675"/>
      <c r="P276" s="570"/>
      <c r="Q276" s="569"/>
      <c r="R276" s="569"/>
      <c r="S276" s="569"/>
      <c r="T276" s="569"/>
    </row>
    <row r="277" spans="2:20" hidden="1" x14ac:dyDescent="0.25">
      <c r="B277" s="1181" t="s">
        <v>1643</v>
      </c>
      <c r="C277" s="1181"/>
      <c r="D277" s="1181"/>
      <c r="E277" s="584">
        <f>SUM(E279:E283)</f>
        <v>239600000</v>
      </c>
      <c r="F277" s="584">
        <f>SUM(F279:F283)</f>
        <v>249900000</v>
      </c>
      <c r="G277" s="581">
        <v>858500000</v>
      </c>
      <c r="H277" s="582">
        <v>128000000</v>
      </c>
      <c r="I277" s="581">
        <f>+G277-H277</f>
        <v>730500000</v>
      </c>
      <c r="J277" s="584">
        <f>SUM(J279:J283)</f>
        <v>227153332</v>
      </c>
      <c r="K277" s="603">
        <f>+J277/F277</f>
        <v>0.90897691876750697</v>
      </c>
      <c r="L277" s="584">
        <f>SUM(L279:L283)</f>
        <v>22746668</v>
      </c>
      <c r="M277" s="585">
        <f>+E277-(J277+L277)</f>
        <v>-10300000</v>
      </c>
      <c r="N277" s="584">
        <f ca="1">SUM(N279:N283)</f>
        <v>0</v>
      </c>
      <c r="O277" s="676"/>
      <c r="P277" s="584"/>
      <c r="Q277" s="592"/>
      <c r="R277" s="592"/>
      <c r="S277" s="592"/>
      <c r="T277" s="592"/>
    </row>
    <row r="278" spans="2:20" ht="24" hidden="1" x14ac:dyDescent="0.25">
      <c r="B278" s="537" t="s">
        <v>2128</v>
      </c>
      <c r="C278" s="537" t="s">
        <v>912</v>
      </c>
      <c r="D278" s="537" t="s">
        <v>1822</v>
      </c>
      <c r="E278" s="545" t="s">
        <v>1845</v>
      </c>
      <c r="F278" s="534" t="s">
        <v>2130</v>
      </c>
      <c r="G278" s="534"/>
      <c r="H278" s="534"/>
      <c r="I278" s="534"/>
      <c r="J278" s="537" t="s">
        <v>2131</v>
      </c>
      <c r="K278" s="652"/>
      <c r="L278" s="537" t="s">
        <v>1940</v>
      </c>
      <c r="M278" s="537"/>
      <c r="N278" s="537" t="s">
        <v>2137</v>
      </c>
      <c r="O278" s="677" t="s">
        <v>2134</v>
      </c>
      <c r="P278" s="568" t="s">
        <v>1818</v>
      </c>
      <c r="Q278" s="537" t="s">
        <v>1848</v>
      </c>
      <c r="R278" s="537" t="s">
        <v>1849</v>
      </c>
      <c r="S278" s="537" t="s">
        <v>375</v>
      </c>
      <c r="T278" s="537" t="s">
        <v>1850</v>
      </c>
    </row>
    <row r="279" spans="2:20" ht="22.5" hidden="1" customHeight="1" x14ac:dyDescent="0.25">
      <c r="B279" s="533"/>
      <c r="C279" s="533" t="s">
        <v>256</v>
      </c>
      <c r="D279" s="533" t="str">
        <f>VLOOKUP(C279,'Base de Datos'!$E$7:$AR$390,2,0)</f>
        <v>MATILDE NIETO CONTRERAS (Cesionaria) / antes ELIS ALEXANDER MORENO SALAMANCA</v>
      </c>
      <c r="E279" s="536">
        <f>VLOOKUP(C279,'Base de Datos'!$E$7:$AR$390,5,0)</f>
        <v>51500000</v>
      </c>
      <c r="F279" s="536">
        <f>VLOOKUP(C279,'Base de Datos'!$E$7:$AR$390,17,0)</f>
        <v>61800000</v>
      </c>
      <c r="G279" s="536" t="e">
        <f>VLOOKUP(D279,'Base de Datos'!$E$7:$AR$390,17,0)</f>
        <v>#N/A</v>
      </c>
      <c r="H279" s="536" t="e">
        <f>VLOOKUP(E279,'Base de Datos'!$E$7:$AR$390,17,0)</f>
        <v>#N/A</v>
      </c>
      <c r="I279" s="536" t="e">
        <f>VLOOKUP(F279,'Base de Datos'!$E$7:$AR$390,17,0)</f>
        <v>#N/A</v>
      </c>
      <c r="J279" s="536">
        <f>VLOOKUP(C279,'Base de Datos'!$E$7:$AR$390,18,0)</f>
        <v>54933333</v>
      </c>
      <c r="K279" s="600"/>
      <c r="L279" s="536">
        <f>VLOOKUP(C279,'Base de Datos'!$E$7:$AR$390,19,0)</f>
        <v>6866667</v>
      </c>
      <c r="M279" s="533"/>
      <c r="N279" s="536" t="str">
        <f ca="1">IF(OR(O279=Hoja1!$D$17,'Presupuesto - PAA 2015'!O279=Hoja1!$D$18),'Presupuesto - PAA 2015'!L279," ")</f>
        <v xml:space="preserve"> </v>
      </c>
      <c r="O279" s="678" t="str">
        <f ca="1">VLOOKUP(C279,'Base de Datos'!$E$7:$AR$390,33,0)</f>
        <v>TERMINO</v>
      </c>
      <c r="P279" s="737"/>
      <c r="Q279" s="533"/>
      <c r="R279" s="743">
        <f>VLOOKUP(C279,'Base de Datos'!$E$7:$AR$390,9,0)</f>
        <v>41677</v>
      </c>
      <c r="S279" s="743">
        <f>VLOOKUP(C279,'Base de Datos'!$E$7:$AR$390,16,0)</f>
        <v>42006</v>
      </c>
      <c r="T279" s="678" t="str">
        <f>VLOOKUP(C279,'Base de Datos'!$E$7:$AR$390,40,0)</f>
        <v>Andrea Casas</v>
      </c>
    </row>
    <row r="280" spans="2:20" ht="24" hidden="1" x14ac:dyDescent="0.25">
      <c r="B280" s="533"/>
      <c r="C280" s="533" t="s">
        <v>247</v>
      </c>
      <c r="D280" s="533" t="str">
        <f>VLOOKUP(C280,'Base de Datos'!$E$7:$AR$390,2,0)</f>
        <v>LORENZA SANTOS BARBOSA (Cesionaria) - Antes VICTOR MANUEL ARMELLA VELASQUEZ</v>
      </c>
      <c r="E280" s="536">
        <f>VLOOKUP(C280,'Base de Datos'!$E$7:$AR$390,5,0)</f>
        <v>55000000</v>
      </c>
      <c r="F280" s="536">
        <f>VLOOKUP(C280,'Base de Datos'!$E$7:$AR$390,17,0)</f>
        <v>55000000</v>
      </c>
      <c r="G280" s="533"/>
      <c r="H280" s="533"/>
      <c r="I280" s="533"/>
      <c r="J280" s="536">
        <f>VLOOKUP(C280,'Base de Datos'!$E$7:$AR$390,18,0)</f>
        <v>54666666</v>
      </c>
      <c r="K280" s="600"/>
      <c r="L280" s="536">
        <f>VLOOKUP(C280,'Base de Datos'!$E$7:$AR$390,19,0)</f>
        <v>333334</v>
      </c>
      <c r="M280" s="533"/>
      <c r="N280" s="536" t="str">
        <f ca="1">IF(OR(O280=Hoja1!$D$17,'Presupuesto - PAA 2015'!O280=Hoja1!$D$18),'Presupuesto - PAA 2015'!L280," ")</f>
        <v xml:space="preserve"> </v>
      </c>
      <c r="O280" s="751" t="str">
        <f ca="1">VLOOKUP(C280,'Base de Datos'!$E$7:$AR$390,33,0)</f>
        <v>TERMINO</v>
      </c>
      <c r="P280" s="737" t="s">
        <v>2136</v>
      </c>
      <c r="Q280" s="533"/>
      <c r="R280" s="743">
        <f>VLOOKUP(C280,'Base de Datos'!$E$7:$AR$390,9,0)</f>
        <v>41675</v>
      </c>
      <c r="S280" s="743">
        <f>VLOOKUP(C280,'Base de Datos'!$E$7:$AR$390,16,0)</f>
        <v>42008</v>
      </c>
      <c r="T280" s="678" t="str">
        <f>VLOOKUP(C280,'Base de Datos'!$E$7:$AR$390,40,0)</f>
        <v>Lizeth González</v>
      </c>
    </row>
    <row r="281" spans="2:20" hidden="1" x14ac:dyDescent="0.25">
      <c r="B281" s="533"/>
      <c r="C281" s="533" t="s">
        <v>249</v>
      </c>
      <c r="D281" s="533" t="str">
        <f>VLOOKUP(C281,'Base de Datos'!$E$7:$AR$390,2,0)</f>
        <v>NORMA CONSTANZA MEZA GÓMEZ</v>
      </c>
      <c r="E281" s="536">
        <f>VLOOKUP(C281,'Base de Datos'!$E$7:$AR$390,5,0)</f>
        <v>38500000</v>
      </c>
      <c r="F281" s="536">
        <f>VLOOKUP(C281,'Base de Datos'!$E$7:$AR$390,17,0)</f>
        <v>38500000</v>
      </c>
      <c r="G281" s="533"/>
      <c r="H281" s="533"/>
      <c r="I281" s="533"/>
      <c r="J281" s="536">
        <f>VLOOKUP(C281,'Base de Datos'!$E$7:$AR$390,18,0)</f>
        <v>38500000</v>
      </c>
      <c r="K281" s="600"/>
      <c r="L281" s="536">
        <f>VLOOKUP(C281,'Base de Datos'!$E$7:$AR$390,19,0)</f>
        <v>0</v>
      </c>
      <c r="M281" s="533"/>
      <c r="N281" s="536" t="str">
        <f ca="1">IF(OR(O281=Hoja1!$D$17,'Presupuesto - PAA 2015'!O281=Hoja1!$D$18),'Presupuesto - PAA 2015'!L281," ")</f>
        <v xml:space="preserve"> </v>
      </c>
      <c r="O281" s="678" t="str">
        <f ca="1">VLOOKUP(C281,'Base de Datos'!$E$7:$AR$390,33,0)</f>
        <v>TERMINO</v>
      </c>
      <c r="P281" s="737"/>
      <c r="Q281" s="533"/>
      <c r="R281" s="743">
        <f>VLOOKUP(C281,'Base de Datos'!$E$7:$AR$390,9,0)</f>
        <v>41675</v>
      </c>
      <c r="S281" s="743">
        <f>VLOOKUP(C281,'Base de Datos'!$E$7:$AR$390,16,0)</f>
        <v>42008</v>
      </c>
      <c r="T281" s="678" t="str">
        <f>VLOOKUP(C281,'Base de Datos'!$E$7:$AR$390,40,0)</f>
        <v>Lizeth González</v>
      </c>
    </row>
    <row r="282" spans="2:20" hidden="1" x14ac:dyDescent="0.25">
      <c r="B282" s="533"/>
      <c r="C282" s="533" t="s">
        <v>245</v>
      </c>
      <c r="D282" s="533" t="str">
        <f>VLOOKUP(C282,'Base de Datos'!$E$7:$AR$390,2,0)</f>
        <v>FERNANDO SOTOMONTE AMAYA</v>
      </c>
      <c r="E282" s="536">
        <f>VLOOKUP(C282,'Base de Datos'!$E$7:$AR$390,5,0)</f>
        <v>55000000</v>
      </c>
      <c r="F282" s="536">
        <f>VLOOKUP(C282,'Base de Datos'!$E$7:$AR$390,17,0)</f>
        <v>55000000</v>
      </c>
      <c r="G282" s="533"/>
      <c r="H282" s="533"/>
      <c r="I282" s="533"/>
      <c r="J282" s="536">
        <f>VLOOKUP(C282,'Base de Datos'!$E$7:$AR$390,18,0)</f>
        <v>54333333</v>
      </c>
      <c r="K282" s="600"/>
      <c r="L282" s="536">
        <f>VLOOKUP(C282,'Base de Datos'!$E$7:$AR$390,19,0)</f>
        <v>666667</v>
      </c>
      <c r="M282" s="533"/>
      <c r="N282" s="536" t="str">
        <f ca="1">IF(OR(O282=Hoja1!$D$17,'Presupuesto - PAA 2015'!O282=Hoja1!$D$18),'Presupuesto - PAA 2015'!L282," ")</f>
        <v xml:space="preserve"> </v>
      </c>
      <c r="O282" s="678" t="str">
        <f ca="1">VLOOKUP(C282,'Base de Datos'!$E$7:$AR$390,33,0)</f>
        <v>TERMINO</v>
      </c>
      <c r="P282" s="737"/>
      <c r="Q282" s="533"/>
      <c r="R282" s="743">
        <f>VLOOKUP(C282,'Base de Datos'!$E$7:$AR$390,9,0)</f>
        <v>41675</v>
      </c>
      <c r="S282" s="743">
        <f>VLOOKUP(C282,'Base de Datos'!$E$7:$AR$390,16,0)</f>
        <v>42008</v>
      </c>
      <c r="T282" s="678" t="str">
        <f>VLOOKUP(C282,'Base de Datos'!$E$7:$AR$390,40,0)</f>
        <v>Lizeth González</v>
      </c>
    </row>
    <row r="283" spans="2:20" hidden="1" x14ac:dyDescent="0.25">
      <c r="B283" s="533"/>
      <c r="C283" s="533" t="s">
        <v>253</v>
      </c>
      <c r="D283" s="533" t="str">
        <f>VLOOKUP(C283,'Base de Datos'!$E$7:$AR$390,2,0)</f>
        <v>EDELMIRA ATARA GIL</v>
      </c>
      <c r="E283" s="536">
        <f>VLOOKUP(C283,'Base de Datos'!$E$7:$AR$390,5,0)</f>
        <v>39600000</v>
      </c>
      <c r="F283" s="536">
        <f>VLOOKUP(C283,'Base de Datos'!$E$7:$AR$390,17,0)</f>
        <v>39600000</v>
      </c>
      <c r="G283" s="533"/>
      <c r="H283" s="533"/>
      <c r="I283" s="533"/>
      <c r="J283" s="536">
        <f>VLOOKUP(C283,'Base de Datos'!$E$7:$AR$390,18,0)</f>
        <v>24720000</v>
      </c>
      <c r="K283" s="600"/>
      <c r="L283" s="536">
        <f>VLOOKUP(C283,'Base de Datos'!$E$7:$AR$390,19,0)</f>
        <v>14880000</v>
      </c>
      <c r="M283" s="533"/>
      <c r="N283" s="536" t="str">
        <f ca="1">IF(OR(O283=Hoja1!$D$17,'Presupuesto - PAA 2015'!O283=Hoja1!$D$18),'Presupuesto - PAA 2015'!L283," ")</f>
        <v xml:space="preserve"> </v>
      </c>
      <c r="O283" s="678" t="str">
        <f ca="1">VLOOKUP(C283,'Base de Datos'!$E$7:$AR$390,33,0)</f>
        <v>TERMINO</v>
      </c>
      <c r="P283" s="737"/>
      <c r="Q283" s="533"/>
      <c r="R283" s="743">
        <f>VLOOKUP(C283,'Base de Datos'!$E$7:$AR$390,9,0)</f>
        <v>41675</v>
      </c>
      <c r="S283" s="743">
        <f>VLOOKUP(C283,'Base de Datos'!$E$7:$AR$390,16,0)</f>
        <v>42008</v>
      </c>
      <c r="T283" s="678" t="str">
        <f>VLOOKUP(C283,'Base de Datos'!$E$7:$AR$390,40,0)</f>
        <v>Matilde Nieto</v>
      </c>
    </row>
    <row r="284" spans="2:20" hidden="1" x14ac:dyDescent="0.25">
      <c r="B284" s="533"/>
      <c r="C284" s="533"/>
      <c r="D284" s="533"/>
      <c r="E284" s="533"/>
      <c r="F284" s="533"/>
      <c r="G284" s="533"/>
      <c r="H284" s="533"/>
      <c r="I284" s="533"/>
      <c r="J284" s="533"/>
      <c r="K284" s="600"/>
      <c r="L284" s="533"/>
      <c r="M284" s="533"/>
      <c r="N284" s="533"/>
      <c r="O284" s="691"/>
      <c r="P284" s="737"/>
      <c r="Q284" s="533"/>
      <c r="R284" s="744"/>
      <c r="S284" s="744"/>
      <c r="T284" s="533"/>
    </row>
    <row r="285" spans="2:20" hidden="1" x14ac:dyDescent="0.25">
      <c r="B285" s="1181" t="s">
        <v>1645</v>
      </c>
      <c r="C285" s="1181"/>
      <c r="D285" s="1181"/>
      <c r="E285" s="581">
        <f>+E287</f>
        <v>16500000</v>
      </c>
      <c r="F285" s="581">
        <f>+F287</f>
        <v>16500000</v>
      </c>
      <c r="G285" s="586"/>
      <c r="H285" s="586"/>
      <c r="I285" s="586"/>
      <c r="J285" s="581">
        <f>+J287</f>
        <v>10300000</v>
      </c>
      <c r="K285" s="603">
        <f>+J285/F285</f>
        <v>0.62424242424242427</v>
      </c>
      <c r="L285" s="581">
        <f>+L287</f>
        <v>6200000</v>
      </c>
      <c r="M285" s="632">
        <v>0</v>
      </c>
      <c r="N285" s="581">
        <f ca="1">SUM(N287)</f>
        <v>0</v>
      </c>
      <c r="O285" s="684"/>
      <c r="P285" s="591" t="str">
        <f>IF(ISERROR(VLOOKUP(B285,'Base de Datos'!$C$7:$N$315,8,0))=TRUE," ",(VLOOKUP(B285,'Base de Datos'!$C$7:$N$315,8,0)))</f>
        <v xml:space="preserve"> </v>
      </c>
      <c r="Q285" s="592"/>
      <c r="R285" s="745" t="str">
        <f>IF(ISERROR(VLOOKUP(B285,'Base de Datos'!$C$7:$N$315,9,0))=TRUE," ",(VLOOKUP(B285,'Base de Datos'!$C$7:$N$315,9,0)))</f>
        <v xml:space="preserve"> </v>
      </c>
      <c r="S285" s="745" t="str">
        <f>IF(ISERROR(VLOOKUP(B285,'Base de Datos'!$C$7:$N$315,10,0))=TRUE," ",(VLOOKUP(B285,'Base de Datos'!$C$7:$N$315,10,0)))</f>
        <v xml:space="preserve"> </v>
      </c>
      <c r="T285" s="592"/>
    </row>
    <row r="286" spans="2:20" ht="24" hidden="1" x14ac:dyDescent="0.25">
      <c r="B286" s="537" t="s">
        <v>2128</v>
      </c>
      <c r="C286" s="537" t="s">
        <v>912</v>
      </c>
      <c r="D286" s="537" t="s">
        <v>1822</v>
      </c>
      <c r="E286" s="545" t="s">
        <v>1845</v>
      </c>
      <c r="F286" s="534" t="s">
        <v>2130</v>
      </c>
      <c r="G286" s="534"/>
      <c r="H286" s="534"/>
      <c r="I286" s="534"/>
      <c r="J286" s="537" t="s">
        <v>2131</v>
      </c>
      <c r="K286" s="652"/>
      <c r="L286" s="537" t="s">
        <v>1940</v>
      </c>
      <c r="M286" s="537"/>
      <c r="N286" s="537" t="s">
        <v>2137</v>
      </c>
      <c r="O286" s="677" t="s">
        <v>2134</v>
      </c>
      <c r="P286" s="568" t="s">
        <v>1818</v>
      </c>
      <c r="Q286" s="537" t="s">
        <v>1848</v>
      </c>
      <c r="R286" s="746" t="s">
        <v>1849</v>
      </c>
      <c r="S286" s="746" t="s">
        <v>375</v>
      </c>
      <c r="T286" s="537" t="s">
        <v>1850</v>
      </c>
    </row>
    <row r="287" spans="2:20" hidden="1" x14ac:dyDescent="0.25">
      <c r="B287" s="533"/>
      <c r="C287" s="533" t="s">
        <v>250</v>
      </c>
      <c r="D287" s="533" t="str">
        <f>VLOOKUP(C287,'Base de Datos'!$E$7:$AR$390,2,0)</f>
        <v>JORGE LUIS TRUJILLO VERA</v>
      </c>
      <c r="E287" s="536">
        <f>VLOOKUP(C287,'Base de Datos'!$E$7:$AR$390,5,0)</f>
        <v>16500000</v>
      </c>
      <c r="F287" s="536">
        <f>VLOOKUP(C287,'Base de Datos'!$E$7:$AR$390,17,0)</f>
        <v>16500000</v>
      </c>
      <c r="G287" s="533"/>
      <c r="H287" s="533"/>
      <c r="I287" s="533"/>
      <c r="J287" s="536">
        <f>VLOOKUP(C287,'Base de Datos'!$E$7:$AR$390,18,0)</f>
        <v>10300000</v>
      </c>
      <c r="K287" s="600"/>
      <c r="L287" s="536">
        <f>VLOOKUP(C287,'Base de Datos'!$E$7:$AR$390,19,0)</f>
        <v>6200000</v>
      </c>
      <c r="M287" s="533"/>
      <c r="N287" s="536" t="str">
        <f ca="1">IF(OR(O287=Hoja1!$D$17,'Presupuesto - PAA 2015'!O287=Hoja1!$D$18),'Presupuesto - PAA 2015'!L287," ")</f>
        <v xml:space="preserve"> </v>
      </c>
      <c r="O287" s="678" t="str">
        <f ca="1">VLOOKUP(C287,'Base de Datos'!$E$7:$AR$390,33,0)</f>
        <v>TERMINO</v>
      </c>
      <c r="P287" s="737"/>
      <c r="Q287" s="533"/>
      <c r="R287" s="743">
        <f>VLOOKUP(C287,'Base de Datos'!$E$7:$AR$390,9,0)</f>
        <v>41675</v>
      </c>
      <c r="S287" s="743">
        <f>VLOOKUP(C287,'Base de Datos'!$E$7:$AR$390,16,0)</f>
        <v>42008</v>
      </c>
      <c r="T287" s="678" t="str">
        <f>VLOOKUP(C287,'Base de Datos'!$E$7:$AR$390,40,0)</f>
        <v>Javier Andrés Vidal</v>
      </c>
    </row>
    <row r="288" spans="2:20" hidden="1" x14ac:dyDescent="0.25">
      <c r="B288" s="533"/>
      <c r="C288" s="533"/>
      <c r="D288" s="533"/>
      <c r="E288" s="533"/>
      <c r="F288" s="533"/>
      <c r="G288" s="533"/>
      <c r="H288" s="533"/>
      <c r="I288" s="533"/>
      <c r="J288" s="533"/>
      <c r="K288" s="600"/>
      <c r="L288" s="533"/>
      <c r="M288" s="533"/>
      <c r="N288" s="533"/>
      <c r="O288" s="691"/>
      <c r="P288" s="737"/>
      <c r="Q288" s="533"/>
      <c r="R288" s="744"/>
      <c r="S288" s="744"/>
      <c r="T288" s="533"/>
    </row>
    <row r="289" spans="2:22" ht="15" hidden="1" customHeight="1" x14ac:dyDescent="0.25">
      <c r="B289" s="1182" t="s">
        <v>1793</v>
      </c>
      <c r="C289" s="1182"/>
      <c r="D289" s="1182"/>
      <c r="E289" s="539">
        <f>+E290+E312+E378</f>
        <v>12705600936</v>
      </c>
      <c r="F289" s="539">
        <f>+F290+F312+F378</f>
        <v>13432435881</v>
      </c>
      <c r="G289" s="540"/>
      <c r="H289" s="540"/>
      <c r="I289" s="540"/>
      <c r="J289" s="539">
        <f>+J290+J312+J378</f>
        <v>11955199519.200001</v>
      </c>
      <c r="K289" s="610">
        <f>+J289/F289</f>
        <v>0.89002468540426605</v>
      </c>
      <c r="L289" s="539">
        <f>+L290+L312+L378</f>
        <v>342700829</v>
      </c>
      <c r="M289" s="543">
        <f>M290+M334+M461</f>
        <v>-55855426.199999988</v>
      </c>
      <c r="N289" s="539">
        <f ca="1">+N290+N312+N378</f>
        <v>0</v>
      </c>
      <c r="O289" s="689"/>
      <c r="P289" s="543"/>
      <c r="Q289" s="569"/>
      <c r="R289" s="747" t="str">
        <f>IF(ISERROR(VLOOKUP(B289,'Base de Datos'!$C$7:$N$315,9,0))=TRUE," ",(VLOOKUP(B289,'Base de Datos'!$C$7:$N$315,9,0)))</f>
        <v xml:space="preserve"> </v>
      </c>
      <c r="S289" s="747" t="str">
        <f>IF(ISERROR(VLOOKUP(B289,'Base de Datos'!$C$7:$N$315,10,0))=TRUE," ",(VLOOKUP(B289,'Base de Datos'!$C$7:$N$315,10,0)))</f>
        <v xml:space="preserve"> </v>
      </c>
      <c r="T289" s="569"/>
      <c r="U289" s="722"/>
      <c r="V289" s="634"/>
    </row>
    <row r="290" spans="2:22" ht="15" hidden="1" customHeight="1" x14ac:dyDescent="0.25">
      <c r="B290" s="1182" t="s">
        <v>1647</v>
      </c>
      <c r="C290" s="1182"/>
      <c r="D290" s="1182"/>
      <c r="E290" s="539">
        <f>+E291+E300+E307</f>
        <v>1397807908</v>
      </c>
      <c r="F290" s="539">
        <f>+F291+F300+F307</f>
        <v>1638062734</v>
      </c>
      <c r="G290" s="540"/>
      <c r="H290" s="540"/>
      <c r="I290" s="540"/>
      <c r="J290" s="539">
        <f>+J291+J300+J307</f>
        <v>1433597964.2</v>
      </c>
      <c r="K290" s="631"/>
      <c r="L290" s="539">
        <f>+L291+L300+L307</f>
        <v>165372681</v>
      </c>
      <c r="M290" s="631">
        <f>+M291+M319+M326</f>
        <v>-55855426.199999988</v>
      </c>
      <c r="N290" s="539">
        <f ca="1">+N291+N300+N307</f>
        <v>0</v>
      </c>
      <c r="O290" s="686"/>
      <c r="P290" s="575" t="str">
        <f>IF(ISERROR(VLOOKUP(B290,'Base de Datos'!$C$7:$N$315,8,0))=TRUE," ",(VLOOKUP(B290,'Base de Datos'!$C$7:$N$315,8,0)))</f>
        <v xml:space="preserve"> </v>
      </c>
      <c r="Q290" s="569"/>
      <c r="R290" s="747" t="str">
        <f>IF(ISERROR(VLOOKUP(B290,'Base de Datos'!$C$7:$N$315,9,0))=TRUE," ",(VLOOKUP(B290,'Base de Datos'!$C$7:$N$315,9,0)))</f>
        <v xml:space="preserve"> </v>
      </c>
      <c r="S290" s="747" t="str">
        <f>IF(ISERROR(VLOOKUP(B290,'Base de Datos'!$C$7:$N$315,10,0))=TRUE," ",(VLOOKUP(B290,'Base de Datos'!$C$7:$N$315,10,0)))</f>
        <v xml:space="preserve"> </v>
      </c>
      <c r="T290" s="569"/>
      <c r="U290" s="722"/>
      <c r="V290" s="634"/>
    </row>
    <row r="291" spans="2:22" hidden="1" x14ac:dyDescent="0.25">
      <c r="B291" s="1181" t="s">
        <v>1648</v>
      </c>
      <c r="C291" s="1181"/>
      <c r="D291" s="1181"/>
      <c r="E291" s="581">
        <f>SUM(E293:E298)</f>
        <v>264468575</v>
      </c>
      <c r="F291" s="581">
        <f>SUM(F293:F298)</f>
        <v>374484341</v>
      </c>
      <c r="G291" s="586"/>
      <c r="H291" s="586"/>
      <c r="I291" s="586"/>
      <c r="J291" s="581">
        <f>SUM(J293:J298)</f>
        <v>290073532.19999999</v>
      </c>
      <c r="K291" s="603">
        <f>+J291/F291</f>
        <v>0.77459455694570678</v>
      </c>
      <c r="L291" s="581">
        <f>SUM(L293:L298)</f>
        <v>30250469</v>
      </c>
      <c r="M291" s="585">
        <f>+E291-(J291+L291)</f>
        <v>-55855426.199999988</v>
      </c>
      <c r="N291" s="581">
        <f ca="1">SUM(N293:N298)</f>
        <v>0</v>
      </c>
      <c r="O291" s="684"/>
      <c r="P291" s="591" t="str">
        <f>IF(ISERROR(VLOOKUP(B291,'Base de Datos'!$C$7:$N$315,8,0))=TRUE," ",(VLOOKUP(B291,'Base de Datos'!$C$7:$N$315,8,0)))</f>
        <v xml:space="preserve"> </v>
      </c>
      <c r="Q291" s="592"/>
      <c r="R291" s="745" t="str">
        <f>IF(ISERROR(VLOOKUP(B291,'Base de Datos'!$C$7:$N$315,9,0))=TRUE," ",(VLOOKUP(B291,'Base de Datos'!$C$7:$N$315,9,0)))</f>
        <v xml:space="preserve"> </v>
      </c>
      <c r="S291" s="745" t="str">
        <f>IF(ISERROR(VLOOKUP(B291,'Base de Datos'!$C$7:$N$315,10,0))=TRUE," ",(VLOOKUP(B291,'Base de Datos'!$C$7:$N$315,10,0)))</f>
        <v xml:space="preserve"> </v>
      </c>
      <c r="T291" s="592"/>
      <c r="U291" s="535"/>
    </row>
    <row r="292" spans="2:22" ht="24" hidden="1" x14ac:dyDescent="0.25">
      <c r="B292" s="537" t="s">
        <v>2128</v>
      </c>
      <c r="C292" s="537" t="s">
        <v>912</v>
      </c>
      <c r="D292" s="537" t="s">
        <v>1822</v>
      </c>
      <c r="E292" s="545" t="s">
        <v>1845</v>
      </c>
      <c r="F292" s="534" t="s">
        <v>2130</v>
      </c>
      <c r="G292" s="534"/>
      <c r="H292" s="534"/>
      <c r="I292" s="534"/>
      <c r="J292" s="537" t="s">
        <v>2131</v>
      </c>
      <c r="K292" s="652"/>
      <c r="L292" s="537" t="s">
        <v>1940</v>
      </c>
      <c r="M292" s="537"/>
      <c r="N292" s="537" t="s">
        <v>2137</v>
      </c>
      <c r="O292" s="677" t="s">
        <v>2134</v>
      </c>
      <c r="P292" s="568" t="s">
        <v>1818</v>
      </c>
      <c r="Q292" s="537" t="s">
        <v>1848</v>
      </c>
      <c r="R292" s="746" t="s">
        <v>1849</v>
      </c>
      <c r="S292" s="746" t="s">
        <v>375</v>
      </c>
      <c r="T292" s="537" t="s">
        <v>1850</v>
      </c>
      <c r="U292" s="535"/>
    </row>
    <row r="293" spans="2:22" hidden="1" x14ac:dyDescent="0.25">
      <c r="B293" s="533"/>
      <c r="C293" s="533" t="s">
        <v>1158</v>
      </c>
      <c r="D293" s="533" t="str">
        <f>VLOOKUP(C293,'Base de Datos'!$E$7:$AR$390,2,0)</f>
        <v>FACTOR VISUAL EAT</v>
      </c>
      <c r="E293" s="536">
        <f>VLOOKUP(C293,'Base de Datos'!$E$7:$AR$390,5,0)</f>
        <v>44544000</v>
      </c>
      <c r="F293" s="536">
        <f>VLOOKUP(C293,'Base de Datos'!$E$7:$AR$390,17,0)</f>
        <v>66816000</v>
      </c>
      <c r="G293" s="533"/>
      <c r="H293" s="533"/>
      <c r="I293" s="533"/>
      <c r="J293" s="740">
        <f>VLOOKUP(C293,'Base de Datos'!$E$7:$AR$390,18,0)</f>
        <v>66816000</v>
      </c>
      <c r="K293" s="600"/>
      <c r="L293" s="753">
        <v>26912000</v>
      </c>
      <c r="M293" s="533"/>
      <c r="N293" s="536" t="str">
        <f ca="1">IF(OR(O293=Hoja1!$D$17,'Presupuesto - PAA 2015'!O293=Hoja1!$D$18),'Presupuesto - PAA 2015'!L293," ")</f>
        <v xml:space="preserve"> </v>
      </c>
      <c r="O293" s="678" t="str">
        <f ca="1">VLOOKUP(C293,'Base de Datos'!$E$7:$AR$390,33,0)</f>
        <v>TERMINO</v>
      </c>
      <c r="P293" s="737"/>
      <c r="Q293" s="533"/>
      <c r="R293" s="743">
        <f>VLOOKUP(C293,'Base de Datos'!$E$7:$AR$390,9,0)</f>
        <v>41929</v>
      </c>
      <c r="S293" s="743">
        <f>VLOOKUP(C293,'Base de Datos'!$E$7:$AR$390,16,0)</f>
        <v>42477</v>
      </c>
      <c r="T293" s="678" t="str">
        <f>VLOOKUP(C293,'Base de Datos'!$E$7:$AR$390,40,0)</f>
        <v>Adriana Payares</v>
      </c>
      <c r="U293" s="535"/>
    </row>
    <row r="294" spans="2:22" hidden="1" x14ac:dyDescent="0.25">
      <c r="B294" s="533"/>
      <c r="C294" s="533" t="s">
        <v>289</v>
      </c>
      <c r="D294" s="533" t="str">
        <f>VLOOKUP(C294,'Base de Datos'!$E$7:$AR$390,2,0)</f>
        <v>UNIPLES S.A.</v>
      </c>
      <c r="E294" s="536">
        <f>VLOOKUP(C294,'Base de Datos'!$E$7:$AR$390,5,0)</f>
        <v>9998117</v>
      </c>
      <c r="F294" s="536">
        <f>VLOOKUP(C294,'Base de Datos'!$E$7:$AR$390,17,0)</f>
        <v>9998117</v>
      </c>
      <c r="G294" s="533"/>
      <c r="H294" s="533"/>
      <c r="I294" s="533"/>
      <c r="J294" s="536">
        <f>VLOOKUP(C294,'Base de Datos'!$E$7:$AR$390,18,0)</f>
        <v>9998097</v>
      </c>
      <c r="K294" s="600"/>
      <c r="L294" s="536">
        <f>VLOOKUP(C294,'Base de Datos'!$E$7:$AR$390,19,0)</f>
        <v>20</v>
      </c>
      <c r="M294" s="533"/>
      <c r="N294" s="536" t="str">
        <f ca="1">IF(OR(O294=Hoja1!$D$17,'Presupuesto - PAA 2015'!O294=Hoja1!$D$18),'Presupuesto - PAA 2015'!L294," ")</f>
        <v xml:space="preserve"> </v>
      </c>
      <c r="O294" s="678" t="str">
        <f ca="1">VLOOKUP(C294,'Base de Datos'!$E$7:$AR$390,33,0)</f>
        <v>TERMINO</v>
      </c>
      <c r="P294" s="737"/>
      <c r="Q294" s="533"/>
      <c r="R294" s="743">
        <f>VLOOKUP(C294,'Base de Datos'!$E$7:$AR$390,9,0)</f>
        <v>41794</v>
      </c>
      <c r="S294" s="743">
        <f>VLOOKUP(C294,'Base de Datos'!$E$7:$AR$390,16,0)</f>
        <v>41855</v>
      </c>
      <c r="T294" s="678" t="str">
        <f>VLOOKUP(C294,'Base de Datos'!$E$7:$AR$390,40,0)</f>
        <v>Andrea Casas</v>
      </c>
      <c r="U294" s="535"/>
    </row>
    <row r="295" spans="2:22" hidden="1" x14ac:dyDescent="0.25">
      <c r="B295" s="533"/>
      <c r="C295" s="533" t="s">
        <v>240</v>
      </c>
      <c r="D295" s="533" t="str">
        <f>VLOOKUP(C295,'Base de Datos'!$E$7:$AR$390,2,0)</f>
        <v>UNIPLES S.A.</v>
      </c>
      <c r="E295" s="536">
        <f>VLOOKUP(C295,'Base de Datos'!$E$7:$AR$390,5,0)</f>
        <v>60000000</v>
      </c>
      <c r="F295" s="536">
        <f>VLOOKUP(C295,'Base de Datos'!$E$7:$AR$390,17,0)</f>
        <v>90000000</v>
      </c>
      <c r="G295" s="533"/>
      <c r="H295" s="533"/>
      <c r="I295" s="533"/>
      <c r="J295" s="536">
        <f>VLOOKUP(C295,'Base de Datos'!$E$7:$AR$390,18,0)</f>
        <v>42574877.200000003</v>
      </c>
      <c r="K295" s="600"/>
      <c r="L295" s="753">
        <v>146147</v>
      </c>
      <c r="M295" s="533"/>
      <c r="N295" s="536" t="str">
        <f ca="1">IF(OR(O295=Hoja1!$D$17,'Presupuesto - PAA 2015'!O295=Hoja1!$D$18),'Presupuesto - PAA 2015'!L295," ")</f>
        <v xml:space="preserve"> </v>
      </c>
      <c r="O295" s="678" t="str">
        <f ca="1">VLOOKUP(C295,'Base de Datos'!$E$7:$AR$390,33,0)</f>
        <v>TERMINO</v>
      </c>
      <c r="P295" s="737"/>
      <c r="Q295" s="533"/>
      <c r="R295" s="743">
        <f>VLOOKUP(C295,'Base de Datos'!$E$7:$AR$390,9,0)</f>
        <v>41655</v>
      </c>
      <c r="S295" s="743">
        <f>VLOOKUP(C295,'Base de Datos'!$E$7:$AR$390,16,0)</f>
        <v>42019</v>
      </c>
      <c r="T295" s="678" t="str">
        <f>VLOOKUP(C295,'Base de Datos'!$E$7:$AR$390,40,0)</f>
        <v>Adriana Payares</v>
      </c>
      <c r="U295" s="535"/>
    </row>
    <row r="296" spans="2:22" hidden="1" x14ac:dyDescent="0.25">
      <c r="B296" s="533"/>
      <c r="C296" s="533" t="s">
        <v>183</v>
      </c>
      <c r="D296" s="533" t="str">
        <f>VLOOKUP(C296,'Base de Datos'!$E$7:$AR$390,2,0)</f>
        <v>CONTRONET LTDA</v>
      </c>
      <c r="E296" s="536">
        <f>VLOOKUP(C296,'Base de Datos'!$E$7:$AR$390,5,0)</f>
        <v>86923131</v>
      </c>
      <c r="F296" s="536">
        <f>VLOOKUP(C296,'Base de Datos'!$E$7:$AR$390,17,0)</f>
        <v>130384697</v>
      </c>
      <c r="G296" s="533"/>
      <c r="H296" s="533"/>
      <c r="I296" s="533"/>
      <c r="J296" s="536">
        <f>VLOOKUP(C296,'Base de Datos'!$E$7:$AR$390,18,0)</f>
        <v>96359635</v>
      </c>
      <c r="K296" s="600"/>
      <c r="L296" s="753">
        <v>231698</v>
      </c>
      <c r="M296" s="533"/>
      <c r="N296" s="536" t="str">
        <f ca="1">IF(OR(O296=Hoja1!$D$17,'Presupuesto - PAA 2015'!O296=Hoja1!$D$18),'Presupuesto - PAA 2015'!L296," ")</f>
        <v xml:space="preserve"> </v>
      </c>
      <c r="O296" s="678" t="str">
        <f ca="1">VLOOKUP(C296,'Base de Datos'!$E$7:$AR$390,33,0)</f>
        <v>TERMINO</v>
      </c>
      <c r="P296" s="737"/>
      <c r="Q296" s="533"/>
      <c r="R296" s="743">
        <f>VLOOKUP(C296,'Base de Datos'!$E$7:$AR$390,9,0)</f>
        <v>41506</v>
      </c>
      <c r="S296" s="743">
        <f>VLOOKUP(C296,'Base de Datos'!$E$7:$AR$390,16,0)</f>
        <v>42055</v>
      </c>
      <c r="T296" s="678" t="str">
        <f>VLOOKUP(C296,'Base de Datos'!$E$7:$AR$390,40,0)</f>
        <v>Adriana Payares</v>
      </c>
      <c r="U296" s="535"/>
    </row>
    <row r="297" spans="2:22" hidden="1" x14ac:dyDescent="0.25">
      <c r="B297" s="533"/>
      <c r="C297" s="533" t="s">
        <v>1162</v>
      </c>
      <c r="D297" s="533" t="str">
        <f>VLOOKUP(C297,'Base de Datos'!$E$7:$AR$390,2,0)</f>
        <v>LINALCA INFORMATICA</v>
      </c>
      <c r="E297" s="536">
        <f>VLOOKUP(C297,'Base de Datos'!$E$7:$AR$390,5,0)</f>
        <v>16592327</v>
      </c>
      <c r="F297" s="536">
        <f>VLOOKUP(C297,'Base de Datos'!$E$7:$AR$390,17,0)</f>
        <v>16592327</v>
      </c>
      <c r="G297" s="533"/>
      <c r="H297" s="533"/>
      <c r="I297" s="533"/>
      <c r="J297" s="536">
        <f>VLOOKUP(C297,'Base de Datos'!$E$7:$AR$390,18,0)</f>
        <v>14933095</v>
      </c>
      <c r="K297" s="600"/>
      <c r="L297" s="753">
        <v>1659232</v>
      </c>
      <c r="M297" s="533"/>
      <c r="N297" s="536" t="str">
        <f ca="1">IF(OR(O297=Hoja1!$D$17,'Presupuesto - PAA 2015'!O297=Hoja1!$D$18),'Presupuesto - PAA 2015'!L297," ")</f>
        <v xml:space="preserve"> </v>
      </c>
      <c r="O297" s="678" t="str">
        <f ca="1">VLOOKUP(C297,'Base de Datos'!$E$7:$AR$390,33,0)</f>
        <v>TERMINO</v>
      </c>
      <c r="P297" s="737"/>
      <c r="Q297" s="533"/>
      <c r="R297" s="743">
        <f>VLOOKUP(C297,'Base de Datos'!$E$7:$AR$390,9,0)</f>
        <v>41936</v>
      </c>
      <c r="S297" s="743">
        <f>VLOOKUP(C297,'Base de Datos'!$E$7:$AR$390,16,0)</f>
        <v>42301</v>
      </c>
      <c r="T297" s="678" t="str">
        <f>VLOOKUP(C297,'Base de Datos'!$E$7:$AR$390,40,0)</f>
        <v>Adriana Payares</v>
      </c>
      <c r="U297" s="535"/>
    </row>
    <row r="298" spans="2:22" ht="24" hidden="1" x14ac:dyDescent="0.25">
      <c r="B298" s="533"/>
      <c r="C298" s="533" t="s">
        <v>172</v>
      </c>
      <c r="D298" s="533" t="str">
        <f>VLOOKUP(C298,'Base de Datos'!$E$7:$AR$390,2,0)</f>
        <v>COLOMBIANA DE SOFTWARE Y HARDWARE COLSOF S.A.</v>
      </c>
      <c r="E298" s="536">
        <f>VLOOKUP(C298,'Base de Datos'!$E$7:$AR$390,5,0)</f>
        <v>46411000</v>
      </c>
      <c r="F298" s="536">
        <f>VLOOKUP(C298,'Base de Datos'!$E$7:$AR$390,17,0)</f>
        <v>60693200</v>
      </c>
      <c r="G298" s="533"/>
      <c r="H298" s="533"/>
      <c r="I298" s="533"/>
      <c r="J298" s="536">
        <f>VLOOKUP(C298,'Base de Datos'!$E$7:$AR$390,18,0)</f>
        <v>59391828</v>
      </c>
      <c r="K298" s="600"/>
      <c r="L298" s="536">
        <f>VLOOKUP(C298,'Base de Datos'!$E$7:$AR$390,19,0)</f>
        <v>1301372</v>
      </c>
      <c r="M298" s="533"/>
      <c r="N298" s="536" t="str">
        <f ca="1">IF(OR(O298=Hoja1!$D$17,'Presupuesto - PAA 2015'!O298=Hoja1!$D$18),'Presupuesto - PAA 2015'!L298," ")</f>
        <v xml:space="preserve"> </v>
      </c>
      <c r="O298" s="678" t="str">
        <f ca="1">VLOOKUP(C298,'Base de Datos'!$E$7:$AR$390,33,0)</f>
        <v>TERMINO</v>
      </c>
      <c r="P298" s="737"/>
      <c r="Q298" s="533"/>
      <c r="R298" s="743">
        <f>VLOOKUP(C298,'Base de Datos'!$E$7:$AR$390,9,0)</f>
        <v>41500</v>
      </c>
      <c r="S298" s="743">
        <f>VLOOKUP(C298,'Base de Datos'!$E$7:$AR$390,16,0)</f>
        <v>41864</v>
      </c>
      <c r="T298" s="678" t="str">
        <f>VLOOKUP(C298,'Base de Datos'!$E$7:$AR$390,40,0)</f>
        <v>Judith Hernández</v>
      </c>
      <c r="U298" s="535"/>
    </row>
    <row r="299" spans="2:22" hidden="1" x14ac:dyDescent="0.25">
      <c r="B299" s="533"/>
      <c r="C299" s="533"/>
      <c r="D299" s="533"/>
      <c r="E299" s="533"/>
      <c r="F299" s="533"/>
      <c r="G299" s="533"/>
      <c r="H299" s="533"/>
      <c r="I299" s="533"/>
      <c r="J299" s="533"/>
      <c r="K299" s="600"/>
      <c r="L299" s="533"/>
      <c r="M299" s="533"/>
      <c r="N299" s="533"/>
      <c r="O299" s="691"/>
      <c r="P299" s="737"/>
      <c r="Q299" s="533"/>
      <c r="R299" s="744"/>
      <c r="S299" s="744"/>
      <c r="T299" s="533"/>
      <c r="U299" s="535"/>
    </row>
    <row r="300" spans="2:22" hidden="1" x14ac:dyDescent="0.25">
      <c r="B300" s="1181" t="s">
        <v>1649</v>
      </c>
      <c r="C300" s="1181"/>
      <c r="D300" s="1181"/>
      <c r="E300" s="581">
        <f>SUM(E302:E305)</f>
        <v>791102333</v>
      </c>
      <c r="F300" s="581">
        <f>SUM(F302:F305)</f>
        <v>921341393</v>
      </c>
      <c r="G300" s="586"/>
      <c r="H300" s="586"/>
      <c r="I300" s="586"/>
      <c r="J300" s="581">
        <f>SUM(J302:J305)</f>
        <v>802058750</v>
      </c>
      <c r="K300" s="603">
        <f>+J300/F300</f>
        <v>0.87053371974138583</v>
      </c>
      <c r="L300" s="581">
        <f>SUM(L302:L305)</f>
        <v>119282643</v>
      </c>
      <c r="M300" s="632">
        <v>0</v>
      </c>
      <c r="N300" s="581">
        <f ca="1">SUM(N302:N305)</f>
        <v>0</v>
      </c>
      <c r="O300" s="684"/>
      <c r="P300" s="591" t="str">
        <f>IF(ISERROR(VLOOKUP(B300,'Base de Datos'!$C$7:$N$315,8,0))=TRUE," ",(VLOOKUP(B300,'Base de Datos'!$C$7:$N$315,8,0)))</f>
        <v xml:space="preserve"> </v>
      </c>
      <c r="Q300" s="592"/>
      <c r="R300" s="745" t="str">
        <f>IF(ISERROR(VLOOKUP(B300,'Base de Datos'!$C$7:$N$315,9,0))=TRUE," ",(VLOOKUP(B300,'Base de Datos'!$C$7:$N$315,9,0)))</f>
        <v xml:space="preserve"> </v>
      </c>
      <c r="S300" s="745" t="str">
        <f>IF(ISERROR(VLOOKUP(B300,'Base de Datos'!$C$7:$N$315,10,0))=TRUE," ",(VLOOKUP(B300,'Base de Datos'!$C$7:$N$315,10,0)))</f>
        <v xml:space="preserve"> </v>
      </c>
      <c r="T300" s="592"/>
      <c r="U300" s="535"/>
    </row>
    <row r="301" spans="2:22" ht="24" hidden="1" x14ac:dyDescent="0.25">
      <c r="B301" s="537" t="s">
        <v>2128</v>
      </c>
      <c r="C301" s="537" t="s">
        <v>912</v>
      </c>
      <c r="D301" s="537" t="s">
        <v>1822</v>
      </c>
      <c r="E301" s="545" t="s">
        <v>1845</v>
      </c>
      <c r="F301" s="534" t="s">
        <v>2130</v>
      </c>
      <c r="G301" s="534"/>
      <c r="H301" s="534"/>
      <c r="I301" s="534"/>
      <c r="J301" s="537" t="s">
        <v>2131</v>
      </c>
      <c r="K301" s="652"/>
      <c r="L301" s="537" t="s">
        <v>1940</v>
      </c>
      <c r="M301" s="537"/>
      <c r="N301" s="537" t="s">
        <v>2137</v>
      </c>
      <c r="O301" s="677" t="s">
        <v>2134</v>
      </c>
      <c r="P301" s="568" t="s">
        <v>1818</v>
      </c>
      <c r="Q301" s="537" t="s">
        <v>1848</v>
      </c>
      <c r="R301" s="746" t="s">
        <v>1849</v>
      </c>
      <c r="S301" s="746" t="s">
        <v>375</v>
      </c>
      <c r="T301" s="537" t="s">
        <v>1850</v>
      </c>
      <c r="U301" s="535"/>
    </row>
    <row r="302" spans="2:22" hidden="1" x14ac:dyDescent="0.25">
      <c r="B302" s="533"/>
      <c r="C302" s="533" t="s">
        <v>1477</v>
      </c>
      <c r="D302" s="533" t="str">
        <f>VLOOKUP(C302,'Base de Datos'!$E$7:$AR$390,2,0)</f>
        <v>ORGANIZACIÓN TERPEL S.A.</v>
      </c>
      <c r="E302" s="536">
        <f>VLOOKUP(C302,'Base de Datos'!$E$7:$AR$390,5,0)</f>
        <v>171253333</v>
      </c>
      <c r="F302" s="536">
        <f>VLOOKUP(C302,'Base de Datos'!$E$7:$AR$390,17,0)</f>
        <v>171253333</v>
      </c>
      <c r="G302" s="533"/>
      <c r="H302" s="533"/>
      <c r="I302" s="533"/>
      <c r="J302" s="536">
        <f>VLOOKUP(C302,'Base de Datos'!$E$7:$AR$390,18,0)</f>
        <v>123537109</v>
      </c>
      <c r="K302" s="741"/>
      <c r="L302" s="742">
        <f>VLOOKUP(C302,'Base de Datos'!$E$7:$AR$390,19,0)</f>
        <v>47716224</v>
      </c>
      <c r="M302" s="533"/>
      <c r="N302" s="536" t="str">
        <f ca="1">IF(OR(O302=Hoja1!$D$17,'Presupuesto - PAA 2015'!O302=Hoja1!$D$18),'Presupuesto - PAA 2015'!L302," ")</f>
        <v xml:space="preserve"> </v>
      </c>
      <c r="O302" s="678" t="str">
        <f ca="1">VLOOKUP(C302,'Base de Datos'!$E$7:$AR$390,33,0)</f>
        <v>TERMINO</v>
      </c>
      <c r="P302" s="737"/>
      <c r="Q302" s="533"/>
      <c r="R302" s="743">
        <f>VLOOKUP(C302,'Base de Datos'!$E$7:$AR$390,9,0)</f>
        <v>41961</v>
      </c>
      <c r="S302" s="743">
        <f>VLOOKUP(C302,'Base de Datos'!$E$7:$AR$390,16,0)</f>
        <v>42063</v>
      </c>
      <c r="T302" s="678" t="str">
        <f>VLOOKUP(C302,'Base de Datos'!$E$7:$AR$390,40,0)</f>
        <v>Judith Hernández</v>
      </c>
      <c r="U302" s="535"/>
    </row>
    <row r="303" spans="2:22" hidden="1" x14ac:dyDescent="0.25">
      <c r="B303" s="533"/>
      <c r="C303" s="533" t="s">
        <v>96</v>
      </c>
      <c r="D303" s="533" t="str">
        <f>VLOOKUP(C303,'Base de Datos'!$E$7:$AR$390,2,0)</f>
        <v>ORGANIZACIÓN TERPEL S.A.</v>
      </c>
      <c r="E303" s="536">
        <f>VLOOKUP(C303,'Base de Datos'!$E$7:$AR$390,5,0)</f>
        <v>351295000</v>
      </c>
      <c r="F303" s="536">
        <f>VLOOKUP(C303,'Base de Datos'!$E$7:$AR$390,17,0)</f>
        <v>473134060</v>
      </c>
      <c r="G303" s="533"/>
      <c r="H303" s="533"/>
      <c r="I303" s="533"/>
      <c r="J303" s="536">
        <f>VLOOKUP(C303,'Base de Datos'!$E$7:$AR$390,18,0)</f>
        <v>473133510</v>
      </c>
      <c r="K303" s="600"/>
      <c r="L303" s="742">
        <f>VLOOKUP(C303,'Base de Datos'!$E$7:$AR$390,19,0)</f>
        <v>550</v>
      </c>
      <c r="M303" s="533"/>
      <c r="N303" s="536" t="str">
        <f ca="1">IF(OR(O303=Hoja1!$D$17,'Presupuesto - PAA 2015'!O303=Hoja1!$D$18),'Presupuesto - PAA 2015'!L303," ")</f>
        <v xml:space="preserve"> </v>
      </c>
      <c r="O303" s="678" t="str">
        <f ca="1">VLOOKUP(C303,'Base de Datos'!$E$7:$AR$390,33,0)</f>
        <v>TERMINO</v>
      </c>
      <c r="P303" s="737"/>
      <c r="Q303" s="533"/>
      <c r="R303" s="743">
        <f>VLOOKUP(C303,'Base de Datos'!$E$7:$AR$390,9,0)</f>
        <v>41426</v>
      </c>
      <c r="S303" s="743">
        <f>VLOOKUP(C303,'Base de Datos'!$E$7:$AR$390,16,0)</f>
        <v>41820</v>
      </c>
      <c r="T303" s="678" t="str">
        <f>VLOOKUP(C303,'Base de Datos'!$E$7:$AR$390,40,0)</f>
        <v>Judith Hernández</v>
      </c>
      <c r="U303" s="535"/>
    </row>
    <row r="304" spans="2:22" ht="24" hidden="1" x14ac:dyDescent="0.25">
      <c r="B304" s="533"/>
      <c r="C304" s="533" t="s">
        <v>187</v>
      </c>
      <c r="D304" s="533" t="str">
        <f>VLOOKUP(C304,'Base de Datos'!$E$7:$AR$390,2,0)</f>
        <v>INVERSIONES LIGOL - INVERLIGOL LTD A</v>
      </c>
      <c r="E304" s="536">
        <f>VLOOKUP(C304,'Base de Datos'!$E$7:$AR$390,5,0)</f>
        <v>16804000</v>
      </c>
      <c r="F304" s="536">
        <f>VLOOKUP(C304,'Base de Datos'!$E$7:$AR$390,17,0)</f>
        <v>25204000</v>
      </c>
      <c r="G304" s="533"/>
      <c r="H304" s="533"/>
      <c r="I304" s="533"/>
      <c r="J304" s="536">
        <f>VLOOKUP(C304,'Base de Datos'!$E$7:$AR$390,18,0)</f>
        <v>25201450</v>
      </c>
      <c r="K304" s="600"/>
      <c r="L304" s="742">
        <f>VLOOKUP(C304,'Base de Datos'!$E$7:$AR$390,19,0)</f>
        <v>2550</v>
      </c>
      <c r="M304" s="533"/>
      <c r="N304" s="536" t="str">
        <f ca="1">IF(OR(O304=Hoja1!$D$17,'Presupuesto - PAA 2015'!O304=Hoja1!$D$18),'Presupuesto - PAA 2015'!L304," ")</f>
        <v xml:space="preserve"> </v>
      </c>
      <c r="O304" s="678" t="str">
        <f ca="1">VLOOKUP(C304,'Base de Datos'!$E$7:$AR$390,33,0)</f>
        <v>TERMINO</v>
      </c>
      <c r="P304" s="737"/>
      <c r="Q304" s="533"/>
      <c r="R304" s="743">
        <f>VLOOKUP(C304,'Base de Datos'!$E$7:$AR$390,9,0)</f>
        <v>41523</v>
      </c>
      <c r="S304" s="743">
        <f>VLOOKUP(C304,'Base de Datos'!$E$7:$AR$390,16,0)</f>
        <v>42099</v>
      </c>
      <c r="T304" s="678" t="str">
        <f>VLOOKUP(C304,'Base de Datos'!$E$7:$AR$390,40,0)</f>
        <v>Luisa Fernanda Gutiérrez</v>
      </c>
      <c r="U304" s="535"/>
    </row>
    <row r="305" spans="2:21" hidden="1" x14ac:dyDescent="0.25">
      <c r="B305" s="533"/>
      <c r="C305" s="533" t="s">
        <v>285</v>
      </c>
      <c r="D305" s="533" t="str">
        <f>VLOOKUP(C305,'Base de Datos'!$E$7:$AR$390,2,0)</f>
        <v>ORGANIZACIÓN TERPEL S.A.</v>
      </c>
      <c r="E305" s="536">
        <f>VLOOKUP(C305,'Base de Datos'!$E$7:$AR$390,5,0)</f>
        <v>251750000</v>
      </c>
      <c r="F305" s="536">
        <f>VLOOKUP(C305,'Base de Datos'!$E$7:$AR$390,17,0)</f>
        <v>251750000</v>
      </c>
      <c r="G305" s="533"/>
      <c r="H305" s="533"/>
      <c r="I305" s="533"/>
      <c r="J305" s="536">
        <f>VLOOKUP(C305,'Base de Datos'!$E$7:$AR$390,18,0)</f>
        <v>180186681</v>
      </c>
      <c r="K305" s="600"/>
      <c r="L305" s="742">
        <f>VLOOKUP(C305,'Base de Datos'!$E$7:$AR$390,19,0)</f>
        <v>71563319</v>
      </c>
      <c r="M305" s="533"/>
      <c r="N305" s="536" t="str">
        <f ca="1">IF(OR(O305=Hoja1!$D$17,'Presupuesto - PAA 2015'!O305=Hoja1!$D$18),'Presupuesto - PAA 2015'!L305," ")</f>
        <v xml:space="preserve"> </v>
      </c>
      <c r="O305" s="678" t="str">
        <f ca="1">VLOOKUP(C305,'Base de Datos'!$E$7:$AR$390,33,0)</f>
        <v>TERMINO</v>
      </c>
      <c r="P305" s="737"/>
      <c r="Q305" s="533"/>
      <c r="R305" s="743">
        <f>VLOOKUP(C305,'Base de Datos'!$E$7:$AR$390,9,0)</f>
        <v>41806</v>
      </c>
      <c r="S305" s="743">
        <f>VLOOKUP(C305,'Base de Datos'!$E$7:$AR$390,16,0)</f>
        <v>41959</v>
      </c>
      <c r="T305" s="678" t="str">
        <f>VLOOKUP(C305,'Base de Datos'!$E$7:$AR$390,40,0)</f>
        <v>Judith Hernández</v>
      </c>
      <c r="U305" s="535"/>
    </row>
    <row r="306" spans="2:21" hidden="1" x14ac:dyDescent="0.25">
      <c r="B306" s="533"/>
      <c r="C306" s="533"/>
      <c r="D306" s="533"/>
      <c r="E306" s="533"/>
      <c r="F306" s="533"/>
      <c r="G306" s="533"/>
      <c r="H306" s="533"/>
      <c r="I306" s="533"/>
      <c r="J306" s="533"/>
      <c r="K306" s="600"/>
      <c r="L306" s="533"/>
      <c r="M306" s="533"/>
      <c r="N306" s="533"/>
      <c r="O306" s="691"/>
      <c r="P306" s="737"/>
      <c r="Q306" s="533"/>
      <c r="R306" s="744"/>
      <c r="S306" s="744"/>
      <c r="T306" s="533"/>
      <c r="U306" s="535"/>
    </row>
    <row r="307" spans="2:21" hidden="1" x14ac:dyDescent="0.25">
      <c r="B307" s="1181" t="s">
        <v>1650</v>
      </c>
      <c r="C307" s="1181"/>
      <c r="D307" s="1181"/>
      <c r="E307" s="581">
        <f>SUM(E309:E310)</f>
        <v>342237000</v>
      </c>
      <c r="F307" s="581">
        <f>SUM(F309:F310)</f>
        <v>342237000</v>
      </c>
      <c r="G307" s="586"/>
      <c r="H307" s="586"/>
      <c r="I307" s="586"/>
      <c r="J307" s="581">
        <f>SUM(J309:J310)</f>
        <v>341465682</v>
      </c>
      <c r="K307" s="603">
        <f>+J307/F307</f>
        <v>0.99774624602249318</v>
      </c>
      <c r="L307" s="581">
        <f>SUM(L309:L310)</f>
        <v>15839569</v>
      </c>
      <c r="M307" s="632">
        <f>+E307-(J307+L307)</f>
        <v>-15068251</v>
      </c>
      <c r="N307" s="581">
        <f ca="1">SUM(N309:N310)</f>
        <v>0</v>
      </c>
      <c r="O307" s="684"/>
      <c r="P307" s="591" t="str">
        <f>IF(ISERROR(VLOOKUP(B307,'Base de Datos'!$C$7:$N$315,8,0))=TRUE," ",(VLOOKUP(B307,'Base de Datos'!$C$7:$N$315,8,0)))</f>
        <v xml:space="preserve"> </v>
      </c>
      <c r="Q307" s="592"/>
      <c r="R307" s="745" t="str">
        <f>IF(ISERROR(VLOOKUP(B307,'Base de Datos'!$C$7:$N$315,9,0))=TRUE," ",(VLOOKUP(B307,'Base de Datos'!$C$7:$N$315,9,0)))</f>
        <v xml:space="preserve"> </v>
      </c>
      <c r="S307" s="745" t="str">
        <f>IF(ISERROR(VLOOKUP(B307,'Base de Datos'!$C$7:$N$315,10,0))=TRUE," ",(VLOOKUP(B307,'Base de Datos'!$C$7:$N$315,10,0)))</f>
        <v xml:space="preserve"> </v>
      </c>
      <c r="T307" s="592"/>
    </row>
    <row r="308" spans="2:21" ht="24" hidden="1" x14ac:dyDescent="0.25">
      <c r="B308" s="537" t="s">
        <v>2128</v>
      </c>
      <c r="C308" s="537" t="s">
        <v>912</v>
      </c>
      <c r="D308" s="537" t="s">
        <v>1822</v>
      </c>
      <c r="E308" s="545" t="s">
        <v>1845</v>
      </c>
      <c r="F308" s="534" t="s">
        <v>2130</v>
      </c>
      <c r="G308" s="534"/>
      <c r="H308" s="534"/>
      <c r="I308" s="534"/>
      <c r="J308" s="537" t="s">
        <v>2131</v>
      </c>
      <c r="K308" s="652"/>
      <c r="L308" s="537" t="s">
        <v>1940</v>
      </c>
      <c r="M308" s="537"/>
      <c r="N308" s="537" t="s">
        <v>2137</v>
      </c>
      <c r="O308" s="677" t="s">
        <v>2134</v>
      </c>
      <c r="P308" s="568" t="s">
        <v>1818</v>
      </c>
      <c r="Q308" s="537" t="s">
        <v>1848</v>
      </c>
      <c r="R308" s="746" t="s">
        <v>1849</v>
      </c>
      <c r="S308" s="746" t="s">
        <v>375</v>
      </c>
      <c r="T308" s="537" t="s">
        <v>1850</v>
      </c>
    </row>
    <row r="309" spans="2:21" ht="21" hidden="1" customHeight="1" x14ac:dyDescent="0.25">
      <c r="B309" s="533"/>
      <c r="C309" s="533" t="s">
        <v>1419</v>
      </c>
      <c r="D309" s="533" t="str">
        <f>VLOOKUP(C309,'Base de Datos'!$E$7:$AR$390,2,0)</f>
        <v>S.O.S. SOLUCIONES DE OFICINA &amp; SUMINISTROS S.A.S.</v>
      </c>
      <c r="E309" s="536">
        <f>VLOOKUP(C309,'Base de Datos'!$E$7:$AR$390,5,0)</f>
        <v>4750000</v>
      </c>
      <c r="F309" s="536">
        <f>VLOOKUP(C309,'Base de Datos'!$E$7:$AR$390,17,0)</f>
        <v>4750000</v>
      </c>
      <c r="G309" s="533"/>
      <c r="H309" s="533"/>
      <c r="I309" s="533"/>
      <c r="J309" s="536">
        <f>VLOOKUP(C309,'Base de Datos'!$E$7:$AR$390,18,0)</f>
        <v>3978684</v>
      </c>
      <c r="K309" s="600"/>
      <c r="L309" s="742">
        <f>VLOOKUP(C309,'Base de Datos'!$E$7:$AR$390,19,0)</f>
        <v>771316</v>
      </c>
      <c r="M309" s="533"/>
      <c r="N309" s="536" t="str">
        <f ca="1">IF(OR(O309=Hoja1!$D$17,'Presupuesto - PAA 2015'!O309=Hoja1!$D$18),'Presupuesto - PAA 2015'!L309," ")</f>
        <v xml:space="preserve"> </v>
      </c>
      <c r="O309" s="678" t="str">
        <f ca="1">VLOOKUP(C309,'Base de Datos'!$E$7:$AR$390,33,0)</f>
        <v>TERMINO</v>
      </c>
      <c r="P309" s="737"/>
      <c r="Q309" s="533"/>
      <c r="R309" s="743">
        <f>VLOOKUP(C309,'Base de Datos'!$E$7:$AR$390,9,0)</f>
        <v>41968</v>
      </c>
      <c r="S309" s="743">
        <f>VLOOKUP(C309,'Base de Datos'!$E$7:$AR$390,16,0)</f>
        <v>42060</v>
      </c>
      <c r="T309" s="678" t="str">
        <f>VLOOKUP(C309,'Base de Datos'!$E$7:$AR$390,40,0)</f>
        <v>Luisa Fernanda Gutiérrez</v>
      </c>
    </row>
    <row r="310" spans="2:21" ht="24" hidden="1" x14ac:dyDescent="0.25">
      <c r="B310" s="533"/>
      <c r="C310" s="533" t="s">
        <v>287</v>
      </c>
      <c r="D310" s="533" t="str">
        <f>VLOOKUP(C310,'Base de Datos'!$E$7:$AR$390,2,0)</f>
        <v xml:space="preserve">UNIÓN TEMPORAL EMINSER-SOLOASEO </v>
      </c>
      <c r="E310" s="536">
        <f>VLOOKUP(C310,'Base de Datos'!$E$7:$AR$390,5,0)</f>
        <v>337487000</v>
      </c>
      <c r="F310" s="536">
        <f>VLOOKUP(C310,'Base de Datos'!$E$7:$AR$390,17,0)</f>
        <v>337487000</v>
      </c>
      <c r="G310" s="533"/>
      <c r="H310" s="533"/>
      <c r="I310" s="533"/>
      <c r="J310" s="536">
        <f>VLOOKUP(C310,'Base de Datos'!$E$7:$AR$390,18,0)</f>
        <v>337486998</v>
      </c>
      <c r="K310" s="600"/>
      <c r="L310" s="742">
        <v>15068253</v>
      </c>
      <c r="M310" s="533"/>
      <c r="N310" s="536" t="str">
        <f ca="1">IF(OR(O310=Hoja1!$D$17,'Presupuesto - PAA 2015'!O310=Hoja1!$D$18),'Presupuesto - PAA 2015'!L310," ")</f>
        <v xml:space="preserve"> </v>
      </c>
      <c r="O310" s="678" t="str">
        <f ca="1">VLOOKUP(C310,'Base de Datos'!$E$7:$AR$390,33,0)</f>
        <v>TERMINO</v>
      </c>
      <c r="P310" s="737"/>
      <c r="Q310" s="533"/>
      <c r="R310" s="743">
        <f>VLOOKUP(C310,'Base de Datos'!$E$7:$AR$390,9,0)</f>
        <v>41811</v>
      </c>
      <c r="S310" s="743">
        <f>VLOOKUP(C310,'Base de Datos'!$E$7:$AR$390,16,0)</f>
        <v>42186</v>
      </c>
      <c r="T310" s="678" t="str">
        <f>VLOOKUP(C310,'Base de Datos'!$E$7:$AR$390,40,0)</f>
        <v>Luisa Fernanda Gutiérrez</v>
      </c>
    </row>
    <row r="311" spans="2:21" hidden="1" x14ac:dyDescent="0.25">
      <c r="B311" s="533"/>
      <c r="C311" s="533"/>
      <c r="D311" s="533"/>
      <c r="E311" s="533"/>
      <c r="F311" s="533"/>
      <c r="G311" s="533"/>
      <c r="H311" s="533"/>
      <c r="I311" s="533"/>
      <c r="J311" s="533"/>
      <c r="K311" s="600"/>
      <c r="L311" s="533"/>
      <c r="M311" s="533"/>
      <c r="N311" s="533"/>
      <c r="O311" s="691"/>
      <c r="P311" s="737"/>
      <c r="Q311" s="533"/>
      <c r="R311" s="744"/>
      <c r="S311" s="744"/>
      <c r="T311" s="533"/>
    </row>
    <row r="312" spans="2:21" hidden="1" x14ac:dyDescent="0.25">
      <c r="B312" s="1182" t="s">
        <v>1651</v>
      </c>
      <c r="C312" s="1182"/>
      <c r="D312" s="1182"/>
      <c r="E312" s="539">
        <f>+E317+E323+E327+E347+E353+E359+E363+E368+E373+E313</f>
        <v>11295093028</v>
      </c>
      <c r="F312" s="539">
        <f>+F317+F323+F327+F347+F353+F359+F363+F368+F373+F313</f>
        <v>11781673147</v>
      </c>
      <c r="G312" s="540"/>
      <c r="H312" s="540"/>
      <c r="I312" s="540"/>
      <c r="J312" s="539">
        <f>+J317+J323+J327+J347+J353+J359+J363+J368+J373+J313</f>
        <v>10509143155</v>
      </c>
      <c r="K312" s="610">
        <f>+J312/F312</f>
        <v>0.89199072354812114</v>
      </c>
      <c r="L312" s="539">
        <f>+L317+L323+L327+L347+L353+L359+L363+L368+L373+L313</f>
        <v>177086548</v>
      </c>
      <c r="M312" s="653">
        <v>0</v>
      </c>
      <c r="N312" s="539">
        <f ca="1">+N317+N323+N327+N347+N353+N359+N363+N368+N373</f>
        <v>0</v>
      </c>
      <c r="O312" s="689"/>
      <c r="P312" s="543"/>
      <c r="Q312" s="569"/>
      <c r="R312" s="747" t="str">
        <f>IF(ISERROR(VLOOKUP(B312,'Base de Datos'!$C$7:$N$315,9,0))=TRUE," ",(VLOOKUP(B312,'Base de Datos'!$C$7:$N$315,9,0)))</f>
        <v xml:space="preserve"> </v>
      </c>
      <c r="S312" s="747" t="str">
        <f>IF(ISERROR(VLOOKUP(B312,'Base de Datos'!$C$7:$N$315,10,0))=TRUE," ",(VLOOKUP(B312,'Base de Datos'!$C$7:$N$315,10,0)))</f>
        <v xml:space="preserve"> </v>
      </c>
      <c r="T312" s="569"/>
    </row>
    <row r="313" spans="2:21" s="615" customFormat="1" hidden="1" x14ac:dyDescent="0.25">
      <c r="B313" s="1181" t="s">
        <v>2139</v>
      </c>
      <c r="C313" s="1181"/>
      <c r="D313" s="1181"/>
      <c r="E313" s="581">
        <f>SUM(E315:E317)</f>
        <v>7365169309</v>
      </c>
      <c r="F313" s="581">
        <f>SUM(F315:F317)</f>
        <v>7376274309</v>
      </c>
      <c r="G313" s="586"/>
      <c r="H313" s="586"/>
      <c r="I313" s="586"/>
      <c r="J313" s="581">
        <f>SUM(J315:J317)</f>
        <v>6263648676</v>
      </c>
      <c r="K313" s="603">
        <f>+J313/F313</f>
        <v>0.84916157040927098</v>
      </c>
      <c r="L313" s="581">
        <f>SUM(L315:L317)</f>
        <v>2165107</v>
      </c>
      <c r="M313" s="632">
        <v>0</v>
      </c>
      <c r="N313" s="581">
        <f ca="1">SUM(N315:N317)</f>
        <v>0</v>
      </c>
      <c r="O313" s="684"/>
      <c r="P313" s="591" t="str">
        <f>IF(ISERROR(VLOOKUP(B313,'Base de Datos'!$C$7:$N$315,8,0))=TRUE," ",(VLOOKUP(B313,'Base de Datos'!$C$7:$N$315,8,0)))</f>
        <v xml:space="preserve"> </v>
      </c>
      <c r="Q313" s="592"/>
      <c r="R313" s="745" t="str">
        <f>IF(ISERROR(VLOOKUP(B313,'Base de Datos'!$C$7:$N$315,9,0))=TRUE," ",(VLOOKUP(B313,'Base de Datos'!$C$7:$N$315,9,0)))</f>
        <v xml:space="preserve"> </v>
      </c>
      <c r="S313" s="745" t="str">
        <f>IF(ISERROR(VLOOKUP(B313,'Base de Datos'!$C$7:$N$315,10,0))=TRUE," ",(VLOOKUP(B313,'Base de Datos'!$C$7:$N$315,10,0)))</f>
        <v xml:space="preserve"> </v>
      </c>
      <c r="T313" s="592"/>
      <c r="U313" s="656"/>
    </row>
    <row r="314" spans="2:21" s="615" customFormat="1" ht="24" hidden="1" x14ac:dyDescent="0.25">
      <c r="B314" s="537" t="s">
        <v>2128</v>
      </c>
      <c r="C314" s="537" t="s">
        <v>912</v>
      </c>
      <c r="D314" s="537" t="s">
        <v>1822</v>
      </c>
      <c r="E314" s="545" t="s">
        <v>1845</v>
      </c>
      <c r="F314" s="534" t="s">
        <v>2130</v>
      </c>
      <c r="G314" s="534"/>
      <c r="H314" s="534"/>
      <c r="I314" s="534"/>
      <c r="J314" s="537" t="s">
        <v>2131</v>
      </c>
      <c r="K314" s="652"/>
      <c r="L314" s="537" t="s">
        <v>1940</v>
      </c>
      <c r="M314" s="537"/>
      <c r="N314" s="537" t="s">
        <v>2137</v>
      </c>
      <c r="O314" s="677" t="s">
        <v>2134</v>
      </c>
      <c r="P314" s="568" t="s">
        <v>1818</v>
      </c>
      <c r="Q314" s="537" t="s">
        <v>1848</v>
      </c>
      <c r="R314" s="746" t="s">
        <v>1849</v>
      </c>
      <c r="S314" s="746" t="s">
        <v>375</v>
      </c>
      <c r="T314" s="537" t="s">
        <v>1850</v>
      </c>
      <c r="U314" s="656"/>
    </row>
    <row r="315" spans="2:21" s="615" customFormat="1" hidden="1" x14ac:dyDescent="0.25">
      <c r="B315" s="533"/>
      <c r="C315" s="757" t="s">
        <v>92</v>
      </c>
      <c r="D315" s="533" t="str">
        <f>VLOOKUP(C315,'Base de Datos'!$E$7:$AR$390,2,0)</f>
        <v>FONDO DE VIGILANCIA Y SEGURIDAD DE BOGOTÁ</v>
      </c>
      <c r="E315" s="536">
        <f>VLOOKUP(C315,'Base de Datos'!$E$7:$AR$390,5,0)</f>
        <v>7329236109</v>
      </c>
      <c r="F315" s="536">
        <f>VLOOKUP(C315,'Base de Datos'!$E$7:$AR$390,17,0)</f>
        <v>7329236109</v>
      </c>
      <c r="G315" s="533"/>
      <c r="H315" s="533"/>
      <c r="I315" s="533"/>
      <c r="J315" s="536">
        <f>VLOOKUP(C315,'Base de Datos'!$E$7:$AR$390,18,0)</f>
        <v>6218260556</v>
      </c>
      <c r="K315" s="600"/>
      <c r="L315" s="754">
        <v>613019</v>
      </c>
      <c r="M315" s="533"/>
      <c r="N315" s="536" t="str">
        <f>IF(OR(O315=Hoja1!$D$17,'Presupuesto - PAA 2015'!O315=Hoja1!$D$18),'Presupuesto - PAA 2015'!L315," ")</f>
        <v xml:space="preserve"> </v>
      </c>
      <c r="O315" s="678">
        <f>VLOOKUP(C315,'Base de Datos'!$E$7:$AR$390,32,0)</f>
        <v>0</v>
      </c>
      <c r="P315" s="737"/>
      <c r="Q315" s="533"/>
      <c r="R315" s="743">
        <f>VLOOKUP(C315,'Base de Datos'!$E$7:$AR$390,9,0)</f>
        <v>39724</v>
      </c>
      <c r="S315" s="743">
        <f>VLOOKUP(C315,'Base de Datos'!$E$7:$AR$390,16,0)</f>
        <v>41673</v>
      </c>
      <c r="T315" s="678" t="str">
        <f>VLOOKUP(C315,'Base de Datos'!$E$7:$AR$390,40,0)</f>
        <v>Ricardo Rojas</v>
      </c>
      <c r="U315" s="656"/>
    </row>
    <row r="316" spans="2:21" s="615" customFormat="1" hidden="1" x14ac:dyDescent="0.25">
      <c r="B316" s="750"/>
      <c r="C316" s="750"/>
      <c r="D316" s="750"/>
      <c r="E316" s="666"/>
      <c r="F316" s="666"/>
      <c r="G316" s="534"/>
      <c r="H316" s="534"/>
      <c r="I316" s="534"/>
      <c r="J316" s="666"/>
      <c r="K316" s="612"/>
      <c r="L316" s="666"/>
      <c r="M316" s="755"/>
      <c r="N316" s="666"/>
      <c r="O316" s="690"/>
      <c r="P316" s="580"/>
      <c r="Q316" s="614"/>
      <c r="R316" s="756"/>
      <c r="S316" s="756"/>
      <c r="T316" s="614"/>
      <c r="U316" s="656"/>
    </row>
    <row r="317" spans="2:21" hidden="1" x14ac:dyDescent="0.25">
      <c r="B317" s="1181" t="s">
        <v>1652</v>
      </c>
      <c r="C317" s="1181"/>
      <c r="D317" s="1181"/>
      <c r="E317" s="581">
        <f>SUM(E319:E321)</f>
        <v>35933200</v>
      </c>
      <c r="F317" s="581">
        <f>SUM(F319:F321)</f>
        <v>47038200</v>
      </c>
      <c r="G317" s="586"/>
      <c r="H317" s="586"/>
      <c r="I317" s="586"/>
      <c r="J317" s="581">
        <f>SUM(J319:J321)</f>
        <v>45388120</v>
      </c>
      <c r="K317" s="603">
        <f>+J317/F317</f>
        <v>0.96492042637685971</v>
      </c>
      <c r="L317" s="581">
        <f>SUM(L319:L321)</f>
        <v>1552088</v>
      </c>
      <c r="M317" s="632">
        <v>0</v>
      </c>
      <c r="N317" s="581">
        <f ca="1">SUM(N319:N321)</f>
        <v>0</v>
      </c>
      <c r="O317" s="684"/>
      <c r="P317" s="591" t="str">
        <f>IF(ISERROR(VLOOKUP(B317,'Base de Datos'!$C$7:$N$315,8,0))=TRUE," ",(VLOOKUP(B317,'Base de Datos'!$C$7:$N$315,8,0)))</f>
        <v xml:space="preserve"> </v>
      </c>
      <c r="Q317" s="592"/>
      <c r="R317" s="745" t="str">
        <f>IF(ISERROR(VLOOKUP(B317,'Base de Datos'!$C$7:$N$315,9,0))=TRUE," ",(VLOOKUP(B317,'Base de Datos'!$C$7:$N$315,9,0)))</f>
        <v xml:space="preserve"> </v>
      </c>
      <c r="S317" s="745" t="str">
        <f>IF(ISERROR(VLOOKUP(B317,'Base de Datos'!$C$7:$N$315,10,0))=TRUE," ",(VLOOKUP(B317,'Base de Datos'!$C$7:$N$315,10,0)))</f>
        <v xml:space="preserve"> </v>
      </c>
      <c r="T317" s="592"/>
    </row>
    <row r="318" spans="2:21" ht="24" hidden="1" x14ac:dyDescent="0.25">
      <c r="B318" s="537" t="s">
        <v>2128</v>
      </c>
      <c r="C318" s="537" t="s">
        <v>912</v>
      </c>
      <c r="D318" s="537" t="s">
        <v>1822</v>
      </c>
      <c r="E318" s="545" t="s">
        <v>1845</v>
      </c>
      <c r="F318" s="534" t="s">
        <v>2130</v>
      </c>
      <c r="G318" s="534"/>
      <c r="H318" s="534"/>
      <c r="I318" s="534"/>
      <c r="J318" s="537" t="s">
        <v>2131</v>
      </c>
      <c r="K318" s="652"/>
      <c r="L318" s="537" t="s">
        <v>1940</v>
      </c>
      <c r="M318" s="537"/>
      <c r="N318" s="537" t="s">
        <v>2137</v>
      </c>
      <c r="O318" s="677" t="s">
        <v>2134</v>
      </c>
      <c r="P318" s="568" t="s">
        <v>1818</v>
      </c>
      <c r="Q318" s="537" t="s">
        <v>1848</v>
      </c>
      <c r="R318" s="746" t="s">
        <v>1849</v>
      </c>
      <c r="S318" s="746" t="s">
        <v>375</v>
      </c>
      <c r="T318" s="537" t="s">
        <v>1850</v>
      </c>
    </row>
    <row r="319" spans="2:21" hidden="1" x14ac:dyDescent="0.25">
      <c r="B319" s="533"/>
      <c r="C319" s="533" t="s">
        <v>11</v>
      </c>
      <c r="D319" s="533" t="str">
        <f>VLOOKUP(C319,'Base de Datos'!$E$7:$AR$390,2,0)</f>
        <v>DIRECTV COLOMBIA LTDA</v>
      </c>
      <c r="E319" s="536">
        <f>VLOOKUP(C319,'Base de Datos'!$E$7:$AR$390,5,0)</f>
        <v>1633200</v>
      </c>
      <c r="F319" s="536">
        <f>VLOOKUP(C319,'Base de Datos'!$E$7:$AR$390,17,0)</f>
        <v>1918200</v>
      </c>
      <c r="G319" s="533"/>
      <c r="H319" s="533"/>
      <c r="I319" s="533"/>
      <c r="J319" s="536">
        <f>VLOOKUP(C319,'Base de Datos'!$E$7:$AR$390,18,0)</f>
        <v>1755170</v>
      </c>
      <c r="K319" s="600"/>
      <c r="L319" s="754">
        <v>65038</v>
      </c>
      <c r="M319" s="533"/>
      <c r="N319" s="536" t="str">
        <f ca="1">IF(OR(O319=Hoja1!$D$17,'Presupuesto - PAA 2015'!O319=Hoja1!$D$18),'Presupuesto - PAA 2015'!L319," ")</f>
        <v xml:space="preserve"> </v>
      </c>
      <c r="O319" s="678" t="str">
        <f ca="1">VLOOKUP(C319,'Base de Datos'!$E$7:$AR$390,33,0)</f>
        <v>TERMINO</v>
      </c>
      <c r="P319" s="737"/>
      <c r="Q319" s="533"/>
      <c r="R319" s="743">
        <f>VLOOKUP(C319,'Base de Datos'!$E$7:$AR$390,9,0)</f>
        <v>41288</v>
      </c>
      <c r="S319" s="743">
        <f>VLOOKUP(C319,'Base de Datos'!$E$7:$AR$390,16,0)</f>
        <v>41711</v>
      </c>
      <c r="T319" s="678" t="str">
        <f>VLOOKUP(C319,'Base de Datos'!$E$7:$AR$390,40,0)</f>
        <v>Judith Hernández</v>
      </c>
    </row>
    <row r="320" spans="2:21" hidden="1" x14ac:dyDescent="0.25">
      <c r="B320" s="533"/>
      <c r="C320" s="533" t="s">
        <v>129</v>
      </c>
      <c r="D320" s="533" t="str">
        <f>VLOOKUP(C320,'Base de Datos'!$E$7:$AR$390,2,0)</f>
        <v>UNIÓN TEMPORAL INTERPOSTAL URBANEX</v>
      </c>
      <c r="E320" s="536">
        <f>VLOOKUP(C320,'Base de Datos'!$E$7:$AR$390,5,0)</f>
        <v>22300000</v>
      </c>
      <c r="F320" s="536">
        <f>VLOOKUP(C320,'Base de Datos'!$E$7:$AR$390,17,0)</f>
        <v>33120000</v>
      </c>
      <c r="G320" s="533"/>
      <c r="H320" s="533"/>
      <c r="I320" s="533"/>
      <c r="J320" s="536">
        <f>VLOOKUP(C320,'Base de Datos'!$E$7:$AR$390,18,0)</f>
        <v>32832950</v>
      </c>
      <c r="K320" s="600"/>
      <c r="L320" s="742">
        <f>VLOOKUP(C320,'Base de Datos'!$E$7:$AR$390,19,0)</f>
        <v>287050</v>
      </c>
      <c r="M320" s="533"/>
      <c r="N320" s="536" t="str">
        <f>IF(OR(O320=Hoja1!$D$17,'Presupuesto - PAA 2015'!O320=Hoja1!$D$18),'Presupuesto - PAA 2015'!L320," ")</f>
        <v xml:space="preserve"> </v>
      </c>
      <c r="O320" s="751" t="s">
        <v>2133</v>
      </c>
      <c r="P320" s="737" t="s">
        <v>2136</v>
      </c>
      <c r="Q320" s="533"/>
      <c r="R320" s="743">
        <f>VLOOKUP(C320,'Base de Datos'!$E$7:$AR$390,9,0)</f>
        <v>41410</v>
      </c>
      <c r="S320" s="743">
        <f>VLOOKUP(C320,'Base de Datos'!$E$7:$AR$390,16,0)</f>
        <v>41806</v>
      </c>
      <c r="T320" s="678" t="str">
        <f>VLOOKUP(C320,'Base de Datos'!$E$7:$AR$390,40,0)</f>
        <v>Judith Hernández</v>
      </c>
    </row>
    <row r="321" spans="2:21" hidden="1" x14ac:dyDescent="0.25">
      <c r="B321" s="533"/>
      <c r="C321" s="533" t="s">
        <v>300</v>
      </c>
      <c r="D321" s="533" t="str">
        <f>VLOOKUP(C321,'Base de Datos'!$E$7:$AR$390,2,0)</f>
        <v>MUDANZAS EL NOGAL SAS</v>
      </c>
      <c r="E321" s="536">
        <f>VLOOKUP(C321,'Base de Datos'!$E$7:$AR$390,5,0)</f>
        <v>12000000</v>
      </c>
      <c r="F321" s="536">
        <f>VLOOKUP(C321,'Base de Datos'!$E$7:$AR$390,17,0)</f>
        <v>12000000</v>
      </c>
      <c r="G321" s="533"/>
      <c r="H321" s="533"/>
      <c r="I321" s="533"/>
      <c r="J321" s="536">
        <f>VLOOKUP(C321,'Base de Datos'!$E$7:$AR$390,18,0)</f>
        <v>10800000</v>
      </c>
      <c r="K321" s="600"/>
      <c r="L321" s="742">
        <f>VLOOKUP(C321,'Base de Datos'!$E$7:$AR$390,19,0)</f>
        <v>1200000</v>
      </c>
      <c r="M321" s="533"/>
      <c r="N321" s="536" t="str">
        <f ca="1">IF(OR(O321=Hoja1!$D$17,'Presupuesto - PAA 2015'!O321=Hoja1!$D$18),'Presupuesto - PAA 2015'!L321," ")</f>
        <v xml:space="preserve"> </v>
      </c>
      <c r="O321" s="678" t="str">
        <f ca="1">VLOOKUP(C321,'Base de Datos'!$E$7:$AR$390,33,0)</f>
        <v>TERMINO</v>
      </c>
      <c r="P321" s="737"/>
      <c r="Q321" s="533"/>
      <c r="R321" s="743">
        <f>VLOOKUP(C321,'Base de Datos'!$E$7:$AR$390,9,0)</f>
        <v>41824</v>
      </c>
      <c r="S321" s="743">
        <f>VLOOKUP(C321,'Base de Datos'!$E$7:$AR$390,16,0)</f>
        <v>42312</v>
      </c>
      <c r="T321" s="678" t="str">
        <f>VLOOKUP(C321,'Base de Datos'!$E$7:$AR$390,40,0)</f>
        <v>Andrea Casas</v>
      </c>
    </row>
    <row r="322" spans="2:21" hidden="1" x14ac:dyDescent="0.25">
      <c r="B322" s="533"/>
      <c r="C322" s="533"/>
      <c r="D322" s="533"/>
      <c r="E322" s="533"/>
      <c r="F322" s="533"/>
      <c r="G322" s="533"/>
      <c r="H322" s="533"/>
      <c r="I322" s="533"/>
      <c r="J322" s="533"/>
      <c r="K322" s="600"/>
      <c r="L322" s="533"/>
      <c r="M322" s="533"/>
      <c r="N322" s="533"/>
      <c r="O322" s="691"/>
      <c r="P322" s="737"/>
      <c r="Q322" s="533"/>
      <c r="R322" s="744"/>
      <c r="S322" s="744"/>
      <c r="T322" s="533"/>
    </row>
    <row r="323" spans="2:21" hidden="1" x14ac:dyDescent="0.25">
      <c r="B323" s="1181" t="s">
        <v>1653</v>
      </c>
      <c r="C323" s="1181"/>
      <c r="D323" s="1181"/>
      <c r="E323" s="581">
        <f>+E325</f>
        <v>36581760</v>
      </c>
      <c r="F323" s="581">
        <f>+F325</f>
        <v>36581760</v>
      </c>
      <c r="G323" s="586"/>
      <c r="H323" s="586"/>
      <c r="I323" s="586"/>
      <c r="J323" s="581">
        <f>+J325</f>
        <v>34363318</v>
      </c>
      <c r="K323" s="603">
        <f>+J323/F323</f>
        <v>0.93935660832064938</v>
      </c>
      <c r="L323" s="581">
        <f>+L325</f>
        <v>2218442</v>
      </c>
      <c r="M323" s="632">
        <v>0</v>
      </c>
      <c r="N323" s="752">
        <f ca="1">SUM(N325:N326)</f>
        <v>0</v>
      </c>
      <c r="O323" s="684"/>
      <c r="P323" s="591" t="str">
        <f>IF(ISERROR(VLOOKUP(B323,'Base de Datos'!$C$7:$N$315,8,0))=TRUE," ",(VLOOKUP(B323,'Base de Datos'!$C$7:$N$315,8,0)))</f>
        <v xml:space="preserve"> </v>
      </c>
      <c r="Q323" s="592"/>
      <c r="R323" s="745" t="str">
        <f>IF(ISERROR(VLOOKUP(B323,'Base de Datos'!$C$7:$N$315,9,0))=TRUE," ",(VLOOKUP(B323,'Base de Datos'!$C$7:$N$315,9,0)))</f>
        <v xml:space="preserve"> </v>
      </c>
      <c r="S323" s="745" t="str">
        <f>IF(ISERROR(VLOOKUP(B323,'Base de Datos'!$C$7:$N$315,10,0))=TRUE," ",(VLOOKUP(B323,'Base de Datos'!$C$7:$N$315,10,0)))</f>
        <v xml:space="preserve"> </v>
      </c>
      <c r="T323" s="592"/>
      <c r="U323" s="535"/>
    </row>
    <row r="324" spans="2:21" ht="24" hidden="1" x14ac:dyDescent="0.25">
      <c r="B324" s="537" t="s">
        <v>2128</v>
      </c>
      <c r="C324" s="537" t="s">
        <v>912</v>
      </c>
      <c r="D324" s="537" t="s">
        <v>1822</v>
      </c>
      <c r="E324" s="545" t="s">
        <v>1845</v>
      </c>
      <c r="F324" s="534" t="s">
        <v>2130</v>
      </c>
      <c r="G324" s="534"/>
      <c r="H324" s="534"/>
      <c r="I324" s="534"/>
      <c r="J324" s="537" t="s">
        <v>2131</v>
      </c>
      <c r="K324" s="652"/>
      <c r="L324" s="537" t="s">
        <v>1940</v>
      </c>
      <c r="M324" s="537"/>
      <c r="N324" s="537" t="s">
        <v>2137</v>
      </c>
      <c r="O324" s="677" t="s">
        <v>2134</v>
      </c>
      <c r="P324" s="568" t="s">
        <v>1818</v>
      </c>
      <c r="Q324" s="537" t="s">
        <v>1848</v>
      </c>
      <c r="R324" s="746" t="s">
        <v>1849</v>
      </c>
      <c r="S324" s="746" t="s">
        <v>375</v>
      </c>
      <c r="T324" s="537" t="s">
        <v>1850</v>
      </c>
      <c r="U324" s="535"/>
    </row>
    <row r="325" spans="2:21" hidden="1" x14ac:dyDescent="0.25">
      <c r="B325" s="533"/>
      <c r="C325" s="533" t="s">
        <v>294</v>
      </c>
      <c r="D325" s="533" t="str">
        <f>VLOOKUP(C325,'Base de Datos'!$E$7:$AR$390,2,0)</f>
        <v>T Y G MINOLTA</v>
      </c>
      <c r="E325" s="536">
        <f>VLOOKUP(C325,'Base de Datos'!$E$7:$AR$390,5,0)</f>
        <v>36581760</v>
      </c>
      <c r="F325" s="536">
        <f>VLOOKUP(C325,'Base de Datos'!$E$7:$AR$390,17,0)</f>
        <v>36581760</v>
      </c>
      <c r="G325" s="533"/>
      <c r="H325" s="533"/>
      <c r="I325" s="533"/>
      <c r="J325" s="536">
        <f>VLOOKUP(C325,'Base de Datos'!$E$7:$AR$390,18,0)</f>
        <v>34363318</v>
      </c>
      <c r="K325" s="600"/>
      <c r="L325" s="742">
        <f>VLOOKUP(C325,'Base de Datos'!$E$7:$AR$390,19,0)</f>
        <v>2218442</v>
      </c>
      <c r="M325" s="533"/>
      <c r="N325" s="536" t="str">
        <f ca="1">IF(OR(O325=Hoja1!$D$17,'Presupuesto - PAA 2015'!O325=Hoja1!$D$18),'Presupuesto - PAA 2015'!L325," ")</f>
        <v xml:space="preserve"> </v>
      </c>
      <c r="O325" s="678" t="str">
        <f ca="1">VLOOKUP(C325,'Base de Datos'!$E$7:$AR$390,33,0)</f>
        <v>TERMINO</v>
      </c>
      <c r="P325" s="737"/>
      <c r="Q325" s="533"/>
      <c r="R325" s="743">
        <f>VLOOKUP(C325,'Base de Datos'!$E$7:$AR$390,9,0)</f>
        <v>41821</v>
      </c>
      <c r="S325" s="743">
        <f>VLOOKUP(C325,'Base de Datos'!$E$7:$AR$390,16,0)</f>
        <v>42186</v>
      </c>
      <c r="T325" s="678" t="str">
        <f>VLOOKUP(C325,'Base de Datos'!$E$7:$AR$390,40,0)</f>
        <v>Andrea Casas</v>
      </c>
      <c r="U325" s="535"/>
    </row>
    <row r="326" spans="2:21" hidden="1" x14ac:dyDescent="0.25">
      <c r="B326" s="533"/>
      <c r="C326" s="533"/>
      <c r="D326" s="533"/>
      <c r="E326" s="533"/>
      <c r="F326" s="533"/>
      <c r="G326" s="533"/>
      <c r="H326" s="533"/>
      <c r="I326" s="533"/>
      <c r="J326" s="533"/>
      <c r="K326" s="600"/>
      <c r="L326" s="533"/>
      <c r="M326" s="533"/>
      <c r="N326" s="533"/>
      <c r="O326" s="691"/>
      <c r="P326" s="737"/>
      <c r="Q326" s="533"/>
      <c r="R326" s="744"/>
      <c r="S326" s="744"/>
      <c r="T326" s="533"/>
      <c r="U326" s="535"/>
    </row>
    <row r="327" spans="2:21" hidden="1" x14ac:dyDescent="0.25">
      <c r="B327" s="1182" t="s">
        <v>1654</v>
      </c>
      <c r="C327" s="1182"/>
      <c r="D327" s="1182"/>
      <c r="E327" s="539">
        <f>+E328</f>
        <v>1888405314</v>
      </c>
      <c r="F327" s="631">
        <f>+F328</f>
        <v>2089052345</v>
      </c>
      <c r="G327" s="540"/>
      <c r="H327" s="540"/>
      <c r="I327" s="540"/>
      <c r="J327" s="631">
        <f>+J328</f>
        <v>1971374657</v>
      </c>
      <c r="K327" s="610"/>
      <c r="L327" s="631">
        <f>+L328</f>
        <v>130481292</v>
      </c>
      <c r="M327" s="543"/>
      <c r="N327" s="631">
        <f ca="1">+N328</f>
        <v>0</v>
      </c>
      <c r="O327" s="689"/>
      <c r="P327" s="575" t="str">
        <f>IF(ISERROR(VLOOKUP(B327,'Base de Datos'!$C$7:$N$315,8,0))=TRUE," ",(VLOOKUP(B327,'Base de Datos'!$C$7:$N$315,8,0)))</f>
        <v xml:space="preserve"> </v>
      </c>
      <c r="Q327" s="569"/>
      <c r="R327" s="747" t="str">
        <f>IF(ISERROR(VLOOKUP(B327,'Base de Datos'!$C$7:$N$315,9,0))=TRUE," ",(VLOOKUP(B327,'Base de Datos'!$C$7:$N$315,9,0)))</f>
        <v xml:space="preserve"> </v>
      </c>
      <c r="S327" s="747" t="str">
        <f>IF(ISERROR(VLOOKUP(B327,'Base de Datos'!$C$7:$N$315,10,0))=TRUE," ",(VLOOKUP(B327,'Base de Datos'!$C$7:$N$315,10,0)))</f>
        <v xml:space="preserve"> </v>
      </c>
      <c r="T327" s="569"/>
      <c r="U327" s="535"/>
    </row>
    <row r="328" spans="2:21" hidden="1" x14ac:dyDescent="0.25">
      <c r="B328" s="1181" t="s">
        <v>1655</v>
      </c>
      <c r="C328" s="1181"/>
      <c r="D328" s="1181"/>
      <c r="E328" s="581">
        <f>SUM(E330:E345)</f>
        <v>1888405314</v>
      </c>
      <c r="F328" s="581">
        <f>SUM(F330:F345)</f>
        <v>2089052345</v>
      </c>
      <c r="G328" s="586"/>
      <c r="H328" s="586"/>
      <c r="I328" s="586"/>
      <c r="J328" s="581">
        <f>SUM(J330:J345)</f>
        <v>1971374657</v>
      </c>
      <c r="K328" s="603">
        <f>+J328/F328</f>
        <v>0.94366934448452033</v>
      </c>
      <c r="L328" s="581">
        <f>SUM(L330:L345)</f>
        <v>130481292</v>
      </c>
      <c r="M328" s="581"/>
      <c r="N328" s="581">
        <f ca="1">SUM(N330:N345)</f>
        <v>0</v>
      </c>
      <c r="O328" s="684"/>
      <c r="P328" s="591" t="str">
        <f>IF(ISERROR(VLOOKUP(B328,'Base de Datos'!$C$7:$N$315,8,0))=TRUE," ",(VLOOKUP(B328,'Base de Datos'!$C$7:$N$315,8,0)))</f>
        <v xml:space="preserve"> </v>
      </c>
      <c r="Q328" s="592"/>
      <c r="R328" s="745" t="str">
        <f>IF(ISERROR(VLOOKUP(B328,'Base de Datos'!$C$7:$N$315,9,0))=TRUE," ",(VLOOKUP(B328,'Base de Datos'!$C$7:$N$315,9,0)))</f>
        <v xml:space="preserve"> </v>
      </c>
      <c r="S328" s="745" t="str">
        <f>IF(ISERROR(VLOOKUP(B328,'Base de Datos'!$C$7:$N$315,10,0))=TRUE," ",(VLOOKUP(B328,'Base de Datos'!$C$7:$N$315,10,0)))</f>
        <v xml:space="preserve"> </v>
      </c>
      <c r="T328" s="592"/>
      <c r="U328" s="535"/>
    </row>
    <row r="329" spans="2:21" ht="24" hidden="1" x14ac:dyDescent="0.25">
      <c r="B329" s="537" t="s">
        <v>2128</v>
      </c>
      <c r="C329" s="537" t="s">
        <v>912</v>
      </c>
      <c r="D329" s="537" t="s">
        <v>1822</v>
      </c>
      <c r="E329" s="545" t="s">
        <v>1845</v>
      </c>
      <c r="F329" s="534" t="s">
        <v>2130</v>
      </c>
      <c r="G329" s="534"/>
      <c r="H329" s="534"/>
      <c r="I329" s="534"/>
      <c r="J329" s="537" t="s">
        <v>2131</v>
      </c>
      <c r="K329" s="652"/>
      <c r="L329" s="537" t="s">
        <v>1940</v>
      </c>
      <c r="M329" s="537"/>
      <c r="N329" s="537" t="s">
        <v>2137</v>
      </c>
      <c r="O329" s="677" t="s">
        <v>2134</v>
      </c>
      <c r="P329" s="568" t="s">
        <v>1818</v>
      </c>
      <c r="Q329" s="537" t="s">
        <v>1848</v>
      </c>
      <c r="R329" s="746" t="s">
        <v>1849</v>
      </c>
      <c r="S329" s="746" t="s">
        <v>375</v>
      </c>
      <c r="T329" s="537" t="s">
        <v>1850</v>
      </c>
      <c r="U329" s="535"/>
    </row>
    <row r="330" spans="2:21" hidden="1" x14ac:dyDescent="0.25">
      <c r="B330" s="533"/>
      <c r="C330" s="533" t="s">
        <v>302</v>
      </c>
      <c r="D330" s="533" t="str">
        <f>VLOOKUP(C330,'Base de Datos'!$E$7:$AR$390,2,0)</f>
        <v>DIVIEXPORT EU</v>
      </c>
      <c r="E330" s="536">
        <f>VLOOKUP(C330,'Base de Datos'!$E$7:$AR$390,5,0)</f>
        <v>4672000</v>
      </c>
      <c r="F330" s="536">
        <f>VLOOKUP(C330,'Base de Datos'!$E$7:$AR$390,17,0)</f>
        <v>4672000</v>
      </c>
      <c r="G330" s="533"/>
      <c r="H330" s="533"/>
      <c r="I330" s="533"/>
      <c r="J330" s="536">
        <f>VLOOKUP(C330,'Base de Datos'!$E$7:$AR$390,18,0)</f>
        <v>1806200</v>
      </c>
      <c r="K330" s="600"/>
      <c r="L330" s="742">
        <f>VLOOKUP(C330,'Base de Datos'!$E$7:$AR$390,19,0)</f>
        <v>2865800</v>
      </c>
      <c r="M330" s="533"/>
      <c r="N330" s="536" t="str">
        <f>IF(OR(O330=Hoja1!$D$17,'Presupuesto - PAA 2015'!O330=Hoja1!$D$18),'Presupuesto - PAA 2015'!L330," ")</f>
        <v xml:space="preserve"> </v>
      </c>
      <c r="O330" s="751" t="s">
        <v>2133</v>
      </c>
      <c r="P330" s="737" t="s">
        <v>2136</v>
      </c>
      <c r="Q330" s="533"/>
      <c r="R330" s="743">
        <f>VLOOKUP(C330,'Base de Datos'!$E$7:$AR$390,9,0)</f>
        <v>41835</v>
      </c>
      <c r="S330" s="743">
        <f>VLOOKUP(C330,'Base de Datos'!$E$7:$AR$390,16,0)</f>
        <v>42050</v>
      </c>
      <c r="T330" s="678" t="str">
        <f>VLOOKUP(C330,'Base de Datos'!$E$7:$AR$390,40,0)</f>
        <v>Lizeth González</v>
      </c>
      <c r="U330" s="535"/>
    </row>
    <row r="331" spans="2:21" hidden="1" x14ac:dyDescent="0.25">
      <c r="B331" s="533"/>
      <c r="C331" s="533" t="s">
        <v>271</v>
      </c>
      <c r="D331" s="533" t="str">
        <f>VLOOKUP(C331,'Base de Datos'!$E$7:$AR$390,2,0)</f>
        <v>MODULARES OFIMA LTDA</v>
      </c>
      <c r="E331" s="536">
        <f>VLOOKUP(C331,'Base de Datos'!$E$7:$AR$390,5,0)</f>
        <v>28000000</v>
      </c>
      <c r="F331" s="536">
        <f>VLOOKUP(C331,'Base de Datos'!$E$7:$AR$390,17,0)</f>
        <v>28000000</v>
      </c>
      <c r="G331" s="533"/>
      <c r="H331" s="533"/>
      <c r="I331" s="533"/>
      <c r="J331" s="536">
        <f>VLOOKUP(C331,'Base de Datos'!$E$7:$AR$390,18,0)</f>
        <v>10978240</v>
      </c>
      <c r="K331" s="600"/>
      <c r="L331" s="742">
        <f>VLOOKUP(C331,'Base de Datos'!$E$7:$AR$390,19,0)</f>
        <v>17021760</v>
      </c>
      <c r="M331" s="533"/>
      <c r="N331" s="536" t="str">
        <f ca="1">IF(OR(O331=Hoja1!$D$17,'Presupuesto - PAA 2015'!O331=Hoja1!$D$18),'Presupuesto - PAA 2015'!L331," ")</f>
        <v xml:space="preserve"> </v>
      </c>
      <c r="O331" s="751" t="str">
        <f ca="1">VLOOKUP(C331,'Base de Datos'!$E$7:$AR$390,33,0)</f>
        <v>TERMINO</v>
      </c>
      <c r="P331" s="737" t="s">
        <v>2136</v>
      </c>
      <c r="Q331" s="533"/>
      <c r="R331" s="743">
        <f>VLOOKUP(C331,'Base de Datos'!$E$7:$AR$390,9,0)</f>
        <v>41738</v>
      </c>
      <c r="S331" s="743">
        <f>VLOOKUP(C331,'Base de Datos'!$E$7:$AR$390,16,0)</f>
        <v>41951</v>
      </c>
      <c r="T331" s="678" t="str">
        <f>VLOOKUP(C331,'Base de Datos'!$E$7:$AR$390,40,0)</f>
        <v>Lizeth González</v>
      </c>
      <c r="U331" s="535"/>
    </row>
    <row r="332" spans="2:21" hidden="1" x14ac:dyDescent="0.25">
      <c r="B332" s="533"/>
      <c r="C332" s="533" t="s">
        <v>279</v>
      </c>
      <c r="D332" s="533" t="str">
        <f>VLOOKUP(C332,'Base de Datos'!$E$7:$AR$390,2,0)</f>
        <v>HERNANDO  BULLA ORJUELA</v>
      </c>
      <c r="E332" s="536">
        <f>VLOOKUP(C332,'Base de Datos'!$E$7:$AR$390,5,0)</f>
        <v>20872000</v>
      </c>
      <c r="F332" s="536">
        <f>VLOOKUP(C332,'Base de Datos'!$E$7:$AR$390,17,0)</f>
        <v>31218000</v>
      </c>
      <c r="G332" s="533"/>
      <c r="H332" s="533"/>
      <c r="I332" s="533"/>
      <c r="J332" s="536">
        <f>VLOOKUP(C332,'Base de Datos'!$E$7:$AR$390,18,0)</f>
        <v>29571427</v>
      </c>
      <c r="K332" s="600"/>
      <c r="L332" s="742">
        <f>VLOOKUP(C332,'Base de Datos'!$E$7:$AR$390,19,0)</f>
        <v>1646573</v>
      </c>
      <c r="M332" s="533"/>
      <c r="N332" s="536" t="str">
        <f ca="1">IF(OR(O332=Hoja1!$D$17,'Presupuesto - PAA 2015'!O332=Hoja1!$D$18),'Presupuesto - PAA 2015'!L332," ")</f>
        <v xml:space="preserve"> </v>
      </c>
      <c r="O332" s="751" t="str">
        <f ca="1">VLOOKUP(C332,'Base de Datos'!$E$7:$AR$390,33,0)</f>
        <v>TERMINO</v>
      </c>
      <c r="P332" s="737" t="s">
        <v>2136</v>
      </c>
      <c r="Q332" s="533"/>
      <c r="R332" s="743">
        <f>VLOOKUP(C332,'Base de Datos'!$E$7:$AR$390,9,0)</f>
        <v>41757</v>
      </c>
      <c r="S332" s="743">
        <f>VLOOKUP(C332,'Base de Datos'!$E$7:$AR$390,16,0)</f>
        <v>42091</v>
      </c>
      <c r="T332" s="678" t="str">
        <f>VLOOKUP(C332,'Base de Datos'!$E$7:$AR$390,40,0)</f>
        <v>Nayive Carrasco</v>
      </c>
      <c r="U332" s="535"/>
    </row>
    <row r="333" spans="2:21" hidden="1" x14ac:dyDescent="0.25">
      <c r="B333" s="533"/>
      <c r="C333" s="533" t="s">
        <v>268</v>
      </c>
      <c r="D333" s="533" t="str">
        <f>VLOOKUP(C333,'Base de Datos'!$E$7:$AR$390,2,0)</f>
        <v>MITSUBISHIS ELECTRIC DE COLOMBIA LTDA</v>
      </c>
      <c r="E333" s="536">
        <f>VLOOKUP(C333,'Base de Datos'!$E$7:$AR$390,5,0)</f>
        <v>16555000</v>
      </c>
      <c r="F333" s="536">
        <f>VLOOKUP(C333,'Base de Datos'!$E$7:$AR$390,17,0)</f>
        <v>16555000</v>
      </c>
      <c r="G333" s="533"/>
      <c r="H333" s="533"/>
      <c r="I333" s="533"/>
      <c r="J333" s="536">
        <f>VLOOKUP(C333,'Base de Datos'!$E$7:$AR$390,18,0)</f>
        <v>15762669</v>
      </c>
      <c r="K333" s="600"/>
      <c r="L333" s="742">
        <f>VLOOKUP(C333,'Base de Datos'!$E$7:$AR$390,19,0)</f>
        <v>792331</v>
      </c>
      <c r="M333" s="533"/>
      <c r="N333" s="536" t="str">
        <f ca="1">IF(OR(O333=Hoja1!$D$17,'Presupuesto - PAA 2015'!O333=Hoja1!$D$18),'Presupuesto - PAA 2015'!L333," ")</f>
        <v xml:space="preserve"> </v>
      </c>
      <c r="O333" s="678" t="str">
        <f ca="1">VLOOKUP(C333,'Base de Datos'!$E$7:$AR$390,33,0)</f>
        <v>TERMINO</v>
      </c>
      <c r="P333" s="737"/>
      <c r="Q333" s="533"/>
      <c r="R333" s="743">
        <f>VLOOKUP(C333,'Base de Datos'!$E$7:$AR$390,9,0)</f>
        <v>41732</v>
      </c>
      <c r="S333" s="743">
        <f>VLOOKUP(C333,'Base de Datos'!$E$7:$AR$390,16,0)</f>
        <v>42096</v>
      </c>
      <c r="T333" s="678" t="str">
        <f>VLOOKUP(C333,'Base de Datos'!$E$7:$AR$390,40,0)</f>
        <v>Edward Moreno</v>
      </c>
      <c r="U333" s="535"/>
    </row>
    <row r="334" spans="2:21" hidden="1" x14ac:dyDescent="0.25">
      <c r="B334" s="533"/>
      <c r="C334" s="533" t="s">
        <v>1491</v>
      </c>
      <c r="D334" s="533" t="str">
        <f>VLOOKUP(C334,'Base de Datos'!$E$7:$AR$390,2,0)</f>
        <v>VIGILANCIA ACOSTA LIMITADA</v>
      </c>
      <c r="E334" s="536">
        <f>VLOOKUP(C334,'Base de Datos'!$E$7:$AR$390,5,0)</f>
        <v>300000000</v>
      </c>
      <c r="F334" s="536">
        <f>VLOOKUP(C334,'Base de Datos'!$E$7:$AR$390,17,0)</f>
        <v>300000000</v>
      </c>
      <c r="G334" s="533"/>
      <c r="H334" s="533"/>
      <c r="I334" s="533"/>
      <c r="J334" s="536">
        <f>VLOOKUP(C334,'Base de Datos'!$E$7:$AR$390,18,0)</f>
        <v>238626484</v>
      </c>
      <c r="K334" s="600"/>
      <c r="L334" s="742">
        <f>VLOOKUP(C334,'Base de Datos'!$E$7:$AR$390,19,0)</f>
        <v>61373516</v>
      </c>
      <c r="M334" s="533"/>
      <c r="N334" s="536" t="str">
        <f ca="1">IF(OR(O334=Hoja1!$D$17,'Presupuesto - PAA 2015'!O334=Hoja1!$D$18),'Presupuesto - PAA 2015'!L334," ")</f>
        <v xml:space="preserve"> </v>
      </c>
      <c r="O334" s="678" t="str">
        <f ca="1">VLOOKUP(C334,'Base de Datos'!$E$7:$AR$390,33,0)</f>
        <v>TERMINO</v>
      </c>
      <c r="P334" s="737"/>
      <c r="Q334" s="533"/>
      <c r="R334" s="743">
        <f>VLOOKUP(C334,'Base de Datos'!$E$7:$AR$390,9,0)</f>
        <v>41989</v>
      </c>
      <c r="S334" s="743">
        <f>VLOOKUP(C334,'Base de Datos'!$E$7:$AR$390,16,0)</f>
        <v>42140</v>
      </c>
      <c r="T334" s="678" t="str">
        <f>VLOOKUP(C334,'Base de Datos'!$E$7:$AR$390,40,0)</f>
        <v>Ricardo Rojas</v>
      </c>
      <c r="U334" s="535"/>
    </row>
    <row r="335" spans="2:21" hidden="1" x14ac:dyDescent="0.25">
      <c r="B335" s="533"/>
      <c r="C335" s="533" t="s">
        <v>292</v>
      </c>
      <c r="D335" s="533" t="str">
        <f>VLOOKUP(C335,'Base de Datos'!$E$7:$AR$390,2,0)</f>
        <v>ELKIN MAURICIO DIMAS MONTAYA</v>
      </c>
      <c r="E335" s="536">
        <f>VLOOKUP(C335,'Base de Datos'!$E$7:$AR$390,5,0)</f>
        <v>16390000</v>
      </c>
      <c r="F335" s="536">
        <f>VLOOKUP(C335,'Base de Datos'!$E$7:$AR$390,17,0)</f>
        <v>18714400</v>
      </c>
      <c r="G335" s="533"/>
      <c r="H335" s="533"/>
      <c r="I335" s="533"/>
      <c r="J335" s="536">
        <f>VLOOKUP(C335,'Base de Datos'!$E$7:$AR$390,18,0)</f>
        <v>18714400</v>
      </c>
      <c r="K335" s="600"/>
      <c r="L335" s="742">
        <f>VLOOKUP(C335,'Base de Datos'!$E$7:$AR$390,19,0)</f>
        <v>0</v>
      </c>
      <c r="M335" s="533"/>
      <c r="N335" s="536" t="str">
        <f ca="1">IF(OR(O335=Hoja1!$D$17,'Presupuesto - PAA 2015'!O335=Hoja1!$D$18),'Presupuesto - PAA 2015'!L335," ")</f>
        <v xml:space="preserve"> </v>
      </c>
      <c r="O335" s="678" t="str">
        <f ca="1">VLOOKUP(C335,'Base de Datos'!$E$7:$AR$390,33,0)</f>
        <v>TERMINO</v>
      </c>
      <c r="P335" s="737"/>
      <c r="Q335" s="533"/>
      <c r="R335" s="743">
        <f>VLOOKUP(C335,'Base de Datos'!$E$7:$AR$390,9,0)</f>
        <v>41799</v>
      </c>
      <c r="S335" s="743">
        <f>VLOOKUP(C335,'Base de Datos'!$E$7:$AR$390,16,0)</f>
        <v>42247</v>
      </c>
      <c r="T335" s="678" t="str">
        <f>VLOOKUP(C335,'Base de Datos'!$E$7:$AR$390,40,0)</f>
        <v>Andrea Casas</v>
      </c>
      <c r="U335" s="535"/>
    </row>
    <row r="336" spans="2:21" hidden="1" x14ac:dyDescent="0.25">
      <c r="B336" s="533"/>
      <c r="C336" s="533" t="s">
        <v>401</v>
      </c>
      <c r="D336" s="533" t="str">
        <f>VLOOKUP(C336,'Base de Datos'!$E$7:$AR$390,2,0)</f>
        <v>H &amp; D OFIMAGEN</v>
      </c>
      <c r="E336" s="536">
        <f>VLOOKUP(C336,'Base de Datos'!$E$7:$AR$390,5,0)</f>
        <v>249991314</v>
      </c>
      <c r="F336" s="536">
        <f>VLOOKUP(C336,'Base de Datos'!$E$7:$AR$390,17,0)</f>
        <v>249991314</v>
      </c>
      <c r="G336" s="533"/>
      <c r="H336" s="533"/>
      <c r="I336" s="533"/>
      <c r="J336" s="536">
        <f>VLOOKUP(C336,'Base de Datos'!$E$7:$AR$390,18,0)</f>
        <v>248275406</v>
      </c>
      <c r="K336" s="600"/>
      <c r="L336" s="742">
        <f>VLOOKUP(C336,'Base de Datos'!$E$7:$AR$390,19,0)</f>
        <v>1715908</v>
      </c>
      <c r="M336" s="533"/>
      <c r="N336" s="536" t="str">
        <f ca="1">IF(OR(O336=Hoja1!$D$17,'Presupuesto - PAA 2015'!O336=Hoja1!$D$18),'Presupuesto - PAA 2015'!L336," ")</f>
        <v xml:space="preserve"> </v>
      </c>
      <c r="O336" s="678" t="str">
        <f ca="1">VLOOKUP(C336,'Base de Datos'!$E$7:$AR$390,33,0)</f>
        <v>TERMINO</v>
      </c>
      <c r="P336" s="737"/>
      <c r="Q336" s="533"/>
      <c r="R336" s="743">
        <f>VLOOKUP(C336,'Base de Datos'!$E$7:$AR$390,9,0)</f>
        <v>41837</v>
      </c>
      <c r="S336" s="743">
        <f>VLOOKUP(C336,'Base de Datos'!$E$7:$AR$390,16,0)</f>
        <v>42216</v>
      </c>
      <c r="T336" s="678" t="str">
        <f>VLOOKUP(C336,'Base de Datos'!$E$7:$AR$390,40,0)</f>
        <v>Andrea Casas</v>
      </c>
      <c r="U336" s="535"/>
    </row>
    <row r="337" spans="2:21" hidden="1" x14ac:dyDescent="0.25">
      <c r="B337" s="533"/>
      <c r="C337" s="533" t="s">
        <v>146</v>
      </c>
      <c r="D337" s="533" t="str">
        <f>VLOOKUP(C337,'Base de Datos'!$E$7:$AR$390,2,0)</f>
        <v xml:space="preserve">UNIÓN TEMPORAL EMINSER-SOLOASEO </v>
      </c>
      <c r="E337" s="536">
        <f>VLOOKUP(C337,'Base de Datos'!$E$7:$AR$390,5,0)</f>
        <v>301200000</v>
      </c>
      <c r="F337" s="536">
        <f>VLOOKUP(C337,'Base de Datos'!$E$7:$AR$390,17,0)</f>
        <v>321573359</v>
      </c>
      <c r="G337" s="533"/>
      <c r="H337" s="533"/>
      <c r="I337" s="533"/>
      <c r="J337" s="536">
        <f>VLOOKUP(C337,'Base de Datos'!$E$7:$AR$390,18,0)</f>
        <v>317232018</v>
      </c>
      <c r="K337" s="600"/>
      <c r="L337" s="754">
        <v>1021877</v>
      </c>
      <c r="M337" s="533"/>
      <c r="N337" s="536" t="str">
        <f ca="1">IF(OR(O337=Hoja1!$D$17,'Presupuesto - PAA 2015'!O337=Hoja1!$D$18),'Presupuesto - PAA 2015'!L337," ")</f>
        <v xml:space="preserve"> </v>
      </c>
      <c r="O337" s="751" t="str">
        <f ca="1">VLOOKUP(C337,'Base de Datos'!$E$7:$AR$390,33,0)</f>
        <v>TERMINO</v>
      </c>
      <c r="P337" s="737" t="s">
        <v>2136</v>
      </c>
      <c r="Q337" s="533"/>
      <c r="R337" s="743">
        <f>VLOOKUP(C337,'Base de Datos'!$E$7:$AR$390,9,0)</f>
        <v>41446</v>
      </c>
      <c r="S337" s="743">
        <f>VLOOKUP(C337,'Base de Datos'!$E$7:$AR$390,16,0)</f>
        <v>41810</v>
      </c>
      <c r="T337" s="678" t="str">
        <f>VLOOKUP(C337,'Base de Datos'!$E$7:$AR$390,40,0)</f>
        <v>Judith Hernández</v>
      </c>
      <c r="U337" s="535"/>
    </row>
    <row r="338" spans="2:21" ht="18.75" hidden="1" customHeight="1" x14ac:dyDescent="0.25">
      <c r="B338" s="533"/>
      <c r="C338" s="533" t="s">
        <v>400</v>
      </c>
      <c r="D338" s="533" t="str">
        <f>VLOOKUP(C338,'Base de Datos'!$E$7:$AR$390,2,0)</f>
        <v>SODINLEC LTDA</v>
      </c>
      <c r="E338" s="536">
        <f>VLOOKUP(C338,'Base de Datos'!$E$7:$AR$390,5,0)</f>
        <v>10564000</v>
      </c>
      <c r="F338" s="536">
        <f>VLOOKUP(C338,'Base de Datos'!$E$7:$AR$390,17,0)</f>
        <v>10564000</v>
      </c>
      <c r="G338" s="533"/>
      <c r="H338" s="533"/>
      <c r="I338" s="533"/>
      <c r="J338" s="536">
        <f>VLOOKUP(C338,'Base de Datos'!$E$7:$AR$390,18,0)</f>
        <v>10055157</v>
      </c>
      <c r="K338" s="600"/>
      <c r="L338" s="742">
        <f>VLOOKUP(C338,'Base de Datos'!$E$7:$AR$390,19,0)</f>
        <v>508843</v>
      </c>
      <c r="M338" s="533"/>
      <c r="N338" s="536" t="str">
        <f ca="1">IF(OR(O338=Hoja1!$D$17,'Presupuesto - PAA 2015'!O338=Hoja1!$D$18),'Presupuesto - PAA 2015'!L338," ")</f>
        <v xml:space="preserve"> </v>
      </c>
      <c r="O338" s="678" t="str">
        <f ca="1">VLOOKUP(C338,'Base de Datos'!$E$7:$AR$390,33,0)</f>
        <v>TERMINO</v>
      </c>
      <c r="P338" s="737"/>
      <c r="Q338" s="533"/>
      <c r="R338" s="743">
        <f>VLOOKUP(C338,'Base de Datos'!$E$7:$AR$390,9,0)</f>
        <v>41793</v>
      </c>
      <c r="S338" s="743">
        <f>VLOOKUP(C338,'Base de Datos'!$E$7:$AR$390,16,0)</f>
        <v>42096</v>
      </c>
      <c r="T338" s="678" t="str">
        <f>VLOOKUP(C338,'Base de Datos'!$E$7:$AR$390,40,0)</f>
        <v>Luisa Fernanda Gutiérrez</v>
      </c>
      <c r="U338" s="535"/>
    </row>
    <row r="339" spans="2:21" ht="24" hidden="1" x14ac:dyDescent="0.25">
      <c r="B339" s="533"/>
      <c r="C339" s="533" t="s">
        <v>213</v>
      </c>
      <c r="D339" s="533" t="str">
        <f>VLOOKUP(C339,'Base de Datos'!$E$7:$AR$390,2,0)</f>
        <v>UNIÓN TEMPORAL VIGILANCIA ACOSTA LTDA  - RUMBO ASOCIADOS</v>
      </c>
      <c r="E339" s="536">
        <f>VLOOKUP(C339,'Base de Datos'!$E$7:$AR$390,5,0)</f>
        <v>533636000</v>
      </c>
      <c r="F339" s="536">
        <f>VLOOKUP(C339,'Base de Datos'!$E$7:$AR$390,17,0)</f>
        <v>692839272</v>
      </c>
      <c r="G339" s="533"/>
      <c r="H339" s="533"/>
      <c r="I339" s="533"/>
      <c r="J339" s="536">
        <f>VLOOKUP(C339,'Base de Datos'!$E$7:$AR$390,18,0)</f>
        <v>678164443</v>
      </c>
      <c r="K339" s="600"/>
      <c r="L339" s="742">
        <f>VLOOKUP(C339,'Base de Datos'!$E$7:$AR$390,19,0)</f>
        <v>14674829</v>
      </c>
      <c r="M339" s="533"/>
      <c r="N339" s="536" t="str">
        <f ca="1">IF(OR(O339=Hoja1!$D$17,'Presupuesto - PAA 2015'!O339=Hoja1!$D$18),'Presupuesto - PAA 2015'!L339," ")</f>
        <v xml:space="preserve"> </v>
      </c>
      <c r="O339" s="751" t="str">
        <f ca="1">VLOOKUP(C339,'Base de Datos'!$E$7:$AR$390,33,0)</f>
        <v>TERMINO</v>
      </c>
      <c r="P339" s="737" t="s">
        <v>2136</v>
      </c>
      <c r="Q339" s="533"/>
      <c r="R339" s="743"/>
      <c r="S339" s="743"/>
      <c r="T339" s="678" t="str">
        <f>VLOOKUP(C339,'Base de Datos'!$E$7:$AR$390,40,0)</f>
        <v>Nayive Carrasco</v>
      </c>
      <c r="U339" s="535"/>
    </row>
    <row r="340" spans="2:21" ht="24" hidden="1" x14ac:dyDescent="0.25">
      <c r="B340" s="533"/>
      <c r="C340" s="533" t="s">
        <v>287</v>
      </c>
      <c r="D340" s="533" t="str">
        <f>VLOOKUP(C340,'Base de Datos'!$E$7:$AR$390,2,0)</f>
        <v xml:space="preserve">UNIÓN TEMPORAL EMINSER-SOLOASEO </v>
      </c>
      <c r="E340" s="536">
        <f>VLOOKUP(C340,'Base de Datos'!$E$7:$AR$390,5,0)</f>
        <v>337487000</v>
      </c>
      <c r="F340" s="536">
        <f>VLOOKUP(C340,'Base de Datos'!$E$7:$AR$390,17,0)</f>
        <v>337487000</v>
      </c>
      <c r="G340" s="533"/>
      <c r="H340" s="533"/>
      <c r="I340" s="533"/>
      <c r="J340" s="536">
        <f>VLOOKUP(C340,'Base de Datos'!$E$7:$AR$390,18,0)</f>
        <v>337486998</v>
      </c>
      <c r="K340" s="600"/>
      <c r="L340" s="742">
        <v>16123070</v>
      </c>
      <c r="M340" s="533"/>
      <c r="N340" s="536" t="str">
        <f ca="1">IF(OR(O340=Hoja1!$D$17,'Presupuesto - PAA 2015'!O340=Hoja1!$D$18),'Presupuesto - PAA 2015'!L340," ")</f>
        <v xml:space="preserve"> </v>
      </c>
      <c r="O340" s="678" t="str">
        <f ca="1">VLOOKUP(C340,'Base de Datos'!$E$7:$AR$390,33,0)</f>
        <v>TERMINO</v>
      </c>
      <c r="P340" s="737"/>
      <c r="Q340" s="533"/>
      <c r="R340" s="743">
        <f>VLOOKUP(C340,'Base de Datos'!$E$7:$AR$390,9,0)</f>
        <v>41811</v>
      </c>
      <c r="S340" s="743">
        <f>VLOOKUP(C340,'Base de Datos'!$E$7:$AR$390,16,0)</f>
        <v>42186</v>
      </c>
      <c r="T340" s="678" t="str">
        <f>VLOOKUP(C340,'Base de Datos'!$E$7:$AR$390,40,0)</f>
        <v>Luisa Fernanda Gutiérrez</v>
      </c>
      <c r="U340" s="535"/>
    </row>
    <row r="341" spans="2:21" hidden="1" x14ac:dyDescent="0.25">
      <c r="B341" s="533"/>
      <c r="C341" s="533" t="s">
        <v>266</v>
      </c>
      <c r="D341" s="533" t="str">
        <f>VLOOKUP(C341,'Base de Datos'!$E$7:$AR$390,2,0)</f>
        <v>SYSTEM NET INGENIERÍA LTDA</v>
      </c>
      <c r="E341" s="536">
        <f>VLOOKUP(C341,'Base de Datos'!$E$7:$AR$390,5,0)</f>
        <v>4982000</v>
      </c>
      <c r="F341" s="536">
        <f>VLOOKUP(C341,'Base de Datos'!$E$7:$AR$390,17,0)</f>
        <v>4982000</v>
      </c>
      <c r="G341" s="533"/>
      <c r="H341" s="533"/>
      <c r="I341" s="533"/>
      <c r="J341" s="536">
        <f>VLOOKUP(C341,'Base de Datos'!$E$7:$AR$390,18,0)</f>
        <v>2832000</v>
      </c>
      <c r="K341" s="600"/>
      <c r="L341" s="742">
        <f>VLOOKUP(C341,'Base de Datos'!$E$7:$AR$390,19,0)</f>
        <v>2150000</v>
      </c>
      <c r="M341" s="533"/>
      <c r="N341" s="536" t="str">
        <f ca="1">IF(OR(O341=Hoja1!$D$17,'Presupuesto - PAA 2015'!O341=Hoja1!$D$18),'Presupuesto - PAA 2015'!L341," ")</f>
        <v xml:space="preserve"> </v>
      </c>
      <c r="O341" s="678" t="str">
        <f ca="1">VLOOKUP(C341,'Base de Datos'!$E$7:$AR$390,33,0)</f>
        <v>TERMINO</v>
      </c>
      <c r="P341" s="737"/>
      <c r="Q341" s="533"/>
      <c r="R341" s="743">
        <f>VLOOKUP(C341,'Base de Datos'!$E$7:$AR$390,9,0)</f>
        <v>41725</v>
      </c>
      <c r="S341" s="743">
        <f>VLOOKUP(C341,'Base de Datos'!$E$7:$AR$390,16,0)</f>
        <v>41969</v>
      </c>
      <c r="T341" s="678" t="str">
        <f>VLOOKUP(C341,'Base de Datos'!$E$7:$AR$390,40,0)</f>
        <v>Andrea Casas</v>
      </c>
      <c r="U341" s="535"/>
    </row>
    <row r="342" spans="2:21" ht="24" hidden="1" x14ac:dyDescent="0.25">
      <c r="B342" s="533"/>
      <c r="C342" s="533" t="s">
        <v>1106</v>
      </c>
      <c r="D342" s="533" t="str">
        <f>VLOOKUP(C342,'Base de Datos'!$E$7:$AR$390,2,0)</f>
        <v>MOTORES Y MAQUINAS MOTORYSA</v>
      </c>
      <c r="E342" s="536">
        <f>VLOOKUP(C342,'Base de Datos'!$E$7:$AR$390,5,0)</f>
        <v>30000000</v>
      </c>
      <c r="F342" s="536">
        <f>VLOOKUP(C342,'Base de Datos'!$E$7:$AR$390,17,0)</f>
        <v>30000000</v>
      </c>
      <c r="G342" s="533"/>
      <c r="H342" s="533"/>
      <c r="I342" s="533"/>
      <c r="J342" s="536">
        <f>VLOOKUP(C342,'Base de Datos'!$E$7:$AR$390,18,0)</f>
        <v>28330110</v>
      </c>
      <c r="K342" s="600"/>
      <c r="L342" s="742">
        <f>VLOOKUP(C342,'Base de Datos'!$E$7:$AR$390,19,0)</f>
        <v>1669890</v>
      </c>
      <c r="M342" s="533"/>
      <c r="N342" s="536" t="str">
        <f ca="1">IF(OR(O342=Hoja1!$D$17,'Presupuesto - PAA 2015'!O342=Hoja1!$D$18),'Presupuesto - PAA 2015'!L342," ")</f>
        <v xml:space="preserve"> </v>
      </c>
      <c r="O342" s="678" t="str">
        <f ca="1">VLOOKUP(C342,'Base de Datos'!$E$7:$AR$390,33,0)</f>
        <v>TERMINO</v>
      </c>
      <c r="P342" s="737"/>
      <c r="Q342" s="533"/>
      <c r="R342" s="743">
        <f>VLOOKUP(C342,'Base de Datos'!$E$7:$AR$390,9,0)</f>
        <v>41703</v>
      </c>
      <c r="S342" s="743">
        <f>VLOOKUP(C342,'Base de Datos'!$E$7:$AR$390,16,0)</f>
        <v>42129</v>
      </c>
      <c r="T342" s="678" t="str">
        <f>VLOOKUP(C342,'Base de Datos'!$E$7:$AR$390,40,0)</f>
        <v>Luisa Fernanda Gutiérrez</v>
      </c>
      <c r="U342" s="535"/>
    </row>
    <row r="343" spans="2:21" ht="24" hidden="1" x14ac:dyDescent="0.25">
      <c r="B343" s="533"/>
      <c r="C343" s="533" t="s">
        <v>187</v>
      </c>
      <c r="D343" s="533" t="str">
        <f>VLOOKUP(C343,'Base de Datos'!$E$7:$AR$390,2,0)</f>
        <v>INVERSIONES LIGOL - INVERLIGOL LTD A</v>
      </c>
      <c r="E343" s="536">
        <f>VLOOKUP(C343,'Base de Datos'!$E$7:$AR$390,5,0)</f>
        <v>16804000</v>
      </c>
      <c r="F343" s="536">
        <f>VLOOKUP(C343,'Base de Datos'!$E$7:$AR$390,17,0)</f>
        <v>25204000</v>
      </c>
      <c r="G343" s="533"/>
      <c r="H343" s="533"/>
      <c r="I343" s="533"/>
      <c r="J343" s="536">
        <f>VLOOKUP(C343,'Base de Datos'!$E$7:$AR$390,18,0)</f>
        <v>25201450</v>
      </c>
      <c r="K343" s="600"/>
      <c r="L343" s="742">
        <f>VLOOKUP(C343,'Base de Datos'!$E$7:$AR$390,19,0)</f>
        <v>2550</v>
      </c>
      <c r="M343" s="533"/>
      <c r="N343" s="536" t="str">
        <f ca="1">IF(OR(O343=Hoja1!$D$17,'Presupuesto - PAA 2015'!O343=Hoja1!$D$18),'Presupuesto - PAA 2015'!L343," ")</f>
        <v xml:space="preserve"> </v>
      </c>
      <c r="O343" s="678" t="str">
        <f ca="1">VLOOKUP(C343,'Base de Datos'!$E$7:$AR$390,33,0)</f>
        <v>TERMINO</v>
      </c>
      <c r="P343" s="737"/>
      <c r="Q343" s="533"/>
      <c r="R343" s="743">
        <f>VLOOKUP(C343,'Base de Datos'!$E$7:$AR$390,9,0)</f>
        <v>41523</v>
      </c>
      <c r="S343" s="743">
        <f>VLOOKUP(C343,'Base de Datos'!$E$7:$AR$390,16,0)</f>
        <v>42099</v>
      </c>
      <c r="T343" s="678" t="str">
        <f>VLOOKUP(C343,'Base de Datos'!$E$7:$AR$390,40,0)</f>
        <v>Luisa Fernanda Gutiérrez</v>
      </c>
      <c r="U343" s="535"/>
    </row>
    <row r="344" spans="2:21" ht="24" hidden="1" x14ac:dyDescent="0.25">
      <c r="B344" s="533"/>
      <c r="C344" s="533" t="s">
        <v>1101</v>
      </c>
      <c r="D344" s="533" t="str">
        <f>VLOOKUP(C344,'Base de Datos'!$E$7:$AR$390,2,0)</f>
        <v>INGENIERÍA DE BOMBAS Y PLANTAS LIMITADA</v>
      </c>
      <c r="E344" s="536">
        <f>VLOOKUP(C344,'Base de Datos'!$E$7:$AR$390,5,0)</f>
        <v>6252000</v>
      </c>
      <c r="F344" s="536">
        <f>VLOOKUP(C344,'Base de Datos'!$E$7:$AR$390,17,0)</f>
        <v>6252000</v>
      </c>
      <c r="G344" s="533"/>
      <c r="H344" s="533"/>
      <c r="I344" s="533"/>
      <c r="J344" s="536">
        <f>VLOOKUP(C344,'Base de Datos'!$E$7:$AR$390,18,0)</f>
        <v>5665189</v>
      </c>
      <c r="K344" s="600"/>
      <c r="L344" s="742">
        <f>VLOOKUP(C344,'Base de Datos'!$E$7:$AR$390,19,0)</f>
        <v>586811</v>
      </c>
      <c r="M344" s="533"/>
      <c r="N344" s="536" t="str">
        <f ca="1">IF(OR(O344=Hoja1!$D$17,'Presupuesto - PAA 2015'!O344=Hoja1!$D$18),'Presupuesto - PAA 2015'!L344," ")</f>
        <v xml:space="preserve"> </v>
      </c>
      <c r="O344" s="678" t="str">
        <f ca="1">VLOOKUP(C344,'Base de Datos'!$E$7:$AR$390,33,0)</f>
        <v>TERMINO</v>
      </c>
      <c r="P344" s="737"/>
      <c r="Q344" s="533"/>
      <c r="R344" s="743">
        <f>VLOOKUP(C344,'Base de Datos'!$E$7:$AR$390,9,0)</f>
        <v>41842</v>
      </c>
      <c r="S344" s="743">
        <f>VLOOKUP(C344,'Base de Datos'!$E$7:$AR$390,16,0)</f>
        <v>42207</v>
      </c>
      <c r="T344" s="678" t="str">
        <f>VLOOKUP(C344,'Base de Datos'!$E$7:$AR$390,40,0)</f>
        <v>Alexander Avendaño</v>
      </c>
      <c r="U344" s="535"/>
    </row>
    <row r="345" spans="2:21" hidden="1" x14ac:dyDescent="0.25">
      <c r="B345" s="533"/>
      <c r="C345" s="533" t="s">
        <v>273</v>
      </c>
      <c r="D345" s="533" t="str">
        <f>VLOOKUP(C345,'Base de Datos'!$E$7:$AR$390,2,0)</f>
        <v>AGR SOLUCIONES S.A.S.</v>
      </c>
      <c r="E345" s="536">
        <f>VLOOKUP(C345,'Base de Datos'!$E$7:$AR$390,5,0)</f>
        <v>11000000</v>
      </c>
      <c r="F345" s="536">
        <f>VLOOKUP(C345,'Base de Datos'!$E$7:$AR$390,17,0)</f>
        <v>11000000</v>
      </c>
      <c r="G345" s="533"/>
      <c r="H345" s="533"/>
      <c r="I345" s="533"/>
      <c r="J345" s="536">
        <f>VLOOKUP(C345,'Base de Datos'!$E$7:$AR$390,18,0)</f>
        <v>2672466</v>
      </c>
      <c r="K345" s="600"/>
      <c r="L345" s="742">
        <f>VLOOKUP(C345,'Base de Datos'!$E$7:$AR$390,19,0)</f>
        <v>8327534</v>
      </c>
      <c r="M345" s="533"/>
      <c r="N345" s="536" t="str">
        <f ca="1">IF(OR(O345=Hoja1!$D$17,'Presupuesto - PAA 2015'!O345=Hoja1!$D$18),'Presupuesto - PAA 2015'!L345," ")</f>
        <v xml:space="preserve"> </v>
      </c>
      <c r="O345" s="678" t="str">
        <f ca="1">VLOOKUP(C345,'Base de Datos'!$E$7:$AR$390,33,0)</f>
        <v>TERMINO</v>
      </c>
      <c r="P345" s="737"/>
      <c r="Q345" s="533"/>
      <c r="R345" s="743">
        <f>VLOOKUP(C345,'Base de Datos'!$E$7:$AR$390,9,0)</f>
        <v>41738</v>
      </c>
      <c r="S345" s="743">
        <f>VLOOKUP(C345,'Base de Datos'!$E$7:$AR$390,16,0)</f>
        <v>42012</v>
      </c>
      <c r="T345" s="678" t="str">
        <f>VLOOKUP(C345,'Base de Datos'!$E$7:$AR$390,40,0)</f>
        <v>Judith Hernández</v>
      </c>
      <c r="U345" s="535"/>
    </row>
    <row r="346" spans="2:21" hidden="1" x14ac:dyDescent="0.25">
      <c r="B346" s="533"/>
      <c r="C346" s="533"/>
      <c r="D346" s="533"/>
      <c r="E346" s="533"/>
      <c r="F346" s="533"/>
      <c r="G346" s="533"/>
      <c r="H346" s="533"/>
      <c r="I346" s="533"/>
      <c r="J346" s="533"/>
      <c r="K346" s="600"/>
      <c r="L346" s="533"/>
      <c r="M346" s="533"/>
      <c r="N346" s="533"/>
      <c r="O346" s="691"/>
      <c r="P346" s="737"/>
      <c r="Q346" s="533"/>
      <c r="R346" s="744"/>
      <c r="S346" s="744"/>
      <c r="T346" s="533"/>
      <c r="U346" s="535"/>
    </row>
    <row r="347" spans="2:21" hidden="1" x14ac:dyDescent="0.25">
      <c r="B347" s="1182" t="s">
        <v>1656</v>
      </c>
      <c r="C347" s="1182"/>
      <c r="D347" s="1182"/>
      <c r="E347" s="539">
        <f>+E348</f>
        <v>3846133</v>
      </c>
      <c r="F347" s="539">
        <f>+F348</f>
        <v>3846133</v>
      </c>
      <c r="G347" s="540"/>
      <c r="H347" s="540"/>
      <c r="I347" s="540"/>
      <c r="J347" s="539">
        <f>+J348</f>
        <v>674854</v>
      </c>
      <c r="K347" s="610">
        <f>+J347/F347</f>
        <v>0.17546299100941126</v>
      </c>
      <c r="L347" s="539">
        <f>+L348</f>
        <v>5482749</v>
      </c>
      <c r="M347" s="543"/>
      <c r="N347" s="539">
        <f>+N348</f>
        <v>0</v>
      </c>
      <c r="O347" s="689"/>
      <c r="P347" s="575" t="str">
        <f>IF(ISERROR(VLOOKUP(B347,'Base de Datos'!$C$7:$N$315,8,0))=TRUE," ",(VLOOKUP(B347,'Base de Datos'!$C$7:$N$315,8,0)))</f>
        <v xml:space="preserve"> </v>
      </c>
      <c r="Q347" s="569"/>
      <c r="R347" s="747" t="str">
        <f>IF(ISERROR(VLOOKUP(B347,'Base de Datos'!$C$7:$N$315,9,0))=TRUE," ",(VLOOKUP(B347,'Base de Datos'!$C$7:$N$315,9,0)))</f>
        <v xml:space="preserve"> </v>
      </c>
      <c r="S347" s="747" t="str">
        <f>IF(ISERROR(VLOOKUP(B347,'Base de Datos'!$C$7:$N$315,10,0))=TRUE," ",(VLOOKUP(B347,'Base de Datos'!$C$7:$N$315,10,0)))</f>
        <v xml:space="preserve"> </v>
      </c>
      <c r="T347" s="569"/>
      <c r="U347" s="535"/>
    </row>
    <row r="348" spans="2:21" hidden="1" x14ac:dyDescent="0.25">
      <c r="B348" s="1181" t="s">
        <v>1657</v>
      </c>
      <c r="C348" s="1181"/>
      <c r="D348" s="1181"/>
      <c r="E348" s="581">
        <f>SUM(E350:E351)</f>
        <v>3846133</v>
      </c>
      <c r="F348" s="581">
        <f>SUM(F350:F351)</f>
        <v>3846133</v>
      </c>
      <c r="G348" s="586"/>
      <c r="H348" s="586"/>
      <c r="I348" s="586"/>
      <c r="J348" s="581">
        <f>SUM(J350:J351)</f>
        <v>674854</v>
      </c>
      <c r="K348" s="603">
        <f>+J348/F348</f>
        <v>0.17546299100941126</v>
      </c>
      <c r="L348" s="581">
        <f>SUM(L350:L351)</f>
        <v>5482749</v>
      </c>
      <c r="M348" s="581"/>
      <c r="N348" s="581">
        <f>SUM(N350:N351)</f>
        <v>0</v>
      </c>
      <c r="O348" s="684"/>
      <c r="P348" s="591" t="str">
        <f>IF(ISERROR(VLOOKUP(B348,'Base de Datos'!$C$7:$N$315,8,0))=TRUE," ",(VLOOKUP(B348,'Base de Datos'!$C$7:$N$315,8,0)))</f>
        <v xml:space="preserve"> </v>
      </c>
      <c r="Q348" s="592"/>
      <c r="R348" s="745" t="str">
        <f>IF(ISERROR(VLOOKUP(B348,'Base de Datos'!$C$7:$N$315,9,0))=TRUE," ",(VLOOKUP(B348,'Base de Datos'!$C$7:$N$315,9,0)))</f>
        <v xml:space="preserve"> </v>
      </c>
      <c r="S348" s="745" t="str">
        <f>IF(ISERROR(VLOOKUP(B348,'Base de Datos'!$C$7:$N$315,10,0))=TRUE," ",(VLOOKUP(B348,'Base de Datos'!$C$7:$N$315,10,0)))</f>
        <v xml:space="preserve"> </v>
      </c>
      <c r="T348" s="592"/>
      <c r="U348" s="535"/>
    </row>
    <row r="349" spans="2:21" ht="24" hidden="1" x14ac:dyDescent="0.25">
      <c r="B349" s="537" t="s">
        <v>2128</v>
      </c>
      <c r="C349" s="537" t="s">
        <v>912</v>
      </c>
      <c r="D349" s="537" t="s">
        <v>1822</v>
      </c>
      <c r="E349" s="545" t="s">
        <v>1845</v>
      </c>
      <c r="F349" s="534" t="s">
        <v>2130</v>
      </c>
      <c r="G349" s="534"/>
      <c r="H349" s="534"/>
      <c r="I349" s="534"/>
      <c r="J349" s="537" t="s">
        <v>2131</v>
      </c>
      <c r="K349" s="652"/>
      <c r="L349" s="537" t="s">
        <v>1940</v>
      </c>
      <c r="M349" s="537"/>
      <c r="N349" s="537" t="s">
        <v>2137</v>
      </c>
      <c r="O349" s="677" t="s">
        <v>2134</v>
      </c>
      <c r="P349" s="568" t="s">
        <v>1818</v>
      </c>
      <c r="Q349" s="537" t="s">
        <v>1848</v>
      </c>
      <c r="R349" s="746" t="s">
        <v>1849</v>
      </c>
      <c r="S349" s="746" t="s">
        <v>375</v>
      </c>
      <c r="T349" s="537" t="s">
        <v>1850</v>
      </c>
      <c r="U349" s="535"/>
    </row>
    <row r="350" spans="2:21" ht="36" hidden="1" x14ac:dyDescent="0.25">
      <c r="B350" s="533"/>
      <c r="C350" s="533" t="s">
        <v>878</v>
      </c>
      <c r="D350" s="533" t="s">
        <v>2138</v>
      </c>
      <c r="E350" s="536"/>
      <c r="F350" s="536"/>
      <c r="G350" s="533"/>
      <c r="H350" s="533"/>
      <c r="I350" s="533"/>
      <c r="J350" s="536">
        <v>674854</v>
      </c>
      <c r="K350" s="600"/>
      <c r="L350" s="742">
        <v>1636616</v>
      </c>
      <c r="M350" s="533"/>
      <c r="N350" s="536"/>
      <c r="O350" s="678"/>
      <c r="P350" s="737"/>
      <c r="Q350" s="533"/>
      <c r="R350" s="743" t="e">
        <f>VLOOKUP(C350,'Base de Datos'!$E$7:$AR$390,9,0)</f>
        <v>#N/A</v>
      </c>
      <c r="S350" s="743" t="e">
        <f>VLOOKUP(C350,'Base de Datos'!$E$7:$AR$390,16,0)</f>
        <v>#N/A</v>
      </c>
      <c r="T350" s="678"/>
      <c r="U350" s="535"/>
    </row>
    <row r="351" spans="2:21" hidden="1" x14ac:dyDescent="0.25">
      <c r="B351" s="533"/>
      <c r="C351" s="533" t="s">
        <v>919</v>
      </c>
      <c r="D351" s="533" t="str">
        <f>VLOOKUP(C351,'Base de Datos'!$E$7:$AR$390,2,0)</f>
        <v>SEGUROS GENERALES SURAMERICANA</v>
      </c>
      <c r="E351" s="536">
        <f>VLOOKUP(C351,'Base de Datos'!$E$7:$AR$390,5,0)</f>
        <v>3846133</v>
      </c>
      <c r="F351" s="536">
        <f>VLOOKUP(C351,'Base de Datos'!$E$7:$AR$390,17,0)</f>
        <v>3846133</v>
      </c>
      <c r="G351" s="533"/>
      <c r="H351" s="533"/>
      <c r="I351" s="533"/>
      <c r="J351" s="536">
        <f>VLOOKUP(C351,'Base de Datos'!$E$7:$AR$390,18,0)</f>
        <v>0</v>
      </c>
      <c r="K351" s="600"/>
      <c r="L351" s="742">
        <f>VLOOKUP(C351,'Base de Datos'!$E$7:$AR$390,19,0)</f>
        <v>3846133</v>
      </c>
      <c r="M351" s="533"/>
      <c r="N351" s="536" t="str">
        <f>IF(OR(O351=Hoja1!$D$17,'Presupuesto - PAA 2015'!O351=Hoja1!$D$18),'Presupuesto - PAA 2015'!L351," ")</f>
        <v xml:space="preserve"> </v>
      </c>
      <c r="O351" s="678">
        <f>VLOOKUP(C351,'Base de Datos'!$E$7:$AR$390,32,0)</f>
        <v>0</v>
      </c>
      <c r="P351" s="737"/>
      <c r="Q351" s="533"/>
      <c r="R351" s="743">
        <f>VLOOKUP(C351,'Base de Datos'!$E$7:$AR$390,9,0)</f>
        <v>41837</v>
      </c>
      <c r="S351" s="743">
        <f>VLOOKUP(C351,'Base de Datos'!$E$7:$AR$390,16,0)</f>
        <v>42202</v>
      </c>
      <c r="T351" s="678"/>
      <c r="U351" s="535"/>
    </row>
    <row r="352" spans="2:21" hidden="1" x14ac:dyDescent="0.25">
      <c r="B352" s="533"/>
      <c r="C352" s="533"/>
      <c r="D352" s="533"/>
      <c r="E352" s="533"/>
      <c r="F352" s="533"/>
      <c r="G352" s="533"/>
      <c r="H352" s="533"/>
      <c r="I352" s="533"/>
      <c r="J352" s="533"/>
      <c r="K352" s="600"/>
      <c r="L352" s="533"/>
      <c r="M352" s="533"/>
      <c r="N352" s="533"/>
      <c r="O352" s="691"/>
      <c r="P352" s="737"/>
      <c r="Q352" s="533"/>
      <c r="R352" s="744"/>
      <c r="S352" s="744"/>
      <c r="T352" s="533"/>
      <c r="U352" s="535"/>
    </row>
    <row r="353" spans="2:21" hidden="1" x14ac:dyDescent="0.25">
      <c r="B353" s="1182" t="s">
        <v>1665</v>
      </c>
      <c r="C353" s="1182"/>
      <c r="D353" s="1182"/>
      <c r="E353" s="539">
        <f>+E354</f>
        <v>406019488</v>
      </c>
      <c r="F353" s="631">
        <f>+F354</f>
        <v>406019488</v>
      </c>
      <c r="G353" s="540"/>
      <c r="H353" s="540"/>
      <c r="I353" s="540"/>
      <c r="J353" s="543">
        <f>+J354</f>
        <v>406019488</v>
      </c>
      <c r="K353" s="610">
        <f>+J353/F353</f>
        <v>1</v>
      </c>
      <c r="L353" s="543">
        <f>+L354</f>
        <v>0</v>
      </c>
      <c r="M353" s="543"/>
      <c r="N353" s="543">
        <f ca="1">+N354</f>
        <v>0</v>
      </c>
      <c r="O353" s="689"/>
      <c r="P353" s="575" t="str">
        <f>IF(ISERROR(VLOOKUP(B353,'Base de Datos'!$C$7:$N$315,8,0))=TRUE," ",(VLOOKUP(B353,'Base de Datos'!$C$7:$N$315,8,0)))</f>
        <v xml:space="preserve"> </v>
      </c>
      <c r="Q353" s="569"/>
      <c r="R353" s="747" t="str">
        <f>IF(ISERROR(VLOOKUP(B353,'Base de Datos'!$C$7:$N$315,9,0))=TRUE," ",(VLOOKUP(B353,'Base de Datos'!$C$7:$N$315,9,0)))</f>
        <v xml:space="preserve"> </v>
      </c>
      <c r="S353" s="747" t="str">
        <f>IF(ISERROR(VLOOKUP(B353,'Base de Datos'!$C$7:$N$315,10,0))=TRUE," ",(VLOOKUP(B353,'Base de Datos'!$C$7:$N$315,10,0)))</f>
        <v xml:space="preserve"> </v>
      </c>
      <c r="T353" s="569"/>
      <c r="U353" s="535"/>
    </row>
    <row r="354" spans="2:21" hidden="1" x14ac:dyDescent="0.25">
      <c r="B354" s="1181" t="s">
        <v>1666</v>
      </c>
      <c r="C354" s="1181"/>
      <c r="D354" s="1181"/>
      <c r="E354" s="581">
        <f>SUM(E356:E357)</f>
        <v>406019488</v>
      </c>
      <c r="F354" s="581">
        <f>SUM(F356:F357)</f>
        <v>406019488</v>
      </c>
      <c r="G354" s="586"/>
      <c r="H354" s="586"/>
      <c r="I354" s="586"/>
      <c r="J354" s="581">
        <f>SUM(J356:J357)</f>
        <v>406019488</v>
      </c>
      <c r="K354" s="603">
        <f>+J354/F354</f>
        <v>1</v>
      </c>
      <c r="L354" s="581">
        <f>SUM(L356:L357)</f>
        <v>0</v>
      </c>
      <c r="M354" s="581"/>
      <c r="N354" s="581">
        <f ca="1">SUM(N356:N357)</f>
        <v>0</v>
      </c>
      <c r="O354" s="684"/>
      <c r="P354" s="591" t="str">
        <f>IF(ISERROR(VLOOKUP(B354,'Base de Datos'!$C$7:$N$315,8,0))=TRUE," ",(VLOOKUP(B354,'Base de Datos'!$C$7:$N$315,8,0)))</f>
        <v xml:space="preserve"> </v>
      </c>
      <c r="Q354" s="592"/>
      <c r="R354" s="745" t="str">
        <f>IF(ISERROR(VLOOKUP(B354,'Base de Datos'!$C$7:$N$315,9,0))=TRUE," ",(VLOOKUP(B354,'Base de Datos'!$C$7:$N$315,9,0)))</f>
        <v xml:space="preserve"> </v>
      </c>
      <c r="S354" s="745" t="str">
        <f>IF(ISERROR(VLOOKUP(B354,'Base de Datos'!$C$7:$N$315,10,0))=TRUE," ",(VLOOKUP(B354,'Base de Datos'!$C$7:$N$315,10,0)))</f>
        <v xml:space="preserve"> </v>
      </c>
      <c r="T354" s="592"/>
      <c r="U354" s="535"/>
    </row>
    <row r="355" spans="2:21" ht="24" hidden="1" x14ac:dyDescent="0.25">
      <c r="B355" s="537" t="s">
        <v>2128</v>
      </c>
      <c r="C355" s="537" t="s">
        <v>912</v>
      </c>
      <c r="D355" s="537" t="s">
        <v>1822</v>
      </c>
      <c r="E355" s="545" t="s">
        <v>1845</v>
      </c>
      <c r="F355" s="534" t="s">
        <v>2130</v>
      </c>
      <c r="G355" s="534"/>
      <c r="H355" s="534"/>
      <c r="I355" s="534"/>
      <c r="J355" s="537" t="s">
        <v>2131</v>
      </c>
      <c r="K355" s="652"/>
      <c r="L355" s="537" t="s">
        <v>1940</v>
      </c>
      <c r="M355" s="537"/>
      <c r="N355" s="537" t="s">
        <v>2137</v>
      </c>
      <c r="O355" s="677" t="s">
        <v>2134</v>
      </c>
      <c r="P355" s="568" t="s">
        <v>1818</v>
      </c>
      <c r="Q355" s="537" t="s">
        <v>1848</v>
      </c>
      <c r="R355" s="746" t="s">
        <v>1849</v>
      </c>
      <c r="S355" s="746" t="s">
        <v>375</v>
      </c>
      <c r="T355" s="537" t="s">
        <v>1850</v>
      </c>
      <c r="U355" s="535"/>
    </row>
    <row r="356" spans="2:21" ht="24" hidden="1" x14ac:dyDescent="0.25">
      <c r="B356" s="533"/>
      <c r="C356" s="533" t="s">
        <v>1537</v>
      </c>
      <c r="D356" s="533" t="str">
        <f>VLOOKUP(C356,'Base de Datos'!$E$7:$AR$390,2,0)</f>
        <v>INSTITUTO COLOMBIANO DE NORMAS TÉCNICAS Y CERTIFICACIÓN ICONTEC</v>
      </c>
      <c r="E356" s="536">
        <f>VLOOKUP(C356,'Base de Datos'!$E$7:$AR$390,5,0)</f>
        <v>4961088</v>
      </c>
      <c r="F356" s="536">
        <f>VLOOKUP(C356,'Base de Datos'!$E$7:$AR$390,17,0)</f>
        <v>4961088</v>
      </c>
      <c r="G356" s="533"/>
      <c r="H356" s="533"/>
      <c r="I356" s="533"/>
      <c r="J356" s="536">
        <f>VLOOKUP(C356,'Base de Datos'!$E$7:$AR$390,18,0)</f>
        <v>4961088</v>
      </c>
      <c r="K356" s="600"/>
      <c r="L356" s="742">
        <f>VLOOKUP(C356,'Base de Datos'!$E$7:$AR$390,19,0)</f>
        <v>0</v>
      </c>
      <c r="M356" s="533"/>
      <c r="N356" s="536" t="str">
        <f ca="1">IF(OR(O356=Hoja1!$D$17,'Presupuesto - PAA 2015'!O356=Hoja1!$D$18),'Presupuesto - PAA 2015'!L356," ")</f>
        <v xml:space="preserve"> </v>
      </c>
      <c r="O356" s="678" t="str">
        <f ca="1">VLOOKUP(C356,'Base de Datos'!$E$7:$AR$390,33,0)</f>
        <v>TERMINO</v>
      </c>
      <c r="P356" s="737"/>
      <c r="Q356" s="533"/>
      <c r="R356" s="743">
        <f>VLOOKUP(C356,'Base de Datos'!$E$7:$AR$390,9,0)</f>
        <v>42178</v>
      </c>
      <c r="S356" s="743">
        <f>VLOOKUP(C356,'Base de Datos'!$E$7:$AR$390,16,0)</f>
        <v>42423</v>
      </c>
      <c r="T356" s="678" t="str">
        <f>VLOOKUP(C356,'Base de Datos'!$E$7:$AR$390,40,0)</f>
        <v>Ricardo Rojas</v>
      </c>
      <c r="U356" s="535"/>
    </row>
    <row r="357" spans="2:21" ht="24" hidden="1" x14ac:dyDescent="0.25">
      <c r="B357" s="533"/>
      <c r="C357" s="533" t="s">
        <v>1474</v>
      </c>
      <c r="D357" s="533" t="str">
        <f>VLOOKUP(C357,'Base de Datos'!$E$7:$AR$390,2,0)</f>
        <v>CENTRO DE RECURSOS EDUCATIVOS PARA LA COMPETITIVIDAD EMPRESARIAL LTDA - CRECE</v>
      </c>
      <c r="E357" s="536">
        <f>VLOOKUP(C357,'Base de Datos'!$E$7:$AR$390,5,0)</f>
        <v>401058400</v>
      </c>
      <c r="F357" s="536">
        <f>VLOOKUP(C357,'Base de Datos'!$E$7:$AR$390,17,0)</f>
        <v>401058400</v>
      </c>
      <c r="G357" s="533"/>
      <c r="H357" s="533"/>
      <c r="I357" s="533"/>
      <c r="J357" s="536">
        <f>VLOOKUP(C357,'Base de Datos'!$E$7:$AR$390,18,0)</f>
        <v>401058400</v>
      </c>
      <c r="K357" s="600"/>
      <c r="L357" s="742">
        <f>VLOOKUP(C357,'Base de Datos'!$E$7:$AR$390,19,0)</f>
        <v>0</v>
      </c>
      <c r="M357" s="533"/>
      <c r="N357" s="536" t="str">
        <f ca="1">IF(OR(O357=Hoja1!$D$17,'Presupuesto - PAA 2015'!O357=Hoja1!$D$18),'Presupuesto - PAA 2015'!L357," ")</f>
        <v xml:space="preserve"> </v>
      </c>
      <c r="O357" s="678" t="str">
        <f ca="1">VLOOKUP(C357,'Base de Datos'!$E$7:$AR$390,33,0)</f>
        <v>TERMINO</v>
      </c>
      <c r="P357" s="737"/>
      <c r="Q357" s="533"/>
      <c r="R357" s="743">
        <f>VLOOKUP(C357,'Base de Datos'!$E$7:$AR$390,9,0)</f>
        <v>42031</v>
      </c>
      <c r="S357" s="743">
        <f>VLOOKUP(C357,'Base de Datos'!$E$7:$AR$390,16,0)</f>
        <v>42335</v>
      </c>
      <c r="T357" s="678" t="str">
        <f>VLOOKUP(C357,'Base de Datos'!$E$7:$AR$390,40,0)</f>
        <v>Ricardo Rojas</v>
      </c>
      <c r="U357" s="535"/>
    </row>
    <row r="358" spans="2:21" hidden="1" x14ac:dyDescent="0.25">
      <c r="B358" s="533"/>
      <c r="C358" s="533"/>
      <c r="D358" s="533"/>
      <c r="E358" s="533"/>
      <c r="F358" s="533"/>
      <c r="G358" s="533"/>
      <c r="H358" s="533"/>
      <c r="I358" s="533"/>
      <c r="J358" s="533"/>
      <c r="K358" s="600"/>
      <c r="L358" s="533"/>
      <c r="M358" s="533"/>
      <c r="N358" s="533"/>
      <c r="O358" s="691"/>
      <c r="P358" s="737"/>
      <c r="Q358" s="533"/>
      <c r="R358" s="744"/>
      <c r="S358" s="744"/>
      <c r="T358" s="533"/>
      <c r="U358" s="535"/>
    </row>
    <row r="359" spans="2:21" hidden="1" x14ac:dyDescent="0.25">
      <c r="B359" s="1181" t="s">
        <v>1667</v>
      </c>
      <c r="C359" s="1181"/>
      <c r="D359" s="1181"/>
      <c r="E359" s="581">
        <f>+E361</f>
        <v>336560000</v>
      </c>
      <c r="F359" s="581">
        <f>+F361</f>
        <v>502280800</v>
      </c>
      <c r="G359" s="586"/>
      <c r="H359" s="586"/>
      <c r="I359" s="586"/>
      <c r="J359" s="581">
        <f>+J361</f>
        <v>502247588</v>
      </c>
      <c r="K359" s="603">
        <f>+J359/F359</f>
        <v>0.99993387762383112</v>
      </c>
      <c r="L359" s="581">
        <f>+L361</f>
        <v>33212</v>
      </c>
      <c r="M359" s="581"/>
      <c r="N359" s="581">
        <f ca="1">SUM(N361)</f>
        <v>0</v>
      </c>
      <c r="O359" s="684"/>
      <c r="P359" s="591" t="str">
        <f>IF(ISERROR(VLOOKUP(B359,'Base de Datos'!$C$7:$N$315,8,0))=TRUE," ",(VLOOKUP(B359,'Base de Datos'!$C$7:$N$315,8,0)))</f>
        <v xml:space="preserve"> </v>
      </c>
      <c r="Q359" s="592"/>
      <c r="R359" s="745" t="str">
        <f>IF(ISERROR(VLOOKUP(B359,'Base de Datos'!$C$7:$N$315,9,0))=TRUE," ",(VLOOKUP(B359,'Base de Datos'!$C$7:$N$315,9,0)))</f>
        <v xml:space="preserve"> </v>
      </c>
      <c r="S359" s="745" t="str">
        <f>IF(ISERROR(VLOOKUP(B359,'Base de Datos'!$C$7:$N$315,10,0))=TRUE," ",(VLOOKUP(B359,'Base de Datos'!$C$7:$N$315,10,0)))</f>
        <v xml:space="preserve"> </v>
      </c>
      <c r="T359" s="592"/>
      <c r="U359" s="535"/>
    </row>
    <row r="360" spans="2:21" ht="24" hidden="1" x14ac:dyDescent="0.25">
      <c r="B360" s="537" t="s">
        <v>2128</v>
      </c>
      <c r="C360" s="537" t="s">
        <v>912</v>
      </c>
      <c r="D360" s="537" t="s">
        <v>1822</v>
      </c>
      <c r="E360" s="545" t="s">
        <v>1845</v>
      </c>
      <c r="F360" s="534" t="s">
        <v>2130</v>
      </c>
      <c r="G360" s="534"/>
      <c r="H360" s="534"/>
      <c r="I360" s="534"/>
      <c r="J360" s="537" t="s">
        <v>2131</v>
      </c>
      <c r="K360" s="652"/>
      <c r="L360" s="537" t="s">
        <v>1940</v>
      </c>
      <c r="M360" s="537"/>
      <c r="N360" s="537" t="s">
        <v>2137</v>
      </c>
      <c r="O360" s="677" t="s">
        <v>2134</v>
      </c>
      <c r="P360" s="568" t="s">
        <v>1818</v>
      </c>
      <c r="Q360" s="537" t="s">
        <v>1848</v>
      </c>
      <c r="R360" s="746" t="s">
        <v>1849</v>
      </c>
      <c r="S360" s="746" t="s">
        <v>375</v>
      </c>
      <c r="T360" s="537" t="s">
        <v>1850</v>
      </c>
      <c r="U360" s="535"/>
    </row>
    <row r="361" spans="2:21" hidden="1" x14ac:dyDescent="0.25">
      <c r="B361" s="533"/>
      <c r="C361" s="533" t="s">
        <v>207</v>
      </c>
      <c r="D361" s="533" t="str">
        <f>VLOOKUP(C361,'Base de Datos'!$E$7:$AR$390,2,0)</f>
        <v>COMPENSAR BIENESTAR</v>
      </c>
      <c r="E361" s="536">
        <f>VLOOKUP(C361,'Base de Datos'!$E$7:$AR$390,5,0)</f>
        <v>336560000</v>
      </c>
      <c r="F361" s="536">
        <f>VLOOKUP(C361,'Base de Datos'!$E$7:$AR$390,17,0)</f>
        <v>502280800</v>
      </c>
      <c r="G361" s="533"/>
      <c r="H361" s="533"/>
      <c r="I361" s="533"/>
      <c r="J361" s="536">
        <f>VLOOKUP(C361,'Base de Datos'!$E$7:$AR$390,18,0)</f>
        <v>502247588</v>
      </c>
      <c r="K361" s="600"/>
      <c r="L361" s="742">
        <f>VLOOKUP(C361,'Base de Datos'!$E$7:$AR$390,19,0)</f>
        <v>33212</v>
      </c>
      <c r="M361" s="533"/>
      <c r="N361" s="536" t="str">
        <f ca="1">IF(OR(O361=Hoja1!$D$17,'Presupuesto - PAA 2015'!O361=Hoja1!$D$18),'Presupuesto - PAA 2015'!L361," ")</f>
        <v xml:space="preserve"> </v>
      </c>
      <c r="O361" s="751" t="str">
        <f ca="1">VLOOKUP(C361,'Base de Datos'!$E$7:$AR$390,33,0)</f>
        <v>TERMINO</v>
      </c>
      <c r="P361" s="737" t="s">
        <v>2136</v>
      </c>
      <c r="Q361" s="533"/>
      <c r="R361" s="743">
        <f>VLOOKUP(C361,'Base de Datos'!$E$7:$AR$390,9,0)</f>
        <v>41572</v>
      </c>
      <c r="S361" s="743">
        <f>VLOOKUP(C361,'Base de Datos'!$E$7:$AR$390,16,0)</f>
        <v>41814</v>
      </c>
      <c r="T361" s="678" t="str">
        <f>VLOOKUP(C361,'Base de Datos'!$E$7:$AR$390,40,0)</f>
        <v>Matilde Nieto</v>
      </c>
      <c r="U361" s="535"/>
    </row>
    <row r="362" spans="2:21" hidden="1" x14ac:dyDescent="0.25">
      <c r="B362" s="533"/>
      <c r="C362" s="533"/>
      <c r="D362" s="533"/>
      <c r="E362" s="533"/>
      <c r="F362" s="533"/>
      <c r="G362" s="533"/>
      <c r="H362" s="533"/>
      <c r="I362" s="533"/>
      <c r="J362" s="533"/>
      <c r="K362" s="600"/>
      <c r="L362" s="533"/>
      <c r="M362" s="533"/>
      <c r="N362" s="533"/>
      <c r="O362" s="691"/>
      <c r="P362" s="737"/>
      <c r="Q362" s="533"/>
      <c r="R362" s="744"/>
      <c r="S362" s="744"/>
      <c r="T362" s="533"/>
      <c r="U362" s="535"/>
    </row>
    <row r="363" spans="2:21" hidden="1" x14ac:dyDescent="0.25">
      <c r="B363" s="1184" t="s">
        <v>1668</v>
      </c>
      <c r="C363" s="1184"/>
      <c r="D363" s="1184"/>
      <c r="E363" s="581">
        <f>SUM(E365:E366)</f>
        <v>108854000</v>
      </c>
      <c r="F363" s="581">
        <f>SUM(F365:F366)</f>
        <v>146856288</v>
      </c>
      <c r="G363" s="586"/>
      <c r="H363" s="586"/>
      <c r="I363" s="586"/>
      <c r="J363" s="581">
        <f>SUM(J365:J366)</f>
        <v>146811699</v>
      </c>
      <c r="K363" s="603">
        <f>+J363/F363</f>
        <v>0.99969637663727418</v>
      </c>
      <c r="L363" s="581">
        <f>SUM(L365:L366)</f>
        <v>44589</v>
      </c>
      <c r="M363" s="581"/>
      <c r="N363" s="581">
        <f ca="1">SUM(N365:N366)</f>
        <v>0</v>
      </c>
      <c r="O363" s="684"/>
      <c r="P363" s="591" t="str">
        <f>IF(ISERROR(VLOOKUP(B363,'Base de Datos'!$C$7:$N$315,8,0))=TRUE," ",(VLOOKUP(B363,'Base de Datos'!$C$7:$N$315,8,0)))</f>
        <v xml:space="preserve"> </v>
      </c>
      <c r="Q363" s="592"/>
      <c r="R363" s="745" t="str">
        <f>IF(ISERROR(VLOOKUP(B363,'Base de Datos'!$C$7:$N$315,9,0))=TRUE," ",(VLOOKUP(B363,'Base de Datos'!$C$7:$N$315,9,0)))</f>
        <v xml:space="preserve"> </v>
      </c>
      <c r="S363" s="745" t="str">
        <f>IF(ISERROR(VLOOKUP(B363,'Base de Datos'!$C$7:$N$315,10,0))=TRUE," ",(VLOOKUP(B363,'Base de Datos'!$C$7:$N$315,10,0)))</f>
        <v xml:space="preserve"> </v>
      </c>
      <c r="T363" s="592"/>
      <c r="U363" s="535"/>
    </row>
    <row r="364" spans="2:21" ht="24" hidden="1" x14ac:dyDescent="0.25">
      <c r="B364" s="537" t="s">
        <v>2128</v>
      </c>
      <c r="C364" s="537" t="s">
        <v>912</v>
      </c>
      <c r="D364" s="537" t="s">
        <v>1822</v>
      </c>
      <c r="E364" s="545" t="s">
        <v>1845</v>
      </c>
      <c r="F364" s="534" t="s">
        <v>2130</v>
      </c>
      <c r="G364" s="534"/>
      <c r="H364" s="534"/>
      <c r="I364" s="534"/>
      <c r="J364" s="537" t="s">
        <v>2131</v>
      </c>
      <c r="K364" s="652"/>
      <c r="L364" s="537" t="s">
        <v>1940</v>
      </c>
      <c r="M364" s="537"/>
      <c r="N364" s="537" t="s">
        <v>2137</v>
      </c>
      <c r="O364" s="677" t="s">
        <v>2134</v>
      </c>
      <c r="P364" s="568" t="s">
        <v>1818</v>
      </c>
      <c r="Q364" s="537" t="s">
        <v>1848</v>
      </c>
      <c r="R364" s="746" t="s">
        <v>1849</v>
      </c>
      <c r="S364" s="746" t="s">
        <v>375</v>
      </c>
      <c r="T364" s="537" t="s">
        <v>1850</v>
      </c>
      <c r="U364" s="535"/>
    </row>
    <row r="365" spans="2:21" ht="24" hidden="1" x14ac:dyDescent="0.25">
      <c r="B365" s="533"/>
      <c r="C365" s="533" t="s">
        <v>195</v>
      </c>
      <c r="D365" s="533" t="str">
        <f>VLOOKUP(C365,'Base de Datos'!$E$7:$AR$390,2,0)</f>
        <v>CAJA DE COMPENSACIÓN FAMILIAR COMPENSAR SALONES</v>
      </c>
      <c r="E365" s="536">
        <f>VLOOKUP(C365,'Base de Datos'!$E$7:$AR$390,5,0)</f>
        <v>76223000</v>
      </c>
      <c r="F365" s="536">
        <f>VLOOKUP(C365,'Base de Datos'!$E$7:$AR$390,17,0)</f>
        <v>114225288</v>
      </c>
      <c r="G365" s="533"/>
      <c r="H365" s="533"/>
      <c r="I365" s="533"/>
      <c r="J365" s="536">
        <f>VLOOKUP(C365,'Base de Datos'!$E$7:$AR$390,18,0)</f>
        <v>114217068</v>
      </c>
      <c r="K365" s="600"/>
      <c r="L365" s="742">
        <f>VLOOKUP(C365,'Base de Datos'!$E$7:$AR$390,19,0)</f>
        <v>8220</v>
      </c>
      <c r="M365" s="533"/>
      <c r="N365" s="536" t="str">
        <f ca="1">IF(OR(O365=Hoja1!$D$17,'Presupuesto - PAA 2015'!O365=Hoja1!$D$18),'Presupuesto - PAA 2015'!L365," ")</f>
        <v xml:space="preserve"> </v>
      </c>
      <c r="O365" s="678" t="str">
        <f ca="1">VLOOKUP(C365,'Base de Datos'!$E$7:$AR$390,33,0)</f>
        <v>TERMINO</v>
      </c>
      <c r="P365" s="737"/>
      <c r="Q365" s="533"/>
      <c r="R365" s="743">
        <f>VLOOKUP(C365,'Base de Datos'!$E$7:$AR$390,9,0)</f>
        <v>41541</v>
      </c>
      <c r="S365" s="743">
        <f>VLOOKUP(C365,'Base de Datos'!$E$7:$AR$390,16,0)</f>
        <v>41782</v>
      </c>
      <c r="T365" s="678" t="str">
        <f>VLOOKUP(C365,'Base de Datos'!$E$7:$AR$390,40,0)</f>
        <v>Juan Sebastián Ramírez</v>
      </c>
      <c r="U365" s="535"/>
    </row>
    <row r="366" spans="2:21" ht="24" hidden="1" x14ac:dyDescent="0.25">
      <c r="B366" s="533"/>
      <c r="C366" s="533" t="s">
        <v>276</v>
      </c>
      <c r="D366" s="533" t="str">
        <f>VLOOKUP(C366,'Base de Datos'!$E$7:$AR$390,2,0)</f>
        <v>GRANADOS Y CONDECORACIONES</v>
      </c>
      <c r="E366" s="536">
        <f>VLOOKUP(C366,'Base de Datos'!$E$7:$AR$390,5,0)</f>
        <v>32631000</v>
      </c>
      <c r="F366" s="536">
        <f>VLOOKUP(C366,'Base de Datos'!$E$7:$AR$390,17,0)</f>
        <v>32631000</v>
      </c>
      <c r="G366" s="533"/>
      <c r="H366" s="533"/>
      <c r="I366" s="533"/>
      <c r="J366" s="536">
        <f>VLOOKUP(C366,'Base de Datos'!$E$7:$AR$390,18,0)</f>
        <v>32594631</v>
      </c>
      <c r="K366" s="600"/>
      <c r="L366" s="742">
        <f>VLOOKUP(C366,'Base de Datos'!$E$7:$AR$390,19,0)</f>
        <v>36369</v>
      </c>
      <c r="M366" s="533"/>
      <c r="N366" s="536" t="str">
        <f ca="1">IF(OR(O366=Hoja1!$D$17,'Presupuesto - PAA 2015'!O366=Hoja1!$D$18),'Presupuesto - PAA 2015'!L366," ")</f>
        <v xml:space="preserve"> </v>
      </c>
      <c r="O366" s="678" t="str">
        <f ca="1">VLOOKUP(C366,'Base de Datos'!$E$7:$AR$390,33,0)</f>
        <v>TERMINO</v>
      </c>
      <c r="P366" s="737"/>
      <c r="Q366" s="533"/>
      <c r="R366" s="743">
        <f>VLOOKUP(C366,'Base de Datos'!$E$7:$AR$390,9,0)</f>
        <v>41753</v>
      </c>
      <c r="S366" s="743">
        <f>VLOOKUP(C366,'Base de Datos'!$E$7:$AR$390,16,0)</f>
        <v>42117</v>
      </c>
      <c r="T366" s="678" t="str">
        <f>VLOOKUP(C366,'Base de Datos'!$E$7:$AR$390,40,0)</f>
        <v>Luisa Fernanda Gutiérrez</v>
      </c>
      <c r="U366" s="535"/>
    </row>
    <row r="367" spans="2:21" hidden="1" x14ac:dyDescent="0.25">
      <c r="B367" s="533"/>
      <c r="C367" s="533"/>
      <c r="D367" s="533"/>
      <c r="E367" s="533"/>
      <c r="F367" s="533"/>
      <c r="G367" s="533"/>
      <c r="H367" s="533"/>
      <c r="I367" s="533"/>
      <c r="J367" s="533"/>
      <c r="K367" s="600"/>
      <c r="L367" s="533"/>
      <c r="M367" s="533"/>
      <c r="N367" s="533"/>
      <c r="O367" s="691"/>
      <c r="P367" s="737"/>
      <c r="Q367" s="533"/>
      <c r="R367" s="744"/>
      <c r="S367" s="744"/>
      <c r="T367" s="533"/>
      <c r="U367" s="535"/>
    </row>
    <row r="368" spans="2:21" hidden="1" x14ac:dyDescent="0.25">
      <c r="B368" s="1181" t="s">
        <v>1669</v>
      </c>
      <c r="C368" s="1181"/>
      <c r="D368" s="1181"/>
      <c r="E368" s="581">
        <f>SUM(E370:E371)</f>
        <v>45986000</v>
      </c>
      <c r="F368" s="581">
        <f>SUM(F370:F371)</f>
        <v>45986000</v>
      </c>
      <c r="G368" s="586"/>
      <c r="H368" s="586"/>
      <c r="I368" s="586"/>
      <c r="J368" s="581">
        <f>SUM(J370:J371)</f>
        <v>28614047</v>
      </c>
      <c r="K368" s="603">
        <f>+J368/F368</f>
        <v>0.62223387552733445</v>
      </c>
      <c r="L368" s="581">
        <f>SUM(L370:L371)</f>
        <v>17371953</v>
      </c>
      <c r="M368" s="581"/>
      <c r="N368" s="581">
        <f ca="1">SUM(N370:N371)</f>
        <v>0</v>
      </c>
      <c r="O368" s="684"/>
      <c r="P368" s="591" t="str">
        <f>IF(ISERROR(VLOOKUP(B368,'Base de Datos'!$C$7:$N$315,8,0))=TRUE," ",(VLOOKUP(B368,'Base de Datos'!$C$7:$N$315,8,0)))</f>
        <v xml:space="preserve"> </v>
      </c>
      <c r="Q368" s="592"/>
      <c r="R368" s="745" t="str">
        <f>IF(ISERROR(VLOOKUP(B368,'Base de Datos'!$C$7:$N$315,9,0))=TRUE," ",(VLOOKUP(B368,'Base de Datos'!$C$7:$N$315,9,0)))</f>
        <v xml:space="preserve"> </v>
      </c>
      <c r="S368" s="745" t="str">
        <f>IF(ISERROR(VLOOKUP(B368,'Base de Datos'!$C$7:$N$315,10,0))=TRUE," ",(VLOOKUP(B368,'Base de Datos'!$C$7:$N$315,10,0)))</f>
        <v xml:space="preserve"> </v>
      </c>
      <c r="T368" s="592"/>
      <c r="U368" s="535"/>
    </row>
    <row r="369" spans="2:22" ht="24" hidden="1" x14ac:dyDescent="0.25">
      <c r="B369" s="537" t="s">
        <v>2128</v>
      </c>
      <c r="C369" s="537" t="s">
        <v>912</v>
      </c>
      <c r="D369" s="537" t="s">
        <v>1822</v>
      </c>
      <c r="E369" s="545" t="s">
        <v>1845</v>
      </c>
      <c r="F369" s="534" t="s">
        <v>2130</v>
      </c>
      <c r="G369" s="534"/>
      <c r="H369" s="534"/>
      <c r="I369" s="534"/>
      <c r="J369" s="537" t="s">
        <v>2131</v>
      </c>
      <c r="K369" s="652"/>
      <c r="L369" s="537" t="s">
        <v>1940</v>
      </c>
      <c r="M369" s="537"/>
      <c r="N369" s="537" t="s">
        <v>2137</v>
      </c>
      <c r="O369" s="677" t="s">
        <v>2134</v>
      </c>
      <c r="P369" s="568" t="s">
        <v>1818</v>
      </c>
      <c r="Q369" s="537" t="s">
        <v>1848</v>
      </c>
      <c r="R369" s="746" t="s">
        <v>1849</v>
      </c>
      <c r="S369" s="746" t="s">
        <v>375</v>
      </c>
      <c r="T369" s="537" t="s">
        <v>1850</v>
      </c>
      <c r="U369" s="535"/>
    </row>
    <row r="370" spans="2:22" ht="14.25" hidden="1" customHeight="1" x14ac:dyDescent="0.25">
      <c r="B370" s="533"/>
      <c r="C370" s="533" t="s">
        <v>1333</v>
      </c>
      <c r="D370" s="533" t="str">
        <f>VLOOKUP(C370,'Base de Datos'!$E$7:$AR$390,2,0)</f>
        <v>SISTEMA Y SEGURIDAD INDUSTRIAL COLOMBIANA E.U.</v>
      </c>
      <c r="E370" s="536">
        <f>VLOOKUP(C370,'Base de Datos'!$E$7:$AR$390,5,0)</f>
        <v>4136000</v>
      </c>
      <c r="F370" s="536">
        <f>VLOOKUP(C370,'Base de Datos'!$E$7:$AR$390,17,0)</f>
        <v>4136000</v>
      </c>
      <c r="G370" s="533"/>
      <c r="H370" s="533"/>
      <c r="I370" s="533"/>
      <c r="J370" s="536">
        <f>VLOOKUP(C370,'Base de Datos'!$E$7:$AR$390,18,0)</f>
        <v>2251047</v>
      </c>
      <c r="K370" s="600"/>
      <c r="L370" s="742">
        <f>VLOOKUP(C370,'Base de Datos'!$E$7:$AR$390,19,0)</f>
        <v>1884953</v>
      </c>
      <c r="M370" s="533"/>
      <c r="N370" s="536" t="str">
        <f ca="1">IF(OR(O370=Hoja1!$D$17,'Presupuesto - PAA 2015'!O370=Hoja1!$D$18),'Presupuesto - PAA 2015'!L370," ")</f>
        <v xml:space="preserve"> </v>
      </c>
      <c r="O370" s="678" t="str">
        <f ca="1">VLOOKUP(C370,'Base de Datos'!$E$7:$AR$390,33,0)</f>
        <v>TERMINO</v>
      </c>
      <c r="P370" s="737"/>
      <c r="Q370" s="533"/>
      <c r="R370" s="743">
        <f>VLOOKUP(C370,'Base de Datos'!$E$7:$AR$390,9,0)</f>
        <v>41935</v>
      </c>
      <c r="S370" s="743">
        <f>VLOOKUP(C370,'Base de Datos'!$E$7:$AR$390,16,0)</f>
        <v>42027</v>
      </c>
      <c r="T370" s="678" t="str">
        <f>VLOOKUP(C370,'Base de Datos'!$E$7:$AR$390,40,0)</f>
        <v>Judith Hernández</v>
      </c>
      <c r="U370" s="535"/>
    </row>
    <row r="371" spans="2:22" ht="24" hidden="1" x14ac:dyDescent="0.25">
      <c r="B371" s="533"/>
      <c r="C371" s="533" t="s">
        <v>1160</v>
      </c>
      <c r="D371" s="533" t="str">
        <f>VLOOKUP(C371,'Base de Datos'!$E$7:$AR$390,2,0)</f>
        <v>CENTRO DE DIAGNOSTICO Y TRATAMIENTO CENDIATRA LTDA</v>
      </c>
      <c r="E371" s="536">
        <f>VLOOKUP(C371,'Base de Datos'!$E$7:$AR$390,5,0)</f>
        <v>41850000</v>
      </c>
      <c r="F371" s="536">
        <f>VLOOKUP(C371,'Base de Datos'!$E$7:$AR$390,17,0)</f>
        <v>41850000</v>
      </c>
      <c r="G371" s="533"/>
      <c r="H371" s="533"/>
      <c r="I371" s="533"/>
      <c r="J371" s="536">
        <f>VLOOKUP(C371,'Base de Datos'!$E$7:$AR$390,18,0)</f>
        <v>26363000</v>
      </c>
      <c r="K371" s="600"/>
      <c r="L371" s="742">
        <f>VLOOKUP(C371,'Base de Datos'!$E$7:$AR$390,19,0)</f>
        <v>15487000</v>
      </c>
      <c r="M371" s="533"/>
      <c r="N371" s="536" t="str">
        <f ca="1">IF(OR(O371=Hoja1!$D$17,'Presupuesto - PAA 2015'!O371=Hoja1!$D$18),'Presupuesto - PAA 2015'!L371," ")</f>
        <v xml:space="preserve"> </v>
      </c>
      <c r="O371" s="678" t="str">
        <f ca="1">VLOOKUP(C371,'Base de Datos'!$E$7:$AR$390,33,0)</f>
        <v>TERMINO</v>
      </c>
      <c r="P371" s="737"/>
      <c r="Q371" s="533"/>
      <c r="R371" s="743">
        <f>VLOOKUP(C371,'Base de Datos'!$E$7:$AR$390,9,0)</f>
        <v>41926</v>
      </c>
      <c r="S371" s="743">
        <f>VLOOKUP(C371,'Base de Datos'!$E$7:$AR$390,16,0)</f>
        <v>42138</v>
      </c>
      <c r="T371" s="678" t="str">
        <f>VLOOKUP(C371,'Base de Datos'!$E$7:$AR$390,40,0)</f>
        <v>Alexander Avendaño</v>
      </c>
    </row>
    <row r="372" spans="2:22" hidden="1" x14ac:dyDescent="0.25">
      <c r="B372" s="533"/>
      <c r="C372" s="533"/>
      <c r="D372" s="533"/>
      <c r="E372" s="533"/>
      <c r="F372" s="533"/>
      <c r="G372" s="533"/>
      <c r="H372" s="533"/>
      <c r="I372" s="533"/>
      <c r="J372" s="533"/>
      <c r="K372" s="600"/>
      <c r="L372" s="533"/>
      <c r="M372" s="533"/>
      <c r="N372" s="533"/>
      <c r="O372" s="691"/>
      <c r="P372" s="737"/>
      <c r="Q372" s="533"/>
      <c r="R372" s="744"/>
      <c r="S372" s="744"/>
      <c r="T372" s="533"/>
    </row>
    <row r="373" spans="2:22" hidden="1" x14ac:dyDescent="0.25">
      <c r="B373" s="1181" t="s">
        <v>1672</v>
      </c>
      <c r="C373" s="1181"/>
      <c r="D373" s="1181"/>
      <c r="E373" s="581">
        <f>SUM(E375:E377)</f>
        <v>1067737824</v>
      </c>
      <c r="F373" s="581">
        <f>SUM(F375:F377)</f>
        <v>1127737824</v>
      </c>
      <c r="G373" s="586"/>
      <c r="H373" s="586"/>
      <c r="I373" s="586"/>
      <c r="J373" s="581">
        <f>SUM(J375:J377)</f>
        <v>1110000708</v>
      </c>
      <c r="K373" s="603">
        <f>+J373/F373</f>
        <v>0.98427195078277341</v>
      </c>
      <c r="L373" s="581">
        <f>SUM(L375:L377)</f>
        <v>17737116</v>
      </c>
      <c r="M373" s="581"/>
      <c r="N373" s="581">
        <f ca="1">SUM(N375:N377)</f>
        <v>0</v>
      </c>
      <c r="O373" s="684"/>
      <c r="P373" s="591" t="str">
        <f>IF(ISERROR(VLOOKUP(B373,'Base de Datos'!$C$7:$N$315,8,0))=TRUE," ",(VLOOKUP(B373,'Base de Datos'!$C$7:$N$315,8,0)))</f>
        <v xml:space="preserve"> </v>
      </c>
      <c r="Q373" s="592"/>
      <c r="R373" s="745" t="str">
        <f>IF(ISERROR(VLOOKUP(B373,'Base de Datos'!$C$7:$N$315,9,0))=TRUE," ",(VLOOKUP(B373,'Base de Datos'!$C$7:$N$315,9,0)))</f>
        <v xml:space="preserve"> </v>
      </c>
      <c r="S373" s="745" t="str">
        <f>IF(ISERROR(VLOOKUP(B373,'Base de Datos'!$C$7:$N$315,10,0))=TRUE," ",(VLOOKUP(B373,'Base de Datos'!$C$7:$N$315,10,0)))</f>
        <v xml:space="preserve"> </v>
      </c>
      <c r="T373" s="592"/>
    </row>
    <row r="374" spans="2:22" ht="24" hidden="1" x14ac:dyDescent="0.25">
      <c r="B374" s="537" t="s">
        <v>2128</v>
      </c>
      <c r="C374" s="537" t="s">
        <v>912</v>
      </c>
      <c r="D374" s="537" t="s">
        <v>1822</v>
      </c>
      <c r="E374" s="545" t="s">
        <v>1845</v>
      </c>
      <c r="F374" s="534" t="s">
        <v>2130</v>
      </c>
      <c r="G374" s="534"/>
      <c r="H374" s="534"/>
      <c r="I374" s="534"/>
      <c r="J374" s="537" t="s">
        <v>2131</v>
      </c>
      <c r="K374" s="652"/>
      <c r="L374" s="537" t="s">
        <v>1940</v>
      </c>
      <c r="M374" s="537"/>
      <c r="N374" s="537" t="s">
        <v>2137</v>
      </c>
      <c r="O374" s="677" t="s">
        <v>2134</v>
      </c>
      <c r="P374" s="568" t="s">
        <v>1818</v>
      </c>
      <c r="Q374" s="537" t="s">
        <v>1848</v>
      </c>
      <c r="R374" s="746" t="s">
        <v>1849</v>
      </c>
      <c r="S374" s="746" t="s">
        <v>375</v>
      </c>
      <c r="T374" s="537" t="s">
        <v>1850</v>
      </c>
    </row>
    <row r="375" spans="2:22" ht="24" hidden="1" x14ac:dyDescent="0.25">
      <c r="B375" s="533"/>
      <c r="C375" s="533" t="s">
        <v>1110</v>
      </c>
      <c r="D375" s="533" t="str">
        <f>VLOOKUP(C375,'Base de Datos'!$E$7:$AR$390,2,0)</f>
        <v>CANAL REGIONAL DE TELEVISION TEVEANDINA LTDA - TEVEANDINA LTDA</v>
      </c>
      <c r="E375" s="536">
        <f>VLOOKUP(C375,'Base de Datos'!$E$7:$AR$390,5,0)</f>
        <v>818527824</v>
      </c>
      <c r="F375" s="536">
        <f>VLOOKUP(C375,'Base de Datos'!$E$7:$AR$390,17,0)</f>
        <v>818527824</v>
      </c>
      <c r="G375" s="533"/>
      <c r="H375" s="533"/>
      <c r="I375" s="533"/>
      <c r="J375" s="536">
        <f>VLOOKUP(C375,'Base de Datos'!$E$7:$AR$390,18,0)</f>
        <v>800790708</v>
      </c>
      <c r="K375" s="600"/>
      <c r="L375" s="742">
        <f>VLOOKUP(C375,'Base de Datos'!$E$7:$AR$390,19,0)</f>
        <v>17737116</v>
      </c>
      <c r="M375" s="533"/>
      <c r="N375" s="536" t="str">
        <f ca="1">IF(OR(O375=Hoja1!$D$17,'Presupuesto - PAA 2015'!O375=Hoja1!$D$18),'Presupuesto - PAA 2015'!L375," ")</f>
        <v xml:space="preserve"> </v>
      </c>
      <c r="O375" s="678" t="str">
        <f ca="1">VLOOKUP(C375,'Base de Datos'!$E$7:$AR$390,33,0)</f>
        <v>TERMINO</v>
      </c>
      <c r="P375" s="737"/>
      <c r="Q375" s="533"/>
      <c r="R375" s="743">
        <f>VLOOKUP(C375,'Base de Datos'!$E$7:$AR$390,9,0)</f>
        <v>41921</v>
      </c>
      <c r="S375" s="743">
        <f>VLOOKUP(C375,'Base de Datos'!$E$7:$AR$390,16,0)</f>
        <v>42116</v>
      </c>
      <c r="T375" s="678" t="str">
        <f>VLOOKUP(C375,'Base de Datos'!$E$7:$AR$390,40,0)</f>
        <v>Ricardo Rojas</v>
      </c>
    </row>
    <row r="376" spans="2:22" hidden="1" x14ac:dyDescent="0.25">
      <c r="B376" s="533"/>
      <c r="C376" s="533" t="s">
        <v>1529</v>
      </c>
      <c r="D376" s="533" t="str">
        <f>VLOOKUP(C376,'Base de Datos'!$E$7:$AR$390,2,0)</f>
        <v>CENTURY MEDIA SAS</v>
      </c>
      <c r="E376" s="536">
        <f>VLOOKUP(C376,'Base de Datos'!$E$7:$AR$390,5,0)</f>
        <v>249210000</v>
      </c>
      <c r="F376" s="536">
        <f>VLOOKUP(C376,'Base de Datos'!$E$7:$AR$390,17,0)</f>
        <v>309210000</v>
      </c>
      <c r="G376" s="533"/>
      <c r="H376" s="533"/>
      <c r="I376" s="533"/>
      <c r="J376" s="536">
        <f>VLOOKUP(C376,'Base de Datos'!$E$7:$AR$390,18,0)</f>
        <v>309210000</v>
      </c>
      <c r="K376" s="600"/>
      <c r="L376" s="742">
        <f>VLOOKUP(C376,'Base de Datos'!$E$7:$AR$390,19,0)</f>
        <v>0</v>
      </c>
      <c r="M376" s="533"/>
      <c r="N376" s="536" t="str">
        <f ca="1">IF(OR(O376=Hoja1!$D$17,'Presupuesto - PAA 2015'!O376=Hoja1!$D$18),'Presupuesto - PAA 2015'!L376," ")</f>
        <v xml:space="preserve"> </v>
      </c>
      <c r="O376" s="678" t="str">
        <f ca="1">VLOOKUP(C376,'Base de Datos'!$E$7:$AR$390,33,0)</f>
        <v>TERMINO</v>
      </c>
      <c r="P376" s="737"/>
      <c r="Q376" s="533"/>
      <c r="R376" s="743">
        <f>VLOOKUP(C376,'Base de Datos'!$E$7:$AR$390,9,0)</f>
        <v>42017</v>
      </c>
      <c r="S376" s="743">
        <f>VLOOKUP(C376,'Base de Datos'!$E$7:$AR$390,16,0)</f>
        <v>42338</v>
      </c>
      <c r="T376" s="678" t="str">
        <f>VLOOKUP(C376,'Base de Datos'!$E$7:$AR$390,40,0)</f>
        <v>Ricardo Rojas</v>
      </c>
    </row>
    <row r="377" spans="2:22" hidden="1" x14ac:dyDescent="0.25">
      <c r="B377" s="533"/>
      <c r="C377" s="533"/>
      <c r="D377" s="533"/>
      <c r="E377" s="533"/>
      <c r="F377" s="533"/>
      <c r="G377" s="533"/>
      <c r="H377" s="533"/>
      <c r="I377" s="533"/>
      <c r="J377" s="533"/>
      <c r="K377" s="600"/>
      <c r="L377" s="533"/>
      <c r="M377" s="533"/>
      <c r="N377" s="533"/>
      <c r="O377" s="691"/>
      <c r="P377" s="737"/>
      <c r="Q377" s="533"/>
      <c r="R377" s="744"/>
      <c r="S377" s="744"/>
      <c r="T377" s="533"/>
    </row>
    <row r="378" spans="2:22" ht="15" hidden="1" customHeight="1" x14ac:dyDescent="0.25">
      <c r="B378" s="1182" t="s">
        <v>1673</v>
      </c>
      <c r="C378" s="1182"/>
      <c r="D378" s="1182"/>
      <c r="E378" s="539">
        <f>+E379</f>
        <v>12700000</v>
      </c>
      <c r="F378" s="631">
        <f>+F379</f>
        <v>12700000</v>
      </c>
      <c r="G378" s="540"/>
      <c r="H378" s="540"/>
      <c r="I378" s="540"/>
      <c r="J378" s="543">
        <f>+J379</f>
        <v>12458400</v>
      </c>
      <c r="K378" s="610">
        <f>+J378/F378</f>
        <v>0.98097637795275594</v>
      </c>
      <c r="L378" s="543">
        <f>+L379</f>
        <v>241600</v>
      </c>
      <c r="M378" s="543"/>
      <c r="N378" s="543">
        <f>SUM(N379)</f>
        <v>0</v>
      </c>
      <c r="O378" s="689"/>
      <c r="P378" s="575" t="str">
        <f>IF(ISERROR(VLOOKUP(B378,'Base de Datos'!$C$7:$N$315,8,0))=TRUE," ",(VLOOKUP(B378,'Base de Datos'!$C$7:$N$315,8,0)))</f>
        <v xml:space="preserve"> </v>
      </c>
      <c r="Q378" s="569"/>
      <c r="R378" s="747" t="str">
        <f>IF(ISERROR(VLOOKUP(B378,'Base de Datos'!$C$7:$N$315,9,0))=TRUE," ",(VLOOKUP(B378,'Base de Datos'!$C$7:$N$315,9,0)))</f>
        <v xml:space="preserve"> </v>
      </c>
      <c r="S378" s="747" t="str">
        <f>IF(ISERROR(VLOOKUP(B378,'Base de Datos'!$C$7:$N$315,10,0))=TRUE," ",(VLOOKUP(B378,'Base de Datos'!$C$7:$N$315,10,0)))</f>
        <v xml:space="preserve"> </v>
      </c>
      <c r="T378" s="569"/>
      <c r="U378" s="722"/>
      <c r="V378" s="634"/>
    </row>
    <row r="379" spans="2:22" hidden="1" x14ac:dyDescent="0.25">
      <c r="B379" s="1181" t="s">
        <v>2127</v>
      </c>
      <c r="C379" s="1181"/>
      <c r="D379" s="1181"/>
      <c r="E379" s="581">
        <f>+E381</f>
        <v>12700000</v>
      </c>
      <c r="F379" s="581">
        <f>+F381</f>
        <v>12700000</v>
      </c>
      <c r="G379" s="586"/>
      <c r="H379" s="586"/>
      <c r="I379" s="586"/>
      <c r="J379" s="581">
        <f>+J381</f>
        <v>12458400</v>
      </c>
      <c r="K379" s="603">
        <f>+J379/F379</f>
        <v>0.98097637795275594</v>
      </c>
      <c r="L379" s="581">
        <f>+L381</f>
        <v>241600</v>
      </c>
      <c r="M379" s="581"/>
      <c r="N379" s="581">
        <f>+N381</f>
        <v>0</v>
      </c>
      <c r="O379" s="684"/>
      <c r="P379" s="591" t="str">
        <f>IF(ISERROR(VLOOKUP(B379,'Base de Datos'!$C$7:$N$315,8,0))=TRUE," ",(VLOOKUP(B379,'Base de Datos'!$C$7:$N$315,8,0)))</f>
        <v xml:space="preserve"> </v>
      </c>
      <c r="Q379" s="592"/>
      <c r="R379" s="745" t="str">
        <f>IF(ISERROR(VLOOKUP(B379,'Base de Datos'!$C$7:$N$315,9,0))=TRUE," ",(VLOOKUP(B379,'Base de Datos'!$C$7:$N$315,9,0)))</f>
        <v xml:space="preserve"> </v>
      </c>
      <c r="S379" s="745" t="str">
        <f>IF(ISERROR(VLOOKUP(B379,'Base de Datos'!$C$7:$N$315,10,0))=TRUE," ",(VLOOKUP(B379,'Base de Datos'!$C$7:$N$315,10,0)))</f>
        <v xml:space="preserve"> </v>
      </c>
      <c r="T379" s="592"/>
    </row>
    <row r="380" spans="2:22" ht="24" hidden="1" x14ac:dyDescent="0.25">
      <c r="B380" s="537" t="s">
        <v>2128</v>
      </c>
      <c r="C380" s="537" t="s">
        <v>912</v>
      </c>
      <c r="D380" s="537" t="s">
        <v>1822</v>
      </c>
      <c r="E380" s="545" t="s">
        <v>1845</v>
      </c>
      <c r="F380" s="534" t="s">
        <v>2130</v>
      </c>
      <c r="G380" s="534"/>
      <c r="H380" s="534"/>
      <c r="I380" s="534"/>
      <c r="J380" s="537" t="s">
        <v>2131</v>
      </c>
      <c r="K380" s="652"/>
      <c r="L380" s="537" t="s">
        <v>1940</v>
      </c>
      <c r="M380" s="537"/>
      <c r="N380" s="537" t="s">
        <v>2137</v>
      </c>
      <c r="O380" s="677" t="s">
        <v>2134</v>
      </c>
      <c r="P380" s="568" t="s">
        <v>1818</v>
      </c>
      <c r="Q380" s="537" t="s">
        <v>1848</v>
      </c>
      <c r="R380" s="746" t="s">
        <v>1849</v>
      </c>
      <c r="S380" s="746" t="s">
        <v>375</v>
      </c>
      <c r="T380" s="537" t="s">
        <v>1850</v>
      </c>
    </row>
    <row r="381" spans="2:22" hidden="1" x14ac:dyDescent="0.25">
      <c r="B381" s="533"/>
      <c r="C381" s="533" t="s">
        <v>1485</v>
      </c>
      <c r="D381" s="533" t="str">
        <f>VLOOKUP(C381,'Base de Datos'!$E$7:$AR$390,2,0)</f>
        <v>RIGOBERTO GÓMEZ JAIMES</v>
      </c>
      <c r="E381" s="536">
        <f>VLOOKUP(C381,'Base de Datos'!$E$7:$AR$390,5,0)</f>
        <v>12700000</v>
      </c>
      <c r="F381" s="536">
        <f>VLOOKUP(C381,'Base de Datos'!$E$7:$AR$390,17,0)</f>
        <v>12700000</v>
      </c>
      <c r="G381" s="533"/>
      <c r="H381" s="533"/>
      <c r="I381" s="533"/>
      <c r="J381" s="536">
        <f>VLOOKUP(C381,'Base de Datos'!$E$7:$AR$390,18,0)</f>
        <v>12458400</v>
      </c>
      <c r="K381" s="600"/>
      <c r="L381" s="536">
        <f>VLOOKUP(C381,'Base de Datos'!$E$7:$AR$390,19,0)</f>
        <v>241600</v>
      </c>
      <c r="M381" s="533"/>
      <c r="N381" s="536"/>
      <c r="O381" s="751" t="str">
        <f ca="1">VLOOKUP(C381,'Base de Datos'!$E$7:$AR$390,33,0)</f>
        <v>TERMINO</v>
      </c>
      <c r="P381" s="737" t="s">
        <v>2136</v>
      </c>
      <c r="Q381" s="533"/>
      <c r="R381" s="743">
        <f>VLOOKUP(C381,'Base de Datos'!$E$7:$AR$390,9,0)</f>
        <v>41982</v>
      </c>
      <c r="S381" s="743">
        <f>VLOOKUP(C381,'Base de Datos'!$E$7:$AR$390,16,0)</f>
        <v>42044</v>
      </c>
      <c r="T381" s="678" t="str">
        <f>VLOOKUP(C381,'Base de Datos'!$E$7:$AR$390,40,0)</f>
        <v>Lizeth González</v>
      </c>
    </row>
    <row r="382" spans="2:22" hidden="1" x14ac:dyDescent="0.25">
      <c r="B382" s="533"/>
      <c r="C382" s="533"/>
      <c r="D382" s="533"/>
      <c r="E382" s="533"/>
      <c r="F382" s="533"/>
      <c r="G382" s="533"/>
      <c r="H382" s="533"/>
      <c r="I382" s="533"/>
      <c r="J382" s="533"/>
      <c r="K382" s="600"/>
      <c r="L382" s="533"/>
      <c r="M382" s="533"/>
      <c r="N382" s="533"/>
      <c r="O382" s="691"/>
      <c r="P382" s="737"/>
      <c r="Q382" s="533"/>
      <c r="R382" s="744"/>
      <c r="S382" s="744"/>
      <c r="T382" s="533"/>
    </row>
    <row r="383" spans="2:22" hidden="1" x14ac:dyDescent="0.25">
      <c r="B383" s="1183" t="s">
        <v>1688</v>
      </c>
      <c r="C383" s="1183"/>
      <c r="D383" s="1183"/>
      <c r="E383" s="541">
        <f t="shared" ref="E383:F387" si="19">+E384</f>
        <v>3039996697</v>
      </c>
      <c r="F383" s="541">
        <f t="shared" si="19"/>
        <v>4055604697</v>
      </c>
      <c r="G383" s="541">
        <f t="shared" ref="G383:N387" si="20">+G384</f>
        <v>7542477000</v>
      </c>
      <c r="H383" s="541">
        <f t="shared" si="20"/>
        <v>0</v>
      </c>
      <c r="I383" s="541">
        <f t="shared" si="20"/>
        <v>7542477000</v>
      </c>
      <c r="J383" s="541">
        <f t="shared" si="20"/>
        <v>3880800698</v>
      </c>
      <c r="K383" s="583">
        <f t="shared" si="20"/>
        <v>0.95689816635006231</v>
      </c>
      <c r="L383" s="541">
        <f t="shared" si="20"/>
        <v>174803999</v>
      </c>
      <c r="M383" s="576"/>
      <c r="N383" s="541">
        <f t="shared" ca="1" si="20"/>
        <v>0</v>
      </c>
      <c r="O383" s="674"/>
      <c r="P383" s="576"/>
      <c r="Q383" s="571"/>
      <c r="R383" s="748" t="str">
        <f>IF(ISERROR(VLOOKUP(B383,'Base de Datos'!$C$7:$N$315,9,0))=TRUE," ",(VLOOKUP(B383,'Base de Datos'!$C$7:$N$315,9,0)))</f>
        <v xml:space="preserve"> </v>
      </c>
      <c r="S383" s="748" t="str">
        <f>IF(ISERROR(VLOOKUP(B383,'Base de Datos'!$C$7:$N$315,10,0))=TRUE," ",(VLOOKUP(B383,'Base de Datos'!$C$7:$N$315,10,0)))</f>
        <v xml:space="preserve"> </v>
      </c>
      <c r="T383" s="571"/>
    </row>
    <row r="384" spans="2:22" hidden="1" x14ac:dyDescent="0.25">
      <c r="B384" s="1182" t="s">
        <v>1687</v>
      </c>
      <c r="C384" s="1182"/>
      <c r="D384" s="1182"/>
      <c r="E384" s="539">
        <f t="shared" si="19"/>
        <v>3039996697</v>
      </c>
      <c r="F384" s="539">
        <f t="shared" si="19"/>
        <v>4055604697</v>
      </c>
      <c r="G384" s="543">
        <f t="shared" si="20"/>
        <v>7542477000</v>
      </c>
      <c r="H384" s="543">
        <f t="shared" si="20"/>
        <v>0</v>
      </c>
      <c r="I384" s="543">
        <f t="shared" si="20"/>
        <v>7542477000</v>
      </c>
      <c r="J384" s="543">
        <f t="shared" si="20"/>
        <v>3880800698</v>
      </c>
      <c r="K384" s="601">
        <f t="shared" si="20"/>
        <v>0.95689816635006231</v>
      </c>
      <c r="L384" s="543">
        <f t="shared" si="20"/>
        <v>174803999</v>
      </c>
      <c r="M384" s="543"/>
      <c r="N384" s="543">
        <f t="shared" ca="1" si="20"/>
        <v>0</v>
      </c>
      <c r="O384" s="689"/>
      <c r="P384" s="575" t="str">
        <f>IF(ISERROR(VLOOKUP(B384,'Base de Datos'!$C$7:$N$315,8,0))=TRUE," ",(VLOOKUP(B384,'Base de Datos'!$C$7:$N$315,8,0)))</f>
        <v xml:space="preserve"> </v>
      </c>
      <c r="Q384" s="569"/>
      <c r="R384" s="747" t="str">
        <f>IF(ISERROR(VLOOKUP(B384,'Base de Datos'!$C$7:$N$315,9,0))=TRUE," ",(VLOOKUP(B384,'Base de Datos'!$C$7:$N$315,9,0)))</f>
        <v xml:space="preserve"> </v>
      </c>
      <c r="S384" s="747" t="str">
        <f>IF(ISERROR(VLOOKUP(B384,'Base de Datos'!$C$7:$N$315,10,0))=TRUE," ",(VLOOKUP(B384,'Base de Datos'!$C$7:$N$315,10,0)))</f>
        <v xml:space="preserve"> </v>
      </c>
      <c r="T384" s="569"/>
    </row>
    <row r="385" spans="2:21" hidden="1" x14ac:dyDescent="0.25">
      <c r="B385" s="1180" t="s">
        <v>1676</v>
      </c>
      <c r="C385" s="1180"/>
      <c r="D385" s="1180"/>
      <c r="E385" s="543">
        <f t="shared" si="19"/>
        <v>3039996697</v>
      </c>
      <c r="F385" s="543">
        <f t="shared" si="19"/>
        <v>4055604697</v>
      </c>
      <c r="G385" s="543">
        <f t="shared" si="20"/>
        <v>7542477000</v>
      </c>
      <c r="H385" s="543">
        <f t="shared" si="20"/>
        <v>0</v>
      </c>
      <c r="I385" s="543">
        <f t="shared" si="20"/>
        <v>7542477000</v>
      </c>
      <c r="J385" s="543">
        <f t="shared" si="20"/>
        <v>3880800698</v>
      </c>
      <c r="K385" s="601">
        <f t="shared" si="20"/>
        <v>0.95689816635006231</v>
      </c>
      <c r="L385" s="543">
        <f t="shared" si="20"/>
        <v>174803999</v>
      </c>
      <c r="M385" s="543"/>
      <c r="N385" s="543">
        <f t="shared" ca="1" si="20"/>
        <v>0</v>
      </c>
      <c r="O385" s="689"/>
      <c r="P385" s="575" t="str">
        <f>IF(ISERROR(VLOOKUP(B385,'Base de Datos'!$C$7:$N$315,8,0))=TRUE," ",(VLOOKUP(B385,'Base de Datos'!$C$7:$N$315,8,0)))</f>
        <v xml:space="preserve"> </v>
      </c>
      <c r="Q385" s="569"/>
      <c r="R385" s="747" t="str">
        <f>IF(ISERROR(VLOOKUP(B385,'Base de Datos'!$C$7:$N$315,9,0))=TRUE," ",(VLOOKUP(B385,'Base de Datos'!$C$7:$N$315,9,0)))</f>
        <v xml:space="preserve"> </v>
      </c>
      <c r="S385" s="747" t="str">
        <f>IF(ISERROR(VLOOKUP(B385,'Base de Datos'!$C$7:$N$315,10,0))=TRUE," ",(VLOOKUP(B385,'Base de Datos'!$C$7:$N$315,10,0)))</f>
        <v xml:space="preserve"> </v>
      </c>
      <c r="T385" s="569"/>
    </row>
    <row r="386" spans="2:21" hidden="1" x14ac:dyDescent="0.25">
      <c r="B386" s="1180" t="s">
        <v>1837</v>
      </c>
      <c r="C386" s="1180"/>
      <c r="D386" s="1180"/>
      <c r="E386" s="543">
        <f t="shared" si="19"/>
        <v>3039996697</v>
      </c>
      <c r="F386" s="543">
        <f t="shared" si="19"/>
        <v>4055604697</v>
      </c>
      <c r="G386" s="543">
        <f t="shared" si="20"/>
        <v>7542477000</v>
      </c>
      <c r="H386" s="543">
        <f t="shared" si="20"/>
        <v>0</v>
      </c>
      <c r="I386" s="543">
        <f t="shared" si="20"/>
        <v>7542477000</v>
      </c>
      <c r="J386" s="543">
        <f t="shared" si="20"/>
        <v>3880800698</v>
      </c>
      <c r="K386" s="601">
        <f t="shared" si="20"/>
        <v>0.95689816635006231</v>
      </c>
      <c r="L386" s="543">
        <f t="shared" si="20"/>
        <v>174803999</v>
      </c>
      <c r="M386" s="543"/>
      <c r="N386" s="543">
        <f t="shared" ca="1" si="20"/>
        <v>0</v>
      </c>
      <c r="O386" s="689"/>
      <c r="P386" s="575" t="str">
        <f>IF(ISERROR(VLOOKUP(B386,'Base de Datos'!$C$7:$N$315,8,0))=TRUE," ",(VLOOKUP(B386,'Base de Datos'!$C$7:$N$315,8,0)))</f>
        <v xml:space="preserve"> </v>
      </c>
      <c r="Q386" s="569"/>
      <c r="R386" s="747" t="str">
        <f>IF(ISERROR(VLOOKUP(B386,'Base de Datos'!$C$7:$N$315,9,0))=TRUE," ",(VLOOKUP(B386,'Base de Datos'!$C$7:$N$315,9,0)))</f>
        <v xml:space="preserve"> </v>
      </c>
      <c r="S386" s="747" t="str">
        <f>IF(ISERROR(VLOOKUP(B386,'Base de Datos'!$C$7:$N$315,10,0))=TRUE," ",(VLOOKUP(B386,'Base de Datos'!$C$7:$N$315,10,0)))</f>
        <v xml:space="preserve"> </v>
      </c>
      <c r="T386" s="569"/>
    </row>
    <row r="387" spans="2:21" hidden="1" x14ac:dyDescent="0.25">
      <c r="B387" s="1180" t="s">
        <v>1836</v>
      </c>
      <c r="C387" s="1180"/>
      <c r="D387" s="1180"/>
      <c r="E387" s="543">
        <f t="shared" si="19"/>
        <v>3039996697</v>
      </c>
      <c r="F387" s="543">
        <f t="shared" si="19"/>
        <v>4055604697</v>
      </c>
      <c r="G387" s="543">
        <f t="shared" si="20"/>
        <v>7542477000</v>
      </c>
      <c r="H387" s="543">
        <f t="shared" si="20"/>
        <v>0</v>
      </c>
      <c r="I387" s="543">
        <f t="shared" si="20"/>
        <v>7542477000</v>
      </c>
      <c r="J387" s="543">
        <f t="shared" si="20"/>
        <v>3880800698</v>
      </c>
      <c r="K387" s="601">
        <f t="shared" si="20"/>
        <v>0.95689816635006231</v>
      </c>
      <c r="L387" s="543">
        <f t="shared" si="20"/>
        <v>174803999</v>
      </c>
      <c r="M387" s="543"/>
      <c r="N387" s="543">
        <f t="shared" ca="1" si="20"/>
        <v>0</v>
      </c>
      <c r="O387" s="689"/>
      <c r="P387" s="575" t="str">
        <f>IF(ISERROR(VLOOKUP(B387,'Base de Datos'!$C$7:$N$315,8,0))=TRUE," ",(VLOOKUP(B387,'Base de Datos'!$C$7:$N$315,8,0)))</f>
        <v xml:space="preserve"> </v>
      </c>
      <c r="Q387" s="569"/>
      <c r="R387" s="747" t="str">
        <f>IF(ISERROR(VLOOKUP(B387,'Base de Datos'!$C$7:$N$315,9,0))=TRUE," ",(VLOOKUP(B387,'Base de Datos'!$C$7:$N$315,9,0)))</f>
        <v xml:space="preserve"> </v>
      </c>
      <c r="S387" s="747" t="str">
        <f>IF(ISERROR(VLOOKUP(B387,'Base de Datos'!$C$7:$N$315,10,0))=TRUE," ",(VLOOKUP(B387,'Base de Datos'!$C$7:$N$315,10,0)))</f>
        <v xml:space="preserve"> </v>
      </c>
      <c r="T387" s="569"/>
      <c r="U387" s="535"/>
    </row>
    <row r="388" spans="2:21" hidden="1" x14ac:dyDescent="0.25">
      <c r="B388" s="1181" t="s">
        <v>1874</v>
      </c>
      <c r="C388" s="1181"/>
      <c r="D388" s="1181"/>
      <c r="E388" s="581">
        <f>SUM(E390:E397)</f>
        <v>3039996697</v>
      </c>
      <c r="F388" s="581">
        <f>SUM(F390:F397)</f>
        <v>4055604697</v>
      </c>
      <c r="G388" s="581">
        <v>7542477000</v>
      </c>
      <c r="H388" s="586"/>
      <c r="I388" s="581">
        <v>7542477000</v>
      </c>
      <c r="J388" s="581">
        <f>SUM(J390:J397)</f>
        <v>3880800698</v>
      </c>
      <c r="K388" s="603">
        <f>+J388/F388</f>
        <v>0.95689816635006231</v>
      </c>
      <c r="L388" s="581">
        <f>SUM(L390:L397)</f>
        <v>174803999</v>
      </c>
      <c r="M388" s="581"/>
      <c r="N388" s="581">
        <f ca="1">SUM(N390:N397)</f>
        <v>0</v>
      </c>
      <c r="O388" s="684"/>
      <c r="P388" s="591" t="str">
        <f>IF(ISERROR(VLOOKUP(B388,'Base de Datos'!$C$7:$N$315,8,0))=TRUE," ",(VLOOKUP(B388,'Base de Datos'!$C$7:$N$315,8,0)))</f>
        <v xml:space="preserve"> </v>
      </c>
      <c r="Q388" s="592"/>
      <c r="R388" s="745" t="str">
        <f>IF(ISERROR(VLOOKUP(B388,'Base de Datos'!$C$7:$N$315,9,0))=TRUE," ",(VLOOKUP(B388,'Base de Datos'!$C$7:$N$315,9,0)))</f>
        <v xml:space="preserve"> </v>
      </c>
      <c r="S388" s="745" t="str">
        <f>IF(ISERROR(VLOOKUP(B388,'Base de Datos'!$C$7:$N$315,10,0))=TRUE," ",(VLOOKUP(B388,'Base de Datos'!$C$7:$N$315,10,0)))</f>
        <v xml:space="preserve"> </v>
      </c>
      <c r="T388" s="592"/>
      <c r="U388" s="535"/>
    </row>
    <row r="389" spans="2:21" ht="24" hidden="1" x14ac:dyDescent="0.25">
      <c r="B389" s="537" t="s">
        <v>2128</v>
      </c>
      <c r="C389" s="537" t="s">
        <v>912</v>
      </c>
      <c r="D389" s="537" t="s">
        <v>1822</v>
      </c>
      <c r="E389" s="545" t="s">
        <v>1845</v>
      </c>
      <c r="F389" s="534" t="s">
        <v>2130</v>
      </c>
      <c r="G389" s="534"/>
      <c r="H389" s="534"/>
      <c r="I389" s="534"/>
      <c r="J389" s="537" t="s">
        <v>2131</v>
      </c>
      <c r="K389" s="652"/>
      <c r="L389" s="537" t="s">
        <v>1940</v>
      </c>
      <c r="M389" s="537"/>
      <c r="N389" s="537" t="s">
        <v>2137</v>
      </c>
      <c r="O389" s="677" t="s">
        <v>2134</v>
      </c>
      <c r="P389" s="568" t="s">
        <v>1818</v>
      </c>
      <c r="Q389" s="537" t="s">
        <v>1848</v>
      </c>
      <c r="R389" s="746" t="s">
        <v>1849</v>
      </c>
      <c r="S389" s="746" t="s">
        <v>375</v>
      </c>
      <c r="T389" s="537" t="s">
        <v>1850</v>
      </c>
      <c r="U389" s="535"/>
    </row>
    <row r="390" spans="2:21" hidden="1" x14ac:dyDescent="0.25">
      <c r="B390" s="533"/>
      <c r="C390" s="533" t="s">
        <v>1525</v>
      </c>
      <c r="D390" s="533" t="str">
        <f>VLOOKUP(C390,'Base de Datos'!$E$7:$AR$390,2,0)</f>
        <v>M@ICROTEL LTDA</v>
      </c>
      <c r="E390" s="536">
        <f>VLOOKUP(C390,'Base de Datos'!$E$7:$AR$390,5,0)</f>
        <v>137450000</v>
      </c>
      <c r="F390" s="536">
        <f>VLOOKUP(C390,'Base de Datos'!$E$7:$AR$390,17,0)</f>
        <v>137450000</v>
      </c>
      <c r="G390" s="533"/>
      <c r="H390" s="533"/>
      <c r="I390" s="533"/>
      <c r="J390" s="536">
        <f>VLOOKUP(C390,'Base de Datos'!$E$7:$AR$390,18,0)</f>
        <v>137449999</v>
      </c>
      <c r="K390" s="600"/>
      <c r="L390" s="742">
        <f>VLOOKUP(C390,'Base de Datos'!$E$7:$AR$390,19,0)</f>
        <v>1</v>
      </c>
      <c r="M390" s="533"/>
      <c r="N390" s="536" t="str">
        <f ca="1">IF(OR(O390=Hoja1!$D$17,'Presupuesto - PAA 2015'!O390=Hoja1!$D$18),'Presupuesto - PAA 2015'!L390," ")</f>
        <v xml:space="preserve"> </v>
      </c>
      <c r="O390" s="678" t="str">
        <f ca="1">VLOOKUP(C390,'Base de Datos'!$E$7:$AR$390,33,0)</f>
        <v>TERMINO</v>
      </c>
      <c r="P390" s="737"/>
      <c r="Q390" s="533"/>
      <c r="R390" s="743">
        <f>VLOOKUP(C390,'Base de Datos'!$E$7:$AR$390,9,0)</f>
        <v>42018</v>
      </c>
      <c r="S390" s="743">
        <f>VLOOKUP(C390,'Base de Datos'!$E$7:$AR$390,16,0)</f>
        <v>42383</v>
      </c>
      <c r="T390" s="678" t="str">
        <f>VLOOKUP(C390,'Base de Datos'!$E$7:$AR$390,40,0)</f>
        <v>Adriana Payares</v>
      </c>
      <c r="U390" s="535"/>
    </row>
    <row r="391" spans="2:21" hidden="1" x14ac:dyDescent="0.25">
      <c r="B391" s="533"/>
      <c r="C391" s="533" t="s">
        <v>1116</v>
      </c>
      <c r="D391" s="533" t="str">
        <f>VLOOKUP(C391,'Base de Datos'!$E$7:$AR$390,2,0)</f>
        <v>SUMIMAS SAS</v>
      </c>
      <c r="E391" s="536">
        <f>VLOOKUP(C391,'Base de Datos'!$E$7:$AR$390,5,0)</f>
        <v>75520000</v>
      </c>
      <c r="F391" s="536">
        <f>VLOOKUP(C391,'Base de Datos'!$E$7:$AR$390,17,0)</f>
        <v>75520000</v>
      </c>
      <c r="G391" s="533"/>
      <c r="H391" s="533"/>
      <c r="I391" s="533"/>
      <c r="J391" s="536">
        <f>VLOOKUP(C391,'Base de Datos'!$E$7:$AR$390,18,0)</f>
        <v>75519999</v>
      </c>
      <c r="K391" s="600"/>
      <c r="L391" s="742">
        <f>VLOOKUP(C391,'Base de Datos'!$E$7:$AR$390,19,0)</f>
        <v>1</v>
      </c>
      <c r="M391" s="533"/>
      <c r="N391" s="536" t="str">
        <f ca="1">IF(OR(O391=Hoja1!$D$17,'Presupuesto - PAA 2015'!O391=Hoja1!$D$18),'Presupuesto - PAA 2015'!L391," ")</f>
        <v xml:space="preserve"> </v>
      </c>
      <c r="O391" s="678" t="str">
        <f ca="1">VLOOKUP(C391,'Base de Datos'!$E$7:$AR$390,33,0)</f>
        <v>TERMINO</v>
      </c>
      <c r="P391" s="737"/>
      <c r="Q391" s="533"/>
      <c r="R391" s="743">
        <f>VLOOKUP(C391,'Base de Datos'!$E$7:$AR$390,9,0)</f>
        <v>41929</v>
      </c>
      <c r="S391" s="743">
        <f>VLOOKUP(C391,'Base de Datos'!$E$7:$AR$390,16,0)</f>
        <v>42369</v>
      </c>
      <c r="T391" s="678" t="str">
        <f>VLOOKUP(C391,'Base de Datos'!$E$7:$AR$390,40,0)</f>
        <v>Adriana Payares</v>
      </c>
      <c r="U391" s="535"/>
    </row>
    <row r="392" spans="2:21" hidden="1" x14ac:dyDescent="0.25">
      <c r="B392" s="533"/>
      <c r="C392" s="533" t="s">
        <v>1359</v>
      </c>
      <c r="D392" s="533" t="str">
        <f>VLOOKUP(C392,'Base de Datos'!$E$7:$AR$390,2,0)</f>
        <v>M@ICROTEL LTDA</v>
      </c>
      <c r="E392" s="536">
        <f>VLOOKUP(C392,'Base de Datos'!$E$7:$AR$390,5,0)</f>
        <v>27235640</v>
      </c>
      <c r="F392" s="536">
        <f>VLOOKUP(C392,'Base de Datos'!$E$7:$AR$390,17,0)</f>
        <v>27235640</v>
      </c>
      <c r="G392" s="533"/>
      <c r="H392" s="533"/>
      <c r="I392" s="533"/>
      <c r="J392" s="536">
        <f>VLOOKUP(C392,'Base de Datos'!$E$7:$AR$390,18,0)</f>
        <v>27235640</v>
      </c>
      <c r="K392" s="600"/>
      <c r="L392" s="742">
        <f>VLOOKUP(C392,'Base de Datos'!$E$7:$AR$390,19,0)</f>
        <v>0</v>
      </c>
      <c r="M392" s="533"/>
      <c r="N392" s="536" t="str">
        <f ca="1">IF(OR(O392=Hoja1!$D$17,'Presupuesto - PAA 2015'!O392=Hoja1!$D$18),'Presupuesto - PAA 2015'!L392," ")</f>
        <v xml:space="preserve"> </v>
      </c>
      <c r="O392" s="678" t="str">
        <f ca="1">VLOOKUP(C392,'Base de Datos'!$E$7:$AR$390,33,0)</f>
        <v>TERMINO</v>
      </c>
      <c r="P392" s="737"/>
      <c r="Q392" s="533"/>
      <c r="R392" s="743">
        <f>VLOOKUP(C392,'Base de Datos'!$E$7:$AR$390,9,0)</f>
        <v>41969</v>
      </c>
      <c r="S392" s="743">
        <f>VLOOKUP(C392,'Base de Datos'!$E$7:$AR$390,16,0)</f>
        <v>42334</v>
      </c>
      <c r="T392" s="678" t="str">
        <f>VLOOKUP(C392,'Base de Datos'!$E$7:$AR$390,40,0)</f>
        <v>Adriana Payares</v>
      </c>
      <c r="U392" s="535"/>
    </row>
    <row r="393" spans="2:21" ht="24" hidden="1" x14ac:dyDescent="0.25">
      <c r="B393" s="533"/>
      <c r="C393" s="533" t="s">
        <v>1366</v>
      </c>
      <c r="D393" s="533" t="str">
        <f>VLOOKUP(C393,'Base de Datos'!$E$7:$AR$390,2,0)</f>
        <v>CARLOS ALBERTO CASTELLANOS MEDINA</v>
      </c>
      <c r="E393" s="536">
        <f>VLOOKUP(C393,'Base de Datos'!$E$7:$AR$390,5,0)</f>
        <v>39999999</v>
      </c>
      <c r="F393" s="536">
        <f>VLOOKUP(C393,'Base de Datos'!$E$7:$AR$390,17,0)</f>
        <v>39999999</v>
      </c>
      <c r="G393" s="533"/>
      <c r="H393" s="533"/>
      <c r="I393" s="533"/>
      <c r="J393" s="536">
        <f>VLOOKUP(C393,'Base de Datos'!$E$7:$AR$390,18,0)</f>
        <v>39999998</v>
      </c>
      <c r="K393" s="600"/>
      <c r="L393" s="742">
        <f>VLOOKUP(C393,'Base de Datos'!$E$7:$AR$390,19,0)</f>
        <v>1</v>
      </c>
      <c r="M393" s="533"/>
      <c r="N393" s="536" t="str">
        <f ca="1">IF(OR(O393=Hoja1!$D$17,'Presupuesto - PAA 2015'!O393=Hoja1!$D$18),'Presupuesto - PAA 2015'!L393," ")</f>
        <v xml:space="preserve"> </v>
      </c>
      <c r="O393" s="678" t="str">
        <f ca="1">VLOOKUP(C393,'Base de Datos'!$E$7:$AR$390,33,0)</f>
        <v>TERMINO</v>
      </c>
      <c r="P393" s="737"/>
      <c r="Q393" s="533"/>
      <c r="R393" s="743">
        <f>VLOOKUP(C393,'Base de Datos'!$E$7:$AR$390,9,0)</f>
        <v>41957</v>
      </c>
      <c r="S393" s="743">
        <f>VLOOKUP(C393,'Base de Datos'!$E$7:$AR$390,16,0)</f>
        <v>42504</v>
      </c>
      <c r="T393" s="678" t="str">
        <f>VLOOKUP(C393,'Base de Datos'!$E$7:$AR$390,40,0)</f>
        <v>Alexander Avendaño</v>
      </c>
      <c r="U393" s="535"/>
    </row>
    <row r="394" spans="2:21" hidden="1" x14ac:dyDescent="0.25">
      <c r="B394" s="533"/>
      <c r="C394" s="533" t="s">
        <v>291</v>
      </c>
      <c r="D394" s="533" t="str">
        <f>VLOOKUP(C394,'Base de Datos'!$E$7:$AR$390,2,0)</f>
        <v>UNIDAD NACIONAL DE PROTECCIÓN</v>
      </c>
      <c r="E394" s="536">
        <f>VLOOKUP(C394,'Base de Datos'!$E$7:$AR$390,5,0)</f>
        <v>2447846100</v>
      </c>
      <c r="F394" s="536">
        <f>VLOOKUP(C394,'Base de Datos'!$E$7:$AR$390,17,0)</f>
        <v>3463454100</v>
      </c>
      <c r="G394" s="533"/>
      <c r="H394" s="533"/>
      <c r="I394" s="533"/>
      <c r="J394" s="536">
        <f>VLOOKUP(C394,'Base de Datos'!$E$7:$AR$390,18,0)</f>
        <v>3320263630</v>
      </c>
      <c r="K394" s="600"/>
      <c r="L394" s="742">
        <f>VLOOKUP(C394,'Base de Datos'!$E$7:$AR$390,19,0)</f>
        <v>143190470</v>
      </c>
      <c r="M394" s="533"/>
      <c r="N394" s="536" t="str">
        <f ca="1">IF(OR(O394=Hoja1!$D$17,'Presupuesto - PAA 2015'!O394=Hoja1!$D$18),'Presupuesto - PAA 2015'!L394," ")</f>
        <v xml:space="preserve"> </v>
      </c>
      <c r="O394" s="678" t="str">
        <f ca="1">VLOOKUP(C394,'Base de Datos'!$E$7:$AR$390,33,0)</f>
        <v>TERMINO</v>
      </c>
      <c r="P394" s="737"/>
      <c r="Q394" s="533"/>
      <c r="R394" s="743">
        <f>VLOOKUP(C394,'Base de Datos'!$E$7:$AR$390,9,0)</f>
        <v>41808</v>
      </c>
      <c r="S394" s="743">
        <f>VLOOKUP(C394,'Base de Datos'!$E$7:$AR$390,16,0)</f>
        <v>42116</v>
      </c>
      <c r="T394" s="678" t="str">
        <f>VLOOKUP(C394,'Base de Datos'!$E$7:$AR$390,40,0)</f>
        <v>Ricardo Rojas</v>
      </c>
      <c r="U394" s="535"/>
    </row>
    <row r="395" spans="2:21" ht="24" hidden="1" x14ac:dyDescent="0.25">
      <c r="B395" s="533"/>
      <c r="C395" s="533" t="s">
        <v>1516</v>
      </c>
      <c r="D395" s="533" t="str">
        <f>VLOOKUP(C395,'Base de Datos'!$E$7:$AR$390,2,0)</f>
        <v>KAWAK SAS</v>
      </c>
      <c r="E395" s="536">
        <f>VLOOKUP(C395,'Base de Datos'!$E$7:$AR$390,5,0)</f>
        <v>64621280</v>
      </c>
      <c r="F395" s="536">
        <f>VLOOKUP(C395,'Base de Datos'!$E$7:$AR$390,17,0)</f>
        <v>64621280</v>
      </c>
      <c r="G395" s="533"/>
      <c r="H395" s="533"/>
      <c r="I395" s="533"/>
      <c r="J395" s="536">
        <f>VLOOKUP(C395,'Base de Datos'!$E$7:$AR$390,18,0)</f>
        <v>64621280</v>
      </c>
      <c r="K395" s="600"/>
      <c r="L395" s="742">
        <f>VLOOKUP(C395,'Base de Datos'!$E$7:$AR$390,19,0)</f>
        <v>0</v>
      </c>
      <c r="M395" s="533"/>
      <c r="N395" s="536" t="str">
        <f ca="1">IF(OR(O395=Hoja1!$D$17,'Presupuesto - PAA 2015'!O395=Hoja1!$D$18),'Presupuesto - PAA 2015'!L395," ")</f>
        <v xml:space="preserve"> </v>
      </c>
      <c r="O395" s="678" t="str">
        <f ca="1">VLOOKUP(C395,'Base de Datos'!$E$7:$AR$390,33,0)</f>
        <v>TERMINO</v>
      </c>
      <c r="P395" s="737"/>
      <c r="Q395" s="533"/>
      <c r="R395" s="743">
        <f>VLOOKUP(C395,'Base de Datos'!$E$7:$AR$390,9,0)</f>
        <v>42045</v>
      </c>
      <c r="S395" s="743">
        <f>VLOOKUP(C395,'Base de Datos'!$E$7:$AR$390,16,0)</f>
        <v>42348</v>
      </c>
      <c r="T395" s="678" t="str">
        <f>VLOOKUP(C395,'Base de Datos'!$E$7:$AR$390,40,0)</f>
        <v>Alexander Avendaño</v>
      </c>
      <c r="U395" s="535"/>
    </row>
    <row r="396" spans="2:21" hidden="1" x14ac:dyDescent="0.25">
      <c r="B396" s="533"/>
      <c r="C396" s="533" t="s">
        <v>1497</v>
      </c>
      <c r="D396" s="533" t="str">
        <f>VLOOKUP(C396,'Base de Datos'!$E$7:$AR$390,2,0)</f>
        <v>GAMMA INGENIEROS S A</v>
      </c>
      <c r="E396" s="536">
        <f>VLOOKUP(C396,'Base de Datos'!$E$7:$AR$390,5,0)</f>
        <v>187940000</v>
      </c>
      <c r="F396" s="536">
        <f>VLOOKUP(C396,'Base de Datos'!$E$7:$AR$390,17,0)</f>
        <v>187940000</v>
      </c>
      <c r="G396" s="533"/>
      <c r="H396" s="533"/>
      <c r="I396" s="533"/>
      <c r="J396" s="536">
        <f>VLOOKUP(C396,'Base de Datos'!$E$7:$AR$390,18,0)</f>
        <v>187940000</v>
      </c>
      <c r="K396" s="600"/>
      <c r="L396" s="742">
        <f>VLOOKUP(C396,'Base de Datos'!$E$7:$AR$390,19,0)</f>
        <v>0</v>
      </c>
      <c r="M396" s="533"/>
      <c r="N396" s="536" t="str">
        <f ca="1">IF(OR(O396=Hoja1!$D$17,'Presupuesto - PAA 2015'!O396=Hoja1!$D$18),'Presupuesto - PAA 2015'!L396," ")</f>
        <v xml:space="preserve"> </v>
      </c>
      <c r="O396" s="678" t="str">
        <f ca="1">VLOOKUP(C396,'Base de Datos'!$E$7:$AR$390,33,0)</f>
        <v>TERMINO</v>
      </c>
      <c r="P396" s="737"/>
      <c r="Q396" s="533"/>
      <c r="R396" s="743">
        <f>VLOOKUP(C396,'Base de Datos'!$E$7:$AR$390,9,0)</f>
        <v>42023</v>
      </c>
      <c r="S396" s="743">
        <f>VLOOKUP(C396,'Base de Datos'!$E$7:$AR$390,16,0)</f>
        <v>42102</v>
      </c>
      <c r="T396" s="678" t="str">
        <f>VLOOKUP(C396,'Base de Datos'!$E$7:$AR$390,40,0)</f>
        <v>Adriana Payares</v>
      </c>
      <c r="U396" s="535"/>
    </row>
    <row r="397" spans="2:21" hidden="1" x14ac:dyDescent="0.25">
      <c r="B397" s="533"/>
      <c r="C397" s="533" t="s">
        <v>1351</v>
      </c>
      <c r="D397" s="533" t="str">
        <f>VLOOKUP(C397,'Base de Datos'!$E$7:$AR$390,2,0)</f>
        <v>PROSEGUR TECNOLOGÍA S.A.S.</v>
      </c>
      <c r="E397" s="536">
        <f>VLOOKUP(C397,'Base de Datos'!$E$7:$AR$390,5,0)</f>
        <v>59383678</v>
      </c>
      <c r="F397" s="536">
        <f>VLOOKUP(C397,'Base de Datos'!$E$7:$AR$390,17,0)</f>
        <v>59383678</v>
      </c>
      <c r="G397" s="533"/>
      <c r="H397" s="533"/>
      <c r="I397" s="533"/>
      <c r="J397" s="536">
        <f>VLOOKUP(C397,'Base de Datos'!$E$7:$AR$390,18,0)</f>
        <v>27770152</v>
      </c>
      <c r="K397" s="600"/>
      <c r="L397" s="742">
        <f>VLOOKUP(C397,'Base de Datos'!$E$7:$AR$390,19,0)</f>
        <v>31613526</v>
      </c>
      <c r="M397" s="533"/>
      <c r="N397" s="536" t="str">
        <f ca="1">IF(OR(O397=Hoja1!$D$17,'Presupuesto - PAA 2015'!O397=Hoja1!$D$18),'Presupuesto - PAA 2015'!L397," ")</f>
        <v xml:space="preserve"> </v>
      </c>
      <c r="O397" s="678" t="str">
        <f ca="1">VLOOKUP(C397,'Base de Datos'!$E$7:$AR$390,33,0)</f>
        <v>TERMINO</v>
      </c>
      <c r="P397" s="737"/>
      <c r="Q397" s="533"/>
      <c r="R397" s="743">
        <f>VLOOKUP(C397,'Base de Datos'!$E$7:$AR$390,9,0)</f>
        <v>41941</v>
      </c>
      <c r="S397" s="743">
        <f>VLOOKUP(C397,'Base de Datos'!$E$7:$AR$390,16,0)</f>
        <v>42184</v>
      </c>
      <c r="T397" s="678" t="str">
        <f>VLOOKUP(C397,'Base de Datos'!$E$7:$AR$390,40,0)</f>
        <v>Adriana Payares</v>
      </c>
      <c r="U397" s="535"/>
    </row>
    <row r="398" spans="2:21" x14ac:dyDescent="0.25">
      <c r="R398" s="749"/>
      <c r="S398" s="749"/>
      <c r="U398" s="535"/>
    </row>
  </sheetData>
  <mergeCells count="95">
    <mergeCell ref="B209:D209"/>
    <mergeCell ref="B205:D205"/>
    <mergeCell ref="B51:D51"/>
    <mergeCell ref="B73:D73"/>
    <mergeCell ref="B74:D74"/>
    <mergeCell ref="B176:D176"/>
    <mergeCell ref="B175:D175"/>
    <mergeCell ref="B91:D91"/>
    <mergeCell ref="B90:D90"/>
    <mergeCell ref="B75:D75"/>
    <mergeCell ref="B82:D82"/>
    <mergeCell ref="C264:D264"/>
    <mergeCell ref="B180:D180"/>
    <mergeCell ref="B228:D228"/>
    <mergeCell ref="B227:D227"/>
    <mergeCell ref="B226:D226"/>
    <mergeCell ref="B217:D217"/>
    <mergeCell ref="B216:D216"/>
    <mergeCell ref="C233:D233"/>
    <mergeCell ref="B230:D230"/>
    <mergeCell ref="B229:D229"/>
    <mergeCell ref="C251:D251"/>
    <mergeCell ref="C241:D241"/>
    <mergeCell ref="C242:D242"/>
    <mergeCell ref="C244:D244"/>
    <mergeCell ref="C249:D249"/>
    <mergeCell ref="B231:D231"/>
    <mergeCell ref="C234:D234"/>
    <mergeCell ref="B188:D188"/>
    <mergeCell ref="B196:D196"/>
    <mergeCell ref="B100:D100"/>
    <mergeCell ref="B117:D117"/>
    <mergeCell ref="B116:D116"/>
    <mergeCell ref="B154:D154"/>
    <mergeCell ref="B158:D158"/>
    <mergeCell ref="B159:D159"/>
    <mergeCell ref="B163:D163"/>
    <mergeCell ref="B167:D167"/>
    <mergeCell ref="B171:D171"/>
    <mergeCell ref="B139:D139"/>
    <mergeCell ref="B140:D140"/>
    <mergeCell ref="B147:D147"/>
    <mergeCell ref="B204:D204"/>
    <mergeCell ref="B270:D270"/>
    <mergeCell ref="B50:D50"/>
    <mergeCell ref="B1:T1"/>
    <mergeCell ref="B48:D48"/>
    <mergeCell ref="B8:D8"/>
    <mergeCell ref="B32:D32"/>
    <mergeCell ref="B33:D33"/>
    <mergeCell ref="B37:D37"/>
    <mergeCell ref="B34:D34"/>
    <mergeCell ref="B3:D3"/>
    <mergeCell ref="B2:D2"/>
    <mergeCell ref="B4:D4"/>
    <mergeCell ref="B7:D7"/>
    <mergeCell ref="B6:D6"/>
    <mergeCell ref="B5:D5"/>
    <mergeCell ref="B49:D49"/>
    <mergeCell ref="B271:D271"/>
    <mergeCell ref="B272:D272"/>
    <mergeCell ref="B273:D273"/>
    <mergeCell ref="B274:D274"/>
    <mergeCell ref="B275:D275"/>
    <mergeCell ref="B276:D276"/>
    <mergeCell ref="B277:D277"/>
    <mergeCell ref="B285:D285"/>
    <mergeCell ref="B291:D291"/>
    <mergeCell ref="B289:D289"/>
    <mergeCell ref="B290:D290"/>
    <mergeCell ref="B347:D347"/>
    <mergeCell ref="B348:D348"/>
    <mergeCell ref="B353:D353"/>
    <mergeCell ref="B300:D300"/>
    <mergeCell ref="B307:D307"/>
    <mergeCell ref="B312:D312"/>
    <mergeCell ref="B317:D317"/>
    <mergeCell ref="B323:D323"/>
    <mergeCell ref="B313:D313"/>
    <mergeCell ref="B221:D221"/>
    <mergeCell ref="B386:D386"/>
    <mergeCell ref="B387:D387"/>
    <mergeCell ref="B388:D388"/>
    <mergeCell ref="B379:D379"/>
    <mergeCell ref="B378:D378"/>
    <mergeCell ref="B383:D383"/>
    <mergeCell ref="B384:D384"/>
    <mergeCell ref="B385:D385"/>
    <mergeCell ref="B354:D354"/>
    <mergeCell ref="B359:D359"/>
    <mergeCell ref="B363:D363"/>
    <mergeCell ref="B368:D368"/>
    <mergeCell ref="B373:D373"/>
    <mergeCell ref="B327:D327"/>
    <mergeCell ref="B328:D328"/>
  </mergeCells>
  <pageMargins left="0.7" right="0.7" top="0.75" bottom="0.75" header="0.3" footer="0.3"/>
  <pageSetup paperSize="14" scale="55" orientation="landscape" r:id="rId1"/>
  <drawing r:id="rId2"/>
  <legacy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06"/>
  <sheetViews>
    <sheetView workbookViewId="0">
      <selection activeCell="B3" sqref="B3:D3"/>
    </sheetView>
  </sheetViews>
  <sheetFormatPr baseColWidth="10" defaultRowHeight="15" x14ac:dyDescent="0.25"/>
  <cols>
    <col min="1" max="1" width="2.42578125" style="656" customWidth="1"/>
    <col min="2" max="3" width="11.42578125" style="655"/>
    <col min="4" max="4" width="48.140625" style="655" customWidth="1"/>
    <col min="5" max="5" width="0" style="655" hidden="1" customWidth="1"/>
    <col min="6" max="6" width="15.140625" style="655" bestFit="1" customWidth="1"/>
    <col min="7" max="7" width="15.140625" style="655" hidden="1" customWidth="1"/>
    <col min="8" max="8" width="12.7109375" style="655" hidden="1" customWidth="1"/>
    <col min="9" max="9" width="15.140625" style="655" hidden="1" customWidth="1"/>
    <col min="10" max="10" width="15.140625" style="655" bestFit="1" customWidth="1"/>
    <col min="11" max="11" width="11.42578125" style="673"/>
    <col min="12" max="12" width="15.140625" style="655" bestFit="1" customWidth="1"/>
    <col min="13" max="13" width="12.85546875" style="655" hidden="1" customWidth="1"/>
    <col min="14" max="14" width="14.140625" style="655" bestFit="1" customWidth="1"/>
    <col min="15" max="16384" width="11.42578125" style="655"/>
  </cols>
  <sheetData>
    <row r="1" spans="1:14" ht="18.75" x14ac:dyDescent="0.25">
      <c r="A1" s="654"/>
      <c r="B1" s="1203" t="s">
        <v>1941</v>
      </c>
      <c r="C1" s="1203"/>
      <c r="D1" s="1203"/>
      <c r="E1" s="1203"/>
      <c r="F1" s="1203"/>
      <c r="G1" s="1203"/>
      <c r="H1" s="1203"/>
      <c r="I1" s="1203"/>
      <c r="J1" s="1203"/>
      <c r="K1" s="1203"/>
      <c r="L1" s="1203"/>
      <c r="M1" s="1203"/>
      <c r="N1" s="1203"/>
    </row>
    <row r="2" spans="1:14" ht="42.75" customHeight="1" x14ac:dyDescent="0.25">
      <c r="A2" s="654"/>
      <c r="B2" s="1204" t="s">
        <v>1783</v>
      </c>
      <c r="C2" s="1204"/>
      <c r="D2" s="1204"/>
      <c r="E2" s="544" t="s">
        <v>1842</v>
      </c>
      <c r="F2" s="544" t="s">
        <v>2159</v>
      </c>
      <c r="G2" s="544" t="s">
        <v>1897</v>
      </c>
      <c r="H2" s="544" t="s">
        <v>1898</v>
      </c>
      <c r="I2" s="544" t="s">
        <v>1840</v>
      </c>
      <c r="J2" s="544" t="s">
        <v>2185</v>
      </c>
      <c r="K2" s="599" t="s">
        <v>1900</v>
      </c>
      <c r="L2" s="544" t="s">
        <v>1901</v>
      </c>
      <c r="M2" s="544" t="s">
        <v>1902</v>
      </c>
      <c r="N2" s="544" t="s">
        <v>1904</v>
      </c>
    </row>
    <row r="3" spans="1:14" x14ac:dyDescent="0.25">
      <c r="A3" s="654"/>
      <c r="B3" s="1183" t="s">
        <v>1686</v>
      </c>
      <c r="C3" s="1183"/>
      <c r="D3" s="1183"/>
      <c r="E3" s="542"/>
      <c r="F3" s="541">
        <f>VLOOKUP(B3,'Presupuesto - PAA 2015'!$B$3:$N$265,4,0)</f>
        <v>31035477000</v>
      </c>
      <c r="G3" s="541">
        <v>29809977000</v>
      </c>
      <c r="H3" s="541"/>
      <c r="I3" s="541">
        <v>29809977000</v>
      </c>
      <c r="J3" s="541">
        <f>VLOOKUP(B3,'Presupuesto - PAA 2015'!$B$3:$N$265,9,0)</f>
        <v>27324734236.200001</v>
      </c>
      <c r="K3" s="646">
        <f>VLOOKUP(B3,'Presupuesto - PAA 2015'!$B$3:$N$265,10,0)</f>
        <v>0.88043545250488664</v>
      </c>
      <c r="L3" s="541">
        <f>VLOOKUP(B3,'Presupuesto - PAA 2015'!$B$3:$N$265,11,0)</f>
        <v>3107763756</v>
      </c>
      <c r="M3" s="541">
        <f>VLOOKUP(B3,'Presupuesto - PAA 2015'!$B$3:$N$265,12,0)</f>
        <v>132180622</v>
      </c>
      <c r="N3" s="541">
        <f>VLOOKUP(B3,'Presupuesto - PAA 2015'!$B$3:$N$265,13,0)</f>
        <v>586182073.80000019</v>
      </c>
    </row>
    <row r="4" spans="1:14" x14ac:dyDescent="0.25">
      <c r="A4" s="654"/>
      <c r="B4" s="1184" t="s">
        <v>1684</v>
      </c>
      <c r="C4" s="1184"/>
      <c r="D4" s="1184"/>
      <c r="E4" s="586"/>
      <c r="F4" s="657">
        <f>VLOOKUP(B4,'Presupuesto - PAA 2015'!$B$3:$N$265,4,0)</f>
        <v>22793000000</v>
      </c>
      <c r="G4" s="657">
        <v>22267500000</v>
      </c>
      <c r="H4" s="657">
        <v>288614000</v>
      </c>
      <c r="I4" s="657">
        <v>22267500000</v>
      </c>
      <c r="J4" s="657">
        <f>VLOOKUP(B4,'Presupuesto - PAA 2015'!$B$3:$N$265,9,0)</f>
        <v>19666824034</v>
      </c>
      <c r="K4" s="665">
        <f>VLOOKUP(B4,'Presupuesto - PAA 2015'!$B$3:$N$265,10,0)</f>
        <v>0.86284491001623309</v>
      </c>
      <c r="L4" s="657">
        <f>VLOOKUP(B4,'Presupuesto - PAA 2015'!$B$3:$N$265,11,0)</f>
        <v>2657286756</v>
      </c>
      <c r="M4" s="657">
        <f>VLOOKUP(B4,'Presupuesto - PAA 2015'!$B$3:$N$265,12,0)</f>
        <v>132180622</v>
      </c>
      <c r="N4" s="657">
        <f>VLOOKUP(B4,'Presupuesto - PAA 2015'!$B$3:$N$265,13,0)</f>
        <v>452092276</v>
      </c>
    </row>
    <row r="5" spans="1:14" x14ac:dyDescent="0.25">
      <c r="A5" s="654"/>
      <c r="B5" s="1202" t="s">
        <v>1683</v>
      </c>
      <c r="C5" s="1202"/>
      <c r="D5" s="1202"/>
      <c r="E5" s="534"/>
      <c r="F5" s="666">
        <f>VLOOKUP(B5,'Presupuesto - PAA 2015'!$B$3:$N$265,4,0)</f>
        <v>13641779000</v>
      </c>
      <c r="G5" s="666">
        <v>13603500000</v>
      </c>
      <c r="H5" s="666">
        <v>148000000</v>
      </c>
      <c r="I5" s="666">
        <v>13495500000</v>
      </c>
      <c r="J5" s="666">
        <f>VLOOKUP(B5,'Presupuesto - PAA 2015'!$B$3:$N$265,9,0)</f>
        <v>11413365052</v>
      </c>
      <c r="K5" s="667">
        <f>VLOOKUP(B5,'Presupuesto - PAA 2015'!$B$3:$N$265,10,0)</f>
        <v>0.83664784864202824</v>
      </c>
      <c r="L5" s="666">
        <f>VLOOKUP(B5,'Presupuesto - PAA 2015'!$B$3:$N$265,11,0)</f>
        <v>2225164920</v>
      </c>
      <c r="M5" s="666">
        <f>VLOOKUP(B5,'Presupuesto - PAA 2015'!$B$3:$N$265,12,0)</f>
        <v>3249028</v>
      </c>
      <c r="N5" s="666">
        <f>VLOOKUP(B5,'Presupuesto - PAA 2015'!$B$3:$N$265,13,0)</f>
        <v>3249028</v>
      </c>
    </row>
    <row r="6" spans="1:14" ht="21" customHeight="1" x14ac:dyDescent="0.25">
      <c r="A6" s="654"/>
      <c r="B6" s="1202" t="s">
        <v>1682</v>
      </c>
      <c r="C6" s="1202"/>
      <c r="D6" s="1202"/>
      <c r="E6" s="534"/>
      <c r="F6" s="666">
        <f>VLOOKUP(B6,'Presupuesto - PAA 2015'!$B$3:$N$265,4,0)</f>
        <v>13641779000</v>
      </c>
      <c r="G6" s="666">
        <v>13603500000</v>
      </c>
      <c r="H6" s="666">
        <v>148000000</v>
      </c>
      <c r="I6" s="666">
        <v>13495500000</v>
      </c>
      <c r="J6" s="666">
        <f>VLOOKUP(B6,'Presupuesto - PAA 2015'!$B$3:$N$265,9,0)</f>
        <v>11413365052</v>
      </c>
      <c r="K6" s="667">
        <f>VLOOKUP(B6,'Presupuesto - PAA 2015'!$B$3:$N$265,10,0)</f>
        <v>0.83664784864202824</v>
      </c>
      <c r="L6" s="666">
        <f>VLOOKUP(B6,'Presupuesto - PAA 2015'!$B$3:$N$265,11,0)</f>
        <v>2225164920</v>
      </c>
      <c r="M6" s="666">
        <f>VLOOKUP(B6,'Presupuesto - PAA 2015'!$B$3:$N$265,12,0)</f>
        <v>3249028</v>
      </c>
      <c r="N6" s="666">
        <f>VLOOKUP(B6,'Presupuesto - PAA 2015'!$B$3:$N$265,13,0)</f>
        <v>3249028</v>
      </c>
    </row>
    <row r="7" spans="1:14" x14ac:dyDescent="0.25">
      <c r="A7" s="654"/>
      <c r="B7" s="1205" t="s">
        <v>1681</v>
      </c>
      <c r="C7" s="1205"/>
      <c r="D7" s="1205"/>
      <c r="E7" s="658"/>
      <c r="F7" s="659">
        <f>VLOOKUP(B7,'Presupuesto - PAA 2015'!$B$3:$N$265,4,0)</f>
        <v>13548179000</v>
      </c>
      <c r="G7" s="659">
        <v>13603500000</v>
      </c>
      <c r="H7" s="659">
        <v>148000000</v>
      </c>
      <c r="I7" s="659">
        <v>13495500000</v>
      </c>
      <c r="J7" s="659">
        <f>VLOOKUP(B7,'Presupuesto - PAA 2015'!$B$3:$N$265,9,0)</f>
        <v>11413365052</v>
      </c>
      <c r="K7" s="669">
        <f>VLOOKUP(B7,'Presupuesto - PAA 2015'!$B$3:$N$265,10,0)</f>
        <v>0.84242797884497989</v>
      </c>
      <c r="L7" s="659">
        <f>VLOOKUP(B7,'Presupuesto - PAA 2015'!$B$3:$N$265,11,0)</f>
        <v>2225164920</v>
      </c>
      <c r="M7" s="659">
        <f>VLOOKUP(B7,'Presupuesto - PAA 2015'!$B$3:$N$265,12,0)</f>
        <v>3249028</v>
      </c>
      <c r="N7" s="659">
        <f>VLOOKUP(B7,'Presupuesto - PAA 2015'!$B$3:$N$265,13,0)</f>
        <v>3249028</v>
      </c>
    </row>
    <row r="8" spans="1:14" x14ac:dyDescent="0.25">
      <c r="A8" s="654"/>
      <c r="B8" s="1206" t="s">
        <v>1643</v>
      </c>
      <c r="C8" s="1206"/>
      <c r="D8" s="1206"/>
      <c r="E8" s="486">
        <f>COUNTIF('Actualizada - presupuesto'!$E$7:$E$111,B8)</f>
        <v>16</v>
      </c>
      <c r="F8" s="666">
        <f>VLOOKUP(B8,'Presupuesto - PAA 2015'!$B$3:$N$265,4,0)</f>
        <v>843179000</v>
      </c>
      <c r="G8" s="580">
        <v>858500000</v>
      </c>
      <c r="H8" s="711">
        <v>128000000</v>
      </c>
      <c r="I8" s="580">
        <v>730500000</v>
      </c>
      <c r="J8" s="666">
        <f>VLOOKUP(B8,'Presupuesto - PAA 2015'!$B$3:$N$265,9,0)</f>
        <v>839929972</v>
      </c>
      <c r="K8" s="667">
        <f>VLOOKUP(B8,'Presupuesto - PAA 2015'!$B$3:$N$265,10,0)</f>
        <v>0.99614669245794785</v>
      </c>
      <c r="L8" s="666">
        <f>VLOOKUP(B8,'Presupuesto - PAA 2015'!$B$3:$N$265,11,0)</f>
        <v>0</v>
      </c>
      <c r="M8" s="666">
        <f>VLOOKUP(B8,'Presupuesto - PAA 2015'!$B$3:$N$265,12,0)</f>
        <v>3249028</v>
      </c>
      <c r="N8" s="666">
        <f>VLOOKUP(B8,'Presupuesto - PAA 2015'!$B$3:$N$265,13,0)</f>
        <v>3249028</v>
      </c>
    </row>
    <row r="9" spans="1:14" x14ac:dyDescent="0.25">
      <c r="A9" s="654"/>
      <c r="B9" s="1206" t="s">
        <v>1644</v>
      </c>
      <c r="C9" s="1206"/>
      <c r="D9" s="1206"/>
      <c r="E9" s="486">
        <f>COUNTIF('Actualizada - presupuesto'!$E$7:$E$111,B9)</f>
        <v>0</v>
      </c>
      <c r="F9" s="666">
        <f>VLOOKUP(B9,'Presupuesto - PAA 2015'!$B$3:$N$265,4,0)</f>
        <v>12705000000</v>
      </c>
      <c r="G9" s="580">
        <v>12745000000</v>
      </c>
      <c r="H9" s="580"/>
      <c r="I9" s="580">
        <v>12745000000</v>
      </c>
      <c r="J9" s="666">
        <f>VLOOKUP(B9,'Presupuesto - PAA 2015'!$B$3:$N$265,9,0)</f>
        <v>10479835080</v>
      </c>
      <c r="K9" s="667">
        <f>VLOOKUP(B9,'Presupuesto - PAA 2015'!$B$3:$N$265,10,0)</f>
        <v>0.82227030835621817</v>
      </c>
      <c r="L9" s="666">
        <f>VLOOKUP(B9,'Presupuesto - PAA 2015'!$B$3:$N$265,11,0)</f>
        <v>2225164920</v>
      </c>
      <c r="M9" s="666">
        <f>VLOOKUP(B9,'Presupuesto - PAA 2015'!$B$3:$N$265,12,0)</f>
        <v>0</v>
      </c>
      <c r="N9" s="666">
        <f>VLOOKUP(B9,'Presupuesto - PAA 2015'!$B$3:$N$265,13,0)</f>
        <v>0</v>
      </c>
    </row>
    <row r="10" spans="1:14" ht="25.5" customHeight="1" x14ac:dyDescent="0.25">
      <c r="A10" s="654"/>
      <c r="B10" s="1206" t="s">
        <v>1645</v>
      </c>
      <c r="C10" s="1206"/>
      <c r="D10" s="1206"/>
      <c r="E10" s="486">
        <f>COUNTIF('Actualizada - presupuesto'!$E$7:$E$111,B10)</f>
        <v>1</v>
      </c>
      <c r="F10" s="666">
        <f>VLOOKUP(B10,'Presupuesto - PAA 2015'!$B$3:$N$265,4,0)</f>
        <v>93600000</v>
      </c>
      <c r="G10" s="580">
        <v>0</v>
      </c>
      <c r="H10" s="580">
        <v>20000000</v>
      </c>
      <c r="I10" s="580">
        <v>20000000</v>
      </c>
      <c r="J10" s="666">
        <f>VLOOKUP(B10,'Presupuesto - PAA 2015'!$B$3:$N$265,9,0)</f>
        <v>93600000</v>
      </c>
      <c r="K10" s="667">
        <f>VLOOKUP(B10,'Presupuesto - PAA 2015'!$B$3:$N$265,10,0)</f>
        <v>1</v>
      </c>
      <c r="L10" s="666">
        <f>VLOOKUP(B10,'Presupuesto - PAA 2015'!$B$3:$N$265,11,0)</f>
        <v>0</v>
      </c>
      <c r="M10" s="666">
        <f>VLOOKUP(B10,'Presupuesto - PAA 2015'!$B$3:$N$265,12,0)</f>
        <v>0</v>
      </c>
      <c r="N10" s="666">
        <f>VLOOKUP(B10,'Presupuesto - PAA 2015'!$B$3:$N$265,13,0)</f>
        <v>0</v>
      </c>
    </row>
    <row r="11" spans="1:14" x14ac:dyDescent="0.25">
      <c r="A11" s="654"/>
      <c r="B11" s="1205" t="s">
        <v>1793</v>
      </c>
      <c r="C11" s="1205"/>
      <c r="D11" s="1205"/>
      <c r="E11" s="658"/>
      <c r="F11" s="659">
        <f>VLOOKUP(B11,'Presupuesto - PAA 2015'!$B$3:$N$265,4,0)</f>
        <v>9151221000</v>
      </c>
      <c r="G11" s="659">
        <v>8664000000</v>
      </c>
      <c r="H11" s="659">
        <v>140614000</v>
      </c>
      <c r="I11" s="659">
        <v>8772000000</v>
      </c>
      <c r="J11" s="659">
        <f>VLOOKUP(B11,'Presupuesto - PAA 2015'!$B$3:$N$265,9,0)</f>
        <v>8253458982</v>
      </c>
      <c r="K11" s="669">
        <f>VLOOKUP(B11,'Presupuesto - PAA 2015'!$B$3:$N$265,10,0)</f>
        <v>0.90189702357750945</v>
      </c>
      <c r="L11" s="659">
        <f>VLOOKUP(B11,'Presupuesto - PAA 2015'!$B$3:$N$265,11,0)</f>
        <v>432121836</v>
      </c>
      <c r="M11" s="659">
        <f>VLOOKUP(B11,'Presupuesto - PAA 2015'!$B$3:$N$265,12,0)</f>
        <v>128931594</v>
      </c>
      <c r="N11" s="659">
        <f>VLOOKUP(B11,'Presupuesto - PAA 2015'!$B$3:$N$265,13,0)</f>
        <v>448843248</v>
      </c>
    </row>
    <row r="12" spans="1:14" x14ac:dyDescent="0.25">
      <c r="A12" s="654"/>
      <c r="B12" s="1207" t="s">
        <v>1647</v>
      </c>
      <c r="C12" s="1207"/>
      <c r="D12" s="1207"/>
      <c r="E12" s="660"/>
      <c r="F12" s="661">
        <f>VLOOKUP(B12,'Presupuesto - PAA 2015'!$B$3:$N$265,4,0)</f>
        <v>2089000000</v>
      </c>
      <c r="G12" s="661">
        <v>1589000000</v>
      </c>
      <c r="H12" s="661">
        <v>0</v>
      </c>
      <c r="I12" s="661">
        <v>1589000000</v>
      </c>
      <c r="J12" s="661">
        <f>VLOOKUP(B12,'Presupuesto - PAA 2015'!$B$3:$N$265,9,0)</f>
        <v>1940688061</v>
      </c>
      <c r="K12" s="672">
        <f>VLOOKUP(B12,'Presupuesto - PAA 2015'!$B$3:$N$265,10,0)</f>
        <v>0</v>
      </c>
      <c r="L12" s="661">
        <f>VLOOKUP(B12,'Presupuesto - PAA 2015'!$B$3:$N$265,11,0)</f>
        <v>54285345</v>
      </c>
      <c r="M12" s="661">
        <f>VLOOKUP(B12,'Presupuesto - PAA 2015'!$B$3:$N$265,12,0)</f>
        <v>128931594</v>
      </c>
      <c r="N12" s="661">
        <f>VLOOKUP(B12,'Presupuesto - PAA 2015'!$B$3:$N$265,13,0)</f>
        <v>94026594</v>
      </c>
    </row>
    <row r="13" spans="1:14" x14ac:dyDescent="0.25">
      <c r="A13" s="654"/>
      <c r="B13" s="1206" t="s">
        <v>1648</v>
      </c>
      <c r="C13" s="1206"/>
      <c r="D13" s="1206"/>
      <c r="E13" s="486">
        <f>COUNTIF('Actualizada - presupuesto'!$E$7:$E$111,B13)</f>
        <v>15</v>
      </c>
      <c r="F13" s="666">
        <f>VLOOKUP(B13,'Presupuesto - PAA 2015'!$B$3:$N$265,4,0)</f>
        <v>1414000000</v>
      </c>
      <c r="G13" s="580">
        <v>914000000</v>
      </c>
      <c r="H13" s="580"/>
      <c r="I13" s="580">
        <v>914000000</v>
      </c>
      <c r="J13" s="666">
        <f>VLOOKUP(B13,'Presupuesto - PAA 2015'!$B$3:$N$265,9,0)</f>
        <v>1245571061</v>
      </c>
      <c r="K13" s="667">
        <f>VLOOKUP(B13,'Presupuesto - PAA 2015'!$B$3:$N$265,10,0)</f>
        <v>0.88088476732673271</v>
      </c>
      <c r="L13" s="666">
        <f>VLOOKUP(B13,'Presupuesto - PAA 2015'!$B$3:$N$265,11,0)</f>
        <v>54285345</v>
      </c>
      <c r="M13" s="666">
        <f>VLOOKUP(B13,'Presupuesto - PAA 2015'!$B$3:$N$265,12,0)</f>
        <v>114143594</v>
      </c>
      <c r="N13" s="666">
        <f>VLOOKUP(B13,'Presupuesto - PAA 2015'!$B$3:$N$265,13,0)</f>
        <v>114143594</v>
      </c>
    </row>
    <row r="14" spans="1:14" x14ac:dyDescent="0.25">
      <c r="A14" s="654"/>
      <c r="B14" s="1206" t="s">
        <v>1649</v>
      </c>
      <c r="C14" s="1206"/>
      <c r="D14" s="1206"/>
      <c r="E14" s="486">
        <f>COUNTIF('Actualizada - presupuesto'!$E$7:$E$111,B14)</f>
        <v>3</v>
      </c>
      <c r="F14" s="666">
        <f>VLOOKUP(B14,'Presupuesto - PAA 2015'!$B$3:$N$265,4,0)</f>
        <v>452000000</v>
      </c>
      <c r="G14" s="580">
        <v>452000000</v>
      </c>
      <c r="H14" s="580"/>
      <c r="I14" s="580">
        <v>452000000</v>
      </c>
      <c r="J14" s="666">
        <f>VLOOKUP(B14,'Presupuesto - PAA 2015'!$B$3:$N$265,9,0)</f>
        <v>486905000</v>
      </c>
      <c r="K14" s="667">
        <f>VLOOKUP(B14,'Presupuesto - PAA 2015'!$B$3:$N$265,10,0)</f>
        <v>1.0772234513274337</v>
      </c>
      <c r="L14" s="666">
        <f>VLOOKUP(B14,'Presupuesto - PAA 2015'!$B$3:$N$265,11,0)</f>
        <v>0</v>
      </c>
      <c r="M14" s="666">
        <f>VLOOKUP(B14,'Presupuesto - PAA 2015'!$B$3:$N$265,12,0)</f>
        <v>0</v>
      </c>
      <c r="N14" s="666">
        <f>VLOOKUP(B14,'Presupuesto - PAA 2015'!$B$3:$N$265,13,0)</f>
        <v>-34905000</v>
      </c>
    </row>
    <row r="15" spans="1:14" x14ac:dyDescent="0.25">
      <c r="A15" s="654"/>
      <c r="B15" s="1206" t="s">
        <v>1650</v>
      </c>
      <c r="C15" s="1206"/>
      <c r="D15" s="1206"/>
      <c r="E15" s="486">
        <f>COUNTIF('Actualizada - presupuesto'!$E$7:$E$111,B15)</f>
        <v>4</v>
      </c>
      <c r="F15" s="666">
        <f>VLOOKUP(B15,'Presupuesto - PAA 2015'!$B$3:$N$265,4,0)</f>
        <v>223000000</v>
      </c>
      <c r="G15" s="580">
        <v>223000000</v>
      </c>
      <c r="H15" s="580"/>
      <c r="I15" s="580">
        <v>223000000</v>
      </c>
      <c r="J15" s="666">
        <f>VLOOKUP(B15,'Presupuesto - PAA 2015'!$B$3:$N$265,9,0)</f>
        <v>208212000</v>
      </c>
      <c r="K15" s="667">
        <f>VLOOKUP(B15,'Presupuesto - PAA 2015'!$B$3:$N$265,10,0)</f>
        <v>0.93368609865470853</v>
      </c>
      <c r="L15" s="666">
        <f>VLOOKUP(B15,'Presupuesto - PAA 2015'!$B$3:$N$265,11,0)</f>
        <v>0</v>
      </c>
      <c r="M15" s="666">
        <f>VLOOKUP(B15,'Presupuesto - PAA 2015'!$B$3:$N$265,12,0)</f>
        <v>14788000</v>
      </c>
      <c r="N15" s="666">
        <f>VLOOKUP(B15,'Presupuesto - PAA 2015'!$B$3:$N$265,13,0)</f>
        <v>14788000</v>
      </c>
    </row>
    <row r="16" spans="1:14" x14ac:dyDescent="0.25">
      <c r="A16" s="654"/>
      <c r="B16" s="1207" t="s">
        <v>1651</v>
      </c>
      <c r="C16" s="1207"/>
      <c r="D16" s="1207"/>
      <c r="E16" s="662">
        <v>0</v>
      </c>
      <c r="F16" s="661">
        <f>VLOOKUP(B16,'Presupuesto - PAA 2015'!$B$3:$N$265,4,0)</f>
        <v>7026221000</v>
      </c>
      <c r="G16" s="661">
        <v>7074000000</v>
      </c>
      <c r="H16" s="661">
        <v>140614000</v>
      </c>
      <c r="I16" s="661">
        <v>7182000000</v>
      </c>
      <c r="J16" s="661">
        <f>VLOOKUP(B16,'Presupuesto - PAA 2015'!$B$3:$N$265,9,0)</f>
        <v>6311862387</v>
      </c>
      <c r="K16" s="672">
        <f>VLOOKUP(B16,'Presupuesto - PAA 2015'!$B$3:$N$265,10,0)</f>
        <v>0.89832961231933928</v>
      </c>
      <c r="L16" s="661">
        <f>VLOOKUP(B16,'Presupuesto - PAA 2015'!$B$3:$N$265,11,0)</f>
        <v>377745025</v>
      </c>
      <c r="M16" s="661">
        <f>VLOOKUP(B16,'Presupuesto - PAA 2015'!$B$3:$N$265,12,0)</f>
        <v>0</v>
      </c>
      <c r="N16" s="661">
        <f>VLOOKUP(B16,'Presupuesto - PAA 2015'!$B$3:$N$265,13,0)</f>
        <v>336613570</v>
      </c>
    </row>
    <row r="17" spans="1:14" x14ac:dyDescent="0.25">
      <c r="A17" s="654"/>
      <c r="B17" s="1180" t="s">
        <v>1652</v>
      </c>
      <c r="C17" s="1180"/>
      <c r="D17" s="1180"/>
      <c r="E17" s="486">
        <f>COUNTIF('Actualizada - presupuesto'!$E$7:$E$111,B17)</f>
        <v>5</v>
      </c>
      <c r="F17" s="539">
        <f>VLOOKUP(B17,'Presupuesto - PAA 2015'!$B$3:$N$265,4,0)</f>
        <v>229000000</v>
      </c>
      <c r="G17" s="543">
        <v>229000000</v>
      </c>
      <c r="H17" s="543"/>
      <c r="I17" s="543">
        <v>229000000</v>
      </c>
      <c r="J17" s="539">
        <f>VLOOKUP(B17,'Presupuesto - PAA 2015'!$B$3:$N$265,9,0)</f>
        <v>194508146</v>
      </c>
      <c r="K17" s="602">
        <f>VLOOKUP(B17,'Presupuesto - PAA 2015'!$B$3:$N$265,10,0)</f>
        <v>0.84938055021834058</v>
      </c>
      <c r="L17" s="539">
        <f>VLOOKUP(B17,'Presupuesto - PAA 2015'!$B$3:$N$265,11,0)</f>
        <v>0</v>
      </c>
      <c r="M17" s="539">
        <f>VLOOKUP(B17,'Presupuesto - PAA 2015'!$B$3:$N$265,12,0)</f>
        <v>0</v>
      </c>
      <c r="N17" s="539">
        <f>VLOOKUP(B17,'Presupuesto - PAA 2015'!$B$3:$N$265,13,0)</f>
        <v>34491854</v>
      </c>
    </row>
    <row r="18" spans="1:14" ht="23.25" customHeight="1" x14ac:dyDescent="0.25">
      <c r="A18" s="654"/>
      <c r="B18" s="1180" t="s">
        <v>1653</v>
      </c>
      <c r="C18" s="1180"/>
      <c r="D18" s="1180"/>
      <c r="E18" s="486">
        <f>COUNTIF('Actualizada - presupuesto'!$E$7:$E$111,B18)</f>
        <v>11</v>
      </c>
      <c r="F18" s="539">
        <f>VLOOKUP(B18,'Presupuesto - PAA 2015'!$B$3:$N$265,4,0)</f>
        <v>54000000</v>
      </c>
      <c r="G18" s="543">
        <v>54000000</v>
      </c>
      <c r="H18" s="543"/>
      <c r="I18" s="543">
        <v>54000000</v>
      </c>
      <c r="J18" s="539">
        <f>VLOOKUP(B18,'Presupuesto - PAA 2015'!$B$3:$N$265,9,0)</f>
        <v>51341594</v>
      </c>
      <c r="K18" s="602">
        <f>VLOOKUP(B18,'Presupuesto - PAA 2015'!$B$3:$N$265,10,0)</f>
        <v>0.95077025925925929</v>
      </c>
      <c r="L18" s="539">
        <f>VLOOKUP(B18,'Presupuesto - PAA 2015'!$B$3:$N$265,11,0)</f>
        <v>0</v>
      </c>
      <c r="M18" s="539">
        <f>VLOOKUP(B18,'Presupuesto - PAA 2015'!$B$3:$N$265,12,0)</f>
        <v>0</v>
      </c>
      <c r="N18" s="539">
        <f>VLOOKUP(B18,'Presupuesto - PAA 2015'!$B$3:$N$265,13,0)</f>
        <v>2658406</v>
      </c>
    </row>
    <row r="19" spans="1:14" ht="23.25" customHeight="1" x14ac:dyDescent="0.25">
      <c r="A19" s="654"/>
      <c r="B19" s="1180" t="s">
        <v>1654</v>
      </c>
      <c r="C19" s="1180"/>
      <c r="D19" s="1180"/>
      <c r="E19" s="486">
        <f>COUNTIF('Actualizada - presupuesto'!$E$7:$E$111,B19)</f>
        <v>0</v>
      </c>
      <c r="F19" s="539">
        <f>VLOOKUP(B19,'Presupuesto - PAA 2015'!$B$3:$N$265,4,0)</f>
        <v>1188000000</v>
      </c>
      <c r="G19" s="543">
        <v>1243000000</v>
      </c>
      <c r="H19" s="543">
        <v>0</v>
      </c>
      <c r="I19" s="543">
        <v>1243000000</v>
      </c>
      <c r="J19" s="539">
        <f>VLOOKUP(B19,'Presupuesto - PAA 2015'!$B$3:$N$265,9,0)</f>
        <v>1168456110</v>
      </c>
      <c r="K19" s="602">
        <f>VLOOKUP(B19,'Presupuesto - PAA 2015'!$B$3:$N$265,10,0)</f>
        <v>0.9835489141414141</v>
      </c>
      <c r="L19" s="539">
        <f>VLOOKUP(B19,'Presupuesto - PAA 2015'!$B$3:$N$265,11,0)</f>
        <v>0</v>
      </c>
      <c r="M19" s="539">
        <f>VLOOKUP(B19,'Presupuesto - PAA 2015'!$B$3:$N$265,12,0)</f>
        <v>0</v>
      </c>
      <c r="N19" s="539">
        <f>VLOOKUP(B19,'Presupuesto - PAA 2015'!$B$3:$N$265,13,0)</f>
        <v>19543890</v>
      </c>
    </row>
    <row r="20" spans="1:14" ht="23.25" customHeight="1" x14ac:dyDescent="0.25">
      <c r="A20" s="654"/>
      <c r="B20" s="1206" t="s">
        <v>1655</v>
      </c>
      <c r="C20" s="1206"/>
      <c r="D20" s="1206"/>
      <c r="E20" s="486">
        <f>COUNTIF('Actualizada - presupuesto'!$E$7:$E$111,B20)</f>
        <v>17</v>
      </c>
      <c r="F20" s="666">
        <f>VLOOKUP(B20,'Presupuesto - PAA 2015'!$B$3:$N$265,4,0)</f>
        <v>1188000000</v>
      </c>
      <c r="G20" s="580">
        <v>1243000000</v>
      </c>
      <c r="H20" s="580"/>
      <c r="I20" s="580">
        <v>1243000000</v>
      </c>
      <c r="J20" s="666">
        <f>VLOOKUP(B20,'Presupuesto - PAA 2015'!$B$3:$N$265,9,0)</f>
        <v>1168456110</v>
      </c>
      <c r="K20" s="667">
        <f>VLOOKUP(B20,'Presupuesto - PAA 2015'!$B$3:$N$265,10,0)</f>
        <v>0.9835489141414141</v>
      </c>
      <c r="L20" s="666">
        <f>VLOOKUP(B20,'Presupuesto - PAA 2015'!$B$3:$N$265,11,0)</f>
        <v>0</v>
      </c>
      <c r="M20" s="666">
        <f>VLOOKUP(B20,'Presupuesto - PAA 2015'!$B$3:$N$265,12,0)</f>
        <v>0</v>
      </c>
      <c r="N20" s="666">
        <f>VLOOKUP(B20,'Presupuesto - PAA 2015'!$B$3:$N$265,13,0)</f>
        <v>19543890</v>
      </c>
    </row>
    <row r="21" spans="1:14" ht="23.25" customHeight="1" x14ac:dyDescent="0.25">
      <c r="A21" s="654"/>
      <c r="B21" s="1180" t="s">
        <v>1656</v>
      </c>
      <c r="C21" s="1180"/>
      <c r="D21" s="1180"/>
      <c r="E21" s="486">
        <f>COUNTIF('Actualizada - presupuesto'!$E$7:$E$111,B21)</f>
        <v>0</v>
      </c>
      <c r="F21" s="539">
        <f>VLOOKUP(B21,'Presupuesto - PAA 2015'!$B$3:$N$265,4,0)</f>
        <v>1513500000</v>
      </c>
      <c r="G21" s="543">
        <v>1380000000</v>
      </c>
      <c r="H21" s="543">
        <v>140614000</v>
      </c>
      <c r="I21" s="543">
        <v>1488000000</v>
      </c>
      <c r="J21" s="539">
        <f>VLOOKUP(B21,'Presupuesto - PAA 2015'!$B$3:$N$265,9,0)</f>
        <v>1306122735</v>
      </c>
      <c r="K21" s="602">
        <f>VLOOKUP(B21,'Presupuesto - PAA 2015'!$B$3:$N$265,10,0)</f>
        <v>0.86298165510406344</v>
      </c>
      <c r="L21" s="539">
        <f>VLOOKUP(B21,'Presupuesto - PAA 2015'!$B$3:$N$265,11,0)</f>
        <v>190346405</v>
      </c>
      <c r="M21" s="539">
        <f>VLOOKUP(B21,'Presupuesto - PAA 2015'!$B$3:$N$265,12,0)</f>
        <v>0</v>
      </c>
      <c r="N21" s="539">
        <f>VLOOKUP(B21,'Presupuesto - PAA 2015'!$B$3:$N$265,13,0)</f>
        <v>17030842</v>
      </c>
    </row>
    <row r="22" spans="1:14" ht="23.25" customHeight="1" x14ac:dyDescent="0.25">
      <c r="A22" s="654"/>
      <c r="B22" s="1206" t="s">
        <v>1657</v>
      </c>
      <c r="C22" s="1206"/>
      <c r="D22" s="1206"/>
      <c r="E22" s="486">
        <f>COUNTIF('Actualizada - presupuesto'!$E$7:$E$111,B22)</f>
        <v>2</v>
      </c>
      <c r="F22" s="666">
        <f>VLOOKUP(B22,'Presupuesto - PAA 2015'!$B$3:$N$265,4,0)</f>
        <v>205193000</v>
      </c>
      <c r="G22" s="580">
        <v>211000000</v>
      </c>
      <c r="H22" s="711">
        <v>16307000</v>
      </c>
      <c r="I22" s="580">
        <v>194693000</v>
      </c>
      <c r="J22" s="666">
        <f>VLOOKUP(B22,'Presupuesto - PAA 2015'!$B$3:$N$265,9,0)</f>
        <v>188702234</v>
      </c>
      <c r="K22" s="667">
        <f>VLOOKUP(B22,'Presupuesto - PAA 2015'!$B$3:$N$265,10,0)</f>
        <v>0.91963290170717327</v>
      </c>
      <c r="L22" s="666">
        <f>VLOOKUP(B22,'Presupuesto - PAA 2015'!$B$3:$N$265,11,0)</f>
        <v>0</v>
      </c>
      <c r="M22" s="666">
        <f>VLOOKUP(B22,'Presupuesto - PAA 2015'!$B$3:$N$265,12,0)</f>
        <v>0</v>
      </c>
      <c r="N22" s="666">
        <f>VLOOKUP(B22,'Presupuesto - PAA 2015'!$B$3:$N$265,13,0)</f>
        <v>16490766</v>
      </c>
    </row>
    <row r="23" spans="1:14" ht="23.25" customHeight="1" x14ac:dyDescent="0.25">
      <c r="A23" s="654"/>
      <c r="B23" s="1206" t="s">
        <v>1658</v>
      </c>
      <c r="C23" s="1206"/>
      <c r="D23" s="1206"/>
      <c r="E23" s="486">
        <f>COUNTIF('Actualizada - presupuesto'!$E$7:$E$111,B23)</f>
        <v>2</v>
      </c>
      <c r="F23" s="666">
        <f>VLOOKUP(B23,'Presupuesto - PAA 2015'!$B$3:$N$265,4,0)</f>
        <v>227307000</v>
      </c>
      <c r="G23" s="580">
        <v>88000000</v>
      </c>
      <c r="H23" s="580">
        <v>124307000</v>
      </c>
      <c r="I23" s="580">
        <v>212307000</v>
      </c>
      <c r="J23" s="666">
        <f>VLOOKUP(B23,'Presupuesto - PAA 2015'!$B$3:$N$265,9,0)</f>
        <v>226766924</v>
      </c>
      <c r="K23" s="667">
        <f>VLOOKUP(B23,'Presupuesto - PAA 2015'!$B$3:$N$265,10,0)</f>
        <v>0.99762402389719629</v>
      </c>
      <c r="L23" s="666">
        <f>VLOOKUP(B23,'Presupuesto - PAA 2015'!$B$3:$N$265,11,0)</f>
        <v>0</v>
      </c>
      <c r="M23" s="666">
        <f>VLOOKUP(B23,'Presupuesto - PAA 2015'!$B$3:$N$265,12,0)</f>
        <v>0</v>
      </c>
      <c r="N23" s="666">
        <f>VLOOKUP(B23,'Presupuesto - PAA 2015'!$B$3:$N$265,13,0)</f>
        <v>540076</v>
      </c>
    </row>
    <row r="24" spans="1:14" x14ac:dyDescent="0.25">
      <c r="A24" s="654"/>
      <c r="B24" s="1206" t="s">
        <v>1659</v>
      </c>
      <c r="C24" s="1206"/>
      <c r="D24" s="1206"/>
      <c r="E24" s="486">
        <f>COUNTIF('Actualizada - presupuesto'!$E$7:$E$111,B24)</f>
        <v>0</v>
      </c>
      <c r="F24" s="666">
        <f>VLOOKUP(B24,'Presupuesto - PAA 2015'!$B$3:$N$265,4,0)</f>
        <v>1081000000</v>
      </c>
      <c r="G24" s="580">
        <v>1081000000</v>
      </c>
      <c r="H24" s="580"/>
      <c r="I24" s="580">
        <v>1081000000</v>
      </c>
      <c r="J24" s="666">
        <f>VLOOKUP(B24,'Presupuesto - PAA 2015'!$B$3:$N$265,9,0)</f>
        <v>890653595</v>
      </c>
      <c r="K24" s="667">
        <f>VLOOKUP(B24,'Presupuesto - PAA 2015'!$B$3:$N$265,10,0)</f>
        <v>0.82391636910268273</v>
      </c>
      <c r="L24" s="666">
        <f>VLOOKUP(B24,'Presupuesto - PAA 2015'!$B$3:$N$265,11,0)</f>
        <v>190346405</v>
      </c>
      <c r="M24" s="666">
        <f>VLOOKUP(B24,'Presupuesto - PAA 2015'!$B$3:$N$265,12,0)</f>
        <v>0</v>
      </c>
      <c r="N24" s="666">
        <f>VLOOKUP(B24,'Presupuesto - PAA 2015'!$B$3:$N$265,13,0)</f>
        <v>0</v>
      </c>
    </row>
    <row r="25" spans="1:14" x14ac:dyDescent="0.25">
      <c r="A25" s="654"/>
      <c r="B25" s="1180" t="s">
        <v>1660</v>
      </c>
      <c r="C25" s="1180"/>
      <c r="D25" s="1180"/>
      <c r="E25" s="540"/>
      <c r="F25" s="539">
        <f>VLOOKUP(B25,'Presupuesto - PAA 2015'!$B$3:$N$265,4,0)</f>
        <v>430000000</v>
      </c>
      <c r="G25" s="543">
        <v>430000000</v>
      </c>
      <c r="H25" s="543">
        <v>0</v>
      </c>
      <c r="I25" s="543">
        <v>430000000</v>
      </c>
      <c r="J25" s="539">
        <f>VLOOKUP(B25,'Presupuesto - PAA 2015'!$B$3:$N$265,9,0)</f>
        <v>242601380</v>
      </c>
      <c r="K25" s="602">
        <f>VLOOKUP(B25,'Presupuesto - PAA 2015'!$B$3:$N$265,10,0)</f>
        <v>0.56418925581395352</v>
      </c>
      <c r="L25" s="539">
        <f>VLOOKUP(B25,'Presupuesto - PAA 2015'!$B$3:$N$265,11,0)</f>
        <v>187398620</v>
      </c>
      <c r="M25" s="543">
        <v>0</v>
      </c>
      <c r="N25" s="539">
        <f>VLOOKUP(B25,'Presupuesto - PAA 2015'!$B$3:$N$265,13,0)</f>
        <v>0</v>
      </c>
    </row>
    <row r="26" spans="1:14" x14ac:dyDescent="0.25">
      <c r="A26" s="654"/>
      <c r="B26" s="1206" t="s">
        <v>1661</v>
      </c>
      <c r="C26" s="1206"/>
      <c r="D26" s="1206"/>
      <c r="E26" s="534"/>
      <c r="F26" s="666">
        <f>VLOOKUP(B26,'Presupuesto - PAA 2015'!$B$3:$N$265,4,0)</f>
        <v>206250000</v>
      </c>
      <c r="G26" s="580">
        <v>206250000</v>
      </c>
      <c r="H26" s="580"/>
      <c r="I26" s="580">
        <v>206250000</v>
      </c>
      <c r="J26" s="666">
        <f>VLOOKUP(B26,'Presupuesto - PAA 2015'!$B$3:$N$265,9,0)</f>
        <v>106215940</v>
      </c>
      <c r="K26" s="667">
        <f>VLOOKUP(B26,'Presupuesto - PAA 2015'!$B$3:$N$265,10,0)</f>
        <v>0.51498637575757578</v>
      </c>
      <c r="L26" s="666">
        <f>VLOOKUP(B26,'Presupuesto - PAA 2015'!$B$3:$N$265,11,0)</f>
        <v>100034060</v>
      </c>
      <c r="M26" s="580"/>
      <c r="N26" s="666">
        <f>VLOOKUP(B26,'Presupuesto - PAA 2015'!$B$3:$N$265,13,0)</f>
        <v>0</v>
      </c>
    </row>
    <row r="27" spans="1:14" x14ac:dyDescent="0.25">
      <c r="A27" s="654"/>
      <c r="B27" s="1206" t="s">
        <v>1662</v>
      </c>
      <c r="C27" s="1206"/>
      <c r="D27" s="1206"/>
      <c r="E27" s="534"/>
      <c r="F27" s="666">
        <f>VLOOKUP(B27,'Presupuesto - PAA 2015'!$B$3:$N$265,4,0)</f>
        <v>36750000</v>
      </c>
      <c r="G27" s="580">
        <v>36750000</v>
      </c>
      <c r="H27" s="580"/>
      <c r="I27" s="580">
        <v>36750000</v>
      </c>
      <c r="J27" s="666">
        <f>VLOOKUP(B27,'Presupuesto - PAA 2015'!$B$3:$N$265,9,0)</f>
        <v>12264940</v>
      </c>
      <c r="K27" s="667">
        <f>VLOOKUP(B27,'Presupuesto - PAA 2015'!$B$3:$N$265,10,0)</f>
        <v>0.33373986394557825</v>
      </c>
      <c r="L27" s="666">
        <f>VLOOKUP(B27,'Presupuesto - PAA 2015'!$B$3:$N$265,11,0)</f>
        <v>24485060</v>
      </c>
      <c r="M27" s="580"/>
      <c r="N27" s="666">
        <f>VLOOKUP(B27,'Presupuesto - PAA 2015'!$B$3:$N$265,13,0)</f>
        <v>0</v>
      </c>
    </row>
    <row r="28" spans="1:14" x14ac:dyDescent="0.25">
      <c r="A28" s="654"/>
      <c r="B28" s="1206" t="s">
        <v>1663</v>
      </c>
      <c r="C28" s="1206"/>
      <c r="D28" s="1206"/>
      <c r="E28" s="534"/>
      <c r="F28" s="666">
        <f>VLOOKUP(B28,'Presupuesto - PAA 2015'!$B$3:$N$265,4,0)</f>
        <v>58000000</v>
      </c>
      <c r="G28" s="580">
        <v>58000000</v>
      </c>
      <c r="H28" s="580"/>
      <c r="I28" s="580">
        <v>58000000</v>
      </c>
      <c r="J28" s="666">
        <f>VLOOKUP(B28,'Presupuesto - PAA 2015'!$B$3:$N$265,9,0)</f>
        <v>5462970</v>
      </c>
      <c r="K28" s="667">
        <f>VLOOKUP(B28,'Presupuesto - PAA 2015'!$B$3:$N$265,10,0)</f>
        <v>9.4189137931034478E-2</v>
      </c>
      <c r="L28" s="666">
        <f>VLOOKUP(B28,'Presupuesto - PAA 2015'!$B$3:$N$265,11,0)</f>
        <v>52537030</v>
      </c>
      <c r="M28" s="580"/>
      <c r="N28" s="666">
        <f>VLOOKUP(B28,'Presupuesto - PAA 2015'!$B$3:$N$265,13,0)</f>
        <v>0</v>
      </c>
    </row>
    <row r="29" spans="1:14" x14ac:dyDescent="0.25">
      <c r="A29" s="654"/>
      <c r="B29" s="1206" t="s">
        <v>1664</v>
      </c>
      <c r="C29" s="1206"/>
      <c r="D29" s="1206"/>
      <c r="E29" s="534"/>
      <c r="F29" s="666">
        <f>VLOOKUP(B29,'Presupuesto - PAA 2015'!$B$3:$N$265,4,0)</f>
        <v>129000000</v>
      </c>
      <c r="G29" s="580">
        <v>129000000</v>
      </c>
      <c r="H29" s="580"/>
      <c r="I29" s="580">
        <v>129000000</v>
      </c>
      <c r="J29" s="666">
        <f>VLOOKUP(B29,'Presupuesto - PAA 2015'!$B$3:$N$265,9,0)</f>
        <v>118657530</v>
      </c>
      <c r="K29" s="667">
        <f>VLOOKUP(B29,'Presupuesto - PAA 2015'!$B$3:$N$265,10,0)</f>
        <v>0.91982581395348839</v>
      </c>
      <c r="L29" s="666">
        <f>VLOOKUP(B29,'Presupuesto - PAA 2015'!$B$3:$N$265,11,0)</f>
        <v>10342470</v>
      </c>
      <c r="M29" s="580"/>
      <c r="N29" s="666">
        <f>VLOOKUP(B29,'Presupuesto - PAA 2015'!$B$3:$N$265,13,0)</f>
        <v>0</v>
      </c>
    </row>
    <row r="30" spans="1:14" x14ac:dyDescent="0.25">
      <c r="A30" s="654"/>
      <c r="B30" s="1180" t="s">
        <v>1665</v>
      </c>
      <c r="C30" s="1180"/>
      <c r="D30" s="1180"/>
      <c r="E30" s="540"/>
      <c r="F30" s="539">
        <f>VLOOKUP(B30,'Presupuesto - PAA 2015'!$B$3:$N$265,4,0)</f>
        <v>478000000</v>
      </c>
      <c r="G30" s="543">
        <v>478000000</v>
      </c>
      <c r="H30" s="543">
        <v>0</v>
      </c>
      <c r="I30" s="543">
        <v>478000000</v>
      </c>
      <c r="J30" s="539">
        <f>VLOOKUP(B30,'Presupuesto - PAA 2015'!$B$3:$N$265,9,0)</f>
        <v>436914000</v>
      </c>
      <c r="K30" s="602">
        <f>VLOOKUP(B30,'Presupuesto - PAA 2015'!$B$3:$N$265,10,0)</f>
        <v>0</v>
      </c>
      <c r="L30" s="539">
        <f>VLOOKUP(B30,'Presupuesto - PAA 2015'!$B$3:$N$265,11,0)</f>
        <v>0</v>
      </c>
      <c r="M30" s="543">
        <v>0</v>
      </c>
      <c r="N30" s="539">
        <f>VLOOKUP(B30,'Presupuesto - PAA 2015'!$B$3:$N$265,13,0)</f>
        <v>41086000</v>
      </c>
    </row>
    <row r="31" spans="1:14" x14ac:dyDescent="0.25">
      <c r="A31" s="654"/>
      <c r="B31" s="1206" t="s">
        <v>1666</v>
      </c>
      <c r="C31" s="1206"/>
      <c r="D31" s="1206"/>
      <c r="E31" s="486">
        <f>COUNTIF('Actualizada - presupuesto'!$E$7:$E$111,B31)</f>
        <v>1</v>
      </c>
      <c r="F31" s="666">
        <f>VLOOKUP(B31,'Presupuesto - PAA 2015'!$B$3:$N$265,4,0)</f>
        <v>478000000</v>
      </c>
      <c r="G31" s="580">
        <v>478000000</v>
      </c>
      <c r="H31" s="580"/>
      <c r="I31" s="580">
        <v>478000000</v>
      </c>
      <c r="J31" s="666">
        <f>VLOOKUP(B31,'Presupuesto - PAA 2015'!$B$3:$N$265,9,0)</f>
        <v>436914000</v>
      </c>
      <c r="K31" s="667">
        <f>VLOOKUP(B31,'Presupuesto - PAA 2015'!$B$3:$N$265,10,0)</f>
        <v>0.91404602510460253</v>
      </c>
      <c r="L31" s="666">
        <f>VLOOKUP(B31,'Presupuesto - PAA 2015'!$B$3:$N$265,11,0)</f>
        <v>0</v>
      </c>
      <c r="M31" s="580"/>
      <c r="N31" s="666">
        <f>VLOOKUP(B31,'Presupuesto - PAA 2015'!$B$3:$N$265,13,0)</f>
        <v>41086000</v>
      </c>
    </row>
    <row r="32" spans="1:14" x14ac:dyDescent="0.25">
      <c r="A32" s="654"/>
      <c r="B32" s="1180" t="s">
        <v>1667</v>
      </c>
      <c r="C32" s="1180"/>
      <c r="D32" s="1180"/>
      <c r="E32" s="486">
        <f>COUNTIF('Actualizada - presupuesto'!$E$7:$E$111,B32)</f>
        <v>3</v>
      </c>
      <c r="F32" s="539">
        <f>VLOOKUP(B32,'Presupuesto - PAA 2015'!$B$3:$N$265,4,0)</f>
        <v>834000000</v>
      </c>
      <c r="G32" s="543">
        <v>834000000</v>
      </c>
      <c r="H32" s="543"/>
      <c r="I32" s="543">
        <v>834000000</v>
      </c>
      <c r="J32" s="539">
        <f>VLOOKUP(B32,'Presupuesto - PAA 2015'!$B$3:$N$265,9,0)</f>
        <v>750240969</v>
      </c>
      <c r="K32" s="602">
        <f>VLOOKUP(B32,'Presupuesto - PAA 2015'!$B$3:$N$265,10,0)</f>
        <v>0.89956950719424456</v>
      </c>
      <c r="L32" s="539">
        <f>VLOOKUP(B32,'Presupuesto - PAA 2015'!$B$3:$N$265,11,0)</f>
        <v>0</v>
      </c>
      <c r="M32" s="543"/>
      <c r="N32" s="539">
        <f>VLOOKUP(B32,'Presupuesto - PAA 2015'!$B$3:$N$265,13,0)</f>
        <v>83759031</v>
      </c>
    </row>
    <row r="33" spans="1:14" x14ac:dyDescent="0.25">
      <c r="A33" s="654"/>
      <c r="B33" s="1180" t="s">
        <v>1668</v>
      </c>
      <c r="C33" s="1180"/>
      <c r="D33" s="1180"/>
      <c r="E33" s="486">
        <f>COUNTIF('Actualizada - presupuesto'!$E$7:$E$111,B33)</f>
        <v>4</v>
      </c>
      <c r="F33" s="539">
        <f>VLOOKUP(B33,'Presupuesto - PAA 2015'!$B$3:$N$265,4,0)</f>
        <v>351721000</v>
      </c>
      <c r="G33" s="543">
        <v>478000000</v>
      </c>
      <c r="H33" s="543"/>
      <c r="I33" s="543">
        <v>478000000</v>
      </c>
      <c r="J33" s="539">
        <f>VLOOKUP(B33,'Presupuesto - PAA 2015'!$B$3:$N$265,9,0)</f>
        <v>343600000</v>
      </c>
      <c r="K33" s="602">
        <f>VLOOKUP(B33,'Presupuesto - PAA 2015'!$B$3:$N$265,10,0)</f>
        <v>0.97691067635995577</v>
      </c>
      <c r="L33" s="539">
        <f>VLOOKUP(B33,'Presupuesto - PAA 2015'!$B$3:$N$265,11,0)</f>
        <v>0</v>
      </c>
      <c r="M33" s="543"/>
      <c r="N33" s="539">
        <f>VLOOKUP(B33,'Presupuesto - PAA 2015'!$B$3:$N$265,13,0)</f>
        <v>8121000</v>
      </c>
    </row>
    <row r="34" spans="1:14" x14ac:dyDescent="0.25">
      <c r="A34" s="654"/>
      <c r="B34" s="1180" t="s">
        <v>1669</v>
      </c>
      <c r="C34" s="1180"/>
      <c r="D34" s="1180"/>
      <c r="E34" s="486">
        <f>COUNTIF('Actualizada - presupuesto'!$E$7:$E$111,B34)</f>
        <v>3</v>
      </c>
      <c r="F34" s="539">
        <f>VLOOKUP(B34,'Presupuesto - PAA 2015'!$B$3:$N$265,4,0)</f>
        <v>108000000</v>
      </c>
      <c r="G34" s="543">
        <v>108000000</v>
      </c>
      <c r="H34" s="543"/>
      <c r="I34" s="543">
        <v>108000000</v>
      </c>
      <c r="J34" s="539">
        <f>VLOOKUP(B34,'Presupuesto - PAA 2015'!$B$3:$N$265,9,0)</f>
        <v>81139000</v>
      </c>
      <c r="K34" s="602">
        <f>VLOOKUP(B34,'Presupuesto - PAA 2015'!$B$3:$N$265,10,0)</f>
        <v>0.75128703703703703</v>
      </c>
      <c r="L34" s="539">
        <f>VLOOKUP(B34,'Presupuesto - PAA 2015'!$B$3:$N$265,11,0)</f>
        <v>0</v>
      </c>
      <c r="M34" s="543"/>
      <c r="N34" s="539">
        <f>VLOOKUP(B34,'Presupuesto - PAA 2015'!$B$3:$N$265,13,0)</f>
        <v>26861000</v>
      </c>
    </row>
    <row r="35" spans="1:14" x14ac:dyDescent="0.25">
      <c r="A35" s="654"/>
      <c r="B35" s="1180" t="s">
        <v>1670</v>
      </c>
      <c r="C35" s="1180"/>
      <c r="D35" s="1180"/>
      <c r="E35" s="486">
        <f>COUNTIF('Actualizada - presupuesto'!$E$7:$E$111,B35)</f>
        <v>0</v>
      </c>
      <c r="F35" s="539">
        <f>VLOOKUP(B35,'Presupuesto - PAA 2015'!$B$3:$N$265,4,0)</f>
        <v>40000000</v>
      </c>
      <c r="G35" s="543">
        <v>40000000</v>
      </c>
      <c r="H35" s="543">
        <v>0</v>
      </c>
      <c r="I35" s="543">
        <v>40000000</v>
      </c>
      <c r="J35" s="539">
        <f>VLOOKUP(B35,'Presupuesto - PAA 2015'!$B$3:$N$265,9,0)</f>
        <v>40000000</v>
      </c>
      <c r="K35" s="602">
        <f>VLOOKUP(B35,'Presupuesto - PAA 2015'!$B$3:$N$265,10,0)</f>
        <v>1</v>
      </c>
      <c r="L35" s="539">
        <f>VLOOKUP(B35,'Presupuesto - PAA 2015'!$B$3:$N$265,11,0)</f>
        <v>0</v>
      </c>
      <c r="M35" s="543">
        <v>0</v>
      </c>
      <c r="N35" s="539">
        <f>VLOOKUP(B35,'Presupuesto - PAA 2015'!$B$3:$N$265,13,0)</f>
        <v>0</v>
      </c>
    </row>
    <row r="36" spans="1:14" x14ac:dyDescent="0.25">
      <c r="A36" s="654"/>
      <c r="B36" s="1206" t="s">
        <v>1839</v>
      </c>
      <c r="C36" s="1206"/>
      <c r="D36" s="1206"/>
      <c r="E36" s="486">
        <f>COUNTIF('Actualizada - presupuesto'!$E$7:$E$111,B36)</f>
        <v>0</v>
      </c>
      <c r="F36" s="666">
        <f>VLOOKUP(B36,'Presupuesto - PAA 2015'!$B$3:$N$265,4,0)</f>
        <v>40000000</v>
      </c>
      <c r="G36" s="580">
        <v>40000000</v>
      </c>
      <c r="H36" s="580"/>
      <c r="I36" s="580">
        <v>40000000</v>
      </c>
      <c r="J36" s="666">
        <f>VLOOKUP(B36,'Presupuesto - PAA 2015'!$B$3:$N$265,9,0)</f>
        <v>40000000</v>
      </c>
      <c r="K36" s="667">
        <f>VLOOKUP(B36,'Presupuesto - PAA 2015'!$B$3:$N$265,10,0)</f>
        <v>0</v>
      </c>
      <c r="L36" s="666">
        <f>VLOOKUP(B36,'Presupuesto - PAA 2015'!$B$3:$N$265,11,0)</f>
        <v>0</v>
      </c>
      <c r="M36" s="580"/>
      <c r="N36" s="666">
        <f>VLOOKUP(B36,'Presupuesto - PAA 2015'!$B$3:$N$265,13,0)</f>
        <v>0</v>
      </c>
    </row>
    <row r="37" spans="1:14" x14ac:dyDescent="0.25">
      <c r="A37" s="654"/>
      <c r="B37" s="1180" t="s">
        <v>1672</v>
      </c>
      <c r="C37" s="1180"/>
      <c r="D37" s="1180"/>
      <c r="E37" s="486">
        <f>COUNTIF('Actualizada - presupuesto'!$E$7:$E$111,B37)</f>
        <v>2</v>
      </c>
      <c r="F37" s="539">
        <f>VLOOKUP(B37,'Presupuesto - PAA 2015'!$B$3:$N$265,4,0)</f>
        <v>1800000000</v>
      </c>
      <c r="G37" s="543">
        <v>1800000000</v>
      </c>
      <c r="H37" s="543"/>
      <c r="I37" s="543">
        <v>1800000000</v>
      </c>
      <c r="J37" s="539">
        <f>VLOOKUP(B37,'Presupuesto - PAA 2015'!$B$3:$N$265,9,0)</f>
        <v>1696938453</v>
      </c>
      <c r="K37" s="602">
        <f>VLOOKUP(B37,'Presupuesto - PAA 2015'!$B$3:$N$265,10,0)</f>
        <v>0.942743585</v>
      </c>
      <c r="L37" s="539">
        <f>VLOOKUP(B37,'Presupuesto - PAA 2015'!$B$3:$N$265,11,0)</f>
        <v>0</v>
      </c>
      <c r="M37" s="543"/>
      <c r="N37" s="539">
        <f>VLOOKUP(B37,'Presupuesto - PAA 2015'!$B$3:$N$265,13,0)</f>
        <v>103061547</v>
      </c>
    </row>
    <row r="38" spans="1:14" x14ac:dyDescent="0.25">
      <c r="A38" s="654"/>
      <c r="B38" s="1207" t="s">
        <v>1673</v>
      </c>
      <c r="C38" s="1207"/>
      <c r="D38" s="1207"/>
      <c r="E38" s="660"/>
      <c r="F38" s="661">
        <f>VLOOKUP(B38,'Presupuesto - PAA 2015'!$B$3:$N$265,4,0)</f>
        <v>36000000</v>
      </c>
      <c r="G38" s="661">
        <v>1000000</v>
      </c>
      <c r="H38" s="661">
        <v>0</v>
      </c>
      <c r="I38" s="661">
        <v>1000000</v>
      </c>
      <c r="J38" s="661">
        <f>VLOOKUP(B38,'Presupuesto - PAA 2015'!$B$3:$N$265,9,0)</f>
        <v>908534</v>
      </c>
      <c r="K38" s="672">
        <f>VLOOKUP(B38,'Presupuesto - PAA 2015'!$B$3:$N$265,10,0)</f>
        <v>2.5237055555555554E-2</v>
      </c>
      <c r="L38" s="661">
        <f>VLOOKUP(B38,'Presupuesto - PAA 2015'!$B$3:$N$265,11,0)</f>
        <v>91466</v>
      </c>
      <c r="M38" s="661">
        <v>0</v>
      </c>
      <c r="N38" s="661">
        <f>VLOOKUP(B38,'Presupuesto - PAA 2015'!$B$3:$N$265,13,0)</f>
        <v>18203084</v>
      </c>
    </row>
    <row r="39" spans="1:14" x14ac:dyDescent="0.25">
      <c r="A39" s="654"/>
      <c r="B39" s="1206" t="s">
        <v>1838</v>
      </c>
      <c r="C39" s="1206"/>
      <c r="D39" s="1206"/>
      <c r="E39" s="534"/>
      <c r="F39" s="666">
        <f>VLOOKUP(B39,'Presupuesto - PAA 2015'!$B$3:$N$265,4,0)</f>
        <v>1000000</v>
      </c>
      <c r="G39" s="580">
        <v>1000000</v>
      </c>
      <c r="H39" s="580"/>
      <c r="I39" s="580">
        <v>1000000</v>
      </c>
      <c r="J39" s="666">
        <f>VLOOKUP(B39,'Presupuesto - PAA 2015'!$B$3:$N$265,9,0)</f>
        <v>908534</v>
      </c>
      <c r="K39" s="667">
        <f>VLOOKUP(B39,'Presupuesto - PAA 2015'!$B$3:$N$265,10,0)</f>
        <v>0.90853399999999995</v>
      </c>
      <c r="L39" s="666">
        <f>VLOOKUP(B39,'Presupuesto - PAA 2015'!$B$3:$N$265,11,0)</f>
        <v>91466</v>
      </c>
      <c r="M39" s="580"/>
      <c r="N39" s="666">
        <f>VLOOKUP(B39,'Presupuesto - PAA 2015'!$B$3:$N$265,13,0)</f>
        <v>18203084</v>
      </c>
    </row>
    <row r="40" spans="1:14" x14ac:dyDescent="0.25">
      <c r="A40" s="654"/>
      <c r="B40" s="1184" t="s">
        <v>1688</v>
      </c>
      <c r="C40" s="1184"/>
      <c r="D40" s="1184"/>
      <c r="E40" s="663"/>
      <c r="F40" s="657">
        <f>VLOOKUP(B40,'Presupuesto - PAA 2015'!$B$3:$N$265,4,0)</f>
        <v>8242477000</v>
      </c>
      <c r="G40" s="657">
        <v>7542477000</v>
      </c>
      <c r="H40" s="657">
        <v>0</v>
      </c>
      <c r="I40" s="657">
        <v>7542477000</v>
      </c>
      <c r="J40" s="657">
        <f>VLOOKUP(B40,'Presupuesto - PAA 2015'!$B$3:$N$265,9,0)</f>
        <v>7657910202.1999998</v>
      </c>
      <c r="K40" s="665">
        <f>VLOOKUP(B40,'Presupuesto - PAA 2015'!$B$3:$N$265,10,0)</f>
        <v>0.92907874686213865</v>
      </c>
      <c r="L40" s="657">
        <f>VLOOKUP(B40,'Presupuesto - PAA 2015'!$B$3:$N$265,11,0)</f>
        <v>450477000</v>
      </c>
      <c r="M40" s="657">
        <v>0</v>
      </c>
      <c r="N40" s="657">
        <f>VLOOKUP(B40,'Presupuesto - PAA 2015'!$B$3:$N$265,13,0)</f>
        <v>134089797.80000019</v>
      </c>
    </row>
    <row r="41" spans="1:14" x14ac:dyDescent="0.25">
      <c r="A41" s="654"/>
      <c r="B41" s="1182" t="s">
        <v>1687</v>
      </c>
      <c r="C41" s="1182"/>
      <c r="D41" s="1182"/>
      <c r="E41" s="540"/>
      <c r="F41" s="539">
        <f>VLOOKUP(B41,'Presupuesto - PAA 2015'!$B$3:$N$265,4,0)</f>
        <v>8242477000</v>
      </c>
      <c r="G41" s="543">
        <v>7542477000</v>
      </c>
      <c r="H41" s="543">
        <v>0</v>
      </c>
      <c r="I41" s="543">
        <v>7542477000</v>
      </c>
      <c r="J41" s="539">
        <f>VLOOKUP(B41,'Presupuesto - PAA 2015'!$B$3:$N$265,9,0)</f>
        <v>7657910202.1999998</v>
      </c>
      <c r="K41" s="602">
        <f>VLOOKUP(B41,'Presupuesto - PAA 2015'!$B$3:$N$265,10,0)</f>
        <v>0.92907874686213865</v>
      </c>
      <c r="L41" s="539">
        <f>VLOOKUP(B41,'Presupuesto - PAA 2015'!$B$3:$N$265,11,0)</f>
        <v>450477000</v>
      </c>
      <c r="M41" s="543">
        <v>0</v>
      </c>
      <c r="N41" s="539">
        <f>VLOOKUP(B41,'Presupuesto - PAA 2015'!$B$3:$N$265,13,0)</f>
        <v>134089797.80000019</v>
      </c>
    </row>
    <row r="42" spans="1:14" x14ac:dyDescent="0.25">
      <c r="A42" s="654"/>
      <c r="B42" s="1180" t="s">
        <v>1676</v>
      </c>
      <c r="C42" s="1180"/>
      <c r="D42" s="1180"/>
      <c r="E42" s="758"/>
      <c r="F42" s="539">
        <f>+F43</f>
        <v>8242477000</v>
      </c>
      <c r="G42" s="539"/>
      <c r="H42" s="539"/>
      <c r="I42" s="539"/>
      <c r="J42" s="539">
        <f t="shared" ref="J42:L43" si="0">+J43</f>
        <v>7657910202.1999998</v>
      </c>
      <c r="K42" s="602">
        <f t="shared" si="0"/>
        <v>0.92907874686213865</v>
      </c>
      <c r="L42" s="539">
        <f t="shared" si="0"/>
        <v>450477000</v>
      </c>
      <c r="M42" s="539"/>
      <c r="N42" s="539">
        <f>+N43</f>
        <v>134089797.80000019</v>
      </c>
    </row>
    <row r="43" spans="1:14" x14ac:dyDescent="0.25">
      <c r="A43" s="654"/>
      <c r="B43" s="1180" t="s">
        <v>1837</v>
      </c>
      <c r="C43" s="1180"/>
      <c r="D43" s="1180"/>
      <c r="E43" s="758"/>
      <c r="F43" s="539">
        <f>+F44</f>
        <v>8242477000</v>
      </c>
      <c r="G43" s="539"/>
      <c r="H43" s="539"/>
      <c r="I43" s="539"/>
      <c r="J43" s="539">
        <f t="shared" si="0"/>
        <v>7657910202.1999998</v>
      </c>
      <c r="K43" s="602">
        <f t="shared" si="0"/>
        <v>0.92907874686213865</v>
      </c>
      <c r="L43" s="539">
        <f t="shared" si="0"/>
        <v>450477000</v>
      </c>
      <c r="M43" s="539"/>
      <c r="N43" s="539">
        <f>+N44</f>
        <v>134089797.80000019</v>
      </c>
    </row>
    <row r="44" spans="1:14" x14ac:dyDescent="0.25">
      <c r="A44" s="654"/>
      <c r="B44" s="1180" t="s">
        <v>1836</v>
      </c>
      <c r="C44" s="1180"/>
      <c r="D44" s="1180"/>
      <c r="E44" s="758"/>
      <c r="F44" s="539">
        <f>+F41</f>
        <v>8242477000</v>
      </c>
      <c r="G44" s="539"/>
      <c r="H44" s="539"/>
      <c r="I44" s="539"/>
      <c r="J44" s="539">
        <f>+J41</f>
        <v>7657910202.1999998</v>
      </c>
      <c r="K44" s="602">
        <f>+K41</f>
        <v>0.92907874686213865</v>
      </c>
      <c r="L44" s="539">
        <f>+L41</f>
        <v>450477000</v>
      </c>
      <c r="M44" s="539"/>
      <c r="N44" s="539">
        <f>+N41</f>
        <v>134089797.80000019</v>
      </c>
    </row>
    <row r="45" spans="1:14" ht="22.5" customHeight="1" x14ac:dyDescent="0.25">
      <c r="A45" s="654"/>
      <c r="B45" s="1208" t="s">
        <v>1874</v>
      </c>
      <c r="C45" s="1208"/>
      <c r="D45" s="1208"/>
      <c r="E45" s="486">
        <f>COUNTIF('Actualizada - presupuesto'!$E$7:$E$111,B45)</f>
        <v>0</v>
      </c>
      <c r="F45" s="539">
        <f>VLOOKUP(B45,'Presupuesto - PAA 2015'!$B$3:$N$265,4,0)</f>
        <v>8242477000</v>
      </c>
      <c r="G45" s="543">
        <v>7542477000</v>
      </c>
      <c r="H45" s="543"/>
      <c r="I45" s="543">
        <v>7542477000</v>
      </c>
      <c r="J45" s="539">
        <f>VLOOKUP(B45,'Presupuesto - PAA 2015'!$B$3:$N$265,9,0)</f>
        <v>7657910202.1999998</v>
      </c>
      <c r="K45" s="602">
        <f>VLOOKUP(B45,'Presupuesto - PAA 2015'!$B$3:$N$265,10,0)</f>
        <v>0.92907874686213865</v>
      </c>
      <c r="L45" s="539">
        <f>VLOOKUP(B45,'Presupuesto - PAA 2015'!$B$3:$N$265,11,0)</f>
        <v>450477000</v>
      </c>
      <c r="M45" s="543">
        <v>0</v>
      </c>
      <c r="N45" s="539">
        <f>VLOOKUP(B45,'Presupuesto - PAA 2015'!$B$3:$N$265,13,0)</f>
        <v>134089797.80000019</v>
      </c>
    </row>
    <row r="46" spans="1:14" ht="44.25" customHeight="1" x14ac:dyDescent="0.25">
      <c r="A46" s="654"/>
      <c r="B46" s="616"/>
      <c r="C46" s="1182" t="s">
        <v>1910</v>
      </c>
      <c r="D46" s="1182"/>
      <c r="E46" s="540"/>
      <c r="F46" s="539">
        <f>+'Presupuesto - PAA 2015'!E233</f>
        <v>400000000</v>
      </c>
      <c r="G46" s="618">
        <v>400000000</v>
      </c>
      <c r="H46" s="618"/>
      <c r="I46" s="618">
        <v>400000000</v>
      </c>
      <c r="J46" s="539">
        <f>+'Presupuesto - PAA 2015'!J233</f>
        <v>398880000</v>
      </c>
      <c r="K46" s="602">
        <f>+'Presupuesto - PAA 2015'!K233</f>
        <v>0.99719999999999998</v>
      </c>
      <c r="L46" s="539">
        <f>+'Presupuesto - PAA 2015'!L233</f>
        <v>0</v>
      </c>
      <c r="M46" s="539">
        <f>+'Presupuesto - PAA 2015'!M233</f>
        <v>0</v>
      </c>
      <c r="N46" s="539">
        <f>+'Presupuesto - PAA 2015'!N233</f>
        <v>1120000</v>
      </c>
    </row>
    <row r="47" spans="1:14" ht="34.5" customHeight="1" x14ac:dyDescent="0.25">
      <c r="A47" s="654"/>
      <c r="B47" s="537"/>
      <c r="C47" s="1209" t="s">
        <v>1911</v>
      </c>
      <c r="D47" s="1210"/>
      <c r="E47" s="621"/>
      <c r="F47" s="670">
        <f>+'Presupuesto - PAA 2015'!E234</f>
        <v>400000000</v>
      </c>
      <c r="G47" s="664">
        <v>400000000</v>
      </c>
      <c r="H47" s="664"/>
      <c r="I47" s="664">
        <v>400000000</v>
      </c>
      <c r="J47" s="670">
        <f>+'Presupuesto - PAA 2015'!J234</f>
        <v>398880000</v>
      </c>
      <c r="K47" s="671">
        <f>+'Presupuesto - PAA 2015'!K234</f>
        <v>0</v>
      </c>
      <c r="L47" s="670">
        <f>+'Presupuesto - PAA 2015'!L234</f>
        <v>0</v>
      </c>
      <c r="M47" s="670">
        <f>+'Presupuesto - PAA 2015'!M234</f>
        <v>0</v>
      </c>
      <c r="N47" s="670">
        <f>+'Presupuesto - PAA 2015'!N234</f>
        <v>1120000</v>
      </c>
    </row>
    <row r="48" spans="1:14" ht="33.75" x14ac:dyDescent="0.25">
      <c r="A48" s="654"/>
      <c r="B48" s="627">
        <v>214</v>
      </c>
      <c r="C48" s="614" t="s">
        <v>1088</v>
      </c>
      <c r="D48" s="668" t="s">
        <v>1942</v>
      </c>
      <c r="E48" s="534">
        <v>1</v>
      </c>
      <c r="F48" s="539">
        <f>+'Presupuesto - PAA 2015'!E235</f>
        <v>40800000</v>
      </c>
      <c r="G48" s="580">
        <v>65040000</v>
      </c>
      <c r="H48" s="580"/>
      <c r="I48" s="580">
        <v>65040000</v>
      </c>
      <c r="J48" s="539">
        <f>+'Presupuesto - PAA 2015'!J235</f>
        <v>40800000</v>
      </c>
      <c r="K48" s="602">
        <f>+'Presupuesto - PAA 2015'!K235</f>
        <v>0</v>
      </c>
      <c r="L48" s="539" t="str">
        <f>+'Presupuesto - PAA 2015'!L235</f>
        <v xml:space="preserve"> </v>
      </c>
      <c r="M48" s="539">
        <f>+'Presupuesto - PAA 2015'!M235</f>
        <v>0</v>
      </c>
      <c r="N48" s="539" t="str">
        <f>+'Presupuesto - PAA 2015'!N235</f>
        <v xml:space="preserve"> </v>
      </c>
    </row>
    <row r="49" spans="1:14" ht="24" x14ac:dyDescent="0.25">
      <c r="A49" s="654"/>
      <c r="B49" s="627"/>
      <c r="C49" s="614" t="s">
        <v>1912</v>
      </c>
      <c r="D49" s="668" t="s">
        <v>1913</v>
      </c>
      <c r="E49" s="534"/>
      <c r="F49" s="539">
        <f>+'Presupuesto - PAA 2015'!E236</f>
        <v>12000000</v>
      </c>
      <c r="G49" s="580">
        <v>334080000</v>
      </c>
      <c r="H49" s="580"/>
      <c r="I49" s="580">
        <v>334080000</v>
      </c>
      <c r="J49" s="539">
        <f>+'Presupuesto - PAA 2015'!J236</f>
        <v>12000000</v>
      </c>
      <c r="K49" s="602">
        <f>+'Presupuesto - PAA 2015'!K236</f>
        <v>0</v>
      </c>
      <c r="L49" s="539" t="str">
        <f>+'Presupuesto - PAA 2015'!L236</f>
        <v xml:space="preserve"> </v>
      </c>
      <c r="M49" s="539">
        <f>+'Presupuesto - PAA 2015'!M236</f>
        <v>0</v>
      </c>
      <c r="N49" s="539" t="str">
        <f>+'Presupuesto - PAA 2015'!N236</f>
        <v xml:space="preserve"> </v>
      </c>
    </row>
    <row r="50" spans="1:14" ht="25.5" customHeight="1" x14ac:dyDescent="0.25">
      <c r="A50" s="654"/>
      <c r="B50" s="616"/>
      <c r="C50" s="1182" t="s">
        <v>1914</v>
      </c>
      <c r="D50" s="1182"/>
      <c r="E50" s="540"/>
      <c r="F50" s="539">
        <f>+'Presupuesto - PAA 2015'!E237</f>
        <v>12000000</v>
      </c>
      <c r="G50" s="543">
        <v>7142477000</v>
      </c>
      <c r="H50" s="543"/>
      <c r="I50" s="543">
        <v>7142477000</v>
      </c>
      <c r="J50" s="539">
        <f>+'Presupuesto - PAA 2015'!J237</f>
        <v>12000000</v>
      </c>
      <c r="K50" s="602">
        <f>+'Presupuesto - PAA 2015'!K237</f>
        <v>0</v>
      </c>
      <c r="L50" s="539" t="str">
        <f>+'Presupuesto - PAA 2015'!L237</f>
        <v xml:space="preserve"> </v>
      </c>
      <c r="M50" s="539">
        <f>+'Presupuesto - PAA 2015'!M237</f>
        <v>0</v>
      </c>
      <c r="N50" s="539" t="str">
        <f>+'Presupuesto - PAA 2015'!N237</f>
        <v xml:space="preserve"> </v>
      </c>
    </row>
    <row r="51" spans="1:14" ht="23.25" customHeight="1" x14ac:dyDescent="0.25">
      <c r="A51" s="654"/>
      <c r="B51" s="537">
        <v>213</v>
      </c>
      <c r="C51" s="1201" t="s">
        <v>1915</v>
      </c>
      <c r="D51" s="1201"/>
      <c r="E51" s="635"/>
      <c r="F51" s="670">
        <f>+'Presupuesto - PAA 2015'!E238</f>
        <v>334080000</v>
      </c>
      <c r="G51" s="619">
        <v>450477000</v>
      </c>
      <c r="H51" s="619"/>
      <c r="I51" s="619">
        <v>450477000</v>
      </c>
      <c r="J51" s="670">
        <f>+'Presupuesto - PAA 2015'!J238</f>
        <v>334080000</v>
      </c>
      <c r="K51" s="671">
        <f>+'Presupuesto - PAA 2015'!K238</f>
        <v>0</v>
      </c>
      <c r="L51" s="670" t="str">
        <f>+'Presupuesto - PAA 2015'!L238</f>
        <v xml:space="preserve"> </v>
      </c>
      <c r="M51" s="670">
        <f>+'Presupuesto - PAA 2015'!M238</f>
        <v>0</v>
      </c>
      <c r="N51" s="670" t="str">
        <f>+'Presupuesto - PAA 2015'!N238</f>
        <v xml:space="preserve"> </v>
      </c>
    </row>
    <row r="52" spans="1:14" x14ac:dyDescent="0.25">
      <c r="A52" s="654"/>
      <c r="B52" s="627"/>
      <c r="C52" s="628"/>
      <c r="D52" s="628" t="s">
        <v>1916</v>
      </c>
      <c r="E52" s="534" t="s">
        <v>390</v>
      </c>
      <c r="F52" s="666">
        <f>+'Presupuesto - PAA 2015'!E239</f>
        <v>1120000</v>
      </c>
      <c r="G52" s="580">
        <v>450477000</v>
      </c>
      <c r="H52" s="580"/>
      <c r="I52" s="580">
        <v>450477000</v>
      </c>
      <c r="J52" s="666">
        <f>+'Presupuesto - PAA 2015'!J239</f>
        <v>0</v>
      </c>
      <c r="K52" s="667">
        <f>+'Presupuesto - PAA 2015'!K239</f>
        <v>0</v>
      </c>
      <c r="L52" s="666">
        <f>+'Presupuesto - PAA 2015'!L239</f>
        <v>0</v>
      </c>
      <c r="M52" s="666">
        <f>+'Presupuesto - PAA 2015'!M239</f>
        <v>0</v>
      </c>
      <c r="N52" s="666">
        <f>+'Presupuesto - PAA 2015'!N239</f>
        <v>1120000</v>
      </c>
    </row>
    <row r="53" spans="1:14" ht="27.75" customHeight="1" x14ac:dyDescent="0.25">
      <c r="A53" s="654"/>
      <c r="B53" s="537"/>
      <c r="C53" s="1201" t="s">
        <v>1917</v>
      </c>
      <c r="D53" s="1201"/>
      <c r="E53" s="621"/>
      <c r="F53" s="539">
        <f>+'Presupuesto - PAA 2015'!E240</f>
        <v>0</v>
      </c>
      <c r="G53" s="619">
        <v>1775400000</v>
      </c>
      <c r="H53" s="619"/>
      <c r="I53" s="619">
        <v>1775400000</v>
      </c>
      <c r="J53" s="539">
        <f>+'Presupuesto - PAA 2015'!J240</f>
        <v>0</v>
      </c>
      <c r="K53" s="602">
        <f>+'Presupuesto - PAA 2015'!K240</f>
        <v>0</v>
      </c>
      <c r="L53" s="539">
        <f>+'Presupuesto - PAA 2015'!L240</f>
        <v>0</v>
      </c>
      <c r="M53" s="539">
        <f>+'Presupuesto - PAA 2015'!M240</f>
        <v>0</v>
      </c>
      <c r="N53" s="539" t="str">
        <f>+'Presupuesto - PAA 2015'!N240</f>
        <v xml:space="preserve"> </v>
      </c>
    </row>
    <row r="54" spans="1:14" ht="36" x14ac:dyDescent="0.25">
      <c r="A54" s="654"/>
      <c r="B54" s="627">
        <v>208</v>
      </c>
      <c r="C54" s="614" t="s">
        <v>1615</v>
      </c>
      <c r="D54" s="628" t="s">
        <v>1918</v>
      </c>
      <c r="E54" s="534" t="s">
        <v>390</v>
      </c>
      <c r="F54" s="666">
        <f>+'Presupuesto - PAA 2015'!E241</f>
        <v>7722182796</v>
      </c>
      <c r="G54" s="580">
        <v>389910657</v>
      </c>
      <c r="H54" s="580"/>
      <c r="I54" s="580">
        <v>389910657</v>
      </c>
      <c r="J54" s="666">
        <f>+'Presupuesto - PAA 2015'!J241</f>
        <v>7259030202.1999998</v>
      </c>
      <c r="K54" s="667">
        <f>+'Presupuesto - PAA 2015'!K241</f>
        <v>0.94002309890411972</v>
      </c>
      <c r="L54" s="666">
        <f>+'Presupuesto - PAA 2015'!L241</f>
        <v>450477000</v>
      </c>
      <c r="M54" s="666">
        <f>+'Presupuesto - PAA 2015'!M241</f>
        <v>0</v>
      </c>
      <c r="N54" s="666">
        <f>+'Presupuesto - PAA 2015'!N241</f>
        <v>12675593.800000191</v>
      </c>
    </row>
    <row r="55" spans="1:14" ht="24" x14ac:dyDescent="0.25">
      <c r="A55" s="654"/>
      <c r="B55" s="627">
        <v>263</v>
      </c>
      <c r="C55" s="614" t="s">
        <v>1919</v>
      </c>
      <c r="D55" s="628" t="s">
        <v>1920</v>
      </c>
      <c r="E55" s="534" t="s">
        <v>390</v>
      </c>
      <c r="F55" s="666">
        <f>+'Presupuesto - PAA 2015'!E242</f>
        <v>450477000</v>
      </c>
      <c r="G55" s="580">
        <v>101489343</v>
      </c>
      <c r="H55" s="580"/>
      <c r="I55" s="580">
        <v>101489343</v>
      </c>
      <c r="J55" s="666">
        <f>+'Presupuesto - PAA 2015'!J242</f>
        <v>0</v>
      </c>
      <c r="K55" s="667">
        <f>+'Presupuesto - PAA 2015'!K242</f>
        <v>0</v>
      </c>
      <c r="L55" s="666">
        <f>+'Presupuesto - PAA 2015'!L242</f>
        <v>450477000</v>
      </c>
      <c r="M55" s="666">
        <f>+'Presupuesto - PAA 2015'!M242</f>
        <v>0</v>
      </c>
      <c r="N55" s="666">
        <f>+'Presupuesto - PAA 2015'!N242</f>
        <v>0</v>
      </c>
    </row>
    <row r="56" spans="1:14" ht="24" x14ac:dyDescent="0.25">
      <c r="A56" s="654"/>
      <c r="B56" s="627">
        <v>209</v>
      </c>
      <c r="C56" s="614" t="s">
        <v>1088</v>
      </c>
      <c r="D56" s="628" t="s">
        <v>1921</v>
      </c>
      <c r="E56" s="534">
        <v>0</v>
      </c>
      <c r="F56" s="666">
        <f>+'Presupuesto - PAA 2015'!E243</f>
        <v>450477000</v>
      </c>
      <c r="G56" s="580">
        <v>24000000</v>
      </c>
      <c r="H56" s="580"/>
      <c r="I56" s="580">
        <v>24000000</v>
      </c>
      <c r="J56" s="666" t="str">
        <f>+'Presupuesto - PAA 2015'!J243</f>
        <v>Sin Celebrar</v>
      </c>
      <c r="K56" s="667">
        <f>+'Presupuesto - PAA 2015'!K243</f>
        <v>0</v>
      </c>
      <c r="L56" s="666">
        <f>+'Presupuesto - PAA 2015'!L243</f>
        <v>450477000</v>
      </c>
      <c r="M56" s="666">
        <f>+'Presupuesto - PAA 2015'!M243</f>
        <v>0</v>
      </c>
      <c r="N56" s="666" t="str">
        <f>+'Presupuesto - PAA 2015'!N243</f>
        <v xml:space="preserve"> </v>
      </c>
    </row>
    <row r="57" spans="1:14" ht="24" x14ac:dyDescent="0.25">
      <c r="A57" s="654"/>
      <c r="B57" s="627">
        <v>211</v>
      </c>
      <c r="C57" s="614" t="s">
        <v>1088</v>
      </c>
      <c r="D57" s="628" t="s">
        <v>1922</v>
      </c>
      <c r="E57" s="534">
        <v>0</v>
      </c>
      <c r="F57" s="666">
        <f>+'Presupuesto - PAA 2015'!E244</f>
        <v>466869877</v>
      </c>
      <c r="G57" s="580">
        <v>1260000000</v>
      </c>
      <c r="H57" s="580"/>
      <c r="I57" s="580">
        <v>1260000000</v>
      </c>
      <c r="J57" s="666">
        <f>+'Presupuesto - PAA 2015'!J244</f>
        <v>466869877</v>
      </c>
      <c r="K57" s="667">
        <f>+'Presupuesto - PAA 2015'!K244</f>
        <v>1</v>
      </c>
      <c r="L57" s="666">
        <f>+'Presupuesto - PAA 2015'!L244</f>
        <v>0</v>
      </c>
      <c r="M57" s="666">
        <f>+'Presupuesto - PAA 2015'!M244</f>
        <v>0</v>
      </c>
      <c r="N57" s="666">
        <f>+'Presupuesto - PAA 2015'!N244</f>
        <v>0</v>
      </c>
    </row>
    <row r="58" spans="1:14" ht="38.25" customHeight="1" x14ac:dyDescent="0.25">
      <c r="A58" s="654"/>
      <c r="B58" s="537"/>
      <c r="C58" s="1201" t="s">
        <v>1923</v>
      </c>
      <c r="D58" s="1201"/>
      <c r="E58" s="621"/>
      <c r="F58" s="670">
        <f>+'Presupuesto - PAA 2015'!E245</f>
        <v>379200000</v>
      </c>
      <c r="G58" s="619">
        <v>90000000</v>
      </c>
      <c r="H58" s="619"/>
      <c r="I58" s="619">
        <v>90000000</v>
      </c>
      <c r="J58" s="670">
        <f>+'Presupuesto - PAA 2015'!J245</f>
        <v>379200000</v>
      </c>
      <c r="K58" s="671">
        <f>+'Presupuesto - PAA 2015'!K245</f>
        <v>0</v>
      </c>
      <c r="L58" s="670" t="str">
        <f>+'Presupuesto - PAA 2015'!L245</f>
        <v xml:space="preserve"> </v>
      </c>
      <c r="M58" s="670">
        <f>+'Presupuesto - PAA 2015'!M245</f>
        <v>0</v>
      </c>
      <c r="N58" s="670" t="str">
        <f>+'Presupuesto - PAA 2015'!N245</f>
        <v xml:space="preserve"> </v>
      </c>
    </row>
    <row r="59" spans="1:14" ht="36" x14ac:dyDescent="0.25">
      <c r="A59" s="654"/>
      <c r="B59" s="627">
        <v>212</v>
      </c>
      <c r="C59" s="614" t="s">
        <v>1088</v>
      </c>
      <c r="D59" s="628" t="s">
        <v>1924</v>
      </c>
      <c r="E59" s="534">
        <v>0</v>
      </c>
      <c r="F59" s="666">
        <f>+'Presupuesto - PAA 2015'!E246</f>
        <v>87669877</v>
      </c>
      <c r="G59" s="580">
        <v>90000000</v>
      </c>
      <c r="H59" s="580"/>
      <c r="I59" s="580">
        <v>90000000</v>
      </c>
      <c r="J59" s="666">
        <f>+'Presupuesto - PAA 2015'!J246</f>
        <v>87669877</v>
      </c>
      <c r="K59" s="667">
        <f>+'Presupuesto - PAA 2015'!K246</f>
        <v>0</v>
      </c>
      <c r="L59" s="666" t="str">
        <f>+'Presupuesto - PAA 2015'!L246</f>
        <v xml:space="preserve"> </v>
      </c>
      <c r="M59" s="666">
        <f>+'Presupuesto - PAA 2015'!M246</f>
        <v>0</v>
      </c>
      <c r="N59" s="666" t="str">
        <f>+'Presupuesto - PAA 2015'!N246</f>
        <v xml:space="preserve"> </v>
      </c>
    </row>
    <row r="60" spans="1:14" x14ac:dyDescent="0.25">
      <c r="A60" s="654"/>
      <c r="B60" s="537"/>
      <c r="C60" s="1200" t="s">
        <v>1925</v>
      </c>
      <c r="D60" s="1200"/>
      <c r="E60" s="621"/>
      <c r="F60" s="670">
        <f>+'Presupuesto - PAA 2015'!E247</f>
        <v>0</v>
      </c>
      <c r="G60" s="619">
        <v>506600000</v>
      </c>
      <c r="H60" s="619"/>
      <c r="I60" s="619">
        <v>506600000</v>
      </c>
      <c r="J60" s="670" t="str">
        <f>+'Presupuesto - PAA 2015'!J247</f>
        <v>Sin Celebrar</v>
      </c>
      <c r="K60" s="671">
        <f>+'Presupuesto - PAA 2015'!K247</f>
        <v>0</v>
      </c>
      <c r="L60" s="670">
        <f>+'Presupuesto - PAA 2015'!L247</f>
        <v>0</v>
      </c>
      <c r="M60" s="670">
        <f>+'Presupuesto - PAA 2015'!M247</f>
        <v>0</v>
      </c>
      <c r="N60" s="670" t="str">
        <f>+'Presupuesto - PAA 2015'!N247</f>
        <v xml:space="preserve"> </v>
      </c>
    </row>
    <row r="61" spans="1:14" ht="24" x14ac:dyDescent="0.25">
      <c r="A61" s="654"/>
      <c r="B61" s="627">
        <v>70</v>
      </c>
      <c r="C61" s="614" t="s">
        <v>1088</v>
      </c>
      <c r="D61" s="628" t="s">
        <v>1926</v>
      </c>
      <c r="E61" s="534" t="s">
        <v>390</v>
      </c>
      <c r="F61" s="666">
        <f>+'Presupuesto - PAA 2015'!E248</f>
        <v>0</v>
      </c>
      <c r="G61" s="580">
        <v>32000000</v>
      </c>
      <c r="H61" s="580"/>
      <c r="I61" s="580">
        <v>32000000</v>
      </c>
      <c r="J61" s="666" t="str">
        <f>+'Presupuesto - PAA 2015'!J248</f>
        <v>Sin Celebrar</v>
      </c>
      <c r="K61" s="667">
        <f>+'Presupuesto - PAA 2015'!K248</f>
        <v>0</v>
      </c>
      <c r="L61" s="666">
        <f>+'Presupuesto - PAA 2015'!L248</f>
        <v>0</v>
      </c>
      <c r="M61" s="666">
        <f>+'Presupuesto - PAA 2015'!M248</f>
        <v>0</v>
      </c>
      <c r="N61" s="666" t="str">
        <f>+'Presupuesto - PAA 2015'!N248</f>
        <v xml:space="preserve"> </v>
      </c>
    </row>
    <row r="62" spans="1:14" ht="24" x14ac:dyDescent="0.25">
      <c r="A62" s="654"/>
      <c r="B62" s="627">
        <v>71</v>
      </c>
      <c r="C62" s="614" t="s">
        <v>1088</v>
      </c>
      <c r="D62" s="628" t="s">
        <v>1927</v>
      </c>
      <c r="E62" s="534" t="s">
        <v>390</v>
      </c>
      <c r="F62" s="666">
        <f>+'Presupuesto - PAA 2015'!E249</f>
        <v>0</v>
      </c>
      <c r="G62" s="580">
        <v>13300000</v>
      </c>
      <c r="H62" s="580"/>
      <c r="I62" s="580">
        <v>13300000</v>
      </c>
      <c r="J62" s="666">
        <f>+'Presupuesto - PAA 2015'!J249</f>
        <v>0</v>
      </c>
      <c r="K62" s="667" t="e">
        <f>+'Presupuesto - PAA 2015'!K249</f>
        <v>#DIV/0!</v>
      </c>
      <c r="L62" s="666">
        <f>+'Presupuesto - PAA 2015'!L249</f>
        <v>0</v>
      </c>
      <c r="M62" s="666">
        <f>+'Presupuesto - PAA 2015'!M249</f>
        <v>0</v>
      </c>
      <c r="N62" s="666">
        <f>+'Presupuesto - PAA 2015'!N249</f>
        <v>0</v>
      </c>
    </row>
    <row r="63" spans="1:14" ht="24" x14ac:dyDescent="0.25">
      <c r="A63" s="654"/>
      <c r="B63" s="627">
        <v>73</v>
      </c>
      <c r="C63" s="614" t="s">
        <v>1088</v>
      </c>
      <c r="D63" s="628" t="s">
        <v>1928</v>
      </c>
      <c r="E63" s="534" t="s">
        <v>390</v>
      </c>
      <c r="F63" s="666">
        <f>+'Presupuesto - PAA 2015'!E250</f>
        <v>0</v>
      </c>
      <c r="G63" s="580">
        <v>201000000</v>
      </c>
      <c r="H63" s="580"/>
      <c r="I63" s="580">
        <v>201000000</v>
      </c>
      <c r="J63" s="666" t="str">
        <f>+'Presupuesto - PAA 2015'!J250</f>
        <v>Sin Celebrar</v>
      </c>
      <c r="K63" s="667">
        <f>+'Presupuesto - PAA 2015'!K250</f>
        <v>0</v>
      </c>
      <c r="L63" s="666">
        <f>+'Presupuesto - PAA 2015'!L250</f>
        <v>0</v>
      </c>
      <c r="M63" s="666">
        <f>+'Presupuesto - PAA 2015'!M250</f>
        <v>0</v>
      </c>
      <c r="N63" s="666" t="str">
        <f>+'Presupuesto - PAA 2015'!N250</f>
        <v xml:space="preserve"> </v>
      </c>
    </row>
    <row r="64" spans="1:14" ht="24" x14ac:dyDescent="0.25">
      <c r="A64" s="654"/>
      <c r="B64" s="627">
        <v>74</v>
      </c>
      <c r="C64" s="614" t="s">
        <v>1088</v>
      </c>
      <c r="D64" s="628" t="s">
        <v>1929</v>
      </c>
      <c r="E64" s="534">
        <v>0</v>
      </c>
      <c r="F64" s="666">
        <f>+'Presupuesto - PAA 2015'!E251</f>
        <v>2630558934</v>
      </c>
      <c r="G64" s="580">
        <v>130000000</v>
      </c>
      <c r="H64" s="580"/>
      <c r="I64" s="580">
        <v>130000000</v>
      </c>
      <c r="J64" s="666">
        <f>+'Presupuesto - PAA 2015'!J251</f>
        <v>2617883340.1999998</v>
      </c>
      <c r="K64" s="667">
        <f>+'Presupuesto - PAA 2015'!K251</f>
        <v>0.99518140664473698</v>
      </c>
      <c r="L64" s="666">
        <f>+'Presupuesto - PAA 2015'!L251</f>
        <v>0</v>
      </c>
      <c r="M64" s="666">
        <f>+'Presupuesto - PAA 2015'!M251</f>
        <v>0</v>
      </c>
      <c r="N64" s="666">
        <f>+'Presupuesto - PAA 2015'!N251</f>
        <v>12675593.800000191</v>
      </c>
    </row>
    <row r="65" spans="1:14" ht="24" x14ac:dyDescent="0.25">
      <c r="A65" s="654"/>
      <c r="B65" s="627">
        <v>75</v>
      </c>
      <c r="C65" s="614" t="s">
        <v>1088</v>
      </c>
      <c r="D65" s="628" t="s">
        <v>1778</v>
      </c>
      <c r="E65" s="534" t="s">
        <v>390</v>
      </c>
      <c r="F65" s="666">
        <f>+'Presupuesto - PAA 2015'!E252</f>
        <v>31577404</v>
      </c>
      <c r="G65" s="580">
        <v>22000000</v>
      </c>
      <c r="H65" s="580"/>
      <c r="I65" s="580">
        <v>22000000</v>
      </c>
      <c r="J65" s="666">
        <f>+'Presupuesto - PAA 2015'!J252</f>
        <v>31577404</v>
      </c>
      <c r="K65" s="667">
        <f>+'Presupuesto - PAA 2015'!K252</f>
        <v>0</v>
      </c>
      <c r="L65" s="666" t="str">
        <f>+'Presupuesto - PAA 2015'!L252</f>
        <v xml:space="preserve"> </v>
      </c>
      <c r="M65" s="666">
        <f>+'Presupuesto - PAA 2015'!M252</f>
        <v>0</v>
      </c>
      <c r="N65" s="666" t="str">
        <f>+'Presupuesto - PAA 2015'!N252</f>
        <v xml:space="preserve"> </v>
      </c>
    </row>
    <row r="66" spans="1:14" ht="24" x14ac:dyDescent="0.25">
      <c r="A66" s="654"/>
      <c r="B66" s="627">
        <v>76</v>
      </c>
      <c r="C66" s="614" t="s">
        <v>1088</v>
      </c>
      <c r="D66" s="628" t="s">
        <v>1930</v>
      </c>
      <c r="E66" s="534" t="s">
        <v>390</v>
      </c>
      <c r="F66" s="666">
        <f>+'Presupuesto - PAA 2015'!E253</f>
        <v>11167296</v>
      </c>
      <c r="G66" s="580">
        <v>65000000</v>
      </c>
      <c r="H66" s="580"/>
      <c r="I66" s="580">
        <v>65000000</v>
      </c>
      <c r="J66" s="666">
        <f>+'Presupuesto - PAA 2015'!J253</f>
        <v>11167296</v>
      </c>
      <c r="K66" s="667">
        <f>+'Presupuesto - PAA 2015'!K253</f>
        <v>0</v>
      </c>
      <c r="L66" s="666" t="str">
        <f>+'Presupuesto - PAA 2015'!L253</f>
        <v xml:space="preserve"> </v>
      </c>
      <c r="M66" s="666">
        <f>+'Presupuesto - PAA 2015'!M253</f>
        <v>0</v>
      </c>
      <c r="N66" s="666" t="str">
        <f>+'Presupuesto - PAA 2015'!N253</f>
        <v xml:space="preserve"> </v>
      </c>
    </row>
    <row r="67" spans="1:14" ht="24" x14ac:dyDescent="0.25">
      <c r="A67" s="654"/>
      <c r="B67" s="627">
        <v>77</v>
      </c>
      <c r="C67" s="614" t="s">
        <v>1088</v>
      </c>
      <c r="D67" s="628" t="s">
        <v>1931</v>
      </c>
      <c r="E67" s="534">
        <v>0</v>
      </c>
      <c r="F67" s="666">
        <f>+'Presupuesto - PAA 2015'!E254</f>
        <v>0</v>
      </c>
      <c r="G67" s="580">
        <v>20000000</v>
      </c>
      <c r="H67" s="580"/>
      <c r="I67" s="580">
        <v>20000000</v>
      </c>
      <c r="J67" s="666">
        <f>+'Presupuesto - PAA 2015'!J254</f>
        <v>8320000</v>
      </c>
      <c r="K67" s="667">
        <f>+'Presupuesto - PAA 2015'!K254</f>
        <v>0</v>
      </c>
      <c r="L67" s="666" t="str">
        <f>+'Presupuesto - PAA 2015'!L254</f>
        <v xml:space="preserve"> </v>
      </c>
      <c r="M67" s="666">
        <f>+'Presupuesto - PAA 2015'!M254</f>
        <v>0</v>
      </c>
      <c r="N67" s="666" t="str">
        <f>+'Presupuesto - PAA 2015'!N254</f>
        <v xml:space="preserve"> </v>
      </c>
    </row>
    <row r="68" spans="1:14" x14ac:dyDescent="0.25">
      <c r="A68" s="654"/>
      <c r="B68" s="614"/>
      <c r="C68" s="614"/>
      <c r="D68" s="614" t="s">
        <v>1932</v>
      </c>
      <c r="E68" s="614"/>
      <c r="F68" s="666">
        <f>+'Presupuesto - PAA 2015'!E255</f>
        <v>1544000000</v>
      </c>
      <c r="G68" s="630">
        <v>23300000</v>
      </c>
      <c r="H68" s="614"/>
      <c r="I68" s="630">
        <v>23300000</v>
      </c>
      <c r="J68" s="666">
        <f>+'Presupuesto - PAA 2015'!J255</f>
        <v>1512217703</v>
      </c>
      <c r="K68" s="667">
        <f>+'Presupuesto - PAA 2015'!K255</f>
        <v>0</v>
      </c>
      <c r="L68" s="666" t="str">
        <f>+'Presupuesto - PAA 2015'!L255</f>
        <v xml:space="preserve"> </v>
      </c>
      <c r="M68" s="666">
        <f>+'Presupuesto - PAA 2015'!M255</f>
        <v>0</v>
      </c>
      <c r="N68" s="666">
        <f>+'Presupuesto - PAA 2015'!N255</f>
        <v>31782297</v>
      </c>
    </row>
    <row r="69" spans="1:14" ht="42" customHeight="1" x14ac:dyDescent="0.25">
      <c r="A69" s="654"/>
      <c r="B69" s="533"/>
      <c r="C69" s="1209" t="s">
        <v>1933</v>
      </c>
      <c r="D69" s="1210"/>
      <c r="E69" s="635"/>
      <c r="F69" s="670">
        <f>+'Presupuesto - PAA 2015'!E256</f>
        <v>8086410</v>
      </c>
      <c r="G69" s="620">
        <v>4320000000</v>
      </c>
      <c r="H69" s="635"/>
      <c r="I69" s="619">
        <v>4320000000</v>
      </c>
      <c r="J69" s="670">
        <f>+'Presupuesto - PAA 2015'!J256</f>
        <v>8086410</v>
      </c>
      <c r="K69" s="671">
        <f>+'Presupuesto - PAA 2015'!K256</f>
        <v>0</v>
      </c>
      <c r="L69" s="670" t="str">
        <f>+'Presupuesto - PAA 2015'!L256</f>
        <v xml:space="preserve"> </v>
      </c>
      <c r="M69" s="670">
        <f>+'Presupuesto - PAA 2015'!M256</f>
        <v>0</v>
      </c>
      <c r="N69" s="670" t="str">
        <f>+'Presupuesto - PAA 2015'!N256</f>
        <v xml:space="preserve"> </v>
      </c>
    </row>
    <row r="70" spans="1:14" ht="72" x14ac:dyDescent="0.25">
      <c r="A70" s="654"/>
      <c r="B70" s="627">
        <v>210</v>
      </c>
      <c r="C70" s="614" t="s">
        <v>1636</v>
      </c>
      <c r="D70" s="628" t="s">
        <v>1934</v>
      </c>
      <c r="E70" s="534" t="s">
        <v>390</v>
      </c>
      <c r="F70" s="666">
        <f>+'Presupuesto - PAA 2015'!E265</f>
        <v>4174276985</v>
      </c>
      <c r="G70" s="580">
        <v>4320000000</v>
      </c>
      <c r="H70" s="580"/>
      <c r="I70" s="580">
        <v>4320000000</v>
      </c>
      <c r="J70" s="666">
        <f>+'Presupuesto - PAA 2015'!J265</f>
        <v>4174276985</v>
      </c>
      <c r="K70" s="666">
        <f>+'Presupuesto - PAA 2015'!K265</f>
        <v>0</v>
      </c>
      <c r="L70" s="666" t="str">
        <f>+'Presupuesto - PAA 2015'!L265</f>
        <v xml:space="preserve"> </v>
      </c>
      <c r="M70" s="666">
        <f>+'Presupuesto - PAA 2015'!M265</f>
        <v>0</v>
      </c>
      <c r="N70" s="666" t="str">
        <f>+'Presupuesto - PAA 2015'!N265</f>
        <v xml:space="preserve"> </v>
      </c>
    </row>
    <row r="71" spans="1:14" x14ac:dyDescent="0.25">
      <c r="A71" s="654"/>
    </row>
    <row r="72" spans="1:14" x14ac:dyDescent="0.25">
      <c r="A72" s="654"/>
    </row>
    <row r="73" spans="1:14" x14ac:dyDescent="0.25">
      <c r="A73" s="654"/>
    </row>
    <row r="74" spans="1:14" x14ac:dyDescent="0.25">
      <c r="A74" s="654"/>
    </row>
    <row r="75" spans="1:14" x14ac:dyDescent="0.25">
      <c r="A75" s="654"/>
    </row>
    <row r="76" spans="1:14" x14ac:dyDescent="0.25">
      <c r="A76" s="654"/>
    </row>
    <row r="77" spans="1:14" x14ac:dyDescent="0.25">
      <c r="A77" s="654"/>
    </row>
    <row r="78" spans="1:14" x14ac:dyDescent="0.25">
      <c r="A78" s="654"/>
    </row>
    <row r="79" spans="1:14" x14ac:dyDescent="0.25">
      <c r="A79" s="654"/>
    </row>
    <row r="80" spans="1:14" x14ac:dyDescent="0.25">
      <c r="A80" s="654"/>
    </row>
    <row r="81" spans="1:1" x14ac:dyDescent="0.25">
      <c r="A81" s="654"/>
    </row>
    <row r="82" spans="1:1" x14ac:dyDescent="0.25">
      <c r="A82" s="654"/>
    </row>
    <row r="83" spans="1:1" x14ac:dyDescent="0.25">
      <c r="A83" s="654"/>
    </row>
    <row r="84" spans="1:1" x14ac:dyDescent="0.25">
      <c r="A84" s="654"/>
    </row>
    <row r="85" spans="1:1" x14ac:dyDescent="0.25">
      <c r="A85" s="654"/>
    </row>
    <row r="86" spans="1:1" x14ac:dyDescent="0.25">
      <c r="A86" s="654"/>
    </row>
    <row r="87" spans="1:1" x14ac:dyDescent="0.25">
      <c r="A87" s="654"/>
    </row>
    <row r="88" spans="1:1" x14ac:dyDescent="0.25">
      <c r="A88" s="654"/>
    </row>
    <row r="89" spans="1:1" x14ac:dyDescent="0.25">
      <c r="A89" s="654"/>
    </row>
    <row r="90" spans="1:1" x14ac:dyDescent="0.25">
      <c r="A90" s="654"/>
    </row>
    <row r="91" spans="1:1" x14ac:dyDescent="0.25">
      <c r="A91" s="654"/>
    </row>
    <row r="92" spans="1:1" ht="16.5" customHeight="1" x14ac:dyDescent="0.25">
      <c r="A92" s="654"/>
    </row>
    <row r="93" spans="1:1" x14ac:dyDescent="0.25">
      <c r="A93" s="654"/>
    </row>
    <row r="94" spans="1:1" x14ac:dyDescent="0.25">
      <c r="A94" s="654"/>
    </row>
    <row r="95" spans="1:1" x14ac:dyDescent="0.25">
      <c r="A95" s="654"/>
    </row>
    <row r="96" spans="1:1" x14ac:dyDescent="0.25">
      <c r="A96" s="654"/>
    </row>
    <row r="97" spans="1:1" x14ac:dyDescent="0.25">
      <c r="A97" s="654"/>
    </row>
    <row r="98" spans="1:1" x14ac:dyDescent="0.25">
      <c r="A98" s="654"/>
    </row>
    <row r="99" spans="1:1" x14ac:dyDescent="0.25">
      <c r="A99" s="654"/>
    </row>
    <row r="100" spans="1:1" x14ac:dyDescent="0.25">
      <c r="A100" s="654"/>
    </row>
    <row r="101" spans="1:1" x14ac:dyDescent="0.25">
      <c r="A101" s="654"/>
    </row>
    <row r="102" spans="1:1" x14ac:dyDescent="0.25">
      <c r="A102" s="654"/>
    </row>
    <row r="103" spans="1:1" x14ac:dyDescent="0.25">
      <c r="A103" s="654"/>
    </row>
    <row r="104" spans="1:1" x14ac:dyDescent="0.25">
      <c r="A104" s="654"/>
    </row>
    <row r="105" spans="1:1" x14ac:dyDescent="0.25">
      <c r="A105" s="654"/>
    </row>
    <row r="106" spans="1:1" x14ac:dyDescent="0.25">
      <c r="A106" s="654"/>
    </row>
  </sheetData>
  <mergeCells count="53">
    <mergeCell ref="C60:D60"/>
    <mergeCell ref="C69:D69"/>
    <mergeCell ref="C46:D46"/>
    <mergeCell ref="C47:D47"/>
    <mergeCell ref="C50:D50"/>
    <mergeCell ref="C51:D51"/>
    <mergeCell ref="C53:D53"/>
    <mergeCell ref="C58:D58"/>
    <mergeCell ref="B45:D45"/>
    <mergeCell ref="B31:D31"/>
    <mergeCell ref="B32:D32"/>
    <mergeCell ref="B33:D33"/>
    <mergeCell ref="B34:D34"/>
    <mergeCell ref="B35:D35"/>
    <mergeCell ref="B36:D36"/>
    <mergeCell ref="B37:D37"/>
    <mergeCell ref="B38:D38"/>
    <mergeCell ref="B39:D39"/>
    <mergeCell ref="B40:D40"/>
    <mergeCell ref="B41:D41"/>
    <mergeCell ref="B42:D42"/>
    <mergeCell ref="B43:D43"/>
    <mergeCell ref="B44:D44"/>
    <mergeCell ref="B30:D30"/>
    <mergeCell ref="B19:D19"/>
    <mergeCell ref="B20:D20"/>
    <mergeCell ref="B21:D21"/>
    <mergeCell ref="B22:D22"/>
    <mergeCell ref="B23:D23"/>
    <mergeCell ref="B24:D24"/>
    <mergeCell ref="B25:D25"/>
    <mergeCell ref="B26:D26"/>
    <mergeCell ref="B27:D27"/>
    <mergeCell ref="B28:D28"/>
    <mergeCell ref="B29:D29"/>
    <mergeCell ref="B18:D18"/>
    <mergeCell ref="B7:D7"/>
    <mergeCell ref="B8:D8"/>
    <mergeCell ref="B9:D9"/>
    <mergeCell ref="B10:D10"/>
    <mergeCell ref="B11:D11"/>
    <mergeCell ref="B12:D12"/>
    <mergeCell ref="B13:D13"/>
    <mergeCell ref="B14:D14"/>
    <mergeCell ref="B15:D15"/>
    <mergeCell ref="B16:D16"/>
    <mergeCell ref="B17:D17"/>
    <mergeCell ref="B6:D6"/>
    <mergeCell ref="B1:N1"/>
    <mergeCell ref="B2:D2"/>
    <mergeCell ref="B3:D3"/>
    <mergeCell ref="B4:D4"/>
    <mergeCell ref="B5:D5"/>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Z225"/>
  <sheetViews>
    <sheetView zoomScale="90" zoomScaleNormal="90" workbookViewId="0">
      <pane xSplit="6" ySplit="2" topLeftCell="G3" activePane="bottomRight" state="frozen"/>
      <selection pane="topRight" activeCell="F1" sqref="F1"/>
      <selection pane="bottomLeft" activeCell="A3" sqref="A3"/>
      <selection pane="bottomRight" activeCell="D10" sqref="D10"/>
    </sheetView>
  </sheetViews>
  <sheetFormatPr baseColWidth="10" defaultRowHeight="12" outlineLevelRow="1" x14ac:dyDescent="0.25"/>
  <cols>
    <col min="1" max="1" width="2.42578125" style="535" customWidth="1"/>
    <col min="2" max="2" width="10" style="535" customWidth="1"/>
    <col min="3" max="3" width="6.5703125" style="535" hidden="1" customWidth="1"/>
    <col min="4" max="4" width="18" style="535" customWidth="1"/>
    <col min="5" max="5" width="46.140625" style="535" customWidth="1"/>
    <col min="6" max="6" width="18.42578125" style="535" customWidth="1"/>
    <col min="7" max="7" width="14.42578125" style="820" customWidth="1"/>
    <col min="8" max="8" width="8.5703125" style="820" bestFit="1" customWidth="1"/>
    <col min="9" max="9" width="13.42578125" style="535" customWidth="1"/>
    <col min="10" max="10" width="16.7109375" style="535" customWidth="1"/>
    <col min="11" max="11" width="9" style="611" customWidth="1"/>
    <col min="12" max="13" width="16.7109375" style="535" customWidth="1"/>
    <col min="14" max="14" width="16.7109375" style="697" customWidth="1"/>
    <col min="15" max="15" width="15.140625" style="547" customWidth="1"/>
    <col min="16" max="18" width="11.42578125" style="535" customWidth="1"/>
    <col min="19" max="19" width="16.7109375" style="535" customWidth="1"/>
    <col min="20" max="20" width="17.5703125" style="656" bestFit="1" customWidth="1"/>
    <col min="21" max="21" width="17.85546875" style="535" bestFit="1" customWidth="1"/>
    <col min="22" max="22" width="11.42578125" style="535"/>
    <col min="23" max="23" width="8.28515625" style="535" hidden="1" customWidth="1"/>
    <col min="24" max="25" width="11.42578125" style="535"/>
    <col min="26" max="26" width="0" style="535" hidden="1" customWidth="1"/>
    <col min="27" max="16384" width="11.42578125" style="535"/>
  </cols>
  <sheetData>
    <row r="1" spans="2:26" ht="23.25" customHeight="1" thickBot="1" x14ac:dyDescent="0.3">
      <c r="B1" s="1187" t="s">
        <v>2277</v>
      </c>
      <c r="C1" s="1188"/>
      <c r="D1" s="1188"/>
      <c r="E1" s="1188"/>
      <c r="F1" s="1188"/>
      <c r="G1" s="1188"/>
      <c r="H1" s="1188"/>
      <c r="I1" s="1188"/>
      <c r="J1" s="1188"/>
      <c r="K1" s="1188"/>
      <c r="L1" s="1188"/>
      <c r="M1" s="1188"/>
      <c r="N1" s="1188"/>
      <c r="O1" s="1188"/>
      <c r="P1" s="1188"/>
      <c r="Q1" s="1188"/>
      <c r="R1" s="1188"/>
      <c r="S1" s="1189"/>
      <c r="Z1" s="535" t="s">
        <v>1903</v>
      </c>
    </row>
    <row r="2" spans="2:26" ht="33.75" customHeight="1" x14ac:dyDescent="0.25">
      <c r="B2" s="1185" t="s">
        <v>1783</v>
      </c>
      <c r="C2" s="1185"/>
      <c r="D2" s="1185"/>
      <c r="E2" s="1185"/>
      <c r="F2" s="773" t="s">
        <v>2411</v>
      </c>
      <c r="G2" s="718" t="s">
        <v>2344</v>
      </c>
      <c r="H2" s="1211" t="s">
        <v>1842</v>
      </c>
      <c r="I2" s="1212"/>
      <c r="J2" s="773" t="s">
        <v>1899</v>
      </c>
      <c r="K2" s="716" t="s">
        <v>1900</v>
      </c>
      <c r="L2" s="773" t="s">
        <v>1901</v>
      </c>
      <c r="M2" s="773" t="s">
        <v>1904</v>
      </c>
      <c r="N2" s="717" t="s">
        <v>1122</v>
      </c>
      <c r="O2" s="718" t="s">
        <v>1847</v>
      </c>
      <c r="P2" s="773" t="s">
        <v>1848</v>
      </c>
      <c r="Q2" s="773" t="s">
        <v>1849</v>
      </c>
      <c r="R2" s="773" t="s">
        <v>375</v>
      </c>
      <c r="S2" s="773" t="s">
        <v>1850</v>
      </c>
    </row>
    <row r="3" spans="2:26" ht="15" customHeight="1" x14ac:dyDescent="0.25">
      <c r="B3" s="1183" t="s">
        <v>1686</v>
      </c>
      <c r="C3" s="1183"/>
      <c r="D3" s="1183"/>
      <c r="E3" s="1183"/>
      <c r="F3" s="541"/>
      <c r="G3" s="829">
        <f>+G4+G190</f>
        <v>92</v>
      </c>
      <c r="H3" s="829">
        <f>+H4+H190</f>
        <v>1</v>
      </c>
      <c r="I3" s="541"/>
      <c r="J3" s="541">
        <f>+J4+J190</f>
        <v>8460919518</v>
      </c>
      <c r="K3" s="646" t="e">
        <f t="shared" ref="K3:K8" si="0">+J3/F3</f>
        <v>#DIV/0!</v>
      </c>
      <c r="L3" s="541">
        <f>+L4+L190</f>
        <v>3289793500</v>
      </c>
      <c r="M3" s="541">
        <f>+M4+M190</f>
        <v>-11750713018</v>
      </c>
      <c r="N3" s="541"/>
      <c r="O3" s="651"/>
      <c r="P3" s="571"/>
      <c r="Q3" s="571"/>
      <c r="R3" s="571"/>
      <c r="S3" s="571"/>
    </row>
    <row r="4" spans="2:26" ht="15" customHeight="1" x14ac:dyDescent="0.25">
      <c r="B4" s="1183" t="s">
        <v>1684</v>
      </c>
      <c r="C4" s="1183"/>
      <c r="D4" s="1183"/>
      <c r="E4" s="1183"/>
      <c r="F4" s="541"/>
      <c r="G4" s="829">
        <f>+G5+G39</f>
        <v>83</v>
      </c>
      <c r="H4" s="829">
        <f>+H5+H39</f>
        <v>1</v>
      </c>
      <c r="I4" s="542"/>
      <c r="J4" s="541">
        <f>+J5+J39</f>
        <v>3862728518</v>
      </c>
      <c r="K4" s="646" t="e">
        <f t="shared" si="0"/>
        <v>#DIV/0!</v>
      </c>
      <c r="L4" s="541">
        <f>+L5+L39</f>
        <v>2678833500</v>
      </c>
      <c r="M4" s="541">
        <f>+M5+M39</f>
        <v>-6541562018</v>
      </c>
      <c r="N4" s="674"/>
      <c r="O4" s="572"/>
      <c r="P4" s="571"/>
      <c r="Q4" s="571"/>
      <c r="R4" s="571"/>
      <c r="S4" s="571"/>
    </row>
    <row r="5" spans="2:26" ht="15" customHeight="1" x14ac:dyDescent="0.25">
      <c r="B5" s="1182" t="s">
        <v>1683</v>
      </c>
      <c r="C5" s="1182"/>
      <c r="D5" s="1182"/>
      <c r="E5" s="1182"/>
      <c r="F5" s="539"/>
      <c r="G5" s="830">
        <f>+G6</f>
        <v>20</v>
      </c>
      <c r="H5" s="830">
        <f>+H6</f>
        <v>0</v>
      </c>
      <c r="I5" s="540"/>
      <c r="J5" s="539">
        <f t="shared" ref="J5:M6" si="1">+J6</f>
        <v>365435500</v>
      </c>
      <c r="K5" s="602" t="e">
        <f t="shared" si="0"/>
        <v>#DIV/0!</v>
      </c>
      <c r="L5" s="539">
        <f t="shared" si="1"/>
        <v>431877500</v>
      </c>
      <c r="M5" s="539">
        <f t="shared" si="1"/>
        <v>-797313000</v>
      </c>
      <c r="N5" s="675"/>
      <c r="O5" s="570"/>
      <c r="P5" s="569"/>
      <c r="Q5" s="569"/>
      <c r="R5" s="569"/>
      <c r="S5" s="569"/>
    </row>
    <row r="6" spans="2:26" ht="15" customHeight="1" x14ac:dyDescent="0.25">
      <c r="B6" s="1184" t="s">
        <v>1682</v>
      </c>
      <c r="C6" s="1184"/>
      <c r="D6" s="1184"/>
      <c r="E6" s="1184"/>
      <c r="F6" s="657"/>
      <c r="G6" s="831">
        <f>+G7+G33</f>
        <v>20</v>
      </c>
      <c r="H6" s="831">
        <f>+H7+H33</f>
        <v>0</v>
      </c>
      <c r="I6" s="586"/>
      <c r="J6" s="657">
        <f t="shared" si="1"/>
        <v>365435500</v>
      </c>
      <c r="K6" s="665" t="e">
        <f t="shared" si="0"/>
        <v>#DIV/0!</v>
      </c>
      <c r="L6" s="657">
        <f t="shared" si="1"/>
        <v>431877500</v>
      </c>
      <c r="M6" s="657">
        <f t="shared" si="1"/>
        <v>-797313000</v>
      </c>
      <c r="N6" s="802"/>
      <c r="O6" s="803"/>
      <c r="P6" s="592"/>
      <c r="Q6" s="592"/>
      <c r="R6" s="592"/>
      <c r="S6" s="592"/>
      <c r="W6" s="535">
        <v>2016</v>
      </c>
    </row>
    <row r="7" spans="2:26" ht="15" customHeight="1" x14ac:dyDescent="0.25">
      <c r="B7" s="1215" t="s">
        <v>1681</v>
      </c>
      <c r="C7" s="1215"/>
      <c r="D7" s="1215"/>
      <c r="E7" s="1215"/>
      <c r="F7" s="801"/>
      <c r="G7" s="824">
        <f>+G8+G30</f>
        <v>18</v>
      </c>
      <c r="H7" s="824">
        <f>+H8+H30</f>
        <v>0</v>
      </c>
      <c r="I7" s="799"/>
      <c r="J7" s="801">
        <f>+J8+J30+J33</f>
        <v>365435500</v>
      </c>
      <c r="K7" s="804" t="e">
        <f t="shared" si="0"/>
        <v>#DIV/0!</v>
      </c>
      <c r="L7" s="801">
        <f>+L8+L30+L33</f>
        <v>431877500</v>
      </c>
      <c r="M7" s="801">
        <f>+M8+M30+M33</f>
        <v>-797313000</v>
      </c>
      <c r="N7" s="805"/>
      <c r="O7" s="806"/>
      <c r="P7" s="790"/>
      <c r="Q7" s="790"/>
      <c r="R7" s="790"/>
      <c r="S7" s="790"/>
      <c r="W7" s="535" t="s">
        <v>1903</v>
      </c>
    </row>
    <row r="8" spans="2:26" ht="15" customHeight="1" x14ac:dyDescent="0.25">
      <c r="B8" s="1213" t="s">
        <v>1643</v>
      </c>
      <c r="C8" s="1213"/>
      <c r="D8" s="1213"/>
      <c r="E8" s="1213"/>
      <c r="F8" s="785"/>
      <c r="G8" s="791">
        <f>COUNT(G10:G27)</f>
        <v>18</v>
      </c>
      <c r="H8" s="791">
        <f>COUNTIF(H10:H27,Hoja1!$J$2)</f>
        <v>0</v>
      </c>
      <c r="I8" s="786"/>
      <c r="J8" s="807">
        <f>SUM(J10:J28)</f>
        <v>351035500</v>
      </c>
      <c r="K8" s="787" t="e">
        <f t="shared" si="0"/>
        <v>#DIV/0!</v>
      </c>
      <c r="L8" s="807">
        <f>SUM(L10:L29)</f>
        <v>365133500</v>
      </c>
      <c r="M8" s="795">
        <f>+F8-J8-L8</f>
        <v>-716169000</v>
      </c>
      <c r="N8" s="808"/>
      <c r="O8" s="807"/>
      <c r="P8" s="790"/>
      <c r="Q8" s="790"/>
      <c r="R8" s="790"/>
      <c r="S8" s="790"/>
    </row>
    <row r="9" spans="2:26" s="615" customFormat="1" ht="24" outlineLevel="1" x14ac:dyDescent="0.25">
      <c r="B9" s="627" t="s">
        <v>2343</v>
      </c>
      <c r="C9" s="627" t="s">
        <v>2354</v>
      </c>
      <c r="D9" s="627" t="s">
        <v>912</v>
      </c>
      <c r="E9" s="627" t="s">
        <v>1822</v>
      </c>
      <c r="F9" s="776" t="s">
        <v>1846</v>
      </c>
      <c r="G9" s="812" t="s">
        <v>2345</v>
      </c>
      <c r="H9" s="812" t="s">
        <v>2349</v>
      </c>
      <c r="I9" s="534" t="s">
        <v>2350</v>
      </c>
      <c r="J9" s="627" t="s">
        <v>1845</v>
      </c>
      <c r="K9" s="612"/>
      <c r="L9" s="627" t="s">
        <v>1939</v>
      </c>
      <c r="M9" s="627" t="s">
        <v>1940</v>
      </c>
      <c r="N9" s="777" t="s">
        <v>1122</v>
      </c>
      <c r="O9" s="778" t="s">
        <v>1847</v>
      </c>
      <c r="P9" s="627" t="s">
        <v>1848</v>
      </c>
      <c r="Q9" s="627" t="s">
        <v>1849</v>
      </c>
      <c r="R9" s="627" t="s">
        <v>375</v>
      </c>
      <c r="S9" s="627" t="s">
        <v>1850</v>
      </c>
      <c r="T9" s="656"/>
    </row>
    <row r="10" spans="2:26" s="615" customFormat="1" ht="14.25" customHeight="1" outlineLevel="1" x14ac:dyDescent="0.25">
      <c r="B10" s="627">
        <v>117</v>
      </c>
      <c r="C10" s="627" t="str">
        <f t="shared" ref="C10:C27" si="2">$W$6&amp;B10</f>
        <v>2016117</v>
      </c>
      <c r="D10" s="533" t="str">
        <f>IF(ISERROR(VLOOKUP(C10,'Base de Datos'!$D$7:$F$4092,2,0))=TRUE,"",(VLOOKUP(C10,'Base de Datos'!$D$7:$F$4092,2,0)))</f>
        <v>160076-0-2016</v>
      </c>
      <c r="E10" s="614" t="s">
        <v>2278</v>
      </c>
      <c r="F10" s="580">
        <v>47460000</v>
      </c>
      <c r="G10" s="812">
        <v>42374</v>
      </c>
      <c r="H10" s="812"/>
      <c r="I10" s="833" t="str">
        <f ca="1">IF(H10=Hoja1!$J$2," ",(IF(MONTH(G10)=MONTH(TODAY()),IF(DAY(G10)&gt;DAY(TODAY()),"Quedan "&amp;ABS(DAY(G10)-DAY(TODAY()))&amp;" Días","Hace "&amp;ABS(DAY(G10)-DAY(TODAY()))&amp;" Días"),"")))</f>
        <v/>
      </c>
      <c r="J10" s="536">
        <f>IF(ISERROR(VLOOKUP(C10,'Base de Datos'!$D$7:$N$4092,6,0))=TRUE,"Sin Celebrar",(VLOOKUP(C10,'Base de Datos'!$D$7:$N$4092,6,0)))</f>
        <v>35595000</v>
      </c>
      <c r="K10" s="612"/>
      <c r="L10" s="536" t="str">
        <f t="shared" ref="L10:L27" si="3">IF(J10=$W$7,F10, " ")</f>
        <v xml:space="preserve"> </v>
      </c>
      <c r="M10" s="536">
        <f t="shared" ref="M10:M29" si="4">IF(J10&lt;F10,(F10-J10)," ")</f>
        <v>11865000</v>
      </c>
      <c r="N10" s="719" t="str">
        <f>IF(ISERROR(VLOOKUP(C10,'Base de Datos'!$D$7:$K$1048576,7,0))=TRUE," ",(VLOOKUP(C10,'Base de Datos'!$D$7:$K$1048576,7,0)))</f>
        <v>160076-0-2016</v>
      </c>
      <c r="O10" s="551">
        <f>IF(ISERROR(VLOOKUP(C10,'Base de Datos'!$D$7:$N$4077,9,0))=TRUE," ",(VLOOKUP(C10,'Base de Datos'!$D$7:$N$4077,9,0)))</f>
        <v>42479</v>
      </c>
      <c r="P10" s="613" t="e">
        <f>VLOOKUP(B10,#REF!,13,0)</f>
        <v>#REF!</v>
      </c>
      <c r="Q10" s="551">
        <f>IF(ISERROR(VLOOKUP(C10,'Base de Datos'!$D$7:$N$4077,10,0))=TRUE," ",(VLOOKUP(C10,'Base de Datos'!$D$7:$N$4077,10,0)))</f>
        <v>42485</v>
      </c>
      <c r="R10" s="551">
        <f>IF(ISERROR(VLOOKUP(C10,'Base de Datos'!$D$7:$N$4077,11,0))=TRUE," ",(VLOOKUP(C10,'Base de Datos'!$D$7:$N$4077,11,0)))</f>
        <v>42760</v>
      </c>
      <c r="S10" s="614" t="s">
        <v>981</v>
      </c>
      <c r="T10" s="722"/>
      <c r="U10" s="779"/>
    </row>
    <row r="11" spans="2:26" s="615" customFormat="1" ht="24.75" customHeight="1" outlineLevel="1" x14ac:dyDescent="0.25">
      <c r="B11" s="627">
        <v>153</v>
      </c>
      <c r="C11" s="627" t="str">
        <f t="shared" si="2"/>
        <v>2016153</v>
      </c>
      <c r="D11" s="533" t="str">
        <f>IF(ISERROR(VLOOKUP(C11,'Base de Datos'!$D$7:$F$4092,2,0))=TRUE,"",(VLOOKUP(C11,'Base de Datos'!$D$7:$F$4092,2,0)))</f>
        <v>160047-0-2016</v>
      </c>
      <c r="E11" s="614" t="s">
        <v>2279</v>
      </c>
      <c r="F11" s="580">
        <v>61800000</v>
      </c>
      <c r="G11" s="812">
        <v>42384</v>
      </c>
      <c r="H11" s="812"/>
      <c r="I11" s="833" t="str">
        <f ca="1">IF(H11=Hoja1!$J$2," ",(IF(MONTH(G11)=MONTH(TODAY()),IF(DAY(G11)&gt;DAY(TODAY()),"Quedan "&amp;ABS(DAY(G11)-DAY(TODAY()))&amp;" Días","Hace "&amp;ABS(DAY(G11)-DAY(TODAY()))&amp;" Días"),"")))</f>
        <v/>
      </c>
      <c r="J11" s="536">
        <f>IF(ISERROR(VLOOKUP(C11,'Base de Datos'!$D$7:$N$4092,6,0))=TRUE,"Sin Celebrar",(VLOOKUP(C11,'Base de Datos'!$D$7:$N$4092,6,0)))</f>
        <v>61800000</v>
      </c>
      <c r="K11" s="612"/>
      <c r="L11" s="536" t="str">
        <f t="shared" si="3"/>
        <v xml:space="preserve"> </v>
      </c>
      <c r="M11" s="536" t="str">
        <f t="shared" si="4"/>
        <v xml:space="preserve"> </v>
      </c>
      <c r="N11" s="719" t="str">
        <f>IF(ISERROR(VLOOKUP(C11,'Base de Datos'!$D$7:$K$1048576,7,0))=TRUE," ",(VLOOKUP(C11,'Base de Datos'!$D$7:$K$1048576,7,0)))</f>
        <v>160047-0-2016</v>
      </c>
      <c r="O11" s="551">
        <f>IF(ISERROR(VLOOKUP(C11,'Base de Datos'!$D$7:$N$4077,9,0))=TRUE," ",(VLOOKUP(C11,'Base de Datos'!$D$7:$N$4077,9,0)))</f>
        <v>42446</v>
      </c>
      <c r="P11" s="613" t="e">
        <f>VLOOKUP(B11,#REF!,13,0)</f>
        <v>#REF!</v>
      </c>
      <c r="Q11" s="551">
        <f>IF(ISERROR(VLOOKUP(C11,'Base de Datos'!$D$7:$N$4077,10,0))=TRUE," ",(VLOOKUP(C11,'Base de Datos'!$D$7:$N$4077,10,0)))</f>
        <v>42451</v>
      </c>
      <c r="R11" s="551">
        <f>IF(ISERROR(VLOOKUP(C11,'Base de Datos'!$D$7:$N$4077,11,0))=TRUE," ",(VLOOKUP(C11,'Base de Datos'!$D$7:$N$4077,11,0)))</f>
        <v>42816</v>
      </c>
      <c r="S11" s="614" t="s">
        <v>981</v>
      </c>
      <c r="T11" s="722"/>
      <c r="U11" s="779"/>
    </row>
    <row r="12" spans="2:26" s="615" customFormat="1" ht="14.25" customHeight="1" outlineLevel="1" x14ac:dyDescent="0.25">
      <c r="B12" s="627">
        <v>116</v>
      </c>
      <c r="C12" s="627" t="str">
        <f t="shared" si="2"/>
        <v>2016116</v>
      </c>
      <c r="D12" s="533" t="str">
        <f>IF(ISERROR(VLOOKUP(C12,'Base de Datos'!$D$7:$F$4092,2,0))=TRUE,"",(VLOOKUP(C12,'Base de Datos'!$D$7:$F$4092,2,0)))</f>
        <v/>
      </c>
      <c r="E12" s="614" t="s">
        <v>2280</v>
      </c>
      <c r="F12" s="580">
        <v>65564000</v>
      </c>
      <c r="G12" s="812">
        <v>42384</v>
      </c>
      <c r="H12" s="812"/>
      <c r="I12" s="833" t="str">
        <f ca="1">IF(H12=Hoja1!$J$2," ",(IF(MONTH(G12)=MONTH(TODAY()),IF(DAY(G12)&gt;DAY(TODAY()),"Quedan "&amp;ABS(DAY(G12)-DAY(TODAY()))&amp;" Días","Hace "&amp;ABS(DAY(G12)-DAY(TODAY()))&amp;" Días"),"")))</f>
        <v/>
      </c>
      <c r="J12" s="536" t="str">
        <f>IF(ISERROR(VLOOKUP(C12,'Base de Datos'!$D$7:$N$4092,6,0))=TRUE,"Sin Celebrar",(VLOOKUP(C12,'Base de Datos'!$D$7:$N$4092,6,0)))</f>
        <v>Sin Celebrar</v>
      </c>
      <c r="K12" s="612"/>
      <c r="L12" s="536">
        <f t="shared" si="3"/>
        <v>65564000</v>
      </c>
      <c r="M12" s="536" t="str">
        <f t="shared" si="4"/>
        <v xml:space="preserve"> </v>
      </c>
      <c r="N12" s="719" t="str">
        <f>IF(ISERROR(VLOOKUP(C12,'Base de Datos'!$D$7:$K$1048576,7,0))=TRUE," ",(VLOOKUP(C12,'Base de Datos'!$D$7:$K$1048576,7,0)))</f>
        <v xml:space="preserve"> </v>
      </c>
      <c r="O12" s="551" t="str">
        <f>IF(ISERROR(VLOOKUP(C12,'Base de Datos'!$D$7:$N$4077,9,0))=TRUE," ",(VLOOKUP(C12,'Base de Datos'!$D$7:$N$4077,9,0)))</f>
        <v xml:space="preserve"> </v>
      </c>
      <c r="P12" s="613" t="e">
        <f>VLOOKUP(B12,#REF!,13,0)</f>
        <v>#REF!</v>
      </c>
      <c r="Q12" s="551" t="str">
        <f>IF(ISERROR(VLOOKUP(C12,'Base de Datos'!$D$7:$N$4077,10,0))=TRUE," ",(VLOOKUP(C12,'Base de Datos'!$D$7:$N$4077,10,0)))</f>
        <v xml:space="preserve"> </v>
      </c>
      <c r="R12" s="551" t="str">
        <f>IF(ISERROR(VLOOKUP(C12,'Base de Datos'!$D$7:$N$4077,11,0))=TRUE," ",(VLOOKUP(C12,'Base de Datos'!$D$7:$N$4077,11,0)))</f>
        <v xml:space="preserve"> </v>
      </c>
      <c r="S12" s="614" t="s">
        <v>2076</v>
      </c>
      <c r="T12" s="722"/>
      <c r="U12" s="779"/>
    </row>
    <row r="13" spans="2:26" s="615" customFormat="1" ht="14.25" customHeight="1" outlineLevel="1" x14ac:dyDescent="0.25">
      <c r="B13" s="627">
        <v>118</v>
      </c>
      <c r="C13" s="627" t="str">
        <f t="shared" si="2"/>
        <v>2016118</v>
      </c>
      <c r="D13" s="533" t="str">
        <f>IF(ISERROR(VLOOKUP(C13,'Base de Datos'!$D$7:$F$4092,2,0))=TRUE,"",(VLOOKUP(C13,'Base de Datos'!$D$7:$F$4092,2,0)))</f>
        <v/>
      </c>
      <c r="E13" s="614" t="s">
        <v>2280</v>
      </c>
      <c r="F13" s="580">
        <v>61800000</v>
      </c>
      <c r="G13" s="812">
        <v>42379</v>
      </c>
      <c r="H13" s="812"/>
      <c r="I13" s="833" t="str">
        <f ca="1">IF(H13=Hoja1!$J$2," ",(IF(MONTH(G13)=MONTH(TODAY()),IF(DAY(G13)&gt;DAY(TODAY()),"Quedan "&amp;ABS(DAY(G13)-DAY(TODAY()))&amp;" Días","Hace "&amp;ABS(DAY(G13)-DAY(TODAY()))&amp;" Días"),"")))</f>
        <v/>
      </c>
      <c r="J13" s="536" t="str">
        <f>IF(ISERROR(VLOOKUP(C13,'Base de Datos'!$D$7:$N$4092,6,0))=TRUE,"Sin Celebrar",(VLOOKUP(C13,'Base de Datos'!$D$7:$N$4092,6,0)))</f>
        <v>Sin Celebrar</v>
      </c>
      <c r="K13" s="612"/>
      <c r="L13" s="536">
        <f t="shared" si="3"/>
        <v>61800000</v>
      </c>
      <c r="M13" s="536" t="str">
        <f t="shared" si="4"/>
        <v xml:space="preserve"> </v>
      </c>
      <c r="N13" s="719" t="str">
        <f>IF(ISERROR(VLOOKUP(C13,'Base de Datos'!$D$7:$K$1048576,7,0))=TRUE," ",(VLOOKUP(C13,'Base de Datos'!$D$7:$K$1048576,7,0)))</f>
        <v xml:space="preserve"> </v>
      </c>
      <c r="O13" s="551" t="str">
        <f>IF(ISERROR(VLOOKUP(C13,'Base de Datos'!$D$7:$N$4077,9,0))=TRUE," ",(VLOOKUP(C13,'Base de Datos'!$D$7:$N$4077,9,0)))</f>
        <v xml:space="preserve"> </v>
      </c>
      <c r="P13" s="613" t="e">
        <f>VLOOKUP(B13,#REF!,13,0)</f>
        <v>#REF!</v>
      </c>
      <c r="Q13" s="551" t="str">
        <f>IF(ISERROR(VLOOKUP(C13,'Base de Datos'!$D$7:$N$4077,10,0))=TRUE," ",(VLOOKUP(C13,'Base de Datos'!$D$7:$N$4077,10,0)))</f>
        <v xml:space="preserve"> </v>
      </c>
      <c r="R13" s="551" t="str">
        <f>IF(ISERROR(VLOOKUP(C13,'Base de Datos'!$D$7:$N$4077,11,0))=TRUE," ",(VLOOKUP(C13,'Base de Datos'!$D$7:$N$4077,11,0)))</f>
        <v xml:space="preserve"> </v>
      </c>
      <c r="S13" s="614" t="s">
        <v>2076</v>
      </c>
      <c r="T13" s="722"/>
      <c r="U13" s="779"/>
    </row>
    <row r="14" spans="2:26" s="615" customFormat="1" ht="14.25" customHeight="1" outlineLevel="1" x14ac:dyDescent="0.25">
      <c r="B14" s="627">
        <v>120</v>
      </c>
      <c r="C14" s="627" t="str">
        <f t="shared" si="2"/>
        <v>2016120</v>
      </c>
      <c r="D14" s="533" t="str">
        <f>IF(ISERROR(VLOOKUP(C14,'Base de Datos'!$D$7:$F$4092,2,0))=TRUE,"",(VLOOKUP(C14,'Base de Datos'!$D$7:$F$4092,2,0)))</f>
        <v/>
      </c>
      <c r="E14" s="614" t="s">
        <v>2281</v>
      </c>
      <c r="F14" s="580">
        <v>29177500</v>
      </c>
      <c r="G14" s="812">
        <v>42384</v>
      </c>
      <c r="H14" s="812"/>
      <c r="I14" s="833" t="str">
        <f ca="1">IF(H14=Hoja1!$J$2," ",(IF(MONTH(G14)=MONTH(TODAY()),IF(DAY(G14)&gt;DAY(TODAY()),"Quedan "&amp;ABS(DAY(G14)-DAY(TODAY()))&amp;" Días","Hace "&amp;ABS(DAY(G14)-DAY(TODAY()))&amp;" Días"),"")))</f>
        <v/>
      </c>
      <c r="J14" s="536" t="str">
        <f>IF(ISERROR(VLOOKUP(C14,'Base de Datos'!$D$7:$N$4092,6,0))=TRUE,"Sin Celebrar",(VLOOKUP(C14,'Base de Datos'!$D$7:$N$4092,6,0)))</f>
        <v>Sin Celebrar</v>
      </c>
      <c r="K14" s="612"/>
      <c r="L14" s="536">
        <f t="shared" si="3"/>
        <v>29177500</v>
      </c>
      <c r="M14" s="536" t="str">
        <f t="shared" si="4"/>
        <v xml:space="preserve"> </v>
      </c>
      <c r="N14" s="719" t="str">
        <f>IF(ISERROR(VLOOKUP(C14,'Base de Datos'!$D$7:$K$1048576,7,0))=TRUE," ",(VLOOKUP(C14,'Base de Datos'!$D$7:$K$1048576,7,0)))</f>
        <v xml:space="preserve"> </v>
      </c>
      <c r="O14" s="551" t="str">
        <f>IF(ISERROR(VLOOKUP(C14,'Base de Datos'!$D$7:$N$4077,9,0))=TRUE," ",(VLOOKUP(C14,'Base de Datos'!$D$7:$N$4077,9,0)))</f>
        <v xml:space="preserve"> </v>
      </c>
      <c r="P14" s="613" t="e">
        <f>VLOOKUP(B14,#REF!,13,0)</f>
        <v>#REF!</v>
      </c>
      <c r="Q14" s="551" t="str">
        <f>IF(ISERROR(VLOOKUP(C14,'Base de Datos'!$D$7:$N$4077,10,0))=TRUE," ",(VLOOKUP(C14,'Base de Datos'!$D$7:$N$4077,10,0)))</f>
        <v xml:space="preserve"> </v>
      </c>
      <c r="R14" s="551" t="str">
        <f>IF(ISERROR(VLOOKUP(C14,'Base de Datos'!$D$7:$N$4077,11,0))=TRUE," ",(VLOOKUP(C14,'Base de Datos'!$D$7:$N$4077,11,0)))</f>
        <v xml:space="preserve"> </v>
      </c>
      <c r="S14" s="614" t="s">
        <v>2076</v>
      </c>
      <c r="T14" s="722"/>
      <c r="U14" s="779"/>
    </row>
    <row r="15" spans="2:26" s="615" customFormat="1" ht="14.25" customHeight="1" outlineLevel="1" x14ac:dyDescent="0.25">
      <c r="B15" s="627">
        <v>119</v>
      </c>
      <c r="C15" s="627" t="str">
        <f t="shared" si="2"/>
        <v>2016119</v>
      </c>
      <c r="D15" s="533" t="str">
        <f>IF(ISERROR(VLOOKUP(C15,'Base de Datos'!$D$7:$F$4092,2,0))=TRUE,"",(VLOOKUP(C15,'Base de Datos'!$D$7:$F$4092,2,0)))</f>
        <v>160072-0-2016</v>
      </c>
      <c r="E15" s="614" t="s">
        <v>2282</v>
      </c>
      <c r="F15" s="580">
        <v>29177500</v>
      </c>
      <c r="G15" s="812">
        <v>42384</v>
      </c>
      <c r="H15" s="812"/>
      <c r="I15" s="833" t="str">
        <f ca="1">IF(H15=Hoja1!$J$2," ",(IF(MONTH(G15)=MONTH(TODAY()),IF(DAY(G15)&gt;DAY(TODAY()),"Quedan "&amp;ABS(DAY(G15)-DAY(TODAY()))&amp;" Días","Hace "&amp;ABS(DAY(G15)-DAY(TODAY()))&amp;" Días"),"")))</f>
        <v/>
      </c>
      <c r="J15" s="536">
        <f>IF(ISERROR(VLOOKUP(C15,'Base de Datos'!$D$7:$N$4092,6,0))=TRUE,"Sin Celebrar",(VLOOKUP(C15,'Base de Datos'!$D$7:$N$4092,6,0)))</f>
        <v>23872500</v>
      </c>
      <c r="K15" s="612"/>
      <c r="L15" s="536" t="str">
        <f t="shared" si="3"/>
        <v xml:space="preserve"> </v>
      </c>
      <c r="M15" s="536">
        <f t="shared" si="4"/>
        <v>5305000</v>
      </c>
      <c r="N15" s="719" t="str">
        <f>IF(ISERROR(VLOOKUP(C15,'Base de Datos'!$D$7:$K$1048576,7,0))=TRUE," ",(VLOOKUP(C15,'Base de Datos'!$D$7:$K$1048576,7,0)))</f>
        <v>160072-0-2016</v>
      </c>
      <c r="O15" s="551">
        <f>IF(ISERROR(VLOOKUP(C15,'Base de Datos'!$D$7:$N$4077,9,0))=TRUE," ",(VLOOKUP(C15,'Base de Datos'!$D$7:$N$4077,9,0)))</f>
        <v>42473</v>
      </c>
      <c r="P15" s="613" t="e">
        <f>VLOOKUP(B15,#REF!,13,0)</f>
        <v>#REF!</v>
      </c>
      <c r="Q15" s="551">
        <f>IF(ISERROR(VLOOKUP(C15,'Base de Datos'!$D$7:$N$4077,10,0))=TRUE," ",(VLOOKUP(C15,'Base de Datos'!$D$7:$N$4077,10,0)))</f>
        <v>42479</v>
      </c>
      <c r="R15" s="551">
        <f>IF(ISERROR(VLOOKUP(C15,'Base de Datos'!$D$7:$N$4077,11,0))=TRUE," ",(VLOOKUP(C15,'Base de Datos'!$D$7:$N$4077,11,0)))</f>
        <v>42754</v>
      </c>
      <c r="S15" s="614" t="s">
        <v>981</v>
      </c>
      <c r="T15" s="722"/>
      <c r="U15" s="779"/>
    </row>
    <row r="16" spans="2:26" s="615" customFormat="1" ht="14.25" customHeight="1" outlineLevel="1" x14ac:dyDescent="0.25">
      <c r="B16" s="627">
        <v>121</v>
      </c>
      <c r="C16" s="627" t="str">
        <f t="shared" si="2"/>
        <v>2016121</v>
      </c>
      <c r="D16" s="533" t="str">
        <f>IF(ISERROR(VLOOKUP(C16,'Base de Datos'!$D$7:$F$4092,2,0))=TRUE,"",(VLOOKUP(C16,'Base de Datos'!$D$7:$F$4092,2,0)))</f>
        <v>160134-0-2016</v>
      </c>
      <c r="E16" s="614" t="s">
        <v>2283</v>
      </c>
      <c r="F16" s="580">
        <v>65564000</v>
      </c>
      <c r="G16" s="812">
        <v>42384</v>
      </c>
      <c r="H16" s="812"/>
      <c r="I16" s="833" t="str">
        <f ca="1">IF(H16=Hoja1!$J$2," ",(IF(MONTH(G16)=MONTH(TODAY()),IF(DAY(G16)&gt;DAY(TODAY()),"Quedan "&amp;ABS(DAY(G16)-DAY(TODAY()))&amp;" Días","Hace "&amp;ABS(DAY(G16)-DAY(TODAY()))&amp;" Días"),"")))</f>
        <v/>
      </c>
      <c r="J16" s="536">
        <f>IF(ISERROR(VLOOKUP(C16,'Base de Datos'!$D$7:$N$4092,6,0))=TRUE,"Sin Celebrar",(VLOOKUP(C16,'Base de Datos'!$D$7:$N$4092,6,0)))</f>
        <v>44000000</v>
      </c>
      <c r="K16" s="612"/>
      <c r="L16" s="536" t="str">
        <f t="shared" si="3"/>
        <v xml:space="preserve"> </v>
      </c>
      <c r="M16" s="536">
        <f t="shared" si="4"/>
        <v>21564000</v>
      </c>
      <c r="N16" s="719" t="str">
        <f>IF(ISERROR(VLOOKUP(C16,'Base de Datos'!$D$7:$K$1048576,7,0))=TRUE," ",(VLOOKUP(C16,'Base de Datos'!$D$7:$K$1048576,7,0)))</f>
        <v>160134-0-2016</v>
      </c>
      <c r="O16" s="551">
        <f>IF(ISERROR(VLOOKUP(C16,'Base de Datos'!$D$7:$N$4077,9,0))=TRUE," ",(VLOOKUP(C16,'Base de Datos'!$D$7:$N$4077,9,0)))</f>
        <v>42534</v>
      </c>
      <c r="P16" s="613" t="e">
        <f>VLOOKUP(B16,#REF!,13,0)</f>
        <v>#REF!</v>
      </c>
      <c r="Q16" s="551">
        <f>IF(ISERROR(VLOOKUP(C16,'Base de Datos'!$D$7:$N$4077,10,0))=TRUE," ",(VLOOKUP(C16,'Base de Datos'!$D$7:$N$4077,10,0)))</f>
        <v>42535</v>
      </c>
      <c r="R16" s="551">
        <f>IF(ISERROR(VLOOKUP(C16,'Base de Datos'!$D$7:$N$4077,11,0))=TRUE," ",(VLOOKUP(C16,'Base de Datos'!$D$7:$N$4077,11,0)))</f>
        <v>42779</v>
      </c>
      <c r="S16" s="614" t="s">
        <v>2076</v>
      </c>
      <c r="T16" s="722"/>
      <c r="U16" s="779"/>
    </row>
    <row r="17" spans="2:21" s="615" customFormat="1" ht="24" outlineLevel="1" x14ac:dyDescent="0.25">
      <c r="B17" s="627">
        <v>122</v>
      </c>
      <c r="C17" s="627" t="str">
        <f t="shared" si="2"/>
        <v>2016122</v>
      </c>
      <c r="D17" s="533" t="str">
        <f>IF(ISERROR(VLOOKUP(C17,'Base de Datos'!$D$7:$F$4092,2,0))=TRUE,"",(VLOOKUP(C17,'Base de Datos'!$D$7:$F$4092,2,0)))</f>
        <v/>
      </c>
      <c r="E17" s="614" t="s">
        <v>2280</v>
      </c>
      <c r="F17" s="580">
        <v>86520000</v>
      </c>
      <c r="G17" s="812">
        <v>42374</v>
      </c>
      <c r="H17" s="812"/>
      <c r="I17" s="833" t="str">
        <f ca="1">IF(H17=Hoja1!$J$2," ",(IF(MONTH(G17)=MONTH(TODAY()),IF(DAY(G17)&gt;DAY(TODAY()),"Quedan "&amp;ABS(DAY(G17)-DAY(TODAY()))&amp;" Días","Hace "&amp;ABS(DAY(G17)-DAY(TODAY()))&amp;" Días"),"")))</f>
        <v/>
      </c>
      <c r="J17" s="536" t="str">
        <f>IF(ISERROR(VLOOKUP(C17,'Base de Datos'!$D$7:$N$4092,6,0))=TRUE,"Sin Celebrar",(VLOOKUP(C17,'Base de Datos'!$D$7:$N$4092,6,0)))</f>
        <v>Sin Celebrar</v>
      </c>
      <c r="K17" s="612"/>
      <c r="L17" s="536">
        <f t="shared" si="3"/>
        <v>86520000</v>
      </c>
      <c r="M17" s="536" t="str">
        <f t="shared" si="4"/>
        <v xml:space="preserve"> </v>
      </c>
      <c r="N17" s="719" t="str">
        <f>IF(ISERROR(VLOOKUP(C17,'Base de Datos'!$D$7:$K$1048576,7,0))=TRUE," ",(VLOOKUP(C17,'Base de Datos'!$D$7:$K$1048576,7,0)))</f>
        <v xml:space="preserve"> </v>
      </c>
      <c r="O17" s="551" t="str">
        <f>IF(ISERROR(VLOOKUP(C17,'Base de Datos'!$D$7:$N$4077,9,0))=TRUE," ",(VLOOKUP(C17,'Base de Datos'!$D$7:$N$4077,9,0)))</f>
        <v xml:space="preserve"> </v>
      </c>
      <c r="P17" s="613" t="e">
        <f>VLOOKUP(B17,#REF!,13,0)</f>
        <v>#REF!</v>
      </c>
      <c r="Q17" s="551" t="str">
        <f>IF(ISERROR(VLOOKUP(C17,'Base de Datos'!$D$7:$N$4077,10,0))=TRUE," ",(VLOOKUP(C17,'Base de Datos'!$D$7:$N$4077,10,0)))</f>
        <v xml:space="preserve"> </v>
      </c>
      <c r="R17" s="551" t="str">
        <f>IF(ISERROR(VLOOKUP(C17,'Base de Datos'!$D$7:$N$4077,11,0))=TRUE," ",(VLOOKUP(C17,'Base de Datos'!$D$7:$N$4077,11,0)))</f>
        <v xml:space="preserve"> </v>
      </c>
      <c r="S17" s="614" t="s">
        <v>981</v>
      </c>
      <c r="T17" s="722"/>
      <c r="U17" s="779"/>
    </row>
    <row r="18" spans="2:21" s="615" customFormat="1" ht="24" outlineLevel="1" x14ac:dyDescent="0.25">
      <c r="B18" s="627">
        <v>123</v>
      </c>
      <c r="C18" s="627" t="str">
        <f t="shared" si="2"/>
        <v>2016123</v>
      </c>
      <c r="D18" s="533" t="str">
        <f>IF(ISERROR(VLOOKUP(C18,'Base de Datos'!$D$7:$F$4092,2,0))=TRUE,"",(VLOOKUP(C18,'Base de Datos'!$D$7:$F$4092,2,0)))</f>
        <v/>
      </c>
      <c r="E18" s="614" t="s">
        <v>2284</v>
      </c>
      <c r="F18" s="580">
        <v>44562000</v>
      </c>
      <c r="G18" s="812">
        <v>42379</v>
      </c>
      <c r="H18" s="812"/>
      <c r="I18" s="833" t="str">
        <f ca="1">IF(H18=Hoja1!$J$2," ",(IF(MONTH(G18)=MONTH(TODAY()),IF(DAY(G18)&gt;DAY(TODAY()),"Quedan "&amp;ABS(DAY(G18)-DAY(TODAY()))&amp;" Días","Hace "&amp;ABS(DAY(G18)-DAY(TODAY()))&amp;" Días"),"")))</f>
        <v/>
      </c>
      <c r="J18" s="536" t="str">
        <f>IF(ISERROR(VLOOKUP(C18,'Base de Datos'!$D$7:$N$4092,6,0))=TRUE,"Sin Celebrar",(VLOOKUP(C18,'Base de Datos'!$D$7:$N$4092,6,0)))</f>
        <v>Sin Celebrar</v>
      </c>
      <c r="K18" s="612"/>
      <c r="L18" s="536">
        <f t="shared" si="3"/>
        <v>44562000</v>
      </c>
      <c r="M18" s="536" t="str">
        <f t="shared" si="4"/>
        <v xml:space="preserve"> </v>
      </c>
      <c r="N18" s="719" t="str">
        <f>IF(ISERROR(VLOOKUP(C18,'Base de Datos'!$D$7:$K$1048576,7,0))=TRUE," ",(VLOOKUP(C18,'Base de Datos'!$D$7:$K$1048576,7,0)))</f>
        <v xml:space="preserve"> </v>
      </c>
      <c r="O18" s="551" t="str">
        <f>IF(ISERROR(VLOOKUP(C18,'Base de Datos'!$D$7:$N$4077,9,0))=TRUE," ",(VLOOKUP(C18,'Base de Datos'!$D$7:$N$4077,9,0)))</f>
        <v xml:space="preserve"> </v>
      </c>
      <c r="P18" s="613" t="e">
        <f>VLOOKUP(B18,#REF!,13,0)</f>
        <v>#REF!</v>
      </c>
      <c r="Q18" s="551" t="str">
        <f>IF(ISERROR(VLOOKUP(C18,'Base de Datos'!$D$7:$N$4077,10,0))=TRUE," ",(VLOOKUP(C18,'Base de Datos'!$D$7:$N$4077,10,0)))</f>
        <v xml:space="preserve"> </v>
      </c>
      <c r="R18" s="551" t="str">
        <f>IF(ISERROR(VLOOKUP(C18,'Base de Datos'!$D$7:$N$4077,11,0))=TRUE," ",(VLOOKUP(C18,'Base de Datos'!$D$7:$N$4077,11,0)))</f>
        <v xml:space="preserve"> </v>
      </c>
      <c r="S18" s="614" t="s">
        <v>2076</v>
      </c>
      <c r="T18" s="722"/>
      <c r="U18" s="779"/>
    </row>
    <row r="19" spans="2:21" s="615" customFormat="1" ht="24" outlineLevel="1" x14ac:dyDescent="0.25">
      <c r="B19" s="627">
        <v>124</v>
      </c>
      <c r="C19" s="627" t="str">
        <f t="shared" si="2"/>
        <v>2016124</v>
      </c>
      <c r="D19" s="533" t="str">
        <f>IF(ISERROR(VLOOKUP(C19,'Base de Datos'!$D$7:$F$4092,2,0))=TRUE,"",(VLOOKUP(C19,'Base de Datos'!$D$7:$F$4092,2,0)))</f>
        <v>160162-0-2016</v>
      </c>
      <c r="E19" s="614" t="s">
        <v>2285</v>
      </c>
      <c r="F19" s="580">
        <v>65564000</v>
      </c>
      <c r="G19" s="812">
        <v>42358</v>
      </c>
      <c r="H19" s="812"/>
      <c r="I19" s="833" t="str">
        <f ca="1">IF(H19=Hoja1!$J$2," ",(IF(MONTH(G19)=MONTH(TODAY()),IF(DAY(G19)&gt;DAY(TODAY()),"Quedan "&amp;ABS(DAY(G19)-DAY(TODAY()))&amp;" Días","Hace "&amp;ABS(DAY(G19)-DAY(TODAY()))&amp;" Días"),"")))</f>
        <v/>
      </c>
      <c r="J19" s="536">
        <f>IF(ISERROR(VLOOKUP(C19,'Base de Datos'!$D$7:$N$4092,6,0))=TRUE,"Sin Celebrar",(VLOOKUP(C19,'Base de Datos'!$D$7:$N$4092,6,0)))</f>
        <v>38500000</v>
      </c>
      <c r="K19" s="612"/>
      <c r="L19" s="536" t="str">
        <f t="shared" si="3"/>
        <v xml:space="preserve"> </v>
      </c>
      <c r="M19" s="536">
        <f t="shared" si="4"/>
        <v>27064000</v>
      </c>
      <c r="N19" s="719" t="str">
        <f>IF(ISERROR(VLOOKUP(C19,'Base de Datos'!$D$7:$K$1048576,7,0))=TRUE," ",(VLOOKUP(C19,'Base de Datos'!$D$7:$K$1048576,7,0)))</f>
        <v>160162-0-2016</v>
      </c>
      <c r="O19" s="551">
        <f>IF(ISERROR(VLOOKUP(C19,'Base de Datos'!$D$7:$N$4077,9,0))=TRUE," ",(VLOOKUP(C19,'Base de Datos'!$D$7:$N$4077,9,0)))</f>
        <v>42558</v>
      </c>
      <c r="P19" s="613" t="e">
        <f>VLOOKUP(B19,#REF!,13,0)</f>
        <v>#REF!</v>
      </c>
      <c r="Q19" s="551">
        <f>IF(ISERROR(VLOOKUP(C19,'Base de Datos'!$D$7:$N$4077,10,0))=TRUE," ",(VLOOKUP(C19,'Base de Datos'!$D$7:$N$4077,10,0)))</f>
        <v>42563</v>
      </c>
      <c r="R19" s="551">
        <f>IF(ISERROR(VLOOKUP(C19,'Base de Datos'!$D$7:$N$4077,11,0))=TRUE," ",(VLOOKUP(C19,'Base de Datos'!$D$7:$N$4077,11,0)))</f>
        <v>42778</v>
      </c>
      <c r="S19" s="614"/>
      <c r="T19" s="722"/>
      <c r="U19" s="779"/>
    </row>
    <row r="20" spans="2:21" s="615" customFormat="1" ht="24" outlineLevel="1" x14ac:dyDescent="0.25">
      <c r="B20" s="627">
        <v>125</v>
      </c>
      <c r="C20" s="627" t="str">
        <f t="shared" si="2"/>
        <v>2016125</v>
      </c>
      <c r="D20" s="533" t="str">
        <f>IF(ISERROR(VLOOKUP(C20,'Base de Datos'!$D$7:$F$4092,2,0))=TRUE,"",(VLOOKUP(C20,'Base de Datos'!$D$7:$F$4092,2,0)))</f>
        <v>160092-0-2016</v>
      </c>
      <c r="E20" s="614" t="s">
        <v>2286</v>
      </c>
      <c r="F20" s="580">
        <v>44496000</v>
      </c>
      <c r="G20" s="812">
        <v>42374</v>
      </c>
      <c r="H20" s="812"/>
      <c r="I20" s="833" t="str">
        <f ca="1">IF(H20=Hoja1!$J$2," ",(IF(MONTH(G20)=MONTH(TODAY()),IF(DAY(G20)&gt;DAY(TODAY()),"Quedan "&amp;ABS(DAY(G20)-DAY(TODAY()))&amp;" Días","Hace "&amp;ABS(DAY(G20)-DAY(TODAY()))&amp;" Días"),"")))</f>
        <v/>
      </c>
      <c r="J20" s="536">
        <f>IF(ISERROR(VLOOKUP(C20,'Base de Datos'!$D$7:$N$4092,6,0))=TRUE,"Sin Celebrar",(VLOOKUP(C20,'Base de Datos'!$D$7:$N$4092,6,0)))</f>
        <v>29664000</v>
      </c>
      <c r="K20" s="612"/>
      <c r="L20" s="536" t="str">
        <f t="shared" si="3"/>
        <v xml:space="preserve"> </v>
      </c>
      <c r="M20" s="536">
        <f t="shared" si="4"/>
        <v>14832000</v>
      </c>
      <c r="N20" s="719" t="str">
        <f>IF(ISERROR(VLOOKUP(C20,'Base de Datos'!$D$7:$K$1048576,7,0))=TRUE," ",(VLOOKUP(C20,'Base de Datos'!$D$7:$K$1048576,7,0)))</f>
        <v>150092-0-2015</v>
      </c>
      <c r="O20" s="551">
        <f>IF(ISERROR(VLOOKUP(C20,'Base de Datos'!$D$7:$N$4077,9,0))=TRUE," ",(VLOOKUP(C20,'Base de Datos'!$D$7:$N$4077,9,0)))</f>
        <v>42493</v>
      </c>
      <c r="P20" s="613" t="e">
        <f>VLOOKUP(B20,#REF!,13,0)</f>
        <v>#REF!</v>
      </c>
      <c r="Q20" s="551">
        <f>IF(ISERROR(VLOOKUP(C20,'Base de Datos'!$D$7:$N$4077,10,0))=TRUE," ",(VLOOKUP(C20,'Base de Datos'!$D$7:$N$4077,10,0)))</f>
        <v>42494</v>
      </c>
      <c r="R20" s="551">
        <f>IF(ISERROR(VLOOKUP(C20,'Base de Datos'!$D$7:$N$4077,11,0))=TRUE," ",(VLOOKUP(C20,'Base de Datos'!$D$7:$N$4077,11,0)))</f>
        <v>42739</v>
      </c>
      <c r="S20" s="614" t="s">
        <v>2076</v>
      </c>
      <c r="T20" s="722"/>
      <c r="U20" s="779"/>
    </row>
    <row r="21" spans="2:21" s="615" customFormat="1" ht="24" outlineLevel="1" x14ac:dyDescent="0.25">
      <c r="B21" s="627">
        <v>126</v>
      </c>
      <c r="C21" s="627" t="str">
        <f t="shared" si="2"/>
        <v>2016126</v>
      </c>
      <c r="D21" s="533" t="str">
        <f>IF(ISERROR(VLOOKUP(C21,'Base de Datos'!$D$7:$F$4092,2,0))=TRUE,"",(VLOOKUP(C21,'Base de Datos'!$D$7:$F$4092,2,0)))</f>
        <v>160101-0-2016</v>
      </c>
      <c r="E21" s="614" t="s">
        <v>2287</v>
      </c>
      <c r="F21" s="580">
        <v>65564000</v>
      </c>
      <c r="G21" s="812">
        <v>42374</v>
      </c>
      <c r="H21" s="812"/>
      <c r="I21" s="833" t="str">
        <f ca="1">IF(H21=Hoja1!$J$2," ",(IF(MONTH(G21)=MONTH(TODAY()),IF(DAY(G21)&gt;DAY(TODAY()),"Quedan "&amp;ABS(DAY(G21)-DAY(TODAY()))&amp;" Días","Hace "&amp;ABS(DAY(G21)-DAY(TODAY()))&amp;" Días"),"")))</f>
        <v/>
      </c>
      <c r="J21" s="536">
        <f>IF(ISERROR(VLOOKUP(C21,'Base de Datos'!$D$7:$N$4092,6,0))=TRUE,"Sin Celebrar",(VLOOKUP(C21,'Base de Datos'!$D$7:$N$4092,6,0)))</f>
        <v>44000000</v>
      </c>
      <c r="K21" s="612"/>
      <c r="L21" s="536" t="str">
        <f t="shared" si="3"/>
        <v xml:space="preserve"> </v>
      </c>
      <c r="M21" s="536">
        <f t="shared" si="4"/>
        <v>21564000</v>
      </c>
      <c r="N21" s="719" t="str">
        <f>IF(ISERROR(VLOOKUP(C21,'Base de Datos'!$D$7:$K$1048576,7,0))=TRUE," ",(VLOOKUP(C21,'Base de Datos'!$D$7:$K$1048576,7,0)))</f>
        <v>160101-0-2016</v>
      </c>
      <c r="O21" s="551">
        <f>IF(ISERROR(VLOOKUP(C21,'Base de Datos'!$D$7:$N$4077,9,0))=TRUE," ",(VLOOKUP(C21,'Base de Datos'!$D$7:$N$4077,9,0)))</f>
        <v>42506</v>
      </c>
      <c r="P21" s="613" t="e">
        <f>VLOOKUP(B21,#REF!,13,0)</f>
        <v>#REF!</v>
      </c>
      <c r="Q21" s="551">
        <f>IF(ISERROR(VLOOKUP(C21,'Base de Datos'!$D$7:$N$4077,10,0))=TRUE," ",(VLOOKUP(C21,'Base de Datos'!$D$7:$N$4077,10,0)))</f>
        <v>42510</v>
      </c>
      <c r="R21" s="551">
        <f>IF(ISERROR(VLOOKUP(C21,'Base de Datos'!$D$7:$N$4077,11,0))=TRUE," ",(VLOOKUP(C21,'Base de Datos'!$D$7:$N$4077,11,0)))</f>
        <v>42755</v>
      </c>
      <c r="S21" s="614" t="s">
        <v>2076</v>
      </c>
      <c r="T21" s="722"/>
      <c r="U21" s="779"/>
    </row>
    <row r="22" spans="2:21" s="615" customFormat="1" ht="24" outlineLevel="1" x14ac:dyDescent="0.25">
      <c r="B22" s="627">
        <v>127</v>
      </c>
      <c r="C22" s="627" t="str">
        <f t="shared" si="2"/>
        <v>2016127</v>
      </c>
      <c r="D22" s="533" t="str">
        <f>IF(ISERROR(VLOOKUP(C22,'Base de Datos'!$D$7:$F$4092,2,0))=TRUE,"",(VLOOKUP(C22,'Base de Datos'!$D$7:$F$4092,2,0)))</f>
        <v/>
      </c>
      <c r="E22" s="614" t="s">
        <v>2288</v>
      </c>
      <c r="F22" s="580">
        <v>65564000</v>
      </c>
      <c r="G22" s="812">
        <v>42353</v>
      </c>
      <c r="H22" s="812"/>
      <c r="I22" s="833" t="str">
        <f ca="1">IF(H22=Hoja1!$J$2," ",(IF(MONTH(G22)=MONTH(TODAY()),IF(DAY(G22)&gt;DAY(TODAY()),"Quedan "&amp;ABS(DAY(G22)-DAY(TODAY()))&amp;" Días","Hace "&amp;ABS(DAY(G22)-DAY(TODAY()))&amp;" Días"),"")))</f>
        <v/>
      </c>
      <c r="J22" s="536" t="str">
        <f>IF(ISERROR(VLOOKUP(C22,'Base de Datos'!$D$7:$N$4092,6,0))=TRUE,"Sin Celebrar",(VLOOKUP(C22,'Base de Datos'!$D$7:$N$4092,6,0)))</f>
        <v>Sin Celebrar</v>
      </c>
      <c r="K22" s="612"/>
      <c r="L22" s="536">
        <f t="shared" si="3"/>
        <v>65564000</v>
      </c>
      <c r="M22" s="536" t="str">
        <f t="shared" si="4"/>
        <v xml:space="preserve"> </v>
      </c>
      <c r="N22" s="719" t="str">
        <f>IF(ISERROR(VLOOKUP(C22,'Base de Datos'!$D$7:$K$1048576,7,0))=TRUE," ",(VLOOKUP(C22,'Base de Datos'!$D$7:$K$1048576,7,0)))</f>
        <v xml:space="preserve"> </v>
      </c>
      <c r="O22" s="551" t="str">
        <f>IF(ISERROR(VLOOKUP(C22,'Base de Datos'!$D$7:$N$4077,9,0))=TRUE," ",(VLOOKUP(C22,'Base de Datos'!$D$7:$N$4077,9,0)))</f>
        <v xml:space="preserve"> </v>
      </c>
      <c r="P22" s="613" t="e">
        <f>VLOOKUP(B22,#REF!,13,0)</f>
        <v>#REF!</v>
      </c>
      <c r="Q22" s="551" t="str">
        <f>IF(ISERROR(VLOOKUP(C22,'Base de Datos'!$D$7:$N$4077,10,0))=TRUE," ",(VLOOKUP(C22,'Base de Datos'!$D$7:$N$4077,10,0)))</f>
        <v xml:space="preserve"> </v>
      </c>
      <c r="R22" s="551" t="str">
        <f>IF(ISERROR(VLOOKUP(C22,'Base de Datos'!$D$7:$N$4077,11,0))=TRUE," ",(VLOOKUP(C22,'Base de Datos'!$D$7:$N$4077,11,0)))</f>
        <v xml:space="preserve"> </v>
      </c>
      <c r="S22" s="614"/>
      <c r="T22" s="722"/>
      <c r="U22" s="779"/>
    </row>
    <row r="23" spans="2:21" s="615" customFormat="1" ht="24" outlineLevel="1" x14ac:dyDescent="0.25">
      <c r="B23" s="627">
        <v>83</v>
      </c>
      <c r="C23" s="627" t="str">
        <f t="shared" si="2"/>
        <v>201683</v>
      </c>
      <c r="D23" s="533"/>
      <c r="E23" s="614" t="s">
        <v>2392</v>
      </c>
      <c r="F23" s="580">
        <v>39552000</v>
      </c>
      <c r="G23" s="812">
        <v>42036</v>
      </c>
      <c r="H23" s="812"/>
      <c r="I23" s="833" t="str">
        <f ca="1">IF(H23=Hoja1!$J$2," ",(IF(MONTH(G23)=MONTH(TODAY()),IF(DAY(G23)&gt;DAY(TODAY()),"Quedan "&amp;ABS(DAY(G23)-DAY(TODAY()))&amp;" Días","Hace "&amp;ABS(DAY(G23)-DAY(TODAY()))&amp;" Días"),"")))</f>
        <v/>
      </c>
      <c r="J23" s="536">
        <f>IF(ISERROR(VLOOKUP(C23,'Base de Datos'!$D$7:$N$4092,6,0))=TRUE,"Sin Celebrar",(VLOOKUP(C23,'Base de Datos'!$D$7:$N$4092,6,0)))</f>
        <v>29664000</v>
      </c>
      <c r="K23" s="612"/>
      <c r="L23" s="536" t="str">
        <f>IF(J23=$W$7,F23, " ")</f>
        <v xml:space="preserve"> </v>
      </c>
      <c r="M23" s="536"/>
      <c r="N23" s="719"/>
      <c r="O23" s="551">
        <f>IF(ISERROR(VLOOKUP(C23,'Base de Datos'!$D$7:$N$4077,9,0))=TRUE," ",(VLOOKUP(C23,'Base de Datos'!$D$7:$N$4077,9,0)))</f>
        <v>42514</v>
      </c>
      <c r="P23" s="613" t="e">
        <f>VLOOKUP(B23,#REF!,13,0)</f>
        <v>#REF!</v>
      </c>
      <c r="Q23" s="551"/>
      <c r="R23" s="551"/>
      <c r="S23" s="614"/>
      <c r="T23" s="722"/>
      <c r="U23" s="779"/>
    </row>
    <row r="24" spans="2:21" s="615" customFormat="1" ht="24" outlineLevel="1" x14ac:dyDescent="0.25">
      <c r="B24" s="627">
        <v>82</v>
      </c>
      <c r="C24" s="627" t="str">
        <f t="shared" si="2"/>
        <v>201682</v>
      </c>
      <c r="D24" s="533"/>
      <c r="E24" s="614" t="s">
        <v>2391</v>
      </c>
      <c r="F24" s="580">
        <v>49440000</v>
      </c>
      <c r="G24" s="812">
        <v>42387</v>
      </c>
      <c r="H24" s="812"/>
      <c r="I24" s="833" t="str">
        <f ca="1">IF(H24=Hoja1!$J$2," ",(IF(MONTH(G24)=MONTH(TODAY()),IF(DAY(G24)&gt;DAY(TODAY()),"Quedan "&amp;ABS(DAY(G24)-DAY(TODAY()))&amp;" Días","Hace "&amp;ABS(DAY(G24)-DAY(TODAY()))&amp;" Días"),"")))</f>
        <v/>
      </c>
      <c r="J24" s="536">
        <f>IF(ISERROR(VLOOKUP(C24,'Base de Datos'!$D$7:$N$4092,6,0))=TRUE,"Sin Celebrar",(VLOOKUP(C24,'Base de Datos'!$D$7:$N$4092,6,0)))</f>
        <v>37080000</v>
      </c>
      <c r="K24" s="612"/>
      <c r="L24" s="536" t="str">
        <f t="shared" si="3"/>
        <v xml:space="preserve"> </v>
      </c>
      <c r="M24" s="536"/>
      <c r="N24" s="719"/>
      <c r="O24" s="551">
        <f>IF(ISERROR(VLOOKUP(C24,'Base de Datos'!$D$7:$N$4077,9,0))=TRUE," ",(VLOOKUP(C24,'Base de Datos'!$D$7:$N$4077,9,0)))</f>
        <v>42514</v>
      </c>
      <c r="P24" s="613" t="e">
        <f>VLOOKUP(B24,#REF!,13,0)</f>
        <v>#REF!</v>
      </c>
      <c r="Q24" s="551"/>
      <c r="R24" s="551"/>
      <c r="S24" s="614" t="s">
        <v>981</v>
      </c>
      <c r="T24" s="722"/>
      <c r="U24" s="779"/>
    </row>
    <row r="25" spans="2:21" s="615" customFormat="1" ht="24" outlineLevel="1" x14ac:dyDescent="0.25">
      <c r="B25" s="627">
        <v>128</v>
      </c>
      <c r="C25" s="627" t="str">
        <f t="shared" si="2"/>
        <v>2016128</v>
      </c>
      <c r="D25" s="533"/>
      <c r="E25" s="614" t="s">
        <v>2393</v>
      </c>
      <c r="F25" s="580">
        <v>6860000</v>
      </c>
      <c r="G25" s="812">
        <v>42583</v>
      </c>
      <c r="H25" s="812"/>
      <c r="I25" s="833" t="str">
        <f ca="1">IF(H25=Hoja1!$J$2," ",(IF(MONTH(G25)=MONTH(TODAY()),IF(DAY(G25)&gt;DAY(TODAY()),"Quedan "&amp;ABS(DAY(G25)-DAY(TODAY()))&amp;" Días","Hace "&amp;ABS(DAY(G25)-DAY(TODAY()))&amp;" Días"),"")))</f>
        <v/>
      </c>
      <c r="J25" s="536">
        <f>IF(ISERROR(VLOOKUP(C25,'Base de Datos'!$D$7:$N$4092,6,0))=TRUE,"Sin Celebrar",(VLOOKUP(C25,'Base de Datos'!$D$7:$N$4092,6,0)))</f>
        <v>6860000</v>
      </c>
      <c r="K25" s="612"/>
      <c r="L25" s="536" t="str">
        <f>IF(J25=$W$7,F25, " ")</f>
        <v xml:space="preserve"> </v>
      </c>
      <c r="M25" s="536"/>
      <c r="N25" s="719"/>
      <c r="O25" s="551">
        <f>IF(ISERROR(VLOOKUP(C25,'Base de Datos'!$D$7:$N$4077,9,0))=TRUE," ",(VLOOKUP(C25,'Base de Datos'!$D$7:$N$4077,9,0)))</f>
        <v>42710</v>
      </c>
      <c r="P25" s="613" t="e">
        <f>VLOOKUP(B25,#REF!,13,0)</f>
        <v>#REF!</v>
      </c>
      <c r="Q25" s="551"/>
      <c r="R25" s="551"/>
      <c r="S25" s="614"/>
      <c r="T25" s="722"/>
      <c r="U25" s="779"/>
    </row>
    <row r="26" spans="2:21" s="615" customFormat="1" ht="24" outlineLevel="1" x14ac:dyDescent="0.25">
      <c r="B26" s="627">
        <v>129</v>
      </c>
      <c r="C26" s="627" t="str">
        <f t="shared" si="2"/>
        <v>2016129</v>
      </c>
      <c r="D26" s="533" t="str">
        <f>IF(ISERROR(VLOOKUP(C26,'Base de Datos'!$D$7:$F$4092,2,0))=TRUE,"",(VLOOKUP(C26,'Base de Datos'!$D$7:$F$4092,2,0)))</f>
        <v/>
      </c>
      <c r="E26" s="614" t="s">
        <v>2289</v>
      </c>
      <c r="F26" s="580">
        <v>7946000</v>
      </c>
      <c r="G26" s="812">
        <v>42449</v>
      </c>
      <c r="H26" s="812"/>
      <c r="I26" s="833" t="str">
        <f ca="1">IF(H26=Hoja1!$J$2," ",(IF(MONTH(G26)=MONTH(TODAY()),IF(DAY(G26)&gt;DAY(TODAY()),"Quedan "&amp;ABS(DAY(G26)-DAY(TODAY()))&amp;" Días","Hace "&amp;ABS(DAY(G26)-DAY(TODAY()))&amp;" Días"),"")))</f>
        <v/>
      </c>
      <c r="J26" s="536" t="str">
        <f>IF(ISERROR(VLOOKUP(C26,'Base de Datos'!$D$7:$N$4092,6,0))=TRUE,"Sin Celebrar",(VLOOKUP(C26,'Base de Datos'!$D$7:$N$4092,6,0)))</f>
        <v>Sin Celebrar</v>
      </c>
      <c r="K26" s="612"/>
      <c r="L26" s="536">
        <f t="shared" si="3"/>
        <v>7946000</v>
      </c>
      <c r="M26" s="536" t="str">
        <f t="shared" si="4"/>
        <v xml:space="preserve"> </v>
      </c>
      <c r="N26" s="719" t="str">
        <f>IF(ISERROR(VLOOKUP(C26,'Base de Datos'!$D$7:$K$1048576,7,0))=TRUE," ",(VLOOKUP(C26,'Base de Datos'!$D$7:$K$1048576,7,0)))</f>
        <v xml:space="preserve"> </v>
      </c>
      <c r="O26" s="551" t="str">
        <f>IF(ISERROR(VLOOKUP(C26,'Base de Datos'!$D$7:$N$4077,9,0))=TRUE," ",(VLOOKUP(C26,'Base de Datos'!$D$7:$N$4077,9,0)))</f>
        <v xml:space="preserve"> </v>
      </c>
      <c r="P26" s="613" t="e">
        <f>VLOOKUP(B26,#REF!,13,0)</f>
        <v>#REF!</v>
      </c>
      <c r="Q26" s="551" t="str">
        <f>IF(ISERROR(VLOOKUP(C26,'Base de Datos'!$D$7:$N$4077,10,0))=TRUE," ",(VLOOKUP(C26,'Base de Datos'!$D$7:$N$4077,10,0)))</f>
        <v xml:space="preserve"> </v>
      </c>
      <c r="R26" s="551" t="str">
        <f>IF(ISERROR(VLOOKUP(C26,'Base de Datos'!$D$7:$N$4077,11,0))=TRUE," ",(VLOOKUP(C26,'Base de Datos'!$D$7:$N$4077,11,0)))</f>
        <v xml:space="preserve"> </v>
      </c>
      <c r="S26" s="614" t="s">
        <v>2351</v>
      </c>
      <c r="T26" s="722"/>
      <c r="U26" s="779"/>
    </row>
    <row r="27" spans="2:21" s="615" customFormat="1" ht="36" outlineLevel="1" x14ac:dyDescent="0.25">
      <c r="B27" s="706">
        <v>130</v>
      </c>
      <c r="C27" s="627" t="str">
        <f t="shared" si="2"/>
        <v>2016130</v>
      </c>
      <c r="D27" s="533" t="str">
        <f>IF(ISERROR(VLOOKUP(C27,'Base de Datos'!$D$7:$F$4092,2,0))=TRUE,"",(VLOOKUP(C27,'Base de Datos'!$D$7:$F$4092,2,0)))</f>
        <v/>
      </c>
      <c r="E27" s="614" t="s">
        <v>2290</v>
      </c>
      <c r="F27" s="708">
        <v>4000000</v>
      </c>
      <c r="G27" s="815">
        <v>42461</v>
      </c>
      <c r="H27" s="812"/>
      <c r="I27" s="833" t="str">
        <f ca="1">IF(H27=Hoja1!$J$2," ",(IF(MONTH(G27)=MONTH(TODAY()),IF(DAY(G27)&gt;DAY(TODAY()),"Quedan "&amp;ABS(DAY(G27)-DAY(TODAY()))&amp;" Días","Hace "&amp;ABS(DAY(G27)-DAY(TODAY()))&amp;" Días"),"")))</f>
        <v/>
      </c>
      <c r="J27" s="536" t="str">
        <f>IF(ISERROR(VLOOKUP(C27,'Base de Datos'!$D$7:$N$4092,6,0))=TRUE,"Sin Celebrar",(VLOOKUP(C27,'Base de Datos'!$D$7:$N$4092,6,0)))</f>
        <v>Sin Celebrar</v>
      </c>
      <c r="K27" s="709"/>
      <c r="L27" s="536">
        <f t="shared" si="3"/>
        <v>4000000</v>
      </c>
      <c r="M27" s="536" t="str">
        <f t="shared" si="4"/>
        <v xml:space="preserve"> </v>
      </c>
      <c r="N27" s="719" t="str">
        <f>IF(ISERROR(VLOOKUP(C27,'Base de Datos'!$D$7:$K$1048576,7,0))=TRUE," ",(VLOOKUP(C27,'Base de Datos'!$D$7:$K$1048576,7,0)))</f>
        <v xml:space="preserve"> </v>
      </c>
      <c r="O27" s="551" t="str">
        <f>IF(ISERROR(VLOOKUP(C27,'Base de Datos'!$D$7:$N$4077,9,0))=TRUE," ",(VLOOKUP(C27,'Base de Datos'!$D$7:$N$4077,9,0)))</f>
        <v xml:space="preserve"> </v>
      </c>
      <c r="P27" s="613" t="e">
        <f>VLOOKUP(B27,#REF!,13,0)</f>
        <v>#REF!</v>
      </c>
      <c r="Q27" s="551" t="str">
        <f>IF(ISERROR(VLOOKUP(C27,'Base de Datos'!$D$7:$N$4077,10,0))=TRUE," ",(VLOOKUP(C27,'Base de Datos'!$D$7:$N$4077,10,0)))</f>
        <v xml:space="preserve"> </v>
      </c>
      <c r="R27" s="551" t="str">
        <f>IF(ISERROR(VLOOKUP(C27,'Base de Datos'!$D$7:$N$4077,11,0))=TRUE," ",(VLOOKUP(C27,'Base de Datos'!$D$7:$N$4077,11,0)))</f>
        <v xml:space="preserve"> </v>
      </c>
      <c r="S27" s="614" t="s">
        <v>2351</v>
      </c>
      <c r="T27" s="722"/>
      <c r="U27" s="779"/>
    </row>
    <row r="28" spans="2:21" s="615" customFormat="1" outlineLevel="1" x14ac:dyDescent="0.25">
      <c r="B28" s="706"/>
      <c r="C28" s="627"/>
      <c r="D28" s="707"/>
      <c r="E28" s="614" t="s">
        <v>1935</v>
      </c>
      <c r="F28" s="580"/>
      <c r="G28" s="812"/>
      <c r="H28" s="812"/>
      <c r="I28" s="534"/>
      <c r="J28" s="580"/>
      <c r="K28" s="709"/>
      <c r="L28" s="580" t="str">
        <f>IF(J28=$Z$1,F28, " ")</f>
        <v xml:space="preserve"> </v>
      </c>
      <c r="M28" s="580" t="str">
        <f t="shared" si="4"/>
        <v xml:space="preserve"> </v>
      </c>
      <c r="N28" s="809"/>
      <c r="O28" s="613" t="str">
        <f>IF(ISERROR(VLOOKUP(B28,'Base de Datos'!$C$7:$N$315,9,0))=TRUE," ",(VLOOKUP(B28,'Base de Datos'!$C$7:$N$315,9,0)))</f>
        <v xml:space="preserve"> </v>
      </c>
      <c r="P28" s="707"/>
      <c r="Q28" s="613" t="str">
        <f>IF(ISERROR(VLOOKUP(B28,'Base de Datos'!$C$7:$N$315,10,0))=TRUE," ",(VLOOKUP(B28,'Base de Datos'!$C$7:$N$315,10,0)))</f>
        <v xml:space="preserve"> </v>
      </c>
      <c r="R28" s="613" t="str">
        <f>IF(ISERROR(VLOOKUP(B28,'Base de Datos'!$C$7:$N$315,11,0))=TRUE," ",(VLOOKUP(B28,'Base de Datos'!$C$7:$N$315,11,0)))</f>
        <v xml:space="preserve"> </v>
      </c>
      <c r="S28" s="614"/>
      <c r="T28" s="722"/>
      <c r="U28" s="779"/>
    </row>
    <row r="29" spans="2:21" s="615" customFormat="1" outlineLevel="1" x14ac:dyDescent="0.25">
      <c r="B29" s="706"/>
      <c r="C29" s="706"/>
      <c r="D29" s="707"/>
      <c r="E29" s="707"/>
      <c r="F29" s="708"/>
      <c r="G29" s="815"/>
      <c r="H29" s="815"/>
      <c r="I29" s="555"/>
      <c r="J29" s="708"/>
      <c r="K29" s="709"/>
      <c r="L29" s="708" t="str">
        <f>IF(J29=$Z$1,F29, " ")</f>
        <v xml:space="preserve"> </v>
      </c>
      <c r="M29" s="708" t="str">
        <f t="shared" si="4"/>
        <v xml:space="preserve"> </v>
      </c>
      <c r="N29" s="809"/>
      <c r="O29" s="710" t="str">
        <f>IF(ISERROR(VLOOKUP(B29,'Base de Datos'!$C$7:$N$315,9,0))=TRUE," ",(VLOOKUP(B29,'Base de Datos'!$C$7:$N$315,9,0)))</f>
        <v xml:space="preserve"> </v>
      </c>
      <c r="P29" s="707"/>
      <c r="Q29" s="710" t="str">
        <f>IF(ISERROR(VLOOKUP(B29,'Base de Datos'!$C$7:$N$315,10,0))=TRUE," ",(VLOOKUP(B29,'Base de Datos'!$C$7:$N$315,10,0)))</f>
        <v xml:space="preserve"> </v>
      </c>
      <c r="R29" s="710" t="str">
        <f>IF(ISERROR(VLOOKUP(B29,'Base de Datos'!$C$7:$N$315,11,0))=TRUE," ",(VLOOKUP(B29,'Base de Datos'!$C$7:$N$315,11,0)))</f>
        <v xml:space="preserve"> </v>
      </c>
      <c r="S29" s="707"/>
      <c r="T29" s="722"/>
      <c r="U29" s="779"/>
    </row>
    <row r="30" spans="2:21" x14ac:dyDescent="0.25">
      <c r="B30" s="1213" t="s">
        <v>1644</v>
      </c>
      <c r="C30" s="1213"/>
      <c r="D30" s="1213"/>
      <c r="E30" s="1213"/>
      <c r="F30" s="785"/>
      <c r="G30" s="791">
        <f>COUNT(G31)</f>
        <v>0</v>
      </c>
      <c r="H30" s="791">
        <f>COUNTIF(H31:H32,Hoja1!$J$2)</f>
        <v>0</v>
      </c>
      <c r="I30" s="786"/>
      <c r="J30" s="785">
        <f>+J31</f>
        <v>0</v>
      </c>
      <c r="K30" s="787" t="e">
        <f>+J30/F30</f>
        <v>#DIV/0!</v>
      </c>
      <c r="L30" s="785">
        <f>F30-J30</f>
        <v>0</v>
      </c>
      <c r="M30" s="785">
        <f>+F30-J30-L30</f>
        <v>0</v>
      </c>
      <c r="N30" s="788"/>
      <c r="O30" s="789" t="str">
        <f>IF(ISERROR(VLOOKUP(B30,'Base de Datos'!$C$7:$N$315,8,0))=TRUE," ",(VLOOKUP(B30,'Base de Datos'!$C$7:$N$315,8,0)))</f>
        <v xml:space="preserve"> </v>
      </c>
      <c r="P30" s="790"/>
      <c r="Q30" s="789" t="str">
        <f>IF(ISERROR(VLOOKUP(B30,'Base de Datos'!$C$7:$N$315,9,0))=TRUE," ",(VLOOKUP(B30,'Base de Datos'!$C$7:$N$315,9,0)))</f>
        <v xml:space="preserve"> </v>
      </c>
      <c r="R30" s="789" t="str">
        <f>IF(ISERROR(VLOOKUP(B30,'Base de Datos'!$C$7:$N$315,10,0))=TRUE," ",(VLOOKUP(B30,'Base de Datos'!$C$7:$N$315,10,0)))</f>
        <v xml:space="preserve"> </v>
      </c>
      <c r="S30" s="790"/>
      <c r="T30" s="722"/>
      <c r="U30" s="634"/>
    </row>
    <row r="31" spans="2:21" s="598" customFormat="1" outlineLevel="1" x14ac:dyDescent="0.25">
      <c r="B31" s="593"/>
      <c r="C31" s="593"/>
      <c r="D31" s="593"/>
      <c r="E31" s="774"/>
      <c r="F31" s="594"/>
      <c r="G31" s="816"/>
      <c r="H31" s="816"/>
      <c r="I31" s="833" t="str">
        <f ca="1">IF(H31=Hoja1!$J$2," ",(IF(MONTH(G31)=MONTH(TODAY()),IF(DAY(G31)&gt;DAY(TODAY()),"Quedan "&amp;ABS(DAY(G31)-DAY(TODAY()))&amp;" Días","Hace "&amp;ABS(DAY(G31)-DAY(TODAY()))&amp;" Días"),"")))</f>
        <v/>
      </c>
      <c r="J31" s="580"/>
      <c r="K31" s="608"/>
      <c r="L31" s="594"/>
      <c r="M31" s="594"/>
      <c r="N31" s="683"/>
      <c r="O31" s="596"/>
      <c r="P31" s="597"/>
      <c r="Q31" s="596"/>
      <c r="R31" s="596"/>
      <c r="S31" s="715"/>
      <c r="T31" s="722"/>
      <c r="U31" s="779"/>
    </row>
    <row r="32" spans="2:21" s="598" customFormat="1" outlineLevel="1" x14ac:dyDescent="0.25">
      <c r="B32" s="593"/>
      <c r="C32" s="593"/>
      <c r="D32" s="593"/>
      <c r="E32" s="593"/>
      <c r="F32" s="594"/>
      <c r="G32" s="816"/>
      <c r="H32" s="816"/>
      <c r="I32" s="595"/>
      <c r="J32" s="594"/>
      <c r="K32" s="608"/>
      <c r="L32" s="594"/>
      <c r="M32" s="594"/>
      <c r="N32" s="683"/>
      <c r="O32" s="596"/>
      <c r="P32" s="597"/>
      <c r="Q32" s="596"/>
      <c r="R32" s="596"/>
      <c r="S32" s="715"/>
      <c r="T32" s="722"/>
      <c r="U32" s="779"/>
    </row>
    <row r="33" spans="2:21" x14ac:dyDescent="0.25">
      <c r="B33" s="1215" t="s">
        <v>1645</v>
      </c>
      <c r="C33" s="1215"/>
      <c r="D33" s="1215"/>
      <c r="E33" s="1215"/>
      <c r="F33" s="785"/>
      <c r="G33" s="791">
        <f>COUNT(G35:G37)</f>
        <v>2</v>
      </c>
      <c r="H33" s="791">
        <f>COUNTIF(H35:H37,Hoja1!$J$2)</f>
        <v>0</v>
      </c>
      <c r="I33" s="786"/>
      <c r="J33" s="785">
        <f>SUM(J35:J37)</f>
        <v>14400000</v>
      </c>
      <c r="K33" s="787" t="e">
        <f>J33/F33</f>
        <v>#DIV/0!</v>
      </c>
      <c r="L33" s="785">
        <f>SUM(L35:L37)</f>
        <v>66744000</v>
      </c>
      <c r="M33" s="785">
        <f>+F33-J33-L33</f>
        <v>-81144000</v>
      </c>
      <c r="N33" s="788"/>
      <c r="O33" s="789" t="str">
        <f>IF(ISERROR(VLOOKUP(B33,'Base de Datos'!$C$7:$N$315,8,0))=TRUE," ",(VLOOKUP(B33,'Base de Datos'!$C$7:$N$315,8,0)))</f>
        <v xml:space="preserve"> </v>
      </c>
      <c r="P33" s="790"/>
      <c r="Q33" s="789" t="str">
        <f>IF(ISERROR(VLOOKUP(B33,'Base de Datos'!$C$7:$N$315,9,0))=TRUE," ",(VLOOKUP(B33,'Base de Datos'!$C$7:$N$315,9,0)))</f>
        <v xml:space="preserve"> </v>
      </c>
      <c r="R33" s="789" t="str">
        <f>IF(ISERROR(VLOOKUP(B33,'Base de Datos'!$C$7:$N$315,10,0))=TRUE," ",(VLOOKUP(B33,'Base de Datos'!$C$7:$N$315,10,0)))</f>
        <v xml:space="preserve"> </v>
      </c>
      <c r="S33" s="790"/>
      <c r="T33" s="722"/>
      <c r="U33" s="634"/>
    </row>
    <row r="34" spans="2:21" ht="24" outlineLevel="1" x14ac:dyDescent="0.25">
      <c r="B34" s="627" t="s">
        <v>2343</v>
      </c>
      <c r="C34" s="627"/>
      <c r="D34" s="627" t="s">
        <v>912</v>
      </c>
      <c r="E34" s="627" t="s">
        <v>1822</v>
      </c>
      <c r="F34" s="776" t="s">
        <v>1846</v>
      </c>
      <c r="G34" s="812" t="s">
        <v>2345</v>
      </c>
      <c r="H34" s="812" t="s">
        <v>2349</v>
      </c>
      <c r="I34" s="534" t="s">
        <v>2350</v>
      </c>
      <c r="J34" s="627" t="s">
        <v>1845</v>
      </c>
      <c r="K34" s="612"/>
      <c r="L34" s="627" t="s">
        <v>1939</v>
      </c>
      <c r="M34" s="627" t="s">
        <v>1940</v>
      </c>
      <c r="N34" s="777" t="s">
        <v>1122</v>
      </c>
      <c r="O34" s="778" t="s">
        <v>1847</v>
      </c>
      <c r="P34" s="627" t="s">
        <v>1848</v>
      </c>
      <c r="Q34" s="627" t="s">
        <v>1849</v>
      </c>
      <c r="R34" s="627" t="s">
        <v>375</v>
      </c>
      <c r="S34" s="627" t="s">
        <v>1850</v>
      </c>
      <c r="T34" s="722"/>
      <c r="U34" s="634"/>
    </row>
    <row r="35" spans="2:21" ht="24" outlineLevel="1" x14ac:dyDescent="0.25">
      <c r="B35" s="552">
        <v>131</v>
      </c>
      <c r="C35" s="627" t="str">
        <f>$W$6&amp;B35</f>
        <v>2016131</v>
      </c>
      <c r="D35" s="533" t="str">
        <f>IF(ISERROR(VLOOKUP(C35,'Base de Datos'!$D$7:$F$4092,2,0))=TRUE,"",(VLOOKUP(C35,'Base de Datos'!$D$7:$F$4092,2,0)))</f>
        <v>160129-0-2016</v>
      </c>
      <c r="E35" s="614" t="s">
        <v>2291</v>
      </c>
      <c r="F35" s="554">
        <v>22248000</v>
      </c>
      <c r="G35" s="817">
        <v>42348</v>
      </c>
      <c r="H35" s="812"/>
      <c r="I35" s="833" t="str">
        <f ca="1">IF(H35=Hoja1!$J$2," ",(IF(MONTH(G35)=MONTH(TODAY()),IF(DAY(G35)&gt;DAY(TODAY()),"Quedan "&amp;ABS(DAY(G35)-DAY(TODAY()))&amp;" Días","Hace "&amp;ABS(DAY(G35)-DAY(TODAY()))&amp;" Días"),"")))</f>
        <v/>
      </c>
      <c r="J35" s="536">
        <f>IF(ISERROR(VLOOKUP(C35,'Base de Datos'!$D$7:$N$4092,6,0))=TRUE,"Sin Celebrar",(VLOOKUP(C35,'Base de Datos'!$D$7:$N$4092,6,0)))</f>
        <v>14400000</v>
      </c>
      <c r="K35" s="604"/>
      <c r="L35" s="536" t="str">
        <f>IF(J35=$W$7,F35, " ")</f>
        <v xml:space="preserve"> </v>
      </c>
      <c r="M35" s="536">
        <f>IF(J35&lt;F35,(F35-J35)," ")</f>
        <v>7848000</v>
      </c>
      <c r="N35" s="719" t="str">
        <f>IF(ISERROR(VLOOKUP(C35,'Base de Datos'!$D$7:$K$1048576,7,0))=TRUE," ",(VLOOKUP(C35,'Base de Datos'!$D$7:$K$1048576,7,0)))</f>
        <v>160129-0-2016</v>
      </c>
      <c r="O35" s="551">
        <f>IF(ISERROR(VLOOKUP(C35,'Base de Datos'!$D$7:$N$4077,9,0))=TRUE," ",(VLOOKUP(C35,'Base de Datos'!$D$7:$N$4077,9,0)))</f>
        <v>42531</v>
      </c>
      <c r="P35" s="613" t="e">
        <f>VLOOKUP(B35,#REF!,13,0)</f>
        <v>#REF!</v>
      </c>
      <c r="Q35" s="551">
        <f>IF(ISERROR(VLOOKUP(C35,'Base de Datos'!$D$7:$N$4077,10,0))=TRUE," ",(VLOOKUP(C35,'Base de Datos'!$D$7:$N$4077,10,0)))</f>
        <v>42535</v>
      </c>
      <c r="R35" s="551">
        <f>IF(ISERROR(VLOOKUP(C35,'Base de Datos'!$D$7:$N$4077,11,0))=TRUE," ",(VLOOKUP(C35,'Base de Datos'!$D$7:$N$4077,11,0)))</f>
        <v>42780</v>
      </c>
      <c r="S35" s="533" t="s">
        <v>2076</v>
      </c>
      <c r="T35" s="722"/>
      <c r="U35" s="634"/>
    </row>
    <row r="36" spans="2:21" ht="24" outlineLevel="1" x14ac:dyDescent="0.25">
      <c r="B36" s="552">
        <v>132</v>
      </c>
      <c r="C36" s="627" t="str">
        <f>$W$6&amp;B36</f>
        <v>2016132</v>
      </c>
      <c r="D36" s="533" t="str">
        <f>IF(ISERROR(VLOOKUP(C36,'Base de Datos'!$D$7:$F$4092,2,0))=TRUE,"",(VLOOKUP(C36,'Base de Datos'!$D$7:$F$4092,2,0)))</f>
        <v/>
      </c>
      <c r="E36" s="614" t="s">
        <v>2394</v>
      </c>
      <c r="F36" s="554">
        <v>66744000</v>
      </c>
      <c r="G36" s="817">
        <v>42339</v>
      </c>
      <c r="H36" s="812"/>
      <c r="I36" s="833" t="str">
        <f ca="1">IF(H36=Hoja1!$J$2," ",(IF(MONTH(G36)=MONTH(TODAY()),IF(DAY(G36)&gt;DAY(TODAY()),"Quedan "&amp;ABS(DAY(G36)-DAY(TODAY()))&amp;" Días","Hace "&amp;ABS(DAY(G36)-DAY(TODAY()))&amp;" Días"),"")))</f>
        <v/>
      </c>
      <c r="J36" s="536" t="str">
        <f>IF(ISERROR(VLOOKUP(C36,'Base de Datos'!$D$7:$N$4092,6,0))=TRUE,"Sin Celebrar",(VLOOKUP(C36,'Base de Datos'!$D$7:$N$4092,6,0)))</f>
        <v>Sin Celebrar</v>
      </c>
      <c r="K36" s="604"/>
      <c r="L36" s="536">
        <f>IF(J36=$W$7,F36, " ")</f>
        <v>66744000</v>
      </c>
      <c r="M36" s="536" t="str">
        <f>IF(J36&lt;F36,(F36-J36)," ")</f>
        <v xml:space="preserve"> </v>
      </c>
      <c r="N36" s="719" t="str">
        <f>IF(ISERROR(VLOOKUP(C36,'Base de Datos'!$D$7:$K$1048576,7,0))=TRUE," ",(VLOOKUP(C36,'Base de Datos'!$D$7:$K$1048576,7,0)))</f>
        <v xml:space="preserve"> </v>
      </c>
      <c r="O36" s="551" t="str">
        <f>IF(ISERROR(VLOOKUP(C36,'Base de Datos'!$D$7:$N$4077,9,0))=TRUE," ",(VLOOKUP(C36,'Base de Datos'!$D$7:$N$4077,9,0)))</f>
        <v xml:space="preserve"> </v>
      </c>
      <c r="P36" s="613" t="e">
        <f>VLOOKUP(B36,#REF!,13,0)</f>
        <v>#REF!</v>
      </c>
      <c r="Q36" s="551" t="str">
        <f>IF(ISERROR(VLOOKUP(C36,'Base de Datos'!$D$7:$N$4077,10,0))=TRUE," ",(VLOOKUP(C36,'Base de Datos'!$D$7:$N$4077,10,0)))</f>
        <v xml:space="preserve"> </v>
      </c>
      <c r="R36" s="551" t="str">
        <f>IF(ISERROR(VLOOKUP(C36,'Base de Datos'!$D$7:$N$4077,11,0))=TRUE," ",(VLOOKUP(C36,'Base de Datos'!$D$7:$N$4077,11,0)))</f>
        <v xml:space="preserve"> </v>
      </c>
      <c r="S36" s="533" t="s">
        <v>2076</v>
      </c>
      <c r="T36" s="722"/>
      <c r="U36" s="634"/>
    </row>
    <row r="37" spans="2:21" outlineLevel="1" x14ac:dyDescent="0.25">
      <c r="B37" s="552"/>
      <c r="C37" s="552"/>
      <c r="D37" s="553"/>
      <c r="E37" s="553" t="s">
        <v>1935</v>
      </c>
      <c r="F37" s="554"/>
      <c r="G37" s="817"/>
      <c r="H37" s="817"/>
      <c r="I37" s="555"/>
      <c r="J37" s="536"/>
      <c r="K37" s="604"/>
      <c r="L37" s="554"/>
      <c r="M37" s="554" t="str">
        <f>IF(J37&lt;F37,(F37-J37)," ")</f>
        <v xml:space="preserve"> </v>
      </c>
      <c r="N37" s="719" t="str">
        <f>IF(ISERROR(VLOOKUP(C37,'Base de Datos'!$D$7:$K$1048576,7,0))=TRUE," ",(VLOOKUP(C37,'Base de Datos'!$D$7:$K$1048576,7,0)))</f>
        <v xml:space="preserve"> </v>
      </c>
      <c r="O37" s="719" t="str">
        <f>IF(ISERROR(VLOOKUP(C37,'Base de Datos'!$D$7:$K$1048576,9,0))=TRUE," ",(VLOOKUP(C37,'Base de Datos'!$D$7:$K$1048576,9,0)))</f>
        <v xml:space="preserve"> </v>
      </c>
      <c r="P37" s="553"/>
      <c r="Q37" s="556"/>
      <c r="R37" s="556"/>
      <c r="S37" s="533"/>
      <c r="T37" s="722"/>
      <c r="U37" s="634"/>
    </row>
    <row r="38" spans="2:21" outlineLevel="1" x14ac:dyDescent="0.25">
      <c r="B38" s="648"/>
      <c r="C38" s="648"/>
      <c r="D38" s="648"/>
      <c r="E38" s="648"/>
      <c r="F38" s="536"/>
      <c r="G38" s="813"/>
      <c r="H38" s="813"/>
      <c r="I38" s="534"/>
      <c r="J38" s="536"/>
      <c r="K38" s="600"/>
      <c r="L38" s="536"/>
      <c r="M38" s="536"/>
      <c r="N38" s="678"/>
      <c r="O38" s="551"/>
      <c r="P38" s="533"/>
      <c r="Q38" s="551"/>
      <c r="R38" s="551"/>
      <c r="S38" s="533"/>
      <c r="T38" s="722"/>
      <c r="U38" s="634"/>
    </row>
    <row r="39" spans="2:21" x14ac:dyDescent="0.25">
      <c r="B39" s="1196" t="s">
        <v>1793</v>
      </c>
      <c r="C39" s="1196"/>
      <c r="D39" s="1196"/>
      <c r="E39" s="1196"/>
      <c r="F39" s="557"/>
      <c r="G39" s="825">
        <f>G40+G75+G185</f>
        <v>63</v>
      </c>
      <c r="H39" s="825">
        <f>H40+H75+H185</f>
        <v>1</v>
      </c>
      <c r="I39" s="633"/>
      <c r="J39" s="567">
        <f>J40+J75+J185</f>
        <v>3497293018</v>
      </c>
      <c r="K39" s="609" t="e">
        <f>J39/F39</f>
        <v>#DIV/0!</v>
      </c>
      <c r="L39" s="567">
        <f>L40+L75+L185</f>
        <v>2246956000</v>
      </c>
      <c r="M39" s="567">
        <f>M40+M75+M185</f>
        <v>-5744249018</v>
      </c>
      <c r="N39" s="685"/>
      <c r="O39" s="567"/>
      <c r="P39" s="574"/>
      <c r="Q39" s="573" t="str">
        <f>IF(ISERROR(VLOOKUP(B39,'Base de Datos'!$C$7:$N$315,9,0))=TRUE," ",(VLOOKUP(B39,'Base de Datos'!$C$7:$N$315,9,0)))</f>
        <v xml:space="preserve"> </v>
      </c>
      <c r="R39" s="573" t="str">
        <f>IF(ISERROR(VLOOKUP(B39,'Base de Datos'!$C$7:$N$315,10,0))=TRUE," ",(VLOOKUP(B39,'Base de Datos'!$C$7:$N$315,10,0)))</f>
        <v xml:space="preserve"> </v>
      </c>
      <c r="S39" s="569"/>
      <c r="T39" s="722"/>
      <c r="U39" s="634"/>
    </row>
    <row r="40" spans="2:21" x14ac:dyDescent="0.25">
      <c r="B40" s="1184" t="s">
        <v>1647</v>
      </c>
      <c r="C40" s="1184"/>
      <c r="D40" s="1184"/>
      <c r="E40" s="1184"/>
      <c r="F40" s="657"/>
      <c r="G40" s="783">
        <f>+G41+G61+G68</f>
        <v>22</v>
      </c>
      <c r="H40" s="783">
        <f>+H41+H61+H68</f>
        <v>0</v>
      </c>
      <c r="I40" s="782"/>
      <c r="J40" s="782">
        <f>+J41+J61+J68</f>
        <v>504098472</v>
      </c>
      <c r="K40" s="782"/>
      <c r="L40" s="782">
        <f>+L41+L61+L68</f>
        <v>712949000</v>
      </c>
      <c r="M40" s="782">
        <f>+M41+M61+M68</f>
        <v>-1217047472</v>
      </c>
      <c r="N40" s="783"/>
      <c r="O40" s="591" t="str">
        <f>IF(ISERROR(VLOOKUP(B40,'Base de Datos'!$C$7:$N$315,8,0))=TRUE," ",(VLOOKUP(B40,'Base de Datos'!$C$7:$N$315,8,0)))</f>
        <v xml:space="preserve"> </v>
      </c>
      <c r="P40" s="592"/>
      <c r="Q40" s="591" t="str">
        <f>IF(ISERROR(VLOOKUP(B40,'Base de Datos'!$C$7:$N$315,9,0))=TRUE," ",(VLOOKUP(B40,'Base de Datos'!$C$7:$N$315,9,0)))</f>
        <v xml:space="preserve"> </v>
      </c>
      <c r="R40" s="591" t="str">
        <f>IF(ISERROR(VLOOKUP(B40,'Base de Datos'!$C$7:$N$315,10,0))=TRUE," ",(VLOOKUP(B40,'Base de Datos'!$C$7:$N$315,10,0)))</f>
        <v xml:space="preserve"> </v>
      </c>
      <c r="S40" s="592"/>
      <c r="T40" s="722"/>
      <c r="U40" s="634"/>
    </row>
    <row r="41" spans="2:21" x14ac:dyDescent="0.25">
      <c r="B41" s="1213" t="s">
        <v>1648</v>
      </c>
      <c r="C41" s="1213"/>
      <c r="D41" s="1213"/>
      <c r="E41" s="1213"/>
      <c r="F41" s="785"/>
      <c r="G41" s="791">
        <f>COUNT(G43:G58)</f>
        <v>16</v>
      </c>
      <c r="H41" s="791">
        <f>COUNTIF(H43:H58,Hoja1!$J$2)</f>
        <v>0</v>
      </c>
      <c r="I41" s="786"/>
      <c r="J41" s="785">
        <f>SUM(J43:J59)</f>
        <v>365331472</v>
      </c>
      <c r="K41" s="787" t="e">
        <f>J41/F41</f>
        <v>#DIV/0!</v>
      </c>
      <c r="L41" s="785">
        <f>SUM(L47:L59)</f>
        <v>412030000</v>
      </c>
      <c r="M41" s="785">
        <f>+F41-J41-L41</f>
        <v>-777361472</v>
      </c>
      <c r="N41" s="788"/>
      <c r="O41" s="789" t="str">
        <f>IF(ISERROR(VLOOKUP(B41,'Base de Datos'!$C$7:$N$315,8,0))=TRUE," ",(VLOOKUP(B41,'Base de Datos'!$C$7:$N$315,8,0)))</f>
        <v xml:space="preserve"> </v>
      </c>
      <c r="P41" s="790"/>
      <c r="Q41" s="789" t="str">
        <f>IF(ISERROR(VLOOKUP(B41,'Base de Datos'!$C$7:$N$315,9,0))=TRUE," ",(VLOOKUP(B41,'Base de Datos'!$C$7:$N$315,9,0)))</f>
        <v xml:space="preserve"> </v>
      </c>
      <c r="R41" s="789" t="str">
        <f>IF(ISERROR(VLOOKUP(B41,'Base de Datos'!$C$7:$N$315,10,0))=TRUE," ",(VLOOKUP(B41,'Base de Datos'!$C$7:$N$315,10,0)))</f>
        <v xml:space="preserve"> </v>
      </c>
      <c r="S41" s="790"/>
      <c r="T41" s="722"/>
      <c r="U41" s="634"/>
    </row>
    <row r="42" spans="2:21" s="615" customFormat="1" ht="24" outlineLevel="1" x14ac:dyDescent="0.25">
      <c r="B42" s="627" t="s">
        <v>2343</v>
      </c>
      <c r="C42" s="627"/>
      <c r="D42" s="627" t="s">
        <v>912</v>
      </c>
      <c r="E42" s="627" t="s">
        <v>1822</v>
      </c>
      <c r="F42" s="776" t="s">
        <v>1846</v>
      </c>
      <c r="G42" s="812" t="s">
        <v>2345</v>
      </c>
      <c r="H42" s="812" t="s">
        <v>2349</v>
      </c>
      <c r="I42" s="534" t="s">
        <v>2350</v>
      </c>
      <c r="J42" s="627" t="s">
        <v>1845</v>
      </c>
      <c r="K42" s="612"/>
      <c r="L42" s="627" t="s">
        <v>1939</v>
      </c>
      <c r="M42" s="627" t="s">
        <v>1940</v>
      </c>
      <c r="N42" s="777" t="s">
        <v>1122</v>
      </c>
      <c r="O42" s="778" t="s">
        <v>1847</v>
      </c>
      <c r="P42" s="627" t="s">
        <v>1848</v>
      </c>
      <c r="Q42" s="627" t="s">
        <v>1849</v>
      </c>
      <c r="R42" s="627" t="s">
        <v>375</v>
      </c>
      <c r="S42" s="627" t="s">
        <v>1850</v>
      </c>
      <c r="T42" s="722"/>
      <c r="U42" s="779"/>
    </row>
    <row r="43" spans="2:21" s="615" customFormat="1" ht="24" outlineLevel="1" x14ac:dyDescent="0.25">
      <c r="B43" s="627">
        <v>94</v>
      </c>
      <c r="C43" s="627" t="str">
        <f t="shared" ref="C43:C58" si="5">$W$6&amp;B43</f>
        <v>201694</v>
      </c>
      <c r="D43" s="533" t="str">
        <f>IF(ISERROR(VLOOKUP(C43,'Base de Datos'!$D$7:$F$4092,2,0))=TRUE,"",(VLOOKUP(C43,'Base de Datos'!$D$7:$F$4092,2,0)))</f>
        <v/>
      </c>
      <c r="E43" s="840" t="s">
        <v>2292</v>
      </c>
      <c r="F43" s="776">
        <v>48000000</v>
      </c>
      <c r="G43" s="812">
        <v>42429</v>
      </c>
      <c r="H43" s="812"/>
      <c r="I43" s="833" t="str">
        <f ca="1">IF(H43=Hoja1!$J$2," ",(IF(MONTH(G43)=MONTH(TODAY()),IF(DAY(G43)&gt;DAY(TODAY()),"Quedan "&amp;ABS(DAY(G43)-DAY(TODAY()))&amp;" Días","Hace "&amp;ABS(DAY(G43)-DAY(TODAY()))&amp;" Días"),"")))</f>
        <v/>
      </c>
      <c r="J43" s="536" t="str">
        <f>IF(ISERROR(VLOOKUP(C43,'Base de Datos'!$D$7:$N$4092,6,0))=TRUE,"Sin Celebrar",(VLOOKUP(C43,'Base de Datos'!$D$7:$N$4092,6,0)))</f>
        <v>Sin Celebrar</v>
      </c>
      <c r="K43" s="612"/>
      <c r="L43" s="536">
        <f t="shared" ref="L43:L58" si="6">IF(J43=$W$7,F43, " ")</f>
        <v>48000000</v>
      </c>
      <c r="M43" s="536" t="str">
        <f t="shared" ref="M43:M59" si="7">IF(J43&lt;F43,(F43-J43)," ")</f>
        <v xml:space="preserve"> </v>
      </c>
      <c r="N43" s="719" t="str">
        <f>IF(ISERROR(VLOOKUP(C43,'Base de Datos'!$D$7:$K$1048576,7,0))=TRUE," ",(VLOOKUP(C43,'Base de Datos'!$D$7:$K$1048576,7,0)))</f>
        <v xml:space="preserve"> </v>
      </c>
      <c r="O43" s="551" t="str">
        <f>IF(ISERROR(VLOOKUP(C43,'Base de Datos'!$D$7:$N$4077,9,0))=TRUE," ",(VLOOKUP(C43,'Base de Datos'!$D$7:$N$4077,9,0)))</f>
        <v xml:space="preserve"> </v>
      </c>
      <c r="P43" s="613" t="e">
        <f>VLOOKUP(B43,#REF!,13,0)</f>
        <v>#REF!</v>
      </c>
      <c r="Q43" s="551" t="str">
        <f>IF(ISERROR(VLOOKUP(C43,'Base de Datos'!$D$7:$N$4077,10,0))=TRUE," ",(VLOOKUP(C43,'Base de Datos'!$D$7:$N$4077,10,0)))</f>
        <v xml:space="preserve"> </v>
      </c>
      <c r="R43" s="551" t="str">
        <f>IF(ISERROR(VLOOKUP(C43,'Base de Datos'!$D$7:$N$4077,11,0))=TRUE," ",(VLOOKUP(C43,'Base de Datos'!$D$7:$N$4077,11,0)))</f>
        <v xml:space="preserve"> </v>
      </c>
      <c r="S43" s="614" t="s">
        <v>1992</v>
      </c>
      <c r="T43" s="722"/>
      <c r="U43" s="779"/>
    </row>
    <row r="44" spans="2:21" s="615" customFormat="1" outlineLevel="1" x14ac:dyDescent="0.25">
      <c r="B44" s="627">
        <v>84</v>
      </c>
      <c r="C44" s="627"/>
      <c r="D44" s="533"/>
      <c r="E44" s="840" t="s">
        <v>2109</v>
      </c>
      <c r="F44" s="776">
        <v>10000000</v>
      </c>
      <c r="G44" s="812">
        <v>42580</v>
      </c>
      <c r="H44" s="812"/>
      <c r="I44" s="833" t="str">
        <f ca="1">IF(H44=Hoja1!$J$2," ",(IF(MONTH(G44)=MONTH(TODAY()),IF(DAY(G44)&gt;DAY(TODAY()),"Quedan "&amp;ABS(DAY(G44)-DAY(TODAY()))&amp;" Días","Hace "&amp;ABS(DAY(G44)-DAY(TODAY()))&amp;" Días"),"")))</f>
        <v/>
      </c>
      <c r="J44" s="536" t="str">
        <f>IF(ISERROR(VLOOKUP(C44,'Base de Datos'!$D$7:$N$4092,6,0))=TRUE,"Sin Celebrar",(VLOOKUP(C44,'Base de Datos'!$D$7:$N$4092,6,0)))</f>
        <v>Sin Celebrar</v>
      </c>
      <c r="K44" s="612"/>
      <c r="L44" s="536">
        <f>IF(J44=$W$7,F44, " ")</f>
        <v>10000000</v>
      </c>
      <c r="M44" s="536"/>
      <c r="N44" s="719"/>
      <c r="O44" s="551" t="str">
        <f>IF(ISERROR(VLOOKUP(C44,'Base de Datos'!$D$7:$N$4077,9,0))=TRUE," ",(VLOOKUP(C44,'Base de Datos'!$D$7:$N$4077,9,0)))</f>
        <v xml:space="preserve"> </v>
      </c>
      <c r="P44" s="613" t="e">
        <f>VLOOKUP(B44,#REF!,13,0)</f>
        <v>#REF!</v>
      </c>
      <c r="Q44" s="551"/>
      <c r="R44" s="551"/>
      <c r="S44" s="614"/>
      <c r="T44" s="722"/>
      <c r="U44" s="779"/>
    </row>
    <row r="45" spans="2:21" s="615" customFormat="1" outlineLevel="1" x14ac:dyDescent="0.25">
      <c r="B45" s="627">
        <v>85</v>
      </c>
      <c r="C45" s="627"/>
      <c r="D45" s="533"/>
      <c r="E45" s="840" t="s">
        <v>2395</v>
      </c>
      <c r="F45" s="776">
        <v>20000000</v>
      </c>
      <c r="G45" s="812">
        <v>42464</v>
      </c>
      <c r="H45" s="812"/>
      <c r="I45" s="833" t="str">
        <f ca="1">IF(H45=Hoja1!$J$2," ",(IF(MONTH(G45)=MONTH(TODAY()),IF(DAY(G45)&gt;DAY(TODAY()),"Quedan "&amp;ABS(DAY(G45)-DAY(TODAY()))&amp;" Días","Hace "&amp;ABS(DAY(G45)-DAY(TODAY()))&amp;" Días"),"")))</f>
        <v/>
      </c>
      <c r="J45" s="536" t="str">
        <f>IF(ISERROR(VLOOKUP(C45,'Base de Datos'!$D$7:$N$4092,6,0))=TRUE,"Sin Celebrar",(VLOOKUP(C45,'Base de Datos'!$D$7:$N$4092,6,0)))</f>
        <v>Sin Celebrar</v>
      </c>
      <c r="K45" s="612"/>
      <c r="L45" s="536">
        <f>IF(J45=$W$7,F45, " ")</f>
        <v>20000000</v>
      </c>
      <c r="M45" s="536"/>
      <c r="N45" s="719"/>
      <c r="O45" s="551" t="str">
        <f>IF(ISERROR(VLOOKUP(C45,'Base de Datos'!$D$7:$N$4077,9,0))=TRUE," ",(VLOOKUP(C45,'Base de Datos'!$D$7:$N$4077,9,0)))</f>
        <v xml:space="preserve"> </v>
      </c>
      <c r="P45" s="613" t="e">
        <f>VLOOKUP(B45,#REF!,13,0)</f>
        <v>#REF!</v>
      </c>
      <c r="Q45" s="551"/>
      <c r="R45" s="551"/>
      <c r="S45" s="614"/>
      <c r="T45" s="722"/>
      <c r="U45" s="779"/>
    </row>
    <row r="46" spans="2:21" s="615" customFormat="1" outlineLevel="1" x14ac:dyDescent="0.25">
      <c r="B46" s="627">
        <v>86</v>
      </c>
      <c r="C46" s="627"/>
      <c r="D46" s="533"/>
      <c r="E46" s="840" t="s">
        <v>2396</v>
      </c>
      <c r="F46" s="776">
        <v>65000000</v>
      </c>
      <c r="G46" s="812">
        <v>42523</v>
      </c>
      <c r="H46" s="812"/>
      <c r="I46" s="833" t="str">
        <f ca="1">IF(H46=Hoja1!$J$2," ",(IF(MONTH(G46)=MONTH(TODAY()),IF(DAY(G46)&gt;DAY(TODAY()),"Quedan "&amp;ABS(DAY(G46)-DAY(TODAY()))&amp;" Días","Hace "&amp;ABS(DAY(G46)-DAY(TODAY()))&amp;" Días"),"")))</f>
        <v>Hace 25 Días</v>
      </c>
      <c r="J46" s="536" t="str">
        <f>IF(ISERROR(VLOOKUP(C46,'Base de Datos'!$D$7:$N$4092,6,0))=TRUE,"Sin Celebrar",(VLOOKUP(C46,'Base de Datos'!$D$7:$N$4092,6,0)))</f>
        <v>Sin Celebrar</v>
      </c>
      <c r="K46" s="612"/>
      <c r="L46" s="536">
        <f>IF(J46=$W$7,F46, " ")</f>
        <v>65000000</v>
      </c>
      <c r="M46" s="536"/>
      <c r="N46" s="719"/>
      <c r="O46" s="551" t="str">
        <f>IF(ISERROR(VLOOKUP(C46,'Base de Datos'!$D$7:$N$4077,9,0))=TRUE," ",(VLOOKUP(C46,'Base de Datos'!$D$7:$N$4077,9,0)))</f>
        <v xml:space="preserve"> </v>
      </c>
      <c r="P46" s="613" t="e">
        <f>VLOOKUP(B46,#REF!,13,0)</f>
        <v>#REF!</v>
      </c>
      <c r="Q46" s="551"/>
      <c r="R46" s="551"/>
      <c r="S46" s="614"/>
      <c r="T46" s="722"/>
      <c r="U46" s="779"/>
    </row>
    <row r="47" spans="2:21" s="615" customFormat="1" ht="24" outlineLevel="1" x14ac:dyDescent="0.25">
      <c r="B47" s="627">
        <v>203</v>
      </c>
      <c r="C47" s="627" t="str">
        <f t="shared" si="5"/>
        <v>2016203</v>
      </c>
      <c r="D47" s="533" t="str">
        <f>IF(ISERROR(VLOOKUP(C47,'Base de Datos'!$D$7:$F$4092,2,0))=TRUE,"",(VLOOKUP(C47,'Base de Datos'!$D$7:$F$4092,2,0)))</f>
        <v>160269-0-2016</v>
      </c>
      <c r="E47" s="614" t="s">
        <v>2293</v>
      </c>
      <c r="F47" s="580">
        <v>350000000</v>
      </c>
      <c r="G47" s="812">
        <v>42434</v>
      </c>
      <c r="H47" s="812"/>
      <c r="I47" s="833" t="str">
        <f ca="1">IF(H47=Hoja1!$J$2," ",(IF(MONTH(G47)=MONTH(TODAY()),IF(DAY(G47)&gt;DAY(TODAY()),"Quedan "&amp;ABS(DAY(G47)-DAY(TODAY()))&amp;" Días","Hace "&amp;ABS(DAY(G47)-DAY(TODAY()))&amp;" Días"),"")))</f>
        <v/>
      </c>
      <c r="J47" s="536">
        <f>IF(ISERROR(VLOOKUP(C47,'Base de Datos'!$D$7:$N$4092,6,0))=TRUE,"Sin Celebrar",(VLOOKUP(C47,'Base de Datos'!$D$7:$N$4092,6,0)))</f>
        <v>103330468</v>
      </c>
      <c r="K47" s="612"/>
      <c r="L47" s="536" t="str">
        <f t="shared" si="6"/>
        <v xml:space="preserve"> </v>
      </c>
      <c r="M47" s="536">
        <f t="shared" si="7"/>
        <v>246669532</v>
      </c>
      <c r="N47" s="719" t="str">
        <f>IF(ISERROR(VLOOKUP(C47,'Base de Datos'!$D$7:$K$1048576,7,0))=TRUE," ",(VLOOKUP(C47,'Base de Datos'!$D$7:$K$1048576,7,0)))</f>
        <v>160269-0-2016</v>
      </c>
      <c r="O47" s="551">
        <f>IF(ISERROR(VLOOKUP(C47,'Base de Datos'!$D$7:$N$4077,9,0))=TRUE," ",(VLOOKUP(C47,'Base de Datos'!$D$7:$N$4077,9,0)))</f>
        <v>42685</v>
      </c>
      <c r="P47" s="613" t="e">
        <f>VLOOKUP(B47,#REF!,13,0)</f>
        <v>#REF!</v>
      </c>
      <c r="Q47" s="551">
        <f>IF(ISERROR(VLOOKUP(C47,'Base de Datos'!$D$7:$N$4077,10,0))=TRUE," ",(VLOOKUP(C47,'Base de Datos'!$D$7:$N$4077,10,0)))</f>
        <v>42689</v>
      </c>
      <c r="R47" s="551">
        <f>IF(ISERROR(VLOOKUP(C47,'Base de Datos'!$D$7:$N$4077,11,0))=TRUE," ",(VLOOKUP(C47,'Base de Datos'!$D$7:$N$4077,11,0)))</f>
        <v>42781</v>
      </c>
      <c r="S47" s="614" t="s">
        <v>1992</v>
      </c>
      <c r="T47" s="722"/>
      <c r="U47" s="779"/>
    </row>
    <row r="48" spans="2:21" s="615" customFormat="1" ht="24" outlineLevel="1" x14ac:dyDescent="0.25">
      <c r="B48" s="627">
        <v>204</v>
      </c>
      <c r="C48" s="627" t="str">
        <f t="shared" si="5"/>
        <v>2016204</v>
      </c>
      <c r="D48" s="533" t="str">
        <f>IF(ISERROR(VLOOKUP(C48,'Base de Datos'!$D$7:$F$4092,2,0))=TRUE,"",(VLOOKUP(C48,'Base de Datos'!$D$7:$F$4092,2,0)))</f>
        <v/>
      </c>
      <c r="E48" s="614" t="s">
        <v>1311</v>
      </c>
      <c r="F48" s="776">
        <v>10830000</v>
      </c>
      <c r="G48" s="812">
        <v>42410</v>
      </c>
      <c r="H48" s="812"/>
      <c r="I48" s="833" t="str">
        <f ca="1">IF(H48=Hoja1!$J$2," ",(IF(MONTH(G48)=MONTH(TODAY()),IF(DAY(G48)&gt;DAY(TODAY()),"Quedan "&amp;ABS(DAY(G48)-DAY(TODAY()))&amp;" Días","Hace "&amp;ABS(DAY(G48)-DAY(TODAY()))&amp;" Días"),"")))</f>
        <v/>
      </c>
      <c r="J48" s="536" t="str">
        <f>IF(ISERROR(VLOOKUP(C48,'Base de Datos'!$D$7:$N$4092,6,0))=TRUE,"Sin Celebrar",(VLOOKUP(C48,'Base de Datos'!$D$7:$N$4092,6,0)))</f>
        <v>Sin Celebrar</v>
      </c>
      <c r="K48" s="612"/>
      <c r="L48" s="536">
        <f t="shared" si="6"/>
        <v>10830000</v>
      </c>
      <c r="M48" s="536" t="str">
        <f t="shared" si="7"/>
        <v xml:space="preserve"> </v>
      </c>
      <c r="N48" s="719" t="str">
        <f>IF(ISERROR(VLOOKUP(C48,'Base de Datos'!$D$7:$K$1048576,7,0))=TRUE," ",(VLOOKUP(C48,'Base de Datos'!$D$7:$K$1048576,7,0)))</f>
        <v xml:space="preserve"> </v>
      </c>
      <c r="O48" s="551" t="str">
        <f>IF(ISERROR(VLOOKUP(C48,'Base de Datos'!$D$7:$N$4077,9,0))=TRUE," ",(VLOOKUP(C48,'Base de Datos'!$D$7:$N$4077,9,0)))</f>
        <v xml:space="preserve"> </v>
      </c>
      <c r="P48" s="613" t="e">
        <f>VLOOKUP(B48,#REF!,13,0)</f>
        <v>#REF!</v>
      </c>
      <c r="Q48" s="551" t="str">
        <f>IF(ISERROR(VLOOKUP(C48,'Base de Datos'!$D$7:$N$4077,10,0))=TRUE," ",(VLOOKUP(C48,'Base de Datos'!$D$7:$N$4077,10,0)))</f>
        <v xml:space="preserve"> </v>
      </c>
      <c r="R48" s="551" t="str">
        <f>IF(ISERROR(VLOOKUP(C48,'Base de Datos'!$D$7:$N$4077,11,0))=TRUE," ",(VLOOKUP(C48,'Base de Datos'!$D$7:$N$4077,11,0)))</f>
        <v xml:space="preserve"> </v>
      </c>
      <c r="S48" s="614" t="s">
        <v>1992</v>
      </c>
      <c r="T48" s="722"/>
      <c r="U48" s="779"/>
    </row>
    <row r="49" spans="2:21" s="615" customFormat="1" ht="24" outlineLevel="1" x14ac:dyDescent="0.25">
      <c r="B49" s="627">
        <v>87</v>
      </c>
      <c r="C49" s="627" t="str">
        <f t="shared" si="5"/>
        <v>201687</v>
      </c>
      <c r="D49" s="533" t="str">
        <f>IF(ISERROR(VLOOKUP(C49,'Base de Datos'!$D$7:$F$4092,2,0))=TRUE,"",(VLOOKUP(C49,'Base de Datos'!$D$7:$F$4092,2,0)))</f>
        <v/>
      </c>
      <c r="E49" s="614" t="s">
        <v>2294</v>
      </c>
      <c r="F49" s="580">
        <v>219700000</v>
      </c>
      <c r="G49" s="812">
        <v>42402</v>
      </c>
      <c r="H49" s="812"/>
      <c r="I49" s="833" t="str">
        <f ca="1">IF(H49=Hoja1!$J$2," ",(IF(MONTH(G49)=MONTH(TODAY()),IF(DAY(G49)&gt;DAY(TODAY()),"Quedan "&amp;ABS(DAY(G49)-DAY(TODAY()))&amp;" Días","Hace "&amp;ABS(DAY(G49)-DAY(TODAY()))&amp;" Días"),"")))</f>
        <v/>
      </c>
      <c r="J49" s="536" t="str">
        <f>IF(ISERROR(VLOOKUP(C49,'Base de Datos'!$D$7:$N$4092,6,0))=TRUE,"Sin Celebrar",(VLOOKUP(C49,'Base de Datos'!$D$7:$N$4092,6,0)))</f>
        <v>Sin Celebrar</v>
      </c>
      <c r="K49" s="612"/>
      <c r="L49" s="536">
        <f t="shared" si="6"/>
        <v>219700000</v>
      </c>
      <c r="M49" s="536" t="str">
        <f t="shared" si="7"/>
        <v xml:space="preserve"> </v>
      </c>
      <c r="N49" s="719" t="str">
        <f>IF(ISERROR(VLOOKUP(C49,'Base de Datos'!$D$7:$K$1048576,7,0))=TRUE," ",(VLOOKUP(C49,'Base de Datos'!$D$7:$K$1048576,7,0)))</f>
        <v xml:space="preserve"> </v>
      </c>
      <c r="O49" s="551" t="str">
        <f>IF(ISERROR(VLOOKUP(C49,'Base de Datos'!$D$7:$N$4077,9,0))=TRUE," ",(VLOOKUP(C49,'Base de Datos'!$D$7:$N$4077,9,0)))</f>
        <v xml:space="preserve"> </v>
      </c>
      <c r="P49" s="613" t="e">
        <f>VLOOKUP(B49,#REF!,13,0)</f>
        <v>#REF!</v>
      </c>
      <c r="Q49" s="551" t="str">
        <f>IF(ISERROR(VLOOKUP(C49,'Base de Datos'!$D$7:$N$4077,10,0))=TRUE," ",(VLOOKUP(C49,'Base de Datos'!$D$7:$N$4077,10,0)))</f>
        <v xml:space="preserve"> </v>
      </c>
      <c r="R49" s="551" t="str">
        <f>IF(ISERROR(VLOOKUP(C49,'Base de Datos'!$D$7:$N$4077,11,0))=TRUE," ",(VLOOKUP(C49,'Base de Datos'!$D$7:$N$4077,11,0)))</f>
        <v xml:space="preserve"> </v>
      </c>
      <c r="S49" s="614" t="s">
        <v>1992</v>
      </c>
      <c r="T49" s="722"/>
      <c r="U49" s="779"/>
    </row>
    <row r="50" spans="2:21" s="615" customFormat="1" ht="24" outlineLevel="1" x14ac:dyDescent="0.25">
      <c r="B50" s="627">
        <v>88</v>
      </c>
      <c r="C50" s="627" t="str">
        <f t="shared" si="5"/>
        <v>201688</v>
      </c>
      <c r="D50" s="533" t="str">
        <f>IF(ISERROR(VLOOKUP(C50,'Base de Datos'!$D$7:$F$4092,2,0))=TRUE,"",(VLOOKUP(C50,'Base de Datos'!$D$7:$F$4092,2,0)))</f>
        <v>160314-0-2016</v>
      </c>
      <c r="E50" s="614" t="s">
        <v>2295</v>
      </c>
      <c r="F50" s="580">
        <v>550000</v>
      </c>
      <c r="G50" s="812">
        <v>42402</v>
      </c>
      <c r="H50" s="812"/>
      <c r="I50" s="833" t="str">
        <f ca="1">IF(H50=Hoja1!$J$2," ",(IF(MONTH(G50)=MONTH(TODAY()),IF(DAY(G50)&gt;DAY(TODAY()),"Quedan "&amp;ABS(DAY(G50)-DAY(TODAY()))&amp;" Días","Hace "&amp;ABS(DAY(G50)-DAY(TODAY()))&amp;" Días"),"")))</f>
        <v/>
      </c>
      <c r="J50" s="536">
        <f>IF(ISERROR(VLOOKUP(C50,'Base de Datos'!$D$7:$N$4092,6,0))=TRUE,"Sin Celebrar",(VLOOKUP(C50,'Base de Datos'!$D$7:$N$4092,6,0)))</f>
        <v>495119</v>
      </c>
      <c r="K50" s="612"/>
      <c r="L50" s="536" t="str">
        <f t="shared" si="6"/>
        <v xml:space="preserve"> </v>
      </c>
      <c r="M50" s="536">
        <f t="shared" si="7"/>
        <v>54881</v>
      </c>
      <c r="N50" s="719" t="str">
        <f>IF(ISERROR(VLOOKUP(C50,'Base de Datos'!$D$7:$K$1048576,7,0))=TRUE," ",(VLOOKUP(C50,'Base de Datos'!$D$7:$K$1048576,7,0)))</f>
        <v>160314-0-2016</v>
      </c>
      <c r="O50" s="551">
        <f>IF(ISERROR(VLOOKUP(C50,'Base de Datos'!$D$7:$N$4077,9,0))=TRUE," ",(VLOOKUP(C50,'Base de Datos'!$D$7:$N$4077,9,0)))</f>
        <v>42731</v>
      </c>
      <c r="P50" s="613" t="e">
        <f>VLOOKUP(B50,#REF!,13,0)</f>
        <v>#REF!</v>
      </c>
      <c r="Q50" s="551">
        <f>IF(ISERROR(VLOOKUP(C50,'Base de Datos'!$D$7:$N$4077,10,0))=TRUE," ",(VLOOKUP(C50,'Base de Datos'!$D$7:$N$4077,10,0)))</f>
        <v>42745</v>
      </c>
      <c r="R50" s="551">
        <f>IF(ISERROR(VLOOKUP(C50,'Base de Datos'!$D$7:$N$4077,11,0))=TRUE," ",(VLOOKUP(C50,'Base de Datos'!$D$7:$N$4077,11,0)))</f>
        <v>43110</v>
      </c>
      <c r="S50" s="614" t="s">
        <v>1992</v>
      </c>
      <c r="T50" s="722"/>
      <c r="U50" s="779"/>
    </row>
    <row r="51" spans="2:21" s="615" customFormat="1" ht="24" outlineLevel="1" x14ac:dyDescent="0.25">
      <c r="B51" s="627">
        <v>89</v>
      </c>
      <c r="C51" s="627" t="str">
        <f t="shared" si="5"/>
        <v>201689</v>
      </c>
      <c r="D51" s="533" t="str">
        <f>IF(ISERROR(VLOOKUP(C51,'Base de Datos'!$D$7:$F$4092,2,0))=TRUE,"",(VLOOKUP(C51,'Base de Datos'!$D$7:$F$4092,2,0)))</f>
        <v>160301-0-2016</v>
      </c>
      <c r="E51" s="614" t="s">
        <v>2296</v>
      </c>
      <c r="F51" s="580">
        <v>12250000</v>
      </c>
      <c r="G51" s="812">
        <v>42402</v>
      </c>
      <c r="H51" s="812"/>
      <c r="I51" s="833" t="str">
        <f ca="1">IF(H51=Hoja1!$J$2," ",(IF(MONTH(G51)=MONTH(TODAY()),IF(DAY(G51)&gt;DAY(TODAY()),"Quedan "&amp;ABS(DAY(G51)-DAY(TODAY()))&amp;" Días","Hace "&amp;ABS(DAY(G51)-DAY(TODAY()))&amp;" Días"),"")))</f>
        <v/>
      </c>
      <c r="J51" s="536">
        <f>IF(ISERROR(VLOOKUP(C51,'Base de Datos'!$D$7:$N$4092,6,0))=TRUE,"Sin Celebrar",(VLOOKUP(C51,'Base de Datos'!$D$7:$N$4092,6,0)))</f>
        <v>12250000</v>
      </c>
      <c r="K51" s="612"/>
      <c r="L51" s="536" t="str">
        <f t="shared" si="6"/>
        <v xml:space="preserve"> </v>
      </c>
      <c r="M51" s="536" t="str">
        <f t="shared" si="7"/>
        <v xml:space="preserve"> </v>
      </c>
      <c r="N51" s="719" t="str">
        <f>IF(ISERROR(VLOOKUP(C51,'Base de Datos'!$D$7:$K$1048576,7,0))=TRUE," ",(VLOOKUP(C51,'Base de Datos'!$D$7:$K$1048576,7,0)))</f>
        <v>SDH-SMINC -50-2016</v>
      </c>
      <c r="O51" s="551">
        <f>IF(ISERROR(VLOOKUP(C51,'Base de Datos'!$D$7:$N$4077,9,0))=TRUE," ",(VLOOKUP(C51,'Base de Datos'!$D$7:$N$4077,9,0)))</f>
        <v>42724</v>
      </c>
      <c r="P51" s="613" t="e">
        <f>VLOOKUP(B51,#REF!,13,0)</f>
        <v>#REF!</v>
      </c>
      <c r="Q51" s="551">
        <f>IF(ISERROR(VLOOKUP(C51,'Base de Datos'!$D$7:$N$4077,10,0))=TRUE," ",(VLOOKUP(C51,'Base de Datos'!$D$7:$N$4077,10,0)))</f>
        <v>42732</v>
      </c>
      <c r="R51" s="551">
        <f>IF(ISERROR(VLOOKUP(C51,'Base de Datos'!$D$7:$N$4077,11,0))=TRUE," ",(VLOOKUP(C51,'Base de Datos'!$D$7:$N$4077,11,0)))</f>
        <v>42883</v>
      </c>
      <c r="S51" s="614" t="s">
        <v>1992</v>
      </c>
      <c r="T51" s="722"/>
      <c r="U51" s="779"/>
    </row>
    <row r="52" spans="2:21" s="615" customFormat="1" ht="24" outlineLevel="1" x14ac:dyDescent="0.25">
      <c r="B52" s="627">
        <v>90</v>
      </c>
      <c r="C52" s="627" t="str">
        <f t="shared" si="5"/>
        <v>201690</v>
      </c>
      <c r="D52" s="533"/>
      <c r="E52" s="614" t="s">
        <v>2397</v>
      </c>
      <c r="F52" s="580">
        <v>12000000</v>
      </c>
      <c r="G52" s="812">
        <v>42447</v>
      </c>
      <c r="H52" s="812"/>
      <c r="I52" s="833" t="str">
        <f ca="1">IF(H52=Hoja1!$J$2," ",(IF(MONTH(G52)=MONTH(TODAY()),IF(DAY(G52)&gt;DAY(TODAY()),"Quedan "&amp;ABS(DAY(G52)-DAY(TODAY()))&amp;" Días","Hace "&amp;ABS(DAY(G52)-DAY(TODAY()))&amp;" Días"),"")))</f>
        <v/>
      </c>
      <c r="J52" s="536">
        <f>IF(ISERROR(VLOOKUP(C52,'Base de Datos'!$D$7:$N$4092,6,0))=TRUE,"Sin Celebrar",(VLOOKUP(C52,'Base de Datos'!$D$7:$N$4092,6,0)))</f>
        <v>12000000</v>
      </c>
      <c r="K52" s="612"/>
      <c r="L52" s="536" t="str">
        <f>IF(J52=$W$7,F52, " ")</f>
        <v xml:space="preserve"> </v>
      </c>
      <c r="M52" s="536"/>
      <c r="N52" s="719"/>
      <c r="O52" s="551">
        <f>IF(ISERROR(VLOOKUP(C52,'Base de Datos'!$D$7:$N$4077,9,0))=TRUE," ",(VLOOKUP(C52,'Base de Datos'!$D$7:$N$4077,9,0)))</f>
        <v>42578</v>
      </c>
      <c r="P52" s="613" t="e">
        <f>VLOOKUP(B52,#REF!,13,0)</f>
        <v>#REF!</v>
      </c>
      <c r="Q52" s="551"/>
      <c r="R52" s="551"/>
      <c r="S52" s="614"/>
      <c r="T52" s="722"/>
      <c r="U52" s="779"/>
    </row>
    <row r="53" spans="2:21" s="615" customFormat="1" ht="24" outlineLevel="1" x14ac:dyDescent="0.25">
      <c r="B53" s="627">
        <v>91</v>
      </c>
      <c r="C53" s="627" t="str">
        <f t="shared" si="5"/>
        <v>201691</v>
      </c>
      <c r="D53" s="533" t="str">
        <f>IF(ISERROR(VLOOKUP(C53,'Base de Datos'!$D$7:$F$4092,2,0))=TRUE,"",(VLOOKUP(C53,'Base de Datos'!$D$7:$F$4092,2,0)))</f>
        <v>160243-0-2016</v>
      </c>
      <c r="E53" s="840" t="s">
        <v>2297</v>
      </c>
      <c r="F53" s="580">
        <v>88000000</v>
      </c>
      <c r="G53" s="812">
        <v>42461</v>
      </c>
      <c r="H53" s="812"/>
      <c r="I53" s="833" t="str">
        <f ca="1">IF(H53=Hoja1!$J$2," ",(IF(MONTH(G53)=MONTH(TODAY()),IF(DAY(G53)&gt;DAY(TODAY()),"Quedan "&amp;ABS(DAY(G53)-DAY(TODAY()))&amp;" Días","Hace "&amp;ABS(DAY(G53)-DAY(TODAY()))&amp;" Días"),"")))</f>
        <v/>
      </c>
      <c r="J53" s="536">
        <f>IF(ISERROR(VLOOKUP(C53,'Base de Datos'!$D$7:$N$4092,6,0))=TRUE,"Sin Celebrar",(VLOOKUP(C53,'Base de Datos'!$D$7:$N$4092,6,0)))</f>
        <v>46980000</v>
      </c>
      <c r="K53" s="612"/>
      <c r="L53" s="536" t="str">
        <f t="shared" si="6"/>
        <v xml:space="preserve"> </v>
      </c>
      <c r="M53" s="536">
        <f t="shared" si="7"/>
        <v>41020000</v>
      </c>
      <c r="N53" s="719" t="str">
        <f>IF(ISERROR(VLOOKUP(C53,'Base de Datos'!$D$7:$K$1048576,7,0))=TRUE," ",(VLOOKUP(C53,'Base de Datos'!$D$7:$K$1048576,7,0)))</f>
        <v>SDH-SMINC-37-2016</v>
      </c>
      <c r="O53" s="551">
        <f>IF(ISERROR(VLOOKUP(C53,'Base de Datos'!$D$7:$N$4077,9,0))=TRUE," ",(VLOOKUP(C53,'Base de Datos'!$D$7:$N$4077,9,0)))</f>
        <v>42643</v>
      </c>
      <c r="P53" s="613" t="e">
        <f>VLOOKUP(B53,#REF!,13,0)</f>
        <v>#REF!</v>
      </c>
      <c r="Q53" s="551">
        <f>IF(ISERROR(VLOOKUP(C53,'Base de Datos'!$D$7:$N$4077,10,0))=TRUE," ",(VLOOKUP(C53,'Base de Datos'!$D$7:$N$4077,10,0)))</f>
        <v>42664</v>
      </c>
      <c r="R53" s="551">
        <f>IF(ISERROR(VLOOKUP(C53,'Base de Datos'!$D$7:$N$4077,11,0))=TRUE," ",(VLOOKUP(C53,'Base de Datos'!$D$7:$N$4077,11,0)))</f>
        <v>42815</v>
      </c>
      <c r="S53" s="614" t="s">
        <v>1992</v>
      </c>
      <c r="T53" s="722"/>
      <c r="U53" s="779"/>
    </row>
    <row r="54" spans="2:21" s="615" customFormat="1" ht="24" outlineLevel="1" x14ac:dyDescent="0.25">
      <c r="B54" s="627">
        <v>92</v>
      </c>
      <c r="C54" s="627" t="str">
        <f t="shared" si="5"/>
        <v>201692</v>
      </c>
      <c r="D54" s="533"/>
      <c r="E54" s="840" t="s">
        <v>1573</v>
      </c>
      <c r="F54" s="580">
        <v>173000000</v>
      </c>
      <c r="G54" s="812">
        <v>42401</v>
      </c>
      <c r="H54" s="812"/>
      <c r="I54" s="833" t="str">
        <f ca="1">IF(H54=Hoja1!$J$2," ",(IF(MONTH(G54)=MONTH(TODAY()),IF(DAY(G54)&gt;DAY(TODAY()),"Quedan "&amp;ABS(DAY(G54)-DAY(TODAY()))&amp;" Días","Hace "&amp;ABS(DAY(G54)-DAY(TODAY()))&amp;" Días"),"")))</f>
        <v/>
      </c>
      <c r="J54" s="536">
        <f>IF(ISERROR(VLOOKUP(C54,'Base de Datos'!$D$7:$N$4092,6,0))=TRUE,"Sin Celebrar",(VLOOKUP(C54,'Base de Datos'!$D$7:$N$4092,6,0)))</f>
        <v>173000000</v>
      </c>
      <c r="K54" s="612"/>
      <c r="L54" s="536" t="str">
        <f>IF(J54=$W$7,F54, " ")</f>
        <v xml:space="preserve"> </v>
      </c>
      <c r="M54" s="536"/>
      <c r="N54" s="719"/>
      <c r="O54" s="551">
        <f>IF(ISERROR(VLOOKUP(C54,'Base de Datos'!$D$7:$N$4077,9,0))=TRUE," ",(VLOOKUP(C54,'Base de Datos'!$D$7:$N$4077,9,0)))</f>
        <v>42668</v>
      </c>
      <c r="P54" s="613" t="e">
        <f>VLOOKUP(B54,#REF!,13,0)</f>
        <v>#REF!</v>
      </c>
      <c r="Q54" s="551"/>
      <c r="R54" s="551"/>
      <c r="S54" s="614"/>
      <c r="T54" s="722"/>
      <c r="U54" s="779"/>
    </row>
    <row r="55" spans="2:21" s="615" customFormat="1" ht="24" outlineLevel="1" x14ac:dyDescent="0.25">
      <c r="B55" s="627">
        <v>200</v>
      </c>
      <c r="C55" s="627" t="str">
        <f t="shared" si="5"/>
        <v>2016200</v>
      </c>
      <c r="D55" s="533"/>
      <c r="E55" s="840" t="s">
        <v>2398</v>
      </c>
      <c r="F55" s="580">
        <v>89000000</v>
      </c>
      <c r="G55" s="812">
        <v>42475</v>
      </c>
      <c r="H55" s="812"/>
      <c r="I55" s="833" t="str">
        <f ca="1">IF(H55=Hoja1!$J$2," ",(IF(MONTH(G55)=MONTH(TODAY()),IF(DAY(G55)&gt;DAY(TODAY()),"Quedan "&amp;ABS(DAY(G55)-DAY(TODAY()))&amp;" Días","Hace "&amp;ABS(DAY(G55)-DAY(TODAY()))&amp;" Días"),"")))</f>
        <v/>
      </c>
      <c r="J55" s="536" t="str">
        <f>IF(ISERROR(VLOOKUP(C55,'Base de Datos'!$D$7:$N$4092,6,0))=TRUE,"Sin Celebrar",(VLOOKUP(C55,'Base de Datos'!$D$7:$N$4092,6,0)))</f>
        <v>Sin Celebrar</v>
      </c>
      <c r="K55" s="612"/>
      <c r="L55" s="536">
        <f>IF(J55=$W$7,F55, " ")</f>
        <v>89000000</v>
      </c>
      <c r="M55" s="536"/>
      <c r="N55" s="719"/>
      <c r="O55" s="551" t="str">
        <f>IF(ISERROR(VLOOKUP(C55,'Base de Datos'!$D$7:$N$4077,9,0))=TRUE," ",(VLOOKUP(C55,'Base de Datos'!$D$7:$N$4077,9,0)))</f>
        <v xml:space="preserve"> </v>
      </c>
      <c r="P55" s="613" t="e">
        <f>VLOOKUP(B55,#REF!,13,0)</f>
        <v>#REF!</v>
      </c>
      <c r="Q55" s="551"/>
      <c r="R55" s="551"/>
      <c r="S55" s="614"/>
      <c r="T55" s="722"/>
      <c r="U55" s="779"/>
    </row>
    <row r="56" spans="2:21" s="615" customFormat="1" ht="24" outlineLevel="1" x14ac:dyDescent="0.25">
      <c r="B56" s="627">
        <v>201</v>
      </c>
      <c r="C56" s="627" t="str">
        <f t="shared" si="5"/>
        <v>2016201</v>
      </c>
      <c r="D56" s="533"/>
      <c r="E56" s="840" t="s">
        <v>2399</v>
      </c>
      <c r="F56" s="580">
        <v>41200000</v>
      </c>
      <c r="G56" s="812">
        <v>42430</v>
      </c>
      <c r="H56" s="812"/>
      <c r="I56" s="833" t="str">
        <f ca="1">IF(H56=Hoja1!$J$2," ",(IF(MONTH(G56)=MONTH(TODAY()),IF(DAY(G56)&gt;DAY(TODAY()),"Quedan "&amp;ABS(DAY(G56)-DAY(TODAY()))&amp;" Días","Hace "&amp;ABS(DAY(G56)-DAY(TODAY()))&amp;" Días"),"")))</f>
        <v/>
      </c>
      <c r="J56" s="536">
        <f>IF(ISERROR(VLOOKUP(C56,'Base de Datos'!$D$7:$N$4092,6,0))=TRUE,"Sin Celebrar",(VLOOKUP(C56,'Base de Datos'!$D$7:$N$4092,6,0)))</f>
        <v>17275885</v>
      </c>
      <c r="K56" s="612"/>
      <c r="L56" s="536" t="str">
        <f>IF(J56=$W$7,F56, " ")</f>
        <v xml:space="preserve"> </v>
      </c>
      <c r="M56" s="536"/>
      <c r="N56" s="719"/>
      <c r="O56" s="551">
        <f>IF(ISERROR(VLOOKUP(C56,'Base de Datos'!$D$7:$N$4077,9,0))=TRUE," ",(VLOOKUP(C56,'Base de Datos'!$D$7:$N$4077,9,0)))</f>
        <v>42647</v>
      </c>
      <c r="P56" s="613" t="e">
        <f>VLOOKUP(B56,#REF!,13,0)</f>
        <v>#REF!</v>
      </c>
      <c r="Q56" s="551"/>
      <c r="R56" s="551"/>
      <c r="S56" s="614"/>
      <c r="T56" s="722"/>
      <c r="U56" s="779"/>
    </row>
    <row r="57" spans="2:21" s="615" customFormat="1" ht="24" outlineLevel="1" x14ac:dyDescent="0.25">
      <c r="B57" s="627">
        <v>202</v>
      </c>
      <c r="C57" s="627" t="str">
        <f t="shared" si="5"/>
        <v>2016202</v>
      </c>
      <c r="D57" s="533"/>
      <c r="E57" s="840" t="s">
        <v>2400</v>
      </c>
      <c r="F57" s="580">
        <v>77500000</v>
      </c>
      <c r="G57" s="812">
        <v>42663</v>
      </c>
      <c r="H57" s="812"/>
      <c r="I57" s="833" t="str">
        <f ca="1">IF(H57=Hoja1!$J$2," ",(IF(MONTH(G57)=MONTH(TODAY()),IF(DAY(G57)&gt;DAY(TODAY()),"Quedan "&amp;ABS(DAY(G57)-DAY(TODAY()))&amp;" Días","Hace "&amp;ABS(DAY(G57)-DAY(TODAY()))&amp;" Días"),"")))</f>
        <v/>
      </c>
      <c r="J57" s="536" t="str">
        <f>IF(ISERROR(VLOOKUP(C57,'Base de Datos'!$D$7:$N$4092,6,0))=TRUE,"Sin Celebrar",(VLOOKUP(C57,'Base de Datos'!$D$7:$N$4092,6,0)))</f>
        <v>Sin Celebrar</v>
      </c>
      <c r="K57" s="612"/>
      <c r="L57" s="536">
        <f>IF(J57=$W$7,F57, " ")</f>
        <v>77500000</v>
      </c>
      <c r="M57" s="536"/>
      <c r="N57" s="719"/>
      <c r="O57" s="551" t="str">
        <f>IF(ISERROR(VLOOKUP(C57,'Base de Datos'!$D$7:$N$4077,9,0))=TRUE," ",(VLOOKUP(C57,'Base de Datos'!$D$7:$N$4077,9,0)))</f>
        <v xml:space="preserve"> </v>
      </c>
      <c r="P57" s="613" t="e">
        <f>VLOOKUP(B57,#REF!,13,0)</f>
        <v>#REF!</v>
      </c>
      <c r="Q57" s="551"/>
      <c r="R57" s="551"/>
      <c r="S57" s="614"/>
      <c r="T57" s="722"/>
      <c r="U57" s="779"/>
    </row>
    <row r="58" spans="2:21" s="615" customFormat="1" ht="24" outlineLevel="1" x14ac:dyDescent="0.25">
      <c r="B58" s="627">
        <v>93</v>
      </c>
      <c r="C58" s="627" t="str">
        <f t="shared" si="5"/>
        <v>201693</v>
      </c>
      <c r="D58" s="533" t="str">
        <f>IF(ISERROR(VLOOKUP(C58,'Base de Datos'!$D$7:$F$4092,2,0))=TRUE,"",(VLOOKUP(C58,'Base de Datos'!$D$7:$F$4092,2,0)))</f>
        <v/>
      </c>
      <c r="E58" s="840" t="s">
        <v>1467</v>
      </c>
      <c r="F58" s="580">
        <v>15000000</v>
      </c>
      <c r="G58" s="812">
        <v>42653</v>
      </c>
      <c r="H58" s="812"/>
      <c r="I58" s="833" t="str">
        <f ca="1">IF(H58=Hoja1!$J$2," ",(IF(MONTH(G58)=MONTH(TODAY()),IF(DAY(G58)&gt;DAY(TODAY()),"Quedan "&amp;ABS(DAY(G58)-DAY(TODAY()))&amp;" Días","Hace "&amp;ABS(DAY(G58)-DAY(TODAY()))&amp;" Días"),"")))</f>
        <v/>
      </c>
      <c r="J58" s="536" t="str">
        <f>IF(ISERROR(VLOOKUP(C58,'Base de Datos'!$D$7:$N$4092,6,0))=TRUE,"Sin Celebrar",(VLOOKUP(C58,'Base de Datos'!$D$7:$N$4092,6,0)))</f>
        <v>Sin Celebrar</v>
      </c>
      <c r="K58" s="612"/>
      <c r="L58" s="536">
        <f t="shared" si="6"/>
        <v>15000000</v>
      </c>
      <c r="M58" s="536" t="str">
        <f t="shared" si="7"/>
        <v xml:space="preserve"> </v>
      </c>
      <c r="N58" s="719" t="str">
        <f>IF(ISERROR(VLOOKUP(C58,'Base de Datos'!$D$7:$K$1048576,7,0))=TRUE," ",(VLOOKUP(C58,'Base de Datos'!$D$7:$K$1048576,7,0)))</f>
        <v xml:space="preserve"> </v>
      </c>
      <c r="O58" s="551" t="str">
        <f>IF(ISERROR(VLOOKUP(C58,'Base de Datos'!$D$7:$N$4077,9,0))=TRUE," ",(VLOOKUP(C58,'Base de Datos'!$D$7:$N$4077,9,0)))</f>
        <v xml:space="preserve"> </v>
      </c>
      <c r="P58" s="613" t="e">
        <f>VLOOKUP(B58,#REF!,13,0)</f>
        <v>#REF!</v>
      </c>
      <c r="Q58" s="551" t="str">
        <f>IF(ISERROR(VLOOKUP(C58,'Base de Datos'!$D$7:$N$4077,10,0))=TRUE," ",(VLOOKUP(C58,'Base de Datos'!$D$7:$N$4077,10,0)))</f>
        <v xml:space="preserve"> </v>
      </c>
      <c r="R58" s="551" t="str">
        <f>IF(ISERROR(VLOOKUP(C58,'Base de Datos'!$D$7:$N$4077,11,0))=TRUE," ",(VLOOKUP(C58,'Base de Datos'!$D$7:$N$4077,11,0)))</f>
        <v xml:space="preserve"> </v>
      </c>
      <c r="S58" s="614" t="s">
        <v>1992</v>
      </c>
      <c r="T58" s="722"/>
      <c r="U58" s="779"/>
    </row>
    <row r="59" spans="2:21" s="615" customFormat="1" outlineLevel="1" x14ac:dyDescent="0.25">
      <c r="B59" s="706"/>
      <c r="C59" s="706"/>
      <c r="D59" s="707"/>
      <c r="E59" s="707" t="s">
        <v>1935</v>
      </c>
      <c r="F59" s="810"/>
      <c r="G59" s="818"/>
      <c r="H59" s="818"/>
      <c r="I59" s="555"/>
      <c r="J59" s="580"/>
      <c r="K59" s="709"/>
      <c r="L59" s="580"/>
      <c r="M59" s="580" t="str">
        <f t="shared" si="7"/>
        <v xml:space="preserve"> </v>
      </c>
      <c r="N59" s="780" t="str">
        <f>IF(ISERROR(VLOOKUP(B59,'Base de Datos'!$C$7:$K$1048576,7,0))=TRUE," ",(VLOOKUP(B59,'Base de Datos'!$C$7:$K$1048576,7,0)))</f>
        <v xml:space="preserve"> </v>
      </c>
      <c r="O59" s="613" t="str">
        <f>IF(ISERROR(VLOOKUP(B59,'Base de Datos'!$C$7:$N$4077,9,0))=TRUE," ",(VLOOKUP(B59,'Base de Datos'!$C$7:$N$4077,9,0)))</f>
        <v xml:space="preserve"> </v>
      </c>
      <c r="P59" s="613"/>
      <c r="Q59" s="710" t="str">
        <f>IF(ISERROR(VLOOKUP(B59,'Base de Datos'!$C$7:$N$315,10,0))=TRUE," ",(VLOOKUP(B59,'Base de Datos'!$C$7:$N$315,10,0)))</f>
        <v xml:space="preserve"> </v>
      </c>
      <c r="R59" s="710" t="str">
        <f>IF(ISERROR(VLOOKUP(B59,'Base de Datos'!$C$7:$N$315,11,0))=TRUE," ",(VLOOKUP(B59,'Base de Datos'!$C$7:$N$315,11,0)))</f>
        <v xml:space="preserve"> </v>
      </c>
      <c r="S59" s="614"/>
      <c r="T59" s="722"/>
      <c r="U59" s="779"/>
    </row>
    <row r="60" spans="2:21" s="615" customFormat="1" outlineLevel="1" x14ac:dyDescent="0.25">
      <c r="B60" s="1214"/>
      <c r="C60" s="1214"/>
      <c r="D60" s="1214"/>
      <c r="E60" s="1214"/>
      <c r="F60" s="580"/>
      <c r="G60" s="812"/>
      <c r="H60" s="812"/>
      <c r="I60" s="534"/>
      <c r="J60" s="580"/>
      <c r="K60" s="612"/>
      <c r="L60" s="580"/>
      <c r="M60" s="580"/>
      <c r="N60" s="690"/>
      <c r="O60" s="613"/>
      <c r="P60" s="614"/>
      <c r="Q60" s="613"/>
      <c r="R60" s="613"/>
      <c r="S60" s="614"/>
      <c r="T60" s="722"/>
      <c r="U60" s="779"/>
    </row>
    <row r="61" spans="2:21" x14ac:dyDescent="0.25">
      <c r="B61" s="1216" t="s">
        <v>1649</v>
      </c>
      <c r="C61" s="1216"/>
      <c r="D61" s="1216"/>
      <c r="E61" s="1216"/>
      <c r="F61" s="792"/>
      <c r="G61" s="791">
        <f>COUNT(G63:G65)</f>
        <v>3</v>
      </c>
      <c r="H61" s="791">
        <f>COUNTIF(H63:H66,Hoja1!$J$2)</f>
        <v>0</v>
      </c>
      <c r="I61" s="793"/>
      <c r="J61" s="792">
        <f>SUM(J63:J66)</f>
        <v>0</v>
      </c>
      <c r="K61" s="794" t="e">
        <f>J61/F61</f>
        <v>#DIV/0!</v>
      </c>
      <c r="L61" s="792">
        <f>SUM(L63:L66)</f>
        <v>300919000</v>
      </c>
      <c r="M61" s="792">
        <f>+F61-J61-L61</f>
        <v>-300919000</v>
      </c>
      <c r="N61" s="796"/>
      <c r="O61" s="797" t="str">
        <f>IF(ISERROR(VLOOKUP(B61,'Base de Datos'!$C$7:$N$315,8,0))=TRUE," ",(VLOOKUP(B61,'Base de Datos'!$C$7:$N$315,8,0)))</f>
        <v xml:space="preserve"> </v>
      </c>
      <c r="P61" s="798"/>
      <c r="Q61" s="797" t="str">
        <f>IF(ISERROR(VLOOKUP(B61,'Base de Datos'!$C$7:$N$315,9,0))=TRUE," ",(VLOOKUP(B61,'Base de Datos'!$C$7:$N$315,9,0)))</f>
        <v xml:space="preserve"> </v>
      </c>
      <c r="R61" s="797" t="str">
        <f>IF(ISERROR(VLOOKUP(B61,'Base de Datos'!$C$7:$N$315,10,0))=TRUE," ",(VLOOKUP(B61,'Base de Datos'!$C$7:$N$315,10,0)))</f>
        <v xml:space="preserve"> </v>
      </c>
      <c r="S61" s="790"/>
      <c r="T61" s="722"/>
      <c r="U61" s="634"/>
    </row>
    <row r="62" spans="2:21" s="615" customFormat="1" ht="24" outlineLevel="1" x14ac:dyDescent="0.25">
      <c r="B62" s="627" t="s">
        <v>2343</v>
      </c>
      <c r="C62" s="627"/>
      <c r="D62" s="627" t="s">
        <v>912</v>
      </c>
      <c r="E62" s="627" t="s">
        <v>1822</v>
      </c>
      <c r="F62" s="776" t="s">
        <v>1846</v>
      </c>
      <c r="G62" s="812" t="s">
        <v>2345</v>
      </c>
      <c r="H62" s="812" t="s">
        <v>2349</v>
      </c>
      <c r="I62" s="534" t="s">
        <v>2350</v>
      </c>
      <c r="J62" s="627" t="s">
        <v>1845</v>
      </c>
      <c r="K62" s="612"/>
      <c r="L62" s="627" t="s">
        <v>1939</v>
      </c>
      <c r="M62" s="627" t="s">
        <v>1940</v>
      </c>
      <c r="N62" s="777" t="s">
        <v>1122</v>
      </c>
      <c r="O62" s="778" t="s">
        <v>1847</v>
      </c>
      <c r="P62" s="627" t="s">
        <v>1848</v>
      </c>
      <c r="Q62" s="627" t="s">
        <v>1849</v>
      </c>
      <c r="R62" s="627" t="s">
        <v>375</v>
      </c>
      <c r="S62" s="627" t="s">
        <v>1850</v>
      </c>
      <c r="T62" s="722"/>
      <c r="U62" s="779"/>
    </row>
    <row r="63" spans="2:21" s="615" customFormat="1" ht="24" outlineLevel="1" x14ac:dyDescent="0.25">
      <c r="B63" s="627">
        <v>196</v>
      </c>
      <c r="C63" s="627" t="str">
        <f>$W$6&amp;B63</f>
        <v>2016196</v>
      </c>
      <c r="D63" s="533" t="str">
        <f>IF(ISERROR(VLOOKUP(C63,'Base de Datos'!$D$7:$F$4092,2,0))=TRUE,"",(VLOOKUP(C63,'Base de Datos'!$D$7:$F$4092,2,0)))</f>
        <v/>
      </c>
      <c r="E63" s="614" t="s">
        <v>2401</v>
      </c>
      <c r="F63" s="580">
        <v>11000000</v>
      </c>
      <c r="G63" s="812">
        <v>42583</v>
      </c>
      <c r="H63" s="812"/>
      <c r="I63" s="833" t="str">
        <f ca="1">IF(H63=Hoja1!$J$2," ",(IF(MONTH(G63)=MONTH(TODAY()),IF(DAY(G63)&gt;DAY(TODAY()),"Quedan "&amp;ABS(DAY(G63)-DAY(TODAY()))&amp;" Días","Hace "&amp;ABS(DAY(G63)-DAY(TODAY()))&amp;" Días"),"")))</f>
        <v/>
      </c>
      <c r="J63" s="536" t="str">
        <f>IF(ISERROR(VLOOKUP(C63,'Base de Datos'!$D$7:$N$4092,6,0))=TRUE,"Sin Celebrar",(VLOOKUP(C63,'Base de Datos'!$D$7:$N$4092,6,0)))</f>
        <v>Sin Celebrar</v>
      </c>
      <c r="K63" s="612"/>
      <c r="L63" s="536">
        <f>IF(J63=$W$7,F63, " ")</f>
        <v>11000000</v>
      </c>
      <c r="M63" s="536" t="str">
        <f>IF(J63&lt;F63,(F63-J63)," ")</f>
        <v xml:space="preserve"> </v>
      </c>
      <c r="N63" s="719" t="str">
        <f>IF(ISERROR(VLOOKUP(C63,'Base de Datos'!$D$7:$K$1048576,7,0))=TRUE," ",(VLOOKUP(C63,'Base de Datos'!$D$7:$K$1048576,7,0)))</f>
        <v xml:space="preserve"> </v>
      </c>
      <c r="O63" s="551" t="str">
        <f>IF(ISERROR(VLOOKUP(C63,'Base de Datos'!$D$7:$N$4077,9,0))=TRUE," ",(VLOOKUP(C63,'Base de Datos'!$D$7:$N$4077,9,0)))</f>
        <v xml:space="preserve"> </v>
      </c>
      <c r="P63" s="613" t="e">
        <f>VLOOKUP(B63,#REF!,13,0)</f>
        <v>#REF!</v>
      </c>
      <c r="Q63" s="551" t="str">
        <f>IF(ISERROR(VLOOKUP(C63,'Base de Datos'!$D$7:$N$4077,10,0))=TRUE," ",(VLOOKUP(C63,'Base de Datos'!$D$7:$N$4077,10,0)))</f>
        <v xml:space="preserve"> </v>
      </c>
      <c r="R63" s="551" t="str">
        <f>IF(ISERROR(VLOOKUP(C63,'Base de Datos'!$D$7:$N$4077,11,0))=TRUE," ",(VLOOKUP(C63,'Base de Datos'!$D$7:$N$4077,11,0)))</f>
        <v xml:space="preserve"> </v>
      </c>
      <c r="S63" s="614" t="s">
        <v>2351</v>
      </c>
      <c r="T63" s="722"/>
      <c r="U63" s="779"/>
    </row>
    <row r="64" spans="2:21" s="615" customFormat="1" ht="24" outlineLevel="1" x14ac:dyDescent="0.25">
      <c r="B64" s="627">
        <v>197</v>
      </c>
      <c r="C64" s="627" t="str">
        <f>$W$6&amp;B64</f>
        <v>2016197</v>
      </c>
      <c r="D64" s="533" t="str">
        <f>IF(ISERROR(VLOOKUP(C64,'Base de Datos'!$D$7:$F$4092,2,0))=TRUE,"",(VLOOKUP(C64,'Base de Datos'!$D$7:$F$4092,2,0)))</f>
        <v/>
      </c>
      <c r="E64" s="614" t="s">
        <v>2298</v>
      </c>
      <c r="F64" s="580">
        <v>2319000</v>
      </c>
      <c r="G64" s="812">
        <v>42583</v>
      </c>
      <c r="H64" s="812"/>
      <c r="I64" s="833" t="str">
        <f ca="1">IF(H64=Hoja1!$J$2," ",(IF(MONTH(G64)=MONTH(TODAY()),IF(DAY(G64)&gt;DAY(TODAY()),"Quedan "&amp;ABS(DAY(G64)-DAY(TODAY()))&amp;" Días","Hace "&amp;ABS(DAY(G64)-DAY(TODAY()))&amp;" Días"),"")))</f>
        <v/>
      </c>
      <c r="J64" s="536" t="str">
        <f>IF(ISERROR(VLOOKUP(C64,'Base de Datos'!$D$7:$N$4092,6,0))=TRUE,"Sin Celebrar",(VLOOKUP(C64,'Base de Datos'!$D$7:$N$4092,6,0)))</f>
        <v>Sin Celebrar</v>
      </c>
      <c r="K64" s="612"/>
      <c r="L64" s="536">
        <f>IF(J64=$W$7,F64, " ")</f>
        <v>2319000</v>
      </c>
      <c r="M64" s="536" t="str">
        <f>IF(J64&lt;F64,(F64-J64)," ")</f>
        <v xml:space="preserve"> </v>
      </c>
      <c r="N64" s="719" t="str">
        <f>IF(ISERROR(VLOOKUP(C64,'Base de Datos'!$D$7:$K$1048576,7,0))=TRUE," ",(VLOOKUP(C64,'Base de Datos'!$D$7:$K$1048576,7,0)))</f>
        <v xml:space="preserve"> </v>
      </c>
      <c r="O64" s="551" t="str">
        <f>IF(ISERROR(VLOOKUP(C64,'Base de Datos'!$D$7:$N$4077,9,0))=TRUE," ",(VLOOKUP(C64,'Base de Datos'!$D$7:$N$4077,9,0)))</f>
        <v xml:space="preserve"> </v>
      </c>
      <c r="P64" s="613" t="e">
        <f>VLOOKUP(B64,#REF!,13,0)</f>
        <v>#REF!</v>
      </c>
      <c r="Q64" s="551" t="str">
        <f>IF(ISERROR(VLOOKUP(C64,'Base de Datos'!$D$7:$N$4077,10,0))=TRUE," ",(VLOOKUP(C64,'Base de Datos'!$D$7:$N$4077,10,0)))</f>
        <v xml:space="preserve"> </v>
      </c>
      <c r="R64" s="551" t="str">
        <f>IF(ISERROR(VLOOKUP(C64,'Base de Datos'!$D$7:$N$4077,11,0))=TRUE," ",(VLOOKUP(C64,'Base de Datos'!$D$7:$N$4077,11,0)))</f>
        <v xml:space="preserve"> </v>
      </c>
      <c r="S64" s="614" t="s">
        <v>2352</v>
      </c>
      <c r="T64" s="722"/>
      <c r="U64" s="779"/>
    </row>
    <row r="65" spans="2:21" s="615" customFormat="1" ht="24" outlineLevel="1" x14ac:dyDescent="0.25">
      <c r="B65" s="706">
        <v>195</v>
      </c>
      <c r="C65" s="627" t="str">
        <f>$W$6&amp;B65</f>
        <v>2016195</v>
      </c>
      <c r="D65" s="533" t="str">
        <f>IF(ISERROR(VLOOKUP(C65,'Base de Datos'!$D$7:$F$4092,2,0))=TRUE,"",(VLOOKUP(C65,'Base de Datos'!$D$7:$F$4092,2,0)))</f>
        <v/>
      </c>
      <c r="E65" s="614" t="s">
        <v>2299</v>
      </c>
      <c r="F65" s="708">
        <v>287600000</v>
      </c>
      <c r="G65" s="815">
        <v>42371</v>
      </c>
      <c r="H65" s="812"/>
      <c r="I65" s="833" t="str">
        <f ca="1">IF(H65=Hoja1!$J$2," ",(IF(MONTH(G65)=MONTH(TODAY()),IF(DAY(G65)&gt;DAY(TODAY()),"Quedan "&amp;ABS(DAY(G65)-DAY(TODAY()))&amp;" Días","Hace "&amp;ABS(DAY(G65)-DAY(TODAY()))&amp;" Días"),"")))</f>
        <v/>
      </c>
      <c r="J65" s="536" t="str">
        <f>IF(ISERROR(VLOOKUP(C65,'Base de Datos'!$D$7:$N$4092,6,0))=TRUE,"Sin Celebrar",(VLOOKUP(C65,'Base de Datos'!$D$7:$N$4092,6,0)))</f>
        <v>Sin Celebrar</v>
      </c>
      <c r="K65" s="709"/>
      <c r="L65" s="536">
        <f>IF(J65=$W$7,F65, " ")</f>
        <v>287600000</v>
      </c>
      <c r="M65" s="536" t="str">
        <f>IF(J65&lt;F65,(F65-J65)," ")</f>
        <v xml:space="preserve"> </v>
      </c>
      <c r="N65" s="719" t="str">
        <f>IF(ISERROR(VLOOKUP(C65,'Base de Datos'!$D$7:$K$1048576,7,0))=TRUE," ",(VLOOKUP(C65,'Base de Datos'!$D$7:$K$1048576,7,0)))</f>
        <v xml:space="preserve"> </v>
      </c>
      <c r="O65" s="551" t="str">
        <f>IF(ISERROR(VLOOKUP(C65,'Base de Datos'!$D$7:$N$4077,9,0))=TRUE," ",(VLOOKUP(C65,'Base de Datos'!$D$7:$N$4077,9,0)))</f>
        <v xml:space="preserve"> </v>
      </c>
      <c r="P65" s="613" t="e">
        <f>VLOOKUP(B65,#REF!,13,0)</f>
        <v>#REF!</v>
      </c>
      <c r="Q65" s="551" t="str">
        <f>IF(ISERROR(VLOOKUP(C65,'Base de Datos'!$D$7:$N$4077,10,0))=TRUE," ",(VLOOKUP(C65,'Base de Datos'!$D$7:$N$4077,10,0)))</f>
        <v xml:space="preserve"> </v>
      </c>
      <c r="R65" s="551" t="str">
        <f>IF(ISERROR(VLOOKUP(C65,'Base de Datos'!$D$7:$N$4077,11,0))=TRUE," ",(VLOOKUP(C65,'Base de Datos'!$D$7:$N$4077,11,0)))</f>
        <v xml:space="preserve"> </v>
      </c>
      <c r="S65" s="614" t="s">
        <v>1510</v>
      </c>
      <c r="T65" s="722"/>
      <c r="U65" s="779"/>
    </row>
    <row r="66" spans="2:21" s="615" customFormat="1" outlineLevel="1" x14ac:dyDescent="0.25">
      <c r="B66" s="811"/>
      <c r="C66" s="811"/>
      <c r="D66" s="811"/>
      <c r="E66" s="614" t="s">
        <v>1938</v>
      </c>
      <c r="F66" s="580"/>
      <c r="G66" s="812"/>
      <c r="H66" s="812"/>
      <c r="I66" s="647"/>
      <c r="J66" s="708"/>
      <c r="K66" s="612"/>
      <c r="L66" s="708"/>
      <c r="M66" s="708" t="str">
        <f>IF(J66&lt;F66,(F66-J66)," ")</f>
        <v xml:space="preserve"> </v>
      </c>
      <c r="N66" s="809"/>
      <c r="O66" s="613" t="str">
        <f>IF(ISERROR(VLOOKUP(B66,'Base de Datos'!$C$7:$N$315,9,0))=TRUE," ",(VLOOKUP(B66,'Base de Datos'!$C$7:$N$315,9,0)))</f>
        <v xml:space="preserve"> </v>
      </c>
      <c r="P66" s="614"/>
      <c r="Q66" s="710" t="str">
        <f>IF(ISERROR(VLOOKUP(B66,'Base de Datos'!$C$7:$N$315,10,0))=TRUE," ",(VLOOKUP(B66,'Base de Datos'!$C$7:$N$315,10,0)))</f>
        <v xml:space="preserve"> </v>
      </c>
      <c r="R66" s="710" t="str">
        <f>IF(ISERROR(VLOOKUP(B66,'Base de Datos'!$C$7:$N$315,11,0))=TRUE," ",(VLOOKUP(B66,'Base de Datos'!$C$7:$N$315,11,0)))</f>
        <v xml:space="preserve"> </v>
      </c>
      <c r="S66" s="645"/>
      <c r="T66" s="722"/>
      <c r="U66" s="779"/>
    </row>
    <row r="67" spans="2:21" s="615" customFormat="1" outlineLevel="1" x14ac:dyDescent="0.25">
      <c r="B67" s="811"/>
      <c r="C67" s="811"/>
      <c r="D67" s="811"/>
      <c r="E67" s="811"/>
      <c r="F67" s="580"/>
      <c r="G67" s="812"/>
      <c r="H67" s="812"/>
      <c r="I67" s="647"/>
      <c r="J67" s="580"/>
      <c r="K67" s="612"/>
      <c r="L67" s="580"/>
      <c r="M67" s="580"/>
      <c r="N67" s="690"/>
      <c r="O67" s="613"/>
      <c r="P67" s="614"/>
      <c r="Q67" s="613"/>
      <c r="R67" s="613"/>
      <c r="S67" s="614"/>
      <c r="T67" s="722"/>
      <c r="U67" s="779"/>
    </row>
    <row r="68" spans="2:21" x14ac:dyDescent="0.25">
      <c r="B68" s="1216" t="s">
        <v>1650</v>
      </c>
      <c r="C68" s="1216"/>
      <c r="D68" s="1216"/>
      <c r="E68" s="1216"/>
      <c r="F68" s="792"/>
      <c r="G68" s="791">
        <f>COUNT(G70:G72)</f>
        <v>3</v>
      </c>
      <c r="H68" s="791">
        <f>COUNTIF(H70:H73,Hoja1!$J$2)</f>
        <v>0</v>
      </c>
      <c r="I68" s="793"/>
      <c r="J68" s="792">
        <f>SUM(J70:J73)</f>
        <v>138767000</v>
      </c>
      <c r="K68" s="794" t="e">
        <f>J68/F68</f>
        <v>#DIV/0!</v>
      </c>
      <c r="L68" s="792">
        <f>SUM(L70:L73)</f>
        <v>0</v>
      </c>
      <c r="M68" s="792">
        <f>+F68-J68-L68</f>
        <v>-138767000</v>
      </c>
      <c r="N68" s="796"/>
      <c r="O68" s="797" t="str">
        <f>IF(ISERROR(VLOOKUP(B68,'Base de Datos'!$C$7:$N$315,8,0))=TRUE," ",(VLOOKUP(B68,'Base de Datos'!$C$7:$N$315,8,0)))</f>
        <v xml:space="preserve"> </v>
      </c>
      <c r="P68" s="798"/>
      <c r="Q68" s="797" t="str">
        <f>IF(ISERROR(VLOOKUP(B68,'Base de Datos'!$C$7:$N$315,9,0))=TRUE," ",(VLOOKUP(B68,'Base de Datos'!$C$7:$N$315,9,0)))</f>
        <v xml:space="preserve"> </v>
      </c>
      <c r="R68" s="797" t="str">
        <f>IF(ISERROR(VLOOKUP(B68,'Base de Datos'!$C$7:$N$315,10,0))=TRUE," ",(VLOOKUP(B68,'Base de Datos'!$C$7:$N$315,10,0)))</f>
        <v xml:space="preserve"> </v>
      </c>
      <c r="S68" s="790"/>
      <c r="T68" s="722"/>
      <c r="U68" s="634"/>
    </row>
    <row r="69" spans="2:21" ht="24" outlineLevel="1" x14ac:dyDescent="0.25">
      <c r="B69" s="627" t="s">
        <v>2343</v>
      </c>
      <c r="C69" s="627"/>
      <c r="D69" s="627" t="s">
        <v>912</v>
      </c>
      <c r="E69" s="627" t="s">
        <v>1822</v>
      </c>
      <c r="F69" s="776" t="s">
        <v>1846</v>
      </c>
      <c r="G69" s="812" t="s">
        <v>2345</v>
      </c>
      <c r="H69" s="812" t="s">
        <v>2349</v>
      </c>
      <c r="I69" s="534" t="s">
        <v>2350</v>
      </c>
      <c r="J69" s="627" t="s">
        <v>1845</v>
      </c>
      <c r="K69" s="612"/>
      <c r="L69" s="627" t="s">
        <v>1939</v>
      </c>
      <c r="M69" s="627" t="s">
        <v>1940</v>
      </c>
      <c r="N69" s="777" t="s">
        <v>1122</v>
      </c>
      <c r="O69" s="778" t="s">
        <v>1847</v>
      </c>
      <c r="P69" s="627" t="s">
        <v>1848</v>
      </c>
      <c r="Q69" s="627" t="s">
        <v>1849</v>
      </c>
      <c r="R69" s="627" t="s">
        <v>375</v>
      </c>
      <c r="S69" s="627" t="s">
        <v>1850</v>
      </c>
      <c r="T69" s="722"/>
      <c r="U69" s="634"/>
    </row>
    <row r="70" spans="2:21" ht="24" outlineLevel="1" x14ac:dyDescent="0.25">
      <c r="B70" s="537">
        <v>208</v>
      </c>
      <c r="C70" s="627" t="str">
        <f>$W$6&amp;B70</f>
        <v>2016208</v>
      </c>
      <c r="D70" s="533" t="str">
        <f>IF(ISERROR(VLOOKUP(C70,'Base de Datos'!$D$7:$F$4092,2,0))=TRUE,"",(VLOOKUP(C70,'Base de Datos'!$D$7:$F$4092,2,0)))</f>
        <v>160225-0-2016</v>
      </c>
      <c r="E70" s="614" t="s">
        <v>2300</v>
      </c>
      <c r="F70" s="536">
        <v>71482000</v>
      </c>
      <c r="G70" s="813">
        <v>42401</v>
      </c>
      <c r="H70" s="812"/>
      <c r="I70" s="833" t="str">
        <f ca="1">IF(H70=Hoja1!$J$2," ",(IF(MONTH(G70)=MONTH(TODAY()),IF(DAY(G70)&gt;DAY(TODAY()),"Quedan "&amp;ABS(DAY(G70)-DAY(TODAY()))&amp;" Días","Hace "&amp;ABS(DAY(G70)-DAY(TODAY()))&amp;" Días"),"")))</f>
        <v/>
      </c>
      <c r="J70" s="536">
        <f>IF(ISERROR(VLOOKUP(C70,'Base de Datos'!$D$7:$N$4092,6,0))=TRUE,"Sin Celebrar",(VLOOKUP(C70,'Base de Datos'!$D$7:$N$4092,6,0)))</f>
        <v>71482000</v>
      </c>
      <c r="K70" s="600"/>
      <c r="L70" s="536" t="str">
        <f>IF(J70=$W$7,F70, " ")</f>
        <v xml:space="preserve"> </v>
      </c>
      <c r="M70" s="536" t="str">
        <f>IF(J70&lt;F70,(F70-J70)," ")</f>
        <v xml:space="preserve"> </v>
      </c>
      <c r="N70" s="719" t="str">
        <f>IF(ISERROR(VLOOKUP(C70,'Base de Datos'!$D$7:$K$1048576,7,0))=TRUE," ",(VLOOKUP(C70,'Base de Datos'!$D$7:$K$1048576,7,0)))</f>
        <v>SDH-SIE-11-2016</v>
      </c>
      <c r="O70" s="551">
        <f>IF(ISERROR(VLOOKUP(C70,'Base de Datos'!$D$7:$N$4077,9,0))=TRUE," ",(VLOOKUP(C70,'Base de Datos'!$D$7:$N$4077,9,0)))</f>
        <v>42629</v>
      </c>
      <c r="P70" s="613" t="e">
        <f>VLOOKUP(B70,#REF!,13,0)</f>
        <v>#REF!</v>
      </c>
      <c r="Q70" s="551">
        <f>IF(ISERROR(VLOOKUP(C70,'Base de Datos'!$D$7:$N$4077,10,0))=TRUE," ",(VLOOKUP(C70,'Base de Datos'!$D$7:$N$4077,10,0)))</f>
        <v>42646</v>
      </c>
      <c r="R70" s="551">
        <f>IF(ISERROR(VLOOKUP(C70,'Base de Datos'!$D$7:$N$4077,11,0))=TRUE," ",(VLOOKUP(C70,'Base de Datos'!$D$7:$N$4077,11,0)))</f>
        <v>42858</v>
      </c>
      <c r="S70" s="614" t="s">
        <v>1510</v>
      </c>
      <c r="T70" s="722"/>
      <c r="U70" s="634"/>
    </row>
    <row r="71" spans="2:21" ht="24" outlineLevel="1" x14ac:dyDescent="0.25">
      <c r="B71" s="537">
        <v>207</v>
      </c>
      <c r="C71" s="627" t="str">
        <f>$W$6&amp;B71</f>
        <v>2016207</v>
      </c>
      <c r="D71" s="533" t="str">
        <f>IF(ISERROR(VLOOKUP(C71,'Base de Datos'!$D$7:$F$4092,2,0))=TRUE,"",(VLOOKUP(C71,'Base de Datos'!$D$7:$F$4092,2,0)))</f>
        <v>160307-0-2016</v>
      </c>
      <c r="E71" s="614" t="s">
        <v>1138</v>
      </c>
      <c r="F71" s="536">
        <v>136990000</v>
      </c>
      <c r="G71" s="813">
        <v>42374</v>
      </c>
      <c r="H71" s="812"/>
      <c r="I71" s="833" t="str">
        <f ca="1">IF(H71=Hoja1!$J$2," ",(IF(MONTH(G71)=MONTH(TODAY()),IF(DAY(G71)&gt;DAY(TODAY()),"Quedan "&amp;ABS(DAY(G71)-DAY(TODAY()))&amp;" Días","Hace "&amp;ABS(DAY(G71)-DAY(TODAY()))&amp;" Días"),"")))</f>
        <v/>
      </c>
      <c r="J71" s="536">
        <f>IF(ISERROR(VLOOKUP(C71,'Base de Datos'!$D$7:$N$4092,6,0))=TRUE,"Sin Celebrar",(VLOOKUP(C71,'Base de Datos'!$D$7:$N$4092,6,0)))</f>
        <v>64285000</v>
      </c>
      <c r="K71" s="600"/>
      <c r="L71" s="536" t="str">
        <f>IF(J71=$W$7,F71, " ")</f>
        <v xml:space="preserve"> </v>
      </c>
      <c r="M71" s="536">
        <f>IF(J71&lt;F71,(F71-J71)," ")</f>
        <v>72705000</v>
      </c>
      <c r="N71" s="719" t="str">
        <f>IF(ISERROR(VLOOKUP(C71,'Base de Datos'!$D$7:$K$1048576,7,0))=TRUE," ",(VLOOKUP(C71,'Base de Datos'!$D$7:$K$1048576,7,0)))</f>
        <v>SDH-SMINC-48-2016</v>
      </c>
      <c r="O71" s="551">
        <f>IF(ISERROR(VLOOKUP(C71,'Base de Datos'!$D$7:$N$4077,9,0))=TRUE," ",(VLOOKUP(C71,'Base de Datos'!$D$7:$N$4077,9,0)))</f>
        <v>42726</v>
      </c>
      <c r="P71" s="613" t="e">
        <f>VLOOKUP(B71,#REF!,13,0)</f>
        <v>#REF!</v>
      </c>
      <c r="Q71" s="551">
        <f>IF(ISERROR(VLOOKUP(C71,'Base de Datos'!$D$7:$N$4077,10,0))=TRUE," ",(VLOOKUP(C71,'Base de Datos'!$D$7:$N$4077,10,0)))</f>
        <v>42730</v>
      </c>
      <c r="R71" s="551">
        <f>IF(ISERROR(VLOOKUP(C71,'Base de Datos'!$D$7:$N$4077,11,0))=TRUE," ",(VLOOKUP(C71,'Base de Datos'!$D$7:$N$4077,11,0)))</f>
        <v>42797</v>
      </c>
      <c r="S71" s="533" t="s">
        <v>2076</v>
      </c>
      <c r="T71" s="722"/>
      <c r="U71" s="634"/>
    </row>
    <row r="72" spans="2:21" ht="24" outlineLevel="1" x14ac:dyDescent="0.25">
      <c r="B72" s="537">
        <v>209</v>
      </c>
      <c r="C72" s="627" t="str">
        <f>$W$6&amp;B72</f>
        <v>2016209</v>
      </c>
      <c r="D72" s="533" t="str">
        <f>IF(ISERROR(VLOOKUP(C72,'Base de Datos'!$D$7:$F$4092,2,0))=TRUE,"",(VLOOKUP(C72,'Base de Datos'!$D$7:$F$4092,2,0)))</f>
        <v>160284-0-2016</v>
      </c>
      <c r="E72" s="614" t="s">
        <v>2301</v>
      </c>
      <c r="F72" s="536">
        <v>5150400</v>
      </c>
      <c r="G72" s="813">
        <v>42491</v>
      </c>
      <c r="H72" s="812"/>
      <c r="I72" s="833" t="str">
        <f ca="1">IF(H72=Hoja1!$J$2," ",(IF(MONTH(G72)=MONTH(TODAY()),IF(DAY(G72)&gt;DAY(TODAY()),"Quedan "&amp;ABS(DAY(G72)-DAY(TODAY()))&amp;" Días","Hace "&amp;ABS(DAY(G72)-DAY(TODAY()))&amp;" Días"),"")))</f>
        <v/>
      </c>
      <c r="J72" s="536">
        <f>IF(ISERROR(VLOOKUP(C72,'Base de Datos'!$D$7:$N$4092,6,0))=TRUE,"Sin Celebrar",(VLOOKUP(C72,'Base de Datos'!$D$7:$N$4092,6,0)))</f>
        <v>3000000</v>
      </c>
      <c r="K72" s="600"/>
      <c r="L72" s="536" t="str">
        <f>IF(J72=$W$7,F72, " ")</f>
        <v xml:space="preserve"> </v>
      </c>
      <c r="M72" s="536">
        <f>IF(J72&lt;F72,(F72-J72)," ")</f>
        <v>2150400</v>
      </c>
      <c r="N72" s="719" t="str">
        <f>IF(ISERROR(VLOOKUP(C72,'Base de Datos'!$D$7:$K$1048576,7,0))=TRUE," ",(VLOOKUP(C72,'Base de Datos'!$D$7:$K$1048576,7,0)))</f>
        <v>SDH-SMINC-44-2016</v>
      </c>
      <c r="O72" s="551">
        <f>IF(ISERROR(VLOOKUP(C72,'Base de Datos'!$D$7:$N$4077,9,0))=TRUE," ",(VLOOKUP(C72,'Base de Datos'!$D$7:$N$4077,9,0)))</f>
        <v>42703</v>
      </c>
      <c r="P72" s="613" t="e">
        <f>VLOOKUP(B72,#REF!,13,0)</f>
        <v>#REF!</v>
      </c>
      <c r="Q72" s="551">
        <f>IF(ISERROR(VLOOKUP(C72,'Base de Datos'!$D$7:$N$4077,10,0))=TRUE," ",(VLOOKUP(C72,'Base de Datos'!$D$7:$N$4077,10,0)))</f>
        <v>42726</v>
      </c>
      <c r="R72" s="551">
        <f>IF(ISERROR(VLOOKUP(C72,'Base de Datos'!$D$7:$N$4077,11,0))=TRUE," ",(VLOOKUP(C72,'Base de Datos'!$D$7:$N$4077,11,0)))</f>
        <v>42847</v>
      </c>
      <c r="S72" s="614" t="s">
        <v>2352</v>
      </c>
      <c r="T72" s="722"/>
      <c r="U72" s="634"/>
    </row>
    <row r="73" spans="2:21" outlineLevel="1" x14ac:dyDescent="0.25">
      <c r="B73" s="648"/>
      <c r="C73" s="648"/>
      <c r="D73" s="648"/>
      <c r="E73" s="533" t="s">
        <v>1935</v>
      </c>
      <c r="F73" s="536"/>
      <c r="G73" s="813"/>
      <c r="H73" s="813"/>
      <c r="I73" s="534"/>
      <c r="J73" s="536"/>
      <c r="K73" s="600"/>
      <c r="L73" s="554"/>
      <c r="M73" s="554" t="str">
        <f>IF(J73&lt;F73,(F73-J73)," ")</f>
        <v xml:space="preserve"> </v>
      </c>
      <c r="N73" s="679"/>
      <c r="O73" s="551" t="str">
        <f>IF(ISERROR(VLOOKUP(B73,'Base de Datos'!$C$7:$N$315,9,0))=TRUE," ",(VLOOKUP(B73,'Base de Datos'!$C$7:$N$315,9,0)))</f>
        <v xml:space="preserve"> </v>
      </c>
      <c r="P73" s="533"/>
      <c r="Q73" s="556" t="str">
        <f>IF(ISERROR(VLOOKUP(B73,'Base de Datos'!$C$7:$N$315,10,0))=TRUE," ",(VLOOKUP(B73,'Base de Datos'!$C$7:$N$315,10,0)))</f>
        <v xml:space="preserve"> </v>
      </c>
      <c r="R73" s="556" t="str">
        <f>IF(ISERROR(VLOOKUP(B73,'Base de Datos'!$C$7:$N$315,11,0))=TRUE," ",(VLOOKUP(B73,'Base de Datos'!$C$7:$N$315,11,0)))</f>
        <v xml:space="preserve"> </v>
      </c>
      <c r="S73" s="533"/>
      <c r="T73" s="722"/>
      <c r="U73" s="634"/>
    </row>
    <row r="74" spans="2:21" outlineLevel="1" x14ac:dyDescent="0.25">
      <c r="B74" s="648"/>
      <c r="C74" s="648"/>
      <c r="D74" s="648"/>
      <c r="E74" s="648"/>
      <c r="F74" s="536"/>
      <c r="G74" s="813"/>
      <c r="H74" s="813"/>
      <c r="I74" s="534"/>
      <c r="J74" s="536"/>
      <c r="K74" s="600"/>
      <c r="L74" s="536"/>
      <c r="M74" s="536"/>
      <c r="N74" s="678"/>
      <c r="O74" s="551"/>
      <c r="P74" s="533"/>
      <c r="Q74" s="551"/>
      <c r="R74" s="551"/>
      <c r="S74" s="533"/>
      <c r="T74" s="722"/>
      <c r="U74" s="634"/>
    </row>
    <row r="75" spans="2:21" x14ac:dyDescent="0.25">
      <c r="B75" s="1199" t="s">
        <v>1651</v>
      </c>
      <c r="C75" s="1199"/>
      <c r="D75" s="1199"/>
      <c r="E75" s="1199"/>
      <c r="F75" s="781"/>
      <c r="G75" s="826">
        <f>+G76+G84+G97+G117+G132+G149+G154+G160+G166+G174+G179</f>
        <v>41</v>
      </c>
      <c r="H75" s="826">
        <f>+H76+H84+H97+H117+H132+H149+H154+H160+H166+H174+H179</f>
        <v>1</v>
      </c>
      <c r="I75" s="588"/>
      <c r="J75" s="587">
        <f>+J76+J84+J97+J117+J132+J149+J154+J160+J166+J174+J179</f>
        <v>2993194546</v>
      </c>
      <c r="K75" s="603" t="e">
        <f>J75/F75</f>
        <v>#DIV/0!</v>
      </c>
      <c r="L75" s="587">
        <f>+L76+L84+L97+L117+L132+L149+L154+L160+L166+L174+L179</f>
        <v>1534007000</v>
      </c>
      <c r="M75" s="587">
        <f>+M76+M84+M97+M117+M132+M149+M154+M160+M166+M174+M179</f>
        <v>-4527201546</v>
      </c>
      <c r="N75" s="682"/>
      <c r="O75" s="587"/>
      <c r="P75" s="590"/>
      <c r="Q75" s="589" t="str">
        <f>IF(ISERROR(VLOOKUP(B75,'Base de Datos'!$C$7:$N$315,9,0))=TRUE," ",(VLOOKUP(B75,'Base de Datos'!$C$7:$N$315,9,0)))</f>
        <v xml:space="preserve"> </v>
      </c>
      <c r="R75" s="589" t="str">
        <f>IF(ISERROR(VLOOKUP(B75,'Base de Datos'!$C$7:$N$315,10,0))=TRUE," ",(VLOOKUP(B75,'Base de Datos'!$C$7:$N$315,10,0)))</f>
        <v xml:space="preserve"> </v>
      </c>
      <c r="S75" s="592"/>
      <c r="T75" s="722"/>
      <c r="U75" s="634"/>
    </row>
    <row r="76" spans="2:21" x14ac:dyDescent="0.25">
      <c r="B76" s="1215" t="s">
        <v>1652</v>
      </c>
      <c r="C76" s="1215"/>
      <c r="D76" s="1215"/>
      <c r="E76" s="1215"/>
      <c r="F76" s="785"/>
      <c r="G76" s="791">
        <f>COUNT(G78:G80)</f>
        <v>3</v>
      </c>
      <c r="H76" s="791">
        <f>COUNTIF(H78:H82,Hoja1!$J$2)</f>
        <v>0</v>
      </c>
      <c r="I76" s="786"/>
      <c r="J76" s="785">
        <f>SUM(J78:J82)</f>
        <v>45937000</v>
      </c>
      <c r="K76" s="787" t="e">
        <f>J76/F76</f>
        <v>#DIV/0!</v>
      </c>
      <c r="L76" s="785">
        <f>SUM(L78:L82)</f>
        <v>156200000</v>
      </c>
      <c r="M76" s="785">
        <f>+F76-J76-L76</f>
        <v>-202137000</v>
      </c>
      <c r="N76" s="788"/>
      <c r="O76" s="789" t="str">
        <f>IF(ISERROR(VLOOKUP(B76,'Base de Datos'!$C$7:$N$315,8,0))=TRUE," ",(VLOOKUP(B76,'Base de Datos'!$C$7:$N$315,8,0)))</f>
        <v xml:space="preserve"> </v>
      </c>
      <c r="P76" s="790"/>
      <c r="Q76" s="789" t="str">
        <f>IF(ISERROR(VLOOKUP(B76,'Base de Datos'!$C$7:$N$315,9,0))=TRUE," ",(VLOOKUP(B76,'Base de Datos'!$C$7:$N$315,9,0)))</f>
        <v xml:space="preserve"> </v>
      </c>
      <c r="R76" s="789" t="str">
        <f>IF(ISERROR(VLOOKUP(B76,'Base de Datos'!$C$7:$N$315,10,0))=TRUE," ",(VLOOKUP(B76,'Base de Datos'!$C$7:$N$315,10,0)))</f>
        <v xml:space="preserve"> </v>
      </c>
      <c r="S76" s="790"/>
      <c r="T76" s="722"/>
      <c r="U76" s="634"/>
    </row>
    <row r="77" spans="2:21" s="615" customFormat="1" ht="24" outlineLevel="1" x14ac:dyDescent="0.25">
      <c r="B77" s="627" t="s">
        <v>2343</v>
      </c>
      <c r="C77" s="627"/>
      <c r="D77" s="627" t="s">
        <v>912</v>
      </c>
      <c r="E77" s="627" t="s">
        <v>1822</v>
      </c>
      <c r="F77" s="776" t="s">
        <v>1846</v>
      </c>
      <c r="G77" s="812" t="s">
        <v>2345</v>
      </c>
      <c r="H77" s="812" t="s">
        <v>2349</v>
      </c>
      <c r="I77" s="534" t="s">
        <v>2350</v>
      </c>
      <c r="J77" s="627" t="s">
        <v>1845</v>
      </c>
      <c r="K77" s="612"/>
      <c r="L77" s="627" t="s">
        <v>1939</v>
      </c>
      <c r="M77" s="627" t="s">
        <v>1940</v>
      </c>
      <c r="N77" s="777" t="s">
        <v>1122</v>
      </c>
      <c r="O77" s="778" t="s">
        <v>1847</v>
      </c>
      <c r="P77" s="627" t="s">
        <v>1848</v>
      </c>
      <c r="Q77" s="627" t="s">
        <v>1849</v>
      </c>
      <c r="R77" s="627" t="s">
        <v>375</v>
      </c>
      <c r="S77" s="627" t="s">
        <v>1850</v>
      </c>
      <c r="T77" s="722"/>
      <c r="U77" s="779"/>
    </row>
    <row r="78" spans="2:21" s="615" customFormat="1" ht="24" outlineLevel="1" x14ac:dyDescent="0.25">
      <c r="B78" s="627">
        <v>210</v>
      </c>
      <c r="C78" s="627" t="str">
        <f>$W$6&amp;B78</f>
        <v>2016210</v>
      </c>
      <c r="D78" s="533" t="str">
        <f>IF(ISERROR(VLOOKUP(C78,'Base de Datos'!$D$7:$F$4092,2,0))=TRUE,"",(VLOOKUP(C78,'Base de Datos'!$D$7:$F$4092,2,0)))</f>
        <v>160105-0-2016</v>
      </c>
      <c r="E78" s="614" t="s">
        <v>2302</v>
      </c>
      <c r="F78" s="580">
        <v>34504000</v>
      </c>
      <c r="G78" s="812">
        <v>42384</v>
      </c>
      <c r="H78" s="812"/>
      <c r="I78" s="833" t="str">
        <f ca="1">IF(H78=Hoja1!$J$2," ",(IF(MONTH(G78)=MONTH(TODAY()),IF(DAY(G78)&gt;DAY(TODAY()),"Quedan "&amp;ABS(DAY(G78)-DAY(TODAY()))&amp;" Días","Hace "&amp;ABS(DAY(G78)-DAY(TODAY()))&amp;" Días"),"")))</f>
        <v/>
      </c>
      <c r="J78" s="536">
        <f>IF(ISERROR(VLOOKUP(C78,'Base de Datos'!$D$7:$N$4092,6,0))=TRUE,"Sin Celebrar",(VLOOKUP(C78,'Base de Datos'!$D$7:$N$4092,6,0)))</f>
        <v>33009000</v>
      </c>
      <c r="K78" s="612"/>
      <c r="L78" s="536" t="str">
        <f>IF(J78=$W$7,F78, " ")</f>
        <v xml:space="preserve"> </v>
      </c>
      <c r="M78" s="536">
        <f>IF(J78&lt;F78,(F78-J78)," ")</f>
        <v>1495000</v>
      </c>
      <c r="N78" s="719" t="str">
        <f>IF(ISERROR(VLOOKUP(C78,'Base de Datos'!$D$7:$K$1048576,7,0))=TRUE," ",(VLOOKUP(C78,'Base de Datos'!$D$7:$K$1048576,7,0)))</f>
        <v>SDH-SIE-02-2016</v>
      </c>
      <c r="O78" s="551">
        <f>IF(ISERROR(VLOOKUP(C78,'Base de Datos'!$D$7:$N$4077,9,0))=TRUE," ",(VLOOKUP(C78,'Base de Datos'!$D$7:$N$4077,9,0)))</f>
        <v>42508</v>
      </c>
      <c r="P78" s="613" t="e">
        <f>VLOOKUP(B78,#REF!,13,0)</f>
        <v>#REF!</v>
      </c>
      <c r="Q78" s="551">
        <f>IF(ISERROR(VLOOKUP(C78,'Base de Datos'!$D$7:$N$4077,10,0))=TRUE," ",(VLOOKUP(C78,'Base de Datos'!$D$7:$N$4077,10,0)))</f>
        <v>42513</v>
      </c>
      <c r="R78" s="551">
        <f>IF(ISERROR(VLOOKUP(C78,'Base de Datos'!$D$7:$N$4077,11,0))=TRUE," ",(VLOOKUP(C78,'Base de Datos'!$D$7:$N$4077,11,0)))</f>
        <v>42878</v>
      </c>
      <c r="S78" s="614" t="s">
        <v>1510</v>
      </c>
      <c r="T78" s="722"/>
      <c r="U78" s="779"/>
    </row>
    <row r="79" spans="2:21" s="615" customFormat="1" ht="24" outlineLevel="1" x14ac:dyDescent="0.25">
      <c r="B79" s="627">
        <v>133</v>
      </c>
      <c r="C79" s="627" t="str">
        <f>$W$6&amp;B79</f>
        <v>2016133</v>
      </c>
      <c r="D79" s="533" t="str">
        <f>IF(ISERROR(VLOOKUP(C79,'Base de Datos'!$D$7:$F$4092,2,0))=TRUE,"",(VLOOKUP(C79,'Base de Datos'!$D$7:$F$4092,2,0)))</f>
        <v/>
      </c>
      <c r="E79" s="840" t="s">
        <v>2303</v>
      </c>
      <c r="F79" s="580">
        <v>1700000</v>
      </c>
      <c r="G79" s="812">
        <v>42491</v>
      </c>
      <c r="H79" s="812"/>
      <c r="I79" s="833" t="str">
        <f ca="1">IF(H79=Hoja1!$J$2," ",(IF(MONTH(G79)=MONTH(TODAY()),IF(DAY(G79)&gt;DAY(TODAY()),"Quedan "&amp;ABS(DAY(G79)-DAY(TODAY()))&amp;" Días","Hace "&amp;ABS(DAY(G79)-DAY(TODAY()))&amp;" Días"),"")))</f>
        <v/>
      </c>
      <c r="J79" s="536" t="str">
        <f>IF(ISERROR(VLOOKUP(C79,'Base de Datos'!$D$7:$N$4092,6,0))=TRUE,"Sin Celebrar",(VLOOKUP(C79,'Base de Datos'!$D$7:$N$4092,6,0)))</f>
        <v>Sin Celebrar</v>
      </c>
      <c r="K79" s="612"/>
      <c r="L79" s="536">
        <f>IF(J79=$W$7,F79, " ")</f>
        <v>1700000</v>
      </c>
      <c r="M79" s="536" t="str">
        <f>IF(J79&lt;F79,(F79-J79)," ")</f>
        <v xml:space="preserve"> </v>
      </c>
      <c r="N79" s="719" t="str">
        <f>IF(ISERROR(VLOOKUP(C79,'Base de Datos'!$D$7:$K$1048576,7,0))=TRUE," ",(VLOOKUP(C79,'Base de Datos'!$D$7:$K$1048576,7,0)))</f>
        <v xml:space="preserve"> </v>
      </c>
      <c r="O79" s="551" t="str">
        <f>IF(ISERROR(VLOOKUP(C79,'Base de Datos'!$D$7:$N$4077,9,0))=TRUE," ",(VLOOKUP(C79,'Base de Datos'!$D$7:$N$4077,9,0)))</f>
        <v xml:space="preserve"> </v>
      </c>
      <c r="P79" s="613" t="e">
        <f>VLOOKUP(B79,#REF!,13,0)</f>
        <v>#REF!</v>
      </c>
      <c r="Q79" s="551" t="str">
        <f>IF(ISERROR(VLOOKUP(C79,'Base de Datos'!$D$7:$N$4077,10,0))=TRUE," ",(VLOOKUP(C79,'Base de Datos'!$D$7:$N$4077,10,0)))</f>
        <v xml:space="preserve"> </v>
      </c>
      <c r="R79" s="551" t="str">
        <f>IF(ISERROR(VLOOKUP(C79,'Base de Datos'!$D$7:$N$4077,11,0))=TRUE," ",(VLOOKUP(C79,'Base de Datos'!$D$7:$N$4077,11,0)))</f>
        <v xml:space="preserve"> </v>
      </c>
      <c r="S79" s="614" t="s">
        <v>981</v>
      </c>
      <c r="T79" s="722"/>
      <c r="U79" s="779"/>
    </row>
    <row r="80" spans="2:21" s="615" customFormat="1" ht="24" outlineLevel="1" x14ac:dyDescent="0.25">
      <c r="B80" s="627">
        <v>211</v>
      </c>
      <c r="C80" s="627" t="str">
        <f>$W$6&amp;B80</f>
        <v>2016211</v>
      </c>
      <c r="D80" s="533" t="str">
        <f>IF(ISERROR(VLOOKUP(C80,'Base de Datos'!$D$7:$F$4092,2,0))=TRUE,"",(VLOOKUP(C80,'Base de Datos'!$D$7:$F$4092,2,0)))</f>
        <v>160165-0-2016</v>
      </c>
      <c r="E80" s="614" t="s">
        <v>2304</v>
      </c>
      <c r="F80" s="580">
        <v>11328000</v>
      </c>
      <c r="G80" s="812">
        <v>42430</v>
      </c>
      <c r="H80" s="812"/>
      <c r="I80" s="833" t="str">
        <f ca="1">IF(H80=Hoja1!$J$2," ",(IF(MONTH(G80)=MONTH(TODAY()),IF(DAY(G80)&gt;DAY(TODAY()),"Quedan "&amp;ABS(DAY(G80)-DAY(TODAY()))&amp;" Días","Hace "&amp;ABS(DAY(G80)-DAY(TODAY()))&amp;" Días"),"")))</f>
        <v/>
      </c>
      <c r="J80" s="536">
        <f>IF(ISERROR(VLOOKUP(C80,'Base de Datos'!$D$7:$N$4092,6,0))=TRUE,"Sin Celebrar",(VLOOKUP(C80,'Base de Datos'!$D$7:$N$4092,6,0)))</f>
        <v>12928000</v>
      </c>
      <c r="K80" s="612"/>
      <c r="L80" s="536" t="str">
        <f>IF(J80=$W$7,F80, " ")</f>
        <v xml:space="preserve"> </v>
      </c>
      <c r="M80" s="536" t="str">
        <f>IF(J80&lt;F80,(F80-J80)," ")</f>
        <v xml:space="preserve"> </v>
      </c>
      <c r="N80" s="719" t="str">
        <f>IF(ISERROR(VLOOKUP(C80,'Base de Datos'!$D$7:$K$1048576,7,0))=TRUE," ",(VLOOKUP(C80,'Base de Datos'!$D$7:$K$1048576,7,0)))</f>
        <v>SDH-SMINC-20-2016</v>
      </c>
      <c r="O80" s="551">
        <f>IF(ISERROR(VLOOKUP(C80,'Base de Datos'!$D$7:$N$4077,9,0))=TRUE," ",(VLOOKUP(C80,'Base de Datos'!$D$7:$N$4077,9,0)))</f>
        <v>42559</v>
      </c>
      <c r="P80" s="613" t="e">
        <f>VLOOKUP(B80,#REF!,13,0)</f>
        <v>#REF!</v>
      </c>
      <c r="Q80" s="551">
        <f>IF(ISERROR(VLOOKUP(C80,'Base de Datos'!$D$7:$N$4077,10,0))=TRUE," ",(VLOOKUP(C80,'Base de Datos'!$D$7:$N$4077,10,0)))</f>
        <v>42578</v>
      </c>
      <c r="R80" s="551">
        <f>IF(ISERROR(VLOOKUP(C80,'Base de Datos'!$D$7:$N$4077,11,0))=TRUE," ",(VLOOKUP(C80,'Base de Datos'!$D$7:$N$4077,11,0)))</f>
        <v>42793</v>
      </c>
      <c r="S80" s="614" t="s">
        <v>981</v>
      </c>
      <c r="T80" s="722"/>
      <c r="U80" s="779"/>
    </row>
    <row r="81" spans="2:21" s="615" customFormat="1" outlineLevel="1" x14ac:dyDescent="0.25">
      <c r="B81" s="627">
        <v>213</v>
      </c>
      <c r="C81" s="627"/>
      <c r="D81" s="533"/>
      <c r="E81" s="614" t="s">
        <v>2402</v>
      </c>
      <c r="F81" s="580">
        <v>154500000</v>
      </c>
      <c r="G81" s="812">
        <v>42406</v>
      </c>
      <c r="H81" s="812"/>
      <c r="I81" s="833" t="str">
        <f ca="1">IF(H81=Hoja1!$J$2," ",(IF(MONTH(G81)=MONTH(TODAY()),IF(DAY(G81)&gt;DAY(TODAY()),"Quedan "&amp;ABS(DAY(G81)-DAY(TODAY()))&amp;" Días","Hace "&amp;ABS(DAY(G81)-DAY(TODAY()))&amp;" Días"),"")))</f>
        <v/>
      </c>
      <c r="J81" s="536" t="str">
        <f>IF(ISERROR(VLOOKUP(C81,'Base de Datos'!$D$7:$N$4092,6,0))=TRUE,"Sin Celebrar",(VLOOKUP(C81,'Base de Datos'!$D$7:$N$4092,6,0)))</f>
        <v>Sin Celebrar</v>
      </c>
      <c r="K81" s="612"/>
      <c r="L81" s="536">
        <f>IF(J81=$W$7,F81, " ")</f>
        <v>154500000</v>
      </c>
      <c r="M81" s="536" t="str">
        <f>IF(J81&lt;F81,(F81-J81)," ")</f>
        <v xml:space="preserve"> </v>
      </c>
      <c r="N81" s="719" t="str">
        <f>IF(ISERROR(VLOOKUP(C81,'Base de Datos'!$D$7:$K$1048576,7,0))=TRUE," ",(VLOOKUP(C81,'Base de Datos'!$D$7:$K$1048576,7,0)))</f>
        <v xml:space="preserve"> </v>
      </c>
      <c r="O81" s="551" t="str">
        <f>IF(ISERROR(VLOOKUP(C81,'Base de Datos'!$D$7:$N$4077,9,0))=TRUE," ",(VLOOKUP(C81,'Base de Datos'!$D$7:$N$4077,9,0)))</f>
        <v xml:space="preserve"> </v>
      </c>
      <c r="P81" s="613" t="e">
        <f>VLOOKUP(B81,#REF!,13,0)</f>
        <v>#REF!</v>
      </c>
      <c r="Q81" s="551" t="str">
        <f>IF(ISERROR(VLOOKUP(C81,'Base de Datos'!$D$7:$N$4077,10,0))=TRUE," ",(VLOOKUP(C81,'Base de Datos'!$D$7:$N$4077,10,0)))</f>
        <v xml:space="preserve"> </v>
      </c>
      <c r="R81" s="551" t="str">
        <f>IF(ISERROR(VLOOKUP(C81,'Base de Datos'!$D$7:$N$4077,11,0))=TRUE," ",(VLOOKUP(C81,'Base de Datos'!$D$7:$N$4077,11,0)))</f>
        <v xml:space="preserve"> </v>
      </c>
      <c r="S81" s="614" t="s">
        <v>981</v>
      </c>
      <c r="T81" s="722"/>
      <c r="U81" s="779"/>
    </row>
    <row r="82" spans="2:21" s="615" customFormat="1" outlineLevel="1" x14ac:dyDescent="0.25">
      <c r="B82" s="614"/>
      <c r="C82" s="614"/>
      <c r="D82" s="614"/>
      <c r="E82" s="614" t="s">
        <v>1935</v>
      </c>
      <c r="F82" s="580"/>
      <c r="G82" s="812"/>
      <c r="H82" s="812"/>
      <c r="I82" s="534"/>
      <c r="J82" s="580"/>
      <c r="K82" s="612"/>
      <c r="L82" s="708"/>
      <c r="M82" s="708" t="str">
        <f>IF(J82&lt;F82,(F82-J82)," ")</f>
        <v xml:space="preserve"> </v>
      </c>
      <c r="N82" s="809"/>
      <c r="O82" s="613" t="str">
        <f>IF(ISERROR(VLOOKUP(B82,'Base de Datos'!$C$7:$N$315,9,0))=TRUE," ",(VLOOKUP(B82,'Base de Datos'!$C$7:$N$315,9,0)))</f>
        <v xml:space="preserve"> </v>
      </c>
      <c r="P82" s="614"/>
      <c r="Q82" s="710" t="str">
        <f>IF(ISERROR(VLOOKUP(B82,'Base de Datos'!$C$7:$N$315,10,0))=TRUE," ",(VLOOKUP(B82,'Base de Datos'!$C$7:$N$315,10,0)))</f>
        <v xml:space="preserve"> </v>
      </c>
      <c r="R82" s="710" t="str">
        <f>IF(ISERROR(VLOOKUP(B82,'Base de Datos'!$C$7:$N$315,11,0))=TRUE," ",(VLOOKUP(B82,'Base de Datos'!$C$7:$N$315,11,0)))</f>
        <v xml:space="preserve"> </v>
      </c>
      <c r="S82" s="614"/>
      <c r="T82" s="722"/>
      <c r="U82" s="779"/>
    </row>
    <row r="83" spans="2:21" s="615" customFormat="1" outlineLevel="1" x14ac:dyDescent="0.25">
      <c r="B83" s="614"/>
      <c r="C83" s="614"/>
      <c r="D83" s="614"/>
      <c r="E83" s="614"/>
      <c r="F83" s="580"/>
      <c r="G83" s="812"/>
      <c r="H83" s="812"/>
      <c r="I83" s="534"/>
      <c r="J83" s="580"/>
      <c r="K83" s="612"/>
      <c r="L83" s="580"/>
      <c r="M83" s="580"/>
      <c r="N83" s="690"/>
      <c r="O83" s="613"/>
      <c r="P83" s="614"/>
      <c r="Q83" s="613"/>
      <c r="R83" s="613"/>
      <c r="S83" s="614"/>
      <c r="T83" s="722"/>
      <c r="U83" s="779"/>
    </row>
    <row r="84" spans="2:21" x14ac:dyDescent="0.25">
      <c r="B84" s="1217" t="s">
        <v>1653</v>
      </c>
      <c r="C84" s="1217"/>
      <c r="D84" s="1217"/>
      <c r="E84" s="1217"/>
      <c r="F84" s="792"/>
      <c r="G84" s="791">
        <f>COUNT(G86:G94)</f>
        <v>9</v>
      </c>
      <c r="H84" s="791">
        <f>COUNTIF(H86:H94,Hoja1!$J$2)</f>
        <v>1</v>
      </c>
      <c r="I84" s="793"/>
      <c r="J84" s="792">
        <f>SUM(J86:J95)</f>
        <v>40456141</v>
      </c>
      <c r="K84" s="794" t="e">
        <f>J84/F84</f>
        <v>#DIV/0!</v>
      </c>
      <c r="L84" s="792">
        <f>SUM(L86:L95)</f>
        <v>4300000</v>
      </c>
      <c r="M84" s="792">
        <f>+F84-J84-L84</f>
        <v>-44756141</v>
      </c>
      <c r="N84" s="796"/>
      <c r="O84" s="797" t="str">
        <f>IF(ISERROR(VLOOKUP(B84,'Base de Datos'!$C$7:$N$315,8,0))=TRUE," ",(VLOOKUP(B84,'Base de Datos'!$C$7:$N$315,8,0)))</f>
        <v xml:space="preserve"> </v>
      </c>
      <c r="P84" s="798"/>
      <c r="Q84" s="797" t="str">
        <f>IF(ISERROR(VLOOKUP(B84,'Base de Datos'!$C$7:$N$315,9,0))=TRUE," ",(VLOOKUP(B84,'Base de Datos'!$C$7:$N$315,9,0)))</f>
        <v xml:space="preserve"> </v>
      </c>
      <c r="R84" s="797" t="str">
        <f>IF(ISERROR(VLOOKUP(B84,'Base de Datos'!$C$7:$N$315,10,0))=TRUE," ",(VLOOKUP(B84,'Base de Datos'!$C$7:$N$315,10,0)))</f>
        <v xml:space="preserve"> </v>
      </c>
      <c r="S84" s="790"/>
      <c r="T84" s="722"/>
      <c r="U84" s="634"/>
    </row>
    <row r="85" spans="2:21" s="615" customFormat="1" ht="24" outlineLevel="1" x14ac:dyDescent="0.25">
      <c r="B85" s="627" t="s">
        <v>2343</v>
      </c>
      <c r="C85" s="627"/>
      <c r="D85" s="627" t="s">
        <v>912</v>
      </c>
      <c r="E85" s="627" t="s">
        <v>1822</v>
      </c>
      <c r="F85" s="776" t="s">
        <v>1846</v>
      </c>
      <c r="G85" s="812" t="s">
        <v>2345</v>
      </c>
      <c r="H85" s="812" t="s">
        <v>2349</v>
      </c>
      <c r="I85" s="534" t="s">
        <v>2350</v>
      </c>
      <c r="J85" s="627" t="s">
        <v>1845</v>
      </c>
      <c r="K85" s="612"/>
      <c r="L85" s="627" t="s">
        <v>1939</v>
      </c>
      <c r="M85" s="627" t="s">
        <v>1940</v>
      </c>
      <c r="N85" s="777" t="s">
        <v>1122</v>
      </c>
      <c r="O85" s="778" t="s">
        <v>1847</v>
      </c>
      <c r="P85" s="627" t="s">
        <v>1848</v>
      </c>
      <c r="Q85" s="627" t="s">
        <v>1849</v>
      </c>
      <c r="R85" s="627" t="s">
        <v>375</v>
      </c>
      <c r="S85" s="627" t="s">
        <v>1850</v>
      </c>
      <c r="T85" s="722"/>
      <c r="U85" s="779"/>
    </row>
    <row r="86" spans="2:21" s="615" customFormat="1" ht="24" outlineLevel="1" x14ac:dyDescent="0.25">
      <c r="B86" s="627">
        <v>137</v>
      </c>
      <c r="C86" s="627" t="str">
        <f t="shared" ref="C86:C94" si="8">$W$6&amp;B86</f>
        <v>2016137</v>
      </c>
      <c r="D86" s="533" t="str">
        <f>IF(ISERROR(VLOOKUP(C86,'Base de Datos'!$D$7:$F$4092,2,0))=TRUE,"",(VLOOKUP(C86,'Base de Datos'!$D$7:$F$4092,2,0)))</f>
        <v/>
      </c>
      <c r="E86" s="614" t="s">
        <v>2305</v>
      </c>
      <c r="F86" s="580">
        <v>4300000</v>
      </c>
      <c r="G86" s="812">
        <v>42415</v>
      </c>
      <c r="H86" s="812"/>
      <c r="I86" s="833" t="str">
        <f ca="1">IF(H86=Hoja1!$J$2," ",(IF(MONTH(G86)=MONTH(TODAY()),IF(DAY(G86)&gt;DAY(TODAY()),"Quedan "&amp;ABS(DAY(G86)-DAY(TODAY()))&amp;" Días","Hace "&amp;ABS(DAY(G86)-DAY(TODAY()))&amp;" Días"),"")))</f>
        <v/>
      </c>
      <c r="J86" s="536" t="str">
        <f>IF(ISERROR(VLOOKUP(C86,'Base de Datos'!$D$7:$N$4092,6,0))=TRUE,"Sin Celebrar",(VLOOKUP(C86,'Base de Datos'!$D$7:$N$4092,6,0)))</f>
        <v>Sin Celebrar</v>
      </c>
      <c r="K86" s="612"/>
      <c r="L86" s="536">
        <f t="shared" ref="L86:L94" si="9">IF(J86=$W$7,F86, " ")</f>
        <v>4300000</v>
      </c>
      <c r="M86" s="536" t="str">
        <f t="shared" ref="M86:M95" si="10">IF(J86&lt;F86,(F86-J86)," ")</f>
        <v xml:space="preserve"> </v>
      </c>
      <c r="N86" s="719" t="str">
        <f>IF(ISERROR(VLOOKUP(C86,'Base de Datos'!$D$7:$K$1048576,7,0))=TRUE," ",(VLOOKUP(C86,'Base de Datos'!$D$7:$K$1048576,7,0)))</f>
        <v xml:space="preserve"> </v>
      </c>
      <c r="O86" s="551" t="str">
        <f>IF(ISERROR(VLOOKUP(C86,'Base de Datos'!$D$7:$N$4077,9,0))=TRUE," ",(VLOOKUP(C86,'Base de Datos'!$D$7:$N$4077,9,0)))</f>
        <v xml:space="preserve"> </v>
      </c>
      <c r="P86" s="613" t="e">
        <f>VLOOKUP(B86,#REF!,13,0)</f>
        <v>#REF!</v>
      </c>
      <c r="Q86" s="551" t="str">
        <f>IF(ISERROR(VLOOKUP(C86,'Base de Datos'!$D$7:$N$4077,10,0))=TRUE," ",(VLOOKUP(C86,'Base de Datos'!$D$7:$N$4077,10,0)))</f>
        <v xml:space="preserve"> </v>
      </c>
      <c r="R86" s="551" t="str">
        <f>IF(ISERROR(VLOOKUP(C86,'Base de Datos'!$D$7:$N$4077,11,0))=TRUE," ",(VLOOKUP(C86,'Base de Datos'!$D$7:$N$4077,11,0)))</f>
        <v xml:space="preserve"> </v>
      </c>
      <c r="S86" s="614" t="s">
        <v>1510</v>
      </c>
      <c r="T86" s="722"/>
      <c r="U86" s="779"/>
    </row>
    <row r="87" spans="2:21" s="615" customFormat="1" ht="24" outlineLevel="1" x14ac:dyDescent="0.25">
      <c r="B87" s="627">
        <v>138</v>
      </c>
      <c r="C87" s="627" t="str">
        <f t="shared" si="8"/>
        <v>2016138</v>
      </c>
      <c r="D87" s="533" t="str">
        <f>IF(ISERROR(VLOOKUP(C87,'Base de Datos'!$D$7:$F$4092,2,0))=TRUE,"",(VLOOKUP(C87,'Base de Datos'!$D$7:$F$4092,2,0)))</f>
        <v>160245-0-2016</v>
      </c>
      <c r="E87" s="614" t="s">
        <v>2306</v>
      </c>
      <c r="F87" s="580">
        <v>810600</v>
      </c>
      <c r="G87" s="812">
        <v>42592</v>
      </c>
      <c r="H87" s="812"/>
      <c r="I87" s="833" t="str">
        <f ca="1">IF(H87=Hoja1!$J$2," ",(IF(MONTH(G87)=MONTH(TODAY()),IF(DAY(G87)&gt;DAY(TODAY()),"Quedan "&amp;ABS(DAY(G87)-DAY(TODAY()))&amp;" Días","Hace "&amp;ABS(DAY(G87)-DAY(TODAY()))&amp;" Días"),"")))</f>
        <v/>
      </c>
      <c r="J87" s="536">
        <f>IF(ISERROR(VLOOKUP(C87,'Base de Datos'!$D$7:$N$4092,6,0))=TRUE,"Sin Celebrar",(VLOOKUP(C87,'Base de Datos'!$D$7:$N$4092,6,0)))</f>
        <v>817587</v>
      </c>
      <c r="K87" s="612"/>
      <c r="L87" s="536" t="str">
        <f t="shared" si="9"/>
        <v xml:space="preserve"> </v>
      </c>
      <c r="M87" s="536" t="str">
        <f t="shared" si="10"/>
        <v xml:space="preserve"> </v>
      </c>
      <c r="N87" s="719" t="str">
        <f>IF(ISERROR(VLOOKUP(C87,'Base de Datos'!$D$7:$K$1048576,7,0))=TRUE," ",(VLOOKUP(C87,'Base de Datos'!$D$7:$K$1048576,7,0)))</f>
        <v>160245-0-2016</v>
      </c>
      <c r="O87" s="551">
        <f>IF(ISERROR(VLOOKUP(C87,'Base de Datos'!$D$7:$N$4077,9,0))=TRUE," ",(VLOOKUP(C87,'Base de Datos'!$D$7:$N$4077,9,0)))</f>
        <v>42643</v>
      </c>
      <c r="P87" s="613" t="e">
        <f>VLOOKUP(B87,#REF!,13,0)</f>
        <v>#REF!</v>
      </c>
      <c r="Q87" s="551">
        <f>IF(ISERROR(VLOOKUP(C87,'Base de Datos'!$D$7:$N$4077,10,0))=TRUE," ",(VLOOKUP(C87,'Base de Datos'!$D$7:$N$4077,10,0)))</f>
        <v>42703</v>
      </c>
      <c r="R87" s="551">
        <f>IF(ISERROR(VLOOKUP(C87,'Base de Datos'!$D$7:$N$4077,11,0))=TRUE," ",(VLOOKUP(C87,'Base de Datos'!$D$7:$N$4077,11,0)))</f>
        <v>43068</v>
      </c>
      <c r="S87" s="614" t="s">
        <v>1510</v>
      </c>
      <c r="T87" s="722"/>
      <c r="U87" s="779"/>
    </row>
    <row r="88" spans="2:21" s="615" customFormat="1" ht="24" outlineLevel="1" x14ac:dyDescent="0.25">
      <c r="B88" s="627">
        <v>141</v>
      </c>
      <c r="C88" s="627" t="str">
        <f t="shared" si="8"/>
        <v>2016141</v>
      </c>
      <c r="D88" s="533" t="str">
        <f>IF(ISERROR(VLOOKUP(C88,'Base de Datos'!$D$7:$F$4092,2,0))=TRUE,"",(VLOOKUP(C88,'Base de Datos'!$D$7:$F$4092,2,0)))</f>
        <v>160213-0-2016</v>
      </c>
      <c r="E88" s="614" t="s">
        <v>2307</v>
      </c>
      <c r="F88" s="580">
        <v>857000</v>
      </c>
      <c r="G88" s="812">
        <v>42614</v>
      </c>
      <c r="H88" s="812"/>
      <c r="I88" s="833" t="str">
        <f ca="1">IF(H88=Hoja1!$J$2," ",(IF(MONTH(G88)=MONTH(TODAY()),IF(DAY(G88)&gt;DAY(TODAY()),"Quedan "&amp;ABS(DAY(G88)-DAY(TODAY()))&amp;" Días","Hace "&amp;ABS(DAY(G88)-DAY(TODAY()))&amp;" Días"),"")))</f>
        <v/>
      </c>
      <c r="J88" s="536">
        <f>IF(ISERROR(VLOOKUP(C88,'Base de Datos'!$D$7:$N$4092,6,0))=TRUE,"Sin Celebrar",(VLOOKUP(C88,'Base de Datos'!$D$7:$N$4092,6,0)))</f>
        <v>825000</v>
      </c>
      <c r="K88" s="612"/>
      <c r="L88" s="536" t="str">
        <f t="shared" si="9"/>
        <v xml:space="preserve"> </v>
      </c>
      <c r="M88" s="536">
        <f t="shared" si="10"/>
        <v>32000</v>
      </c>
      <c r="N88" s="719" t="str">
        <f>IF(ISERROR(VLOOKUP(C88,'Base de Datos'!$D$7:$K$1048576,7,0))=TRUE," ",(VLOOKUP(C88,'Base de Datos'!$D$7:$K$1048576,7,0)))</f>
        <v>160213-0-2016</v>
      </c>
      <c r="O88" s="551">
        <f>IF(ISERROR(VLOOKUP(C88,'Base de Datos'!$D$7:$N$4077,9,0))=TRUE," ",(VLOOKUP(C88,'Base de Datos'!$D$7:$N$4077,9,0)))</f>
        <v>42619</v>
      </c>
      <c r="P88" s="613" t="e">
        <f>VLOOKUP(B88,#REF!,13,0)</f>
        <v>#REF!</v>
      </c>
      <c r="Q88" s="551">
        <f>IF(ISERROR(VLOOKUP(C88,'Base de Datos'!$D$7:$N$4077,10,0))=TRUE," ",(VLOOKUP(C88,'Base de Datos'!$D$7:$N$4077,10,0)))</f>
        <v>42646</v>
      </c>
      <c r="R88" s="551">
        <f>IF(ISERROR(VLOOKUP(C88,'Base de Datos'!$D$7:$N$4077,11,0))=TRUE," ",(VLOOKUP(C88,'Base de Datos'!$D$7:$N$4077,11,0)))</f>
        <v>43011</v>
      </c>
      <c r="S88" s="614" t="s">
        <v>2353</v>
      </c>
      <c r="T88" s="722"/>
      <c r="U88" s="779"/>
    </row>
    <row r="89" spans="2:21" s="615" customFormat="1" ht="24" outlineLevel="1" x14ac:dyDescent="0.25">
      <c r="B89" s="627">
        <v>214</v>
      </c>
      <c r="C89" s="627" t="str">
        <f t="shared" si="8"/>
        <v>2016214</v>
      </c>
      <c r="D89" s="533" t="str">
        <f>IF(ISERROR(VLOOKUP(C89,'Base de Datos'!$D$7:$F$4092,2,0))=TRUE,"",(VLOOKUP(C89,'Base de Datos'!$D$7:$F$4092,2,0)))</f>
        <v>160188-0-2016</v>
      </c>
      <c r="E89" s="614" t="s">
        <v>2308</v>
      </c>
      <c r="F89" s="580">
        <v>39240600</v>
      </c>
      <c r="G89" s="812">
        <v>42374</v>
      </c>
      <c r="H89" s="812"/>
      <c r="I89" s="833" t="str">
        <f ca="1">IF(H89=Hoja1!$J$2," ",(IF(MONTH(G89)=MONTH(TODAY()),IF(DAY(G89)&gt;DAY(TODAY()),"Quedan "&amp;ABS(DAY(G89)-DAY(TODAY()))&amp;" Días","Hace "&amp;ABS(DAY(G89)-DAY(TODAY()))&amp;" Días"),"")))</f>
        <v/>
      </c>
      <c r="J89" s="536">
        <f>IF(ISERROR(VLOOKUP(C89,'Base de Datos'!$D$7:$N$4092,6,0))=TRUE,"Sin Celebrar",(VLOOKUP(C89,'Base de Datos'!$D$7:$N$4092,6,0)))</f>
        <v>26540000</v>
      </c>
      <c r="K89" s="612"/>
      <c r="L89" s="536" t="str">
        <f t="shared" si="9"/>
        <v xml:space="preserve"> </v>
      </c>
      <c r="M89" s="536">
        <f t="shared" si="10"/>
        <v>12700600</v>
      </c>
      <c r="N89" s="719" t="str">
        <f>IF(ISERROR(VLOOKUP(C89,'Base de Datos'!$D$7:$K$1048576,7,0))=TRUE," ",(VLOOKUP(C89,'Base de Datos'!$D$7:$K$1048576,7,0)))</f>
        <v>SDH-SIE-10-2016</v>
      </c>
      <c r="O89" s="551">
        <f>IF(ISERROR(VLOOKUP(C89,'Base de Datos'!$D$7:$N$4077,9,0))=TRUE," ",(VLOOKUP(C89,'Base de Datos'!$D$7:$N$4077,9,0)))</f>
        <v>42580</v>
      </c>
      <c r="P89" s="613" t="e">
        <f>VLOOKUP(B89,#REF!,13,0)</f>
        <v>#REF!</v>
      </c>
      <c r="Q89" s="551">
        <f>IF(ISERROR(VLOOKUP(C89,'Base de Datos'!$D$7:$N$4077,10,0))=TRUE," ",(VLOOKUP(C89,'Base de Datos'!$D$7:$N$4077,10,0)))</f>
        <v>42583</v>
      </c>
      <c r="R89" s="551">
        <f>IF(ISERROR(VLOOKUP(C89,'Base de Datos'!$D$7:$N$4077,11,0))=TRUE," ",(VLOOKUP(C89,'Base de Datos'!$D$7:$N$4077,11,0)))</f>
        <v>42767</v>
      </c>
      <c r="S89" s="614" t="s">
        <v>981</v>
      </c>
      <c r="T89" s="722"/>
      <c r="U89" s="779"/>
    </row>
    <row r="90" spans="2:21" s="615" customFormat="1" ht="24" outlineLevel="1" x14ac:dyDescent="0.25">
      <c r="B90" s="627">
        <v>134</v>
      </c>
      <c r="C90" s="627" t="str">
        <f t="shared" si="8"/>
        <v>2016134</v>
      </c>
      <c r="D90" s="533" t="str">
        <f>IF(ISERROR(VLOOKUP(C90,'Base de Datos'!$D$7:$F$4092,2,0))=TRUE,"",(VLOOKUP(C90,'Base de Datos'!$D$7:$F$4092,2,0)))</f>
        <v>160199-0-2016</v>
      </c>
      <c r="E90" s="614" t="s">
        <v>2309</v>
      </c>
      <c r="F90" s="580">
        <v>927600</v>
      </c>
      <c r="G90" s="812">
        <v>42522</v>
      </c>
      <c r="H90" s="812"/>
      <c r="I90" s="833" t="str">
        <f ca="1">IF(H90=Hoja1!$J$2," ",(IF(MONTH(G90)=MONTH(TODAY()),IF(DAY(G90)&gt;DAY(TODAY()),"Quedan "&amp;ABS(DAY(G90)-DAY(TODAY()))&amp;" Días","Hace "&amp;ABS(DAY(G90)-DAY(TODAY()))&amp;" Días"),"")))</f>
        <v>Hace 26 Días</v>
      </c>
      <c r="J90" s="536">
        <f>IF(ISERROR(VLOOKUP(C90,'Base de Datos'!$D$7:$N$4092,6,0))=TRUE,"Sin Celebrar",(VLOOKUP(C90,'Base de Datos'!$D$7:$N$4092,6,0)))</f>
        <v>1132400</v>
      </c>
      <c r="K90" s="612"/>
      <c r="L90" s="536" t="str">
        <f t="shared" si="9"/>
        <v xml:space="preserve"> </v>
      </c>
      <c r="M90" s="536" t="str">
        <f t="shared" si="10"/>
        <v xml:space="preserve"> </v>
      </c>
      <c r="N90" s="719" t="str">
        <f>IF(ISERROR(VLOOKUP(C90,'Base de Datos'!$D$7:$K$1048576,7,0))=TRUE," ",(VLOOKUP(C90,'Base de Datos'!$D$7:$K$1048576,7,0)))</f>
        <v>SDH-SMINC-30-2016</v>
      </c>
      <c r="O90" s="551">
        <f>IF(ISERROR(VLOOKUP(C90,'Base de Datos'!$D$7:$N$4077,9,0))=TRUE," ",(VLOOKUP(C90,'Base de Datos'!$D$7:$N$4077,9,0)))</f>
        <v>42591</v>
      </c>
      <c r="P90" s="613" t="e">
        <f>VLOOKUP(B90,#REF!,13,0)</f>
        <v>#REF!</v>
      </c>
      <c r="Q90" s="551">
        <f>IF(ISERROR(VLOOKUP(C90,'Base de Datos'!$D$7:$N$4077,10,0))=TRUE," ",(VLOOKUP(C90,'Base de Datos'!$D$7:$N$4077,10,0)))</f>
        <v>42604</v>
      </c>
      <c r="R90" s="551">
        <f>IF(ISERROR(VLOOKUP(C90,'Base de Datos'!$D$7:$N$4077,11,0))=TRUE," ",(VLOOKUP(C90,'Base de Datos'!$D$7:$N$4077,11,0)))</f>
        <v>42969</v>
      </c>
      <c r="S90" s="614" t="s">
        <v>1510</v>
      </c>
      <c r="T90" s="722"/>
      <c r="U90" s="779"/>
    </row>
    <row r="91" spans="2:21" s="615" customFormat="1" ht="24" outlineLevel="1" x14ac:dyDescent="0.25">
      <c r="B91" s="627">
        <v>135</v>
      </c>
      <c r="C91" s="627" t="str">
        <f t="shared" si="8"/>
        <v>2016135</v>
      </c>
      <c r="D91" s="533" t="str">
        <f>IF(ISERROR(VLOOKUP(C91,'Base de Datos'!$D$7:$F$4092,2,0))=TRUE,"",(VLOOKUP(C91,'Base de Datos'!$D$7:$F$4092,2,0)))</f>
        <v>160022-0-2016</v>
      </c>
      <c r="E91" s="533" t="str">
        <f>IF(ISERROR(VLOOKUP(C91,'Base de Datos'!$D$7:$F$4092,3,0))=TRUE,"",(VLOOKUP(C91,'Base de Datos'!$D$7:$F$4092,3,0)))</f>
        <v>CASA EDITORIAL EL TIEMPO SA</v>
      </c>
      <c r="F91" s="580">
        <v>1280000</v>
      </c>
      <c r="G91" s="812">
        <v>42410</v>
      </c>
      <c r="H91" s="812" t="s">
        <v>390</v>
      </c>
      <c r="I91" s="833" t="str">
        <f ca="1">IF(H91=Hoja1!$J$2," ",(IF(MONTH(G91)=MONTH(TODAY()),IF(DAY(G91)&gt;DAY(TODAY()),"Quedan "&amp;ABS(DAY(G91)-DAY(TODAY()))&amp;" Días","Hace "&amp;ABS(DAY(G91)-DAY(TODAY()))&amp;" Días"),"")))</f>
        <v xml:space="preserve"> </v>
      </c>
      <c r="J91" s="536">
        <f>IF(ISERROR(VLOOKUP(C91,'Base de Datos'!$D$7:$N$4092,6,0))=TRUE,"Sin Celebrar",(VLOOKUP(C91,'Base de Datos'!$D$7:$N$4092,6,0)))</f>
        <v>1226994</v>
      </c>
      <c r="K91" s="612"/>
      <c r="L91" s="536" t="str">
        <f t="shared" si="9"/>
        <v xml:space="preserve"> </v>
      </c>
      <c r="M91" s="536">
        <f t="shared" si="10"/>
        <v>53006</v>
      </c>
      <c r="N91" s="719" t="str">
        <f>IF(ISERROR(VLOOKUP(C91,'Base de Datos'!$D$7:$K$1048576,7,0))=TRUE," ",(VLOOKUP(C91,'Base de Datos'!$D$7:$K$1048576,7,0)))</f>
        <v>160022-0-2016</v>
      </c>
      <c r="O91" s="551">
        <f>IF(ISERROR(VLOOKUP(C91,'Base de Datos'!$D$7:$N$4077,9,0))=TRUE," ",(VLOOKUP(C91,'Base de Datos'!$D$7:$N$4077,9,0)))</f>
        <v>42429</v>
      </c>
      <c r="P91" s="844" t="e">
        <f>VLOOKUP(B91,#REF!,13,0)</f>
        <v>#REF!</v>
      </c>
      <c r="Q91" s="551">
        <f>IF(ISERROR(VLOOKUP(C91,'Base de Datos'!$D$7:$N$4077,10,0))=TRUE," ",(VLOOKUP(C91,'Base de Datos'!$D$7:$N$4077,10,0)))</f>
        <v>42451</v>
      </c>
      <c r="R91" s="551">
        <f>IF(ISERROR(VLOOKUP(C91,'Base de Datos'!$D$7:$N$4077,11,0))=TRUE," ",(VLOOKUP(C91,'Base de Datos'!$D$7:$N$4077,11,0)))</f>
        <v>42816</v>
      </c>
      <c r="S91" s="614" t="s">
        <v>1510</v>
      </c>
      <c r="T91" s="722"/>
      <c r="U91" s="779"/>
    </row>
    <row r="92" spans="2:21" s="615" customFormat="1" ht="24" outlineLevel="1" x14ac:dyDescent="0.25">
      <c r="B92" s="627">
        <v>136</v>
      </c>
      <c r="C92" s="627" t="str">
        <f t="shared" si="8"/>
        <v>2016136</v>
      </c>
      <c r="D92" s="533" t="str">
        <f>IF(ISERROR(VLOOKUP(C92,'Base de Datos'!$D$7:$F$4092,2,0))=TRUE,"",(VLOOKUP(C92,'Base de Datos'!$D$7:$F$4092,2,0)))</f>
        <v>160048-0-2016</v>
      </c>
      <c r="E92" s="614" t="s">
        <v>2310</v>
      </c>
      <c r="F92" s="580">
        <v>8034000</v>
      </c>
      <c r="G92" s="812">
        <v>42475</v>
      </c>
      <c r="H92" s="812"/>
      <c r="I92" s="833" t="str">
        <f ca="1">IF(H92=Hoja1!$J$2," ",(IF(MONTH(G92)=MONTH(TODAY()),IF(DAY(G92)&gt;DAY(TODAY()),"Quedan "&amp;ABS(DAY(G92)-DAY(TODAY()))&amp;" Días","Hace "&amp;ABS(DAY(G92)-DAY(TODAY()))&amp;" Días"),"")))</f>
        <v/>
      </c>
      <c r="J92" s="536">
        <f>IF(ISERROR(VLOOKUP(C92,'Base de Datos'!$D$7:$N$4092,6,0))=TRUE,"Sin Celebrar",(VLOOKUP(C92,'Base de Datos'!$D$7:$N$4092,6,0)))</f>
        <v>8010000</v>
      </c>
      <c r="K92" s="612"/>
      <c r="L92" s="536" t="str">
        <f t="shared" si="9"/>
        <v xml:space="preserve"> </v>
      </c>
      <c r="M92" s="536">
        <f t="shared" si="10"/>
        <v>24000</v>
      </c>
      <c r="N92" s="719" t="str">
        <f>IF(ISERROR(VLOOKUP(C92,'Base de Datos'!$D$7:$K$1048576,7,0))=TRUE," ",(VLOOKUP(C92,'Base de Datos'!$D$7:$K$1048576,7,0)))</f>
        <v>160048-0-2016</v>
      </c>
      <c r="O92" s="551">
        <f>IF(ISERROR(VLOOKUP(C92,'Base de Datos'!$D$7:$N$4077,9,0))=TRUE," ",(VLOOKUP(C92,'Base de Datos'!$D$7:$N$4077,9,0)))</f>
        <v>42508</v>
      </c>
      <c r="P92" s="613" t="e">
        <f>VLOOKUP(B92,#REF!,13,0)</f>
        <v>#REF!</v>
      </c>
      <c r="Q92" s="551">
        <f>IF(ISERROR(VLOOKUP(C92,'Base de Datos'!$D$7:$N$4077,10,0))=TRUE," ",(VLOOKUP(C92,'Base de Datos'!$D$7:$N$4077,10,0)))</f>
        <v>42513</v>
      </c>
      <c r="R92" s="551">
        <f>IF(ISERROR(VLOOKUP(C92,'Base de Datos'!$D$7:$N$4077,11,0))=TRUE," ",(VLOOKUP(C92,'Base de Datos'!$D$7:$N$4077,11,0)))</f>
        <v>42878</v>
      </c>
      <c r="S92" s="614" t="s">
        <v>1510</v>
      </c>
      <c r="T92" s="722"/>
      <c r="U92" s="779"/>
    </row>
    <row r="93" spans="2:21" s="615" customFormat="1" ht="24" outlineLevel="1" x14ac:dyDescent="0.25">
      <c r="B93" s="627">
        <v>139</v>
      </c>
      <c r="C93" s="627" t="str">
        <f t="shared" si="8"/>
        <v>2016139</v>
      </c>
      <c r="D93" s="533" t="str">
        <f>IF(ISERROR(VLOOKUP(C93,'Base de Datos'!$D$7:$F$4092,2,0))=TRUE,"",(VLOOKUP(C93,'Base de Datos'!$D$7:$F$4092,2,0)))</f>
        <v>160234-0-2016</v>
      </c>
      <c r="E93" s="614" t="s">
        <v>2311</v>
      </c>
      <c r="F93" s="580">
        <v>994200</v>
      </c>
      <c r="G93" s="812">
        <v>42566</v>
      </c>
      <c r="H93" s="812"/>
      <c r="I93" s="833" t="str">
        <f ca="1">IF(H93=Hoja1!$J$2," ",(IF(MONTH(G93)=MONTH(TODAY()),IF(DAY(G93)&gt;DAY(TODAY()),"Quedan "&amp;ABS(DAY(G93)-DAY(TODAY()))&amp;" Días","Hace "&amp;ABS(DAY(G93)-DAY(TODAY()))&amp;" Días"),"")))</f>
        <v/>
      </c>
      <c r="J93" s="536">
        <f>IF(ISERROR(VLOOKUP(C93,'Base de Datos'!$D$7:$N$4092,6,0))=TRUE,"Sin Celebrar",(VLOOKUP(C93,'Base de Datos'!$D$7:$N$4092,6,0)))</f>
        <v>974160</v>
      </c>
      <c r="K93" s="612"/>
      <c r="L93" s="536" t="str">
        <f t="shared" si="9"/>
        <v xml:space="preserve"> </v>
      </c>
      <c r="M93" s="536">
        <f t="shared" si="10"/>
        <v>20040</v>
      </c>
      <c r="N93" s="719" t="str">
        <f>IF(ISERROR(VLOOKUP(C93,'Base de Datos'!$D$7:$K$1048576,7,0))=TRUE," ",(VLOOKUP(C93,'Base de Datos'!$D$7:$K$1048576,7,0)))</f>
        <v>160234-0-2016</v>
      </c>
      <c r="O93" s="551">
        <f>IF(ISERROR(VLOOKUP(C93,'Base de Datos'!$D$7:$N$4077,9,0))=TRUE," ",(VLOOKUP(C93,'Base de Datos'!$D$7:$N$4077,9,0)))</f>
        <v>42636</v>
      </c>
      <c r="P93" s="613" t="e">
        <f>VLOOKUP(B93,#REF!,13,0)</f>
        <v>#REF!</v>
      </c>
      <c r="Q93" s="551">
        <f>IF(ISERROR(VLOOKUP(C93,'Base de Datos'!$D$7:$N$4077,10,0))=TRUE," ",(VLOOKUP(C93,'Base de Datos'!$D$7:$N$4077,10,0)))</f>
        <v>42643</v>
      </c>
      <c r="R93" s="551">
        <f>IF(ISERROR(VLOOKUP(C93,'Base de Datos'!$D$7:$N$4077,11,0))=TRUE," ",(VLOOKUP(C93,'Base de Datos'!$D$7:$N$4077,11,0)))</f>
        <v>43008</v>
      </c>
      <c r="S93" s="614" t="s">
        <v>1510</v>
      </c>
      <c r="T93" s="722"/>
      <c r="U93" s="779"/>
    </row>
    <row r="94" spans="2:21" s="615" customFormat="1" ht="24" outlineLevel="1" x14ac:dyDescent="0.25">
      <c r="B94" s="627">
        <v>140</v>
      </c>
      <c r="C94" s="627" t="str">
        <f t="shared" si="8"/>
        <v>2016140</v>
      </c>
      <c r="D94" s="533" t="str">
        <f>IF(ISERROR(VLOOKUP(C94,'Base de Datos'!$D$7:$F$4092,2,0))=TRUE,"",(VLOOKUP(C94,'Base de Datos'!$D$7:$F$4092,2,0)))</f>
        <v>160238-0-2016</v>
      </c>
      <c r="E94" s="614" t="s">
        <v>2312</v>
      </c>
      <c r="F94" s="580">
        <v>908000</v>
      </c>
      <c r="G94" s="812">
        <v>42597</v>
      </c>
      <c r="H94" s="812"/>
      <c r="I94" s="833" t="str">
        <f ca="1">IF(H94=Hoja1!$J$2," ",(IF(MONTH(G94)=MONTH(TODAY()),IF(DAY(G94)&gt;DAY(TODAY()),"Quedan "&amp;ABS(DAY(G94)-DAY(TODAY()))&amp;" Días","Hace "&amp;ABS(DAY(G94)-DAY(TODAY()))&amp;" Días"),"")))</f>
        <v/>
      </c>
      <c r="J94" s="536">
        <f>IF(ISERROR(VLOOKUP(C94,'Base de Datos'!$D$7:$N$4092,6,0))=TRUE,"Sin Celebrar",(VLOOKUP(C94,'Base de Datos'!$D$7:$N$4092,6,0)))</f>
        <v>930000</v>
      </c>
      <c r="K94" s="612"/>
      <c r="L94" s="536" t="str">
        <f t="shared" si="9"/>
        <v xml:space="preserve"> </v>
      </c>
      <c r="M94" s="536" t="str">
        <f t="shared" si="10"/>
        <v xml:space="preserve"> </v>
      </c>
      <c r="N94" s="719" t="str">
        <f>IF(ISERROR(VLOOKUP(C94,'Base de Datos'!$D$7:$K$1048576,7,0))=TRUE," ",(VLOOKUP(C94,'Base de Datos'!$D$7:$K$1048576,7,0)))</f>
        <v>160238-0-2016</v>
      </c>
      <c r="O94" s="551">
        <f>IF(ISERROR(VLOOKUP(C94,'Base de Datos'!$D$7:$N$4077,9,0))=TRUE," ",(VLOOKUP(C94,'Base de Datos'!$D$7:$N$4077,9,0)))</f>
        <v>42640</v>
      </c>
      <c r="P94" s="613" t="e">
        <f>VLOOKUP(B94,#REF!,13,0)</f>
        <v>#REF!</v>
      </c>
      <c r="Q94" s="551">
        <f>IF(ISERROR(VLOOKUP(C94,'Base de Datos'!$D$7:$N$4077,10,0))=TRUE," ",(VLOOKUP(C94,'Base de Datos'!$D$7:$N$4077,10,0)))</f>
        <v>42647</v>
      </c>
      <c r="R94" s="551">
        <f>IF(ISERROR(VLOOKUP(C94,'Base de Datos'!$D$7:$N$4077,11,0))=TRUE," ",(VLOOKUP(C94,'Base de Datos'!$D$7:$N$4077,11,0)))</f>
        <v>43012</v>
      </c>
      <c r="S94" s="614" t="s">
        <v>1510</v>
      </c>
      <c r="T94" s="722"/>
      <c r="U94" s="779"/>
    </row>
    <row r="95" spans="2:21" s="615" customFormat="1" outlineLevel="1" x14ac:dyDescent="0.25">
      <c r="B95" s="614"/>
      <c r="C95" s="614"/>
      <c r="D95" s="614"/>
      <c r="E95" s="614" t="s">
        <v>1935</v>
      </c>
      <c r="F95" s="580"/>
      <c r="G95" s="812"/>
      <c r="H95" s="812"/>
      <c r="I95" s="534"/>
      <c r="J95" s="580"/>
      <c r="K95" s="612"/>
      <c r="L95" s="580"/>
      <c r="M95" s="708" t="str">
        <f t="shared" si="10"/>
        <v xml:space="preserve"> </v>
      </c>
      <c r="N95" s="809"/>
      <c r="O95" s="613" t="str">
        <f>IF(ISERROR(VLOOKUP(B95,'Base de Datos'!$C$7:$N$4077,9,0))=TRUE," ",(VLOOKUP(B95,'Base de Datos'!$C$7:$N$4077,9,0)))</f>
        <v xml:space="preserve"> </v>
      </c>
      <c r="P95" s="614"/>
      <c r="Q95" s="710" t="str">
        <f>IF(ISERROR(VLOOKUP(B95,'Base de Datos'!$C$7:$N$4077,10,0))=TRUE," ",(VLOOKUP(B95,'Base de Datos'!$C$7:$N$4077,10,0)))</f>
        <v xml:space="preserve"> </v>
      </c>
      <c r="R95" s="710" t="str">
        <f>IF(ISERROR(VLOOKUP(B95,'Base de Datos'!$C$7:$N$4077,11,0))=TRUE," ",(VLOOKUP(B95,'Base de Datos'!$C$7:$N$4077,11,0)))</f>
        <v xml:space="preserve"> </v>
      </c>
      <c r="S95" s="614"/>
      <c r="T95" s="722"/>
      <c r="U95" s="779"/>
    </row>
    <row r="96" spans="2:21" s="615" customFormat="1" outlineLevel="1" x14ac:dyDescent="0.25">
      <c r="B96" s="614"/>
      <c r="C96" s="614"/>
      <c r="D96" s="614"/>
      <c r="E96" s="614"/>
      <c r="F96" s="580"/>
      <c r="G96" s="812"/>
      <c r="H96" s="812"/>
      <c r="I96" s="534"/>
      <c r="J96" s="580"/>
      <c r="K96" s="612"/>
      <c r="L96" s="580"/>
      <c r="M96" s="580"/>
      <c r="N96" s="690"/>
      <c r="O96" s="613"/>
      <c r="P96" s="614"/>
      <c r="Q96" s="613"/>
      <c r="R96" s="613"/>
      <c r="S96" s="614"/>
      <c r="T96" s="722"/>
      <c r="U96" s="779"/>
    </row>
    <row r="97" spans="2:21" x14ac:dyDescent="0.25">
      <c r="B97" s="1217" t="s">
        <v>1654</v>
      </c>
      <c r="C97" s="1217"/>
      <c r="D97" s="1217"/>
      <c r="E97" s="1217"/>
      <c r="F97" s="800"/>
      <c r="G97" s="827">
        <f>+G98</f>
        <v>15</v>
      </c>
      <c r="H97" s="827">
        <f>+H98</f>
        <v>0</v>
      </c>
      <c r="I97" s="793"/>
      <c r="J97" s="792">
        <f>+J98</f>
        <v>859052500</v>
      </c>
      <c r="K97" s="794" t="e">
        <f>J97/F97</f>
        <v>#DIV/0!</v>
      </c>
      <c r="L97" s="792">
        <f>+L98</f>
        <v>51076000</v>
      </c>
      <c r="M97" s="792">
        <f>+M98</f>
        <v>-910128500</v>
      </c>
      <c r="N97" s="796"/>
      <c r="O97" s="797" t="str">
        <f>IF(ISERROR(VLOOKUP(B97,'Base de Datos'!$C$7:$N$315,8,0))=TRUE," ",(VLOOKUP(B97,'Base de Datos'!$C$7:$N$315,8,0)))</f>
        <v xml:space="preserve"> </v>
      </c>
      <c r="P97" s="798"/>
      <c r="Q97" s="797" t="str">
        <f>IF(ISERROR(VLOOKUP(B97,'Base de Datos'!$C$7:$N$315,9,0))=TRUE," ",(VLOOKUP(B97,'Base de Datos'!$C$7:$N$315,9,0)))</f>
        <v xml:space="preserve"> </v>
      </c>
      <c r="R97" s="797" t="str">
        <f>IF(ISERROR(VLOOKUP(B97,'Base de Datos'!$C$7:$N$315,10,0))=TRUE," ",(VLOOKUP(B97,'Base de Datos'!$C$7:$N$315,10,0)))</f>
        <v xml:space="preserve"> </v>
      </c>
      <c r="S97" s="790"/>
      <c r="T97" s="722"/>
      <c r="U97" s="634"/>
    </row>
    <row r="98" spans="2:21" x14ac:dyDescent="0.25">
      <c r="B98" s="1213" t="s">
        <v>1655</v>
      </c>
      <c r="C98" s="1213"/>
      <c r="D98" s="1213"/>
      <c r="E98" s="1213"/>
      <c r="F98" s="785"/>
      <c r="G98" s="791">
        <f>COUNT(G100:G114)</f>
        <v>15</v>
      </c>
      <c r="H98" s="791">
        <f>COUNTIF(H100:H114,Hoja1!$J$2)</f>
        <v>0</v>
      </c>
      <c r="I98" s="786"/>
      <c r="J98" s="785">
        <f>SUM(J100:J115)</f>
        <v>859052500</v>
      </c>
      <c r="K98" s="787" t="e">
        <f>J98/F98</f>
        <v>#DIV/0!</v>
      </c>
      <c r="L98" s="785">
        <f>SUM(L100:L115)</f>
        <v>51076000</v>
      </c>
      <c r="M98" s="785">
        <f>+F98-J98-L98</f>
        <v>-910128500</v>
      </c>
      <c r="N98" s="788"/>
      <c r="O98" s="789" t="str">
        <f>IF(ISERROR(VLOOKUP(B98,'Base de Datos'!$C$7:$N$315,8,0))=TRUE," ",(VLOOKUP(B98,'Base de Datos'!$C$7:$N$315,8,0)))</f>
        <v xml:space="preserve"> </v>
      </c>
      <c r="P98" s="790"/>
      <c r="Q98" s="789" t="str">
        <f>IF(ISERROR(VLOOKUP(B98,'Base de Datos'!$C$7:$N$315,9,0))=TRUE," ",(VLOOKUP(B98,'Base de Datos'!$C$7:$N$315,9,0)))</f>
        <v xml:space="preserve"> </v>
      </c>
      <c r="R98" s="789" t="str">
        <f>IF(ISERROR(VLOOKUP(B98,'Base de Datos'!$C$7:$N$315,10,0))=TRUE," ",(VLOOKUP(B98,'Base de Datos'!$C$7:$N$315,10,0)))</f>
        <v xml:space="preserve"> </v>
      </c>
      <c r="S98" s="790"/>
      <c r="T98" s="722"/>
      <c r="U98" s="634"/>
    </row>
    <row r="99" spans="2:21" s="615" customFormat="1" ht="24" outlineLevel="1" x14ac:dyDescent="0.25">
      <c r="B99" s="627" t="s">
        <v>2343</v>
      </c>
      <c r="C99" s="627"/>
      <c r="D99" s="627" t="s">
        <v>912</v>
      </c>
      <c r="E99" s="627" t="s">
        <v>1822</v>
      </c>
      <c r="F99" s="776" t="s">
        <v>1846</v>
      </c>
      <c r="G99" s="812" t="s">
        <v>2345</v>
      </c>
      <c r="H99" s="812" t="s">
        <v>2349</v>
      </c>
      <c r="I99" s="534" t="s">
        <v>2350</v>
      </c>
      <c r="J99" s="627" t="s">
        <v>1845</v>
      </c>
      <c r="K99" s="612"/>
      <c r="L99" s="627" t="s">
        <v>1939</v>
      </c>
      <c r="M99" s="627" t="s">
        <v>1940</v>
      </c>
      <c r="N99" s="777" t="s">
        <v>1122</v>
      </c>
      <c r="O99" s="778" t="s">
        <v>1847</v>
      </c>
      <c r="P99" s="627" t="s">
        <v>1848</v>
      </c>
      <c r="Q99" s="627" t="s">
        <v>1849</v>
      </c>
      <c r="R99" s="627" t="s">
        <v>375</v>
      </c>
      <c r="S99" s="627" t="s">
        <v>1850</v>
      </c>
      <c r="T99" s="722"/>
      <c r="U99" s="779"/>
    </row>
    <row r="100" spans="2:21" s="615" customFormat="1" ht="24" outlineLevel="1" x14ac:dyDescent="0.25">
      <c r="B100" s="627">
        <v>215</v>
      </c>
      <c r="C100" s="627" t="str">
        <f t="shared" ref="C100:C114" si="11">$W$6&amp;B100</f>
        <v>2016215</v>
      </c>
      <c r="D100" s="533" t="str">
        <f>IF(ISERROR(VLOOKUP(C100,'Base de Datos'!$D$7:$F$4092,2,0))=TRUE,"",(VLOOKUP(C100,'Base de Datos'!$D$7:$F$4092,2,0)))</f>
        <v/>
      </c>
      <c r="E100" s="614" t="s">
        <v>2313</v>
      </c>
      <c r="F100" s="580">
        <v>9442000</v>
      </c>
      <c r="G100" s="812">
        <v>42405</v>
      </c>
      <c r="H100" s="812"/>
      <c r="I100" s="833" t="str">
        <f ca="1">IF(H100=Hoja1!$J$2," ",(IF(MONTH(G100)=MONTH(TODAY()),IF(DAY(G100)&gt;DAY(TODAY()),"Quedan "&amp;ABS(DAY(G100)-DAY(TODAY()))&amp;" Días","Hace "&amp;ABS(DAY(G100)-DAY(TODAY()))&amp;" Días"),"")))</f>
        <v/>
      </c>
      <c r="J100" s="536" t="str">
        <f>IF(ISERROR(VLOOKUP(C100,'Base de Datos'!$D$7:$N$4092,6,0))=TRUE,"Sin Celebrar",(VLOOKUP(C100,'Base de Datos'!$D$7:$N$4092,6,0)))</f>
        <v>Sin Celebrar</v>
      </c>
      <c r="K100" s="612"/>
      <c r="L100" s="536">
        <f t="shared" ref="L100:L114" si="12">IF(J100=$W$7,F100, " ")</f>
        <v>9442000</v>
      </c>
      <c r="M100" s="536" t="str">
        <f t="shared" ref="M100:M115" si="13">IF(J100&lt;F100,(F100-J100)," ")</f>
        <v xml:space="preserve"> </v>
      </c>
      <c r="N100" s="719" t="str">
        <f>IF(ISERROR(VLOOKUP(C100,'Base de Datos'!$D$7:$K$1048576,7,0))=TRUE," ",(VLOOKUP(C100,'Base de Datos'!$D$7:$K$1048576,7,0)))</f>
        <v xml:space="preserve"> </v>
      </c>
      <c r="O100" s="551" t="str">
        <f>IF(ISERROR(VLOOKUP(C100,'Base de Datos'!$D$7:$N$4077,9,0))=TRUE," ",(VLOOKUP(C100,'Base de Datos'!$D$7:$N$4077,9,0)))</f>
        <v xml:space="preserve"> </v>
      </c>
      <c r="P100" s="613" t="e">
        <f>VLOOKUP(B100,#REF!,13,0)</f>
        <v>#REF!</v>
      </c>
      <c r="Q100" s="551" t="str">
        <f>IF(ISERROR(VLOOKUP(C100,'Base de Datos'!$D$7:$N$4077,10,0))=TRUE," ",(VLOOKUP(C100,'Base de Datos'!$D$7:$N$4077,10,0)))</f>
        <v xml:space="preserve"> </v>
      </c>
      <c r="R100" s="551" t="str">
        <f>IF(ISERROR(VLOOKUP(C100,'Base de Datos'!$D$7:$N$4077,11,0))=TRUE," ",(VLOOKUP(C100,'Base de Datos'!$D$7:$N$4077,11,0)))</f>
        <v xml:space="preserve"> </v>
      </c>
      <c r="S100" s="614" t="s">
        <v>2352</v>
      </c>
      <c r="T100" s="722"/>
      <c r="U100" s="779"/>
    </row>
    <row r="101" spans="2:21" s="615" customFormat="1" ht="24" outlineLevel="1" x14ac:dyDescent="0.25">
      <c r="B101" s="627">
        <v>198</v>
      </c>
      <c r="C101" s="627" t="str">
        <f t="shared" si="11"/>
        <v>2016198</v>
      </c>
      <c r="D101" s="533" t="str">
        <f>IF(ISERROR(VLOOKUP(C101,'Base de Datos'!$D$7:$F$4092,2,0))=TRUE,"",(VLOOKUP(C101,'Base de Datos'!$D$7:$F$4092,2,0)))</f>
        <v>160161-0-2016</v>
      </c>
      <c r="E101" s="614" t="s">
        <v>2403</v>
      </c>
      <c r="F101" s="580">
        <v>485820000</v>
      </c>
      <c r="G101" s="812">
        <v>42370</v>
      </c>
      <c r="H101" s="812"/>
      <c r="I101" s="833" t="str">
        <f ca="1">IF(H101=Hoja1!$J$2," ",(IF(MONTH(G101)=MONTH(TODAY()),IF(DAY(G101)&gt;DAY(TODAY()),"Quedan "&amp;ABS(DAY(G101)-DAY(TODAY()))&amp;" Días","Hace "&amp;ABS(DAY(G101)-DAY(TODAY()))&amp;" Días"),"")))</f>
        <v/>
      </c>
      <c r="J101" s="536">
        <f>IF(ISERROR(VLOOKUP(C101,'Base de Datos'!$D$7:$N$4092,6,0))=TRUE,"Sin Celebrar",(VLOOKUP(C101,'Base de Datos'!$D$7:$N$4092,6,0)))</f>
        <v>485820000</v>
      </c>
      <c r="K101" s="612"/>
      <c r="L101" s="536" t="str">
        <f t="shared" si="12"/>
        <v xml:space="preserve"> </v>
      </c>
      <c r="M101" s="536" t="str">
        <f t="shared" si="13"/>
        <v xml:space="preserve"> </v>
      </c>
      <c r="N101" s="719" t="str">
        <f>IF(ISERROR(VLOOKUP(C101,'Base de Datos'!$D$7:$K$1048576,7,0))=TRUE," ",(VLOOKUP(C101,'Base de Datos'!$D$7:$K$1048576,7,0)))</f>
        <v>SDH-LP-02-2016</v>
      </c>
      <c r="O101" s="551">
        <f>IF(ISERROR(VLOOKUP(C101,'Base de Datos'!$D$7:$N$4077,9,0))=TRUE," ",(VLOOKUP(C101,'Base de Datos'!$D$7:$N$4077,9,0)))</f>
        <v>42558</v>
      </c>
      <c r="P101" s="613" t="e">
        <f>VLOOKUP(B101,#REF!,13,0)</f>
        <v>#REF!</v>
      </c>
      <c r="Q101" s="551">
        <f>IF(ISERROR(VLOOKUP(C101,'Base de Datos'!$D$7:$N$4077,10,0))=TRUE," ",(VLOOKUP(C101,'Base de Datos'!$D$7:$N$4077,10,0)))</f>
        <v>42583</v>
      </c>
      <c r="R101" s="551">
        <f>IF(ISERROR(VLOOKUP(C101,'Base de Datos'!$D$7:$N$4077,11,0))=TRUE," ",(VLOOKUP(C101,'Base de Datos'!$D$7:$N$4077,11,0)))</f>
        <v>42887</v>
      </c>
      <c r="S101" s="614" t="s">
        <v>2076</v>
      </c>
      <c r="T101" s="722"/>
      <c r="U101" s="779"/>
    </row>
    <row r="102" spans="2:21" s="615" customFormat="1" ht="24" outlineLevel="1" x14ac:dyDescent="0.25">
      <c r="B102" s="627">
        <v>207</v>
      </c>
      <c r="C102" s="627" t="str">
        <f t="shared" si="11"/>
        <v>2016207</v>
      </c>
      <c r="D102" s="533" t="str">
        <f>IF(ISERROR(VLOOKUP(C102,'Base de Datos'!$D$7:$F$4092,2,0))=TRUE,"",(VLOOKUP(C102,'Base de Datos'!$D$7:$F$4092,2,0)))</f>
        <v>160307-0-2016</v>
      </c>
      <c r="E102" s="614" t="s">
        <v>1138</v>
      </c>
      <c r="F102" s="580">
        <v>215270000</v>
      </c>
      <c r="G102" s="812">
        <v>42374</v>
      </c>
      <c r="H102" s="812"/>
      <c r="I102" s="833" t="str">
        <f ca="1">IF(H102=Hoja1!$J$2," ",(IF(MONTH(G102)=MONTH(TODAY()),IF(DAY(G102)&gt;DAY(TODAY()),"Quedan "&amp;ABS(DAY(G102)-DAY(TODAY()))&amp;" Días","Hace "&amp;ABS(DAY(G102)-DAY(TODAY()))&amp;" Días"),"")))</f>
        <v/>
      </c>
      <c r="J102" s="536">
        <f>IF(ISERROR(VLOOKUP(C102,'Base de Datos'!$D$7:$N$4092,6,0))=TRUE,"Sin Celebrar",(VLOOKUP(C102,'Base de Datos'!$D$7:$N$4092,6,0)))</f>
        <v>64285000</v>
      </c>
      <c r="K102" s="612"/>
      <c r="L102" s="536" t="str">
        <f t="shared" si="12"/>
        <v xml:space="preserve"> </v>
      </c>
      <c r="M102" s="536">
        <f t="shared" si="13"/>
        <v>150985000</v>
      </c>
      <c r="N102" s="719" t="str">
        <f>IF(ISERROR(VLOOKUP(C102,'Base de Datos'!$D$7:$K$1048576,7,0))=TRUE," ",(VLOOKUP(C102,'Base de Datos'!$D$7:$K$1048576,7,0)))</f>
        <v>SDH-SMINC-48-2016</v>
      </c>
      <c r="O102" s="551">
        <f>IF(ISERROR(VLOOKUP(C102,'Base de Datos'!$D$7:$N$4077,9,0))=TRUE," ",(VLOOKUP(C102,'Base de Datos'!$D$7:$N$4077,9,0)))</f>
        <v>42726</v>
      </c>
      <c r="P102" s="613" t="e">
        <f>VLOOKUP(B102,#REF!,13,0)</f>
        <v>#REF!</v>
      </c>
      <c r="Q102" s="551">
        <f>IF(ISERROR(VLOOKUP(C102,'Base de Datos'!$D$7:$N$4077,10,0))=TRUE," ",(VLOOKUP(C102,'Base de Datos'!$D$7:$N$4077,10,0)))</f>
        <v>42730</v>
      </c>
      <c r="R102" s="551">
        <f>IF(ISERROR(VLOOKUP(C102,'Base de Datos'!$D$7:$N$4077,11,0))=TRUE," ",(VLOOKUP(C102,'Base de Datos'!$D$7:$N$4077,11,0)))</f>
        <v>42797</v>
      </c>
      <c r="S102" s="614" t="s">
        <v>2076</v>
      </c>
      <c r="T102" s="722"/>
      <c r="U102" s="779"/>
    </row>
    <row r="103" spans="2:21" s="615" customFormat="1" ht="24" outlineLevel="1" x14ac:dyDescent="0.25">
      <c r="B103" s="627">
        <v>217</v>
      </c>
      <c r="C103" s="627" t="str">
        <f t="shared" si="11"/>
        <v>2016217</v>
      </c>
      <c r="D103" s="533" t="str">
        <f>IF(ISERROR(VLOOKUP(C103,'Base de Datos'!$D$7:$F$4092,2,0))=TRUE,"",(VLOOKUP(C103,'Base de Datos'!$D$7:$F$4092,2,0)))</f>
        <v>160096-0-2016</v>
      </c>
      <c r="E103" s="614" t="s">
        <v>2314</v>
      </c>
      <c r="F103" s="580">
        <v>14640000</v>
      </c>
      <c r="G103" s="812">
        <v>42401</v>
      </c>
      <c r="H103" s="812"/>
      <c r="I103" s="833" t="str">
        <f ca="1">IF(H103=Hoja1!$J$2," ",(IF(MONTH(G103)=MONTH(TODAY()),IF(DAY(G103)&gt;DAY(TODAY()),"Quedan "&amp;ABS(DAY(G103)-DAY(TODAY()))&amp;" Días","Hace "&amp;ABS(DAY(G103)-DAY(TODAY()))&amp;" Días"),"")))</f>
        <v/>
      </c>
      <c r="J103" s="536">
        <f>IF(ISERROR(VLOOKUP(C103,'Base de Datos'!$D$7:$N$4092,6,0))=TRUE,"Sin Celebrar",(VLOOKUP(C103,'Base de Datos'!$D$7:$N$4092,6,0)))</f>
        <v>14640000</v>
      </c>
      <c r="K103" s="612"/>
      <c r="L103" s="536" t="str">
        <f t="shared" si="12"/>
        <v xml:space="preserve"> </v>
      </c>
      <c r="M103" s="536" t="str">
        <f t="shared" si="13"/>
        <v xml:space="preserve"> </v>
      </c>
      <c r="N103" s="719" t="str">
        <f>IF(ISERROR(VLOOKUP(C103,'Base de Datos'!$D$7:$K$1048576,7,0))=TRUE," ",(VLOOKUP(C103,'Base de Datos'!$D$7:$K$1048576,7,0)))</f>
        <v>160096-0-2016</v>
      </c>
      <c r="O103" s="551">
        <f>IF(ISERROR(VLOOKUP(C103,'Base de Datos'!$D$7:$N$4077,9,0))=TRUE," ",(VLOOKUP(C103,'Base de Datos'!$D$7:$N$4077,9,0)))</f>
        <v>42496</v>
      </c>
      <c r="P103" s="613" t="e">
        <f>VLOOKUP(B103,#REF!,13,0)</f>
        <v>#REF!</v>
      </c>
      <c r="Q103" s="551">
        <f>IF(ISERROR(VLOOKUP(C103,'Base de Datos'!$D$7:$N$4077,10,0))=TRUE," ",(VLOOKUP(C103,'Base de Datos'!$D$7:$N$4077,10,0)))</f>
        <v>42514</v>
      </c>
      <c r="R103" s="551">
        <f>IF(ISERROR(VLOOKUP(C103,'Base de Datos'!$D$7:$N$4077,11,0))=TRUE," ",(VLOOKUP(C103,'Base de Datos'!$D$7:$N$4077,11,0)))</f>
        <v>42818</v>
      </c>
      <c r="S103" s="614" t="s">
        <v>1510</v>
      </c>
      <c r="T103" s="722"/>
      <c r="U103" s="779"/>
    </row>
    <row r="104" spans="2:21" s="615" customFormat="1" ht="24" outlineLevel="1" x14ac:dyDescent="0.25">
      <c r="B104" s="627">
        <v>218</v>
      </c>
      <c r="C104" s="627" t="str">
        <f t="shared" si="11"/>
        <v>2016218</v>
      </c>
      <c r="D104" s="533" t="str">
        <f>IF(ISERROR(VLOOKUP(C104,'Base de Datos'!$D$7:$F$4092,2,0))=TRUE,"",(VLOOKUP(C104,'Base de Datos'!$D$7:$F$4092,2,0)))</f>
        <v>160170-0-2016</v>
      </c>
      <c r="E104" s="614" t="s">
        <v>2315</v>
      </c>
      <c r="F104" s="580">
        <v>221382000</v>
      </c>
      <c r="G104" s="812">
        <v>42373</v>
      </c>
      <c r="H104" s="812"/>
      <c r="I104" s="833" t="str">
        <f ca="1">IF(H104=Hoja1!$J$2," ",(IF(MONTH(G104)=MONTH(TODAY()),IF(DAY(G104)&gt;DAY(TODAY()),"Quedan "&amp;ABS(DAY(G104)-DAY(TODAY()))&amp;" Días","Hace "&amp;ABS(DAY(G104)-DAY(TODAY()))&amp;" Días"),"")))</f>
        <v/>
      </c>
      <c r="J104" s="536">
        <f>IF(ISERROR(VLOOKUP(C104,'Base de Datos'!$D$7:$N$4092,6,0))=TRUE,"Sin Celebrar",(VLOOKUP(C104,'Base de Datos'!$D$7:$N$4092,6,0)))</f>
        <v>221382000</v>
      </c>
      <c r="K104" s="612"/>
      <c r="L104" s="536" t="str">
        <f t="shared" si="12"/>
        <v xml:space="preserve"> </v>
      </c>
      <c r="M104" s="536" t="str">
        <f t="shared" si="13"/>
        <v xml:space="preserve"> </v>
      </c>
      <c r="N104" s="719" t="str">
        <f>IF(ISERROR(VLOOKUP(C104,'Base de Datos'!$D$7:$K$1048576,7,0))=TRUE," ",(VLOOKUP(C104,'Base de Datos'!$D$7:$K$1048576,7,0)))</f>
        <v>SDH-SAMC-03-2016</v>
      </c>
      <c r="O104" s="551">
        <f>IF(ISERROR(VLOOKUP(C104,'Base de Datos'!$D$7:$N$4077,9,0))=TRUE," ",(VLOOKUP(C104,'Base de Datos'!$D$7:$N$4077,9,0)))</f>
        <v>42564</v>
      </c>
      <c r="P104" s="613" t="e">
        <f>VLOOKUP(B104,#REF!,13,0)</f>
        <v>#REF!</v>
      </c>
      <c r="Q104" s="551">
        <f>IF(ISERROR(VLOOKUP(C104,'Base de Datos'!$D$7:$N$4077,10,0))=TRUE," ",(VLOOKUP(C104,'Base de Datos'!$D$7:$N$4077,10,0)))</f>
        <v>42587</v>
      </c>
      <c r="R104" s="551">
        <f>IF(ISERROR(VLOOKUP(C104,'Base de Datos'!$D$7:$N$4077,11,0))=TRUE," ",(VLOOKUP(C104,'Base de Datos'!$D$7:$N$4077,11,0)))</f>
        <v>42891</v>
      </c>
      <c r="S104" s="614" t="s">
        <v>981</v>
      </c>
      <c r="T104" s="722"/>
      <c r="U104" s="779"/>
    </row>
    <row r="105" spans="2:21" s="615" customFormat="1" ht="24" outlineLevel="1" x14ac:dyDescent="0.25">
      <c r="B105" s="627">
        <v>142</v>
      </c>
      <c r="C105" s="627" t="str">
        <f t="shared" si="11"/>
        <v>2016142</v>
      </c>
      <c r="D105" s="533" t="str">
        <f>IF(ISERROR(VLOOKUP(C105,'Base de Datos'!$D$7:$F$4092,2,0))=TRUE,"",(VLOOKUP(C105,'Base de Datos'!$D$7:$F$4092,2,0)))</f>
        <v>160163-0-2016</v>
      </c>
      <c r="E105" s="614" t="s">
        <v>2316</v>
      </c>
      <c r="F105" s="580">
        <v>22810000</v>
      </c>
      <c r="G105" s="812">
        <v>42096</v>
      </c>
      <c r="H105" s="812"/>
      <c r="I105" s="833" t="str">
        <f ca="1">IF(H105=Hoja1!$J$2," ",(IF(MONTH(G105)=MONTH(TODAY()),IF(DAY(G105)&gt;DAY(TODAY()),"Quedan "&amp;ABS(DAY(G105)-DAY(TODAY()))&amp;" Días","Hace "&amp;ABS(DAY(G105)-DAY(TODAY()))&amp;" Días"),"")))</f>
        <v/>
      </c>
      <c r="J105" s="536">
        <f>IF(ISERROR(VLOOKUP(C105,'Base de Datos'!$D$7:$N$4092,6,0))=TRUE,"Sin Celebrar",(VLOOKUP(C105,'Base de Datos'!$D$7:$N$4092,6,0)))</f>
        <v>12650000</v>
      </c>
      <c r="K105" s="612"/>
      <c r="L105" s="536" t="str">
        <f t="shared" si="12"/>
        <v xml:space="preserve"> </v>
      </c>
      <c r="M105" s="536">
        <f t="shared" si="13"/>
        <v>10160000</v>
      </c>
      <c r="N105" s="719" t="str">
        <f>IF(ISERROR(VLOOKUP(C105,'Base de Datos'!$D$7:$K$1048576,7,0))=TRUE," ",(VLOOKUP(C105,'Base de Datos'!$D$7:$K$1048576,7,0)))</f>
        <v>SDH-SMINC-14-2016</v>
      </c>
      <c r="O105" s="551">
        <f>IF(ISERROR(VLOOKUP(C105,'Base de Datos'!$D$7:$N$4077,9,0))=TRUE," ",(VLOOKUP(C105,'Base de Datos'!$D$7:$N$4077,9,0)))</f>
        <v>42558</v>
      </c>
      <c r="P105" s="613" t="e">
        <f>VLOOKUP(B105,#REF!,13,0)</f>
        <v>#REF!</v>
      </c>
      <c r="Q105" s="551">
        <f>IF(ISERROR(VLOOKUP(C105,'Base de Datos'!$D$7:$N$4077,10,0))=TRUE," ",(VLOOKUP(C105,'Base de Datos'!$D$7:$N$4077,10,0)))</f>
        <v>42577</v>
      </c>
      <c r="R105" s="551">
        <f>IF(ISERROR(VLOOKUP(C105,'Base de Datos'!$D$7:$N$4077,11,0))=TRUE," ",(VLOOKUP(C105,'Base de Datos'!$D$7:$N$4077,11,0)))</f>
        <v>42912</v>
      </c>
      <c r="S105" s="614" t="s">
        <v>981</v>
      </c>
      <c r="T105" s="722"/>
      <c r="U105" s="779"/>
    </row>
    <row r="106" spans="2:21" s="615" customFormat="1" ht="24" outlineLevel="1" x14ac:dyDescent="0.25">
      <c r="B106" s="627">
        <v>219</v>
      </c>
      <c r="C106" s="627" t="str">
        <f t="shared" si="11"/>
        <v>2016219</v>
      </c>
      <c r="D106" s="533" t="str">
        <f>IF(ISERROR(VLOOKUP(C106,'Base de Datos'!$D$7:$F$4092,2,0))=TRUE,"",(VLOOKUP(C106,'Base de Datos'!$D$7:$F$4092,2,0)))</f>
        <v>160118-0-2016</v>
      </c>
      <c r="E106" s="614" t="s">
        <v>2317</v>
      </c>
      <c r="F106" s="580">
        <v>25000000</v>
      </c>
      <c r="G106" s="812">
        <v>42430</v>
      </c>
      <c r="H106" s="812"/>
      <c r="I106" s="833" t="str">
        <f ca="1">IF(H106=Hoja1!$J$2," ",(IF(MONTH(G106)=MONTH(TODAY()),IF(DAY(G106)&gt;DAY(TODAY()),"Quedan "&amp;ABS(DAY(G106)-DAY(TODAY()))&amp;" Días","Hace "&amp;ABS(DAY(G106)-DAY(TODAY()))&amp;" Días"),"")))</f>
        <v/>
      </c>
      <c r="J106" s="536">
        <f>IF(ISERROR(VLOOKUP(C106,'Base de Datos'!$D$7:$N$4092,6,0))=TRUE,"Sin Celebrar",(VLOOKUP(C106,'Base de Datos'!$D$7:$N$4092,6,0)))</f>
        <v>19931000</v>
      </c>
      <c r="K106" s="612"/>
      <c r="L106" s="536" t="str">
        <f t="shared" si="12"/>
        <v xml:space="preserve"> </v>
      </c>
      <c r="M106" s="536">
        <f t="shared" si="13"/>
        <v>5069000</v>
      </c>
      <c r="N106" s="719" t="str">
        <f>IF(ISERROR(VLOOKUP(C106,'Base de Datos'!$D$7:$K$1048576,7,0))=TRUE," ",(VLOOKUP(C106,'Base de Datos'!$D$7:$K$1048576,7,0)))</f>
        <v>SDH-SMINC-06-2016</v>
      </c>
      <c r="O106" s="551">
        <f>IF(ISERROR(VLOOKUP(C106,'Base de Datos'!$D$7:$N$4077,9,0))=TRUE," ",(VLOOKUP(C106,'Base de Datos'!$D$7:$N$4077,9,0)))</f>
        <v>42517</v>
      </c>
      <c r="P106" s="613" t="e">
        <f>VLOOKUP(B106,#REF!,13,0)</f>
        <v>#REF!</v>
      </c>
      <c r="Q106" s="551">
        <f>IF(ISERROR(VLOOKUP(C106,'Base de Datos'!$D$7:$N$4077,10,0))=TRUE," ",(VLOOKUP(C106,'Base de Datos'!$D$7:$N$4077,10,0)))</f>
        <v>42529</v>
      </c>
      <c r="R106" s="551">
        <f>IF(ISERROR(VLOOKUP(C106,'Base de Datos'!$D$7:$N$4077,11,0))=TRUE," ",(VLOOKUP(C106,'Base de Datos'!$D$7:$N$4077,11,0)))</f>
        <v>42774</v>
      </c>
      <c r="S106" s="614" t="s">
        <v>2351</v>
      </c>
      <c r="T106" s="722"/>
      <c r="U106" s="779"/>
    </row>
    <row r="107" spans="2:21" s="615" customFormat="1" ht="24" outlineLevel="1" x14ac:dyDescent="0.25">
      <c r="B107" s="627">
        <v>220</v>
      </c>
      <c r="C107" s="627" t="str">
        <f t="shared" si="11"/>
        <v>2016220</v>
      </c>
      <c r="D107" s="533" t="str">
        <f>IF(ISERROR(VLOOKUP(C107,'Base de Datos'!$D$7:$F$4092,2,0))=TRUE,"",(VLOOKUP(C107,'Base de Datos'!$D$7:$F$4092,2,0)))</f>
        <v>160198-0-2016</v>
      </c>
      <c r="E107" s="614" t="s">
        <v>2318</v>
      </c>
      <c r="F107" s="580">
        <v>5042000</v>
      </c>
      <c r="G107" s="812">
        <v>42430</v>
      </c>
      <c r="H107" s="812"/>
      <c r="I107" s="833" t="str">
        <f ca="1">IF(H107=Hoja1!$J$2," ",(IF(MONTH(G107)=MONTH(TODAY()),IF(DAY(G107)&gt;DAY(TODAY()),"Quedan "&amp;ABS(DAY(G107)-DAY(TODAY()))&amp;" Días","Hace "&amp;ABS(DAY(G107)-DAY(TODAY()))&amp;" Días"),"")))</f>
        <v/>
      </c>
      <c r="J107" s="536">
        <f>IF(ISERROR(VLOOKUP(C107,'Base de Datos'!$D$7:$N$4092,6,0))=TRUE,"Sin Celebrar",(VLOOKUP(C107,'Base de Datos'!$D$7:$N$4092,6,0)))</f>
        <v>6973000</v>
      </c>
      <c r="K107" s="612"/>
      <c r="L107" s="536" t="str">
        <f t="shared" si="12"/>
        <v xml:space="preserve"> </v>
      </c>
      <c r="M107" s="536" t="str">
        <f t="shared" si="13"/>
        <v xml:space="preserve"> </v>
      </c>
      <c r="N107" s="719" t="str">
        <f>IF(ISERROR(VLOOKUP(C107,'Base de Datos'!$D$7:$K$1048576,7,0))=TRUE," ",(VLOOKUP(C107,'Base de Datos'!$D$7:$K$1048576,7,0)))</f>
        <v>SDH-SMINC-29-2016</v>
      </c>
      <c r="O107" s="551">
        <f>IF(ISERROR(VLOOKUP(C107,'Base de Datos'!$D$7:$N$4077,9,0))=TRUE," ",(VLOOKUP(C107,'Base de Datos'!$D$7:$N$4077,9,0)))</f>
        <v>42587</v>
      </c>
      <c r="P107" s="613" t="e">
        <f>VLOOKUP(B107,#REF!,13,0)</f>
        <v>#REF!</v>
      </c>
      <c r="Q107" s="551">
        <f>IF(ISERROR(VLOOKUP(C107,'Base de Datos'!$D$7:$N$4077,10,0))=TRUE," ",(VLOOKUP(C107,'Base de Datos'!$D$7:$N$4077,10,0)))</f>
        <v>42598</v>
      </c>
      <c r="R107" s="551">
        <f>IF(ISERROR(VLOOKUP(C107,'Base de Datos'!$D$7:$N$4077,11,0))=TRUE," ",(VLOOKUP(C107,'Base de Datos'!$D$7:$N$4077,11,0)))</f>
        <v>42841</v>
      </c>
      <c r="S107" s="614" t="s">
        <v>2352</v>
      </c>
      <c r="T107" s="722"/>
      <c r="U107" s="779"/>
    </row>
    <row r="108" spans="2:21" s="615" customFormat="1" ht="24" outlineLevel="1" x14ac:dyDescent="0.25">
      <c r="B108" s="627">
        <v>143</v>
      </c>
      <c r="C108" s="627" t="str">
        <f t="shared" si="11"/>
        <v>2016143</v>
      </c>
      <c r="D108" s="533" t="str">
        <f>IF(ISERROR(VLOOKUP(C108,'Base de Datos'!$D$7:$F$4092,2,0))=TRUE,"",(VLOOKUP(C108,'Base de Datos'!$D$7:$F$4092,2,0)))</f>
        <v>160127-0-2016</v>
      </c>
      <c r="E108" s="614" t="s">
        <v>2319</v>
      </c>
      <c r="F108" s="580">
        <v>2060000</v>
      </c>
      <c r="G108" s="812">
        <v>42430</v>
      </c>
      <c r="H108" s="812"/>
      <c r="I108" s="833" t="str">
        <f ca="1">IF(H108=Hoja1!$J$2," ",(IF(MONTH(G108)=MONTH(TODAY()),IF(DAY(G108)&gt;DAY(TODAY()),"Quedan "&amp;ABS(DAY(G108)-DAY(TODAY()))&amp;" Días","Hace "&amp;ABS(DAY(G108)-DAY(TODAY()))&amp;" Días"),"")))</f>
        <v/>
      </c>
      <c r="J108" s="536">
        <f>IF(ISERROR(VLOOKUP(C108,'Base de Datos'!$D$7:$N$4092,6,0))=TRUE,"Sin Celebrar",(VLOOKUP(C108,'Base de Datos'!$D$7:$N$4092,6,0)))</f>
        <v>2060000</v>
      </c>
      <c r="K108" s="612"/>
      <c r="L108" s="536" t="str">
        <f t="shared" si="12"/>
        <v xml:space="preserve"> </v>
      </c>
      <c r="M108" s="536" t="str">
        <f t="shared" si="13"/>
        <v xml:space="preserve"> </v>
      </c>
      <c r="N108" s="719" t="str">
        <f>IF(ISERROR(VLOOKUP(C108,'Base de Datos'!$D$7:$K$1048576,7,0))=TRUE," ",(VLOOKUP(C108,'Base de Datos'!$D$7:$K$1048576,7,0)))</f>
        <v>SDH-SMINC-07-2016</v>
      </c>
      <c r="O108" s="551">
        <f>IF(ISERROR(VLOOKUP(C108,'Base de Datos'!$D$7:$N$4077,9,0))=TRUE," ",(VLOOKUP(C108,'Base de Datos'!$D$7:$N$4077,9,0)))</f>
        <v>42528</v>
      </c>
      <c r="P108" s="613" t="e">
        <f>VLOOKUP(B108,#REF!,13,0)</f>
        <v>#REF!</v>
      </c>
      <c r="Q108" s="551">
        <f>IF(ISERROR(VLOOKUP(C108,'Base de Datos'!$D$7:$N$4077,10,0))=TRUE," ",(VLOOKUP(C108,'Base de Datos'!$D$7:$N$4077,10,0)))</f>
        <v>42541</v>
      </c>
      <c r="R108" s="551">
        <f>IF(ISERROR(VLOOKUP(C108,'Base de Datos'!$D$7:$N$4077,11,0))=TRUE," ",(VLOOKUP(C108,'Base de Datos'!$D$7:$N$4077,11,0)))</f>
        <v>42786</v>
      </c>
      <c r="S108" s="614" t="s">
        <v>2351</v>
      </c>
      <c r="T108" s="722"/>
      <c r="U108" s="779"/>
    </row>
    <row r="109" spans="2:21" s="615" customFormat="1" ht="36" outlineLevel="1" x14ac:dyDescent="0.25">
      <c r="B109" s="627">
        <v>144</v>
      </c>
      <c r="C109" s="627" t="str">
        <f t="shared" si="11"/>
        <v>2016144</v>
      </c>
      <c r="D109" s="533" t="str">
        <f>IF(ISERROR(VLOOKUP(C109,'Base de Datos'!$D$7:$F$4092,2,0))=TRUE,"",(VLOOKUP(C109,'Base de Datos'!$D$7:$F$4092,2,0)))</f>
        <v/>
      </c>
      <c r="E109" s="614" t="s">
        <v>2320</v>
      </c>
      <c r="F109" s="580">
        <v>7644000</v>
      </c>
      <c r="G109" s="812">
        <v>42408</v>
      </c>
      <c r="H109" s="812"/>
      <c r="I109" s="833" t="str">
        <f ca="1">IF(H109=Hoja1!$J$2," ",(IF(MONTH(G109)=MONTH(TODAY()),IF(DAY(G109)&gt;DAY(TODAY()),"Quedan "&amp;ABS(DAY(G109)-DAY(TODAY()))&amp;" Días","Hace "&amp;ABS(DAY(G109)-DAY(TODAY()))&amp;" Días"),"")))</f>
        <v/>
      </c>
      <c r="J109" s="536" t="str">
        <f>IF(ISERROR(VLOOKUP(C109,'Base de Datos'!$D$7:$N$4092,6,0))=TRUE,"Sin Celebrar",(VLOOKUP(C109,'Base de Datos'!$D$7:$N$4092,6,0)))</f>
        <v>Sin Celebrar</v>
      </c>
      <c r="K109" s="612"/>
      <c r="L109" s="536">
        <f t="shared" si="12"/>
        <v>7644000</v>
      </c>
      <c r="M109" s="536" t="str">
        <f t="shared" si="13"/>
        <v xml:space="preserve"> </v>
      </c>
      <c r="N109" s="719" t="str">
        <f>IF(ISERROR(VLOOKUP(C109,'Base de Datos'!$D$7:$K$1048576,7,0))=TRUE," ",(VLOOKUP(C109,'Base de Datos'!$D$7:$K$1048576,7,0)))</f>
        <v xml:space="preserve"> </v>
      </c>
      <c r="O109" s="551" t="str">
        <f>IF(ISERROR(VLOOKUP(C109,'Base de Datos'!$D$7:$N$4077,9,0))=TRUE," ",(VLOOKUP(C109,'Base de Datos'!$D$7:$N$4077,9,0)))</f>
        <v xml:space="preserve"> </v>
      </c>
      <c r="P109" s="613" t="e">
        <f>VLOOKUP(B109,#REF!,13,0)</f>
        <v>#REF!</v>
      </c>
      <c r="Q109" s="551" t="str">
        <f>IF(ISERROR(VLOOKUP(C109,'Base de Datos'!$D$7:$N$4077,10,0))=TRUE," ",(VLOOKUP(C109,'Base de Datos'!$D$7:$N$4077,10,0)))</f>
        <v xml:space="preserve"> </v>
      </c>
      <c r="R109" s="551" t="str">
        <f>IF(ISERROR(VLOOKUP(C109,'Base de Datos'!$D$7:$N$4077,11,0))=TRUE," ",(VLOOKUP(C109,'Base de Datos'!$D$7:$N$4077,11,0)))</f>
        <v xml:space="preserve"> </v>
      </c>
      <c r="S109" s="614" t="s">
        <v>2352</v>
      </c>
      <c r="T109" s="722"/>
      <c r="U109" s="779"/>
    </row>
    <row r="110" spans="2:21" s="615" customFormat="1" ht="24" outlineLevel="1" x14ac:dyDescent="0.25">
      <c r="B110" s="627">
        <v>145</v>
      </c>
      <c r="C110" s="627" t="str">
        <f t="shared" si="11"/>
        <v>2016145</v>
      </c>
      <c r="D110" s="533" t="str">
        <f>IF(ISERROR(VLOOKUP(C110,'Base de Datos'!$D$7:$F$4092,2,0))=TRUE,"",(VLOOKUP(C110,'Base de Datos'!$D$7:$F$4092,2,0)))</f>
        <v>160208-0-2016</v>
      </c>
      <c r="E110" s="614" t="s">
        <v>2321</v>
      </c>
      <c r="F110" s="580">
        <v>7027000</v>
      </c>
      <c r="G110" s="812">
        <v>42430</v>
      </c>
      <c r="H110" s="812"/>
      <c r="I110" s="833" t="str">
        <f ca="1">IF(H110=Hoja1!$J$2," ",(IF(MONTH(G110)=MONTH(TODAY()),IF(DAY(G110)&gt;DAY(TODAY()),"Quedan "&amp;ABS(DAY(G110)-DAY(TODAY()))&amp;" Días","Hace "&amp;ABS(DAY(G110)-DAY(TODAY()))&amp;" Días"),"")))</f>
        <v/>
      </c>
      <c r="J110" s="536">
        <f>IF(ISERROR(VLOOKUP(C110,'Base de Datos'!$D$7:$N$4092,6,0))=TRUE,"Sin Celebrar",(VLOOKUP(C110,'Base de Datos'!$D$7:$N$4092,6,0)))</f>
        <v>4999000</v>
      </c>
      <c r="K110" s="612"/>
      <c r="L110" s="536" t="str">
        <f t="shared" si="12"/>
        <v xml:space="preserve"> </v>
      </c>
      <c r="M110" s="536">
        <f t="shared" si="13"/>
        <v>2028000</v>
      </c>
      <c r="N110" s="719" t="str">
        <f>IF(ISERROR(VLOOKUP(C110,'Base de Datos'!$D$7:$K$1048576,7,0))=TRUE," ",(VLOOKUP(C110,'Base de Datos'!$D$7:$K$1048576,7,0)))</f>
        <v>SDH-SMINC-31-2016</v>
      </c>
      <c r="O110" s="551">
        <f>IF(ISERROR(VLOOKUP(C110,'Base de Datos'!$D$7:$N$4077,9,0))=TRUE," ",(VLOOKUP(C110,'Base de Datos'!$D$7:$N$4077,9,0)))</f>
        <v>42604</v>
      </c>
      <c r="P110" s="613" t="e">
        <f>VLOOKUP(B110,#REF!,13,0)</f>
        <v>#REF!</v>
      </c>
      <c r="Q110" s="551">
        <f>IF(ISERROR(VLOOKUP(C110,'Base de Datos'!$D$7:$N$4077,10,0))=TRUE," ",(VLOOKUP(C110,'Base de Datos'!$D$7:$N$4077,10,0)))</f>
        <v>42622</v>
      </c>
      <c r="R110" s="551">
        <f>IF(ISERROR(VLOOKUP(C110,'Base de Datos'!$D$7:$N$4077,11,0))=TRUE," ",(VLOOKUP(C110,'Base de Datos'!$D$7:$N$4077,11,0)))</f>
        <v>42803</v>
      </c>
      <c r="S110" s="614" t="s">
        <v>2351</v>
      </c>
      <c r="T110" s="722"/>
      <c r="U110" s="779"/>
    </row>
    <row r="111" spans="2:21" s="615" customFormat="1" ht="24" outlineLevel="1" x14ac:dyDescent="0.25">
      <c r="B111" s="627">
        <v>146</v>
      </c>
      <c r="C111" s="627" t="str">
        <f t="shared" si="11"/>
        <v>2016146</v>
      </c>
      <c r="D111" s="533" t="str">
        <f>IF(ISERROR(VLOOKUP(C111,'Base de Datos'!$D$7:$F$4092,2,0))=TRUE,"",(VLOOKUP(C111,'Base de Datos'!$D$7:$F$4092,2,0)))</f>
        <v/>
      </c>
      <c r="E111" s="614" t="s">
        <v>2322</v>
      </c>
      <c r="F111" s="580">
        <v>28840000</v>
      </c>
      <c r="G111" s="812">
        <v>42506</v>
      </c>
      <c r="H111" s="812"/>
      <c r="I111" s="833" t="str">
        <f ca="1">IF(H111=Hoja1!$J$2," ",(IF(MONTH(G111)=MONTH(TODAY()),IF(DAY(G111)&gt;DAY(TODAY()),"Quedan "&amp;ABS(DAY(G111)-DAY(TODAY()))&amp;" Días","Hace "&amp;ABS(DAY(G111)-DAY(TODAY()))&amp;" Días"),"")))</f>
        <v/>
      </c>
      <c r="J111" s="536" t="str">
        <f>IF(ISERROR(VLOOKUP(C111,'Base de Datos'!$D$7:$N$4092,6,0))=TRUE,"Sin Celebrar",(VLOOKUP(C111,'Base de Datos'!$D$7:$N$4092,6,0)))</f>
        <v>Sin Celebrar</v>
      </c>
      <c r="K111" s="612"/>
      <c r="L111" s="536">
        <f t="shared" si="12"/>
        <v>28840000</v>
      </c>
      <c r="M111" s="536" t="str">
        <f t="shared" si="13"/>
        <v xml:space="preserve"> </v>
      </c>
      <c r="N111" s="719" t="str">
        <f>IF(ISERROR(VLOOKUP(C111,'Base de Datos'!$D$7:$K$1048576,7,0))=TRUE," ",(VLOOKUP(C111,'Base de Datos'!$D$7:$K$1048576,7,0)))</f>
        <v xml:space="preserve"> </v>
      </c>
      <c r="O111" s="551" t="str">
        <f>IF(ISERROR(VLOOKUP(C111,'Base de Datos'!$D$7:$N$4077,9,0))=TRUE," ",(VLOOKUP(C111,'Base de Datos'!$D$7:$N$4077,9,0)))</f>
        <v xml:space="preserve"> </v>
      </c>
      <c r="P111" s="613" t="e">
        <f>VLOOKUP(B111,#REF!,13,0)</f>
        <v>#REF!</v>
      </c>
      <c r="Q111" s="551" t="str">
        <f>IF(ISERROR(VLOOKUP(C111,'Base de Datos'!$D$7:$N$4077,10,0))=TRUE," ",(VLOOKUP(C111,'Base de Datos'!$D$7:$N$4077,10,0)))</f>
        <v xml:space="preserve"> </v>
      </c>
      <c r="R111" s="551" t="str">
        <f>IF(ISERROR(VLOOKUP(C111,'Base de Datos'!$D$7:$N$4077,11,0))=TRUE," ",(VLOOKUP(C111,'Base de Datos'!$D$7:$N$4077,11,0)))</f>
        <v xml:space="preserve"> </v>
      </c>
      <c r="S111" s="614" t="s">
        <v>2352</v>
      </c>
      <c r="T111" s="722"/>
      <c r="U111" s="779"/>
    </row>
    <row r="112" spans="2:21" s="615" customFormat="1" ht="24" outlineLevel="1" x14ac:dyDescent="0.25">
      <c r="B112" s="627">
        <v>222</v>
      </c>
      <c r="C112" s="627" t="str">
        <f t="shared" si="11"/>
        <v>2016222</v>
      </c>
      <c r="D112" s="533" t="str">
        <f>IF(ISERROR(VLOOKUP(C112,'Base de Datos'!$D$7:$F$4092,2,0))=TRUE,"",(VLOOKUP(C112,'Base de Datos'!$D$7:$F$4092,2,0)))</f>
        <v/>
      </c>
      <c r="E112" s="614" t="s">
        <v>2323</v>
      </c>
      <c r="F112" s="580">
        <v>5150000</v>
      </c>
      <c r="G112" s="812">
        <v>42491</v>
      </c>
      <c r="H112" s="812"/>
      <c r="I112" s="833" t="str">
        <f ca="1">IF(H112=Hoja1!$J$2," ",(IF(MONTH(G112)=MONTH(TODAY()),IF(DAY(G112)&gt;DAY(TODAY()),"Quedan "&amp;ABS(DAY(G112)-DAY(TODAY()))&amp;" Días","Hace "&amp;ABS(DAY(G112)-DAY(TODAY()))&amp;" Días"),"")))</f>
        <v/>
      </c>
      <c r="J112" s="536" t="str">
        <f>IF(ISERROR(VLOOKUP(C112,'Base de Datos'!$D$7:$N$4092,6,0))=TRUE,"Sin Celebrar",(VLOOKUP(C112,'Base de Datos'!$D$7:$N$4092,6,0)))</f>
        <v>Sin Celebrar</v>
      </c>
      <c r="K112" s="612"/>
      <c r="L112" s="536">
        <f t="shared" si="12"/>
        <v>5150000</v>
      </c>
      <c r="M112" s="536" t="str">
        <f t="shared" si="13"/>
        <v xml:space="preserve"> </v>
      </c>
      <c r="N112" s="719" t="str">
        <f>IF(ISERROR(VLOOKUP(C112,'Base de Datos'!$D$7:$K$1048576,7,0))=TRUE," ",(VLOOKUP(C112,'Base de Datos'!$D$7:$K$1048576,7,0)))</f>
        <v xml:space="preserve"> </v>
      </c>
      <c r="O112" s="551" t="str">
        <f>IF(ISERROR(VLOOKUP(C112,'Base de Datos'!$D$7:$N$4077,9,0))=TRUE," ",(VLOOKUP(C112,'Base de Datos'!$D$7:$N$4077,9,0)))</f>
        <v xml:space="preserve"> </v>
      </c>
      <c r="P112" s="613" t="e">
        <f>VLOOKUP(B112,#REF!,13,0)</f>
        <v>#REF!</v>
      </c>
      <c r="Q112" s="551" t="str">
        <f>IF(ISERROR(VLOOKUP(C112,'Base de Datos'!$D$7:$N$4077,10,0))=TRUE," ",(VLOOKUP(C112,'Base de Datos'!$D$7:$N$4077,10,0)))</f>
        <v xml:space="preserve"> </v>
      </c>
      <c r="R112" s="551" t="str">
        <f>IF(ISERROR(VLOOKUP(C112,'Base de Datos'!$D$7:$N$4077,11,0))=TRUE," ",(VLOOKUP(C112,'Base de Datos'!$D$7:$N$4077,11,0)))</f>
        <v xml:space="preserve"> </v>
      </c>
      <c r="S112" s="614" t="s">
        <v>2351</v>
      </c>
      <c r="T112" s="722"/>
      <c r="U112" s="779"/>
    </row>
    <row r="113" spans="2:21" s="615" customFormat="1" ht="24" outlineLevel="1" x14ac:dyDescent="0.25">
      <c r="B113" s="627">
        <v>221</v>
      </c>
      <c r="C113" s="627" t="str">
        <f t="shared" si="11"/>
        <v>2016221</v>
      </c>
      <c r="D113" s="533" t="str">
        <f>IF(ISERROR(VLOOKUP(C113,'Base de Datos'!$D$7:$F$4092,2,0))=TRUE,"",(VLOOKUP(C113,'Base de Datos'!$D$7:$F$4092,2,0)))</f>
        <v>160178-0-2016</v>
      </c>
      <c r="E113" s="614" t="s">
        <v>2324</v>
      </c>
      <c r="F113" s="580">
        <v>2605500</v>
      </c>
      <c r="G113" s="812">
        <v>42430</v>
      </c>
      <c r="H113" s="812"/>
      <c r="I113" s="833" t="str">
        <f ca="1">IF(H113=Hoja1!$J$2," ",(IF(MONTH(G113)=MONTH(TODAY()),IF(DAY(G113)&gt;DAY(TODAY()),"Quedan "&amp;ABS(DAY(G113)-DAY(TODAY()))&amp;" Días","Hace "&amp;ABS(DAY(G113)-DAY(TODAY()))&amp;" Días"),"")))</f>
        <v/>
      </c>
      <c r="J113" s="536">
        <f>IF(ISERROR(VLOOKUP(C113,'Base de Datos'!$D$7:$N$4092,6,0))=TRUE,"Sin Celebrar",(VLOOKUP(C113,'Base de Datos'!$D$7:$N$4092,6,0)))</f>
        <v>2605500</v>
      </c>
      <c r="K113" s="612"/>
      <c r="L113" s="536" t="str">
        <f t="shared" si="12"/>
        <v xml:space="preserve"> </v>
      </c>
      <c r="M113" s="536" t="str">
        <f t="shared" si="13"/>
        <v xml:space="preserve"> </v>
      </c>
      <c r="N113" s="719" t="str">
        <f>IF(ISERROR(VLOOKUP(C113,'Base de Datos'!$D$7:$K$1048576,7,0))=TRUE," ",(VLOOKUP(C113,'Base de Datos'!$D$7:$K$1048576,7,0)))</f>
        <v>SDH-SMINC-26-2016</v>
      </c>
      <c r="O113" s="551">
        <f>IF(ISERROR(VLOOKUP(C113,'Base de Datos'!$D$7:$N$4077,9,0))=TRUE," ",(VLOOKUP(C113,'Base de Datos'!$D$7:$N$4077,9,0)))</f>
        <v>42570</v>
      </c>
      <c r="P113" s="613" t="e">
        <f>VLOOKUP(B113,#REF!,13,0)</f>
        <v>#REF!</v>
      </c>
      <c r="Q113" s="551">
        <f>IF(ISERROR(VLOOKUP(C113,'Base de Datos'!$D$7:$N$4077,10,0))=TRUE," ",(VLOOKUP(C113,'Base de Datos'!$D$7:$N$4077,10,0)))</f>
        <v>42583</v>
      </c>
      <c r="R113" s="551">
        <f>IF(ISERROR(VLOOKUP(C113,'Base de Datos'!$D$7:$N$4077,11,0))=TRUE," ",(VLOOKUP(C113,'Base de Datos'!$D$7:$N$4077,11,0)))</f>
        <v>42767</v>
      </c>
      <c r="S113" s="614" t="s">
        <v>2351</v>
      </c>
      <c r="T113" s="722"/>
      <c r="U113" s="779"/>
    </row>
    <row r="114" spans="2:21" s="615" customFormat="1" ht="24" outlineLevel="1" x14ac:dyDescent="0.25">
      <c r="B114" s="706">
        <v>223</v>
      </c>
      <c r="C114" s="627" t="str">
        <f t="shared" si="11"/>
        <v>2016223</v>
      </c>
      <c r="D114" s="533" t="str">
        <f>IF(ISERROR(VLOOKUP(C114,'Base de Datos'!$D$7:$F$4092,2,0))=TRUE,"",(VLOOKUP(C114,'Base de Datos'!$D$7:$F$4092,2,0)))</f>
        <v>160122-0-2016</v>
      </c>
      <c r="E114" s="614" t="s">
        <v>2325</v>
      </c>
      <c r="F114" s="708">
        <v>23707000</v>
      </c>
      <c r="G114" s="815">
        <v>42464</v>
      </c>
      <c r="H114" s="812"/>
      <c r="I114" s="833" t="str">
        <f ca="1">IF(H114=Hoja1!$J$2," ",(IF(MONTH(G114)=MONTH(TODAY()),IF(DAY(G114)&gt;DAY(TODAY()),"Quedan "&amp;ABS(DAY(G114)-DAY(TODAY()))&amp;" Días","Hace "&amp;ABS(DAY(G114)-DAY(TODAY()))&amp;" Días"),"")))</f>
        <v/>
      </c>
      <c r="J114" s="536">
        <f>IF(ISERROR(VLOOKUP(C114,'Base de Datos'!$D$7:$N$4092,6,0))=TRUE,"Sin Celebrar",(VLOOKUP(C114,'Base de Datos'!$D$7:$N$4092,6,0)))</f>
        <v>23707000</v>
      </c>
      <c r="K114" s="709"/>
      <c r="L114" s="536" t="str">
        <f t="shared" si="12"/>
        <v xml:space="preserve"> </v>
      </c>
      <c r="M114" s="536" t="str">
        <f t="shared" si="13"/>
        <v xml:space="preserve"> </v>
      </c>
      <c r="N114" s="719" t="str">
        <f>IF(ISERROR(VLOOKUP(C114,'Base de Datos'!$D$7:$K$1048576,7,0))=TRUE," ",(VLOOKUP(C114,'Base de Datos'!$D$7:$K$1048576,7,0)))</f>
        <v>SDH-SMINC-09-2016</v>
      </c>
      <c r="O114" s="551">
        <f>IF(ISERROR(VLOOKUP(C114,'Base de Datos'!$D$7:$N$4077,9,0))=TRUE," ",(VLOOKUP(C114,'Base de Datos'!$D$7:$N$4077,9,0)))</f>
        <v>42523</v>
      </c>
      <c r="P114" s="613" t="e">
        <f>VLOOKUP(B114,#REF!,13,0)</f>
        <v>#REF!</v>
      </c>
      <c r="Q114" s="551">
        <f>IF(ISERROR(VLOOKUP(C114,'Base de Datos'!$D$7:$N$4077,10,0))=TRUE," ",(VLOOKUP(C114,'Base de Datos'!$D$7:$N$4077,10,0)))</f>
        <v>42556</v>
      </c>
      <c r="R114" s="551">
        <f>IF(ISERROR(VLOOKUP(C114,'Base de Datos'!$D$7:$N$4077,11,0))=TRUE," ",(VLOOKUP(C114,'Base de Datos'!$D$7:$N$4077,11,0)))</f>
        <v>42771</v>
      </c>
      <c r="S114" s="614" t="s">
        <v>2352</v>
      </c>
      <c r="T114" s="722"/>
      <c r="U114" s="779"/>
    </row>
    <row r="115" spans="2:21" s="615" customFormat="1" outlineLevel="1" x14ac:dyDescent="0.25">
      <c r="B115" s="706"/>
      <c r="C115" s="706"/>
      <c r="D115" s="707"/>
      <c r="E115" s="707" t="s">
        <v>1935</v>
      </c>
      <c r="F115" s="580"/>
      <c r="G115" s="815"/>
      <c r="H115" s="815"/>
      <c r="I115" s="555"/>
      <c r="J115" s="708"/>
      <c r="K115" s="709"/>
      <c r="L115" s="708"/>
      <c r="M115" s="708" t="str">
        <f t="shared" si="13"/>
        <v xml:space="preserve"> </v>
      </c>
      <c r="N115" s="809"/>
      <c r="O115" s="613" t="str">
        <f>IF(ISERROR(VLOOKUP(B115,'Base de Datos'!$C$7:$N$315,9,0))=TRUE," ",(VLOOKUP(B115,'Base de Datos'!$C$7:$N$315,9,0)))</f>
        <v xml:space="preserve"> </v>
      </c>
      <c r="P115" s="707"/>
      <c r="Q115" s="710" t="str">
        <f>IF(ISERROR(VLOOKUP(B115,'Base de Datos'!$C$7:$N$4077,10,0))=TRUE," ",(VLOOKUP(B115,'Base de Datos'!$C$7:$N$4077,10,0)))</f>
        <v xml:space="preserve"> </v>
      </c>
      <c r="R115" s="710" t="str">
        <f>IF(ISERROR(VLOOKUP(B115,'Base de Datos'!$C$7:$N$4077,11,0))=TRUE," ",(VLOOKUP(B115,'Base de Datos'!$C$7:$N$4077,11,0)))</f>
        <v xml:space="preserve"> </v>
      </c>
      <c r="S115" s="614"/>
      <c r="T115" s="722"/>
      <c r="U115" s="779"/>
    </row>
    <row r="116" spans="2:21" s="615" customFormat="1" outlineLevel="1" x14ac:dyDescent="0.25">
      <c r="B116" s="811"/>
      <c r="C116" s="811"/>
      <c r="D116" s="811"/>
      <c r="E116" s="811"/>
      <c r="F116" s="580"/>
      <c r="G116" s="812"/>
      <c r="H116" s="812"/>
      <c r="I116" s="534"/>
      <c r="J116" s="580"/>
      <c r="K116" s="612"/>
      <c r="L116" s="580"/>
      <c r="M116" s="580"/>
      <c r="N116" s="690"/>
      <c r="O116" s="613"/>
      <c r="P116" s="614"/>
      <c r="Q116" s="613"/>
      <c r="R116" s="613"/>
      <c r="S116" s="614"/>
      <c r="T116" s="722"/>
      <c r="U116" s="779"/>
    </row>
    <row r="117" spans="2:21" x14ac:dyDescent="0.25">
      <c r="B117" s="1217" t="s">
        <v>1656</v>
      </c>
      <c r="C117" s="1217"/>
      <c r="D117" s="1217"/>
      <c r="E117" s="1217"/>
      <c r="F117" s="800"/>
      <c r="G117" s="828">
        <f>+G118+G123+G128</f>
        <v>3</v>
      </c>
      <c r="H117" s="828">
        <f>+H118+H123+H128</f>
        <v>0</v>
      </c>
      <c r="I117" s="793"/>
      <c r="J117" s="792">
        <f>+J118+J123+J128</f>
        <v>0</v>
      </c>
      <c r="K117" s="794" t="e">
        <f>J117/F117</f>
        <v>#DIV/0!</v>
      </c>
      <c r="L117" s="792">
        <f>+L118+L123+L128</f>
        <v>376131000</v>
      </c>
      <c r="M117" s="792">
        <f>+M118+M123+M128</f>
        <v>-376131000</v>
      </c>
      <c r="N117" s="796"/>
      <c r="O117" s="797" t="str">
        <f>IF(ISERROR(VLOOKUP(B117,'Base de Datos'!$C$7:$N$315,8,0))=TRUE," ",(VLOOKUP(B117,'Base de Datos'!$C$7:$N$315,8,0)))</f>
        <v xml:space="preserve"> </v>
      </c>
      <c r="P117" s="798"/>
      <c r="Q117" s="797" t="str">
        <f>IF(ISERROR(VLOOKUP(B117,'Base de Datos'!$C$7:$N$315,9,0))=TRUE," ",(VLOOKUP(B117,'Base de Datos'!$C$7:$N$315,9,0)))</f>
        <v xml:space="preserve"> </v>
      </c>
      <c r="R117" s="797" t="str">
        <f>IF(ISERROR(VLOOKUP(B117,'Base de Datos'!$C$7:$N$315,10,0))=TRUE," ",(VLOOKUP(B117,'Base de Datos'!$C$7:$N$315,10,0)))</f>
        <v xml:space="preserve"> </v>
      </c>
      <c r="S117" s="790"/>
      <c r="T117" s="722"/>
      <c r="U117" s="634"/>
    </row>
    <row r="118" spans="2:21" x14ac:dyDescent="0.25">
      <c r="B118" s="1213" t="s">
        <v>1657</v>
      </c>
      <c r="C118" s="1213"/>
      <c r="D118" s="1213"/>
      <c r="E118" s="1213"/>
      <c r="F118" s="785"/>
      <c r="G118" s="791">
        <f>COUNT(G120:G121)</f>
        <v>2</v>
      </c>
      <c r="H118" s="791">
        <f>COUNTIF(H120:H121,Hoja1!$J$2)</f>
        <v>0</v>
      </c>
      <c r="I118" s="786"/>
      <c r="J118" s="785">
        <f>SUM(J120:J121)</f>
        <v>0</v>
      </c>
      <c r="K118" s="787" t="e">
        <f>J118/F118</f>
        <v>#DIV/0!</v>
      </c>
      <c r="L118" s="785">
        <f>SUM(L120:L121)</f>
        <v>184054000</v>
      </c>
      <c r="M118" s="785">
        <f>+F118-J118-L118</f>
        <v>-184054000</v>
      </c>
      <c r="N118" s="788"/>
      <c r="O118" s="789" t="str">
        <f>IF(ISERROR(VLOOKUP(B118,'Base de Datos'!$C$7:$N$315,8,0))=TRUE," ",(VLOOKUP(B118,'Base de Datos'!$C$7:$N$315,8,0)))</f>
        <v xml:space="preserve"> </v>
      </c>
      <c r="P118" s="790"/>
      <c r="Q118" s="789" t="str">
        <f>IF(ISERROR(VLOOKUP(B118,'Base de Datos'!$C$7:$N$315,9,0))=TRUE," ",(VLOOKUP(B118,'Base de Datos'!$C$7:$N$315,9,0)))</f>
        <v xml:space="preserve"> </v>
      </c>
      <c r="R118" s="789" t="str">
        <f>IF(ISERROR(VLOOKUP(B118,'Base de Datos'!$C$7:$N$315,10,0))=TRUE," ",(VLOOKUP(B118,'Base de Datos'!$C$7:$N$315,10,0)))</f>
        <v xml:space="preserve"> </v>
      </c>
      <c r="S118" s="790"/>
      <c r="T118" s="722"/>
      <c r="U118" s="634"/>
    </row>
    <row r="119" spans="2:21" s="615" customFormat="1" ht="24" hidden="1" outlineLevel="1" x14ac:dyDescent="0.25">
      <c r="B119" s="627" t="s">
        <v>2343</v>
      </c>
      <c r="C119" s="627"/>
      <c r="D119" s="627" t="s">
        <v>912</v>
      </c>
      <c r="E119" s="627" t="s">
        <v>1822</v>
      </c>
      <c r="F119" s="776" t="s">
        <v>1846</v>
      </c>
      <c r="G119" s="812" t="s">
        <v>2345</v>
      </c>
      <c r="H119" s="812" t="s">
        <v>2349</v>
      </c>
      <c r="I119" s="534" t="s">
        <v>2350</v>
      </c>
      <c r="J119" s="627" t="s">
        <v>1845</v>
      </c>
      <c r="K119" s="612"/>
      <c r="L119" s="627" t="s">
        <v>1939</v>
      </c>
      <c r="M119" s="627" t="s">
        <v>1940</v>
      </c>
      <c r="N119" s="777" t="s">
        <v>1122</v>
      </c>
      <c r="O119" s="778" t="s">
        <v>1847</v>
      </c>
      <c r="P119" s="627" t="s">
        <v>1848</v>
      </c>
      <c r="Q119" s="627" t="s">
        <v>1849</v>
      </c>
      <c r="R119" s="627" t="s">
        <v>375</v>
      </c>
      <c r="S119" s="627" t="s">
        <v>1850</v>
      </c>
      <c r="T119" s="722"/>
      <c r="U119" s="779"/>
    </row>
    <row r="120" spans="2:21" s="615" customFormat="1" ht="36" hidden="1" outlineLevel="1" x14ac:dyDescent="0.25">
      <c r="B120" s="627">
        <v>225</v>
      </c>
      <c r="C120" s="627" t="str">
        <f>$W$6&amp;B120</f>
        <v>2016225</v>
      </c>
      <c r="D120" s="533" t="str">
        <f>IF(ISERROR(VLOOKUP(C120,'Base de Datos'!$D$7:$F$4092,2,0))=TRUE,"",(VLOOKUP(C120,'Base de Datos'!$D$7:$F$4092,2,0)))</f>
        <v/>
      </c>
      <c r="E120" s="614" t="s">
        <v>2328</v>
      </c>
      <c r="F120" s="580">
        <v>179725000</v>
      </c>
      <c r="G120" s="812">
        <v>42461</v>
      </c>
      <c r="H120" s="812"/>
      <c r="I120" s="833" t="str">
        <f ca="1">IF(H120=Hoja1!$J$2," ",(IF(MONTH(G120)=MONTH(TODAY()),IF(DAY(G120)&gt;DAY(TODAY()),"Quedan "&amp;ABS(DAY(G120)-DAY(TODAY()))&amp;" Días","Hace "&amp;ABS(DAY(G120)-DAY(TODAY()))&amp;" Días"),"")))</f>
        <v/>
      </c>
      <c r="J120" s="536" t="str">
        <f>IF(ISERROR(VLOOKUP(C120,'Base de Datos'!$D$7:$N$4092,6,0))=TRUE,"Sin Celebrar",(VLOOKUP(C120,'Base de Datos'!$D$7:$N$4092,6,0)))</f>
        <v>Sin Celebrar</v>
      </c>
      <c r="K120" s="612"/>
      <c r="L120" s="536">
        <f>IF(J120=$W$7,F120, " ")</f>
        <v>179725000</v>
      </c>
      <c r="M120" s="536" t="str">
        <f>IF(J120&lt;F120,(F120-J120)," ")</f>
        <v xml:space="preserve"> </v>
      </c>
      <c r="N120" s="719" t="str">
        <f>IF(ISERROR(VLOOKUP(C120,'Base de Datos'!$D$7:$K$1048576,7,0))=TRUE," ",(VLOOKUP(C120,'Base de Datos'!$D$7:$K$1048576,7,0)))</f>
        <v xml:space="preserve"> </v>
      </c>
      <c r="O120" s="719" t="str">
        <f>IF(ISERROR(VLOOKUP(C120,'Base de Datos'!$D$7:$K$1048576,9,0))=TRUE," ",(VLOOKUP(C120,'Base de Datos'!$D$7:$K$1048576,9,0)))</f>
        <v xml:space="preserve"> </v>
      </c>
      <c r="P120" s="613" t="e">
        <f>VLOOKUP(B120,#REF!,13,0)</f>
        <v>#REF!</v>
      </c>
      <c r="Q120" s="551" t="str">
        <f>IF(ISERROR(VLOOKUP(C120,'Base de Datos'!$D$7:$N$4077,10,0))=TRUE," ",(VLOOKUP(C120,'Base de Datos'!$D$7:$N$4077,10,0)))</f>
        <v xml:space="preserve"> </v>
      </c>
      <c r="R120" s="551" t="str">
        <f>IF(ISERROR(VLOOKUP(C120,'Base de Datos'!$D$7:$N$4077,11,0))=TRUE," ",(VLOOKUP(C120,'Base de Datos'!$D$7:$N$4077,11,0)))</f>
        <v xml:space="preserve"> </v>
      </c>
      <c r="S120" s="614"/>
      <c r="T120" s="722"/>
      <c r="U120" s="779"/>
    </row>
    <row r="121" spans="2:21" s="615" customFormat="1" ht="24" hidden="1" outlineLevel="1" x14ac:dyDescent="0.25">
      <c r="B121" s="706">
        <v>226</v>
      </c>
      <c r="C121" s="627" t="str">
        <f>$W$6&amp;B121</f>
        <v>2016226</v>
      </c>
      <c r="D121" s="533" t="str">
        <f>IF(ISERROR(VLOOKUP(C121,'Base de Datos'!$D$7:$F$4092,2,0))=TRUE,"",(VLOOKUP(C121,'Base de Datos'!$D$7:$F$4092,2,0)))</f>
        <v/>
      </c>
      <c r="E121" s="707" t="s">
        <v>2326</v>
      </c>
      <c r="F121" s="708">
        <v>4329000</v>
      </c>
      <c r="G121" s="815">
        <v>42552</v>
      </c>
      <c r="H121" s="812"/>
      <c r="I121" s="833" t="str">
        <f ca="1">IF(H121=Hoja1!$J$2," ",(IF(MONTH(G121)=MONTH(TODAY()),IF(DAY(G121)&gt;DAY(TODAY()),"Quedan "&amp;ABS(DAY(G121)-DAY(TODAY()))&amp;" Días","Hace "&amp;ABS(DAY(G121)-DAY(TODAY()))&amp;" Días"),"")))</f>
        <v/>
      </c>
      <c r="J121" s="536" t="str">
        <f>IF(ISERROR(VLOOKUP(C121,'Base de Datos'!$D$7:$N$4092,6,0))=TRUE,"Sin Celebrar",(VLOOKUP(C121,'Base de Datos'!$D$7:$N$4092,6,0)))</f>
        <v>Sin Celebrar</v>
      </c>
      <c r="K121" s="709"/>
      <c r="L121" s="536">
        <f>IF(J121=$W$7,F121, " ")</f>
        <v>4329000</v>
      </c>
      <c r="M121" s="536" t="str">
        <f>IF(J121&lt;F121,(F121-J121)," ")</f>
        <v xml:space="preserve"> </v>
      </c>
      <c r="N121" s="719" t="str">
        <f>IF(ISERROR(VLOOKUP(C121,'Base de Datos'!$D$7:$K$1048576,7,0))=TRUE," ",(VLOOKUP(C121,'Base de Datos'!$D$7:$K$1048576,7,0)))</f>
        <v xml:space="preserve"> </v>
      </c>
      <c r="O121" s="719" t="str">
        <f>IF(ISERROR(VLOOKUP(C121,'Base de Datos'!$D$7:$K$1048576,9,0))=TRUE," ",(VLOOKUP(C121,'Base de Datos'!$D$7:$K$1048576,9,0)))</f>
        <v xml:space="preserve"> </v>
      </c>
      <c r="P121" s="613" t="e">
        <f>VLOOKUP(B121,#REF!,13,0)</f>
        <v>#REF!</v>
      </c>
      <c r="Q121" s="551" t="str">
        <f>IF(ISERROR(VLOOKUP(C121,'Base de Datos'!$D$7:$N$4077,10,0))=TRUE," ",(VLOOKUP(C121,'Base de Datos'!$D$7:$N$4077,10,0)))</f>
        <v xml:space="preserve"> </v>
      </c>
      <c r="R121" s="551" t="str">
        <f>IF(ISERROR(VLOOKUP(C121,'Base de Datos'!$D$7:$N$4077,11,0))=TRUE," ",(VLOOKUP(C121,'Base de Datos'!$D$7:$N$4077,11,0)))</f>
        <v xml:space="preserve"> </v>
      </c>
      <c r="S121" s="614"/>
      <c r="T121" s="722"/>
      <c r="U121" s="779"/>
    </row>
    <row r="122" spans="2:21" s="615" customFormat="1" hidden="1" outlineLevel="1" x14ac:dyDescent="0.25">
      <c r="B122" s="614"/>
      <c r="C122" s="614"/>
      <c r="D122" s="614"/>
      <c r="E122" s="614"/>
      <c r="F122" s="580"/>
      <c r="G122" s="812"/>
      <c r="H122" s="812"/>
      <c r="I122" s="534"/>
      <c r="J122" s="580"/>
      <c r="K122" s="612"/>
      <c r="L122" s="580"/>
      <c r="M122" s="580"/>
      <c r="N122" s="690"/>
      <c r="O122" s="613"/>
      <c r="P122" s="614"/>
      <c r="Q122" s="613"/>
      <c r="R122" s="613"/>
      <c r="S122" s="614"/>
      <c r="T122" s="722"/>
      <c r="U122" s="779"/>
    </row>
    <row r="123" spans="2:21" collapsed="1" x14ac:dyDescent="0.25">
      <c r="B123" s="1216" t="s">
        <v>1658</v>
      </c>
      <c r="C123" s="1216"/>
      <c r="D123" s="1216"/>
      <c r="E123" s="1216"/>
      <c r="F123" s="792"/>
      <c r="G123" s="791">
        <f>COUNT(G125:G126)</f>
        <v>1</v>
      </c>
      <c r="H123" s="791">
        <f>COUNTIF(H125:H126,Hoja1!$J$2)</f>
        <v>0</v>
      </c>
      <c r="I123" s="793"/>
      <c r="J123" s="792">
        <f>SUM(J125:J125)</f>
        <v>0</v>
      </c>
      <c r="K123" s="794" t="e">
        <f>J123/F123</f>
        <v>#DIV/0!</v>
      </c>
      <c r="L123" s="792">
        <f>SUM(L125:L125)</f>
        <v>192077000</v>
      </c>
      <c r="M123" s="792">
        <f>+F123-J123-L123</f>
        <v>-192077000</v>
      </c>
      <c r="N123" s="796"/>
      <c r="O123" s="797" t="str">
        <f>IF(ISERROR(VLOOKUP(B123,'Base de Datos'!$C$7:$N$315,8,0))=TRUE," ",(VLOOKUP(B123,'Base de Datos'!$C$7:$N$315,8,0)))</f>
        <v xml:space="preserve"> </v>
      </c>
      <c r="P123" s="798"/>
      <c r="Q123" s="797" t="str">
        <f>IF(ISERROR(VLOOKUP(B123,'Base de Datos'!$C$7:$N$315,9,0))=TRUE," ",(VLOOKUP(B123,'Base de Datos'!$C$7:$N$315,9,0)))</f>
        <v xml:space="preserve"> </v>
      </c>
      <c r="R123" s="797" t="str">
        <f>IF(ISERROR(VLOOKUP(B123,'Base de Datos'!$C$7:$N$315,10,0))=TRUE," ",(VLOOKUP(B123,'Base de Datos'!$C$7:$N$315,10,0)))</f>
        <v xml:space="preserve"> </v>
      </c>
      <c r="S123" s="790"/>
      <c r="T123" s="722"/>
      <c r="U123" s="634"/>
    </row>
    <row r="124" spans="2:21" s="615" customFormat="1" ht="24" hidden="1" outlineLevel="1" x14ac:dyDescent="0.25">
      <c r="B124" s="627" t="s">
        <v>2343</v>
      </c>
      <c r="C124" s="627"/>
      <c r="D124" s="627" t="s">
        <v>912</v>
      </c>
      <c r="E124" s="627" t="s">
        <v>1822</v>
      </c>
      <c r="F124" s="776" t="s">
        <v>1846</v>
      </c>
      <c r="G124" s="812" t="s">
        <v>2345</v>
      </c>
      <c r="H124" s="812" t="s">
        <v>2349</v>
      </c>
      <c r="I124" s="534" t="s">
        <v>2350</v>
      </c>
      <c r="J124" s="627" t="s">
        <v>1845</v>
      </c>
      <c r="K124" s="612"/>
      <c r="L124" s="627" t="s">
        <v>1939</v>
      </c>
      <c r="M124" s="627" t="s">
        <v>1940</v>
      </c>
      <c r="N124" s="777" t="s">
        <v>1122</v>
      </c>
      <c r="O124" s="778" t="s">
        <v>1847</v>
      </c>
      <c r="P124" s="627" t="s">
        <v>1848</v>
      </c>
      <c r="Q124" s="627" t="s">
        <v>1849</v>
      </c>
      <c r="R124" s="627" t="s">
        <v>375</v>
      </c>
      <c r="S124" s="627" t="s">
        <v>1850</v>
      </c>
      <c r="T124" s="722"/>
      <c r="U124" s="779"/>
    </row>
    <row r="125" spans="2:21" s="615" customFormat="1" ht="24" hidden="1" outlineLevel="1" x14ac:dyDescent="0.25">
      <c r="B125" s="627">
        <v>225</v>
      </c>
      <c r="C125" s="627" t="str">
        <f>$W$6&amp;B125</f>
        <v>2016225</v>
      </c>
      <c r="D125" s="533" t="str">
        <f>IF(ISERROR(VLOOKUP(C125,'Base de Datos'!$D$7:$F$4092,2,0))=TRUE,"",(VLOOKUP(C125,'Base de Datos'!$D$7:$F$4092,2,0)))</f>
        <v/>
      </c>
      <c r="E125" s="614" t="s">
        <v>2327</v>
      </c>
      <c r="F125" s="580">
        <v>192077000</v>
      </c>
      <c r="G125" s="812">
        <v>42461</v>
      </c>
      <c r="H125" s="812"/>
      <c r="I125" s="833" t="str">
        <f ca="1">IF(H125=Hoja1!$J$2," ",(IF(MONTH(G125)=MONTH(TODAY()),IF(DAY(G125)&gt;DAY(TODAY()),"Quedan "&amp;ABS(DAY(G125)-DAY(TODAY()))&amp;" Días","Hace "&amp;ABS(DAY(G125)-DAY(TODAY()))&amp;" Días"),"")))</f>
        <v/>
      </c>
      <c r="J125" s="536" t="str">
        <f>IF(ISERROR(VLOOKUP(C125,'Base de Datos'!$D$7:$N$4092,6,0))=TRUE,"Sin Celebrar",(VLOOKUP(C125,'Base de Datos'!$D$7:$N$4092,6,0)))</f>
        <v>Sin Celebrar</v>
      </c>
      <c r="K125" s="612"/>
      <c r="L125" s="536">
        <f>IF(J125=$W$7,F125, " ")</f>
        <v>192077000</v>
      </c>
      <c r="M125" s="536" t="str">
        <f>IF(J125&lt;F125,(F125-J125)," ")</f>
        <v xml:space="preserve"> </v>
      </c>
      <c r="N125" s="719" t="str">
        <f>IF(ISERROR(VLOOKUP(C125,'Base de Datos'!$D$7:$K$1048576,7,0))=TRUE," ",(VLOOKUP(C125,'Base de Datos'!$D$7:$K$1048576,7,0)))</f>
        <v xml:space="preserve"> </v>
      </c>
      <c r="O125" s="719" t="str">
        <f>IF(ISERROR(VLOOKUP(C125,'Base de Datos'!$D$7:$K$1048576,9,0))=TRUE," ",(VLOOKUP(C125,'Base de Datos'!$D$7:$K$1048576,9,0)))</f>
        <v xml:space="preserve"> </v>
      </c>
      <c r="P125" s="613" t="e">
        <f>VLOOKUP(B125,#REF!,13,0)</f>
        <v>#REF!</v>
      </c>
      <c r="Q125" s="551" t="str">
        <f>IF(ISERROR(VLOOKUP(C125,'Base de Datos'!$D$7:$N$4077,10,0))=TRUE," ",(VLOOKUP(C125,'Base de Datos'!$D$7:$N$4077,10,0)))</f>
        <v xml:space="preserve"> </v>
      </c>
      <c r="R125" s="551" t="str">
        <f>IF(ISERROR(VLOOKUP(C125,'Base de Datos'!$D$7:$N$4077,11,0))=TRUE," ",(VLOOKUP(C125,'Base de Datos'!$D$7:$N$4077,11,0)))</f>
        <v xml:space="preserve"> </v>
      </c>
      <c r="S125" s="614"/>
      <c r="T125" s="722"/>
      <c r="U125" s="779"/>
    </row>
    <row r="126" spans="2:21" s="615" customFormat="1" hidden="1" outlineLevel="1" x14ac:dyDescent="0.25">
      <c r="B126" s="627"/>
      <c r="C126" s="627"/>
      <c r="D126" s="614"/>
      <c r="E126" s="614" t="s">
        <v>1935</v>
      </c>
      <c r="F126" s="580"/>
      <c r="G126" s="812"/>
      <c r="H126" s="812"/>
      <c r="I126" s="534"/>
      <c r="J126" s="708"/>
      <c r="K126" s="612"/>
      <c r="L126" s="708"/>
      <c r="M126" s="708" t="str">
        <f>IF(J126&lt;F126,(F126-J126)," ")</f>
        <v xml:space="preserve"> </v>
      </c>
      <c r="N126" s="780"/>
      <c r="O126" s="613"/>
      <c r="P126" s="614"/>
      <c r="Q126" s="710"/>
      <c r="R126" s="710"/>
      <c r="S126" s="614"/>
      <c r="T126" s="722"/>
      <c r="U126" s="779"/>
    </row>
    <row r="127" spans="2:21" s="615" customFormat="1" hidden="1" outlineLevel="1" x14ac:dyDescent="0.25">
      <c r="B127" s="811"/>
      <c r="C127" s="811"/>
      <c r="D127" s="811"/>
      <c r="E127" s="811"/>
      <c r="F127" s="580"/>
      <c r="G127" s="812"/>
      <c r="H127" s="812"/>
      <c r="I127" s="534"/>
      <c r="J127" s="580"/>
      <c r="K127" s="612"/>
      <c r="L127" s="580"/>
      <c r="M127" s="580"/>
      <c r="N127" s="690"/>
      <c r="O127" s="613"/>
      <c r="P127" s="614"/>
      <c r="Q127" s="613"/>
      <c r="R127" s="613"/>
      <c r="S127" s="614"/>
      <c r="T127" s="722"/>
      <c r="U127" s="779"/>
    </row>
    <row r="128" spans="2:21" collapsed="1" x14ac:dyDescent="0.25">
      <c r="B128" s="1216" t="s">
        <v>1659</v>
      </c>
      <c r="C128" s="1216"/>
      <c r="D128" s="1216"/>
      <c r="E128" s="1216"/>
      <c r="F128" s="792"/>
      <c r="G128" s="827">
        <f>COUNT(G130)</f>
        <v>0</v>
      </c>
      <c r="H128" s="791">
        <f>COUNTIF(H130:H131,Hoja1!$J$2)</f>
        <v>0</v>
      </c>
      <c r="I128" s="793"/>
      <c r="J128" s="792">
        <f>+J130</f>
        <v>0</v>
      </c>
      <c r="K128" s="794" t="e">
        <f>J128/F128</f>
        <v>#DIV/0!</v>
      </c>
      <c r="L128" s="792">
        <f>+L130</f>
        <v>0</v>
      </c>
      <c r="M128" s="792">
        <f>+F128-J128-L128</f>
        <v>0</v>
      </c>
      <c r="N128" s="796"/>
      <c r="O128" s="797" t="str">
        <f>IF(ISERROR(VLOOKUP(B128,'Base de Datos'!$C$7:$N$315,8,0))=TRUE," ",(VLOOKUP(B128,'Base de Datos'!$C$7:$N$315,8,0)))</f>
        <v xml:space="preserve"> </v>
      </c>
      <c r="P128" s="798"/>
      <c r="Q128" s="797" t="str">
        <f>IF(ISERROR(VLOOKUP(B128,'Base de Datos'!$C$7:$N$315,9,0))=TRUE," ",(VLOOKUP(B128,'Base de Datos'!$C$7:$N$315,9,0)))</f>
        <v xml:space="preserve"> </v>
      </c>
      <c r="R128" s="797" t="str">
        <f>IF(ISERROR(VLOOKUP(B128,'Base de Datos'!$C$7:$N$315,10,0))=TRUE," ",(VLOOKUP(B128,'Base de Datos'!$C$7:$N$315,10,0)))</f>
        <v xml:space="preserve"> </v>
      </c>
      <c r="S128" s="790"/>
      <c r="T128" s="722"/>
      <c r="U128" s="634"/>
    </row>
    <row r="129" spans="2:21" s="615" customFormat="1" ht="24" hidden="1" outlineLevel="1" x14ac:dyDescent="0.25">
      <c r="B129" s="627" t="s">
        <v>2343</v>
      </c>
      <c r="C129" s="627"/>
      <c r="D129" s="627" t="s">
        <v>912</v>
      </c>
      <c r="E129" s="627" t="s">
        <v>1822</v>
      </c>
      <c r="F129" s="776" t="s">
        <v>1846</v>
      </c>
      <c r="G129" s="812" t="s">
        <v>2345</v>
      </c>
      <c r="H129" s="812" t="s">
        <v>2349</v>
      </c>
      <c r="I129" s="534" t="s">
        <v>2350</v>
      </c>
      <c r="J129" s="627" t="s">
        <v>1845</v>
      </c>
      <c r="K129" s="612"/>
      <c r="L129" s="627" t="s">
        <v>1939</v>
      </c>
      <c r="M129" s="627" t="s">
        <v>1940</v>
      </c>
      <c r="N129" s="777" t="s">
        <v>1122</v>
      </c>
      <c r="O129" s="778" t="s">
        <v>1847</v>
      </c>
      <c r="P129" s="627" t="s">
        <v>1848</v>
      </c>
      <c r="Q129" s="627" t="s">
        <v>1849</v>
      </c>
      <c r="R129" s="627" t="s">
        <v>375</v>
      </c>
      <c r="S129" s="627" t="s">
        <v>1850</v>
      </c>
      <c r="T129" s="722"/>
      <c r="U129" s="779"/>
    </row>
    <row r="130" spans="2:21" s="615" customFormat="1" hidden="1" outlineLevel="1" x14ac:dyDescent="0.25">
      <c r="B130" s="627"/>
      <c r="C130" s="627"/>
      <c r="D130" s="614"/>
      <c r="E130" s="774"/>
      <c r="F130" s="534"/>
      <c r="G130" s="814"/>
      <c r="H130" s="814"/>
      <c r="I130" s="833" t="str">
        <f ca="1">IF(H130=Hoja1!$J$2," ",(IF(MONTH(G130)=MONTH(TODAY()),IF(DAY(G130)&gt;DAY(TODAY()),"Quedan "&amp;ABS(DAY(G130)-DAY(TODAY()))&amp;" Días","Hace "&amp;ABS(DAY(G130)-DAY(TODAY()))&amp;" Días"),"")))</f>
        <v/>
      </c>
      <c r="J130" s="580"/>
      <c r="K130" s="643"/>
      <c r="L130" s="580"/>
      <c r="M130" s="580"/>
      <c r="N130" s="688"/>
      <c r="O130" s="644"/>
      <c r="P130" s="645"/>
      <c r="Q130" s="644"/>
      <c r="R130" s="644"/>
      <c r="S130" s="614"/>
      <c r="T130" s="722"/>
      <c r="U130" s="779"/>
    </row>
    <row r="131" spans="2:21" s="615" customFormat="1" hidden="1" outlineLevel="1" x14ac:dyDescent="0.25">
      <c r="B131" s="627"/>
      <c r="C131" s="627"/>
      <c r="D131" s="614"/>
      <c r="E131" s="614"/>
      <c r="F131" s="534"/>
      <c r="G131" s="814"/>
      <c r="H131" s="814"/>
      <c r="I131" s="580"/>
      <c r="J131" s="642"/>
      <c r="K131" s="643"/>
      <c r="L131" s="642"/>
      <c r="M131" s="642"/>
      <c r="N131" s="688"/>
      <c r="O131" s="644"/>
      <c r="P131" s="645"/>
      <c r="Q131" s="644"/>
      <c r="R131" s="644"/>
      <c r="S131" s="614"/>
      <c r="T131" s="722"/>
      <c r="U131" s="779"/>
    </row>
    <row r="132" spans="2:21" collapsed="1" x14ac:dyDescent="0.25">
      <c r="B132" s="1215" t="s">
        <v>1660</v>
      </c>
      <c r="C132" s="1215"/>
      <c r="D132" s="1215"/>
      <c r="E132" s="1215"/>
      <c r="F132" s="801"/>
      <c r="G132" s="824">
        <f>+G133+G137+G141+G145</f>
        <v>0</v>
      </c>
      <c r="H132" s="824">
        <f>+H133+H137+H141+H145</f>
        <v>0</v>
      </c>
      <c r="I132" s="786"/>
      <c r="J132" s="785">
        <f>+J133+J137+J141+J145</f>
        <v>0</v>
      </c>
      <c r="K132" s="794" t="e">
        <f>J132/F132</f>
        <v>#DIV/0!</v>
      </c>
      <c r="L132" s="785">
        <f>+L133+L137+L141+L145</f>
        <v>0</v>
      </c>
      <c r="M132" s="785">
        <f>+M133+M137+M141+M145</f>
        <v>0</v>
      </c>
      <c r="N132" s="788"/>
      <c r="O132" s="789" t="str">
        <f>IF(ISERROR(VLOOKUP(B132,'Base de Datos'!$C$7:$N$315,8,0))=TRUE," ",(VLOOKUP(B132,'Base de Datos'!$C$7:$N$315,8,0)))</f>
        <v xml:space="preserve"> </v>
      </c>
      <c r="P132" s="790"/>
      <c r="Q132" s="789" t="str">
        <f>IF(ISERROR(VLOOKUP(B132,'Base de Datos'!$C$7:$N$315,9,0))=TRUE," ",(VLOOKUP(B132,'Base de Datos'!$C$7:$N$315,9,0)))</f>
        <v xml:space="preserve"> </v>
      </c>
      <c r="R132" s="789" t="str">
        <f>IF(ISERROR(VLOOKUP(B132,'Base de Datos'!$C$7:$N$315,10,0))=TRUE," ",(VLOOKUP(B132,'Base de Datos'!$C$7:$N$315,10,0)))</f>
        <v xml:space="preserve"> </v>
      </c>
      <c r="S132" s="790"/>
      <c r="T132" s="722"/>
      <c r="U132" s="634"/>
    </row>
    <row r="133" spans="2:21" x14ac:dyDescent="0.25">
      <c r="B133" s="1213" t="s">
        <v>1661</v>
      </c>
      <c r="C133" s="1213"/>
      <c r="D133" s="1213"/>
      <c r="E133" s="1213"/>
      <c r="F133" s="785"/>
      <c r="G133" s="791">
        <f>COUNT(G135)</f>
        <v>0</v>
      </c>
      <c r="H133" s="791">
        <f>COUNTIF(H135:H136,Hoja1!$J$2)</f>
        <v>0</v>
      </c>
      <c r="I133" s="786"/>
      <c r="J133" s="785">
        <f>+J135</f>
        <v>0</v>
      </c>
      <c r="K133" s="794" t="e">
        <f>J133/F133</f>
        <v>#DIV/0!</v>
      </c>
      <c r="L133" s="785">
        <f>+F133-J133</f>
        <v>0</v>
      </c>
      <c r="M133" s="785">
        <f>+M135</f>
        <v>0</v>
      </c>
      <c r="N133" s="788"/>
      <c r="O133" s="789" t="str">
        <f>IF(ISERROR(VLOOKUP(B133,'Base de Datos'!$C$7:$N$315,8,0))=TRUE," ",(VLOOKUP(B133,'Base de Datos'!$C$7:$N$315,8,0)))</f>
        <v xml:space="preserve"> </v>
      </c>
      <c r="P133" s="790"/>
      <c r="Q133" s="789" t="str">
        <f>IF(ISERROR(VLOOKUP(B133,'Base de Datos'!$C$7:$N$315,9,0))=TRUE," ",(VLOOKUP(B133,'Base de Datos'!$C$7:$N$315,9,0)))</f>
        <v xml:space="preserve"> </v>
      </c>
      <c r="R133" s="789" t="str">
        <f>IF(ISERROR(VLOOKUP(B133,'Base de Datos'!$C$7:$N$315,10,0))=TRUE," ",(VLOOKUP(B133,'Base de Datos'!$C$7:$N$315,10,0)))</f>
        <v xml:space="preserve"> </v>
      </c>
      <c r="S133" s="790"/>
      <c r="T133" s="722"/>
      <c r="U133" s="634"/>
    </row>
    <row r="134" spans="2:21" s="615" customFormat="1" ht="24" hidden="1" outlineLevel="1" x14ac:dyDescent="0.25">
      <c r="B134" s="627" t="s">
        <v>2343</v>
      </c>
      <c r="C134" s="627"/>
      <c r="D134" s="627" t="s">
        <v>912</v>
      </c>
      <c r="E134" s="627" t="s">
        <v>1822</v>
      </c>
      <c r="F134" s="776" t="s">
        <v>1846</v>
      </c>
      <c r="G134" s="812" t="s">
        <v>2345</v>
      </c>
      <c r="H134" s="812" t="s">
        <v>2349</v>
      </c>
      <c r="I134" s="534" t="s">
        <v>2350</v>
      </c>
      <c r="J134" s="627" t="s">
        <v>1845</v>
      </c>
      <c r="K134" s="612"/>
      <c r="L134" s="627" t="s">
        <v>1939</v>
      </c>
      <c r="M134" s="627" t="s">
        <v>1940</v>
      </c>
      <c r="N134" s="777" t="s">
        <v>1122</v>
      </c>
      <c r="O134" s="778" t="s">
        <v>1847</v>
      </c>
      <c r="P134" s="627" t="s">
        <v>1848</v>
      </c>
      <c r="Q134" s="627" t="s">
        <v>1849</v>
      </c>
      <c r="R134" s="627" t="s">
        <v>375</v>
      </c>
      <c r="S134" s="627" t="s">
        <v>1850</v>
      </c>
      <c r="T134" s="722"/>
      <c r="U134" s="779"/>
    </row>
    <row r="135" spans="2:21" s="615" customFormat="1" hidden="1" outlineLevel="1" x14ac:dyDescent="0.25">
      <c r="B135" s="627"/>
      <c r="C135" s="627"/>
      <c r="D135" s="614"/>
      <c r="E135" s="774"/>
      <c r="F135" s="534"/>
      <c r="G135" s="814"/>
      <c r="H135" s="814"/>
      <c r="I135" s="833" t="str">
        <f ca="1">IF(H135=Hoja1!$J$2," ",(IF(MONTH(G135)=MONTH(TODAY()),IF(DAY(G135)&gt;DAY(TODAY()),"Quedan "&amp;ABS(DAY(G135)-DAY(TODAY()))&amp;" Días","Hace "&amp;ABS(DAY(G135)-DAY(TODAY()))&amp;" Días"),"")))</f>
        <v/>
      </c>
      <c r="J135" s="580"/>
      <c r="K135" s="580"/>
      <c r="L135" s="580"/>
      <c r="M135" s="580"/>
      <c r="N135" s="690"/>
      <c r="O135" s="613"/>
      <c r="P135" s="614"/>
      <c r="Q135" s="613"/>
      <c r="R135" s="613"/>
      <c r="S135" s="614"/>
      <c r="T135" s="722"/>
      <c r="U135" s="779"/>
    </row>
    <row r="136" spans="2:21" s="615" customFormat="1" hidden="1" outlineLevel="1" x14ac:dyDescent="0.25">
      <c r="B136" s="774"/>
      <c r="C136" s="775"/>
      <c r="D136" s="774"/>
      <c r="E136" s="774"/>
      <c r="F136" s="580"/>
      <c r="G136" s="812"/>
      <c r="H136" s="812"/>
      <c r="I136" s="534"/>
      <c r="J136" s="580"/>
      <c r="K136" s="612"/>
      <c r="L136" s="580"/>
      <c r="M136" s="580"/>
      <c r="N136" s="690"/>
      <c r="O136" s="613"/>
      <c r="P136" s="614"/>
      <c r="Q136" s="613"/>
      <c r="R136" s="613"/>
      <c r="S136" s="614"/>
      <c r="T136" s="722"/>
      <c r="U136" s="779"/>
    </row>
    <row r="137" spans="2:21" collapsed="1" x14ac:dyDescent="0.25">
      <c r="B137" s="1213" t="s">
        <v>1662</v>
      </c>
      <c r="C137" s="1213"/>
      <c r="D137" s="1213"/>
      <c r="E137" s="1213"/>
      <c r="F137" s="785"/>
      <c r="G137" s="791">
        <f>COUNT(G139)</f>
        <v>0</v>
      </c>
      <c r="H137" s="791">
        <f>COUNTIF(H139:H140,Hoja1!$J$2)</f>
        <v>0</v>
      </c>
      <c r="I137" s="786"/>
      <c r="J137" s="785">
        <f>+J139</f>
        <v>0</v>
      </c>
      <c r="K137" s="794" t="e">
        <f>J137/F137</f>
        <v>#DIV/0!</v>
      </c>
      <c r="L137" s="785">
        <f>+F137-J137</f>
        <v>0</v>
      </c>
      <c r="M137" s="785">
        <f>+M139</f>
        <v>0</v>
      </c>
      <c r="N137" s="788"/>
      <c r="O137" s="789" t="str">
        <f>IF(ISERROR(VLOOKUP(B137,'Base de Datos'!$C$7:$N$315,8,0))=TRUE," ",(VLOOKUP(B137,'Base de Datos'!$C$7:$N$315,8,0)))</f>
        <v xml:space="preserve"> </v>
      </c>
      <c r="P137" s="790"/>
      <c r="Q137" s="789" t="str">
        <f>IF(ISERROR(VLOOKUP(B137,'Base de Datos'!$C$7:$N$315,9,0))=TRUE," ",(VLOOKUP(B137,'Base de Datos'!$C$7:$N$315,9,0)))</f>
        <v xml:space="preserve"> </v>
      </c>
      <c r="R137" s="789" t="str">
        <f>IF(ISERROR(VLOOKUP(B137,'Base de Datos'!$C$7:$N$315,10,0))=TRUE," ",(VLOOKUP(B137,'Base de Datos'!$C$7:$N$315,10,0)))</f>
        <v xml:space="preserve"> </v>
      </c>
      <c r="S137" s="790"/>
      <c r="T137" s="722"/>
      <c r="U137" s="634"/>
    </row>
    <row r="138" spans="2:21" s="615" customFormat="1" ht="24" hidden="1" outlineLevel="1" x14ac:dyDescent="0.25">
      <c r="B138" s="627" t="s">
        <v>2343</v>
      </c>
      <c r="C138" s="627"/>
      <c r="D138" s="627" t="s">
        <v>912</v>
      </c>
      <c r="E138" s="627" t="s">
        <v>1822</v>
      </c>
      <c r="F138" s="776" t="s">
        <v>1846</v>
      </c>
      <c r="G138" s="812" t="s">
        <v>2345</v>
      </c>
      <c r="H138" s="812" t="s">
        <v>2349</v>
      </c>
      <c r="I138" s="534" t="s">
        <v>2350</v>
      </c>
      <c r="J138" s="627" t="s">
        <v>1845</v>
      </c>
      <c r="K138" s="612"/>
      <c r="L138" s="627" t="s">
        <v>1939</v>
      </c>
      <c r="M138" s="627" t="s">
        <v>1940</v>
      </c>
      <c r="N138" s="777" t="s">
        <v>1122</v>
      </c>
      <c r="O138" s="778" t="s">
        <v>1847</v>
      </c>
      <c r="P138" s="627" t="s">
        <v>1848</v>
      </c>
      <c r="Q138" s="627" t="s">
        <v>1849</v>
      </c>
      <c r="R138" s="627" t="s">
        <v>375</v>
      </c>
      <c r="S138" s="627" t="s">
        <v>1850</v>
      </c>
      <c r="T138" s="722"/>
      <c r="U138" s="779"/>
    </row>
    <row r="139" spans="2:21" s="615" customFormat="1" hidden="1" outlineLevel="1" x14ac:dyDescent="0.25">
      <c r="B139" s="627"/>
      <c r="C139" s="627"/>
      <c r="D139" s="614"/>
      <c r="E139" s="774"/>
      <c r="F139" s="534"/>
      <c r="G139" s="814"/>
      <c r="H139" s="814"/>
      <c r="I139" s="833" t="str">
        <f ca="1">IF(H139=Hoja1!$J$2," ",(IF(MONTH(G139)=MONTH(TODAY()),IF(DAY(G139)&gt;DAY(TODAY()),"Quedan "&amp;ABS(DAY(G139)-DAY(TODAY()))&amp;" Días","Hace "&amp;ABS(DAY(G139)-DAY(TODAY()))&amp;" Días"),"")))</f>
        <v/>
      </c>
      <c r="J139" s="580"/>
      <c r="K139" s="580"/>
      <c r="L139" s="580"/>
      <c r="M139" s="580"/>
      <c r="N139" s="690"/>
      <c r="O139" s="613"/>
      <c r="P139" s="614"/>
      <c r="Q139" s="613"/>
      <c r="R139" s="613"/>
      <c r="S139" s="614"/>
      <c r="T139" s="722"/>
      <c r="U139" s="779"/>
    </row>
    <row r="140" spans="2:21" s="615" customFormat="1" hidden="1" outlineLevel="1" x14ac:dyDescent="0.25">
      <c r="B140" s="774"/>
      <c r="C140" s="775"/>
      <c r="D140" s="774"/>
      <c r="E140" s="774"/>
      <c r="F140" s="580"/>
      <c r="G140" s="812"/>
      <c r="H140" s="812"/>
      <c r="I140" s="534"/>
      <c r="J140" s="580"/>
      <c r="K140" s="612"/>
      <c r="L140" s="580"/>
      <c r="M140" s="580"/>
      <c r="N140" s="690"/>
      <c r="O140" s="613"/>
      <c r="P140" s="614"/>
      <c r="Q140" s="613"/>
      <c r="R140" s="613"/>
      <c r="S140" s="614"/>
      <c r="T140" s="722"/>
      <c r="U140" s="779"/>
    </row>
    <row r="141" spans="2:21" collapsed="1" x14ac:dyDescent="0.25">
      <c r="B141" s="1213" t="s">
        <v>1663</v>
      </c>
      <c r="C141" s="1213"/>
      <c r="D141" s="1213"/>
      <c r="E141" s="1213"/>
      <c r="F141" s="785"/>
      <c r="G141" s="791">
        <f>COUNT(G143)</f>
        <v>0</v>
      </c>
      <c r="H141" s="791">
        <f>COUNTIF(H143:H144,Hoja1!$J$2)</f>
        <v>0</v>
      </c>
      <c r="I141" s="786"/>
      <c r="J141" s="785">
        <f>+J143</f>
        <v>0</v>
      </c>
      <c r="K141" s="794" t="e">
        <f>J141/F141</f>
        <v>#DIV/0!</v>
      </c>
      <c r="L141" s="785">
        <f>+F141-J141</f>
        <v>0</v>
      </c>
      <c r="M141" s="785">
        <f>+M143</f>
        <v>0</v>
      </c>
      <c r="N141" s="788"/>
      <c r="O141" s="789" t="str">
        <f>IF(ISERROR(VLOOKUP(B141,'Base de Datos'!$C$7:$N$315,8,0))=TRUE," ",(VLOOKUP(B141,'Base de Datos'!$C$7:$N$315,8,0)))</f>
        <v xml:space="preserve"> </v>
      </c>
      <c r="P141" s="790"/>
      <c r="Q141" s="789" t="str">
        <f>IF(ISERROR(VLOOKUP(B141,'Base de Datos'!$C$7:$N$315,9,0))=TRUE," ",(VLOOKUP(B141,'Base de Datos'!$C$7:$N$315,9,0)))</f>
        <v xml:space="preserve"> </v>
      </c>
      <c r="R141" s="789" t="str">
        <f>IF(ISERROR(VLOOKUP(B141,'Base de Datos'!$C$7:$N$315,10,0))=TRUE," ",(VLOOKUP(B141,'Base de Datos'!$C$7:$N$315,10,0)))</f>
        <v xml:space="preserve"> </v>
      </c>
      <c r="S141" s="790"/>
      <c r="T141" s="722"/>
      <c r="U141" s="634"/>
    </row>
    <row r="142" spans="2:21" s="615" customFormat="1" ht="24" hidden="1" outlineLevel="1" x14ac:dyDescent="0.25">
      <c r="B142" s="627" t="s">
        <v>2343</v>
      </c>
      <c r="C142" s="627"/>
      <c r="D142" s="627" t="s">
        <v>912</v>
      </c>
      <c r="E142" s="627" t="s">
        <v>1822</v>
      </c>
      <c r="F142" s="776" t="s">
        <v>1846</v>
      </c>
      <c r="G142" s="812" t="s">
        <v>2345</v>
      </c>
      <c r="H142" s="812" t="s">
        <v>2349</v>
      </c>
      <c r="I142" s="534" t="s">
        <v>2350</v>
      </c>
      <c r="J142" s="627" t="s">
        <v>1845</v>
      </c>
      <c r="K142" s="612"/>
      <c r="L142" s="627" t="s">
        <v>1939</v>
      </c>
      <c r="M142" s="627" t="s">
        <v>1940</v>
      </c>
      <c r="N142" s="777" t="s">
        <v>1122</v>
      </c>
      <c r="O142" s="778" t="s">
        <v>1847</v>
      </c>
      <c r="P142" s="627" t="s">
        <v>1848</v>
      </c>
      <c r="Q142" s="627" t="s">
        <v>1849</v>
      </c>
      <c r="R142" s="627" t="s">
        <v>375</v>
      </c>
      <c r="S142" s="627" t="s">
        <v>1850</v>
      </c>
      <c r="T142" s="722"/>
      <c r="U142" s="779"/>
    </row>
    <row r="143" spans="2:21" s="615" customFormat="1" hidden="1" outlineLevel="1" x14ac:dyDescent="0.25">
      <c r="B143" s="627"/>
      <c r="C143" s="627"/>
      <c r="D143" s="614"/>
      <c r="E143" s="774"/>
      <c r="F143" s="534"/>
      <c r="G143" s="814"/>
      <c r="H143" s="814"/>
      <c r="I143" s="833" t="str">
        <f ca="1">IF(H143=Hoja1!$J$2," ",(IF(MONTH(G143)=MONTH(TODAY()),IF(DAY(G143)&gt;DAY(TODAY()),"Quedan "&amp;ABS(DAY(G143)-DAY(TODAY()))&amp;" Días","Hace "&amp;ABS(DAY(G143)-DAY(TODAY()))&amp;" Días"),"")))</f>
        <v/>
      </c>
      <c r="J143" s="580"/>
      <c r="K143" s="580"/>
      <c r="L143" s="580"/>
      <c r="M143" s="580"/>
      <c r="N143" s="690"/>
      <c r="O143" s="613"/>
      <c r="P143" s="614"/>
      <c r="Q143" s="613"/>
      <c r="R143" s="613"/>
      <c r="S143" s="614"/>
      <c r="T143" s="722"/>
      <c r="U143" s="779"/>
    </row>
    <row r="144" spans="2:21" s="615" customFormat="1" hidden="1" outlineLevel="1" x14ac:dyDescent="0.25">
      <c r="B144" s="774"/>
      <c r="C144" s="775"/>
      <c r="D144" s="774"/>
      <c r="E144" s="774"/>
      <c r="F144" s="580"/>
      <c r="G144" s="812"/>
      <c r="H144" s="812"/>
      <c r="I144" s="534"/>
      <c r="J144" s="580"/>
      <c r="K144" s="612"/>
      <c r="L144" s="580"/>
      <c r="M144" s="580"/>
      <c r="N144" s="690"/>
      <c r="O144" s="613"/>
      <c r="P144" s="614"/>
      <c r="Q144" s="613"/>
      <c r="R144" s="613"/>
      <c r="S144" s="614"/>
      <c r="T144" s="722"/>
      <c r="U144" s="779"/>
    </row>
    <row r="145" spans="2:21" collapsed="1" x14ac:dyDescent="0.25">
      <c r="B145" s="1213" t="s">
        <v>1664</v>
      </c>
      <c r="C145" s="1213"/>
      <c r="D145" s="1213"/>
      <c r="E145" s="1213"/>
      <c r="F145" s="785"/>
      <c r="G145" s="791">
        <f>COUNT(G147)</f>
        <v>0</v>
      </c>
      <c r="H145" s="791">
        <f>COUNTIF(H147:H148,Hoja1!$J$2)</f>
        <v>0</v>
      </c>
      <c r="I145" s="786"/>
      <c r="J145" s="785">
        <f>+J147</f>
        <v>0</v>
      </c>
      <c r="K145" s="794" t="e">
        <f>J145/F145</f>
        <v>#DIV/0!</v>
      </c>
      <c r="L145" s="785">
        <f>+L147</f>
        <v>0</v>
      </c>
      <c r="M145" s="785">
        <f>+M147</f>
        <v>0</v>
      </c>
      <c r="N145" s="788"/>
      <c r="O145" s="789" t="str">
        <f>IF(ISERROR(VLOOKUP(B145,'Base de Datos'!$C$7:$N$315,8,0))=TRUE," ",(VLOOKUP(B145,'Base de Datos'!$C$7:$N$315,8,0)))</f>
        <v xml:space="preserve"> </v>
      </c>
      <c r="P145" s="790"/>
      <c r="Q145" s="789" t="str">
        <f>IF(ISERROR(VLOOKUP(B145,'Base de Datos'!$C$7:$N$315,9,0))=TRUE," ",(VLOOKUP(B145,'Base de Datos'!$C$7:$N$315,9,0)))</f>
        <v xml:space="preserve"> </v>
      </c>
      <c r="R145" s="789" t="str">
        <f>IF(ISERROR(VLOOKUP(B145,'Base de Datos'!$C$7:$N$315,10,0))=TRUE," ",(VLOOKUP(B145,'Base de Datos'!$C$7:$N$315,10,0)))</f>
        <v xml:space="preserve"> </v>
      </c>
      <c r="S145" s="790"/>
      <c r="T145" s="722"/>
      <c r="U145" s="634"/>
    </row>
    <row r="146" spans="2:21" s="615" customFormat="1" ht="24" hidden="1" outlineLevel="1" x14ac:dyDescent="0.25">
      <c r="B146" s="627" t="s">
        <v>2343</v>
      </c>
      <c r="C146" s="627"/>
      <c r="D146" s="627" t="s">
        <v>912</v>
      </c>
      <c r="E146" s="627" t="s">
        <v>1822</v>
      </c>
      <c r="F146" s="776" t="s">
        <v>1846</v>
      </c>
      <c r="G146" s="812" t="s">
        <v>2345</v>
      </c>
      <c r="H146" s="812" t="s">
        <v>2349</v>
      </c>
      <c r="I146" s="534" t="s">
        <v>2350</v>
      </c>
      <c r="J146" s="627" t="s">
        <v>1845</v>
      </c>
      <c r="K146" s="612"/>
      <c r="L146" s="627" t="s">
        <v>1939</v>
      </c>
      <c r="M146" s="627" t="s">
        <v>1940</v>
      </c>
      <c r="N146" s="777" t="s">
        <v>1122</v>
      </c>
      <c r="O146" s="778" t="s">
        <v>1847</v>
      </c>
      <c r="P146" s="627" t="s">
        <v>1848</v>
      </c>
      <c r="Q146" s="627" t="s">
        <v>1849</v>
      </c>
      <c r="R146" s="627" t="s">
        <v>375</v>
      </c>
      <c r="S146" s="627" t="s">
        <v>1850</v>
      </c>
      <c r="T146" s="722"/>
      <c r="U146" s="779"/>
    </row>
    <row r="147" spans="2:21" s="615" customFormat="1" hidden="1" outlineLevel="1" x14ac:dyDescent="0.25">
      <c r="B147" s="627"/>
      <c r="C147" s="627"/>
      <c r="D147" s="614"/>
      <c r="E147" s="774"/>
      <c r="F147" s="534"/>
      <c r="G147" s="814"/>
      <c r="H147" s="814"/>
      <c r="I147" s="833" t="str">
        <f ca="1">IF(H147=Hoja1!$J$2," ",(IF(MONTH(G147)=MONTH(TODAY()),IF(DAY(G147)&gt;DAY(TODAY()),"Quedan "&amp;ABS(DAY(G147)-DAY(TODAY()))&amp;" Días","Hace "&amp;ABS(DAY(G147)-DAY(TODAY()))&amp;" Días"),"")))</f>
        <v/>
      </c>
      <c r="J147" s="580"/>
      <c r="K147" s="580"/>
      <c r="L147" s="580"/>
      <c r="M147" s="580"/>
      <c r="N147" s="690"/>
      <c r="O147" s="613"/>
      <c r="P147" s="614"/>
      <c r="Q147" s="613"/>
      <c r="R147" s="613"/>
      <c r="S147" s="614"/>
      <c r="T147" s="722"/>
      <c r="U147" s="779"/>
    </row>
    <row r="148" spans="2:21" s="615" customFormat="1" hidden="1" outlineLevel="1" x14ac:dyDescent="0.25">
      <c r="B148" s="774"/>
      <c r="C148" s="775"/>
      <c r="D148" s="774"/>
      <c r="E148" s="774"/>
      <c r="F148" s="580"/>
      <c r="G148" s="812"/>
      <c r="H148" s="812"/>
      <c r="I148" s="534"/>
      <c r="J148" s="580"/>
      <c r="K148" s="612"/>
      <c r="L148" s="580"/>
      <c r="M148" s="580"/>
      <c r="N148" s="690"/>
      <c r="O148" s="613"/>
      <c r="P148" s="614"/>
      <c r="Q148" s="613"/>
      <c r="R148" s="613"/>
      <c r="S148" s="614"/>
      <c r="T148" s="722"/>
      <c r="U148" s="779"/>
    </row>
    <row r="149" spans="2:21" collapsed="1" x14ac:dyDescent="0.25">
      <c r="B149" s="1215" t="s">
        <v>1665</v>
      </c>
      <c r="C149" s="1215"/>
      <c r="D149" s="1215"/>
      <c r="E149" s="1215"/>
      <c r="F149" s="801"/>
      <c r="G149" s="824">
        <f>G150</f>
        <v>1</v>
      </c>
      <c r="H149" s="824">
        <f>H150</f>
        <v>0</v>
      </c>
      <c r="I149" s="786"/>
      <c r="J149" s="785">
        <f>+J150</f>
        <v>0</v>
      </c>
      <c r="K149" s="787" t="e">
        <f>J149/F149</f>
        <v>#DIV/0!</v>
      </c>
      <c r="L149" s="785">
        <f>+L150</f>
        <v>492336000</v>
      </c>
      <c r="M149" s="785">
        <f>+M150</f>
        <v>-492336000</v>
      </c>
      <c r="N149" s="788"/>
      <c r="O149" s="789" t="str">
        <f>IF(ISERROR(VLOOKUP(B149,'Base de Datos'!$C$7:$N$315,8,0))=TRUE," ",(VLOOKUP(B149,'Base de Datos'!$C$7:$N$315,8,0)))</f>
        <v xml:space="preserve"> </v>
      </c>
      <c r="P149" s="790"/>
      <c r="Q149" s="789" t="str">
        <f>IF(ISERROR(VLOOKUP(B149,'Base de Datos'!$C$7:$N$315,9,0))=TRUE," ",(VLOOKUP(B149,'Base de Datos'!$C$7:$N$315,9,0)))</f>
        <v xml:space="preserve"> </v>
      </c>
      <c r="R149" s="789" t="str">
        <f>IF(ISERROR(VLOOKUP(B149,'Base de Datos'!$C$7:$N$315,10,0))=TRUE," ",(VLOOKUP(B149,'Base de Datos'!$C$7:$N$315,10,0)))</f>
        <v xml:space="preserve"> </v>
      </c>
      <c r="S149" s="790"/>
      <c r="T149" s="722"/>
      <c r="U149" s="634"/>
    </row>
    <row r="150" spans="2:21" x14ac:dyDescent="0.25">
      <c r="B150" s="1213" t="s">
        <v>1666</v>
      </c>
      <c r="C150" s="1213"/>
      <c r="D150" s="1213"/>
      <c r="E150" s="1213"/>
      <c r="F150" s="785"/>
      <c r="G150" s="791">
        <f>COUNT(G152:G153)</f>
        <v>1</v>
      </c>
      <c r="H150" s="791">
        <f>COUNTIF(H152:H153,Hoja1!$J$2)</f>
        <v>0</v>
      </c>
      <c r="I150" s="786"/>
      <c r="J150" s="785">
        <f>SUM(J152)</f>
        <v>0</v>
      </c>
      <c r="K150" s="787" t="e">
        <f>J150/F150</f>
        <v>#DIV/0!</v>
      </c>
      <c r="L150" s="785">
        <f>SUM(L152)</f>
        <v>492336000</v>
      </c>
      <c r="M150" s="785">
        <f>+F150-J150-L150</f>
        <v>-492336000</v>
      </c>
      <c r="N150" s="788"/>
      <c r="O150" s="789" t="str">
        <f>IF(ISERROR(VLOOKUP(B150,'Base de Datos'!$C$7:$N$315,8,0))=TRUE," ",(VLOOKUP(B150,'Base de Datos'!$C$7:$N$315,8,0)))</f>
        <v xml:space="preserve"> </v>
      </c>
      <c r="P150" s="790"/>
      <c r="Q150" s="789" t="str">
        <f>IF(ISERROR(VLOOKUP(B150,'Base de Datos'!$C$7:$N$315,9,0))=TRUE," ",(VLOOKUP(B150,'Base de Datos'!$C$7:$N$315,9,0)))</f>
        <v xml:space="preserve"> </v>
      </c>
      <c r="R150" s="789" t="str">
        <f>IF(ISERROR(VLOOKUP(B150,'Base de Datos'!$C$7:$N$315,10,0))=TRUE," ",(VLOOKUP(B150,'Base de Datos'!$C$7:$N$315,10,0)))</f>
        <v xml:space="preserve"> </v>
      </c>
      <c r="S150" s="790"/>
      <c r="T150" s="722"/>
      <c r="U150" s="634"/>
    </row>
    <row r="151" spans="2:21" s="615" customFormat="1" ht="24" outlineLevel="1" x14ac:dyDescent="0.25">
      <c r="B151" s="627" t="s">
        <v>2343</v>
      </c>
      <c r="C151" s="627"/>
      <c r="D151" s="627" t="s">
        <v>912</v>
      </c>
      <c r="E151" s="627" t="s">
        <v>1822</v>
      </c>
      <c r="F151" s="776" t="s">
        <v>1846</v>
      </c>
      <c r="G151" s="812" t="s">
        <v>2345</v>
      </c>
      <c r="H151" s="812" t="s">
        <v>2349</v>
      </c>
      <c r="I151" s="534" t="s">
        <v>2350</v>
      </c>
      <c r="J151" s="627" t="s">
        <v>1845</v>
      </c>
      <c r="K151" s="612"/>
      <c r="L151" s="627" t="s">
        <v>1939</v>
      </c>
      <c r="M151" s="627" t="s">
        <v>1940</v>
      </c>
      <c r="N151" s="777" t="s">
        <v>1122</v>
      </c>
      <c r="O151" s="778" t="s">
        <v>1847</v>
      </c>
      <c r="P151" s="627" t="s">
        <v>1848</v>
      </c>
      <c r="Q151" s="627" t="s">
        <v>1849</v>
      </c>
      <c r="R151" s="627" t="s">
        <v>375</v>
      </c>
      <c r="S151" s="627" t="s">
        <v>1850</v>
      </c>
      <c r="T151" s="722"/>
      <c r="U151" s="779"/>
    </row>
    <row r="152" spans="2:21" s="615" customFormat="1" ht="24" outlineLevel="1" x14ac:dyDescent="0.25">
      <c r="B152" s="706">
        <v>228</v>
      </c>
      <c r="C152" s="627" t="str">
        <f>$W$6&amp;B152</f>
        <v>2016228</v>
      </c>
      <c r="D152" s="533" t="str">
        <f>IF(ISERROR(VLOOKUP(C152,'Base de Datos'!$D$7:$F$4092,2,0))=TRUE,"",(VLOOKUP(C152,'Base de Datos'!$D$7:$F$4092,2,0)))</f>
        <v/>
      </c>
      <c r="E152" s="707" t="s">
        <v>2329</v>
      </c>
      <c r="F152" s="708">
        <v>492336000</v>
      </c>
      <c r="G152" s="815">
        <v>42461</v>
      </c>
      <c r="H152" s="812"/>
      <c r="I152" s="833" t="str">
        <f ca="1">IF(H152=Hoja1!$J$2," ",(IF(MONTH(G152)=MONTH(TODAY()),IF(DAY(G152)&gt;DAY(TODAY()),"Quedan "&amp;ABS(DAY(G152)-DAY(TODAY()))&amp;" Días","Hace "&amp;ABS(DAY(G152)-DAY(TODAY()))&amp;" Días"),"")))</f>
        <v/>
      </c>
      <c r="J152" s="536" t="str">
        <f>IF(ISERROR(VLOOKUP(C152,'Base de Datos'!$D$7:$N$4092,6,0))=TRUE,"Sin Celebrar",(VLOOKUP(C152,'Base de Datos'!$D$7:$N$4092,6,0)))</f>
        <v>Sin Celebrar</v>
      </c>
      <c r="K152" s="709"/>
      <c r="L152" s="536">
        <f>IF(J152=$W$7,F152, " ")</f>
        <v>492336000</v>
      </c>
      <c r="M152" s="536" t="str">
        <f>IF(J152&lt;F152,(F152-J152)," ")</f>
        <v xml:space="preserve"> </v>
      </c>
      <c r="N152" s="719" t="str">
        <f>IF(ISERROR(VLOOKUP(C152,'Base de Datos'!$D$7:$K$1048576,7,0))=TRUE," ",(VLOOKUP(C152,'Base de Datos'!$D$7:$K$1048576,7,0)))</f>
        <v xml:space="preserve"> </v>
      </c>
      <c r="O152" s="551" t="str">
        <f>IF(ISERROR(VLOOKUP(C152,'Base de Datos'!$D$7:$N$4077,9,0))=TRUE," ",(VLOOKUP(C152,'Base de Datos'!$D$7:$N$4077,9,0)))</f>
        <v xml:space="preserve"> </v>
      </c>
      <c r="P152" s="613" t="e">
        <f>VLOOKUP(B152,#REF!,13,0)</f>
        <v>#REF!</v>
      </c>
      <c r="Q152" s="551" t="str">
        <f>IF(ISERROR(VLOOKUP(C152,'Base de Datos'!$D$7:$N$4077,10,0))=TRUE," ",(VLOOKUP(C152,'Base de Datos'!$D$7:$N$4077,10,0)))</f>
        <v xml:space="preserve"> </v>
      </c>
      <c r="R152" s="551" t="str">
        <f>IF(ISERROR(VLOOKUP(C152,'Base de Datos'!$D$7:$N$4077,11,0))=TRUE," ",(VLOOKUP(C152,'Base de Datos'!$D$7:$N$4077,11,0)))</f>
        <v xml:space="preserve"> </v>
      </c>
      <c r="S152" s="614" t="s">
        <v>2076</v>
      </c>
      <c r="T152" s="722"/>
      <c r="U152" s="779"/>
    </row>
    <row r="153" spans="2:21" s="615" customFormat="1" outlineLevel="1" x14ac:dyDescent="0.25">
      <c r="B153" s="811"/>
      <c r="C153" s="811"/>
      <c r="D153" s="811"/>
      <c r="E153" s="811"/>
      <c r="F153" s="580"/>
      <c r="G153" s="812"/>
      <c r="H153" s="812"/>
      <c r="I153" s="534"/>
      <c r="J153" s="580"/>
      <c r="K153" s="612"/>
      <c r="L153" s="580"/>
      <c r="M153" s="580"/>
      <c r="N153" s="690"/>
      <c r="O153" s="613"/>
      <c r="P153" s="614"/>
      <c r="Q153" s="613"/>
      <c r="R153" s="613"/>
      <c r="S153" s="614"/>
      <c r="T153" s="722"/>
      <c r="U153" s="779"/>
    </row>
    <row r="154" spans="2:21" x14ac:dyDescent="0.25">
      <c r="B154" s="1217" t="s">
        <v>1667</v>
      </c>
      <c r="C154" s="1217"/>
      <c r="D154" s="1217"/>
      <c r="E154" s="1217"/>
      <c r="F154" s="792"/>
      <c r="G154" s="791">
        <f>COUNT(G156:G157)</f>
        <v>2</v>
      </c>
      <c r="H154" s="791">
        <f>COUNTIF(H156:H158,Hoja1!$J$2)</f>
        <v>0</v>
      </c>
      <c r="I154" s="793"/>
      <c r="J154" s="792">
        <f>SUM(J156:J158)</f>
        <v>705344905</v>
      </c>
      <c r="K154" s="794" t="e">
        <f>J154/F154</f>
        <v>#DIV/0!</v>
      </c>
      <c r="L154" s="792">
        <f>SUM(L156:L158)</f>
        <v>0</v>
      </c>
      <c r="M154" s="792">
        <f>+F154-J154-L154</f>
        <v>-705344905</v>
      </c>
      <c r="N154" s="796"/>
      <c r="O154" s="797" t="str">
        <f>IF(ISERROR(VLOOKUP(B154,'Base de Datos'!$C$7:$N$315,8,0))=TRUE," ",(VLOOKUP(B154,'Base de Datos'!$C$7:$N$315,8,0)))</f>
        <v xml:space="preserve"> </v>
      </c>
      <c r="P154" s="798"/>
      <c r="Q154" s="797" t="str">
        <f>IF(ISERROR(VLOOKUP(B154,'Base de Datos'!$C$7:$N$315,9,0))=TRUE," ",(VLOOKUP(B154,'Base de Datos'!$C$7:$N$315,9,0)))</f>
        <v xml:space="preserve"> </v>
      </c>
      <c r="R154" s="797" t="str">
        <f>IF(ISERROR(VLOOKUP(B154,'Base de Datos'!$C$7:$N$315,10,0))=TRUE," ",(VLOOKUP(B154,'Base de Datos'!$C$7:$N$315,10,0)))</f>
        <v xml:space="preserve"> </v>
      </c>
      <c r="S154" s="790"/>
      <c r="T154" s="722"/>
      <c r="U154" s="634"/>
    </row>
    <row r="155" spans="2:21" s="615" customFormat="1" ht="24" outlineLevel="1" x14ac:dyDescent="0.25">
      <c r="B155" s="627" t="s">
        <v>2343</v>
      </c>
      <c r="C155" s="627"/>
      <c r="D155" s="627" t="s">
        <v>912</v>
      </c>
      <c r="E155" s="627" t="s">
        <v>1822</v>
      </c>
      <c r="F155" s="776" t="s">
        <v>1846</v>
      </c>
      <c r="G155" s="812" t="s">
        <v>2345</v>
      </c>
      <c r="H155" s="812" t="s">
        <v>2349</v>
      </c>
      <c r="I155" s="534" t="s">
        <v>2350</v>
      </c>
      <c r="J155" s="627" t="s">
        <v>1845</v>
      </c>
      <c r="K155" s="612"/>
      <c r="L155" s="627" t="s">
        <v>1939</v>
      </c>
      <c r="M155" s="627" t="s">
        <v>1940</v>
      </c>
      <c r="N155" s="777" t="s">
        <v>1122</v>
      </c>
      <c r="O155" s="778" t="s">
        <v>1847</v>
      </c>
      <c r="P155" s="627" t="s">
        <v>1848</v>
      </c>
      <c r="Q155" s="627" t="s">
        <v>1849</v>
      </c>
      <c r="R155" s="627" t="s">
        <v>375</v>
      </c>
      <c r="S155" s="627" t="s">
        <v>1850</v>
      </c>
      <c r="T155" s="722"/>
      <c r="U155" s="779"/>
    </row>
    <row r="156" spans="2:21" s="615" customFormat="1" ht="24" outlineLevel="1" x14ac:dyDescent="0.25">
      <c r="B156" s="627">
        <v>199</v>
      </c>
      <c r="C156" s="627" t="str">
        <f>$W$6&amp;B156</f>
        <v>2016199</v>
      </c>
      <c r="D156" s="533" t="str">
        <f>IF(ISERROR(VLOOKUP(C156,'Base de Datos'!$D$7:$F$4092,2,0))=TRUE,"",(VLOOKUP(C156,'Base de Datos'!$D$7:$F$4092,2,0)))</f>
        <v>160228-0-2016</v>
      </c>
      <c r="E156" s="707" t="s">
        <v>1426</v>
      </c>
      <c r="F156" s="580">
        <v>567285000</v>
      </c>
      <c r="G156" s="812">
        <v>42461</v>
      </c>
      <c r="H156" s="812"/>
      <c r="I156" s="833" t="str">
        <f ca="1">IF(H156=Hoja1!$J$2," ",(IF(MONTH(G156)=MONTH(TODAY()),IF(DAY(G156)&gt;DAY(TODAY()),"Quedan "&amp;ABS(DAY(G156)-DAY(TODAY()))&amp;" Días","Hace "&amp;ABS(DAY(G156)-DAY(TODAY()))&amp;" Días"),"")))</f>
        <v/>
      </c>
      <c r="J156" s="536">
        <f>IF(ISERROR(VLOOKUP(C156,'Base de Datos'!$D$7:$N$4092,6,0))=TRUE,"Sin Celebrar",(VLOOKUP(C156,'Base de Datos'!$D$7:$N$4092,6,0)))</f>
        <v>669493245</v>
      </c>
      <c r="K156" s="612"/>
      <c r="L156" s="536" t="str">
        <f>IF(J156=$W$7,F156, " ")</f>
        <v xml:space="preserve"> </v>
      </c>
      <c r="M156" s="536" t="str">
        <f>IF(J156&lt;F156,(F156-J156)," ")</f>
        <v xml:space="preserve"> </v>
      </c>
      <c r="N156" s="719" t="str">
        <f>IF(ISERROR(VLOOKUP(C156,'Base de Datos'!$D$7:$K$1048576,7,0))=TRUE," ",(VLOOKUP(C156,'Base de Datos'!$D$7:$K$1048576,7,0)))</f>
        <v>SDH-LP-04-2016</v>
      </c>
      <c r="O156" s="551">
        <f>IF(ISERROR(VLOOKUP(C156,'Base de Datos'!$D$7:$N$4077,9,0))=TRUE," ",(VLOOKUP(C156,'Base de Datos'!$D$7:$N$4077,9,0)))</f>
        <v>42632</v>
      </c>
      <c r="P156" s="613" t="e">
        <f>VLOOKUP(B156,#REF!,13,0)</f>
        <v>#REF!</v>
      </c>
      <c r="Q156" s="551">
        <f>IF(ISERROR(VLOOKUP(C156,'Base de Datos'!$D$7:$N$4077,10,0))=TRUE," ",(VLOOKUP(C156,'Base de Datos'!$D$7:$N$4077,10,0)))</f>
        <v>42647</v>
      </c>
      <c r="R156" s="551">
        <f>IF(ISERROR(VLOOKUP(C156,'Base de Datos'!$D$7:$N$4077,11,0))=TRUE," ",(VLOOKUP(C156,'Base de Datos'!$D$7:$N$4077,11,0)))</f>
        <v>42859</v>
      </c>
      <c r="S156" s="614" t="s">
        <v>981</v>
      </c>
      <c r="T156" s="722"/>
      <c r="U156" s="779"/>
    </row>
    <row r="157" spans="2:21" s="615" customFormat="1" ht="24" outlineLevel="1" x14ac:dyDescent="0.25">
      <c r="B157" s="627">
        <v>216</v>
      </c>
      <c r="C157" s="627" t="str">
        <f>$W$6&amp;B157</f>
        <v>2016216</v>
      </c>
      <c r="D157" s="533" t="str">
        <f>IF(ISERROR(VLOOKUP(C157,'Base de Datos'!$D$7:$F$4092,2,0))=TRUE,"",(VLOOKUP(C157,'Base de Datos'!$D$7:$F$4092,2,0)))</f>
        <v>160287-0-2016</v>
      </c>
      <c r="E157" s="707" t="s">
        <v>2330</v>
      </c>
      <c r="F157" s="580">
        <v>41200000</v>
      </c>
      <c r="G157" s="812">
        <v>42573</v>
      </c>
      <c r="H157" s="812"/>
      <c r="I157" s="833" t="str">
        <f ca="1">IF(H157=Hoja1!$J$2," ",(IF(MONTH(G157)=MONTH(TODAY()),IF(DAY(G157)&gt;DAY(TODAY()),"Quedan "&amp;ABS(DAY(G157)-DAY(TODAY()))&amp;" Días","Hace "&amp;ABS(DAY(G157)-DAY(TODAY()))&amp;" Días"),"")))</f>
        <v/>
      </c>
      <c r="J157" s="536">
        <f>IF(ISERROR(VLOOKUP(C157,'Base de Datos'!$D$7:$N$4092,6,0))=TRUE,"Sin Celebrar",(VLOOKUP(C157,'Base de Datos'!$D$7:$N$4092,6,0)))</f>
        <v>35851660</v>
      </c>
      <c r="K157" s="612"/>
      <c r="L157" s="536" t="str">
        <f>IF(J157=$W$7,F157, " ")</f>
        <v xml:space="preserve"> </v>
      </c>
      <c r="M157" s="536">
        <f>IF(J157&lt;F157,(F157-J157)," ")</f>
        <v>5348340</v>
      </c>
      <c r="N157" s="719" t="str">
        <f>IF(ISERROR(VLOOKUP(C157,'Base de Datos'!$D$7:$K$1048576,7,0))=TRUE," ",(VLOOKUP(C157,'Base de Datos'!$D$7:$K$1048576,7,0)))</f>
        <v>SDH-SAMC-06-2016</v>
      </c>
      <c r="O157" s="551">
        <f>IF(ISERROR(VLOOKUP(C157,'Base de Datos'!$D$7:$N$4077,9,0))=TRUE," ",(VLOOKUP(C157,'Base de Datos'!$D$7:$N$4077,9,0)))</f>
        <v>42703</v>
      </c>
      <c r="P157" s="613" t="e">
        <f>VLOOKUP(B157,#REF!,13,0)</f>
        <v>#REF!</v>
      </c>
      <c r="Q157" s="551">
        <f>IF(ISERROR(VLOOKUP(C157,'Base de Datos'!$D$7:$N$4077,10,0))=TRUE," ",(VLOOKUP(C157,'Base de Datos'!$D$7:$N$4077,10,0)))</f>
        <v>42710</v>
      </c>
      <c r="R157" s="551">
        <f>IF(ISERROR(VLOOKUP(C157,'Base de Datos'!$D$7:$N$4077,11,0))=TRUE," ",(VLOOKUP(C157,'Base de Datos'!$D$7:$N$4077,11,0)))</f>
        <v>42831</v>
      </c>
      <c r="S157" s="614" t="s">
        <v>981</v>
      </c>
      <c r="T157" s="722"/>
      <c r="U157" s="779"/>
    </row>
    <row r="158" spans="2:21" s="615" customFormat="1" outlineLevel="1" x14ac:dyDescent="0.25">
      <c r="B158" s="614"/>
      <c r="C158" s="614"/>
      <c r="D158" s="614"/>
      <c r="E158" s="614" t="s">
        <v>1935</v>
      </c>
      <c r="F158" s="580"/>
      <c r="G158" s="812"/>
      <c r="H158" s="812"/>
      <c r="I158" s="534"/>
      <c r="J158" s="580"/>
      <c r="K158" s="612"/>
      <c r="L158" s="708"/>
      <c r="M158" s="580" t="str">
        <f>IF(J158&lt;F158,(F158-J158)," ")</f>
        <v xml:space="preserve"> </v>
      </c>
      <c r="N158" s="809"/>
      <c r="O158" s="613" t="str">
        <f>IF(ISERROR(VLOOKUP(B158,'Base de Datos'!$C$7:$N$315,9,0))=TRUE," ",(VLOOKUP(B158,'Base de Datos'!$C$7:$N$315,9,0)))</f>
        <v xml:space="preserve"> </v>
      </c>
      <c r="P158" s="614"/>
      <c r="Q158" s="710" t="str">
        <f>IF(ISERROR(VLOOKUP(B158,'Base de Datos'!$C$7:$N$4077,10,0))=TRUE," ",(VLOOKUP(B158,'Base de Datos'!$C$7:$N$4077,10,0)))</f>
        <v xml:space="preserve"> </v>
      </c>
      <c r="R158" s="710" t="str">
        <f>IF(ISERROR(VLOOKUP(B158,'Base de Datos'!$C$7:$N$4077,11,0))=TRUE," ",(VLOOKUP(B158,'Base de Datos'!$C$7:$N$4077,11,0)))</f>
        <v xml:space="preserve"> </v>
      </c>
      <c r="S158" s="614"/>
      <c r="T158" s="722"/>
      <c r="U158" s="779"/>
    </row>
    <row r="159" spans="2:21" s="615" customFormat="1" outlineLevel="1" x14ac:dyDescent="0.25">
      <c r="B159" s="614"/>
      <c r="C159" s="614"/>
      <c r="D159" s="614"/>
      <c r="E159" s="614"/>
      <c r="F159" s="580"/>
      <c r="G159" s="812"/>
      <c r="H159" s="812"/>
      <c r="I159" s="534"/>
      <c r="J159" s="580"/>
      <c r="K159" s="612"/>
      <c r="L159" s="580"/>
      <c r="M159" s="580"/>
      <c r="N159" s="690"/>
      <c r="O159" s="613"/>
      <c r="P159" s="614"/>
      <c r="Q159" s="613"/>
      <c r="R159" s="613"/>
      <c r="S159" s="614"/>
      <c r="T159" s="722"/>
      <c r="U159" s="779"/>
    </row>
    <row r="160" spans="2:21" x14ac:dyDescent="0.25">
      <c r="B160" s="1217" t="s">
        <v>1668</v>
      </c>
      <c r="C160" s="1217"/>
      <c r="D160" s="1217"/>
      <c r="E160" s="1217"/>
      <c r="F160" s="792"/>
      <c r="G160" s="791">
        <f>COUNT(G162:G163)</f>
        <v>2</v>
      </c>
      <c r="H160" s="791">
        <f>COUNTIF(H162:H164,Hoja1!$J$2)</f>
        <v>0</v>
      </c>
      <c r="I160" s="793"/>
      <c r="J160" s="792">
        <f>SUM(J162:J164)</f>
        <v>162489000</v>
      </c>
      <c r="K160" s="794" t="e">
        <f>J160/F160</f>
        <v>#DIV/0!</v>
      </c>
      <c r="L160" s="792">
        <f>SUM(L162:L164)</f>
        <v>0</v>
      </c>
      <c r="M160" s="792">
        <f>+F160-J160-L160</f>
        <v>-162489000</v>
      </c>
      <c r="N160" s="796"/>
      <c r="O160" s="797" t="str">
        <f>IF(ISERROR(VLOOKUP(B160,'Base de Datos'!$C$7:$N$315,8,0))=TRUE," ",(VLOOKUP(B160,'Base de Datos'!$C$7:$N$315,8,0)))</f>
        <v xml:space="preserve"> </v>
      </c>
      <c r="P160" s="798"/>
      <c r="Q160" s="797" t="str">
        <f>IF(ISERROR(VLOOKUP(B160,'Base de Datos'!$C$7:$N$315,9,0))=TRUE," ",(VLOOKUP(B160,'Base de Datos'!$C$7:$N$315,9,0)))</f>
        <v xml:space="preserve"> </v>
      </c>
      <c r="R160" s="797" t="str">
        <f>IF(ISERROR(VLOOKUP(B160,'Base de Datos'!$C$7:$N$315,10,0))=TRUE," ",(VLOOKUP(B160,'Base de Datos'!$C$7:$N$315,10,0)))</f>
        <v xml:space="preserve"> </v>
      </c>
      <c r="S160" s="790"/>
      <c r="T160" s="722"/>
      <c r="U160" s="634"/>
    </row>
    <row r="161" spans="2:21" s="615" customFormat="1" ht="24" outlineLevel="1" x14ac:dyDescent="0.25">
      <c r="B161" s="627" t="s">
        <v>2343</v>
      </c>
      <c r="C161" s="627"/>
      <c r="D161" s="627" t="s">
        <v>912</v>
      </c>
      <c r="E161" s="627" t="s">
        <v>1822</v>
      </c>
      <c r="F161" s="776" t="s">
        <v>1846</v>
      </c>
      <c r="G161" s="812" t="s">
        <v>2345</v>
      </c>
      <c r="H161" s="812" t="s">
        <v>2349</v>
      </c>
      <c r="I161" s="534" t="s">
        <v>2350</v>
      </c>
      <c r="J161" s="627" t="s">
        <v>1845</v>
      </c>
      <c r="K161" s="612"/>
      <c r="L161" s="627" t="s">
        <v>1939</v>
      </c>
      <c r="M161" s="627" t="s">
        <v>1940</v>
      </c>
      <c r="N161" s="777" t="s">
        <v>1122</v>
      </c>
      <c r="O161" s="778" t="s">
        <v>1847</v>
      </c>
      <c r="P161" s="627" t="s">
        <v>1848</v>
      </c>
      <c r="Q161" s="627" t="s">
        <v>1849</v>
      </c>
      <c r="R161" s="627" t="s">
        <v>375</v>
      </c>
      <c r="S161" s="627" t="s">
        <v>1850</v>
      </c>
      <c r="T161" s="722"/>
      <c r="U161" s="779"/>
    </row>
    <row r="162" spans="2:21" s="615" customFormat="1" ht="24" outlineLevel="1" x14ac:dyDescent="0.25">
      <c r="B162" s="627">
        <v>227</v>
      </c>
      <c r="C162" s="627" t="str">
        <f>$W$6&amp;B162</f>
        <v>2016227</v>
      </c>
      <c r="D162" s="533" t="str">
        <f>IF(ISERROR(VLOOKUP(C162,'Base de Datos'!$D$7:$F$4092,2,0))=TRUE,"",(VLOOKUP(C162,'Base de Datos'!$D$7:$F$4092,2,0)))</f>
        <v>160124-0-2016</v>
      </c>
      <c r="E162" s="707" t="s">
        <v>2331</v>
      </c>
      <c r="F162" s="580">
        <v>130000000</v>
      </c>
      <c r="G162" s="812">
        <v>42381</v>
      </c>
      <c r="H162" s="812"/>
      <c r="I162" s="833" t="str">
        <f ca="1">IF(H162=Hoja1!$J$2," ",(IF(MONTH(G162)=MONTH(TODAY()),IF(DAY(G162)&gt;DAY(TODAY()),"Quedan "&amp;ABS(DAY(G162)-DAY(TODAY()))&amp;" Días","Hace "&amp;ABS(DAY(G162)-DAY(TODAY()))&amp;" Días"),"")))</f>
        <v/>
      </c>
      <c r="J162" s="536">
        <f>IF(ISERROR(VLOOKUP(C162,'Base de Datos'!$D$7:$N$4092,6,0))=TRUE,"Sin Celebrar",(VLOOKUP(C162,'Base de Datos'!$D$7:$N$4092,6,0)))</f>
        <v>108906000</v>
      </c>
      <c r="K162" s="612"/>
      <c r="L162" s="536" t="str">
        <f>IF(J162=$W$7,F162, " ")</f>
        <v xml:space="preserve"> </v>
      </c>
      <c r="M162" s="536">
        <f>IF(J162&lt;F162,(F162-J162)," ")</f>
        <v>21094000</v>
      </c>
      <c r="N162" s="719" t="str">
        <f>IF(ISERROR(VLOOKUP(C162,'Base de Datos'!$D$7:$K$1048576,7,0))=TRUE," ",(VLOOKUP(C162,'Base de Datos'!$D$7:$K$1048576,7,0)))</f>
        <v>SDH-SAMC-01-2016</v>
      </c>
      <c r="O162" s="551">
        <f>IF(ISERROR(VLOOKUP(C162,'Base de Datos'!$D$7:$N$4077,9,0))=TRUE," ",(VLOOKUP(C162,'Base de Datos'!$D$7:$N$4077,9,0)))</f>
        <v>42523</v>
      </c>
      <c r="P162" s="613" t="e">
        <f>VLOOKUP(B162,#REF!,13,0)</f>
        <v>#REF!</v>
      </c>
      <c r="Q162" s="551">
        <f>IF(ISERROR(VLOOKUP(C162,'Base de Datos'!$D$7:$N$4077,10,0))=TRUE," ",(VLOOKUP(C162,'Base de Datos'!$D$7:$N$4077,10,0)))</f>
        <v>42531</v>
      </c>
      <c r="R162" s="551">
        <f>IF(ISERROR(VLOOKUP(C162,'Base de Datos'!$D$7:$N$4077,11,0))=TRUE," ",(VLOOKUP(C162,'Base de Datos'!$D$7:$N$4077,11,0)))</f>
        <v>42835</v>
      </c>
      <c r="S162" s="614"/>
      <c r="T162" s="722"/>
      <c r="U162" s="779"/>
    </row>
    <row r="163" spans="2:21" s="615" customFormat="1" ht="24" outlineLevel="1" x14ac:dyDescent="0.25">
      <c r="B163" s="627">
        <v>147</v>
      </c>
      <c r="C163" s="627" t="str">
        <f>$W$6&amp;B163</f>
        <v>2016147</v>
      </c>
      <c r="D163" s="533" t="str">
        <f>IF(ISERROR(VLOOKUP(C163,'Base de Datos'!$D$7:$F$4092,2,0))=TRUE,"",(VLOOKUP(C163,'Base de Datos'!$D$7:$F$4092,2,0)))</f>
        <v>160156-0-2016</v>
      </c>
      <c r="E163" s="707" t="s">
        <v>2332</v>
      </c>
      <c r="F163" s="580">
        <v>29870000</v>
      </c>
      <c r="G163" s="812">
        <v>42095</v>
      </c>
      <c r="H163" s="812"/>
      <c r="I163" s="833" t="str">
        <f ca="1">IF(H163=Hoja1!$J$2," ",(IF(MONTH(G163)=MONTH(TODAY()),IF(DAY(G163)&gt;DAY(TODAY()),"Quedan "&amp;ABS(DAY(G163)-DAY(TODAY()))&amp;" Días","Hace "&amp;ABS(DAY(G163)-DAY(TODAY()))&amp;" Días"),"")))</f>
        <v/>
      </c>
      <c r="J163" s="536">
        <f>IF(ISERROR(VLOOKUP(C163,'Base de Datos'!$D$7:$N$4092,6,0))=TRUE,"Sin Celebrar",(VLOOKUP(C163,'Base de Datos'!$D$7:$N$4092,6,0)))</f>
        <v>53583000</v>
      </c>
      <c r="K163" s="612"/>
      <c r="L163" s="536" t="str">
        <f>IF(J163=$W$7,F163, " ")</f>
        <v xml:space="preserve"> </v>
      </c>
      <c r="M163" s="536" t="str">
        <f>IF(J163&lt;F163,(F163-J163)," ")</f>
        <v xml:space="preserve"> </v>
      </c>
      <c r="N163" s="719" t="str">
        <f>IF(ISERROR(VLOOKUP(C163,'Base de Datos'!$D$7:$K$1048576,7,0))=TRUE," ",(VLOOKUP(C163,'Base de Datos'!$D$7:$K$1048576,7,0)))</f>
        <v>SDH-SMINC-17-2016</v>
      </c>
      <c r="O163" s="551">
        <f>IF(ISERROR(VLOOKUP(C163,'Base de Datos'!$D$7:$N$4077,9,0))=TRUE," ",(VLOOKUP(C163,'Base de Datos'!$D$7:$N$4077,9,0)))</f>
        <v>42556</v>
      </c>
      <c r="P163" s="613" t="e">
        <f>VLOOKUP(B163,#REF!,13,0)</f>
        <v>#REF!</v>
      </c>
      <c r="Q163" s="551">
        <f>IF(ISERROR(VLOOKUP(C163,'Base de Datos'!$D$7:$N$4077,10,0))=TRUE," ",(VLOOKUP(C163,'Base de Datos'!$D$7:$N$4077,10,0)))</f>
        <v>42579</v>
      </c>
      <c r="R163" s="551">
        <f>IF(ISERROR(VLOOKUP(C163,'Base de Datos'!$D$7:$N$4077,11,0))=TRUE," ",(VLOOKUP(C163,'Base de Datos'!$D$7:$N$4077,11,0)))</f>
        <v>42794</v>
      </c>
      <c r="S163" s="614" t="s">
        <v>2352</v>
      </c>
      <c r="T163" s="722"/>
      <c r="U163" s="779"/>
    </row>
    <row r="164" spans="2:21" s="615" customFormat="1" outlineLevel="1" x14ac:dyDescent="0.25">
      <c r="B164" s="614"/>
      <c r="C164" s="614"/>
      <c r="D164" s="614"/>
      <c r="E164" s="614" t="s">
        <v>1935</v>
      </c>
      <c r="F164" s="580"/>
      <c r="G164" s="812"/>
      <c r="H164" s="812"/>
      <c r="I164" s="534"/>
      <c r="J164" s="580"/>
      <c r="K164" s="612"/>
      <c r="L164" s="708"/>
      <c r="M164" s="708" t="str">
        <f>IF(J164&lt;F164,(F164-J164)," ")</f>
        <v xml:space="preserve"> </v>
      </c>
      <c r="N164" s="809"/>
      <c r="O164" s="613" t="str">
        <f>IF(ISERROR(VLOOKUP(B164,'Base de Datos'!$C$7:$N$315,9,0))=TRUE," ",(VLOOKUP(B164,'Base de Datos'!$C$7:$N$315,9,0)))</f>
        <v xml:space="preserve"> </v>
      </c>
      <c r="P164" s="614"/>
      <c r="Q164" s="710" t="str">
        <f>IF(ISERROR(VLOOKUP(B164,'Base de Datos'!$C$7:$N$315,10,0))=TRUE," ",(VLOOKUP(B164,'Base de Datos'!$C$7:$N$315,10,0)))</f>
        <v xml:space="preserve"> </v>
      </c>
      <c r="R164" s="710" t="str">
        <f>IF(ISERROR(VLOOKUP(B164,'Base de Datos'!$C$7:$N$315,11,0))=TRUE," ",(VLOOKUP(B164,'Base de Datos'!$C$7:$N$315,11,0)))</f>
        <v xml:space="preserve"> </v>
      </c>
      <c r="S164" s="614"/>
      <c r="T164" s="722"/>
      <c r="U164" s="779"/>
    </row>
    <row r="165" spans="2:21" s="615" customFormat="1" outlineLevel="1" x14ac:dyDescent="0.25">
      <c r="B165" s="614"/>
      <c r="C165" s="614"/>
      <c r="D165" s="614"/>
      <c r="E165" s="614"/>
      <c r="F165" s="580"/>
      <c r="G165" s="812"/>
      <c r="H165" s="812"/>
      <c r="I165" s="534"/>
      <c r="J165" s="580"/>
      <c r="K165" s="612"/>
      <c r="L165" s="580"/>
      <c r="M165" s="580"/>
      <c r="N165" s="690"/>
      <c r="O165" s="613"/>
      <c r="P165" s="614"/>
      <c r="Q165" s="613"/>
      <c r="R165" s="613"/>
      <c r="S165" s="614"/>
      <c r="T165" s="722"/>
      <c r="U165" s="779"/>
    </row>
    <row r="166" spans="2:21" x14ac:dyDescent="0.25">
      <c r="B166" s="1217" t="s">
        <v>1669</v>
      </c>
      <c r="C166" s="1217"/>
      <c r="D166" s="1217"/>
      <c r="E166" s="1217"/>
      <c r="F166" s="792"/>
      <c r="G166" s="791">
        <f>COUNT(G168:G171)</f>
        <v>4</v>
      </c>
      <c r="H166" s="791">
        <f>COUNTIF(H168:H171,Hoja1!$J$2)</f>
        <v>0</v>
      </c>
      <c r="I166" s="793"/>
      <c r="J166" s="792">
        <f>SUM(J168:J172)</f>
        <v>31415000</v>
      </c>
      <c r="K166" s="794" t="e">
        <f>J166/F166</f>
        <v>#DIV/0!</v>
      </c>
      <c r="L166" s="792">
        <f>SUM(L168:L172)</f>
        <v>53964000</v>
      </c>
      <c r="M166" s="792">
        <f>+F166-J166-L166</f>
        <v>-85379000</v>
      </c>
      <c r="N166" s="796"/>
      <c r="O166" s="797" t="str">
        <f>IF(ISERROR(VLOOKUP(B166,'Base de Datos'!$C$7:$N$315,8,0))=TRUE," ",(VLOOKUP(B166,'Base de Datos'!$C$7:$N$315,8,0)))</f>
        <v xml:space="preserve"> </v>
      </c>
      <c r="P166" s="798"/>
      <c r="Q166" s="797" t="str">
        <f>IF(ISERROR(VLOOKUP(B166,'Base de Datos'!$C$7:$N$315,9,0))=TRUE," ",(VLOOKUP(B166,'Base de Datos'!$C$7:$N$315,9,0)))</f>
        <v xml:space="preserve"> </v>
      </c>
      <c r="R166" s="797" t="str">
        <f>IF(ISERROR(VLOOKUP(B166,'Base de Datos'!$C$7:$N$315,10,0))=TRUE," ",(VLOOKUP(B166,'Base de Datos'!$C$7:$N$315,10,0)))</f>
        <v xml:space="preserve"> </v>
      </c>
      <c r="S166" s="790"/>
      <c r="T166" s="722"/>
      <c r="U166" s="634"/>
    </row>
    <row r="167" spans="2:21" s="615" customFormat="1" ht="24" outlineLevel="1" x14ac:dyDescent="0.25">
      <c r="B167" s="627" t="s">
        <v>2343</v>
      </c>
      <c r="C167" s="627"/>
      <c r="D167" s="627" t="s">
        <v>912</v>
      </c>
      <c r="E167" s="627" t="s">
        <v>1822</v>
      </c>
      <c r="F167" s="776" t="s">
        <v>1846</v>
      </c>
      <c r="G167" s="812" t="s">
        <v>2345</v>
      </c>
      <c r="H167" s="812" t="s">
        <v>2349</v>
      </c>
      <c r="I167" s="534" t="s">
        <v>2350</v>
      </c>
      <c r="J167" s="627" t="s">
        <v>1845</v>
      </c>
      <c r="K167" s="612"/>
      <c r="L167" s="627" t="s">
        <v>1939</v>
      </c>
      <c r="M167" s="627" t="s">
        <v>1940</v>
      </c>
      <c r="N167" s="777" t="s">
        <v>1122</v>
      </c>
      <c r="O167" s="778" t="s">
        <v>1847</v>
      </c>
      <c r="P167" s="627" t="s">
        <v>1848</v>
      </c>
      <c r="Q167" s="627" t="s">
        <v>1849</v>
      </c>
      <c r="R167" s="627" t="s">
        <v>375</v>
      </c>
      <c r="S167" s="627" t="s">
        <v>1850</v>
      </c>
      <c r="T167" s="722"/>
      <c r="U167" s="779"/>
    </row>
    <row r="168" spans="2:21" s="615" customFormat="1" ht="24" outlineLevel="1" x14ac:dyDescent="0.25">
      <c r="B168" s="627">
        <v>229</v>
      </c>
      <c r="C168" s="627" t="str">
        <f>$W$6&amp;B168</f>
        <v>2016229</v>
      </c>
      <c r="D168" s="533" t="str">
        <f>IF(ISERROR(VLOOKUP(C168,'Base de Datos'!$D$7:$F$4092,2,0))=TRUE,"",(VLOOKUP(C168,'Base de Datos'!$D$7:$F$4092,2,0)))</f>
        <v>160195-0-2016</v>
      </c>
      <c r="E168" s="707" t="s">
        <v>1304</v>
      </c>
      <c r="F168" s="580">
        <v>20806000</v>
      </c>
      <c r="G168" s="812">
        <v>42444</v>
      </c>
      <c r="H168" s="812"/>
      <c r="I168" s="833" t="str">
        <f ca="1">IF(H168=Hoja1!$J$2," ",(IF(MONTH(G168)=MONTH(TODAY()),IF(DAY(G168)&gt;DAY(TODAY()),"Quedan "&amp;ABS(DAY(G168)-DAY(TODAY()))&amp;" Días","Hace "&amp;ABS(DAY(G168)-DAY(TODAY()))&amp;" Días"),"")))</f>
        <v/>
      </c>
      <c r="J168" s="536">
        <f>IF(ISERROR(VLOOKUP(C168,'Base de Datos'!$D$7:$N$4092,6,0))=TRUE,"Sin Celebrar",(VLOOKUP(C168,'Base de Datos'!$D$7:$N$4092,6,0)))</f>
        <v>20806000</v>
      </c>
      <c r="K168" s="612"/>
      <c r="L168" s="536" t="str">
        <f>IF(J168=$W$7,F168, " ")</f>
        <v xml:space="preserve"> </v>
      </c>
      <c r="M168" s="536" t="str">
        <f>IF(J168&lt;F168,(F168-J168)," ")</f>
        <v xml:space="preserve"> </v>
      </c>
      <c r="N168" s="719" t="str">
        <f>IF(ISERROR(VLOOKUP(C168,'Base de Datos'!$D$7:$K$1048576,7,0))=TRUE," ",(VLOOKUP(C168,'Base de Datos'!$D$7:$K$1048576,7,0)))</f>
        <v>SDH-SMINC-24-2016</v>
      </c>
      <c r="O168" s="551">
        <f>IF(ISERROR(VLOOKUP(C168,'Base de Datos'!$D$7:$N$4077,9,0))=TRUE," ",(VLOOKUP(C168,'Base de Datos'!$D$7:$N$4077,9,0)))</f>
        <v>42585</v>
      </c>
      <c r="P168" s="613" t="e">
        <f>VLOOKUP(B168,#REF!,13,0)</f>
        <v>#REF!</v>
      </c>
      <c r="Q168" s="551">
        <f>IF(ISERROR(VLOOKUP(C168,'Base de Datos'!$D$7:$N$4077,10,0))=TRUE," ",(VLOOKUP(C168,'Base de Datos'!$D$7:$N$4077,10,0)))</f>
        <v>42598</v>
      </c>
      <c r="R168" s="551">
        <f>IF(ISERROR(VLOOKUP(C168,'Base de Datos'!$D$7:$N$4077,11,0))=TRUE," ",(VLOOKUP(C168,'Base de Datos'!$D$7:$N$4077,11,0)))</f>
        <v>42720</v>
      </c>
      <c r="S168" s="614" t="s">
        <v>2352</v>
      </c>
      <c r="T168" s="722"/>
      <c r="U168" s="779"/>
    </row>
    <row r="169" spans="2:21" s="615" customFormat="1" ht="24" outlineLevel="1" x14ac:dyDescent="0.25">
      <c r="B169" s="627">
        <v>224</v>
      </c>
      <c r="C169" s="627" t="str">
        <f>$W$6&amp;B169</f>
        <v>2016224</v>
      </c>
      <c r="D169" s="533" t="str">
        <f>IF(ISERROR(VLOOKUP(C169,'Base de Datos'!$D$7:$F$4092,2,0))=TRUE,"",(VLOOKUP(C169,'Base de Datos'!$D$7:$F$4092,2,0)))</f>
        <v>160185-0-2016</v>
      </c>
      <c r="E169" s="707" t="s">
        <v>2333</v>
      </c>
      <c r="F169" s="580">
        <v>4429000</v>
      </c>
      <c r="G169" s="812">
        <v>42096</v>
      </c>
      <c r="H169" s="812"/>
      <c r="I169" s="833" t="str">
        <f ca="1">IF(H169=Hoja1!$J$2," ",(IF(MONTH(G169)=MONTH(TODAY()),IF(DAY(G169)&gt;DAY(TODAY()),"Quedan "&amp;ABS(DAY(G169)-DAY(TODAY()))&amp;" Días","Hace "&amp;ABS(DAY(G169)-DAY(TODAY()))&amp;" Días"),"")))</f>
        <v/>
      </c>
      <c r="J169" s="536">
        <f>IF(ISERROR(VLOOKUP(C169,'Base de Datos'!$D$7:$N$4092,6,0))=TRUE,"Sin Celebrar",(VLOOKUP(C169,'Base de Datos'!$D$7:$N$4092,6,0)))</f>
        <v>4429000</v>
      </c>
      <c r="K169" s="612"/>
      <c r="L169" s="536" t="str">
        <f>IF(J169=$W$7,F169, " ")</f>
        <v xml:space="preserve"> </v>
      </c>
      <c r="M169" s="536" t="str">
        <f>IF(J169&lt;F169,(F169-J169)," ")</f>
        <v xml:space="preserve"> </v>
      </c>
      <c r="N169" s="719" t="str">
        <f>IF(ISERROR(VLOOKUP(C169,'Base de Datos'!$D$7:$K$1048576,7,0))=TRUE," ",(VLOOKUP(C169,'Base de Datos'!$D$7:$K$1048576,7,0)))</f>
        <v>SDH-SMINC-28-2016</v>
      </c>
      <c r="O169" s="551">
        <f>IF(ISERROR(VLOOKUP(C169,'Base de Datos'!$D$7:$N$4077,9,0))=TRUE," ",(VLOOKUP(C169,'Base de Datos'!$D$7:$N$4077,9,0)))</f>
        <v>42578</v>
      </c>
      <c r="P169" s="613" t="e">
        <f>VLOOKUP(B169,#REF!,13,0)</f>
        <v>#REF!</v>
      </c>
      <c r="Q169" s="551">
        <f>IF(ISERROR(VLOOKUP(C169,'Base de Datos'!$D$7:$N$4077,10,0))=TRUE," ",(VLOOKUP(C169,'Base de Datos'!$D$7:$N$4077,10,0)))</f>
        <v>42608</v>
      </c>
      <c r="R169" s="551">
        <f>IF(ISERROR(VLOOKUP(C169,'Base de Datos'!$D$7:$N$4077,11,0))=TRUE," ",(VLOOKUP(C169,'Base de Datos'!$D$7:$N$4077,11,0)))</f>
        <v>42700</v>
      </c>
      <c r="S169" s="614" t="s">
        <v>2351</v>
      </c>
      <c r="T169" s="722"/>
      <c r="U169" s="779"/>
    </row>
    <row r="170" spans="2:21" s="615" customFormat="1" ht="24" outlineLevel="1" x14ac:dyDescent="0.25">
      <c r="B170" s="706">
        <v>230</v>
      </c>
      <c r="C170" s="627" t="str">
        <f>$W$6&amp;B170</f>
        <v>2016230</v>
      </c>
      <c r="D170" s="533" t="str">
        <f>IF(ISERROR(VLOOKUP(C170,'Base de Datos'!$D$7:$F$4092,2,0))=TRUE,"",(VLOOKUP(C170,'Base de Datos'!$D$7:$F$4092,2,0)))</f>
        <v>160176-0-2016</v>
      </c>
      <c r="E170" s="707" t="s">
        <v>2334</v>
      </c>
      <c r="F170" s="708">
        <v>6180000</v>
      </c>
      <c r="G170" s="815">
        <v>42494</v>
      </c>
      <c r="H170" s="812"/>
      <c r="I170" s="833" t="str">
        <f ca="1">IF(H170=Hoja1!$J$2," ",(IF(MONTH(G170)=MONTH(TODAY()),IF(DAY(G170)&gt;DAY(TODAY()),"Quedan "&amp;ABS(DAY(G170)-DAY(TODAY()))&amp;" Días","Hace "&amp;ABS(DAY(G170)-DAY(TODAY()))&amp;" Días"),"")))</f>
        <v/>
      </c>
      <c r="J170" s="536">
        <f>IF(ISERROR(VLOOKUP(C170,'Base de Datos'!$D$7:$N$4092,6,0))=TRUE,"Sin Celebrar",(VLOOKUP(C170,'Base de Datos'!$D$7:$N$4092,6,0)))</f>
        <v>6180000</v>
      </c>
      <c r="K170" s="709"/>
      <c r="L170" s="536" t="str">
        <f>IF(J170=$W$7,F170, " ")</f>
        <v xml:space="preserve"> </v>
      </c>
      <c r="M170" s="536" t="str">
        <f>IF(J170&lt;F170,(F170-J170)," ")</f>
        <v xml:space="preserve"> </v>
      </c>
      <c r="N170" s="719" t="str">
        <f>IF(ISERROR(VLOOKUP(C170,'Base de Datos'!$D$7:$K$1048576,7,0))=TRUE," ",(VLOOKUP(C170,'Base de Datos'!$D$7:$K$1048576,7,0)))</f>
        <v>SDH-SMINC-23-2016</v>
      </c>
      <c r="O170" s="551">
        <f>IF(ISERROR(VLOOKUP(C170,'Base de Datos'!$D$7:$N$4077,9,0))=TRUE," ",(VLOOKUP(C170,'Base de Datos'!$D$7:$N$4077,9,0)))</f>
        <v>42570</v>
      </c>
      <c r="P170" s="613" t="e">
        <f>VLOOKUP(B170,#REF!,13,0)</f>
        <v>#REF!</v>
      </c>
      <c r="Q170" s="551">
        <f>IF(ISERROR(VLOOKUP(C170,'Base de Datos'!$D$7:$N$4077,10,0))=TRUE," ",(VLOOKUP(C170,'Base de Datos'!$D$7:$N$4077,10,0)))</f>
        <v>42590</v>
      </c>
      <c r="R170" s="551">
        <f>IF(ISERROR(VLOOKUP(C170,'Base de Datos'!$D$7:$N$4077,11,0))=TRUE," ",(VLOOKUP(C170,'Base de Datos'!$D$7:$N$4077,11,0)))</f>
        <v>42682</v>
      </c>
      <c r="S170" s="614" t="s">
        <v>2351</v>
      </c>
      <c r="T170" s="722"/>
      <c r="U170" s="779"/>
    </row>
    <row r="171" spans="2:21" s="615" customFormat="1" ht="24" outlineLevel="1" x14ac:dyDescent="0.25">
      <c r="B171" s="706">
        <v>231</v>
      </c>
      <c r="C171" s="627" t="str">
        <f>$W$6&amp;B171</f>
        <v>2016231</v>
      </c>
      <c r="D171" s="533" t="str">
        <f>IF(ISERROR(VLOOKUP(C171,'Base de Datos'!$D$7:$F$4092,2,0))=TRUE,"",(VLOOKUP(C171,'Base de Datos'!$D$7:$F$4092,2,0)))</f>
        <v/>
      </c>
      <c r="E171" s="707" t="s">
        <v>2335</v>
      </c>
      <c r="F171" s="708">
        <v>53964000</v>
      </c>
      <c r="G171" s="815">
        <v>42384</v>
      </c>
      <c r="H171" s="812"/>
      <c r="I171" s="833" t="str">
        <f ca="1">IF(H171=Hoja1!$J$2," ",(IF(MONTH(G171)=MONTH(TODAY()),IF(DAY(G171)&gt;DAY(TODAY()),"Quedan "&amp;ABS(DAY(G171)-DAY(TODAY()))&amp;" Días","Hace "&amp;ABS(DAY(G171)-DAY(TODAY()))&amp;" Días"),"")))</f>
        <v/>
      </c>
      <c r="J171" s="536" t="str">
        <f>IF(ISERROR(VLOOKUP(C171,'Base de Datos'!$D$7:$N$4092,6,0))=TRUE,"Sin Celebrar",(VLOOKUP(C171,'Base de Datos'!$D$7:$N$4092,6,0)))</f>
        <v>Sin Celebrar</v>
      </c>
      <c r="K171" s="709"/>
      <c r="L171" s="536">
        <f>IF(J171=$W$7,F171, " ")</f>
        <v>53964000</v>
      </c>
      <c r="M171" s="536" t="str">
        <f>IF(J171&lt;F171,(F171-J171)," ")</f>
        <v xml:space="preserve"> </v>
      </c>
      <c r="N171" s="719" t="str">
        <f>IF(ISERROR(VLOOKUP(C171,'Base de Datos'!$D$7:$K$1048576,7,0))=TRUE," ",(VLOOKUP(C171,'Base de Datos'!$D$7:$K$1048576,7,0)))</f>
        <v xml:space="preserve"> </v>
      </c>
      <c r="O171" s="551" t="str">
        <f>IF(ISERROR(VLOOKUP(C171,'Base de Datos'!$D$7:$N$4077,9,0))=TRUE," ",(VLOOKUP(C171,'Base de Datos'!$D$7:$N$4077,9,0)))</f>
        <v xml:space="preserve"> </v>
      </c>
      <c r="P171" s="613" t="e">
        <f>VLOOKUP(B171,#REF!,13,0)</f>
        <v>#REF!</v>
      </c>
      <c r="Q171" s="551" t="str">
        <f>IF(ISERROR(VLOOKUP(C171,'Base de Datos'!$D$7:$N$4077,10,0))=TRUE," ",(VLOOKUP(C171,'Base de Datos'!$D$7:$N$4077,10,0)))</f>
        <v xml:space="preserve"> </v>
      </c>
      <c r="R171" s="551" t="str">
        <f>IF(ISERROR(VLOOKUP(C171,'Base de Datos'!$D$7:$N$4077,11,0))=TRUE," ",(VLOOKUP(C171,'Base de Datos'!$D$7:$N$4077,11,0)))</f>
        <v xml:space="preserve"> </v>
      </c>
      <c r="S171" s="614" t="s">
        <v>2351</v>
      </c>
      <c r="T171" s="722"/>
      <c r="U171" s="779"/>
    </row>
    <row r="172" spans="2:21" s="615" customFormat="1" outlineLevel="1" x14ac:dyDescent="0.25">
      <c r="B172" s="811"/>
      <c r="C172" s="811"/>
      <c r="D172" s="811"/>
      <c r="E172" s="614" t="s">
        <v>1935</v>
      </c>
      <c r="F172" s="580"/>
      <c r="G172" s="812"/>
      <c r="H172" s="812"/>
      <c r="I172" s="534"/>
      <c r="J172" s="708"/>
      <c r="K172" s="612"/>
      <c r="L172" s="708"/>
      <c r="M172" s="708" t="str">
        <f>IF(J172&lt;F172,(F172-J172)," ")</f>
        <v xml:space="preserve"> </v>
      </c>
      <c r="N172" s="780" t="str">
        <f>IF(ISERROR(VLOOKUP(B172,'Base de Datos'!$C$7:$K$1048576,7,0))=TRUE," ",(VLOOKUP(B172,'Base de Datos'!$C$7:$K$1048576,7,0)))</f>
        <v xml:space="preserve"> </v>
      </c>
      <c r="O172" s="613" t="str">
        <f>IF(ISERROR(VLOOKUP(B172,'Base de Datos'!$C$7:$N$315,9,0))=TRUE," ",(VLOOKUP(B172,'Base de Datos'!$C$7:$N$315,9,0)))</f>
        <v xml:space="preserve"> </v>
      </c>
      <c r="P172" s="614"/>
      <c r="Q172" s="710" t="str">
        <f>IF(ISERROR(VLOOKUP(B172,'Base de Datos'!$C$7:$N$315,10,0))=TRUE," ",(VLOOKUP(B172,'Base de Datos'!$C$7:$N$315,10,0)))</f>
        <v xml:space="preserve"> </v>
      </c>
      <c r="R172" s="710" t="str">
        <f>IF(ISERROR(VLOOKUP(B172,'Base de Datos'!$C$7:$N$315,11,0))=TRUE," ",(VLOOKUP(B172,'Base de Datos'!$C$7:$N$315,11,0)))</f>
        <v xml:space="preserve"> </v>
      </c>
      <c r="S172" s="614"/>
      <c r="T172" s="722"/>
      <c r="U172" s="779"/>
    </row>
    <row r="173" spans="2:21" s="615" customFormat="1" outlineLevel="1" x14ac:dyDescent="0.25">
      <c r="B173" s="811"/>
      <c r="C173" s="811"/>
      <c r="D173" s="811"/>
      <c r="E173" s="811"/>
      <c r="F173" s="580"/>
      <c r="G173" s="812"/>
      <c r="H173" s="812"/>
      <c r="I173" s="534"/>
      <c r="J173" s="580"/>
      <c r="K173" s="612"/>
      <c r="L173" s="580"/>
      <c r="M173" s="580"/>
      <c r="N173" s="690"/>
      <c r="O173" s="613"/>
      <c r="P173" s="614"/>
      <c r="Q173" s="613"/>
      <c r="R173" s="613"/>
      <c r="S173" s="614"/>
      <c r="T173" s="722"/>
      <c r="U173" s="779"/>
    </row>
    <row r="174" spans="2:21" x14ac:dyDescent="0.25">
      <c r="B174" s="1217" t="s">
        <v>1670</v>
      </c>
      <c r="C174" s="1217"/>
      <c r="D174" s="1217"/>
      <c r="E174" s="1217"/>
      <c r="F174" s="800"/>
      <c r="G174" s="828">
        <f>+G175</f>
        <v>0</v>
      </c>
      <c r="H174" s="828">
        <f>+H175</f>
        <v>0</v>
      </c>
      <c r="I174" s="793"/>
      <c r="J174" s="792">
        <f>+J175</f>
        <v>0</v>
      </c>
      <c r="K174" s="794" t="e">
        <f>J174/F174</f>
        <v>#DIV/0!</v>
      </c>
      <c r="L174" s="792"/>
      <c r="M174" s="792">
        <f>SUM(M175)</f>
        <v>0</v>
      </c>
      <c r="N174" s="796"/>
      <c r="O174" s="797" t="str">
        <f>IF(ISERROR(VLOOKUP(B174,'Base de Datos'!$C$7:$N$315,8,0))=TRUE," ",(VLOOKUP(B174,'Base de Datos'!$C$7:$N$315,8,0)))</f>
        <v xml:space="preserve"> </v>
      </c>
      <c r="P174" s="798"/>
      <c r="Q174" s="797" t="str">
        <f>IF(ISERROR(VLOOKUP(B174,'Base de Datos'!$C$7:$N$315,9,0))=TRUE," ",(VLOOKUP(B174,'Base de Datos'!$C$7:$N$315,9,0)))</f>
        <v xml:space="preserve"> </v>
      </c>
      <c r="R174" s="797" t="str">
        <f>IF(ISERROR(VLOOKUP(B174,'Base de Datos'!$C$7:$N$315,10,0))=TRUE," ",(VLOOKUP(B174,'Base de Datos'!$C$7:$N$315,10,0)))</f>
        <v xml:space="preserve"> </v>
      </c>
      <c r="S174" s="790"/>
      <c r="T174" s="722"/>
      <c r="U174" s="634"/>
    </row>
    <row r="175" spans="2:21" x14ac:dyDescent="0.25">
      <c r="B175" s="1213" t="s">
        <v>1839</v>
      </c>
      <c r="C175" s="1213"/>
      <c r="D175" s="1213"/>
      <c r="E175" s="1213"/>
      <c r="F175" s="785"/>
      <c r="G175" s="791">
        <f>COUNT(G177)</f>
        <v>0</v>
      </c>
      <c r="H175" s="791">
        <f>COUNTIF(H177:H178,Hoja1!$J$2)</f>
        <v>0</v>
      </c>
      <c r="I175" s="786"/>
      <c r="J175" s="785">
        <f>+J177</f>
        <v>0</v>
      </c>
      <c r="K175" s="787" t="e">
        <f>J175/F175</f>
        <v>#DIV/0!</v>
      </c>
      <c r="L175" s="785"/>
      <c r="M175" s="785"/>
      <c r="N175" s="788"/>
      <c r="O175" s="789" t="str">
        <f>IF(ISERROR(VLOOKUP(B175,'Base de Datos'!$C$7:$N$315,8,0))=TRUE," ",(VLOOKUP(B175,'Base de Datos'!$C$7:$N$315,8,0)))</f>
        <v xml:space="preserve"> </v>
      </c>
      <c r="P175" s="790"/>
      <c r="Q175" s="789" t="str">
        <f>IF(ISERROR(VLOOKUP(B175,'Base de Datos'!$C$7:$N$315,9,0))=TRUE," ",(VLOOKUP(B175,'Base de Datos'!$C$7:$N$315,9,0)))</f>
        <v xml:space="preserve"> </v>
      </c>
      <c r="R175" s="789" t="str">
        <f>IF(ISERROR(VLOOKUP(B175,'Base de Datos'!$C$7:$N$315,10,0))=TRUE," ",(VLOOKUP(B175,'Base de Datos'!$C$7:$N$315,10,0)))</f>
        <v xml:space="preserve"> </v>
      </c>
      <c r="S175" s="790"/>
      <c r="T175" s="722"/>
      <c r="U175" s="634"/>
    </row>
    <row r="176" spans="2:21" s="615" customFormat="1" ht="24" outlineLevel="1" x14ac:dyDescent="0.25">
      <c r="B176" s="627" t="s">
        <v>2343</v>
      </c>
      <c r="C176" s="627"/>
      <c r="D176" s="627" t="s">
        <v>912</v>
      </c>
      <c r="E176" s="627" t="s">
        <v>1822</v>
      </c>
      <c r="F176" s="776" t="s">
        <v>1846</v>
      </c>
      <c r="G176" s="812" t="s">
        <v>2345</v>
      </c>
      <c r="H176" s="812" t="s">
        <v>2349</v>
      </c>
      <c r="I176" s="534" t="s">
        <v>2350</v>
      </c>
      <c r="J176" s="627" t="s">
        <v>1845</v>
      </c>
      <c r="K176" s="612"/>
      <c r="L176" s="627" t="s">
        <v>1939</v>
      </c>
      <c r="M176" s="627" t="s">
        <v>1940</v>
      </c>
      <c r="N176" s="777" t="s">
        <v>1122</v>
      </c>
      <c r="O176" s="778" t="s">
        <v>1847</v>
      </c>
      <c r="P176" s="627" t="s">
        <v>1848</v>
      </c>
      <c r="Q176" s="627" t="s">
        <v>1849</v>
      </c>
      <c r="R176" s="627" t="s">
        <v>375</v>
      </c>
      <c r="S176" s="627" t="s">
        <v>1850</v>
      </c>
      <c r="T176" s="722"/>
      <c r="U176" s="779"/>
    </row>
    <row r="177" spans="2:21" s="615" customFormat="1" outlineLevel="1" x14ac:dyDescent="0.25">
      <c r="B177" s="627"/>
      <c r="C177" s="627"/>
      <c r="D177" s="614"/>
      <c r="E177" s="614"/>
      <c r="F177" s="534"/>
      <c r="G177" s="814"/>
      <c r="H177" s="814"/>
      <c r="I177" s="833" t="str">
        <f ca="1">IF(H177=Hoja1!$J$2," ",(IF(MONTH(G177)=MONTH(TODAY()),IF(DAY(G177)&gt;DAY(TODAY()),"Quedan "&amp;ABS(DAY(G177)-DAY(TODAY()))&amp;" Días","Hace "&amp;ABS(DAY(G177)-DAY(TODAY()))&amp;" Días"),"")))</f>
        <v/>
      </c>
      <c r="J177" s="580"/>
      <c r="K177" s="612"/>
      <c r="L177" s="580"/>
      <c r="M177" s="580"/>
      <c r="N177" s="690"/>
      <c r="O177" s="613"/>
      <c r="P177" s="614"/>
      <c r="Q177" s="613"/>
      <c r="R177" s="613"/>
      <c r="S177" s="614"/>
      <c r="T177" s="722"/>
      <c r="U177" s="779"/>
    </row>
    <row r="178" spans="2:21" s="615" customFormat="1" outlineLevel="1" x14ac:dyDescent="0.25">
      <c r="B178" s="774"/>
      <c r="C178" s="775"/>
      <c r="D178" s="774"/>
      <c r="E178" s="774"/>
      <c r="F178" s="580"/>
      <c r="G178" s="812"/>
      <c r="H178" s="812"/>
      <c r="I178" s="534"/>
      <c r="J178" s="580"/>
      <c r="K178" s="612"/>
      <c r="L178" s="580"/>
      <c r="M178" s="580"/>
      <c r="N178" s="690"/>
      <c r="O178" s="613"/>
      <c r="P178" s="614"/>
      <c r="Q178" s="613"/>
      <c r="R178" s="613"/>
      <c r="S178" s="614"/>
      <c r="T178" s="722"/>
      <c r="U178" s="779"/>
    </row>
    <row r="179" spans="2:21" x14ac:dyDescent="0.25">
      <c r="B179" s="1215" t="s">
        <v>1672</v>
      </c>
      <c r="C179" s="1215"/>
      <c r="D179" s="1215"/>
      <c r="E179" s="1215"/>
      <c r="F179" s="785"/>
      <c r="G179" s="791">
        <f>COUNT(G181:G182)</f>
        <v>2</v>
      </c>
      <c r="H179" s="791">
        <f>COUNTIF(H181:H182,Hoja1!$J$2)</f>
        <v>0</v>
      </c>
      <c r="I179" s="786"/>
      <c r="J179" s="785">
        <f>SUM(J181:J182)</f>
        <v>1148500000</v>
      </c>
      <c r="K179" s="787" t="e">
        <f>J179/F179</f>
        <v>#DIV/0!</v>
      </c>
      <c r="L179" s="785">
        <f>SUM(L181:L182)</f>
        <v>400000000</v>
      </c>
      <c r="M179" s="785">
        <f>+F179-J179-L179</f>
        <v>-1548500000</v>
      </c>
      <c r="N179" s="788"/>
      <c r="O179" s="789" t="str">
        <f>IF(ISERROR(VLOOKUP(B179,'Base de Datos'!$C$7:$N$315,8,0))=TRUE," ",(VLOOKUP(B179,'Base de Datos'!$C$7:$N$315,8,0)))</f>
        <v xml:space="preserve"> </v>
      </c>
      <c r="P179" s="790"/>
      <c r="Q179" s="789" t="str">
        <f>IF(ISERROR(VLOOKUP(B179,'Base de Datos'!$C$7:$N$315,9,0))=TRUE," ",(VLOOKUP(B179,'Base de Datos'!$C$7:$N$315,9,0)))</f>
        <v xml:space="preserve"> </v>
      </c>
      <c r="R179" s="789" t="str">
        <f>IF(ISERROR(VLOOKUP(B179,'Base de Datos'!$C$7:$N$315,10,0))=TRUE," ",(VLOOKUP(B179,'Base de Datos'!$C$7:$N$315,10,0)))</f>
        <v xml:space="preserve"> </v>
      </c>
      <c r="S179" s="790"/>
      <c r="T179" s="722"/>
      <c r="U179" s="634"/>
    </row>
    <row r="180" spans="2:21" s="615" customFormat="1" ht="24" outlineLevel="1" x14ac:dyDescent="0.25">
      <c r="B180" s="627" t="s">
        <v>2343</v>
      </c>
      <c r="C180" s="627"/>
      <c r="D180" s="627" t="s">
        <v>912</v>
      </c>
      <c r="E180" s="627" t="s">
        <v>1822</v>
      </c>
      <c r="F180" s="776" t="s">
        <v>1846</v>
      </c>
      <c r="G180" s="812" t="s">
        <v>2345</v>
      </c>
      <c r="H180" s="812" t="s">
        <v>2349</v>
      </c>
      <c r="I180" s="534" t="s">
        <v>2350</v>
      </c>
      <c r="J180" s="627" t="s">
        <v>1845</v>
      </c>
      <c r="K180" s="612"/>
      <c r="L180" s="627" t="s">
        <v>1939</v>
      </c>
      <c r="M180" s="627" t="s">
        <v>1940</v>
      </c>
      <c r="N180" s="777" t="s">
        <v>1122</v>
      </c>
      <c r="O180" s="778" t="s">
        <v>1847</v>
      </c>
      <c r="P180" s="627" t="s">
        <v>1848</v>
      </c>
      <c r="Q180" s="627" t="s">
        <v>1849</v>
      </c>
      <c r="R180" s="627" t="s">
        <v>375</v>
      </c>
      <c r="S180" s="627" t="s">
        <v>1850</v>
      </c>
      <c r="T180" s="722"/>
      <c r="U180" s="779"/>
    </row>
    <row r="181" spans="2:21" s="615" customFormat="1" ht="24" outlineLevel="1" x14ac:dyDescent="0.25">
      <c r="B181" s="627">
        <v>148</v>
      </c>
      <c r="C181" s="627" t="str">
        <f>$W$6&amp;B181</f>
        <v>2016148</v>
      </c>
      <c r="D181" s="533" t="str">
        <f>IF(ISERROR(VLOOKUP(C181,'Base de Datos'!$D$7:$F$4092,2,0))=TRUE,"",(VLOOKUP(C181,'Base de Datos'!$D$7:$F$4092,2,0)))</f>
        <v/>
      </c>
      <c r="E181" s="614" t="s">
        <v>2336</v>
      </c>
      <c r="F181" s="580">
        <v>400000000</v>
      </c>
      <c r="G181" s="812">
        <v>42489</v>
      </c>
      <c r="H181" s="812"/>
      <c r="I181" s="833" t="str">
        <f ca="1">IF(H181=Hoja1!$J$2," ",(IF(MONTH(G181)=MONTH(TODAY()),IF(DAY(G181)&gt;DAY(TODAY()),"Quedan "&amp;ABS(DAY(G181)-DAY(TODAY()))&amp;" Días","Hace "&amp;ABS(DAY(G181)-DAY(TODAY()))&amp;" Días"),"")))</f>
        <v/>
      </c>
      <c r="J181" s="536" t="str">
        <f>IF(ISERROR(VLOOKUP(C181,'Base de Datos'!$D$7:$N$4092,6,0))=TRUE,"Sin Celebrar",(VLOOKUP(C181,'Base de Datos'!$D$7:$N$4092,6,0)))</f>
        <v>Sin Celebrar</v>
      </c>
      <c r="K181" s="612"/>
      <c r="L181" s="536">
        <f>IF(J181=$W$7,F181, " ")</f>
        <v>400000000</v>
      </c>
      <c r="M181" s="536" t="str">
        <f>IF(J181&lt;F181,(F181-J181)," ")</f>
        <v xml:space="preserve"> </v>
      </c>
      <c r="N181" s="719" t="str">
        <f>IF(ISERROR(VLOOKUP(C181,'Base de Datos'!$D$7:$K$1048576,7,0))=TRUE," ",(VLOOKUP(C181,'Base de Datos'!$D$7:$K$1048576,7,0)))</f>
        <v xml:space="preserve"> </v>
      </c>
      <c r="O181" s="551" t="str">
        <f>IF(ISERROR(VLOOKUP(C181,'Base de Datos'!$D$7:$N$4077,9,0))=TRUE," ",(VLOOKUP(C181,'Base de Datos'!$D$7:$N$4077,9,0)))</f>
        <v xml:space="preserve"> </v>
      </c>
      <c r="P181" s="613" t="e">
        <f>VLOOKUP(B181,#REF!,13,0)</f>
        <v>#REF!</v>
      </c>
      <c r="Q181" s="551" t="str">
        <f>IF(ISERROR(VLOOKUP(C181,'Base de Datos'!$D$7:$N$4077,10,0))=TRUE," ",(VLOOKUP(C181,'Base de Datos'!$D$7:$N$4077,10,0)))</f>
        <v xml:space="preserve"> </v>
      </c>
      <c r="R181" s="551" t="str">
        <f>IF(ISERROR(VLOOKUP(C181,'Base de Datos'!$D$7:$N$4077,11,0))=TRUE," ",(VLOOKUP(C181,'Base de Datos'!$D$7:$N$4077,11,0)))</f>
        <v xml:space="preserve"> </v>
      </c>
      <c r="S181" s="614" t="s">
        <v>2076</v>
      </c>
      <c r="T181" s="722"/>
      <c r="U181" s="779"/>
    </row>
    <row r="182" spans="2:21" s="615" customFormat="1" ht="24" outlineLevel="1" x14ac:dyDescent="0.25">
      <c r="B182" s="706">
        <v>149</v>
      </c>
      <c r="C182" s="627" t="str">
        <f>$W$6&amp;B182</f>
        <v>2016149</v>
      </c>
      <c r="D182" s="533" t="str">
        <f>IF(ISERROR(VLOOKUP(C182,'Base de Datos'!$D$7:$F$4092,2,0))=TRUE,"",(VLOOKUP(C182,'Base de Datos'!$D$7:$F$4092,2,0)))</f>
        <v>160082-0-2016</v>
      </c>
      <c r="E182" s="707" t="s">
        <v>2337</v>
      </c>
      <c r="F182" s="708">
        <v>1626407000</v>
      </c>
      <c r="G182" s="815">
        <v>42371</v>
      </c>
      <c r="H182" s="812"/>
      <c r="I182" s="833" t="str">
        <f ca="1">IF(H182=Hoja1!$J$2," ",(IF(MONTH(G182)=MONTH(TODAY()),IF(DAY(G182)&gt;DAY(TODAY()),"Quedan "&amp;ABS(DAY(G182)-DAY(TODAY()))&amp;" Días","Hace "&amp;ABS(DAY(G182)-DAY(TODAY()))&amp;" Días"),"")))</f>
        <v/>
      </c>
      <c r="J182" s="536">
        <f>IF(ISERROR(VLOOKUP(C182,'Base de Datos'!$D$7:$N$4092,6,0))=TRUE,"Sin Celebrar",(VLOOKUP(C182,'Base de Datos'!$D$7:$N$4092,6,0)))</f>
        <v>1148500000</v>
      </c>
      <c r="K182" s="709"/>
      <c r="L182" s="536" t="str">
        <f>IF(J182=$W$7,F182, " ")</f>
        <v xml:space="preserve"> </v>
      </c>
      <c r="M182" s="536">
        <f>IF(J182&lt;F182,(F182-J182)," ")</f>
        <v>477907000</v>
      </c>
      <c r="N182" s="719" t="str">
        <f>IF(ISERROR(VLOOKUP(C182,'Base de Datos'!$D$7:$K$1048576,7,0))=TRUE," ",(VLOOKUP(C182,'Base de Datos'!$D$7:$K$1048576,7,0)))</f>
        <v>160082-0-2016</v>
      </c>
      <c r="O182" s="551">
        <f>IF(ISERROR(VLOOKUP(C182,'Base de Datos'!$D$7:$N$4077,9,0))=TRUE," ",(VLOOKUP(C182,'Base de Datos'!$D$7:$N$4077,9,0)))</f>
        <v>42480</v>
      </c>
      <c r="P182" s="613" t="e">
        <f>VLOOKUP(B182,#REF!,13,0)</f>
        <v>#REF!</v>
      </c>
      <c r="Q182" s="551">
        <f>IF(ISERROR(VLOOKUP(C182,'Base de Datos'!$D$7:$N$4077,10,0))=TRUE," ",(VLOOKUP(C182,'Base de Datos'!$D$7:$N$4077,10,0)))</f>
        <v>42481</v>
      </c>
      <c r="R182" s="551">
        <f>IF(ISERROR(VLOOKUP(C182,'Base de Datos'!$D$7:$N$4077,11,0))=TRUE," ",(VLOOKUP(C182,'Base de Datos'!$D$7:$N$4077,11,0)))</f>
        <v>42787</v>
      </c>
      <c r="S182" s="614" t="s">
        <v>981</v>
      </c>
      <c r="T182" s="722"/>
      <c r="U182" s="779"/>
    </row>
    <row r="183" spans="2:21" s="615" customFormat="1" outlineLevel="1" x14ac:dyDescent="0.25">
      <c r="B183" s="627"/>
      <c r="C183" s="627"/>
      <c r="D183" s="811"/>
      <c r="E183" s="614" t="s">
        <v>1935</v>
      </c>
      <c r="F183" s="580"/>
      <c r="G183" s="812"/>
      <c r="H183" s="812"/>
      <c r="I183" s="534"/>
      <c r="J183" s="580"/>
      <c r="K183" s="612"/>
      <c r="L183" s="708"/>
      <c r="M183" s="580"/>
      <c r="N183" s="780" t="str">
        <f>IF(ISERROR(VLOOKUP(B183,'Base de Datos'!$C$7:$K$1048576,7,0))=TRUE," ",(VLOOKUP(B183,'Base de Datos'!$C$7:$K$1048576,7,0)))</f>
        <v xml:space="preserve"> </v>
      </c>
      <c r="O183" s="613"/>
      <c r="P183" s="614"/>
      <c r="Q183" s="710"/>
      <c r="R183" s="710"/>
      <c r="S183" s="614"/>
      <c r="T183" s="722"/>
      <c r="U183" s="779"/>
    </row>
    <row r="184" spans="2:21" s="615" customFormat="1" outlineLevel="1" x14ac:dyDescent="0.25">
      <c r="B184" s="811"/>
      <c r="C184" s="811"/>
      <c r="D184" s="811"/>
      <c r="E184" s="811"/>
      <c r="F184" s="580"/>
      <c r="G184" s="812"/>
      <c r="H184" s="812"/>
      <c r="I184" s="534"/>
      <c r="J184" s="580"/>
      <c r="K184" s="612"/>
      <c r="L184" s="580"/>
      <c r="M184" s="580"/>
      <c r="N184" s="690"/>
      <c r="O184" s="613"/>
      <c r="P184" s="614"/>
      <c r="Q184" s="613"/>
      <c r="R184" s="613"/>
      <c r="S184" s="614"/>
      <c r="T184" s="722"/>
      <c r="U184" s="779"/>
    </row>
    <row r="185" spans="2:21" x14ac:dyDescent="0.25">
      <c r="B185" s="1199" t="s">
        <v>1673</v>
      </c>
      <c r="C185" s="1199"/>
      <c r="D185" s="1199"/>
      <c r="E185" s="1199"/>
      <c r="F185" s="781"/>
      <c r="G185" s="832">
        <f>+G186</f>
        <v>0</v>
      </c>
      <c r="H185" s="832">
        <f>+H186</f>
        <v>0</v>
      </c>
      <c r="I185" s="588"/>
      <c r="J185" s="587">
        <f>+J186</f>
        <v>0</v>
      </c>
      <c r="K185" s="607" t="e">
        <f>J185/F185</f>
        <v>#DIV/0!</v>
      </c>
      <c r="L185" s="587">
        <f>+L186</f>
        <v>0</v>
      </c>
      <c r="M185" s="587">
        <f>SUM(M186)</f>
        <v>0</v>
      </c>
      <c r="N185" s="682"/>
      <c r="O185" s="589" t="str">
        <f>IF(ISERROR(VLOOKUP(B185,'Base de Datos'!$C$7:$N$315,8,0))=TRUE," ",(VLOOKUP(B185,'Base de Datos'!$C$7:$N$315,8,0)))</f>
        <v xml:space="preserve"> </v>
      </c>
      <c r="P185" s="590"/>
      <c r="Q185" s="589" t="str">
        <f>IF(ISERROR(VLOOKUP(B185,'Base de Datos'!$C$7:$N$315,9,0))=TRUE," ",(VLOOKUP(B185,'Base de Datos'!$C$7:$N$315,9,0)))</f>
        <v xml:space="preserve"> </v>
      </c>
      <c r="R185" s="589" t="str">
        <f>IF(ISERROR(VLOOKUP(B185,'Base de Datos'!$C$7:$N$315,10,0))=TRUE," ",(VLOOKUP(B185,'Base de Datos'!$C$7:$N$315,10,0)))</f>
        <v xml:space="preserve"> </v>
      </c>
      <c r="S185" s="592"/>
      <c r="T185" s="722"/>
      <c r="U185" s="634"/>
    </row>
    <row r="186" spans="2:21" x14ac:dyDescent="0.25">
      <c r="B186" s="1213" t="s">
        <v>1838</v>
      </c>
      <c r="C186" s="1213"/>
      <c r="D186" s="1213"/>
      <c r="E186" s="1213"/>
      <c r="F186" s="785"/>
      <c r="G186" s="791">
        <f>COUNT(G188)</f>
        <v>0</v>
      </c>
      <c r="H186" s="791">
        <f>COUNTIF(H188:H189,Hoja1!$J$2)</f>
        <v>0</v>
      </c>
      <c r="I186" s="786"/>
      <c r="J186" s="785">
        <f>+J188</f>
        <v>0</v>
      </c>
      <c r="K186" s="787" t="e">
        <f>J186/F186</f>
        <v>#DIV/0!</v>
      </c>
      <c r="L186" s="785">
        <f>+L188</f>
        <v>0</v>
      </c>
      <c r="M186" s="785">
        <f>SUM(M188)</f>
        <v>0</v>
      </c>
      <c r="N186" s="788"/>
      <c r="O186" s="789" t="str">
        <f>IF(ISERROR(VLOOKUP(B186,'Base de Datos'!$C$7:$N$315,8,0))=TRUE," ",(VLOOKUP(B186,'Base de Datos'!$C$7:$N$315,8,0)))</f>
        <v xml:space="preserve"> </v>
      </c>
      <c r="P186" s="790"/>
      <c r="Q186" s="789" t="str">
        <f>IF(ISERROR(VLOOKUP(B186,'Base de Datos'!$C$7:$N$315,9,0))=TRUE," ",(VLOOKUP(B186,'Base de Datos'!$C$7:$N$315,9,0)))</f>
        <v xml:space="preserve"> </v>
      </c>
      <c r="R186" s="789" t="str">
        <f>IF(ISERROR(VLOOKUP(B186,'Base de Datos'!$C$7:$N$315,10,0))=TRUE," ",(VLOOKUP(B186,'Base de Datos'!$C$7:$N$315,10,0)))</f>
        <v xml:space="preserve"> </v>
      </c>
      <c r="S186" s="790"/>
      <c r="T186" s="722"/>
      <c r="U186" s="634"/>
    </row>
    <row r="187" spans="2:21" s="615" customFormat="1" ht="24" outlineLevel="1" x14ac:dyDescent="0.25">
      <c r="B187" s="627" t="s">
        <v>2343</v>
      </c>
      <c r="C187" s="627"/>
      <c r="D187" s="627" t="s">
        <v>912</v>
      </c>
      <c r="E187" s="627" t="s">
        <v>1822</v>
      </c>
      <c r="F187" s="776" t="s">
        <v>1846</v>
      </c>
      <c r="G187" s="812" t="s">
        <v>2345</v>
      </c>
      <c r="H187" s="812" t="s">
        <v>2349</v>
      </c>
      <c r="I187" s="534" t="s">
        <v>2350</v>
      </c>
      <c r="J187" s="627" t="s">
        <v>1845</v>
      </c>
      <c r="K187" s="612"/>
      <c r="L187" s="627" t="s">
        <v>1939</v>
      </c>
      <c r="M187" s="627" t="s">
        <v>1940</v>
      </c>
      <c r="N187" s="777" t="s">
        <v>1122</v>
      </c>
      <c r="O187" s="778" t="s">
        <v>1847</v>
      </c>
      <c r="P187" s="627" t="s">
        <v>1848</v>
      </c>
      <c r="Q187" s="627" t="s">
        <v>1849</v>
      </c>
      <c r="R187" s="627" t="s">
        <v>375</v>
      </c>
      <c r="S187" s="627" t="s">
        <v>1850</v>
      </c>
      <c r="T187" s="722"/>
      <c r="U187" s="779"/>
    </row>
    <row r="188" spans="2:21" s="615" customFormat="1" outlineLevel="1" x14ac:dyDescent="0.25">
      <c r="B188" s="627"/>
      <c r="C188" s="627"/>
      <c r="D188" s="614"/>
      <c r="E188" s="614"/>
      <c r="F188" s="580"/>
      <c r="G188" s="812"/>
      <c r="H188" s="812"/>
      <c r="I188" s="833" t="str">
        <f ca="1">IF(H188=Hoja1!$J$2," ",(IF(MONTH(G188)=MONTH(TODAY()),IF(DAY(G188)&gt;DAY(TODAY()),"Quedan "&amp;ABS(DAY(G188)-DAY(TODAY()))&amp;" Días","Hace "&amp;ABS(DAY(G188)-DAY(TODAY()))&amp;" Días"),"")))</f>
        <v/>
      </c>
      <c r="J188" s="580"/>
      <c r="K188" s="612"/>
      <c r="L188" s="580"/>
      <c r="M188" s="614"/>
      <c r="N188" s="695"/>
      <c r="O188" s="613"/>
      <c r="P188" s="614"/>
      <c r="Q188" s="613"/>
      <c r="R188" s="613"/>
      <c r="S188" s="614"/>
      <c r="T188" s="722"/>
      <c r="U188" s="779"/>
    </row>
    <row r="189" spans="2:21" s="615" customFormat="1" outlineLevel="1" x14ac:dyDescent="0.25">
      <c r="B189" s="627"/>
      <c r="C189" s="627"/>
      <c r="D189" s="614"/>
      <c r="E189" s="614"/>
      <c r="F189" s="580"/>
      <c r="G189" s="812"/>
      <c r="H189" s="812"/>
      <c r="I189" s="580"/>
      <c r="J189" s="580"/>
      <c r="K189" s="612"/>
      <c r="L189" s="580"/>
      <c r="M189" s="614"/>
      <c r="N189" s="695"/>
      <c r="O189" s="613"/>
      <c r="P189" s="614"/>
      <c r="Q189" s="613"/>
      <c r="R189" s="613"/>
      <c r="S189" s="614"/>
      <c r="T189" s="722"/>
      <c r="U189" s="779"/>
    </row>
    <row r="190" spans="2:21" x14ac:dyDescent="0.25">
      <c r="B190" s="1183" t="s">
        <v>1688</v>
      </c>
      <c r="C190" s="1183"/>
      <c r="D190" s="1183"/>
      <c r="E190" s="1183"/>
      <c r="F190" s="541"/>
      <c r="G190" s="829">
        <f t="shared" ref="G190:H194" si="14">+G191</f>
        <v>9</v>
      </c>
      <c r="H190" s="829">
        <f t="shared" si="14"/>
        <v>0</v>
      </c>
      <c r="I190" s="542"/>
      <c r="J190" s="541">
        <f t="shared" ref="J190:M194" si="15">+J191</f>
        <v>4598191000</v>
      </c>
      <c r="K190" s="583" t="e">
        <f t="shared" si="15"/>
        <v>#DIV/0!</v>
      </c>
      <c r="L190" s="541">
        <f t="shared" si="15"/>
        <v>610960000</v>
      </c>
      <c r="M190" s="541">
        <f t="shared" si="15"/>
        <v>-5209151000</v>
      </c>
      <c r="N190" s="674"/>
      <c r="O190" s="576"/>
      <c r="P190" s="571"/>
      <c r="Q190" s="577" t="str">
        <f>IF(ISERROR(VLOOKUP(B190,'Base de Datos'!$C$7:$N$315,9,0))=TRUE," ",(VLOOKUP(B190,'Base de Datos'!$C$7:$N$315,9,0)))</f>
        <v xml:space="preserve"> </v>
      </c>
      <c r="R190" s="577" t="str">
        <f>IF(ISERROR(VLOOKUP(B190,'Base de Datos'!$C$7:$N$315,10,0))=TRUE," ",(VLOOKUP(B190,'Base de Datos'!$C$7:$N$315,10,0)))</f>
        <v xml:space="preserve"> </v>
      </c>
      <c r="S190" s="571"/>
      <c r="T190" s="722"/>
      <c r="U190" s="634"/>
    </row>
    <row r="191" spans="2:21" x14ac:dyDescent="0.25">
      <c r="B191" s="1182" t="s">
        <v>1687</v>
      </c>
      <c r="C191" s="1182"/>
      <c r="D191" s="1182"/>
      <c r="E191" s="1182"/>
      <c r="F191" s="539"/>
      <c r="G191" s="830">
        <f t="shared" si="14"/>
        <v>9</v>
      </c>
      <c r="H191" s="830">
        <f t="shared" si="14"/>
        <v>0</v>
      </c>
      <c r="I191" s="540"/>
      <c r="J191" s="543">
        <f t="shared" si="15"/>
        <v>4598191000</v>
      </c>
      <c r="K191" s="601" t="e">
        <f t="shared" si="15"/>
        <v>#DIV/0!</v>
      </c>
      <c r="L191" s="543">
        <f t="shared" si="15"/>
        <v>610960000</v>
      </c>
      <c r="M191" s="543">
        <f t="shared" si="15"/>
        <v>-5209151000</v>
      </c>
      <c r="N191" s="689"/>
      <c r="O191" s="575" t="str">
        <f>IF(ISERROR(VLOOKUP(B191,'Base de Datos'!$C$7:$N$315,8,0))=TRUE," ",(VLOOKUP(B191,'Base de Datos'!$C$7:$N$315,8,0)))</f>
        <v xml:space="preserve"> </v>
      </c>
      <c r="P191" s="569"/>
      <c r="Q191" s="575" t="str">
        <f>IF(ISERROR(VLOOKUP(B191,'Base de Datos'!$C$7:$N$315,9,0))=TRUE," ",(VLOOKUP(B191,'Base de Datos'!$C$7:$N$315,9,0)))</f>
        <v xml:space="preserve"> </v>
      </c>
      <c r="R191" s="575" t="str">
        <f>IF(ISERROR(VLOOKUP(B191,'Base de Datos'!$C$7:$N$315,10,0))=TRUE," ",(VLOOKUP(B191,'Base de Datos'!$C$7:$N$315,10,0)))</f>
        <v xml:space="preserve"> </v>
      </c>
      <c r="S191" s="569"/>
      <c r="T191" s="722"/>
      <c r="U191" s="634"/>
    </row>
    <row r="192" spans="2:21" x14ac:dyDescent="0.25">
      <c r="B192" s="1182" t="s">
        <v>1676</v>
      </c>
      <c r="C192" s="1182"/>
      <c r="D192" s="1182"/>
      <c r="E192" s="1182"/>
      <c r="F192" s="543"/>
      <c r="G192" s="823">
        <f t="shared" si="14"/>
        <v>9</v>
      </c>
      <c r="H192" s="823">
        <f t="shared" si="14"/>
        <v>0</v>
      </c>
      <c r="I192" s="540"/>
      <c r="J192" s="543">
        <f t="shared" si="15"/>
        <v>4598191000</v>
      </c>
      <c r="K192" s="601" t="e">
        <f t="shared" si="15"/>
        <v>#DIV/0!</v>
      </c>
      <c r="L192" s="543">
        <f t="shared" si="15"/>
        <v>610960000</v>
      </c>
      <c r="M192" s="543">
        <f t="shared" si="15"/>
        <v>-5209151000</v>
      </c>
      <c r="N192" s="689"/>
      <c r="O192" s="575" t="str">
        <f>IF(ISERROR(VLOOKUP(B192,'Base de Datos'!$C$7:$N$315,8,0))=TRUE," ",(VLOOKUP(B192,'Base de Datos'!$C$7:$N$315,8,0)))</f>
        <v xml:space="preserve"> </v>
      </c>
      <c r="P192" s="569"/>
      <c r="Q192" s="575" t="str">
        <f>IF(ISERROR(VLOOKUP(B192,'Base de Datos'!$C$7:$N$315,9,0))=TRUE," ",(VLOOKUP(B192,'Base de Datos'!$C$7:$N$315,9,0)))</f>
        <v xml:space="preserve"> </v>
      </c>
      <c r="R192" s="575" t="str">
        <f>IF(ISERROR(VLOOKUP(B192,'Base de Datos'!$C$7:$N$315,10,0))=TRUE," ",(VLOOKUP(B192,'Base de Datos'!$C$7:$N$315,10,0)))</f>
        <v xml:space="preserve"> </v>
      </c>
      <c r="S192" s="569"/>
      <c r="T192" s="722"/>
      <c r="U192" s="634"/>
    </row>
    <row r="193" spans="2:21" x14ac:dyDescent="0.25">
      <c r="B193" s="1180" t="s">
        <v>1837</v>
      </c>
      <c r="C193" s="1180"/>
      <c r="D193" s="1180"/>
      <c r="E193" s="1180"/>
      <c r="F193" s="543"/>
      <c r="G193" s="823">
        <f t="shared" si="14"/>
        <v>9</v>
      </c>
      <c r="H193" s="823">
        <f t="shared" si="14"/>
        <v>0</v>
      </c>
      <c r="I193" s="540"/>
      <c r="J193" s="543">
        <f t="shared" si="15"/>
        <v>4598191000</v>
      </c>
      <c r="K193" s="601" t="e">
        <f t="shared" si="15"/>
        <v>#DIV/0!</v>
      </c>
      <c r="L193" s="543">
        <f t="shared" si="15"/>
        <v>610960000</v>
      </c>
      <c r="M193" s="543">
        <f t="shared" si="15"/>
        <v>-5209151000</v>
      </c>
      <c r="N193" s="689"/>
      <c r="O193" s="575" t="str">
        <f>IF(ISERROR(VLOOKUP(B193,'Base de Datos'!$C$7:$N$315,8,0))=TRUE," ",(VLOOKUP(B193,'Base de Datos'!$C$7:$N$315,8,0)))</f>
        <v xml:space="preserve"> </v>
      </c>
      <c r="P193" s="569"/>
      <c r="Q193" s="575" t="str">
        <f>IF(ISERROR(VLOOKUP(B193,'Base de Datos'!$C$7:$N$315,9,0))=TRUE," ",(VLOOKUP(B193,'Base de Datos'!$C$7:$N$315,9,0)))</f>
        <v xml:space="preserve"> </v>
      </c>
      <c r="R193" s="575" t="str">
        <f>IF(ISERROR(VLOOKUP(B193,'Base de Datos'!$C$7:$N$315,10,0))=TRUE," ",(VLOOKUP(B193,'Base de Datos'!$C$7:$N$315,10,0)))</f>
        <v xml:space="preserve"> </v>
      </c>
      <c r="S193" s="569"/>
      <c r="T193" s="722"/>
      <c r="U193" s="634"/>
    </row>
    <row r="194" spans="2:21" x14ac:dyDescent="0.25">
      <c r="B194" s="1180" t="s">
        <v>1836</v>
      </c>
      <c r="C194" s="1180"/>
      <c r="D194" s="1180"/>
      <c r="E194" s="1180"/>
      <c r="F194" s="543"/>
      <c r="G194" s="823">
        <f t="shared" si="14"/>
        <v>9</v>
      </c>
      <c r="H194" s="823">
        <f t="shared" si="14"/>
        <v>0</v>
      </c>
      <c r="I194" s="540"/>
      <c r="J194" s="543">
        <f t="shared" si="15"/>
        <v>4598191000</v>
      </c>
      <c r="K194" s="601" t="e">
        <f t="shared" si="15"/>
        <v>#DIV/0!</v>
      </c>
      <c r="L194" s="543">
        <f t="shared" si="15"/>
        <v>610960000</v>
      </c>
      <c r="M194" s="543">
        <f t="shared" si="15"/>
        <v>-5209151000</v>
      </c>
      <c r="N194" s="689"/>
      <c r="O194" s="575" t="str">
        <f>IF(ISERROR(VLOOKUP(B194,'Base de Datos'!$C$7:$N$315,8,0))=TRUE," ",(VLOOKUP(B194,'Base de Datos'!$C$7:$N$315,8,0)))</f>
        <v xml:space="preserve"> </v>
      </c>
      <c r="P194" s="569"/>
      <c r="Q194" s="575" t="str">
        <f>IF(ISERROR(VLOOKUP(B194,'Base de Datos'!$C$7:$N$315,9,0))=TRUE," ",(VLOOKUP(B194,'Base de Datos'!$C$7:$N$315,9,0)))</f>
        <v xml:space="preserve"> </v>
      </c>
      <c r="R194" s="575" t="str">
        <f>IF(ISERROR(VLOOKUP(B194,'Base de Datos'!$C$7:$N$315,10,0))=TRUE," ",(VLOOKUP(B194,'Base de Datos'!$C$7:$N$315,10,0)))</f>
        <v xml:space="preserve"> </v>
      </c>
      <c r="S194" s="569"/>
      <c r="T194" s="722"/>
      <c r="U194" s="634"/>
    </row>
    <row r="195" spans="2:21" x14ac:dyDescent="0.25">
      <c r="B195" s="1181" t="s">
        <v>1679</v>
      </c>
      <c r="C195" s="1181"/>
      <c r="D195" s="1181"/>
      <c r="E195" s="1181"/>
      <c r="F195" s="581"/>
      <c r="G195" s="784">
        <f>+G197+G200</f>
        <v>9</v>
      </c>
      <c r="H195" s="784">
        <f>+H197+H200</f>
        <v>0</v>
      </c>
      <c r="I195" s="586"/>
      <c r="J195" s="581">
        <f>+J197+J200</f>
        <v>4598191000</v>
      </c>
      <c r="K195" s="603" t="e">
        <f>J195/F195</f>
        <v>#DIV/0!</v>
      </c>
      <c r="L195" s="581">
        <f>+L197+L200</f>
        <v>610960000</v>
      </c>
      <c r="M195" s="581">
        <f>+F195-J195-L195</f>
        <v>-5209151000</v>
      </c>
      <c r="N195" s="684"/>
      <c r="O195" s="591" t="str">
        <f>IF(ISERROR(VLOOKUP(B195,'Base de Datos'!$C$7:$N$315,8,0))=TRUE," ",(VLOOKUP(B195,'Base de Datos'!$C$7:$N$315,8,0)))</f>
        <v xml:space="preserve"> </v>
      </c>
      <c r="P195" s="592"/>
      <c r="Q195" s="591" t="str">
        <f>IF(ISERROR(VLOOKUP(B195,'Base de Datos'!$C$7:$N$315,9,0))=TRUE," ",(VLOOKUP(B195,'Base de Datos'!$C$7:$N$315,9,0)))</f>
        <v xml:space="preserve"> </v>
      </c>
      <c r="R195" s="591" t="str">
        <f>IF(ISERROR(VLOOKUP(B195,'Base de Datos'!$C$7:$N$315,10,0))=TRUE," ",(VLOOKUP(B195,'Base de Datos'!$C$7:$N$315,10,0)))</f>
        <v xml:space="preserve"> </v>
      </c>
      <c r="S195" s="592"/>
      <c r="T195" s="722"/>
      <c r="U195" s="634"/>
    </row>
    <row r="196" spans="2:21" ht="24" outlineLevel="1" x14ac:dyDescent="0.25">
      <c r="B196" s="627" t="s">
        <v>2343</v>
      </c>
      <c r="C196" s="627"/>
      <c r="D196" s="627" t="s">
        <v>912</v>
      </c>
      <c r="E196" s="627" t="s">
        <v>1822</v>
      </c>
      <c r="F196" s="776" t="s">
        <v>1846</v>
      </c>
      <c r="G196" s="812" t="s">
        <v>2345</v>
      </c>
      <c r="H196" s="812" t="s">
        <v>2349</v>
      </c>
      <c r="I196" s="534" t="s">
        <v>2350</v>
      </c>
      <c r="J196" s="627" t="s">
        <v>1845</v>
      </c>
      <c r="K196" s="612"/>
      <c r="L196" s="627" t="s">
        <v>1939</v>
      </c>
      <c r="M196" s="627" t="s">
        <v>1940</v>
      </c>
      <c r="N196" s="777" t="s">
        <v>1122</v>
      </c>
      <c r="O196" s="778" t="s">
        <v>1847</v>
      </c>
      <c r="P196" s="627" t="s">
        <v>1848</v>
      </c>
      <c r="Q196" s="627" t="s">
        <v>1849</v>
      </c>
      <c r="R196" s="627" t="s">
        <v>375</v>
      </c>
      <c r="S196" s="627" t="s">
        <v>1850</v>
      </c>
      <c r="T196" s="722"/>
      <c r="U196" s="634"/>
    </row>
    <row r="197" spans="2:21" outlineLevel="1" x14ac:dyDescent="0.25">
      <c r="B197" s="616"/>
      <c r="C197" s="616"/>
      <c r="D197" s="1182" t="s">
        <v>1910</v>
      </c>
      <c r="E197" s="1182"/>
      <c r="F197" s="618">
        <f>+F198</f>
        <v>0</v>
      </c>
      <c r="G197" s="823">
        <f>G198</f>
        <v>0</v>
      </c>
      <c r="H197" s="823">
        <f>H198</f>
        <v>0</v>
      </c>
      <c r="I197" s="540"/>
      <c r="J197" s="622">
        <f>+J198</f>
        <v>0</v>
      </c>
      <c r="K197" s="601" t="e">
        <f>+J197/F197</f>
        <v>#DIV/0!</v>
      </c>
      <c r="L197" s="622">
        <f>+L198</f>
        <v>0</v>
      </c>
      <c r="M197" s="622">
        <f>+M198</f>
        <v>0</v>
      </c>
      <c r="N197" s="692"/>
      <c r="O197" s="575" t="str">
        <f>IF(ISERROR(VLOOKUP(B197,'Base de Datos'!$C$7:$N$315,8,0))=TRUE," ",(VLOOKUP(B197,'Base de Datos'!$C$7:$N$315,8,0)))</f>
        <v xml:space="preserve"> </v>
      </c>
      <c r="P197" s="569"/>
      <c r="Q197" s="575" t="str">
        <f>IF(ISERROR(VLOOKUP(B197,'Base de Datos'!$C$7:$N$315,9,0))=TRUE," ",(VLOOKUP(B197,'Base de Datos'!$C$7:$N$315,9,0)))</f>
        <v xml:space="preserve"> </v>
      </c>
      <c r="R197" s="575" t="str">
        <f>IF(ISERROR(VLOOKUP(B197,'Base de Datos'!$C$7:$N$315,10,0))=TRUE," ",(VLOOKUP(B197,'Base de Datos'!$C$7:$N$315,10,0)))</f>
        <v xml:space="preserve"> </v>
      </c>
      <c r="S197" s="569"/>
      <c r="T197" s="722"/>
      <c r="U197" s="634"/>
    </row>
    <row r="198" spans="2:21" ht="24.75" customHeight="1" outlineLevel="1" x14ac:dyDescent="0.25">
      <c r="B198" s="537"/>
      <c r="C198" s="834"/>
      <c r="D198" s="1209" t="s">
        <v>1911</v>
      </c>
      <c r="E198" s="1210"/>
      <c r="F198" s="664"/>
      <c r="G198" s="821">
        <f>COUNT(G199)</f>
        <v>0</v>
      </c>
      <c r="H198" s="821">
        <f>COUNTIF(H199:H199,Hoja1!$J$2)</f>
        <v>0</v>
      </c>
      <c r="I198" s="621"/>
      <c r="J198" s="620">
        <f>SUM(J199)</f>
        <v>0</v>
      </c>
      <c r="K198" s="664"/>
      <c r="L198" s="620">
        <f>SUM(L199)</f>
        <v>0</v>
      </c>
      <c r="M198" s="620">
        <f>+F198-J198-L198</f>
        <v>0</v>
      </c>
      <c r="N198" s="696"/>
      <c r="O198" s="625" t="str">
        <f>IF(ISERROR(VLOOKUP(B198,'Base de Datos'!$C$7:$N$315,8,0))=TRUE," ",(VLOOKUP(B198,'Base de Datos'!$C$7:$N$315,8,0)))</f>
        <v xml:space="preserve"> </v>
      </c>
      <c r="P198" s="772"/>
      <c r="Q198" s="625" t="str">
        <f>IF(ISERROR(VLOOKUP(B198,'Base de Datos'!$C$7:$N$315,9,0))=TRUE," ",(VLOOKUP(B198,'Base de Datos'!$C$7:$N$315,9,0)))</f>
        <v xml:space="preserve"> </v>
      </c>
      <c r="R198" s="625" t="str">
        <f>IF(ISERROR(VLOOKUP(B198,'Base de Datos'!$C$7:$N$315,10,0))=TRUE," ",(VLOOKUP(B198,'Base de Datos'!$C$7:$N$315,10,0)))</f>
        <v xml:space="preserve"> </v>
      </c>
      <c r="S198" s="772"/>
      <c r="T198" s="722"/>
      <c r="U198" s="634"/>
    </row>
    <row r="199" spans="2:21" outlineLevel="1" x14ac:dyDescent="0.25">
      <c r="B199" s="537"/>
      <c r="C199" s="537"/>
      <c r="D199" s="533"/>
      <c r="E199" s="617"/>
      <c r="F199" s="536"/>
      <c r="G199" s="813"/>
      <c r="H199" s="812"/>
      <c r="I199" s="833" t="str">
        <f ca="1">IF(H199=Hoja1!$J$2," ",(IF(MONTH(G199)=MONTH(TODAY()),IF(DAY(G199)&gt;DAY(TODAY()),"Quedan "&amp;ABS(DAY(G199)-DAY(TODAY()))&amp;" Días","Hace "&amp;ABS(DAY(G199)-DAY(TODAY()))&amp;" Días"),"")))</f>
        <v/>
      </c>
      <c r="J199" s="536" t="str">
        <f>IF(ISERROR(VLOOKUP(C199,'Base de Datos'!$D$7:$N$4092,6,0))=TRUE,"Sin Celebrar",(VLOOKUP(C199,'Base de Datos'!$D$7:$N$4092,6,0)))</f>
        <v>Sin Celebrar</v>
      </c>
      <c r="K199" s="536"/>
      <c r="L199" s="536">
        <f>IF(J199=$W$7,F199, " ")</f>
        <v>0</v>
      </c>
      <c r="M199" s="536" t="str">
        <f>IF(J199&lt;F199,(F199-J199)," ")</f>
        <v xml:space="preserve"> </v>
      </c>
      <c r="N199" s="719" t="str">
        <f>IF(ISERROR(VLOOKUP(C199,'Base de Datos'!$D$7:$K$1048576,7,0))=TRUE," ",(VLOOKUP(C199,'Base de Datos'!$D$7:$K$1048576,7,0)))</f>
        <v xml:space="preserve"> </v>
      </c>
      <c r="O199" s="719" t="str">
        <f>IF(ISERROR(VLOOKUP(C199,'Base de Datos'!$D$7:$K$1048576,9,0))=TRUE," ",(VLOOKUP(C199,'Base de Datos'!$D$7:$K$1048576,9,0)))</f>
        <v xml:space="preserve"> </v>
      </c>
      <c r="P199" s="627"/>
      <c r="Q199" s="551" t="str">
        <f>IF(ISERROR(VLOOKUP(C199,'Base de Datos'!$D$7:$N$4077,10,0))=TRUE," ",(VLOOKUP(C199,'Base de Datos'!$D$7:$N$4077,10,0)))</f>
        <v xml:space="preserve"> </v>
      </c>
      <c r="R199" s="551" t="str">
        <f>IF(ISERROR(VLOOKUP(C199,'Base de Datos'!$D$7:$N$4077,11,0))=TRUE," ",(VLOOKUP(C199,'Base de Datos'!$D$7:$N$4077,11,0)))</f>
        <v xml:space="preserve"> </v>
      </c>
      <c r="S199" s="533"/>
      <c r="T199" s="722"/>
      <c r="U199" s="634"/>
    </row>
    <row r="200" spans="2:21" outlineLevel="1" x14ac:dyDescent="0.25">
      <c r="B200" s="616"/>
      <c r="C200" s="616"/>
      <c r="D200" s="1182" t="s">
        <v>1914</v>
      </c>
      <c r="E200" s="1182"/>
      <c r="F200" s="543">
        <f>+F201+F204+F207+F209+F220</f>
        <v>5332060000</v>
      </c>
      <c r="G200" s="823">
        <f>G201+G204+G207+G209+G220</f>
        <v>9</v>
      </c>
      <c r="H200" s="823">
        <f>H201+H204+H207+H209+H220</f>
        <v>0</v>
      </c>
      <c r="I200" s="631"/>
      <c r="J200" s="543">
        <f>+J201+J204+J207+J209+J220</f>
        <v>4598191000</v>
      </c>
      <c r="K200" s="601">
        <f>+J200/F200</f>
        <v>0.86236670255023384</v>
      </c>
      <c r="L200" s="543">
        <f>+L201+L204+L207+L209+L220</f>
        <v>610960000</v>
      </c>
      <c r="M200" s="543">
        <f>+F200-J200-L200</f>
        <v>122909000</v>
      </c>
      <c r="N200" s="689"/>
      <c r="O200" s="575" t="str">
        <f>IF(ISERROR(VLOOKUP(B200,'Base de Datos'!$C$7:$N$315,8,0))=TRUE," ",(VLOOKUP(B200,'Base de Datos'!$C$7:$N$315,8,0)))</f>
        <v xml:space="preserve"> </v>
      </c>
      <c r="P200" s="569"/>
      <c r="Q200" s="575" t="str">
        <f>IF(ISERROR(VLOOKUP(B200,'Base de Datos'!$C$7:$N$315,9,0))=TRUE," ",(VLOOKUP(B200,'Base de Datos'!$C$7:$N$315,9,0)))</f>
        <v xml:space="preserve"> </v>
      </c>
      <c r="R200" s="575" t="str">
        <f>IF(ISERROR(VLOOKUP(B200,'Base de Datos'!$C$7:$N$315,10,0))=TRUE," ",(VLOOKUP(B200,'Base de Datos'!$C$7:$N$315,10,0)))</f>
        <v xml:space="preserve"> </v>
      </c>
      <c r="S200" s="569"/>
      <c r="T200" s="722"/>
      <c r="U200" s="634"/>
    </row>
    <row r="201" spans="2:21" ht="23.25" customHeight="1" outlineLevel="1" x14ac:dyDescent="0.25">
      <c r="B201" s="537"/>
      <c r="C201" s="537"/>
      <c r="D201" s="1201" t="s">
        <v>1915</v>
      </c>
      <c r="E201" s="1201"/>
      <c r="F201" s="619">
        <f>+F203</f>
        <v>0</v>
      </c>
      <c r="G201" s="821">
        <f>COUNT(G203)</f>
        <v>0</v>
      </c>
      <c r="H201" s="821">
        <f>COUNTIF(H203:H203,Hoja1!$J$2)</f>
        <v>0</v>
      </c>
      <c r="I201" s="772"/>
      <c r="J201" s="620">
        <f>SUM(J203)</f>
        <v>0</v>
      </c>
      <c r="K201" s="623" t="e">
        <f>+J201/F201</f>
        <v>#DIV/0!</v>
      </c>
      <c r="L201" s="620">
        <f>SUM(L203)</f>
        <v>0</v>
      </c>
      <c r="M201" s="649">
        <f>SUM(M203)</f>
        <v>0</v>
      </c>
      <c r="N201" s="694"/>
      <c r="O201" s="625" t="str">
        <f>IF(ISERROR(VLOOKUP(B201,'Base de Datos'!$C$7:$N$315,8,0))=TRUE," ",(VLOOKUP(B201,'Base de Datos'!$C$7:$N$315,8,0)))</f>
        <v xml:space="preserve"> </v>
      </c>
      <c r="P201" s="772"/>
      <c r="Q201" s="625" t="str">
        <f>IF(ISERROR(VLOOKUP(B201,'Base de Datos'!$C$7:$N$315,9,0))=TRUE," ",(VLOOKUP(B201,'Base de Datos'!$C$7:$N$315,9,0)))</f>
        <v xml:space="preserve"> </v>
      </c>
      <c r="R201" s="625" t="str">
        <f>IF(ISERROR(VLOOKUP(B201,'Base de Datos'!$C$7:$N$315,10,0))=TRUE," ",(VLOOKUP(B201,'Base de Datos'!$C$7:$N$315,10,0)))</f>
        <v xml:space="preserve"> </v>
      </c>
      <c r="S201" s="772"/>
      <c r="T201" s="722"/>
      <c r="U201" s="634"/>
    </row>
    <row r="202" spans="2:21" s="615" customFormat="1" outlineLevel="1" x14ac:dyDescent="0.25">
      <c r="B202" s="627">
        <v>154</v>
      </c>
      <c r="C202" s="627"/>
      <c r="D202" s="628"/>
      <c r="E202" s="628" t="s">
        <v>2405</v>
      </c>
      <c r="F202" s="580">
        <v>360000000</v>
      </c>
      <c r="G202" s="812">
        <v>42384</v>
      </c>
      <c r="H202" s="812"/>
      <c r="I202" s="833" t="str">
        <f ca="1">IF(H202=Hoja1!$J$2," ",(IF(MONTH(G202)=MONTH(TODAY()),IF(DAY(G202)&gt;DAY(TODAY()),"Quedan "&amp;ABS(DAY(G202)-DAY(TODAY()))&amp;" Días","Hace "&amp;ABS(DAY(G202)-DAY(TODAY()))&amp;" Días"),"")))</f>
        <v/>
      </c>
      <c r="J202" s="536" t="str">
        <f>IF(ISERROR(VLOOKUP(C202,'Base de Datos'!$D$7:$N$4092,6,0))=TRUE,"Sin Celebrar",(VLOOKUP(C202,'Base de Datos'!$D$7:$N$4092,6,0)))</f>
        <v>Sin Celebrar</v>
      </c>
      <c r="K202" s="536"/>
      <c r="L202" s="536">
        <f>IF(J202=$W$7,F202, " ")</f>
        <v>360000000</v>
      </c>
      <c r="M202" s="536" t="str">
        <f>IF(J202&lt;F202,(F202-J202)," ")</f>
        <v xml:space="preserve"> </v>
      </c>
      <c r="N202" s="719" t="str">
        <f>IF(ISERROR(VLOOKUP(C202,'Base de Datos'!$D$7:$K$1048576,7,0))=TRUE," ",(VLOOKUP(C202,'Base de Datos'!$D$7:$K$1048576,7,0)))</f>
        <v xml:space="preserve"> </v>
      </c>
      <c r="O202" s="551" t="str">
        <f>IF(ISERROR(VLOOKUP(C202,'Base de Datos'!$D$7:$N$4077,9,0))=TRUE," ",(VLOOKUP(C202,'Base de Datos'!$D$7:$N$4077,9,0)))</f>
        <v xml:space="preserve"> </v>
      </c>
      <c r="P202" s="613" t="e">
        <f>VLOOKUP(B202,#REF!,13,0)</f>
        <v>#REF!</v>
      </c>
      <c r="Q202" s="551" t="str">
        <f>IF(ISERROR(VLOOKUP(C202,'Base de Datos'!$D$7:$N$4077,10,0))=TRUE," ",(VLOOKUP(C202,'Base de Datos'!$D$7:$N$4077,10,0)))</f>
        <v xml:space="preserve"> </v>
      </c>
      <c r="R202" s="551" t="str">
        <f>IF(ISERROR(VLOOKUP(C202,'Base de Datos'!$D$7:$N$4077,11,0))=TRUE," ",(VLOOKUP(C202,'Base de Datos'!$D$7:$N$4077,11,0)))</f>
        <v xml:space="preserve"> </v>
      </c>
      <c r="S202" s="533"/>
      <c r="T202" s="722"/>
      <c r="U202" s="779"/>
    </row>
    <row r="203" spans="2:21" outlineLevel="1" x14ac:dyDescent="0.25">
      <c r="B203" s="537"/>
      <c r="C203" s="537"/>
      <c r="D203" s="617"/>
      <c r="E203" s="617"/>
      <c r="F203" s="580"/>
      <c r="G203" s="812"/>
      <c r="H203" s="812"/>
      <c r="I203" s="833" t="str">
        <f ca="1">IF(H203=Hoja1!$J$2," ",(IF(MONTH(G203)=MONTH(TODAY()),IF(DAY(G203)&gt;DAY(TODAY()),"Quedan "&amp;ABS(DAY(G203)-DAY(TODAY()))&amp;" Días","Hace "&amp;ABS(DAY(G203)-DAY(TODAY()))&amp;" Días"),"")))</f>
        <v/>
      </c>
      <c r="J203" s="536" t="str">
        <f>IF(ISERROR(VLOOKUP(C203,'Base de Datos'!$D$7:$N$4092,6,0))=TRUE,"Sin Celebrar",(VLOOKUP(C203,'Base de Datos'!$D$7:$N$4092,6,0)))</f>
        <v>Sin Celebrar</v>
      </c>
      <c r="K203" s="536"/>
      <c r="L203" s="536">
        <f>IF(J203=$W$7,F203, " ")</f>
        <v>0</v>
      </c>
      <c r="M203" s="536" t="str">
        <f>IF(J203&lt;F203,(F203-J203)," ")</f>
        <v xml:space="preserve"> </v>
      </c>
      <c r="N203" s="719" t="str">
        <f>IF(ISERROR(VLOOKUP(C203,'Base de Datos'!$D$7:$K$1048576,7,0))=TRUE," ",(VLOOKUP(C203,'Base de Datos'!$D$7:$K$1048576,7,0)))</f>
        <v xml:space="preserve"> </v>
      </c>
      <c r="O203" s="719" t="str">
        <f>IF(ISERROR(VLOOKUP(C203,'Base de Datos'!$D$7:$K$1048576,9,0))=TRUE," ",(VLOOKUP(C203,'Base de Datos'!$D$7:$K$1048576,9,0)))</f>
        <v xml:space="preserve"> </v>
      </c>
      <c r="P203" s="627"/>
      <c r="Q203" s="551" t="str">
        <f>IF(ISERROR(VLOOKUP(C203,'Base de Datos'!$D$7:$N$4077,10,0))=TRUE," ",(VLOOKUP(C203,'Base de Datos'!$D$7:$N$4077,10,0)))</f>
        <v xml:space="preserve"> </v>
      </c>
      <c r="R203" s="551" t="str">
        <f>IF(ISERROR(VLOOKUP(C203,'Base de Datos'!$D$7:$N$4077,11,0))=TRUE," ",(VLOOKUP(C203,'Base de Datos'!$D$7:$N$4077,11,0)))</f>
        <v xml:space="preserve"> </v>
      </c>
      <c r="S203" s="533"/>
      <c r="T203" s="722"/>
      <c r="U203" s="634"/>
    </row>
    <row r="204" spans="2:21" ht="24.75" customHeight="1" outlineLevel="1" x14ac:dyDescent="0.25">
      <c r="B204" s="537"/>
      <c r="C204" s="537"/>
      <c r="D204" s="1201" t="s">
        <v>1917</v>
      </c>
      <c r="E204" s="1201"/>
      <c r="F204" s="619">
        <f>SUM(F205:F206)</f>
        <v>444960000</v>
      </c>
      <c r="G204" s="821">
        <f>COUNT(G205:G205)</f>
        <v>1</v>
      </c>
      <c r="H204" s="821">
        <f>COUNTIF(H205:H205,Hoja1!$J$2)</f>
        <v>0</v>
      </c>
      <c r="I204" s="621"/>
      <c r="J204" s="619">
        <f>SUM(J205:J206)</f>
        <v>0</v>
      </c>
      <c r="K204" s="623">
        <f>+J204/F204</f>
        <v>0</v>
      </c>
      <c r="L204" s="619">
        <f>SUM(L205:L206)</f>
        <v>444960000</v>
      </c>
      <c r="M204" s="619">
        <f>+F204-J204-L204</f>
        <v>0</v>
      </c>
      <c r="N204" s="694"/>
      <c r="O204" s="625" t="str">
        <f>IF(ISERROR(VLOOKUP(B204,'Base de Datos'!$C$7:$N$315,8,0))=TRUE," ",(VLOOKUP(B204,'Base de Datos'!$C$7:$N$315,8,0)))</f>
        <v xml:space="preserve"> </v>
      </c>
      <c r="P204" s="772"/>
      <c r="Q204" s="625" t="str">
        <f>IF(ISERROR(VLOOKUP(B204,'Base de Datos'!$C$7:$N$315,9,0))=TRUE," ",(VLOOKUP(B204,'Base de Datos'!$C$7:$N$315,9,0)))</f>
        <v xml:space="preserve"> </v>
      </c>
      <c r="R204" s="625" t="str">
        <f>IF(ISERROR(VLOOKUP(B204,'Base de Datos'!$C$7:$N$315,10,0))=TRUE," ",(VLOOKUP(B204,'Base de Datos'!$C$7:$N$315,10,0)))</f>
        <v xml:space="preserve"> </v>
      </c>
      <c r="S204" s="772"/>
      <c r="T204" s="722"/>
      <c r="U204" s="634"/>
    </row>
    <row r="205" spans="2:21" s="615" customFormat="1" ht="24" outlineLevel="1" x14ac:dyDescent="0.25">
      <c r="B205" s="627">
        <v>151</v>
      </c>
      <c r="C205" s="627" t="str">
        <f>$W$6&amp;B205</f>
        <v>2016151</v>
      </c>
      <c r="D205" s="533" t="str">
        <f>IF(ISERROR(VLOOKUP(C205,'Base de Datos'!$D$7:$F$4092,2,0))=TRUE,"",(VLOOKUP(C205,'Base de Datos'!$D$7:$F$4092,2,0)))</f>
        <v/>
      </c>
      <c r="E205" s="628" t="s">
        <v>2338</v>
      </c>
      <c r="F205" s="580">
        <v>444960000</v>
      </c>
      <c r="G205" s="812">
        <v>42375</v>
      </c>
      <c r="H205" s="812"/>
      <c r="I205" s="833" t="str">
        <f ca="1">IF(H205=Hoja1!$J$2," ",(IF(MONTH(G205)=MONTH(TODAY()),IF(DAY(G205)&gt;DAY(TODAY()),"Quedan "&amp;ABS(DAY(G205)-DAY(TODAY()))&amp;" Días","Hace "&amp;ABS(DAY(G205)-DAY(TODAY()))&amp;" Días"),"")))</f>
        <v/>
      </c>
      <c r="J205" s="536" t="str">
        <f>IF(ISERROR(VLOOKUP(C205,'Base de Datos'!$D$7:$N$4092,6,0))=TRUE,"Sin Celebrar",(VLOOKUP(C205,'Base de Datos'!$D$7:$N$4092,6,0)))</f>
        <v>Sin Celebrar</v>
      </c>
      <c r="K205" s="580"/>
      <c r="L205" s="536">
        <f>IF(J205=$W$7,F205, " ")</f>
        <v>444960000</v>
      </c>
      <c r="M205" s="536" t="str">
        <f>IF(J205&lt;F205,(F205-J205)," ")</f>
        <v xml:space="preserve"> </v>
      </c>
      <c r="N205" s="719" t="str">
        <f>IF(ISERROR(VLOOKUP(C205,'Base de Datos'!$D$7:$K$1048576,7,0))=TRUE," ",(VLOOKUP(C205,'Base de Datos'!$D$7:$K$1048576,7,0)))</f>
        <v xml:space="preserve"> </v>
      </c>
      <c r="O205" s="551" t="str">
        <f>IF(ISERROR(VLOOKUP(C205,'Base de Datos'!$D$7:$N$4077,9,0))=TRUE," ",(VLOOKUP(C205,'Base de Datos'!$D$7:$N$4077,9,0)))</f>
        <v xml:space="preserve"> </v>
      </c>
      <c r="P205" s="613" t="e">
        <f>VLOOKUP(B205,#REF!,13,0)</f>
        <v>#REF!</v>
      </c>
      <c r="Q205" s="551" t="str">
        <f>IF(ISERROR(VLOOKUP(C205,'Base de Datos'!$D$7:$N$4077,10,0))=TRUE," ",(VLOOKUP(C205,'Base de Datos'!$D$7:$N$4077,10,0)))</f>
        <v xml:space="preserve"> </v>
      </c>
      <c r="R205" s="551" t="str">
        <f>IF(ISERROR(VLOOKUP(C205,'Base de Datos'!$D$7:$N$4077,11,0))=TRUE," ",(VLOOKUP(C205,'Base de Datos'!$D$7:$N$4077,11,0)))</f>
        <v xml:space="preserve"> </v>
      </c>
      <c r="S205" s="614" t="s">
        <v>2076</v>
      </c>
      <c r="T205" s="722"/>
      <c r="U205" s="779"/>
    </row>
    <row r="206" spans="2:21" s="615" customFormat="1" outlineLevel="1" x14ac:dyDescent="0.25">
      <c r="B206" s="627"/>
      <c r="C206" s="706"/>
      <c r="D206" s="707"/>
      <c r="E206" s="628"/>
      <c r="F206" s="580"/>
      <c r="G206" s="812"/>
      <c r="H206" s="812"/>
      <c r="I206" s="534"/>
      <c r="J206" s="580"/>
      <c r="K206" s="580"/>
      <c r="L206" s="580"/>
      <c r="M206" s="580"/>
      <c r="N206" s="780"/>
      <c r="O206" s="613"/>
      <c r="P206" s="614"/>
      <c r="Q206" s="710"/>
      <c r="R206" s="710"/>
      <c r="S206" s="614"/>
      <c r="T206" s="722"/>
      <c r="U206" s="779"/>
    </row>
    <row r="207" spans="2:21" ht="26.25" customHeight="1" outlineLevel="1" x14ac:dyDescent="0.25">
      <c r="B207" s="537"/>
      <c r="C207" s="537"/>
      <c r="D207" s="1201" t="s">
        <v>1923</v>
      </c>
      <c r="E207" s="1201"/>
      <c r="F207" s="619">
        <f>+F208</f>
        <v>0</v>
      </c>
      <c r="G207" s="821">
        <f>COUNT(G208)</f>
        <v>0</v>
      </c>
      <c r="H207" s="821">
        <f>COUNTIF(H208:H208,Hoja1!$J$2)</f>
        <v>0</v>
      </c>
      <c r="I207" s="621"/>
      <c r="J207" s="619">
        <f>SUM(J208)</f>
        <v>0</v>
      </c>
      <c r="K207" s="623" t="e">
        <f>+J207/F207</f>
        <v>#DIV/0!</v>
      </c>
      <c r="L207" s="619">
        <f>SUM(L208)</f>
        <v>0</v>
      </c>
      <c r="M207" s="619">
        <f>+F207-J207-L207</f>
        <v>0</v>
      </c>
      <c r="N207" s="694"/>
      <c r="O207" s="625" t="str">
        <f>IF(ISERROR(VLOOKUP(B207,'Base de Datos'!$C$7:$N$315,8,0))=TRUE," ",(VLOOKUP(B207,'Base de Datos'!$C$7:$N$315,8,0)))</f>
        <v xml:space="preserve"> </v>
      </c>
      <c r="P207" s="772"/>
      <c r="Q207" s="625" t="str">
        <f>IF(ISERROR(VLOOKUP(B207,'Base de Datos'!$C$7:$N$315,9,0))=TRUE," ",(VLOOKUP(B207,'Base de Datos'!$C$7:$N$315,9,0)))</f>
        <v xml:space="preserve"> </v>
      </c>
      <c r="R207" s="625" t="str">
        <f>IF(ISERROR(VLOOKUP(B207,'Base de Datos'!$C$7:$N$315,10,0))=TRUE," ",(VLOOKUP(B207,'Base de Datos'!$C$7:$N$315,10,0)))</f>
        <v xml:space="preserve"> </v>
      </c>
      <c r="S207" s="772"/>
      <c r="T207" s="722"/>
      <c r="U207" s="634"/>
    </row>
    <row r="208" spans="2:21" s="615" customFormat="1" outlineLevel="1" x14ac:dyDescent="0.25">
      <c r="B208" s="627"/>
      <c r="C208" s="706"/>
      <c r="D208" s="707"/>
      <c r="E208" s="628"/>
      <c r="F208" s="580"/>
      <c r="G208" s="812"/>
      <c r="H208" s="812"/>
      <c r="I208" s="833" t="str">
        <f ca="1">IF(H208=Hoja1!$J$2," ",(IF(MONTH(G208)=MONTH(TODAY()),IF(DAY(G208)&gt;DAY(TODAY()),"Quedan "&amp;ABS(DAY(G208)-DAY(TODAY()))&amp;" Días","Hace "&amp;ABS(DAY(G208)-DAY(TODAY()))&amp;" Días"),"")))</f>
        <v/>
      </c>
      <c r="J208" s="536" t="str">
        <f>IF(ISERROR(VLOOKUP(C208,'Base de Datos'!$D$7:$N$4092,6,0))=TRUE,"Sin Celebrar",(VLOOKUP(C208,'Base de Datos'!$D$7:$N$4092,6,0)))</f>
        <v>Sin Celebrar</v>
      </c>
      <c r="K208" s="580"/>
      <c r="L208" s="536">
        <f>IF(J208=$W$7,F208, " ")</f>
        <v>0</v>
      </c>
      <c r="M208" s="580"/>
      <c r="N208" s="719" t="str">
        <f>IF(ISERROR(VLOOKUP(C208,'Base de Datos'!$D$7:$K$1048576,7,0))=TRUE," ",(VLOOKUP(C208,'Base de Datos'!$D$7:$K$1048576,7,0)))</f>
        <v xml:space="preserve"> </v>
      </c>
      <c r="O208" s="719" t="str">
        <f>IF(ISERROR(VLOOKUP(C208,'Base de Datos'!$D$7:$K$1048576,9,0))=TRUE," ",(VLOOKUP(C208,'Base de Datos'!$D$7:$K$1048576,9,0)))</f>
        <v xml:space="preserve"> </v>
      </c>
      <c r="P208" s="627"/>
      <c r="Q208" s="551" t="str">
        <f>IF(ISERROR(VLOOKUP(C208,'Base de Datos'!$D$7:$N$4077,10,0))=TRUE," ",(VLOOKUP(C208,'Base de Datos'!$D$7:$N$4077,10,0)))</f>
        <v xml:space="preserve"> </v>
      </c>
      <c r="R208" s="551" t="str">
        <f>IF(ISERROR(VLOOKUP(C208,'Base de Datos'!$D$7:$N$4077,11,0))=TRUE," ",(VLOOKUP(C208,'Base de Datos'!$D$7:$N$4077,11,0)))</f>
        <v xml:space="preserve"> </v>
      </c>
      <c r="S208" s="614"/>
      <c r="T208" s="722"/>
      <c r="U208" s="779"/>
    </row>
    <row r="209" spans="2:21" outlineLevel="1" x14ac:dyDescent="0.25">
      <c r="B209" s="537"/>
      <c r="C209" s="537"/>
      <c r="D209" s="1200" t="s">
        <v>1925</v>
      </c>
      <c r="E209" s="1200"/>
      <c r="F209" s="619">
        <f>SUM(F210:F216)</f>
        <v>1148400000</v>
      </c>
      <c r="G209" s="821">
        <f>COUNT(G210:G216)</f>
        <v>7</v>
      </c>
      <c r="H209" s="821">
        <f>COUNTIF(H210:H216,Hoja1!$J$2)</f>
        <v>0</v>
      </c>
      <c r="I209" s="621"/>
      <c r="J209" s="619">
        <f>SUM(J210:J216)</f>
        <v>1143536000</v>
      </c>
      <c r="K209" s="623">
        <f>+J209/F209</f>
        <v>0.99576454197143849</v>
      </c>
      <c r="L209" s="619">
        <f>SUM(L210:L216)</f>
        <v>166000000</v>
      </c>
      <c r="M209" s="619">
        <f>+F209-J209-L209</f>
        <v>-161136000</v>
      </c>
      <c r="N209" s="694"/>
      <c r="O209" s="625" t="str">
        <f>IF(ISERROR(VLOOKUP(B209,'Base de Datos'!$C$7:$N$315,8,0))=TRUE," ",(VLOOKUP(B209,'Base de Datos'!$C$7:$N$315,8,0)))</f>
        <v xml:space="preserve"> </v>
      </c>
      <c r="P209" s="772"/>
      <c r="Q209" s="625" t="str">
        <f>IF(ISERROR(VLOOKUP(B209,'Base de Datos'!$C$7:$N$315,9,0))=TRUE," ",(VLOOKUP(B209,'Base de Datos'!$C$7:$N$315,9,0)))</f>
        <v xml:space="preserve"> </v>
      </c>
      <c r="R209" s="625" t="str">
        <f>IF(ISERROR(VLOOKUP(B209,'Base de Datos'!$C$7:$N$315,10,0))=TRUE," ",(VLOOKUP(B209,'Base de Datos'!$C$7:$N$315,10,0)))</f>
        <v xml:space="preserve"> </v>
      </c>
      <c r="S209" s="772"/>
      <c r="T209" s="722"/>
      <c r="U209" s="634"/>
    </row>
    <row r="210" spans="2:21" s="615" customFormat="1" ht="24" outlineLevel="1" x14ac:dyDescent="0.25">
      <c r="B210" s="627">
        <v>95</v>
      </c>
      <c r="C210" s="627" t="str">
        <f t="shared" ref="C210:C218" si="16">$W$6&amp;B210</f>
        <v>201695</v>
      </c>
      <c r="D210" s="533" t="str">
        <f>IF(ISERROR(VLOOKUP(C210,'Base de Datos'!$D$7:$F$4092,2,0))=TRUE,"",(VLOOKUP(C210,'Base de Datos'!$D$7:$F$4092,2,0)))</f>
        <v>160304-0-2016</v>
      </c>
      <c r="E210" s="707" t="s">
        <v>2339</v>
      </c>
      <c r="F210" s="580">
        <v>400000000</v>
      </c>
      <c r="G210" s="812">
        <v>42444</v>
      </c>
      <c r="H210" s="812"/>
      <c r="I210" s="833" t="str">
        <f ca="1">IF(H210=Hoja1!$J$2," ",(IF(MONTH(G210)=MONTH(TODAY()),IF(DAY(G210)&gt;DAY(TODAY()),"Quedan "&amp;ABS(DAY(G210)-DAY(TODAY()))&amp;" Días","Hace "&amp;ABS(DAY(G210)-DAY(TODAY()))&amp;" Días"),"")))</f>
        <v/>
      </c>
      <c r="J210" s="536">
        <f>IF(ISERROR(VLOOKUP(C210,'Base de Datos'!$D$7:$N$4092,6,0))=TRUE,"Sin Celebrar",(VLOOKUP(C210,'Base de Datos'!$D$7:$N$4092,6,0)))</f>
        <v>475686000</v>
      </c>
      <c r="K210" s="580"/>
      <c r="L210" s="536" t="str">
        <f t="shared" ref="L210:L216" si="17">IF(J210=$W$7,F210, " ")</f>
        <v xml:space="preserve"> </v>
      </c>
      <c r="M210" s="536" t="str">
        <f t="shared" ref="M210:M216" si="18">IF(J210&lt;F210,(F210-J210)," ")</f>
        <v xml:space="preserve"> </v>
      </c>
      <c r="N210" s="719" t="str">
        <f>IF(ISERROR(VLOOKUP(C210,'Base de Datos'!$D$7:$K$1048576,7,0))=TRUE," ",(VLOOKUP(C210,'Base de Datos'!$D$7:$K$1048576,7,0)))</f>
        <v>SDH-SIE-20-2016</v>
      </c>
      <c r="O210" s="551">
        <f>IF(ISERROR(VLOOKUP(C210,'Base de Datos'!$D$7:$N$4077,9,0))=TRUE," ",(VLOOKUP(C210,'Base de Datos'!$D$7:$N$4077,9,0)))</f>
        <v>42725</v>
      </c>
      <c r="P210" s="613" t="e">
        <f>VLOOKUP(B210,#REF!,13,0)</f>
        <v>#REF!</v>
      </c>
      <c r="Q210" s="551">
        <f>IF(ISERROR(VLOOKUP(C210,'Base de Datos'!$D$7:$N$4077,10,0))=TRUE," ",(VLOOKUP(C210,'Base de Datos'!$D$7:$N$4077,10,0)))</f>
        <v>42752</v>
      </c>
      <c r="R210" s="551">
        <f>IF(ISERROR(VLOOKUP(C210,'Base de Datos'!$D$7:$N$4077,11,0))=TRUE," ",(VLOOKUP(C210,'Base de Datos'!$D$7:$N$4077,11,0)))</f>
        <v>42872</v>
      </c>
      <c r="S210" s="614" t="s">
        <v>1992</v>
      </c>
      <c r="T210" s="722"/>
      <c r="U210" s="779"/>
    </row>
    <row r="211" spans="2:21" s="615" customFormat="1" ht="24" outlineLevel="1" x14ac:dyDescent="0.25">
      <c r="B211" s="627">
        <v>232</v>
      </c>
      <c r="C211" s="627" t="str">
        <f t="shared" si="16"/>
        <v>2016232</v>
      </c>
      <c r="D211" s="533" t="str">
        <f>IF(ISERROR(VLOOKUP(C211,'Base de Datos'!$D$7:$F$4092,2,0))=TRUE,"",(VLOOKUP(C211,'Base de Datos'!$D$7:$F$4092,2,0)))</f>
        <v>160316-0-2016</v>
      </c>
      <c r="E211" s="707" t="s">
        <v>2406</v>
      </c>
      <c r="F211" s="580">
        <v>105000000</v>
      </c>
      <c r="G211" s="812">
        <v>42415</v>
      </c>
      <c r="H211" s="812"/>
      <c r="I211" s="833" t="str">
        <f ca="1">IF(H211=Hoja1!$J$2," ",(IF(MONTH(G211)=MONTH(TODAY()),IF(DAY(G211)&gt;DAY(TODAY()),"Quedan "&amp;ABS(DAY(G211)-DAY(TODAY()))&amp;" Días","Hace "&amp;ABS(DAY(G211)-DAY(TODAY()))&amp;" Días"),"")))</f>
        <v/>
      </c>
      <c r="J211" s="536">
        <f>IF(ISERROR(VLOOKUP(C211,'Base de Datos'!$D$7:$N$4092,6,0))=TRUE,"Sin Celebrar",(VLOOKUP(C211,'Base de Datos'!$D$7:$N$4092,6,0)))</f>
        <v>46500000</v>
      </c>
      <c r="K211" s="580"/>
      <c r="L211" s="536" t="str">
        <f t="shared" si="17"/>
        <v xml:space="preserve"> </v>
      </c>
      <c r="M211" s="536">
        <f t="shared" si="18"/>
        <v>58500000</v>
      </c>
      <c r="N211" s="719" t="str">
        <f>IF(ISERROR(VLOOKUP(C211,'Base de Datos'!$D$7:$K$1048576,7,0))=TRUE," ",(VLOOKUP(C211,'Base de Datos'!$D$7:$K$1048576,7,0)))</f>
        <v>SDH-SIE-22-2016</v>
      </c>
      <c r="O211" s="551">
        <f>IF(ISERROR(VLOOKUP(C211,'Base de Datos'!$D$7:$N$4077,9,0))=TRUE," ",(VLOOKUP(C211,'Base de Datos'!$D$7:$N$4077,9,0)))</f>
        <v>42733</v>
      </c>
      <c r="P211" s="613" t="e">
        <f>VLOOKUP(B211,#REF!,13,0)</f>
        <v>#REF!</v>
      </c>
      <c r="Q211" s="551">
        <f>IF(ISERROR(VLOOKUP(C211,'Base de Datos'!$D$7:$N$4077,10,0))=TRUE," ",(VLOOKUP(C211,'Base de Datos'!$D$7:$N$4077,10,0)))</f>
        <v>42751</v>
      </c>
      <c r="R211" s="551">
        <f>IF(ISERROR(VLOOKUP(C211,'Base de Datos'!$D$7:$N$4077,11,0))=TRUE," ",(VLOOKUP(C211,'Base de Datos'!$D$7:$N$4077,11,0)))</f>
        <v>42871</v>
      </c>
      <c r="S211" s="614" t="s">
        <v>1992</v>
      </c>
      <c r="T211" s="722"/>
      <c r="U211" s="779"/>
    </row>
    <row r="212" spans="2:21" s="615" customFormat="1" ht="24" outlineLevel="1" x14ac:dyDescent="0.25">
      <c r="B212" s="627">
        <v>96</v>
      </c>
      <c r="C212" s="627" t="str">
        <f t="shared" si="16"/>
        <v>201696</v>
      </c>
      <c r="D212" s="533" t="str">
        <f>IF(ISERROR(VLOOKUP(C212,'Base de Datos'!$D$7:$F$4092,2,0))=TRUE,"",(VLOOKUP(C212,'Base de Datos'!$D$7:$F$4092,2,0)))</f>
        <v/>
      </c>
      <c r="E212" s="707" t="s">
        <v>2340</v>
      </c>
      <c r="F212" s="630">
        <v>150000000</v>
      </c>
      <c r="G212" s="778">
        <v>42461</v>
      </c>
      <c r="H212" s="812"/>
      <c r="I212" s="833" t="str">
        <f ca="1">IF(H212=Hoja1!$J$2," ",(IF(MONTH(G212)=MONTH(TODAY()),IF(DAY(G212)&gt;DAY(TODAY()),"Quedan "&amp;ABS(DAY(G212)-DAY(TODAY()))&amp;" Días","Hace "&amp;ABS(DAY(G212)-DAY(TODAY()))&amp;" Días"),"")))</f>
        <v/>
      </c>
      <c r="J212" s="536" t="str">
        <f>IF(ISERROR(VLOOKUP(C212,'Base de Datos'!$D$7:$N$4092,6,0))=TRUE,"Sin Celebrar",(VLOOKUP(C212,'Base de Datos'!$D$7:$N$4092,6,0)))</f>
        <v>Sin Celebrar</v>
      </c>
      <c r="K212" s="614"/>
      <c r="L212" s="536">
        <f t="shared" si="17"/>
        <v>150000000</v>
      </c>
      <c r="M212" s="536" t="str">
        <f t="shared" si="18"/>
        <v xml:space="preserve"> </v>
      </c>
      <c r="N212" s="719" t="str">
        <f>IF(ISERROR(VLOOKUP(C212,'Base de Datos'!$D$7:$K$1048576,7,0))=TRUE," ",(VLOOKUP(C212,'Base de Datos'!$D$7:$K$1048576,7,0)))</f>
        <v xml:space="preserve"> </v>
      </c>
      <c r="O212" s="551" t="str">
        <f>IF(ISERROR(VLOOKUP(C212,'Base de Datos'!$D$7:$N$4077,9,0))=TRUE," ",(VLOOKUP(C212,'Base de Datos'!$D$7:$N$4077,9,0)))</f>
        <v xml:space="preserve"> </v>
      </c>
      <c r="P212" s="613" t="e">
        <f>VLOOKUP(B212,#REF!,13,0)</f>
        <v>#REF!</v>
      </c>
      <c r="Q212" s="551" t="str">
        <f>IF(ISERROR(VLOOKUP(C212,'Base de Datos'!$D$7:$N$4077,10,0))=TRUE," ",(VLOOKUP(C212,'Base de Datos'!$D$7:$N$4077,10,0)))</f>
        <v xml:space="preserve"> </v>
      </c>
      <c r="R212" s="551" t="str">
        <f>IF(ISERROR(VLOOKUP(C212,'Base de Datos'!$D$7:$N$4077,11,0))=TRUE," ",(VLOOKUP(C212,'Base de Datos'!$D$7:$N$4077,11,0)))</f>
        <v xml:space="preserve"> </v>
      </c>
      <c r="S212" s="614" t="s">
        <v>1992</v>
      </c>
      <c r="T212" s="722"/>
      <c r="U212" s="779"/>
    </row>
    <row r="213" spans="2:21" s="615" customFormat="1" ht="24" outlineLevel="1" x14ac:dyDescent="0.25">
      <c r="B213" s="627">
        <v>235</v>
      </c>
      <c r="C213" s="627" t="str">
        <f t="shared" si="16"/>
        <v>2016235</v>
      </c>
      <c r="D213" s="533" t="str">
        <f>IF(ISERROR(VLOOKUP(C213,'Base de Datos'!$D$7:$F$4092,2,0))=TRUE,"",(VLOOKUP(C213,'Base de Datos'!$D$7:$F$4092,2,0)))</f>
        <v/>
      </c>
      <c r="E213" s="707" t="s">
        <v>2409</v>
      </c>
      <c r="F213" s="630">
        <v>10000000</v>
      </c>
      <c r="G213" s="778">
        <v>42415</v>
      </c>
      <c r="H213" s="812"/>
      <c r="I213" s="833" t="str">
        <f ca="1">IF(H213=Hoja1!$J$2," ",(IF(MONTH(G213)=MONTH(TODAY()),IF(DAY(G213)&gt;DAY(TODAY()),"Quedan "&amp;ABS(DAY(G213)-DAY(TODAY()))&amp;" Días","Hace "&amp;ABS(DAY(G213)-DAY(TODAY()))&amp;" Días"),"")))</f>
        <v/>
      </c>
      <c r="J213" s="536" t="str">
        <f>IF(ISERROR(VLOOKUP(C213,'Base de Datos'!$D$7:$N$4092,6,0))=TRUE,"Sin Celebrar",(VLOOKUP(C213,'Base de Datos'!$D$7:$N$4092,6,0)))</f>
        <v>Sin Celebrar</v>
      </c>
      <c r="K213" s="614"/>
      <c r="L213" s="536">
        <f t="shared" si="17"/>
        <v>10000000</v>
      </c>
      <c r="M213" s="536" t="str">
        <f t="shared" si="18"/>
        <v xml:space="preserve"> </v>
      </c>
      <c r="N213" s="719" t="str">
        <f>IF(ISERROR(VLOOKUP(C213,'Base de Datos'!$D$7:$K$1048576,7,0))=TRUE," ",(VLOOKUP(C213,'Base de Datos'!$D$7:$K$1048576,7,0)))</f>
        <v xml:space="preserve"> </v>
      </c>
      <c r="O213" s="551" t="str">
        <f>IF(ISERROR(VLOOKUP(C213,'Base de Datos'!$D$7:$N$4077,9,0))=TRUE," ",(VLOOKUP(C213,'Base de Datos'!$D$7:$N$4077,9,0)))</f>
        <v xml:space="preserve"> </v>
      </c>
      <c r="P213" s="613" t="e">
        <f>VLOOKUP(B213,#REF!,13,0)</f>
        <v>#REF!</v>
      </c>
      <c r="Q213" s="551" t="str">
        <f>IF(ISERROR(VLOOKUP(C213,'Base de Datos'!$D$7:$N$4077,10,0))=TRUE," ",(VLOOKUP(C213,'Base de Datos'!$D$7:$N$4077,10,0)))</f>
        <v xml:space="preserve"> </v>
      </c>
      <c r="R213" s="551" t="str">
        <f>IF(ISERROR(VLOOKUP(C213,'Base de Datos'!$D$7:$N$4077,11,0))=TRUE," ",(VLOOKUP(C213,'Base de Datos'!$D$7:$N$4077,11,0)))</f>
        <v xml:space="preserve"> </v>
      </c>
      <c r="S213" s="614" t="s">
        <v>1992</v>
      </c>
      <c r="T213" s="722"/>
      <c r="U213" s="779"/>
    </row>
    <row r="214" spans="2:21" s="615" customFormat="1" ht="24" outlineLevel="1" x14ac:dyDescent="0.25">
      <c r="B214" s="627">
        <v>98</v>
      </c>
      <c r="C214" s="627" t="str">
        <f t="shared" si="16"/>
        <v>201698</v>
      </c>
      <c r="D214" s="533" t="str">
        <f>IF(ISERROR(VLOOKUP(C214,'Base de Datos'!$D$7:$F$4092,2,0))=TRUE,"",(VLOOKUP(C214,'Base de Datos'!$D$7:$F$4092,2,0)))</f>
        <v>160066-0-2016</v>
      </c>
      <c r="E214" s="707" t="s">
        <v>2341</v>
      </c>
      <c r="F214" s="630">
        <v>56650000</v>
      </c>
      <c r="G214" s="778">
        <v>42415</v>
      </c>
      <c r="H214" s="812"/>
      <c r="I214" s="833" t="str">
        <f ca="1">IF(H214=Hoja1!$J$2," ",(IF(MONTH(G214)=MONTH(TODAY()),IF(DAY(G214)&gt;DAY(TODAY()),"Quedan "&amp;ABS(DAY(G214)-DAY(TODAY()))&amp;" Días","Hace "&amp;ABS(DAY(G214)-DAY(TODAY()))&amp;" Días"),"")))</f>
        <v/>
      </c>
      <c r="J214" s="536">
        <f>IF(ISERROR(VLOOKUP(C214,'Base de Datos'!$D$7:$N$4092,6,0))=TRUE,"Sin Celebrar",(VLOOKUP(C214,'Base de Datos'!$D$7:$N$4092,6,0)))</f>
        <v>56650000</v>
      </c>
      <c r="K214" s="614"/>
      <c r="L214" s="536" t="str">
        <f t="shared" si="17"/>
        <v xml:space="preserve"> </v>
      </c>
      <c r="M214" s="536" t="str">
        <f t="shared" si="18"/>
        <v xml:space="preserve"> </v>
      </c>
      <c r="N214" s="719" t="str">
        <f>IF(ISERROR(VLOOKUP(C214,'Base de Datos'!$D$7:$K$1048576,7,0))=TRUE," ",(VLOOKUP(C214,'Base de Datos'!$D$7:$K$1048576,7,0)))</f>
        <v>160066-0-2016</v>
      </c>
      <c r="O214" s="551">
        <f>IF(ISERROR(VLOOKUP(C214,'Base de Datos'!$D$7:$N$4077,9,0))=TRUE," ",(VLOOKUP(C214,'Base de Datos'!$D$7:$N$4077,9,0)))</f>
        <v>42466</v>
      </c>
      <c r="P214" s="613" t="e">
        <f>VLOOKUP(B214,#REF!,13,0)</f>
        <v>#REF!</v>
      </c>
      <c r="Q214" s="551">
        <f>IF(ISERROR(VLOOKUP(C214,'Base de Datos'!$D$7:$N$4077,10,0))=TRUE," ",(VLOOKUP(C214,'Base de Datos'!$D$7:$N$4077,10,0)))</f>
        <v>42466</v>
      </c>
      <c r="R214" s="551">
        <f>IF(ISERROR(VLOOKUP(C214,'Base de Datos'!$D$7:$N$4077,11,0))=TRUE," ",(VLOOKUP(C214,'Base de Datos'!$D$7:$N$4077,11,0)))</f>
        <v>42772</v>
      </c>
      <c r="S214" s="614" t="s">
        <v>1992</v>
      </c>
      <c r="T214" s="722"/>
      <c r="U214" s="779"/>
    </row>
    <row r="215" spans="2:21" s="615" customFormat="1" ht="24" outlineLevel="1" x14ac:dyDescent="0.25">
      <c r="B215" s="627">
        <v>233</v>
      </c>
      <c r="C215" s="627" t="str">
        <f t="shared" si="16"/>
        <v>2016233</v>
      </c>
      <c r="D215" s="533" t="str">
        <f>IF(ISERROR(VLOOKUP(C215,'Base de Datos'!$D$7:$F$4092,2,0))=TRUE,"",(VLOOKUP(C215,'Base de Datos'!$D$7:$F$4092,2,0)))</f>
        <v>160319-0-2016</v>
      </c>
      <c r="E215" s="707" t="s">
        <v>2407</v>
      </c>
      <c r="F215" s="630">
        <v>420750000</v>
      </c>
      <c r="G215" s="778">
        <v>42449</v>
      </c>
      <c r="H215" s="812"/>
      <c r="I215" s="833" t="str">
        <f ca="1">IF(H215=Hoja1!$J$2," ",(IF(MONTH(G215)=MONTH(TODAY()),IF(DAY(G215)&gt;DAY(TODAY()),"Quedan "&amp;ABS(DAY(G215)-DAY(TODAY()))&amp;" Días","Hace "&amp;ABS(DAY(G215)-DAY(TODAY()))&amp;" Días"),"")))</f>
        <v/>
      </c>
      <c r="J215" s="536">
        <f>IF(ISERROR(VLOOKUP(C215,'Base de Datos'!$D$7:$N$4092,6,0))=TRUE,"Sin Celebrar",(VLOOKUP(C215,'Base de Datos'!$D$7:$N$4092,6,0)))</f>
        <v>564700000</v>
      </c>
      <c r="K215" s="614"/>
      <c r="L215" s="536" t="str">
        <f t="shared" si="17"/>
        <v xml:space="preserve"> </v>
      </c>
      <c r="M215" s="536" t="str">
        <f t="shared" si="18"/>
        <v xml:space="preserve"> </v>
      </c>
      <c r="N215" s="719" t="str">
        <f>IF(ISERROR(VLOOKUP(C215,'Base de Datos'!$D$7:$K$1048576,7,0))=TRUE," ",(VLOOKUP(C215,'Base de Datos'!$D$7:$K$1048576,7,0)))</f>
        <v>SDH-SIE-19-2016</v>
      </c>
      <c r="O215" s="551">
        <f>IF(ISERROR(VLOOKUP(C215,'Base de Datos'!$D$7:$N$4077,9,0))=TRUE," ",(VLOOKUP(C215,'Base de Datos'!$D$7:$N$4077,9,0)))</f>
        <v>42734</v>
      </c>
      <c r="P215" s="613" t="e">
        <f>VLOOKUP(B215,#REF!,13,0)</f>
        <v>#REF!</v>
      </c>
      <c r="Q215" s="551">
        <f>IF(ISERROR(VLOOKUP(C215,'Base de Datos'!$D$7:$N$4077,10,0))=TRUE," ",(VLOOKUP(C215,'Base de Datos'!$D$7:$N$4077,10,0)))</f>
        <v>42747</v>
      </c>
      <c r="R215" s="551">
        <f>IF(ISERROR(VLOOKUP(C215,'Base de Datos'!$D$7:$N$4077,11,0))=TRUE," ",(VLOOKUP(C215,'Base de Datos'!$D$7:$N$4077,11,0)))</f>
        <v>42837</v>
      </c>
      <c r="S215" s="614" t="s">
        <v>1992</v>
      </c>
      <c r="T215" s="722"/>
      <c r="U215" s="779"/>
    </row>
    <row r="216" spans="2:21" s="615" customFormat="1" ht="24" outlineLevel="1" x14ac:dyDescent="0.25">
      <c r="B216" s="627">
        <v>97</v>
      </c>
      <c r="C216" s="627" t="str">
        <f t="shared" si="16"/>
        <v>201697</v>
      </c>
      <c r="D216" s="533" t="str">
        <f>IF(ISERROR(VLOOKUP(C216,'Base de Datos'!$D$7:$F$4092,2,0))=TRUE,"",(VLOOKUP(C216,'Base de Datos'!$D$7:$F$4092,2,0)))</f>
        <v/>
      </c>
      <c r="E216" s="707" t="s">
        <v>2342</v>
      </c>
      <c r="F216" s="630">
        <v>6000000</v>
      </c>
      <c r="G216" s="778">
        <v>42415</v>
      </c>
      <c r="H216" s="812"/>
      <c r="I216" s="833" t="str">
        <f ca="1">IF(H216=Hoja1!$J$2," ",(IF(MONTH(G216)=MONTH(TODAY()),IF(DAY(G216)&gt;DAY(TODAY()),"Quedan "&amp;ABS(DAY(G216)-DAY(TODAY()))&amp;" Días","Hace "&amp;ABS(DAY(G216)-DAY(TODAY()))&amp;" Días"),"")))</f>
        <v/>
      </c>
      <c r="J216" s="536" t="str">
        <f>IF(ISERROR(VLOOKUP(C216,'Base de Datos'!$D$7:$N$4092,6,0))=TRUE,"Sin Celebrar",(VLOOKUP(C216,'Base de Datos'!$D$7:$N$4092,6,0)))</f>
        <v>Sin Celebrar</v>
      </c>
      <c r="K216" s="614"/>
      <c r="L216" s="536">
        <f t="shared" si="17"/>
        <v>6000000</v>
      </c>
      <c r="M216" s="536" t="str">
        <f t="shared" si="18"/>
        <v xml:space="preserve"> </v>
      </c>
      <c r="N216" s="719" t="str">
        <f>IF(ISERROR(VLOOKUP(C216,'Base de Datos'!$D$7:$K$1048576,7,0))=TRUE," ",(VLOOKUP(C216,'Base de Datos'!$D$7:$K$1048576,7,0)))</f>
        <v xml:space="preserve"> </v>
      </c>
      <c r="O216" s="551" t="str">
        <f>IF(ISERROR(VLOOKUP(C216,'Base de Datos'!$D$7:$N$4077,9,0))=TRUE," ",(VLOOKUP(C216,'Base de Datos'!$D$7:$N$4077,9,0)))</f>
        <v xml:space="preserve"> </v>
      </c>
      <c r="P216" s="613" t="e">
        <f>VLOOKUP(B216,#REF!,13,0)</f>
        <v>#REF!</v>
      </c>
      <c r="Q216" s="551" t="str">
        <f>IF(ISERROR(VLOOKUP(C216,'Base de Datos'!$D$7:$N$4077,10,0))=TRUE," ",(VLOOKUP(C216,'Base de Datos'!$D$7:$N$4077,10,0)))</f>
        <v xml:space="preserve"> </v>
      </c>
      <c r="R216" s="551" t="str">
        <f>IF(ISERROR(VLOOKUP(C216,'Base de Datos'!$D$7:$N$4077,11,0))=TRUE," ",(VLOOKUP(C216,'Base de Datos'!$D$7:$N$4077,11,0)))</f>
        <v xml:space="preserve"> </v>
      </c>
      <c r="S216" s="614" t="s">
        <v>1992</v>
      </c>
      <c r="T216" s="722"/>
      <c r="U216" s="779"/>
    </row>
    <row r="217" spans="2:21" s="615" customFormat="1" ht="24" outlineLevel="1" x14ac:dyDescent="0.25">
      <c r="B217" s="627">
        <v>150</v>
      </c>
      <c r="C217" s="627" t="str">
        <f t="shared" si="16"/>
        <v>2016150</v>
      </c>
      <c r="D217" s="533"/>
      <c r="E217" s="707" t="s">
        <v>2404</v>
      </c>
      <c r="F217" s="630">
        <v>550000000</v>
      </c>
      <c r="G217" s="778">
        <v>42019</v>
      </c>
      <c r="H217" s="812"/>
      <c r="I217" s="833" t="str">
        <f ca="1">IF(H217=Hoja1!$J$2," ",(IF(MONTH(G217)=MONTH(TODAY()),IF(DAY(G217)&gt;DAY(TODAY()),"Quedan "&amp;ABS(DAY(G217)-DAY(TODAY()))&amp;" Días","Hace "&amp;ABS(DAY(G217)-DAY(TODAY()))&amp;" Días"),"")))</f>
        <v/>
      </c>
      <c r="J217" s="536" t="str">
        <f>IF(ISERROR(VLOOKUP(C217,'Base de Datos'!$D$7:$N$4092,6,0))=TRUE,"Sin Celebrar",(VLOOKUP(C217,'Base de Datos'!$D$7:$N$4092,6,0)))</f>
        <v>Sin Celebrar</v>
      </c>
      <c r="K217" s="614"/>
      <c r="L217" s="536">
        <f>IF(J217=$W$7,F217, " ")</f>
        <v>550000000</v>
      </c>
      <c r="M217" s="536" t="str">
        <f>IF(J217&lt;F217,(F217-J217)," ")</f>
        <v xml:space="preserve"> </v>
      </c>
      <c r="N217" s="719" t="str">
        <f>IF(ISERROR(VLOOKUP(C217,'Base de Datos'!$D$7:$K$1048576,7,0))=TRUE," ",(VLOOKUP(C217,'Base de Datos'!$D$7:$K$1048576,7,0)))</f>
        <v xml:space="preserve"> </v>
      </c>
      <c r="O217" s="551" t="str">
        <f>IF(ISERROR(VLOOKUP(C217,'Base de Datos'!$D$7:$N$4077,9,0))=TRUE," ",(VLOOKUP(C217,'Base de Datos'!$D$7:$N$4077,9,0)))</f>
        <v xml:space="preserve"> </v>
      </c>
      <c r="P217" s="613" t="e">
        <f>VLOOKUP(B217,#REF!,13,0)</f>
        <v>#REF!</v>
      </c>
      <c r="Q217" s="551" t="str">
        <f>IF(ISERROR(VLOOKUP(C217,'Base de Datos'!$D$7:$N$4077,10,0))=TRUE," ",(VLOOKUP(C217,'Base de Datos'!$D$7:$N$4077,10,0)))</f>
        <v xml:space="preserve"> </v>
      </c>
      <c r="R217" s="551" t="str">
        <f>IF(ISERROR(VLOOKUP(C217,'Base de Datos'!$D$7:$N$4077,11,0))=TRUE," ",(VLOOKUP(C217,'Base de Datos'!$D$7:$N$4077,11,0)))</f>
        <v xml:space="preserve"> </v>
      </c>
      <c r="S217" s="614" t="s">
        <v>1992</v>
      </c>
      <c r="T217" s="722"/>
      <c r="U217" s="779"/>
    </row>
    <row r="218" spans="2:21" s="615" customFormat="1" ht="24" outlineLevel="1" x14ac:dyDescent="0.25">
      <c r="B218" s="627">
        <v>234</v>
      </c>
      <c r="C218" s="627" t="str">
        <f t="shared" si="16"/>
        <v>2016234</v>
      </c>
      <c r="D218" s="533"/>
      <c r="E218" s="707" t="s">
        <v>2408</v>
      </c>
      <c r="F218" s="630">
        <v>162400000</v>
      </c>
      <c r="G218" s="778">
        <v>42439</v>
      </c>
      <c r="H218" s="812"/>
      <c r="I218" s="833" t="str">
        <f ca="1">IF(H218=Hoja1!$J$2," ",(IF(MONTH(G218)=MONTH(TODAY()),IF(DAY(G218)&gt;DAY(TODAY()),"Quedan "&amp;ABS(DAY(G218)-DAY(TODAY()))&amp;" Días","Hace "&amp;ABS(DAY(G218)-DAY(TODAY()))&amp;" Días"),"")))</f>
        <v/>
      </c>
      <c r="J218" s="536">
        <f>IF(ISERROR(VLOOKUP(C218,'Base de Datos'!$D$7:$N$4092,6,0))=TRUE,"Sin Celebrar",(VLOOKUP(C218,'Base de Datos'!$D$7:$N$4092,6,0)))</f>
        <v>112554160</v>
      </c>
      <c r="K218" s="614"/>
      <c r="L218" s="536" t="str">
        <f>IF(J218=$W$7,F218, " ")</f>
        <v xml:space="preserve"> </v>
      </c>
      <c r="M218" s="536">
        <f>IF(J218&lt;F218,(F218-J218)," ")</f>
        <v>49845840</v>
      </c>
      <c r="N218" s="719" t="str">
        <f>IF(ISERROR(VLOOKUP(C218,'Base de Datos'!$D$7:$K$1048576,7,0))=TRUE," ",(VLOOKUP(C218,'Base de Datos'!$D$7:$K$1048576,7,0)))</f>
        <v>Orden de compra No.. 12051</v>
      </c>
      <c r="O218" s="551">
        <f>IF(ISERROR(VLOOKUP(C218,'Base de Datos'!$D$7:$N$4077,9,0))=TRUE," ",(VLOOKUP(C218,'Base de Datos'!$D$7:$N$4077,9,0)))</f>
        <v>42696</v>
      </c>
      <c r="P218" s="613" t="e">
        <f>VLOOKUP(B218,#REF!,13,0)</f>
        <v>#REF!</v>
      </c>
      <c r="Q218" s="551">
        <f>IF(ISERROR(VLOOKUP(C218,'Base de Datos'!$D$7:$N$4077,10,0))=TRUE," ",(VLOOKUP(C218,'Base de Datos'!$D$7:$N$4077,10,0)))</f>
        <v>42696</v>
      </c>
      <c r="R218" s="551">
        <f>IF(ISERROR(VLOOKUP(C218,'Base de Datos'!$D$7:$N$4077,11,0))=TRUE," ",(VLOOKUP(C218,'Base de Datos'!$D$7:$N$4077,11,0)))</f>
        <v>42726</v>
      </c>
      <c r="S218" s="614" t="s">
        <v>1992</v>
      </c>
      <c r="T218" s="722"/>
      <c r="U218" s="779"/>
    </row>
    <row r="219" spans="2:21" s="615" customFormat="1" outlineLevel="1" x14ac:dyDescent="0.25">
      <c r="B219" s="614"/>
      <c r="C219" s="614"/>
      <c r="D219" s="614"/>
      <c r="E219" s="614"/>
      <c r="F219" s="630"/>
      <c r="G219" s="778"/>
      <c r="H219" s="778"/>
      <c r="I219" s="614"/>
      <c r="J219" s="614"/>
      <c r="K219" s="614"/>
      <c r="L219" s="614"/>
      <c r="M219" s="630"/>
      <c r="N219" s="695"/>
      <c r="O219" s="629"/>
      <c r="P219" s="614"/>
      <c r="Q219" s="614"/>
      <c r="R219" s="614"/>
      <c r="S219" s="614"/>
      <c r="T219" s="722"/>
      <c r="U219" s="634"/>
    </row>
    <row r="220" spans="2:21" ht="45.75" customHeight="1" outlineLevel="1" x14ac:dyDescent="0.25">
      <c r="B220" s="533"/>
      <c r="C220" s="533"/>
      <c r="D220" s="1200" t="s">
        <v>1933</v>
      </c>
      <c r="E220" s="1200"/>
      <c r="F220" s="620">
        <f>+F221</f>
        <v>3738700000</v>
      </c>
      <c r="G220" s="822">
        <f>COUNT(G221)</f>
        <v>1</v>
      </c>
      <c r="H220" s="821">
        <f>COUNTIF(H221:H221,Hoja1!$J$2)</f>
        <v>0</v>
      </c>
      <c r="I220" s="772"/>
      <c r="J220" s="620">
        <f>SUM(J221)</f>
        <v>3454655000</v>
      </c>
      <c r="K220" s="623">
        <f>+J220/F220</f>
        <v>0.92402573086901862</v>
      </c>
      <c r="L220" s="620">
        <f>SUM(L221)</f>
        <v>0</v>
      </c>
      <c r="M220" s="620">
        <f>+M221</f>
        <v>284045000</v>
      </c>
      <c r="N220" s="696"/>
      <c r="O220" s="626"/>
      <c r="P220" s="772"/>
      <c r="Q220" s="772"/>
      <c r="R220" s="772"/>
      <c r="S220" s="772"/>
      <c r="T220" s="722"/>
      <c r="U220" s="634"/>
    </row>
    <row r="221" spans="2:21" ht="24" outlineLevel="1" x14ac:dyDescent="0.25">
      <c r="B221" s="537">
        <v>152</v>
      </c>
      <c r="C221" s="627" t="str">
        <f>$W$6&amp;B221</f>
        <v>2016152</v>
      </c>
      <c r="D221" s="533" t="str">
        <f>IF(ISERROR(VLOOKUP(C221,'Base de Datos'!$D$7:$F$4092,2,0))=TRUE,"",(VLOOKUP(C221,'Base de Datos'!$D$7:$F$4092,2,0)))</f>
        <v>160069-0-2016</v>
      </c>
      <c r="E221" s="614" t="s">
        <v>1508</v>
      </c>
      <c r="F221" s="536">
        <v>3738700000</v>
      </c>
      <c r="G221" s="813">
        <v>42401</v>
      </c>
      <c r="H221" s="812"/>
      <c r="I221" s="833" t="str">
        <f ca="1">IF(H221=Hoja1!$J$2," ",(IF(MONTH(G221)=MONTH(TODAY()),IF(DAY(G221)&gt;DAY(TODAY()),"Quedan "&amp;ABS(DAY(G221)-DAY(TODAY()))&amp;" Días","Hace "&amp;ABS(DAY(G221)-DAY(TODAY()))&amp;" Días"),"")))</f>
        <v/>
      </c>
      <c r="J221" s="536">
        <f>IF(ISERROR(VLOOKUP(C221,'Base de Datos'!$D$7:$N$4092,6,0))=TRUE,"Sin Celebrar",(VLOOKUP(C221,'Base de Datos'!$D$7:$N$4092,6,0)))</f>
        <v>3454655000</v>
      </c>
      <c r="K221" s="536"/>
      <c r="L221" s="536" t="str">
        <f>IF(J221=$W$7,F221, " ")</f>
        <v xml:space="preserve"> </v>
      </c>
      <c r="M221" s="536">
        <f>IF(J221&lt;F221,(F221-J221)," ")</f>
        <v>284045000</v>
      </c>
      <c r="N221" s="719" t="str">
        <f>IF(ISERROR(VLOOKUP(C221,'Base de Datos'!$D$7:$K$1048576,7,0))=TRUE," ",(VLOOKUP(C221,'Base de Datos'!$D$7:$K$1048576,7,0)))</f>
        <v>160069-0-2016</v>
      </c>
      <c r="O221" s="551">
        <f>IF(ISERROR(VLOOKUP(C221,'Base de Datos'!$D$7:$N$4077,9,0))=TRUE," ",(VLOOKUP(C221,'Base de Datos'!$D$7:$N$4077,9,0)))</f>
        <v>42468</v>
      </c>
      <c r="P221" s="613" t="e">
        <f>VLOOKUP(B221,#REF!,13,0)</f>
        <v>#REF!</v>
      </c>
      <c r="Q221" s="551">
        <f>IF(ISERROR(VLOOKUP(C221,'Base de Datos'!$D$7:$N$4077,10,0))=TRUE," ",(VLOOKUP(C221,'Base de Datos'!$D$7:$N$4077,10,0)))</f>
        <v>42468</v>
      </c>
      <c r="R221" s="551">
        <f>IF(ISERROR(VLOOKUP(C221,'Base de Datos'!$D$7:$N$4077,11,0))=TRUE," ",(VLOOKUP(C221,'Base de Datos'!$D$7:$N$4077,11,0)))</f>
        <v>42735</v>
      </c>
      <c r="S221" s="533" t="s">
        <v>2352</v>
      </c>
      <c r="T221" s="722"/>
      <c r="U221" s="634"/>
    </row>
    <row r="222" spans="2:21" x14ac:dyDescent="0.25">
      <c r="B222" s="762"/>
      <c r="C222" s="762"/>
      <c r="D222" s="763"/>
      <c r="E222" s="763"/>
      <c r="F222" s="764"/>
      <c r="G222" s="819"/>
      <c r="H222" s="819"/>
      <c r="I222" s="765"/>
      <c r="J222" s="764"/>
      <c r="K222" s="764"/>
      <c r="L222" s="764"/>
      <c r="M222" s="764"/>
      <c r="N222" s="766"/>
      <c r="O222" s="767"/>
      <c r="P222" s="763"/>
      <c r="Q222" s="767"/>
      <c r="R222" s="767"/>
      <c r="S222" s="763"/>
      <c r="T222" s="722"/>
      <c r="U222" s="634"/>
    </row>
    <row r="223" spans="2:21" x14ac:dyDescent="0.25">
      <c r="B223" s="762"/>
      <c r="C223" s="762"/>
      <c r="D223" s="763"/>
      <c r="E223" s="763"/>
      <c r="F223" s="764"/>
      <c r="G223" s="819"/>
      <c r="H223" s="819"/>
      <c r="I223" s="765"/>
      <c r="J223" s="764"/>
      <c r="K223" s="764"/>
      <c r="L223" s="764"/>
      <c r="M223" s="764"/>
      <c r="N223" s="766"/>
      <c r="O223" s="767"/>
      <c r="P223" s="763"/>
      <c r="Q223" s="767"/>
      <c r="R223" s="767"/>
      <c r="S223" s="763"/>
      <c r="T223" s="722"/>
      <c r="U223" s="634"/>
    </row>
    <row r="224" spans="2:21" x14ac:dyDescent="0.25">
      <c r="B224" s="762"/>
      <c r="C224" s="762"/>
      <c r="D224" s="763"/>
      <c r="E224" s="763"/>
      <c r="F224" s="764"/>
      <c r="G224" s="819"/>
      <c r="H224" s="819"/>
      <c r="I224" s="765"/>
      <c r="J224" s="764"/>
      <c r="K224" s="764"/>
      <c r="L224" s="764"/>
      <c r="M224" s="764"/>
      <c r="N224" s="766"/>
      <c r="O224" s="767"/>
      <c r="P224" s="763"/>
      <c r="Q224" s="767"/>
      <c r="R224" s="767"/>
      <c r="S224" s="763"/>
      <c r="T224" s="722"/>
      <c r="U224" s="634"/>
    </row>
    <row r="225" spans="17:17" x14ac:dyDescent="0.25">
      <c r="Q225" s="697"/>
    </row>
  </sheetData>
  <mergeCells count="55">
    <mergeCell ref="B190:E190"/>
    <mergeCell ref="B191:E191"/>
    <mergeCell ref="B179:E179"/>
    <mergeCell ref="B166:E166"/>
    <mergeCell ref="B174:E174"/>
    <mergeCell ref="B175:E175"/>
    <mergeCell ref="B185:E185"/>
    <mergeCell ref="B186:E186"/>
    <mergeCell ref="B145:E145"/>
    <mergeCell ref="B149:E149"/>
    <mergeCell ref="D220:E220"/>
    <mergeCell ref="B193:E193"/>
    <mergeCell ref="B194:E194"/>
    <mergeCell ref="B195:E195"/>
    <mergeCell ref="D197:E197"/>
    <mergeCell ref="D198:E198"/>
    <mergeCell ref="D200:E200"/>
    <mergeCell ref="D201:E201"/>
    <mergeCell ref="D204:E204"/>
    <mergeCell ref="D207:E207"/>
    <mergeCell ref="D209:E209"/>
    <mergeCell ref="B192:E192"/>
    <mergeCell ref="B154:E154"/>
    <mergeCell ref="B160:E160"/>
    <mergeCell ref="B150:E150"/>
    <mergeCell ref="B132:E132"/>
    <mergeCell ref="B61:E61"/>
    <mergeCell ref="B68:E68"/>
    <mergeCell ref="B75:E75"/>
    <mergeCell ref="B76:E76"/>
    <mergeCell ref="B84:E84"/>
    <mergeCell ref="B97:E97"/>
    <mergeCell ref="B98:E98"/>
    <mergeCell ref="B117:E117"/>
    <mergeCell ref="B118:E118"/>
    <mergeCell ref="B123:E123"/>
    <mergeCell ref="B128:E128"/>
    <mergeCell ref="B133:E133"/>
    <mergeCell ref="B137:E137"/>
    <mergeCell ref="B141:E141"/>
    <mergeCell ref="B39:E39"/>
    <mergeCell ref="B40:E40"/>
    <mergeCell ref="B41:E41"/>
    <mergeCell ref="B60:E60"/>
    <mergeCell ref="B7:E7"/>
    <mergeCell ref="B8:E8"/>
    <mergeCell ref="B30:E30"/>
    <mergeCell ref="B33:E33"/>
    <mergeCell ref="B6:E6"/>
    <mergeCell ref="B1:S1"/>
    <mergeCell ref="B2:E2"/>
    <mergeCell ref="B3:E3"/>
    <mergeCell ref="B4:E4"/>
    <mergeCell ref="B5:E5"/>
    <mergeCell ref="H2:I2"/>
  </mergeCell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Hoja1!$J$2</xm:f>
          </x14:formula1>
          <xm:sqref>H35:H36 H63:H65 H70:H72 H78:H81 H86:H94 H120:H121 H125 H152 H156:H157 H162:H163 H168:H171 H181:H182 H199 H202:H203 H208 H43:H58 H221 H10:H27 H100:H114 H205 H210:H218</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A398"/>
  <sheetViews>
    <sheetView zoomScale="90" zoomScaleNormal="90" workbookViewId="0">
      <pane xSplit="5" ySplit="2" topLeftCell="F3" activePane="bottomRight" state="frozen"/>
      <selection activeCell="AT677" sqref="AT677"/>
      <selection pane="topRight" activeCell="AT677" sqref="AT677"/>
      <selection pane="bottomLeft" activeCell="AT677" sqref="AT677"/>
      <selection pane="bottomRight" activeCell="AT677" sqref="AT677"/>
    </sheetView>
  </sheetViews>
  <sheetFormatPr baseColWidth="10" defaultRowHeight="12" outlineLevelRow="1" x14ac:dyDescent="0.25"/>
  <cols>
    <col min="1" max="1" width="2.42578125" style="535" customWidth="1"/>
    <col min="2" max="2" width="10" style="535" customWidth="1"/>
    <col min="3" max="3" width="18" style="535" customWidth="1"/>
    <col min="4" max="4" width="46.140625" style="535" customWidth="1"/>
    <col min="5" max="5" width="18.42578125" style="535" customWidth="1"/>
    <col min="6" max="6" width="15.140625" style="535" customWidth="1"/>
    <col min="7" max="7" width="14.140625" style="535" hidden="1" customWidth="1"/>
    <col min="8" max="8" width="12.7109375" style="535" hidden="1" customWidth="1"/>
    <col min="9" max="9" width="15" style="535" hidden="1" customWidth="1"/>
    <col min="10" max="10" width="16.7109375" style="535" customWidth="1"/>
    <col min="11" max="11" width="9" style="611" customWidth="1"/>
    <col min="12" max="12" width="16.7109375" style="535" customWidth="1"/>
    <col min="13" max="13" width="12.85546875" style="535" hidden="1" customWidth="1"/>
    <col min="14" max="14" width="16.7109375" style="535" customWidth="1"/>
    <col min="15" max="15" width="16.7109375" style="697" customWidth="1"/>
    <col min="16" max="16" width="15.140625" style="547" customWidth="1"/>
    <col min="17" max="19" width="11.42578125" style="535" customWidth="1"/>
    <col min="20" max="20" width="16.7109375" style="535" customWidth="1"/>
    <col min="21" max="21" width="17.5703125" style="656" bestFit="1" customWidth="1"/>
    <col min="22" max="22" width="17.85546875" style="535" bestFit="1" customWidth="1"/>
    <col min="23" max="26" width="11.42578125" style="535"/>
    <col min="27" max="27" width="6.140625" style="535" customWidth="1"/>
    <col min="28" max="16384" width="11.42578125" style="535"/>
  </cols>
  <sheetData>
    <row r="1" spans="2:27" ht="23.25" customHeight="1" thickBot="1" x14ac:dyDescent="0.3">
      <c r="B1" s="1187" t="s">
        <v>1841</v>
      </c>
      <c r="C1" s="1188"/>
      <c r="D1" s="1188"/>
      <c r="E1" s="1188"/>
      <c r="F1" s="1188"/>
      <c r="G1" s="1188"/>
      <c r="H1" s="1188"/>
      <c r="I1" s="1188"/>
      <c r="J1" s="1188"/>
      <c r="K1" s="1188"/>
      <c r="L1" s="1188"/>
      <c r="M1" s="1188"/>
      <c r="N1" s="1188"/>
      <c r="O1" s="1188"/>
      <c r="P1" s="1188"/>
      <c r="Q1" s="1188"/>
      <c r="R1" s="1188"/>
      <c r="S1" s="1188"/>
      <c r="T1" s="1189"/>
      <c r="AA1" s="535" t="s">
        <v>1903</v>
      </c>
    </row>
    <row r="2" spans="2:27" ht="36" x14ac:dyDescent="0.25">
      <c r="B2" s="1185" t="s">
        <v>1783</v>
      </c>
      <c r="C2" s="1185"/>
      <c r="D2" s="1185"/>
      <c r="E2" s="875" t="s">
        <v>2265</v>
      </c>
      <c r="F2" s="875" t="s">
        <v>1842</v>
      </c>
      <c r="G2" s="875" t="s">
        <v>1897</v>
      </c>
      <c r="H2" s="875" t="s">
        <v>1898</v>
      </c>
      <c r="I2" s="875" t="s">
        <v>1840</v>
      </c>
      <c r="J2" s="875" t="s">
        <v>1899</v>
      </c>
      <c r="K2" s="716" t="s">
        <v>1900</v>
      </c>
      <c r="L2" s="875" t="s">
        <v>1901</v>
      </c>
      <c r="M2" s="875" t="s">
        <v>1902</v>
      </c>
      <c r="N2" s="875" t="s">
        <v>1904</v>
      </c>
      <c r="O2" s="717" t="s">
        <v>1122</v>
      </c>
      <c r="P2" s="718" t="s">
        <v>1847</v>
      </c>
      <c r="Q2" s="875" t="s">
        <v>1848</v>
      </c>
      <c r="R2" s="875" t="s">
        <v>1849</v>
      </c>
      <c r="S2" s="875" t="s">
        <v>375</v>
      </c>
      <c r="T2" s="875" t="s">
        <v>1850</v>
      </c>
    </row>
    <row r="3" spans="2:27" ht="15" customHeight="1" x14ac:dyDescent="0.25">
      <c r="B3" s="1183" t="s">
        <v>1686</v>
      </c>
      <c r="C3" s="1183"/>
      <c r="D3" s="1183"/>
      <c r="E3" s="541">
        <v>31035477000</v>
      </c>
      <c r="F3" s="541"/>
      <c r="G3" s="541"/>
      <c r="H3" s="541"/>
      <c r="I3" s="541">
        <f>+I4+I226</f>
        <v>8272977000</v>
      </c>
      <c r="J3" s="541">
        <f>+J4+J226</f>
        <v>30084445618.200001</v>
      </c>
      <c r="K3" s="646">
        <f t="shared" ref="K3:K8" si="0">+J3/E3</f>
        <v>0.96935663718653331</v>
      </c>
      <c r="L3" s="541" t="e">
        <f>+L4+L226</f>
        <v>#N/A</v>
      </c>
      <c r="M3" s="541" t="e">
        <f>+M4+M251</f>
        <v>#N/A</v>
      </c>
      <c r="N3" s="541" t="e">
        <f>+N4+N226</f>
        <v>#N/A</v>
      </c>
      <c r="O3" s="541"/>
      <c r="P3" s="651"/>
      <c r="Q3" s="571"/>
      <c r="R3" s="571"/>
      <c r="S3" s="571"/>
      <c r="T3" s="571"/>
    </row>
    <row r="4" spans="2:27" ht="15" customHeight="1" x14ac:dyDescent="0.25">
      <c r="B4" s="1183" t="s">
        <v>1684</v>
      </c>
      <c r="C4" s="1183"/>
      <c r="D4" s="1183"/>
      <c r="E4" s="541">
        <v>22793000000</v>
      </c>
      <c r="F4" s="542"/>
      <c r="G4" s="541">
        <f>+G5+G58</f>
        <v>858500000</v>
      </c>
      <c r="H4" s="541">
        <f>+H5+H58</f>
        <v>128000000</v>
      </c>
      <c r="I4" s="541">
        <f>+I5+I58</f>
        <v>730500000</v>
      </c>
      <c r="J4" s="541">
        <f>+J5+J49</f>
        <v>18432150043</v>
      </c>
      <c r="K4" s="646">
        <f t="shared" si="0"/>
        <v>0.80867591115693416</v>
      </c>
      <c r="L4" s="541" t="e">
        <f>+L5+L49</f>
        <v>#N/A</v>
      </c>
      <c r="M4" s="541" t="e">
        <f>+M5+M49</f>
        <v>#N/A</v>
      </c>
      <c r="N4" s="541" t="e">
        <f>+N5+N49</f>
        <v>#N/A</v>
      </c>
      <c r="O4" s="674"/>
      <c r="P4" s="572"/>
      <c r="Q4" s="571"/>
      <c r="R4" s="571"/>
      <c r="S4" s="571"/>
      <c r="T4" s="571"/>
    </row>
    <row r="5" spans="2:27" ht="15" customHeight="1" x14ac:dyDescent="0.25">
      <c r="B5" s="1182" t="s">
        <v>1683</v>
      </c>
      <c r="C5" s="1182"/>
      <c r="D5" s="1182"/>
      <c r="E5" s="539">
        <v>13641779000</v>
      </c>
      <c r="F5" s="540"/>
      <c r="G5" s="539">
        <f t="shared" ref="G5:N6" si="1">+G6</f>
        <v>858500000</v>
      </c>
      <c r="H5" s="539">
        <f t="shared" si="1"/>
        <v>128000000</v>
      </c>
      <c r="I5" s="539">
        <f t="shared" si="1"/>
        <v>730500000</v>
      </c>
      <c r="J5" s="539">
        <f t="shared" si="1"/>
        <v>11150082539</v>
      </c>
      <c r="K5" s="602">
        <f t="shared" si="0"/>
        <v>0.8173481287887745</v>
      </c>
      <c r="L5" s="539" t="e">
        <f t="shared" si="1"/>
        <v>#N/A</v>
      </c>
      <c r="M5" s="539">
        <f t="shared" si="1"/>
        <v>-94560993</v>
      </c>
      <c r="N5" s="539" t="e">
        <f t="shared" si="1"/>
        <v>#N/A</v>
      </c>
      <c r="O5" s="675"/>
      <c r="P5" s="570"/>
      <c r="Q5" s="569"/>
      <c r="R5" s="569"/>
      <c r="S5" s="569"/>
      <c r="T5" s="569"/>
    </row>
    <row r="6" spans="2:27" ht="15" customHeight="1" x14ac:dyDescent="0.25">
      <c r="B6" s="1182" t="s">
        <v>1682</v>
      </c>
      <c r="C6" s="1182"/>
      <c r="D6" s="1182"/>
      <c r="E6" s="539">
        <v>13641779000</v>
      </c>
      <c r="F6" s="540"/>
      <c r="G6" s="539">
        <f t="shared" si="1"/>
        <v>858500000</v>
      </c>
      <c r="H6" s="539">
        <f t="shared" si="1"/>
        <v>128000000</v>
      </c>
      <c r="I6" s="539">
        <f t="shared" si="1"/>
        <v>730500000</v>
      </c>
      <c r="J6" s="539">
        <f t="shared" si="1"/>
        <v>11150082539</v>
      </c>
      <c r="K6" s="602">
        <f t="shared" si="0"/>
        <v>0.8173481287887745</v>
      </c>
      <c r="L6" s="539" t="e">
        <f t="shared" si="1"/>
        <v>#N/A</v>
      </c>
      <c r="M6" s="539">
        <f t="shared" si="1"/>
        <v>-94560993</v>
      </c>
      <c r="N6" s="539" t="e">
        <f t="shared" si="1"/>
        <v>#N/A</v>
      </c>
      <c r="O6" s="675"/>
      <c r="P6" s="570"/>
      <c r="Q6" s="569"/>
      <c r="R6" s="569"/>
      <c r="S6" s="569"/>
      <c r="T6" s="569"/>
    </row>
    <row r="7" spans="2:27" ht="15" customHeight="1" x14ac:dyDescent="0.25">
      <c r="B7" s="1182" t="s">
        <v>1681</v>
      </c>
      <c r="C7" s="1182"/>
      <c r="D7" s="1182"/>
      <c r="E7" s="539">
        <v>13548179000</v>
      </c>
      <c r="F7" s="631"/>
      <c r="G7" s="539">
        <f>+G8+G49+G52</f>
        <v>858500000</v>
      </c>
      <c r="H7" s="539">
        <f>+H8+H49+H52</f>
        <v>128000000</v>
      </c>
      <c r="I7" s="539">
        <f>+I8+I49+I52</f>
        <v>730500000</v>
      </c>
      <c r="J7" s="539">
        <f>+J8+J34+J37</f>
        <v>11150082539</v>
      </c>
      <c r="K7" s="602">
        <f t="shared" si="0"/>
        <v>0.82299492345059799</v>
      </c>
      <c r="L7" s="539" t="e">
        <f>+L8+L34+L37</f>
        <v>#N/A</v>
      </c>
      <c r="M7" s="539">
        <f>+M8+M34+M37</f>
        <v>-94560993</v>
      </c>
      <c r="N7" s="539" t="e">
        <f>+N8+N34+N37</f>
        <v>#N/A</v>
      </c>
      <c r="O7" s="675"/>
      <c r="P7" s="570"/>
      <c r="Q7" s="569"/>
      <c r="R7" s="569"/>
      <c r="S7" s="569"/>
      <c r="T7" s="569"/>
    </row>
    <row r="8" spans="2:27" ht="15" customHeight="1" x14ac:dyDescent="0.25">
      <c r="B8" s="1181" t="s">
        <v>1643</v>
      </c>
      <c r="C8" s="1181"/>
      <c r="D8" s="1181"/>
      <c r="E8" s="581">
        <v>843179000</v>
      </c>
      <c r="F8" s="586">
        <v>19</v>
      </c>
      <c r="G8" s="581">
        <v>858500000</v>
      </c>
      <c r="H8" s="582">
        <v>128000000</v>
      </c>
      <c r="I8" s="581">
        <f>+G8-H8</f>
        <v>730500000</v>
      </c>
      <c r="J8" s="584">
        <f>SUM(J10:J31)</f>
        <v>639739993</v>
      </c>
      <c r="K8" s="603">
        <f t="shared" si="0"/>
        <v>0.75872382139498251</v>
      </c>
      <c r="L8" s="584">
        <f>SUM(L10:L31)</f>
        <v>298000000</v>
      </c>
      <c r="M8" s="585">
        <f>+E8-(J8+L8)</f>
        <v>-94560993</v>
      </c>
      <c r="N8" s="632">
        <f>+E8-J8-L8</f>
        <v>-94560993</v>
      </c>
      <c r="O8" s="676"/>
      <c r="P8" s="584"/>
      <c r="Q8" s="592"/>
      <c r="R8" s="592"/>
      <c r="S8" s="592"/>
      <c r="T8" s="592"/>
    </row>
    <row r="9" spans="2:27" ht="24" outlineLevel="1" x14ac:dyDescent="0.25">
      <c r="B9" s="537" t="s">
        <v>1693</v>
      </c>
      <c r="C9" s="537" t="s">
        <v>912</v>
      </c>
      <c r="D9" s="537" t="s">
        <v>1822</v>
      </c>
      <c r="E9" s="545" t="s">
        <v>1846</v>
      </c>
      <c r="F9" s="534" t="s">
        <v>1853</v>
      </c>
      <c r="G9" s="534"/>
      <c r="H9" s="534"/>
      <c r="I9" s="534"/>
      <c r="J9" s="537" t="s">
        <v>1845</v>
      </c>
      <c r="K9" s="652"/>
      <c r="L9" s="537" t="s">
        <v>1939</v>
      </c>
      <c r="M9" s="537"/>
      <c r="N9" s="537" t="s">
        <v>1940</v>
      </c>
      <c r="O9" s="677"/>
      <c r="P9" s="568" t="s">
        <v>1847</v>
      </c>
      <c r="Q9" s="537" t="s">
        <v>1848</v>
      </c>
      <c r="R9" s="537" t="s">
        <v>1849</v>
      </c>
      <c r="S9" s="537" t="s">
        <v>375</v>
      </c>
      <c r="T9" s="537" t="s">
        <v>1850</v>
      </c>
    </row>
    <row r="10" spans="2:27" ht="14.25" customHeight="1" outlineLevel="1" x14ac:dyDescent="0.25">
      <c r="B10" s="537">
        <v>69</v>
      </c>
      <c r="C10" s="533" t="str">
        <f>IF(ISERROR(VLOOKUP(B10,'Base de Datos'!$C$87:$F$4092,2,0))=TRUE,"",(VLOOKUP('Presupuesto - PAA 2017'!B10,'Base de Datos'!$C$7:$F$4092,3,0)))</f>
        <v>170115-0-2017</v>
      </c>
      <c r="D10" s="533" t="str">
        <f>IF(ISERROR(VLOOKUP(B10,'Base de Datos'!$C$487:$F$4092,3,0))=TRUE,"",(VLOOKUP('Presupuesto - PAA 2017'!B10,'Base de Datos'!$C$487:$F$4092,4,0)))</f>
        <v>WIESNER FABIÁN ROBAYO SALCEDO</v>
      </c>
      <c r="E10" s="536">
        <f>VLOOKUP(B10,[7]PAA2017!$C$65:$AA$255,20,0)</f>
        <v>39000000</v>
      </c>
      <c r="F10" s="534" t="str">
        <f>VLOOKUP(B10,[8]SOLICITUDES!$B$3:$H$278,2,0)</f>
        <v>SI</v>
      </c>
      <c r="G10" s="534"/>
      <c r="H10" s="534"/>
      <c r="I10" s="534"/>
      <c r="J10" s="536">
        <f>IF(ISERROR(VLOOKUP(B10,'Base de Datos'!$C$487:$N$4092,6,0))=TRUE,"Sin Celebrar",(VLOOKUP(B10,'Base de Datos'!$C$487:$N$4092,7,0)))</f>
        <v>38999997</v>
      </c>
      <c r="K10" s="600"/>
      <c r="L10" s="580" t="str">
        <f t="shared" ref="L10:L30" si="2">IF(J10=$AA$1,E10, " ")</f>
        <v xml:space="preserve"> </v>
      </c>
      <c r="M10" s="536"/>
      <c r="N10" s="536">
        <f t="shared" ref="N10:N30" si="3">IF(J10&lt;E10,(E10-J10)," ")</f>
        <v>3</v>
      </c>
      <c r="O10" s="719" t="str">
        <f>IF(ISERROR(VLOOKUP(B10,'Base de Datos'!$C$487:$K$1048576,7,0))=TRUE," ",(VLOOKUP(B10,'Base de Datos'!$C$487:$K$1048576,8,0)))</f>
        <v>170115-0-2017</v>
      </c>
      <c r="P10" s="551">
        <f>IF(ISERROR(VLOOKUP(B10,'Base de Datos'!$C$7:$N$4077,9,0))=TRUE," ",(VLOOKUP(B10,'Base de Datos'!$C$7:$N$4077,10,0)))</f>
        <v>42851</v>
      </c>
      <c r="Q10" s="737"/>
      <c r="R10" s="551">
        <f>IF(ISERROR(VLOOKUP(B10,'Base de Datos'!$C$7:$N$4077,10,0))=TRUE," ",(VLOOKUP(B10,'Base de Datos'!$C$7:$N$4077,11,0)))</f>
        <v>42858</v>
      </c>
      <c r="S10" s="551">
        <f>IF(ISERROR(VLOOKUP(B10,'Base de Datos'!$C$7:$N$4077,11,0))=TRUE," ",(VLOOKUP(B10,'Base de Datos'!$C$7:$N$4077,12,0)))</f>
        <v>43134</v>
      </c>
      <c r="T10" s="533" t="str">
        <f ca="1">VLOOKUP(B10,'Base de Datos'!$C$487:$AR$4129,41,0)</f>
        <v>SI</v>
      </c>
      <c r="U10" s="722"/>
      <c r="V10" s="634"/>
    </row>
    <row r="11" spans="2:27" ht="14.25" customHeight="1" outlineLevel="1" x14ac:dyDescent="0.25">
      <c r="B11" s="537">
        <v>70</v>
      </c>
      <c r="C11" s="533" t="str">
        <f>IF(ISERROR(VLOOKUP(B11,'Base de Datos'!$C$487:$F$4092,2,0))=TRUE,"",(VLOOKUP('Presupuesto - PAA 2017'!B11,'Base de Datos'!$C$7:$F$4092,3,0)))</f>
        <v>150321-0-2015</v>
      </c>
      <c r="D11" s="533" t="str">
        <f>IF(ISERROR(VLOOKUP(B11,'Base de Datos'!$C$487:$F$4092,3,0))=TRUE,"",(VLOOKUP('Presupuesto - PAA 2017'!B11,'Base de Datos'!$C$487:$F$4092,4,0)))</f>
        <v>KHAANKO NORBERTO RUIZ RODRÍGUEZ</v>
      </c>
      <c r="E11" s="536">
        <f>VLOOKUP(B11,[7]PAA2017!$C$65:$AA$255,20,0)</f>
        <v>31000000</v>
      </c>
      <c r="F11" s="534" t="str">
        <f>VLOOKUP(B11,[8]SOLICITUDES!$B$3:$H$278,2,0)</f>
        <v>SI</v>
      </c>
      <c r="G11" s="534"/>
      <c r="H11" s="534"/>
      <c r="I11" s="534"/>
      <c r="J11" s="536">
        <f>IF(ISERROR(VLOOKUP(B11,'Base de Datos'!$C$487:$N$4092,6,0))=TRUE,"Sin Celebrar",(VLOOKUP(B11,'Base de Datos'!$C$487:$N$4092,7,0)))</f>
        <v>38999996</v>
      </c>
      <c r="K11" s="600"/>
      <c r="L11" s="580" t="str">
        <f t="shared" si="2"/>
        <v xml:space="preserve"> </v>
      </c>
      <c r="M11" s="536"/>
      <c r="N11" s="536" t="str">
        <f t="shared" si="3"/>
        <v xml:space="preserve"> </v>
      </c>
      <c r="O11" s="719" t="str">
        <f>IF(ISERROR(VLOOKUP(B11,'Base de Datos'!$C$487:$K$1048576,7,0))=TRUE," ",(VLOOKUP(B11,'Base de Datos'!$C$487:$K$1048576,8,0)))</f>
        <v>170114-0-2017</v>
      </c>
      <c r="P11" s="551">
        <f>IF(ISERROR(VLOOKUP(B11,'Base de Datos'!$C$487:$N$4077,9,0))=TRUE," ",(VLOOKUP(B11,'Base de Datos'!$C$487:$N$4077,10,0)))</f>
        <v>42850</v>
      </c>
      <c r="Q11" s="737"/>
      <c r="R11" s="551">
        <f>IF(ISERROR(VLOOKUP(B11,'Base de Datos'!$C$487:$N$4077,10,0))=TRUE," ",(VLOOKUP(B11,'Base de Datos'!$C$487:$N$4077,11,0)))</f>
        <v>42858</v>
      </c>
      <c r="S11" s="551">
        <f>IF(ISERROR(VLOOKUP(B11,'Base de Datos'!$C$487:$N$4077,11,0))=TRUE," ",(VLOOKUP(B11,'Base de Datos'!$C$487:$N$4077,12,0)))</f>
        <v>43134</v>
      </c>
      <c r="T11" s="533" t="str">
        <f ca="1">VLOOKUP(B11,'Base de Datos'!$C$487:$AR$4129,41,0)</f>
        <v>SI</v>
      </c>
      <c r="U11" s="722"/>
      <c r="V11" s="634"/>
    </row>
    <row r="12" spans="2:27" ht="14.25" customHeight="1" outlineLevel="1" x14ac:dyDescent="0.25">
      <c r="B12" s="537">
        <v>141</v>
      </c>
      <c r="C12" s="533" t="str">
        <f>IF(ISERROR(VLOOKUP(B12,'Base de Datos'!$C$487:$F$4092,2,0))=TRUE,"",(VLOOKUP('Presupuesto - PAA 2017'!B12,'Base de Datos'!$C$7:$F$4092,3,0)))</f>
        <v>150123-0-2015</v>
      </c>
      <c r="D12" s="533" t="str">
        <f>IF(ISERROR(VLOOKUP(B12,'Base de Datos'!$C$487:$F$4092,3,0))=TRUE,"",(VLOOKUP('Presupuesto - PAA 2017'!B12,'Base de Datos'!$C$487:$F$4092,4,0)))</f>
        <v>ANGELICA MARIA RUBIO POLANCO</v>
      </c>
      <c r="E12" s="536">
        <f>VLOOKUP(B12,[7]PAA2017!$C$65:$AA$255,20,0)</f>
        <v>57000000</v>
      </c>
      <c r="F12" s="534" t="str">
        <f>VLOOKUP(B12,[8]SOLICITUDES!$B$3:$H$278,2,0)</f>
        <v>SI</v>
      </c>
      <c r="G12" s="534"/>
      <c r="H12" s="534"/>
      <c r="I12" s="534"/>
      <c r="J12" s="536">
        <f>IF(ISERROR(VLOOKUP(B12,'Base de Datos'!$C$487:$N$4092,6,0))=TRUE,"Sin Celebrar",(VLOOKUP(B12,'Base de Datos'!$C$487:$N$4092,7,0)))</f>
        <v>5700000</v>
      </c>
      <c r="K12" s="600"/>
      <c r="L12" s="580" t="str">
        <f t="shared" si="2"/>
        <v xml:space="preserve"> </v>
      </c>
      <c r="M12" s="536"/>
      <c r="N12" s="536">
        <f t="shared" si="3"/>
        <v>51300000</v>
      </c>
      <c r="O12" s="719" t="str">
        <f>IF(ISERROR(VLOOKUP(B12,'Base de Datos'!$C$487:$K$1048576,7,0))=TRUE," ",(VLOOKUP(B12,'Base de Datos'!$C$487:$K$1048576,8,0)))</f>
        <v>170021-0-2017</v>
      </c>
      <c r="P12" s="551">
        <f>IF(ISERROR(VLOOKUP(B12,'Base de Datos'!$C$487:$N$4077,9,0))=TRUE," ",(VLOOKUP(B12,'Base de Datos'!$C$487:$N$4077,10,0)))</f>
        <v>42776</v>
      </c>
      <c r="Q12" s="737"/>
      <c r="R12" s="551">
        <f>IF(ISERROR(VLOOKUP(B12,'Base de Datos'!$C$487:$N$4077,10,0))=TRUE," ",(VLOOKUP(B12,'Base de Datos'!$C$487:$N$4077,11,0)))</f>
        <v>42781</v>
      </c>
      <c r="S12" s="551">
        <f>IF(ISERROR(VLOOKUP(B12,'Base de Datos'!$C$487:$N$4077,11,0))=TRUE," ",(VLOOKUP(B12,'Base de Datos'!$C$487:$N$4077,12,0)))</f>
        <v>42809</v>
      </c>
      <c r="T12" s="533" t="str">
        <f>VLOOKUP(B12,'Base de Datos'!$C$487:$AR$4129,41,0)</f>
        <v>SI</v>
      </c>
      <c r="U12" s="722"/>
      <c r="V12" s="634"/>
    </row>
    <row r="13" spans="2:27" ht="14.25" customHeight="1" outlineLevel="1" x14ac:dyDescent="0.25">
      <c r="B13" s="537">
        <v>142</v>
      </c>
      <c r="C13" s="533" t="str">
        <f>IF(ISERROR(VLOOKUP(B13,'Base de Datos'!$C$487:$F$4092,2,0))=TRUE,"",(VLOOKUP('Presupuesto - PAA 2017'!B13,'Base de Datos'!$C$7:$F$4092,3,0)))</f>
        <v>150228-0-2015</v>
      </c>
      <c r="D13" s="533" t="str">
        <f>IF(ISERROR(VLOOKUP(B13,'Base de Datos'!$C$487:$F$4092,3,0))=TRUE,"",(VLOOKUP('Presupuesto - PAA 2017'!B13,'Base de Datos'!$C$487:$F$4092,4,0)))</f>
        <v>FABIO ALEJANDRO GOMEZ CASTAÑO</v>
      </c>
      <c r="E13" s="536">
        <f>VLOOKUP(B13,[7]PAA2017!$C$65:$AA$255,20,0)</f>
        <v>45000000</v>
      </c>
      <c r="F13" s="534" t="str">
        <f>VLOOKUP(B13,[8]SOLICITUDES!$B$3:$H$278,2,0)</f>
        <v>SI</v>
      </c>
      <c r="G13" s="534"/>
      <c r="H13" s="534"/>
      <c r="I13" s="534"/>
      <c r="J13" s="536">
        <f>IF(ISERROR(VLOOKUP(B13,'Base de Datos'!$C$487:$N$4092,6,0))=TRUE,"Sin Celebrar",(VLOOKUP(B13,'Base de Datos'!$C$487:$N$4092,7,0)))</f>
        <v>51300000</v>
      </c>
      <c r="K13" s="600"/>
      <c r="L13" s="580" t="str">
        <f t="shared" si="2"/>
        <v xml:space="preserve"> </v>
      </c>
      <c r="M13" s="536"/>
      <c r="N13" s="536" t="str">
        <f t="shared" si="3"/>
        <v xml:space="preserve"> </v>
      </c>
      <c r="O13" s="719" t="str">
        <f>IF(ISERROR(VLOOKUP(B13,'Base de Datos'!$C$487:$K$1048576,7,0))=TRUE," ",(VLOOKUP(B13,'Base de Datos'!$C$487:$K$1048576,8,0)))</f>
        <v>170117-0-2017</v>
      </c>
      <c r="P13" s="551">
        <f>IF(ISERROR(VLOOKUP(B13,'Base de Datos'!$C$487:$N$4077,9,0))=TRUE," ",(VLOOKUP(B13,'Base de Datos'!$C$487:$N$4077,10,0)))</f>
        <v>42852</v>
      </c>
      <c r="Q13" s="737"/>
      <c r="R13" s="551">
        <f>IF(ISERROR(VLOOKUP(B13,'Base de Datos'!$C$487:$N$4077,10,0))=TRUE," ",(VLOOKUP(B13,'Base de Datos'!$C$487:$N$4077,11,0)))</f>
        <v>42863</v>
      </c>
      <c r="S13" s="551">
        <f>IF(ISERROR(VLOOKUP(B13,'Base de Datos'!$C$487:$N$4077,11,0))=TRUE," ",(VLOOKUP(B13,'Base de Datos'!$C$487:$N$4077,12,0)))</f>
        <v>43139</v>
      </c>
      <c r="T13" s="533" t="str">
        <f ca="1">VLOOKUP(B13,'Base de Datos'!$C$487:$AR$4129,41,0)</f>
        <v>SI</v>
      </c>
      <c r="U13" s="722"/>
      <c r="V13" s="634"/>
    </row>
    <row r="14" spans="2:27" ht="14.25" customHeight="1" outlineLevel="1" x14ac:dyDescent="0.25">
      <c r="B14" s="537">
        <v>143</v>
      </c>
      <c r="C14" s="533" t="str">
        <f>IF(ISERROR(VLOOKUP(B14,'Base de Datos'!$C$487:$F$4092,2,0))=TRUE,"",(VLOOKUP('Presupuesto - PAA 2017'!B14,'Base de Datos'!$C$7:$F$4092,3,0)))</f>
        <v/>
      </c>
      <c r="D14" s="533" t="str">
        <f>IF(ISERROR(VLOOKUP(B14,'Base de Datos'!$C$487:$F$4092,3,0))=TRUE,"",(VLOOKUP('Presupuesto - PAA 2017'!B14,'Base de Datos'!$C$487:$F$4092,4,0)))</f>
        <v/>
      </c>
      <c r="E14" s="536">
        <f>VLOOKUP(B14,[7]PAA2017!$C$65:$AA$255,20,0)</f>
        <v>30000000</v>
      </c>
      <c r="F14" s="534" t="e">
        <f>VLOOKUP(B14,[8]SOLICITUDES!$B$3:$H$278,2,0)</f>
        <v>#N/A</v>
      </c>
      <c r="G14" s="534"/>
      <c r="H14" s="534"/>
      <c r="I14" s="534"/>
      <c r="J14" s="536" t="str">
        <f>IF(ISERROR(VLOOKUP(B14,'Base de Datos'!$C$487:$N$4092,6,0))=TRUE,"Sin Celebrar",(VLOOKUP(B14,'Base de Datos'!$C$487:$N$4092,7,0)))</f>
        <v>Sin Celebrar</v>
      </c>
      <c r="K14" s="600"/>
      <c r="L14" s="580">
        <f t="shared" si="2"/>
        <v>30000000</v>
      </c>
      <c r="M14" s="536"/>
      <c r="N14" s="536" t="str">
        <f t="shared" si="3"/>
        <v xml:space="preserve"> </v>
      </c>
      <c r="O14" s="719" t="str">
        <f>IF(ISERROR(VLOOKUP(B14,'Base de Datos'!$C$487:$K$1048576,7,0))=TRUE," ",(VLOOKUP(B14,'Base de Datos'!$C$487:$K$1048576,8,0)))</f>
        <v xml:space="preserve"> </v>
      </c>
      <c r="P14" s="551" t="str">
        <f>IF(ISERROR(VLOOKUP(B14,'Base de Datos'!$C$487:$N$4077,9,0))=TRUE," ",(VLOOKUP(B14,'Base de Datos'!$C$487:$N$4077,10,0)))</f>
        <v xml:space="preserve"> </v>
      </c>
      <c r="Q14" s="737"/>
      <c r="R14" s="551" t="str">
        <f>IF(ISERROR(VLOOKUP(B14,'Base de Datos'!$C$487:$N$4077,10,0))=TRUE," ",(VLOOKUP(B14,'Base de Datos'!$C$487:$N$4077,11,0)))</f>
        <v xml:space="preserve"> </v>
      </c>
      <c r="S14" s="551" t="str">
        <f>IF(ISERROR(VLOOKUP(B14,'Base de Datos'!$C$487:$N$4077,11,0))=TRUE," ",(VLOOKUP(B14,'Base de Datos'!$C$487:$N$4077,12,0)))</f>
        <v xml:space="preserve"> </v>
      </c>
      <c r="T14" s="533" t="e">
        <f>VLOOKUP(B14,'Base de Datos'!$C$487:$AR$4129,41,0)</f>
        <v>#N/A</v>
      </c>
      <c r="U14" s="722"/>
      <c r="V14" s="634"/>
    </row>
    <row r="15" spans="2:27" ht="14.25" customHeight="1" outlineLevel="1" x14ac:dyDescent="0.25">
      <c r="B15" s="537">
        <v>144</v>
      </c>
      <c r="C15" s="533" t="str">
        <f>IF(ISERROR(VLOOKUP(B15,'Base de Datos'!$C$487:$F$4092,2,0))=TRUE,"",(VLOOKUP('Presupuesto - PAA 2017'!B15,'Base de Datos'!$C$7:$F$4092,3,0)))</f>
        <v>150330-0-2015</v>
      </c>
      <c r="D15" s="533" t="str">
        <f>IF(ISERROR(VLOOKUP(B15,'Base de Datos'!$C$487:$F$4092,3,0))=TRUE,"",(VLOOKUP('Presupuesto - PAA 2017'!B15,'Base de Datos'!$C$487:$F$4092,4,0)))</f>
        <v>ANABIA JULLIETH ANGARITA GALINDO</v>
      </c>
      <c r="E15" s="536">
        <f>VLOOKUP(B15,[7]PAA2017!$C$65:$AA$255,20,0)</f>
        <v>25000000</v>
      </c>
      <c r="F15" s="534" t="str">
        <f>VLOOKUP(B15,[8]SOLICITUDES!$B$3:$H$278,2,0)</f>
        <v>SI</v>
      </c>
      <c r="G15" s="534"/>
      <c r="H15" s="534"/>
      <c r="I15" s="534"/>
      <c r="J15" s="536">
        <f>IF(ISERROR(VLOOKUP(B15,'Base de Datos'!$C$487:$N$4092,6,0))=TRUE,"Sin Celebrar",(VLOOKUP(B15,'Base de Datos'!$C$487:$N$4092,7,0)))</f>
        <v>22500000</v>
      </c>
      <c r="K15" s="600"/>
      <c r="L15" s="580" t="str">
        <f t="shared" si="2"/>
        <v xml:space="preserve"> </v>
      </c>
      <c r="M15" s="536"/>
      <c r="N15" s="536">
        <f t="shared" si="3"/>
        <v>2500000</v>
      </c>
      <c r="O15" s="719" t="str">
        <f>IF(ISERROR(VLOOKUP(B15,'Base de Datos'!$C$487:$K$1048576,7,0))=TRUE," ",(VLOOKUP(B15,'Base de Datos'!$C$487:$K$1048576,8,0)))</f>
        <v>170119-0-2017</v>
      </c>
      <c r="P15" s="551">
        <f>IF(ISERROR(VLOOKUP(B15,'Base de Datos'!$C$487:$N$4077,9,0))=TRUE," ",(VLOOKUP(B15,'Base de Datos'!$C$487:$N$4077,10,0)))</f>
        <v>42853</v>
      </c>
      <c r="Q15" s="737"/>
      <c r="R15" s="551">
        <f>IF(ISERROR(VLOOKUP(B15,'Base de Datos'!$C$487:$N$4077,10,0))=TRUE," ",(VLOOKUP(B15,'Base de Datos'!$C$487:$N$4077,11,0)))</f>
        <v>42863</v>
      </c>
      <c r="S15" s="551">
        <f>IF(ISERROR(VLOOKUP(B15,'Base de Datos'!$C$487:$N$4077,11,0))=TRUE," ",(VLOOKUP(B15,'Base de Datos'!$C$487:$N$4077,12,0)))</f>
        <v>43139</v>
      </c>
      <c r="T15" s="533" t="str">
        <f>VLOOKUP(B15,'Base de Datos'!$C$487:$AR$4129,41,0)</f>
        <v>SI</v>
      </c>
      <c r="U15" s="722"/>
      <c r="V15" s="634"/>
    </row>
    <row r="16" spans="2:27" ht="14.25" customHeight="1" outlineLevel="1" x14ac:dyDescent="0.25">
      <c r="B16" s="537">
        <v>145</v>
      </c>
      <c r="C16" s="533" t="str">
        <f>IF(ISERROR(VLOOKUP(B16,'Base de Datos'!$C$487:$F$4092,2,0))=TRUE,"",(VLOOKUP('Presupuesto - PAA 2017'!B16,'Base de Datos'!$C$7:$F$4092,3,0)))</f>
        <v/>
      </c>
      <c r="D16" s="533" t="str">
        <f>IF(ISERROR(VLOOKUP(B16,'Base de Datos'!$C$487:$F$4092,3,0))=TRUE,"",(VLOOKUP('Presupuesto - PAA 2017'!B16,'Base de Datos'!$C$487:$F$4092,4,0)))</f>
        <v/>
      </c>
      <c r="E16" s="536">
        <f>VLOOKUP(B16,[7]PAA2017!$C$65:$AA$255,20,0)</f>
        <v>57000000</v>
      </c>
      <c r="F16" s="534" t="e">
        <f>VLOOKUP(B16,[8]SOLICITUDES!$B$3:$H$278,2,0)</f>
        <v>#N/A</v>
      </c>
      <c r="G16" s="534"/>
      <c r="H16" s="534"/>
      <c r="I16" s="534"/>
      <c r="J16" s="536" t="str">
        <f>IF(ISERROR(VLOOKUP(B16,'Base de Datos'!$C$487:$N$4092,6,0))=TRUE,"Sin Celebrar",(VLOOKUP(B16,'Base de Datos'!$C$487:$N$4092,7,0)))</f>
        <v>Sin Celebrar</v>
      </c>
      <c r="K16" s="600"/>
      <c r="L16" s="580">
        <f t="shared" si="2"/>
        <v>57000000</v>
      </c>
      <c r="M16" s="536"/>
      <c r="N16" s="536" t="str">
        <f t="shared" si="3"/>
        <v xml:space="preserve"> </v>
      </c>
      <c r="O16" s="719" t="str">
        <f>IF(ISERROR(VLOOKUP(B16,'Base de Datos'!$C$487:$K$1048576,7,0))=TRUE," ",(VLOOKUP(B16,'Base de Datos'!$C$487:$K$1048576,8,0)))</f>
        <v xml:space="preserve"> </v>
      </c>
      <c r="P16" s="551" t="str">
        <f>IF(ISERROR(VLOOKUP(B16,'Base de Datos'!$C$487:$N$4077,9,0))=TRUE," ",(VLOOKUP(B16,'Base de Datos'!$C$487:$N$4077,10,0)))</f>
        <v xml:space="preserve"> </v>
      </c>
      <c r="Q16" s="737"/>
      <c r="R16" s="551" t="str">
        <f>IF(ISERROR(VLOOKUP(B16,'Base de Datos'!$C$487:$N$4077,10,0))=TRUE," ",(VLOOKUP(B16,'Base de Datos'!$C$487:$N$4077,11,0)))</f>
        <v xml:space="preserve"> </v>
      </c>
      <c r="S16" s="551" t="str">
        <f>IF(ISERROR(VLOOKUP(B16,'Base de Datos'!$C$487:$N$4077,11,0))=TRUE," ",(VLOOKUP(B16,'Base de Datos'!$C$487:$N$4077,12,0)))</f>
        <v xml:space="preserve"> </v>
      </c>
      <c r="T16" s="533" t="e">
        <f>VLOOKUP(B16,'Base de Datos'!$C$487:$AR$4129,41,0)</f>
        <v>#N/A</v>
      </c>
      <c r="U16" s="722"/>
      <c r="V16" s="634"/>
    </row>
    <row r="17" spans="2:22" ht="14.25" customHeight="1" outlineLevel="1" x14ac:dyDescent="0.25">
      <c r="B17" s="537">
        <v>146</v>
      </c>
      <c r="C17" s="533" t="str">
        <f>IF(ISERROR(VLOOKUP(B17,'Base de Datos'!$C$487:$F$4092,2,0))=TRUE,"",(VLOOKUP('Presupuesto - PAA 2017'!B17,'Base de Datos'!$C$7:$F$4092,3,0)))</f>
        <v>150342-0-2015</v>
      </c>
      <c r="D17" s="533" t="str">
        <f>IF(ISERROR(VLOOKUP(B17,'Base de Datos'!$C$487:$F$4092,3,0))=TRUE,"",(VLOOKUP('Presupuesto - PAA 2017'!B17,'Base de Datos'!$C$487:$F$4092,4,0)))</f>
        <v>JESUS RAFAEL AGUAS CUELLO</v>
      </c>
      <c r="E17" s="536">
        <f>VLOOKUP(B17,[7]PAA2017!$C$65:$AA$255,20,0)</f>
        <v>57000000</v>
      </c>
      <c r="F17" s="534" t="e">
        <f>VLOOKUP(B17,[8]SOLICITUDES!$B$3:$H$278,2,0)</f>
        <v>#N/A</v>
      </c>
      <c r="G17" s="534"/>
      <c r="H17" s="534"/>
      <c r="I17" s="534"/>
      <c r="J17" s="536">
        <f>IF(ISERROR(VLOOKUP(B17,'Base de Datos'!$C$487:$N$4092,6,0))=TRUE,"Sin Celebrar",(VLOOKUP(B17,'Base de Datos'!$C$487:$N$4092,7,0)))</f>
        <v>39900000</v>
      </c>
      <c r="K17" s="600"/>
      <c r="L17" s="580" t="str">
        <f t="shared" si="2"/>
        <v xml:space="preserve"> </v>
      </c>
      <c r="M17" s="536"/>
      <c r="N17" s="536">
        <f t="shared" si="3"/>
        <v>17100000</v>
      </c>
      <c r="O17" s="719" t="str">
        <f>IF(ISERROR(VLOOKUP(B17,'Base de Datos'!$C$487:$K$1048576,7,0))=TRUE," ",(VLOOKUP(B17,'Base de Datos'!$C$487:$K$1048576,8,0)))</f>
        <v>170204-0-2017</v>
      </c>
      <c r="P17" s="551">
        <f>IF(ISERROR(VLOOKUP(B17,'Base de Datos'!$C$487:$N$4077,9,0))=TRUE," ",(VLOOKUP(B17,'Base de Datos'!$C$487:$N$4077,10,0)))</f>
        <v>42961</v>
      </c>
      <c r="Q17" s="737"/>
      <c r="R17" s="551">
        <f>IF(ISERROR(VLOOKUP(B17,'Base de Datos'!$C$487:$N$4077,10,0))=TRUE," ",(VLOOKUP(B17,'Base de Datos'!$C$487:$N$4077,11,0)))</f>
        <v>42969</v>
      </c>
      <c r="S17" s="551">
        <f>IF(ISERROR(VLOOKUP(B17,'Base de Datos'!$C$487:$N$4077,11,0))=TRUE," ",(VLOOKUP(B17,'Base de Datos'!$C$487:$N$4077,12,0)))</f>
        <v>43181</v>
      </c>
      <c r="T17" s="533" t="str">
        <f>VLOOKUP(B17,'Base de Datos'!$C$487:$AR$4129,41,0)</f>
        <v>SI</v>
      </c>
      <c r="U17" s="722"/>
      <c r="V17" s="634"/>
    </row>
    <row r="18" spans="2:22" ht="14.25" customHeight="1" outlineLevel="1" x14ac:dyDescent="0.25">
      <c r="B18" s="537">
        <v>147</v>
      </c>
      <c r="C18" s="533" t="str">
        <f>IF(ISERROR(VLOOKUP(B18,'Base de Datos'!$C$487:$F$4092,2,0))=TRUE,"",(VLOOKUP('Presupuesto - PAA 2017'!B18,'Base de Datos'!$C$7:$F$4092,3,0)))</f>
        <v>160156-0-2016</v>
      </c>
      <c r="D18" s="533" t="str">
        <f>IF(ISERROR(VLOOKUP(B18,'Base de Datos'!$C$487:$F$4092,3,0))=TRUE,"",(VLOOKUP('Presupuesto - PAA 2017'!B18,'Base de Datos'!$C$487:$F$4092,4,0)))</f>
        <v>JAVIER IGNACIO JATIVA GARCIA</v>
      </c>
      <c r="E18" s="536">
        <f>VLOOKUP(B18,[7]PAA2017!$C$65:$AA$255,20,0)</f>
        <v>42000000</v>
      </c>
      <c r="F18" s="534" t="str">
        <f>VLOOKUP(B18,[8]SOLICITUDES!$B$3:$H$278,2,0)</f>
        <v>SI</v>
      </c>
      <c r="G18" s="534"/>
      <c r="H18" s="534"/>
      <c r="I18" s="534"/>
      <c r="J18" s="536">
        <f>IF(ISERROR(VLOOKUP(B18,'Base de Datos'!$C$487:$N$4092,6,0))=TRUE,"Sin Celebrar",(VLOOKUP(B18,'Base de Datos'!$C$487:$N$4092,7,0)))</f>
        <v>3860000</v>
      </c>
      <c r="K18" s="600"/>
      <c r="L18" s="580" t="str">
        <f t="shared" si="2"/>
        <v xml:space="preserve"> </v>
      </c>
      <c r="M18" s="536"/>
      <c r="N18" s="536">
        <f t="shared" si="3"/>
        <v>38140000</v>
      </c>
      <c r="O18" s="719" t="str">
        <f>IF(ISERROR(VLOOKUP(B18,'Base de Datos'!$C$487:$K$1048576,7,0))=TRUE," ",(VLOOKUP(B18,'Base de Datos'!$C$487:$K$1048576,8,0)))</f>
        <v>170014-0-2017</v>
      </c>
      <c r="P18" s="551">
        <f>IF(ISERROR(VLOOKUP(B18,'Base de Datos'!$C$487:$N$4077,9,0))=TRUE," ",(VLOOKUP(B18,'Base de Datos'!$C$487:$N$4077,10,0)))</f>
        <v>42772</v>
      </c>
      <c r="Q18" s="737"/>
      <c r="R18" s="551">
        <f>IF(ISERROR(VLOOKUP(B18,'Base de Datos'!$C$487:$N$4077,10,0))=TRUE," ",(VLOOKUP(B18,'Base de Datos'!$C$487:$N$4077,11,0)))</f>
        <v>42772</v>
      </c>
      <c r="S18" s="551">
        <f>IF(ISERROR(VLOOKUP(B18,'Base de Datos'!$C$487:$N$4077,11,0))=TRUE," ",(VLOOKUP(B18,'Base de Datos'!$C$487:$N$4077,12,0)))</f>
        <v>42800</v>
      </c>
      <c r="T18" s="533" t="str">
        <f>VLOOKUP(B18,'Base de Datos'!$C$487:$AR$4129,41,0)</f>
        <v>SI</v>
      </c>
      <c r="U18" s="722"/>
      <c r="V18" s="634"/>
    </row>
    <row r="19" spans="2:22" ht="14.25" customHeight="1" outlineLevel="1" x14ac:dyDescent="0.25">
      <c r="B19" s="537">
        <v>148</v>
      </c>
      <c r="C19" s="533" t="str">
        <f>IF(ISERROR(VLOOKUP(B19,'Base de Datos'!$C$487:$F$4092,2,0))=TRUE,"",(VLOOKUP('Presupuesto - PAA 2017'!B19,'Base de Datos'!$C$7:$F$4092,3,0)))</f>
        <v>150338-0-2015</v>
      </c>
      <c r="D19" s="533" t="str">
        <f>IF(ISERROR(VLOOKUP(B19,'Base de Datos'!$C$487:$F$4092,3,0))=TRUE,"",(VLOOKUP('Presupuesto - PAA 2017'!B19,'Base de Datos'!$C$487:$F$4092,4,0)))</f>
        <v>CLARA INES VARGAS MALAGON</v>
      </c>
      <c r="E19" s="536">
        <f>VLOOKUP(B19,[7]PAA2017!$C$65:$AA$255,20,0)</f>
        <v>63000000</v>
      </c>
      <c r="F19" s="534" t="str">
        <f>VLOOKUP(B19,[8]SOLICITUDES!$B$3:$H$278,2,0)</f>
        <v>SI</v>
      </c>
      <c r="G19" s="534"/>
      <c r="H19" s="534"/>
      <c r="I19" s="534"/>
      <c r="J19" s="536">
        <f>IF(ISERROR(VLOOKUP(B19,'Base de Datos'!$C$487:$N$4092,6,0))=TRUE,"Sin Celebrar",(VLOOKUP(B19,'Base de Datos'!$C$487:$N$4092,7,0)))</f>
        <v>51300000</v>
      </c>
      <c r="K19" s="600"/>
      <c r="L19" s="580" t="str">
        <f t="shared" si="2"/>
        <v xml:space="preserve"> </v>
      </c>
      <c r="M19" s="536"/>
      <c r="N19" s="536">
        <f t="shared" si="3"/>
        <v>11700000</v>
      </c>
      <c r="O19" s="719" t="str">
        <f>IF(ISERROR(VLOOKUP(B19,'Base de Datos'!$C$487:$K$1048576,7,0))=TRUE," ",(VLOOKUP(B19,'Base de Datos'!$C$487:$K$1048576,8,0)))</f>
        <v>170102-0-2017</v>
      </c>
      <c r="P19" s="551">
        <f>IF(ISERROR(VLOOKUP(B19,'Base de Datos'!$C$487:$N$4077,9,0))=TRUE," ",(VLOOKUP(B19,'Base de Datos'!$C$487:$N$4077,10,0)))</f>
        <v>42846</v>
      </c>
      <c r="Q19" s="737"/>
      <c r="R19" s="551">
        <f>IF(ISERROR(VLOOKUP(B19,'Base de Datos'!$C$487:$N$4077,10,0))=TRUE," ",(VLOOKUP(B19,'Base de Datos'!$C$487:$N$4077,11,0)))</f>
        <v>42850</v>
      </c>
      <c r="S19" s="551">
        <f>IF(ISERROR(VLOOKUP(B19,'Base de Datos'!$C$487:$N$4077,11,0))=TRUE," ",(VLOOKUP(B19,'Base de Datos'!$C$487:$N$4077,12,0)))</f>
        <v>43125</v>
      </c>
      <c r="T19" s="533" t="str">
        <f ca="1">VLOOKUP(B19,'Base de Datos'!$C$487:$AR$4129,41,0)</f>
        <v>SI</v>
      </c>
      <c r="U19" s="722"/>
      <c r="V19" s="634"/>
    </row>
    <row r="20" spans="2:22" ht="14.25" customHeight="1" outlineLevel="1" x14ac:dyDescent="0.25">
      <c r="B20" s="537">
        <v>149</v>
      </c>
      <c r="C20" s="533" t="str">
        <f>IF(ISERROR(VLOOKUP(B20,'Base de Datos'!$C$487:$F$4092,2,0))=TRUE,"",(VLOOKUP('Presupuesto - PAA 2017'!B20,'Base de Datos'!$C$7:$F$4092,3,0)))</f>
        <v>150223-0-2015</v>
      </c>
      <c r="D20" s="533" t="str">
        <f>IF(ISERROR(VLOOKUP(B20,'Base de Datos'!$C$487:$F$4092,3,0))=TRUE,"",(VLOOKUP('Presupuesto - PAA 2017'!B20,'Base de Datos'!$C$487:$F$4092,4,0)))</f>
        <v>JOANNA PATRICIA GONZALEZ PAIPA</v>
      </c>
      <c r="E20" s="536">
        <f>VLOOKUP(B20,[7]PAA2017!$C$65:$AA$255,20,0)</f>
        <v>57000000</v>
      </c>
      <c r="F20" s="534" t="str">
        <f>VLOOKUP(B20,[8]SOLICITUDES!$B$3:$H$278,2,0)</f>
        <v>SI</v>
      </c>
      <c r="G20" s="534"/>
      <c r="H20" s="534"/>
      <c r="I20" s="534"/>
      <c r="J20" s="536">
        <f>IF(ISERROR(VLOOKUP(B20,'Base de Datos'!$C$487:$N$4092,6,0))=TRUE,"Sin Celebrar",(VLOOKUP(B20,'Base de Datos'!$C$487:$N$4092,7,0)))</f>
        <v>51300000</v>
      </c>
      <c r="K20" s="600"/>
      <c r="L20" s="580" t="str">
        <f t="shared" si="2"/>
        <v xml:space="preserve"> </v>
      </c>
      <c r="M20" s="536"/>
      <c r="N20" s="536">
        <f t="shared" si="3"/>
        <v>5700000</v>
      </c>
      <c r="O20" s="719" t="str">
        <f>IF(ISERROR(VLOOKUP(B20,'Base de Datos'!$C$487:$K$1048576,7,0))=TRUE," ",(VLOOKUP(B20,'Base de Datos'!$C$487:$K$1048576,8,0)))</f>
        <v>170137-0-2017</v>
      </c>
      <c r="P20" s="551">
        <f>IF(ISERROR(VLOOKUP(B20,'Base de Datos'!$C$487:$N$4077,9,0))=TRUE," ",(VLOOKUP(B20,'Base de Datos'!$C$487:$N$4077,10,0)))</f>
        <v>42871</v>
      </c>
      <c r="Q20" s="737"/>
      <c r="R20" s="551">
        <f>IF(ISERROR(VLOOKUP(B20,'Base de Datos'!$C$487:$N$4077,10,0))=TRUE," ",(VLOOKUP(B20,'Base de Datos'!$C$487:$N$4077,11,0)))</f>
        <v>42873</v>
      </c>
      <c r="S20" s="551">
        <f>IF(ISERROR(VLOOKUP(B20,'Base de Datos'!$C$487:$N$4077,11,0))=TRUE," ",(VLOOKUP(B20,'Base de Datos'!$C$487:$N$4077,12,0)))</f>
        <v>43149</v>
      </c>
      <c r="T20" s="533" t="str">
        <f>VLOOKUP(B20,'Base de Datos'!$C$487:$AR$4129,41,0)</f>
        <v>SI</v>
      </c>
      <c r="U20" s="722"/>
      <c r="V20" s="634"/>
    </row>
    <row r="21" spans="2:22" ht="14.25" customHeight="1" outlineLevel="1" x14ac:dyDescent="0.25">
      <c r="B21" s="537">
        <v>150</v>
      </c>
      <c r="C21" s="533" t="str">
        <f>IF(ISERROR(VLOOKUP(B21,'Base de Datos'!$C$487:$F$4092,2,0))=TRUE,"",(VLOOKUP('Presupuesto - PAA 2017'!B21,'Base de Datos'!$C$7:$F$4092,3,0)))</f>
        <v>150168-0-2015</v>
      </c>
      <c r="D21" s="533" t="str">
        <f>IF(ISERROR(VLOOKUP(B21,'Base de Datos'!$C$487:$F$4092,3,0))=TRUE,"",(VLOOKUP('Presupuesto - PAA 2017'!B21,'Base de Datos'!$C$487:$F$4092,4,0)))</f>
        <v>DIANA PILAR DELGADO BARRERO</v>
      </c>
      <c r="E21" s="536">
        <f>VLOOKUP(B21,[7]PAA2017!$C$65:$AA$255,20,0)</f>
        <v>57000000</v>
      </c>
      <c r="F21" s="534" t="str">
        <f>VLOOKUP(B21,[8]SOLICITUDES!$B$3:$H$278,2,0)</f>
        <v>SI</v>
      </c>
      <c r="G21" s="534"/>
      <c r="H21" s="534"/>
      <c r="I21" s="534"/>
      <c r="J21" s="536">
        <f>IF(ISERROR(VLOOKUP(B21,'Base de Datos'!$C$487:$N$4092,6,0))=TRUE,"Sin Celebrar",(VLOOKUP(B21,'Base de Datos'!$C$487:$N$4092,7,0)))</f>
        <v>51300000</v>
      </c>
      <c r="K21" s="600"/>
      <c r="L21" s="580" t="str">
        <f t="shared" si="2"/>
        <v xml:space="preserve"> </v>
      </c>
      <c r="M21" s="536"/>
      <c r="N21" s="536">
        <f t="shared" si="3"/>
        <v>5700000</v>
      </c>
      <c r="O21" s="719" t="str">
        <f>IF(ISERROR(VLOOKUP(B21,'Base de Datos'!$C$487:$K$1048576,7,0))=TRUE," ",(VLOOKUP(B21,'Base de Datos'!$C$487:$K$1048576,8,0)))</f>
        <v>170113-0-2017</v>
      </c>
      <c r="P21" s="551">
        <f>IF(ISERROR(VLOOKUP(B21,'Base de Datos'!$C$487:$N$4077,9,0))=TRUE," ",(VLOOKUP(B21,'Base de Datos'!$C$487:$N$4077,10,0)))</f>
        <v>42850</v>
      </c>
      <c r="Q21" s="737"/>
      <c r="R21" s="551">
        <f>IF(ISERROR(VLOOKUP(B21,'Base de Datos'!$C$487:$N$4077,10,0))=TRUE," ",(VLOOKUP(B21,'Base de Datos'!$C$487:$N$4077,11,0)))</f>
        <v>42857</v>
      </c>
      <c r="S21" s="551">
        <f>IF(ISERROR(VLOOKUP(B21,'Base de Datos'!$C$487:$N$4077,11,0))=TRUE," ",(VLOOKUP(B21,'Base de Datos'!$C$487:$N$4077,12,0)))</f>
        <v>43133</v>
      </c>
      <c r="T21" s="533" t="str">
        <f ca="1">VLOOKUP(B21,'Base de Datos'!$C$487:$AR$4129,41,0)</f>
        <v>SI</v>
      </c>
      <c r="U21" s="722"/>
      <c r="V21" s="634"/>
    </row>
    <row r="22" spans="2:22" ht="14.25" customHeight="1" outlineLevel="1" x14ac:dyDescent="0.25">
      <c r="B22" s="537">
        <v>152</v>
      </c>
      <c r="C22" s="533" t="str">
        <f>IF(ISERROR(VLOOKUP(B22,'Base de Datos'!$C$487:$F$4092,2,0))=TRUE,"",(VLOOKUP('Presupuesto - PAA 2017'!B22,'Base de Datos'!$C$7:$F$4092,3,0)))</f>
        <v>150129-0-2015</v>
      </c>
      <c r="D22" s="533" t="str">
        <f>IF(ISERROR(VLOOKUP(B22,'Base de Datos'!$C$487:$F$4092,3,0))=TRUE,"",(VLOOKUP('Presupuesto - PAA 2017'!B22,'Base de Datos'!$C$487:$F$4092,4,0)))</f>
        <v>ANDRES MAURICIO BARRERA HERNANDEZ</v>
      </c>
      <c r="E22" s="536">
        <f>VLOOKUP(B22,[7]PAA2017!$C$65:$AA$255,20,0)</f>
        <v>48000000</v>
      </c>
      <c r="F22" s="534" t="str">
        <f>VLOOKUP(B22,[8]SOLICITUDES!$B$3:$H$278,2,0)</f>
        <v>SI</v>
      </c>
      <c r="G22" s="534"/>
      <c r="H22" s="534"/>
      <c r="I22" s="534"/>
      <c r="J22" s="536">
        <f>IF(ISERROR(VLOOKUP(B22,'Base de Datos'!$C$487:$N$4092,6,0))=TRUE,"Sin Celebrar",(VLOOKUP(B22,'Base de Datos'!$C$487:$N$4092,7,0)))</f>
        <v>54000000</v>
      </c>
      <c r="K22" s="600"/>
      <c r="L22" s="580" t="str">
        <f t="shared" si="2"/>
        <v xml:space="preserve"> </v>
      </c>
      <c r="M22" s="536"/>
      <c r="N22" s="536" t="str">
        <f t="shared" si="3"/>
        <v xml:space="preserve"> </v>
      </c>
      <c r="O22" s="719" t="str">
        <f>IF(ISERROR(VLOOKUP(B22,'Base de Datos'!$C$487:$K$1048576,7,0))=TRUE," ",(VLOOKUP(B22,'Base de Datos'!$C$487:$K$1048576,8,0)))</f>
        <v>170101-0-2017</v>
      </c>
      <c r="P22" s="551">
        <f>IF(ISERROR(VLOOKUP(B22,'Base de Datos'!$C$487:$N$4077,9,0))=TRUE," ",(VLOOKUP(B22,'Base de Datos'!$C$487:$N$4077,10,0)))</f>
        <v>42846</v>
      </c>
      <c r="Q22" s="737"/>
      <c r="R22" s="551">
        <f>IF(ISERROR(VLOOKUP(B22,'Base de Datos'!$C$487:$N$4077,10,0))=TRUE," ",(VLOOKUP(B22,'Base de Datos'!$C$487:$N$4077,11,0)))</f>
        <v>42849</v>
      </c>
      <c r="S22" s="551">
        <f>IF(ISERROR(VLOOKUP(B22,'Base de Datos'!$C$487:$N$4077,11,0))=TRUE," ",(VLOOKUP(B22,'Base de Datos'!$C$487:$N$4077,12,0)))</f>
        <v>43155</v>
      </c>
      <c r="T22" s="533" t="str">
        <f>VLOOKUP(B22,'Base de Datos'!$C$487:$AR$4129,41,0)</f>
        <v>SI</v>
      </c>
      <c r="U22" s="722"/>
      <c r="V22" s="634"/>
    </row>
    <row r="23" spans="2:22" ht="27" customHeight="1" outlineLevel="1" x14ac:dyDescent="0.25">
      <c r="B23" s="537">
        <v>153</v>
      </c>
      <c r="C23" s="533" t="str">
        <f>IF(ISERROR(VLOOKUP(B23,'Base de Datos'!$C$487:$F$4092,2,0))=TRUE,"",(VLOOKUP('Presupuesto - PAA 2017'!B23,'Base de Datos'!$C$7:$F$4092,3,0)))</f>
        <v/>
      </c>
      <c r="D23" s="533" t="str">
        <f>IF(ISERROR(VLOOKUP(B23,'Base de Datos'!$C$487:$F$4092,3,0))=TRUE,"",(VLOOKUP('Presupuesto - PAA 2017'!B23,'Base de Datos'!$C$487:$F$4092,4,0)))</f>
        <v/>
      </c>
      <c r="E23" s="536">
        <f>VLOOKUP(B23,[7]PAA2017!$C$65:$AA$255,20,0)</f>
        <v>97000000</v>
      </c>
      <c r="F23" s="534" t="e">
        <f>VLOOKUP(B23,[8]SOLICITUDES!$B$3:$H$278,2,0)</f>
        <v>#N/A</v>
      </c>
      <c r="G23" s="534"/>
      <c r="H23" s="534"/>
      <c r="I23" s="534"/>
      <c r="J23" s="536" t="str">
        <f>IF(ISERROR(VLOOKUP(B23,'Base de Datos'!$C$487:$N$4092,6,0))=TRUE,"Sin Celebrar",(VLOOKUP(B23,'Base de Datos'!$C$487:$N$4092,7,0)))</f>
        <v>Sin Celebrar</v>
      </c>
      <c r="K23" s="600"/>
      <c r="L23" s="580">
        <f t="shared" si="2"/>
        <v>97000000</v>
      </c>
      <c r="M23" s="536"/>
      <c r="N23" s="536" t="str">
        <f t="shared" si="3"/>
        <v xml:space="preserve"> </v>
      </c>
      <c r="O23" s="719" t="str">
        <f>IF(ISERROR(VLOOKUP(B23,'Base de Datos'!$C$487:$K$1048576,7,0))=TRUE," ",(VLOOKUP(B23,'Base de Datos'!$C$487:$K$1048576,8,0)))</f>
        <v xml:space="preserve"> </v>
      </c>
      <c r="P23" s="551" t="str">
        <f>IF(ISERROR(VLOOKUP(B23,'Base de Datos'!$C$487:$N$4077,9,0))=TRUE," ",(VLOOKUP(B23,'Base de Datos'!$C$487:$N$4077,10,0)))</f>
        <v xml:space="preserve"> </v>
      </c>
      <c r="Q23" s="737"/>
      <c r="R23" s="551" t="str">
        <f>IF(ISERROR(VLOOKUP(B23,'Base de Datos'!$C$487:$N$4077,10,0))=TRUE," ",(VLOOKUP(B23,'Base de Datos'!$C$487:$N$4077,11,0)))</f>
        <v xml:space="preserve"> </v>
      </c>
      <c r="S23" s="551" t="str">
        <f>IF(ISERROR(VLOOKUP(B23,'Base de Datos'!$C$487:$N$4077,11,0))=TRUE," ",(VLOOKUP(B23,'Base de Datos'!$C$487:$N$4077,12,0)))</f>
        <v xml:space="preserve"> </v>
      </c>
      <c r="T23" s="533" t="e">
        <f>VLOOKUP(B23,'Base de Datos'!$C$487:$AR$4129,41,0)</f>
        <v>#N/A</v>
      </c>
      <c r="U23" s="722"/>
      <c r="V23" s="634"/>
    </row>
    <row r="24" spans="2:22" ht="14.25" customHeight="1" outlineLevel="1" x14ac:dyDescent="0.25">
      <c r="B24" s="537">
        <v>154</v>
      </c>
      <c r="C24" s="533" t="str">
        <f>IF(ISERROR(VLOOKUP(B24,'Base de Datos'!$C$487:$F$4092,2,0))=TRUE,"",(VLOOKUP('Presupuesto - PAA 2017'!B24,'Base de Datos'!$C$7:$F$4092,3,0)))</f>
        <v>150229-0-2015</v>
      </c>
      <c r="D24" s="533" t="str">
        <f>IF(ISERROR(VLOOKUP(B24,'Base de Datos'!$C$487:$F$4092,3,0))=TRUE,"",(VLOOKUP('Presupuesto - PAA 2017'!B24,'Base de Datos'!$C$487:$F$4092,4,0)))</f>
        <v>MARTHA LILIANA SALAZAR GOMEZ</v>
      </c>
      <c r="E24" s="536">
        <f>VLOOKUP(B24,[7]PAA2017!$C$65:$AA$255,20,0)</f>
        <v>57000000</v>
      </c>
      <c r="F24" s="534" t="e">
        <f>VLOOKUP(B24,[8]SOLICITUDES!$B$3:$H$278,2,0)</f>
        <v>#N/A</v>
      </c>
      <c r="G24" s="534"/>
      <c r="H24" s="534"/>
      <c r="I24" s="534"/>
      <c r="J24" s="536">
        <f>IF(ISERROR(VLOOKUP(B24,'Base de Datos'!$C$487:$N$4092,6,0))=TRUE,"Sin Celebrar",(VLOOKUP(B24,'Base de Datos'!$C$487:$N$4092,7,0)))</f>
        <v>22800000</v>
      </c>
      <c r="K24" s="600"/>
      <c r="L24" s="580" t="str">
        <f t="shared" si="2"/>
        <v xml:space="preserve"> </v>
      </c>
      <c r="M24" s="536"/>
      <c r="N24" s="536">
        <f t="shared" si="3"/>
        <v>34200000</v>
      </c>
      <c r="O24" s="719" t="str">
        <f>IF(ISERROR(VLOOKUP(B24,'Base de Datos'!$C$487:$K$1048576,7,0))=TRUE," ",(VLOOKUP(B24,'Base de Datos'!$C$487:$K$1048576,8,0)))</f>
        <v>170232-0-2017</v>
      </c>
      <c r="P24" s="551">
        <f>IF(ISERROR(VLOOKUP(B24,'Base de Datos'!$C$487:$N$4077,9,0))=TRUE," ",(VLOOKUP(B24,'Base de Datos'!$C$487:$N$4077,10,0)))</f>
        <v>42984</v>
      </c>
      <c r="Q24" s="737"/>
      <c r="R24" s="551">
        <f>IF(ISERROR(VLOOKUP(B24,'Base de Datos'!$C$487:$N$4077,10,0))=TRUE," ",(VLOOKUP(B24,'Base de Datos'!$C$487:$N$4077,11,0)))</f>
        <v>42997</v>
      </c>
      <c r="S24" s="551">
        <f>IF(ISERROR(VLOOKUP(B24,'Base de Datos'!$C$487:$N$4077,11,0))=TRUE," ",(VLOOKUP(B24,'Base de Datos'!$C$487:$N$4077,12,0)))</f>
        <v>43119</v>
      </c>
      <c r="T24" s="533" t="str">
        <f>VLOOKUP(B24,'Base de Datos'!$C$487:$AR$4129,41,0)</f>
        <v>SI</v>
      </c>
      <c r="U24" s="722"/>
      <c r="V24" s="634"/>
    </row>
    <row r="25" spans="2:22" outlineLevel="1" x14ac:dyDescent="0.25">
      <c r="B25" s="552">
        <v>155</v>
      </c>
      <c r="C25" s="533" t="str">
        <f>IF(ISERROR(VLOOKUP(B25,'Base de Datos'!$C$487:$F$4092,2,0))=TRUE,"",(VLOOKUP('Presupuesto - PAA 2017'!B25,'Base de Datos'!$C$7:$F$4092,3,0)))</f>
        <v>150341-0-2015</v>
      </c>
      <c r="D25" s="533" t="str">
        <f>IF(ISERROR(VLOOKUP(B25,'Base de Datos'!$C$487:$F$4092,3,0))=TRUE,"",(VLOOKUP('Presupuesto - PAA 2017'!B25,'Base de Datos'!$C$487:$F$4092,4,0)))</f>
        <v>BLANCA LISBETH CAMARGO BARRERA</v>
      </c>
      <c r="E25" s="536">
        <f>VLOOKUP(B25,[7]PAA2017!$C$65:$AA$255,20,0)</f>
        <v>47000000</v>
      </c>
      <c r="F25" s="534" t="e">
        <f>VLOOKUP(B25,[8]SOLICITUDES!$B$3:$H$278,2,0)</f>
        <v>#N/A</v>
      </c>
      <c r="G25" s="534"/>
      <c r="H25" s="534"/>
      <c r="I25" s="534"/>
      <c r="J25" s="536">
        <f>IF(ISERROR(VLOOKUP(B25,'Base de Datos'!$C$487:$N$4092,6,0))=TRUE,"Sin Celebrar",(VLOOKUP(B25,'Base de Datos'!$C$487:$N$4092,7,0)))</f>
        <v>48180000</v>
      </c>
      <c r="K25" s="600"/>
      <c r="L25" s="580" t="str">
        <f t="shared" si="2"/>
        <v xml:space="preserve"> </v>
      </c>
      <c r="M25" s="536"/>
      <c r="N25" s="536" t="str">
        <f t="shared" si="3"/>
        <v xml:space="preserve"> </v>
      </c>
      <c r="O25" s="719" t="str">
        <f>IF(ISERROR(VLOOKUP(B25,'Base de Datos'!$C$487:$K$1048576,7,0))=TRUE," ",(VLOOKUP(B25,'Base de Datos'!$C$487:$K$1048576,8,0)))</f>
        <v>SDH-CD-28-2019</v>
      </c>
      <c r="P25" s="551">
        <f>IF(ISERROR(VLOOKUP(B25,'Base de Datos'!$C$487:$N$4077,9,0))=TRUE," ",(VLOOKUP(B25,'Base de Datos'!$C$487:$N$4077,10,0)))</f>
        <v>43500</v>
      </c>
      <c r="Q25" s="737"/>
      <c r="R25" s="551">
        <f>IF(ISERROR(VLOOKUP(B25,'Base de Datos'!$C$487:$N$4077,10,0))=TRUE," ",(VLOOKUP(B25,'Base de Datos'!$C$487:$N$4077,11,0)))</f>
        <v>43500</v>
      </c>
      <c r="S25" s="551">
        <f>IF(ISERROR(VLOOKUP(B25,'Base de Datos'!$C$487:$N$4077,11,0))=TRUE," ",(VLOOKUP(B25,'Base de Datos'!$C$487:$N$4077,12,0)))</f>
        <v>43641</v>
      </c>
      <c r="T25" s="533" t="str">
        <f>VLOOKUP(B25,'Base de Datos'!$C$487:$AR$4129,41,0)</f>
        <v>SI</v>
      </c>
      <c r="U25" s="722"/>
      <c r="V25" s="634"/>
    </row>
    <row r="26" spans="2:22" outlineLevel="1" x14ac:dyDescent="0.25">
      <c r="B26" s="552">
        <v>156</v>
      </c>
      <c r="C26" s="533" t="str">
        <f>IF(ISERROR(VLOOKUP(B26,'Base de Datos'!$C$487:$F$4092,2,0))=TRUE,"",(VLOOKUP('Presupuesto - PAA 2017'!B26,'Base de Datos'!$C$7:$F$4092,3,0)))</f>
        <v>170111-0-2017</v>
      </c>
      <c r="D26" s="533" t="str">
        <f>IF(ISERROR(VLOOKUP(B26,'Base de Datos'!$C$487:$F$4092,3,0))=TRUE,"",(VLOOKUP('Presupuesto - PAA 2017'!B26,'Base de Datos'!$C$487:$F$4092,4,0)))</f>
        <v>WILSON GUERRERO VERA</v>
      </c>
      <c r="E26" s="536">
        <f>VLOOKUP(B26,[7]PAA2017!$C$65:$AA$255,20,0)</f>
        <v>57000000</v>
      </c>
      <c r="F26" s="534" t="str">
        <f>VLOOKUP(B26,[8]SOLICITUDES!$B$3:$H$278,2,0)</f>
        <v>SI</v>
      </c>
      <c r="G26" s="534"/>
      <c r="H26" s="534"/>
      <c r="I26" s="534"/>
      <c r="J26" s="536">
        <f>IF(ISERROR(VLOOKUP(B26,'Base de Datos'!$C$487:$N$4092,6,0))=TRUE,"Sin Celebrar",(VLOOKUP(B26,'Base de Datos'!$C$487:$N$4092,7,0)))</f>
        <v>57000000</v>
      </c>
      <c r="K26" s="600"/>
      <c r="L26" s="580" t="str">
        <f t="shared" si="2"/>
        <v xml:space="preserve"> </v>
      </c>
      <c r="M26" s="536"/>
      <c r="N26" s="536" t="str">
        <f t="shared" si="3"/>
        <v xml:space="preserve"> </v>
      </c>
      <c r="O26" s="719" t="str">
        <f>IF(ISERROR(VLOOKUP(B26,'Base de Datos'!$C$487:$K$1048576,7,0))=TRUE," ",(VLOOKUP(B26,'Base de Datos'!$C$487:$K$1048576,8,0)))</f>
        <v>170111-0-2017</v>
      </c>
      <c r="P26" s="551">
        <f>IF(ISERROR(VLOOKUP(B26,'Base de Datos'!$C$487:$N$4077,9,0))=TRUE," ",(VLOOKUP(B26,'Base de Datos'!$C$487:$N$4077,10,0)))</f>
        <v>42850</v>
      </c>
      <c r="Q26" s="737"/>
      <c r="R26" s="551">
        <f>IF(ISERROR(VLOOKUP(B26,'Base de Datos'!$C$487:$N$4077,10,0))=TRUE," ",(VLOOKUP(B26,'Base de Datos'!$C$487:$N$4077,11,0)))</f>
        <v>42857</v>
      </c>
      <c r="S26" s="551">
        <f>IF(ISERROR(VLOOKUP(B26,'Base de Datos'!$C$487:$N$4077,11,0))=TRUE," ",(VLOOKUP(B26,'Base de Datos'!$C$487:$N$4077,12,0)))</f>
        <v>43161</v>
      </c>
      <c r="T26" s="533" t="str">
        <f ca="1">VLOOKUP(B26,'Base de Datos'!$C$487:$AR$4129,41,0)</f>
        <v>SI</v>
      </c>
      <c r="U26" s="722"/>
      <c r="V26" s="634"/>
    </row>
    <row r="27" spans="2:22" ht="24" outlineLevel="1" x14ac:dyDescent="0.25">
      <c r="B27" s="552">
        <v>157</v>
      </c>
      <c r="C27" s="533" t="str">
        <f>IF(ISERROR(VLOOKUP(B27,'Base de Datos'!$C$487:$F$4092,2,0))=TRUE,"",(VLOOKUP('Presupuesto - PAA 2017'!B27,'Base de Datos'!$C$7:$F$4092,3,0)))</f>
        <v>150255-0-2015</v>
      </c>
      <c r="D27" s="533" t="str">
        <f>IF(ISERROR(VLOOKUP(B27,'Base de Datos'!$C$487:$F$4092,3,0))=TRUE,"",(VLOOKUP('Presupuesto - PAA 2017'!B27,'Base de Datos'!$C$487:$F$4092,4,0)))</f>
        <v>LUZ ANGELA CARDENAS MORENO (Cesionaria) / IVON ADRIANA JIMENEZ ZAPATA (Antes)</v>
      </c>
      <c r="E27" s="536">
        <f>VLOOKUP(B27,[7]PAA2017!$C$65:$AA$255,20,0)</f>
        <v>57000000</v>
      </c>
      <c r="F27" s="534" t="str">
        <f>VLOOKUP(B27,[8]SOLICITUDES!$B$3:$H$278,2,0)</f>
        <v>SI</v>
      </c>
      <c r="G27" s="534"/>
      <c r="H27" s="534"/>
      <c r="I27" s="534"/>
      <c r="J27" s="536">
        <f>IF(ISERROR(VLOOKUP(B27,'Base de Datos'!$C$487:$N$4092,6,0))=TRUE,"Sin Celebrar",(VLOOKUP(B27,'Base de Datos'!$C$487:$N$4092,7,0)))</f>
        <v>51300000</v>
      </c>
      <c r="K27" s="600"/>
      <c r="L27" s="580" t="str">
        <f t="shared" si="2"/>
        <v xml:space="preserve"> </v>
      </c>
      <c r="M27" s="536"/>
      <c r="N27" s="536">
        <f t="shared" si="3"/>
        <v>5700000</v>
      </c>
      <c r="O27" s="719" t="str">
        <f>IF(ISERROR(VLOOKUP(B27,'Base de Datos'!$C$487:$K$1048576,7,0))=TRUE," ",(VLOOKUP(B27,'Base de Datos'!$C$487:$K$1048576,8,0)))</f>
        <v>170109-0-2017</v>
      </c>
      <c r="P27" s="551">
        <f>IF(ISERROR(VLOOKUP(B27,'Base de Datos'!$C$487:$N$4077,9,0))=TRUE," ",(VLOOKUP(B27,'Base de Datos'!$C$487:$N$4077,10,0)))</f>
        <v>42849</v>
      </c>
      <c r="Q27" s="737"/>
      <c r="R27" s="551">
        <f>IF(ISERROR(VLOOKUP(B27,'Base de Datos'!$C$487:$N$4077,10,0))=TRUE," ",(VLOOKUP(B27,'Base de Datos'!$C$487:$N$4077,11,0)))</f>
        <v>42851</v>
      </c>
      <c r="S27" s="551">
        <f>IF(ISERROR(VLOOKUP(B27,'Base de Datos'!$C$487:$N$4077,11,0))=TRUE," ",(VLOOKUP(B27,'Base de Datos'!$C$487:$N$4077,12,0)))</f>
        <v>43126</v>
      </c>
      <c r="T27" s="533" t="str">
        <f ca="1">VLOOKUP(B27,'Base de Datos'!$C$487:$AR$4129,41,0)</f>
        <v>SI</v>
      </c>
      <c r="U27" s="722"/>
      <c r="V27" s="634"/>
    </row>
    <row r="28" spans="2:22" outlineLevel="1" x14ac:dyDescent="0.25">
      <c r="B28" s="552">
        <v>158</v>
      </c>
      <c r="C28" s="533" t="str">
        <f>IF(ISERROR(VLOOKUP(B28,'Base de Datos'!$C$487:$F$4092,2,0))=TRUE,"",(VLOOKUP('Presupuesto - PAA 2017'!B28,'Base de Datos'!$C$7:$F$4092,3,0)))</f>
        <v>150271-0-2015</v>
      </c>
      <c r="D28" s="533" t="str">
        <f>IF(ISERROR(VLOOKUP(B28,'Base de Datos'!$C$487:$F$4092,3,0))=TRUE,"",(VLOOKUP('Presupuesto - PAA 2017'!B28,'Base de Datos'!$C$487:$F$4092,4,0)))</f>
        <v>CLAUDIA ELVIRA RODRIGUEZ POVEDA</v>
      </c>
      <c r="E28" s="536">
        <f>VLOOKUP(B28,[7]PAA2017!$C$65:$AA$255,20,0)</f>
        <v>57000000</v>
      </c>
      <c r="F28" s="534" t="str">
        <f>VLOOKUP(B28,[8]SOLICITUDES!$B$3:$H$278,2,0)</f>
        <v>SI</v>
      </c>
      <c r="G28" s="534"/>
      <c r="H28" s="534"/>
      <c r="I28" s="534"/>
      <c r="J28" s="536">
        <f>IF(ISERROR(VLOOKUP(B28,'Base de Datos'!$C$487:$N$4092,6,0))=TRUE,"Sin Celebrar",(VLOOKUP(B28,'Base de Datos'!$C$487:$N$4092,7,0)))</f>
        <v>51300000</v>
      </c>
      <c r="K28" s="600"/>
      <c r="L28" s="580" t="str">
        <f t="shared" si="2"/>
        <v xml:space="preserve"> </v>
      </c>
      <c r="M28" s="536"/>
      <c r="N28" s="536">
        <f t="shared" si="3"/>
        <v>5700000</v>
      </c>
      <c r="O28" s="719" t="str">
        <f>IF(ISERROR(VLOOKUP(B28,'Base de Datos'!$C$487:$K$1048576,7,0))=TRUE," ",(VLOOKUP(B28,'Base de Datos'!$C$487:$K$1048576,8,0)))</f>
        <v>170105-0-2017</v>
      </c>
      <c r="P28" s="551">
        <f>IF(ISERROR(VLOOKUP(B28,'Base de Datos'!$C$487:$N$4077,9,0))=TRUE," ",(VLOOKUP(B28,'Base de Datos'!$C$487:$N$4077,10,0)))</f>
        <v>42849</v>
      </c>
      <c r="Q28" s="737"/>
      <c r="R28" s="551">
        <f>IF(ISERROR(VLOOKUP(B28,'Base de Datos'!$C$487:$N$4077,10,0))=TRUE," ",(VLOOKUP(B28,'Base de Datos'!$C$487:$N$4077,11,0)))</f>
        <v>42850</v>
      </c>
      <c r="S28" s="551">
        <f>IF(ISERROR(VLOOKUP(B28,'Base de Datos'!$C$487:$N$4077,11,0))=TRUE," ",(VLOOKUP(B28,'Base de Datos'!$C$487:$N$4077,12,0)))</f>
        <v>43125</v>
      </c>
      <c r="T28" s="533" t="str">
        <f>VLOOKUP(B28,'Base de Datos'!$C$487:$AR$4129,41,0)</f>
        <v>SI</v>
      </c>
      <c r="U28" s="722"/>
      <c r="V28" s="634"/>
    </row>
    <row r="29" spans="2:22" outlineLevel="1" x14ac:dyDescent="0.25">
      <c r="B29" s="552">
        <v>159</v>
      </c>
      <c r="C29" s="533" t="str">
        <f>IF(ISERROR(VLOOKUP(B29,'Base de Datos'!$C$487:$F$4092,2,0))=TRUE,"",(VLOOKUP('Presupuesto - PAA 2017'!B29,'Base de Datos'!$C$7:$F$4092,3,0)))</f>
        <v/>
      </c>
      <c r="D29" s="533" t="str">
        <f>IF(ISERROR(VLOOKUP(B29,'Base de Datos'!$C$487:$F$4092,3,0))=TRUE,"",(VLOOKUP('Presupuesto - PAA 2017'!B29,'Base de Datos'!$C$487:$F$4092,4,0)))</f>
        <v/>
      </c>
      <c r="E29" s="536">
        <f>VLOOKUP(B29,[7]PAA2017!$C$65:$AA$255,20,0)</f>
        <v>57000000</v>
      </c>
      <c r="F29" s="534" t="str">
        <f>VLOOKUP(B29,[8]SOLICITUDES!$B$3:$H$278,2,0)</f>
        <v>SI</v>
      </c>
      <c r="G29" s="534"/>
      <c r="H29" s="534"/>
      <c r="I29" s="534"/>
      <c r="J29" s="536" t="str">
        <f>IF(ISERROR(VLOOKUP(B29,'Base de Datos'!$C$487:$N$4092,6,0))=TRUE,"Sin Celebrar",(VLOOKUP(B29,'Base de Datos'!$C$487:$N$4092,7,0)))</f>
        <v>Sin Celebrar</v>
      </c>
      <c r="K29" s="600"/>
      <c r="L29" s="580">
        <f t="shared" si="2"/>
        <v>57000000</v>
      </c>
      <c r="M29" s="536"/>
      <c r="N29" s="536" t="str">
        <f t="shared" si="3"/>
        <v xml:space="preserve"> </v>
      </c>
      <c r="O29" s="719" t="str">
        <f>IF(ISERROR(VLOOKUP(B29,'Base de Datos'!$C$487:$K$1048576,7,0))=TRUE," ",(VLOOKUP(B29,'Base de Datos'!$C$487:$K$1048576,8,0)))</f>
        <v xml:space="preserve"> </v>
      </c>
      <c r="P29" s="551" t="str">
        <f>IF(ISERROR(VLOOKUP(B29,'Base de Datos'!$C$487:$N$4077,9,0))=TRUE," ",(VLOOKUP(B29,'Base de Datos'!$C$487:$N$4077,10,0)))</f>
        <v xml:space="preserve"> </v>
      </c>
      <c r="Q29" s="737"/>
      <c r="R29" s="551" t="str">
        <f>IF(ISERROR(VLOOKUP(B29,'Base de Datos'!$C$487:$N$4077,10,0))=TRUE," ",(VLOOKUP(B29,'Base de Datos'!$C$487:$N$4077,11,0)))</f>
        <v xml:space="preserve"> </v>
      </c>
      <c r="S29" s="551" t="str">
        <f>IF(ISERROR(VLOOKUP(B29,'Base de Datos'!$C$487:$N$4077,11,0))=TRUE," ",(VLOOKUP(B29,'Base de Datos'!$C$487:$N$4077,12,0)))</f>
        <v xml:space="preserve"> </v>
      </c>
      <c r="T29" s="533" t="e">
        <f>VLOOKUP(B29,'Base de Datos'!$C$487:$AR$4129,41,0)</f>
        <v>#N/A</v>
      </c>
      <c r="U29" s="722"/>
      <c r="V29" s="634"/>
    </row>
    <row r="30" spans="2:22" outlineLevel="1" x14ac:dyDescent="0.25">
      <c r="B30" s="552">
        <v>160</v>
      </c>
      <c r="C30" s="533" t="str">
        <f>IF(ISERROR(VLOOKUP(B30,'Base de Datos'!$C$487:$F$4092,2,0))=TRUE,"",(VLOOKUP('Presupuesto - PAA 2017'!B30,'Base de Datos'!$C$7:$F$4092,3,0)))</f>
        <v/>
      </c>
      <c r="D30" s="533" t="str">
        <f>IF(ISERROR(VLOOKUP(B30,'Base de Datos'!$C$487:$F$4092,3,0))=TRUE,"",(VLOOKUP('Presupuesto - PAA 2017'!B30,'Base de Datos'!$C$487:$F$4092,4,0)))</f>
        <v/>
      </c>
      <c r="E30" s="536">
        <f>VLOOKUP(B30,[7]PAA2017!$C$65:$AA$255,20,0)</f>
        <v>57000000</v>
      </c>
      <c r="F30" s="534" t="e">
        <f>VLOOKUP(B30,[8]SOLICITUDES!$B$3:$H$278,2,0)</f>
        <v>#N/A</v>
      </c>
      <c r="G30" s="534"/>
      <c r="H30" s="534"/>
      <c r="I30" s="534"/>
      <c r="J30" s="536" t="str">
        <f>IF(ISERROR(VLOOKUP(B30,'Base de Datos'!$C$487:$N$4092,6,0))=TRUE,"Sin Celebrar",(VLOOKUP(B30,'Base de Datos'!$C$487:$N$4092,7,0)))</f>
        <v>Sin Celebrar</v>
      </c>
      <c r="K30" s="600"/>
      <c r="L30" s="580">
        <f t="shared" si="2"/>
        <v>57000000</v>
      </c>
      <c r="M30" s="536"/>
      <c r="N30" s="536" t="str">
        <f t="shared" si="3"/>
        <v xml:space="preserve"> </v>
      </c>
      <c r="O30" s="719" t="str">
        <f>IF(ISERROR(VLOOKUP(B30,'Base de Datos'!$C$487:$K$1048576,7,0))=TRUE," ",(VLOOKUP(B30,'Base de Datos'!$C$487:$K$1048576,8,0)))</f>
        <v xml:space="preserve"> </v>
      </c>
      <c r="P30" s="551" t="str">
        <f>IF(ISERROR(VLOOKUP(B30,'Base de Datos'!$C$487:$N$4077,9,0))=TRUE," ",(VLOOKUP(B30,'Base de Datos'!$C$487:$N$4077,10,0)))</f>
        <v xml:space="preserve"> </v>
      </c>
      <c r="Q30" s="737"/>
      <c r="R30" s="551" t="str">
        <f>IF(ISERROR(VLOOKUP(B30,'Base de Datos'!$C$487:$N$4077,10,0))=TRUE," ",(VLOOKUP(B30,'Base de Datos'!$C$487:$N$4077,11,0)))</f>
        <v xml:space="preserve"> </v>
      </c>
      <c r="S30" s="551" t="str">
        <f>IF(ISERROR(VLOOKUP(B30,'Base de Datos'!$C$487:$N$4077,11,0))=TRUE," ",(VLOOKUP(B30,'Base de Datos'!$C$487:$N$4077,12,0)))</f>
        <v xml:space="preserve"> </v>
      </c>
      <c r="T30" s="533" t="e">
        <f>VLOOKUP(B30,'Base de Datos'!$C$487:$AR$4129,41,0)</f>
        <v>#N/A</v>
      </c>
      <c r="U30" s="722"/>
      <c r="V30" s="634"/>
    </row>
    <row r="31" spans="2:22" ht="12.75" outlineLevel="1" thickBot="1" x14ac:dyDescent="0.3">
      <c r="B31" s="552"/>
      <c r="C31" s="553"/>
      <c r="D31" s="553"/>
      <c r="E31" s="554"/>
      <c r="F31" s="555"/>
      <c r="G31" s="555"/>
      <c r="H31" s="555"/>
      <c r="I31" s="555"/>
      <c r="J31" s="536"/>
      <c r="K31" s="604"/>
      <c r="L31" s="554" t="str">
        <f>IF(J31=$AA$1,E31, " ")</f>
        <v xml:space="preserve"> </v>
      </c>
      <c r="M31" s="554"/>
      <c r="N31" s="554" t="str">
        <f>IF(J31&lt;E31,(E31-J31)," ")</f>
        <v xml:space="preserve"> </v>
      </c>
      <c r="O31" s="679"/>
      <c r="P31" s="556" t="str">
        <f>IF(ISERROR(VLOOKUP(B31,'Base de Datos'!$C$7:$N$315,9,0))=TRUE," ",(VLOOKUP(B31,'Base de Datos'!$C$7:$N$315,9,0)))</f>
        <v xml:space="preserve"> </v>
      </c>
      <c r="Q31" s="553"/>
      <c r="R31" s="556" t="str">
        <f>IF(ISERROR(VLOOKUP(B31,'Base de Datos'!$C$7:$N$315,10,0))=TRUE," ",(VLOOKUP(B31,'Base de Datos'!$C$7:$N$315,10,0)))</f>
        <v xml:space="preserve"> </v>
      </c>
      <c r="S31" s="556" t="str">
        <f>IF(ISERROR(VLOOKUP(B31,'Base de Datos'!$C$7:$N$315,11,0))=TRUE," ",(VLOOKUP(B31,'Base de Datos'!$C$7:$N$315,11,0)))</f>
        <v xml:space="preserve"> </v>
      </c>
      <c r="T31" s="553"/>
      <c r="U31" s="722"/>
      <c r="V31" s="634"/>
    </row>
    <row r="32" spans="2:22" outlineLevel="1" x14ac:dyDescent="0.25">
      <c r="B32" s="1191"/>
      <c r="C32" s="1192"/>
      <c r="D32" s="1192"/>
      <c r="E32" s="559"/>
      <c r="F32" s="559"/>
      <c r="G32" s="559"/>
      <c r="H32" s="559"/>
      <c r="I32" s="559"/>
      <c r="J32" s="559"/>
      <c r="K32" s="605"/>
      <c r="L32" s="559"/>
      <c r="M32" s="559"/>
      <c r="N32" s="559"/>
      <c r="O32" s="680"/>
      <c r="P32" s="560"/>
      <c r="Q32" s="561"/>
      <c r="R32" s="560"/>
      <c r="S32" s="560"/>
      <c r="T32" s="562"/>
      <c r="U32" s="722"/>
      <c r="V32" s="634"/>
    </row>
    <row r="33" spans="2:22" ht="12.75" outlineLevel="1" thickBot="1" x14ac:dyDescent="0.3">
      <c r="B33" s="1193"/>
      <c r="C33" s="1194"/>
      <c r="D33" s="1194"/>
      <c r="E33" s="563"/>
      <c r="F33" s="579"/>
      <c r="G33" s="579"/>
      <c r="H33" s="579"/>
      <c r="I33" s="579"/>
      <c r="J33" s="563"/>
      <c r="K33" s="606"/>
      <c r="L33" s="563"/>
      <c r="M33" s="563"/>
      <c r="N33" s="563"/>
      <c r="O33" s="681"/>
      <c r="P33" s="564"/>
      <c r="Q33" s="565"/>
      <c r="R33" s="564"/>
      <c r="S33" s="564"/>
      <c r="T33" s="566"/>
      <c r="U33" s="722"/>
      <c r="V33" s="634"/>
    </row>
    <row r="34" spans="2:22" ht="15" customHeight="1" x14ac:dyDescent="0.25">
      <c r="B34" s="1195" t="s">
        <v>1644</v>
      </c>
      <c r="C34" s="1195"/>
      <c r="D34" s="1195"/>
      <c r="E34" s="587">
        <v>12705000000</v>
      </c>
      <c r="F34" s="588">
        <f>COUNTIF('Actualizada - presupuesto'!$E$7:$E$111,B34)</f>
        <v>0</v>
      </c>
      <c r="G34" s="588"/>
      <c r="H34" s="588"/>
      <c r="I34" s="581">
        <v>12745000000</v>
      </c>
      <c r="J34" s="587">
        <f>+J35</f>
        <v>10479835080</v>
      </c>
      <c r="K34" s="607">
        <f>J35/I34</f>
        <v>0.82227030835621817</v>
      </c>
      <c r="L34" s="587">
        <f>E34-J34</f>
        <v>2225164920</v>
      </c>
      <c r="M34" s="632">
        <f>+E34-(J34+L34)</f>
        <v>0</v>
      </c>
      <c r="N34" s="587">
        <f>+E34-J34-L34</f>
        <v>0</v>
      </c>
      <c r="O34" s="682"/>
      <c r="P34" s="589" t="str">
        <f>IF(ISERROR(VLOOKUP(B34,'Base de Datos'!$C$7:$N$315,8,0))=TRUE," ",(VLOOKUP(B34,'Base de Datos'!$C$7:$N$315,8,0)))</f>
        <v xml:space="preserve"> </v>
      </c>
      <c r="Q34" s="590"/>
      <c r="R34" s="589" t="str">
        <f>IF(ISERROR(VLOOKUP(B34,'Base de Datos'!$C$7:$N$315,9,0))=TRUE," ",(VLOOKUP(B34,'Base de Datos'!$C$7:$N$315,9,0)))</f>
        <v xml:space="preserve"> </v>
      </c>
      <c r="S34" s="589" t="str">
        <f>IF(ISERROR(VLOOKUP(B34,'Base de Datos'!$C$7:$N$315,10,0))=TRUE," ",(VLOOKUP(B34,'Base de Datos'!$C$7:$N$315,10,0)))</f>
        <v xml:space="preserve"> </v>
      </c>
      <c r="T34" s="714"/>
      <c r="U34" s="722"/>
      <c r="V34" s="634"/>
    </row>
    <row r="35" spans="2:22" s="598" customFormat="1" ht="15" customHeight="1" outlineLevel="1" x14ac:dyDescent="0.25">
      <c r="B35" s="593"/>
      <c r="C35" s="593"/>
      <c r="D35" s="878" t="s">
        <v>2264</v>
      </c>
      <c r="E35" s="594"/>
      <c r="F35" s="595"/>
      <c r="G35" s="595"/>
      <c r="H35" s="595"/>
      <c r="I35" s="595"/>
      <c r="J35" s="580">
        <v>10479835080</v>
      </c>
      <c r="K35" s="608"/>
      <c r="L35" s="594"/>
      <c r="M35" s="594"/>
      <c r="N35" s="594"/>
      <c r="O35" s="683"/>
      <c r="P35" s="596"/>
      <c r="Q35" s="597"/>
      <c r="R35" s="596"/>
      <c r="S35" s="596"/>
      <c r="T35" s="715"/>
      <c r="U35" s="722"/>
      <c r="V35" s="634"/>
    </row>
    <row r="36" spans="2:22" s="598" customFormat="1" ht="15" customHeight="1" outlineLevel="1" x14ac:dyDescent="0.25">
      <c r="B36" s="593"/>
      <c r="C36" s="593"/>
      <c r="D36" s="593"/>
      <c r="E36" s="594"/>
      <c r="F36" s="595"/>
      <c r="G36" s="595"/>
      <c r="H36" s="595"/>
      <c r="I36" s="595"/>
      <c r="J36" s="594"/>
      <c r="K36" s="608"/>
      <c r="L36" s="594"/>
      <c r="M36" s="594"/>
      <c r="N36" s="594"/>
      <c r="O36" s="683"/>
      <c r="P36" s="596"/>
      <c r="Q36" s="597"/>
      <c r="R36" s="596"/>
      <c r="S36" s="596"/>
      <c r="T36" s="715"/>
      <c r="U36" s="722"/>
      <c r="V36" s="634"/>
    </row>
    <row r="37" spans="2:22" ht="15" customHeight="1" x14ac:dyDescent="0.25">
      <c r="B37" s="1181" t="s">
        <v>1645</v>
      </c>
      <c r="C37" s="1181"/>
      <c r="D37" s="1181"/>
      <c r="E37" s="581">
        <v>93600000</v>
      </c>
      <c r="F37" s="586">
        <v>3</v>
      </c>
      <c r="G37" s="586"/>
      <c r="H37" s="586"/>
      <c r="I37" s="586"/>
      <c r="J37" s="581">
        <f>SUM(J39:J47)</f>
        <v>30507466</v>
      </c>
      <c r="K37" s="603">
        <f>J37/E37</f>
        <v>0.32593446581196583</v>
      </c>
      <c r="L37" s="581" t="e">
        <f>SUM(L39:L47)</f>
        <v>#N/A</v>
      </c>
      <c r="M37" s="632">
        <v>0</v>
      </c>
      <c r="N37" s="581" t="e">
        <f>+E37-J37-L37</f>
        <v>#N/A</v>
      </c>
      <c r="O37" s="684"/>
      <c r="P37" s="591" t="str">
        <f>IF(ISERROR(VLOOKUP(B37,'Base de Datos'!$C$7:$N$315,8,0))=TRUE," ",(VLOOKUP(B37,'Base de Datos'!$C$7:$N$315,8,0)))</f>
        <v xml:space="preserve"> </v>
      </c>
      <c r="Q37" s="592"/>
      <c r="R37" s="591" t="str">
        <f>IF(ISERROR(VLOOKUP(B37,'Base de Datos'!$C$7:$N$315,9,0))=TRUE," ",(VLOOKUP(B37,'Base de Datos'!$C$7:$N$315,9,0)))</f>
        <v xml:space="preserve"> </v>
      </c>
      <c r="S37" s="591" t="str">
        <f>IF(ISERROR(VLOOKUP(B37,'Base de Datos'!$C$7:$N$315,10,0))=TRUE," ",(VLOOKUP(B37,'Base de Datos'!$C$7:$N$315,10,0)))</f>
        <v xml:space="preserve"> </v>
      </c>
      <c r="T37" s="592"/>
      <c r="U37" s="722"/>
      <c r="V37" s="634"/>
    </row>
    <row r="38" spans="2:22" ht="24" outlineLevel="1" x14ac:dyDescent="0.25">
      <c r="B38" s="537" t="s">
        <v>1693</v>
      </c>
      <c r="C38" s="537" t="s">
        <v>912</v>
      </c>
      <c r="D38" s="537" t="s">
        <v>1822</v>
      </c>
      <c r="E38" s="545" t="s">
        <v>1846</v>
      </c>
      <c r="F38" s="534" t="s">
        <v>1853</v>
      </c>
      <c r="G38" s="534"/>
      <c r="H38" s="534"/>
      <c r="I38" s="534"/>
      <c r="J38" s="537" t="s">
        <v>1845</v>
      </c>
      <c r="K38" s="652"/>
      <c r="L38" s="537" t="s">
        <v>1939</v>
      </c>
      <c r="M38" s="537"/>
      <c r="N38" s="537" t="s">
        <v>1940</v>
      </c>
      <c r="O38" s="677"/>
      <c r="P38" s="568" t="s">
        <v>1847</v>
      </c>
      <c r="Q38" s="537" t="s">
        <v>1848</v>
      </c>
      <c r="R38" s="537" t="s">
        <v>1849</v>
      </c>
      <c r="S38" s="537" t="s">
        <v>375</v>
      </c>
      <c r="T38" s="537" t="s">
        <v>1850</v>
      </c>
      <c r="U38" s="722"/>
      <c r="V38" s="634"/>
    </row>
    <row r="39" spans="2:22" outlineLevel="1" x14ac:dyDescent="0.25">
      <c r="B39" s="552">
        <v>161</v>
      </c>
      <c r="C39" s="533" t="str">
        <f>IF(ISERROR(VLOOKUP(B39,'Base de Datos'!$C$487:$F$4092,2,0))=TRUE,"",(VLOOKUP('Presupuesto - PAA 2017'!B39,'Base de Datos'!$C$7:$F$4092,3,0)))</f>
        <v/>
      </c>
      <c r="D39" s="533" t="str">
        <f>IF(ISERROR(VLOOKUP(B39,'Base de Datos'!$C$487:$F$4092,3,0))=TRUE,"",(VLOOKUP('Presupuesto - PAA 2017'!B39,'Base de Datos'!$C$487:$F$4092,4,0)))</f>
        <v/>
      </c>
      <c r="E39" s="536">
        <f>VLOOKUP(B39,[7]PAA2017!$C$65:$AA$255,20,0)</f>
        <v>22500000</v>
      </c>
      <c r="F39" s="534" t="str">
        <f>VLOOKUP(B39,[8]SOLICITUDES!$B$3:$H$278,2,0)</f>
        <v>SI</v>
      </c>
      <c r="G39" s="555"/>
      <c r="H39" s="555"/>
      <c r="I39" s="555"/>
      <c r="J39" s="536" t="str">
        <f>IF(ISERROR(VLOOKUP(B39,'Base de Datos'!$C$487:$N$4092,6,0))=TRUE,"Sin Celebrar",(VLOOKUP(B39,'Base de Datos'!$C$487:$N$4092,7,0)))</f>
        <v>Sin Celebrar</v>
      </c>
      <c r="K39" s="604"/>
      <c r="L39" s="580">
        <f t="shared" ref="L39:L46" si="4">IF(J39=$AA$1,E39, " ")</f>
        <v>22500000</v>
      </c>
      <c r="M39" s="554"/>
      <c r="N39" s="536" t="str">
        <f t="shared" ref="N39:N47" si="5">IF(J39&lt;E39,(E39-J39)," ")</f>
        <v xml:space="preserve"> </v>
      </c>
      <c r="O39" s="719" t="str">
        <f>IF(ISERROR(VLOOKUP(B39,'Base de Datos'!$C$487:$K$1048576,7,0))=TRUE," ",(VLOOKUP(B39,'Base de Datos'!$C$487:$K$1048576,8,0)))</f>
        <v xml:space="preserve"> </v>
      </c>
      <c r="P39" s="551" t="str">
        <f>IF(ISERROR(VLOOKUP(B39,'Base de Datos'!$C$487:$N$4077,9,0))=TRUE," ",(VLOOKUP(B39,'Base de Datos'!$C$487:$N$4077,10,0)))</f>
        <v xml:space="preserve"> </v>
      </c>
      <c r="Q39" s="737"/>
      <c r="R39" s="551" t="str">
        <f>IF(ISERROR(VLOOKUP(B39,'Base de Datos'!$C$487:$N$4077,10,0))=TRUE," ",(VLOOKUP(B39,'Base de Datos'!$C$487:$N$4077,11,0)))</f>
        <v xml:space="preserve"> </v>
      </c>
      <c r="S39" s="551" t="str">
        <f>IF(ISERROR(VLOOKUP(B39,'Base de Datos'!$C$487:$N$4077,11,0))=TRUE," ",(VLOOKUP(B39,'Base de Datos'!$C$487:$N$4077,12,0)))</f>
        <v xml:space="preserve"> </v>
      </c>
      <c r="T39" s="533" t="e">
        <f>VLOOKUP(B39,'Base de Datos'!$C$487:$AR$4129,41,0)</f>
        <v>#N/A</v>
      </c>
      <c r="U39" s="722"/>
      <c r="V39" s="634"/>
    </row>
    <row r="40" spans="2:22" outlineLevel="1" x14ac:dyDescent="0.25">
      <c r="B40" s="552">
        <v>162</v>
      </c>
      <c r="C40" s="533" t="str">
        <f>IF(ISERROR(VLOOKUP(B40,'Base de Datos'!$C$487:$F$4092,2,0))=TRUE,"",(VLOOKUP('Presupuesto - PAA 2017'!B40,'Base de Datos'!$C$7:$F$4092,3,0)))</f>
        <v/>
      </c>
      <c r="D40" s="533" t="str">
        <f>IF(ISERROR(VLOOKUP(B40,'Base de Datos'!$C$487:$F$4092,3,0))=TRUE,"",(VLOOKUP('Presupuesto - PAA 2017'!B40,'Base de Datos'!$C$487:$F$4092,4,0)))</f>
        <v/>
      </c>
      <c r="E40" s="536">
        <f>VLOOKUP(B40,[7]PAA2017!$C$65:$AA$255,20,0)</f>
        <v>22500000</v>
      </c>
      <c r="F40" s="534" t="e">
        <f>VLOOKUP(B40,[8]SOLICITUDES!$B$3:$H$278,2,0)</f>
        <v>#N/A</v>
      </c>
      <c r="G40" s="555"/>
      <c r="H40" s="555"/>
      <c r="I40" s="555"/>
      <c r="J40" s="536" t="str">
        <f>IF(ISERROR(VLOOKUP(B40,'Base de Datos'!$C$487:$N$4092,6,0))=TRUE,"Sin Celebrar",(VLOOKUP(B40,'Base de Datos'!$C$487:$N$4092,7,0)))</f>
        <v>Sin Celebrar</v>
      </c>
      <c r="K40" s="604"/>
      <c r="L40" s="580">
        <f t="shared" si="4"/>
        <v>22500000</v>
      </c>
      <c r="M40" s="554"/>
      <c r="N40" s="536" t="str">
        <f t="shared" si="5"/>
        <v xml:space="preserve"> </v>
      </c>
      <c r="O40" s="719" t="str">
        <f>IF(ISERROR(VLOOKUP(B40,'Base de Datos'!$C$487:$K$1048576,7,0))=TRUE," ",(VLOOKUP(B40,'Base de Datos'!$C$487:$K$1048576,8,0)))</f>
        <v xml:space="preserve"> </v>
      </c>
      <c r="P40" s="551" t="str">
        <f>IF(ISERROR(VLOOKUP(B40,'Base de Datos'!$C$487:$N$4077,9,0))=TRUE," ",(VLOOKUP(B40,'Base de Datos'!$C$487:$N$4077,10,0)))</f>
        <v xml:space="preserve"> </v>
      </c>
      <c r="Q40" s="737"/>
      <c r="R40" s="551" t="str">
        <f>IF(ISERROR(VLOOKUP(B40,'Base de Datos'!$C$487:$N$4077,10,0))=TRUE," ",(VLOOKUP(B40,'Base de Datos'!$C$487:$N$4077,11,0)))</f>
        <v xml:space="preserve"> </v>
      </c>
      <c r="S40" s="551" t="str">
        <f>IF(ISERROR(VLOOKUP(B40,'Base de Datos'!$C$487:$N$4077,11,0))=TRUE," ",(VLOOKUP(B40,'Base de Datos'!$C$487:$N$4077,12,0)))</f>
        <v xml:space="preserve"> </v>
      </c>
      <c r="T40" s="533" t="e">
        <f>VLOOKUP(B40,'Base de Datos'!$C$487:$AR$4129,41,0)</f>
        <v>#N/A</v>
      </c>
      <c r="U40" s="722"/>
      <c r="V40" s="634"/>
    </row>
    <row r="41" spans="2:22" outlineLevel="1" x14ac:dyDescent="0.25">
      <c r="B41" s="552">
        <v>163</v>
      </c>
      <c r="C41" s="533" t="str">
        <f>IF(ISERROR(VLOOKUP(B41,'Base de Datos'!$C$487:$F$4092,2,0))=TRUE,"",(VLOOKUP('Presupuesto - PAA 2017'!B41,'Base de Datos'!$C$7:$F$4092,3,0)))</f>
        <v>170139-0-2017</v>
      </c>
      <c r="D41" s="533" t="str">
        <f>IF(ISERROR(VLOOKUP(B41,'Base de Datos'!$C$487:$F$4092,3,0))=TRUE,"",(VLOOKUP('Presupuesto - PAA 2017'!B41,'Base de Datos'!$C$487:$F$4092,4,0)))</f>
        <v>BRAYAN JEFERSON VARON AGUIRRE</v>
      </c>
      <c r="E41" s="536">
        <f>VLOOKUP(B41,[7]PAA2017!$C$65:$AA$255,20,0)</f>
        <v>22500000</v>
      </c>
      <c r="F41" s="534" t="str">
        <f>VLOOKUP(B41,[8]SOLICITUDES!$B$3:$H$278,2,0)</f>
        <v>SI</v>
      </c>
      <c r="G41" s="555"/>
      <c r="H41" s="555"/>
      <c r="I41" s="555"/>
      <c r="J41" s="536">
        <f>IF(ISERROR(VLOOKUP(B41,'Base de Datos'!$C$487:$N$4092,6,0))=TRUE,"Sin Celebrar",(VLOOKUP(B41,'Base de Datos'!$C$487:$N$4092,7,0)))</f>
        <v>13500000</v>
      </c>
      <c r="K41" s="604"/>
      <c r="L41" s="580" t="str">
        <f t="shared" si="4"/>
        <v xml:space="preserve"> </v>
      </c>
      <c r="M41" s="554"/>
      <c r="N41" s="536">
        <f t="shared" si="5"/>
        <v>9000000</v>
      </c>
      <c r="O41" s="719" t="str">
        <f>IF(ISERROR(VLOOKUP(B41,'Base de Datos'!$C$487:$K$1048576,7,0))=TRUE," ",(VLOOKUP(B41,'Base de Datos'!$C$487:$K$1048576,8,0)))</f>
        <v>170139-0-2017</v>
      </c>
      <c r="P41" s="551">
        <f>IF(ISERROR(VLOOKUP(B41,'Base de Datos'!$C$487:$N$4077,9,0))=TRUE," ",(VLOOKUP(B41,'Base de Datos'!$C$487:$N$4077,10,0)))</f>
        <v>42872</v>
      </c>
      <c r="Q41" s="737"/>
      <c r="R41" s="551">
        <f>IF(ISERROR(VLOOKUP(B41,'Base de Datos'!$C$487:$N$4077,10,0))=TRUE," ",(VLOOKUP(B41,'Base de Datos'!$C$487:$N$4077,11,0)))</f>
        <v>42887</v>
      </c>
      <c r="S41" s="551">
        <f>IF(ISERROR(VLOOKUP(B41,'Base de Datos'!$C$487:$N$4077,11,0))=TRUE," ",(VLOOKUP(B41,'Base de Datos'!$C$487:$N$4077,12,0)))</f>
        <v>43160</v>
      </c>
      <c r="T41" s="533" t="str">
        <f>VLOOKUP(B41,'Base de Datos'!$C$487:$AR$4129,41,0)</f>
        <v>SI</v>
      </c>
      <c r="U41" s="722"/>
      <c r="V41" s="634"/>
    </row>
    <row r="42" spans="2:22" outlineLevel="1" x14ac:dyDescent="0.25">
      <c r="B42" s="552">
        <v>164</v>
      </c>
      <c r="C42" s="533" t="str">
        <f>IF(ISERROR(VLOOKUP(B42,'Base de Datos'!$C$487:$F$4092,2,0))=TRUE,"",(VLOOKUP('Presupuesto - PAA 2017'!B42,'Base de Datos'!$C$7:$F$4092,3,0)))</f>
        <v>150358-0-2015</v>
      </c>
      <c r="D42" s="533" t="str">
        <f>IF(ISERROR(VLOOKUP(B42,'Base de Datos'!$C$487:$F$4092,3,0))=TRUE,"",(VLOOKUP('Presupuesto - PAA 2017'!B42,'Base de Datos'!$C$487:$F$4092,4,0)))</f>
        <v>MANUEL FELIPE VEGA NOVOA</v>
      </c>
      <c r="E42" s="536">
        <f>VLOOKUP(B42,[7]PAA2017!$C$65:$AA$255,20,0)</f>
        <v>22500000</v>
      </c>
      <c r="F42" s="534" t="e">
        <f>VLOOKUP(B42,[8]SOLICITUDES!$B$3:$H$278,2,0)</f>
        <v>#N/A</v>
      </c>
      <c r="G42" s="555"/>
      <c r="H42" s="555"/>
      <c r="I42" s="555"/>
      <c r="J42" s="536">
        <f>IF(ISERROR(VLOOKUP(B42,'Base de Datos'!$C$487:$N$4092,6,0))=TRUE,"Sin Celebrar",(VLOOKUP(B42,'Base de Datos'!$C$487:$N$4092,7,0)))</f>
        <v>17007466</v>
      </c>
      <c r="K42" s="604"/>
      <c r="L42" s="580" t="str">
        <f t="shared" si="4"/>
        <v xml:space="preserve"> </v>
      </c>
      <c r="M42" s="554"/>
      <c r="N42" s="536">
        <f t="shared" si="5"/>
        <v>5492534</v>
      </c>
      <c r="O42" s="719" t="str">
        <f>IF(ISERROR(VLOOKUP(B42,'Base de Datos'!$C$487:$K$1048576,7,0))=TRUE," ",(VLOOKUP(B42,'Base de Datos'!$C$487:$K$1048576,8,0)))</f>
        <v>SDH-CD-45-2019</v>
      </c>
      <c r="P42" s="551">
        <f>IF(ISERROR(VLOOKUP(B42,'Base de Datos'!$C$487:$N$4077,9,0))=TRUE," ",(VLOOKUP(B42,'Base de Datos'!$C$487:$N$4077,10,0)))</f>
        <v>43501</v>
      </c>
      <c r="Q42" s="737"/>
      <c r="R42" s="551">
        <f>IF(ISERROR(VLOOKUP(B42,'Base de Datos'!$C$487:$N$4077,10,0))=TRUE," ",(VLOOKUP(B42,'Base de Datos'!$C$487:$N$4077,11,0)))</f>
        <v>43504</v>
      </c>
      <c r="S42" s="551">
        <f>IF(ISERROR(VLOOKUP(B42,'Base de Datos'!$C$487:$N$4077,11,0))=TRUE," ",(VLOOKUP(B42,'Base de Datos'!$C$487:$N$4077,12,0)))</f>
        <v>43641</v>
      </c>
      <c r="T42" s="533" t="str">
        <f>VLOOKUP(B42,'Base de Datos'!$C$487:$AR$4129,41,0)</f>
        <v>SI</v>
      </c>
      <c r="U42" s="722"/>
      <c r="V42" s="634"/>
    </row>
    <row r="43" spans="2:22" outlineLevel="1" x14ac:dyDescent="0.25">
      <c r="B43" s="552"/>
      <c r="C43" s="533" t="str">
        <f>IF(ISERROR(VLOOKUP(B43,'Base de Datos'!$C$487:$F$4092,2,0))=TRUE,"",(VLOOKUP('Presupuesto - PAA 2017'!B43,'Base de Datos'!$C$7:$F$4092,3,0)))</f>
        <v/>
      </c>
      <c r="D43" s="533" t="str">
        <f>IF(ISERROR(VLOOKUP(B43,'Base de Datos'!$C$487:$F$4092,3,0))=TRUE,"",(VLOOKUP('Presupuesto - PAA 2017'!B43,'Base de Datos'!$C$487:$F$4092,4,0)))</f>
        <v/>
      </c>
      <c r="E43" s="536" t="e">
        <f>VLOOKUP(B43,[7]PAA2017!$C$65:$AA$255,20,0)</f>
        <v>#N/A</v>
      </c>
      <c r="F43" s="534" t="e">
        <f>VLOOKUP(B43,[8]SOLICITUDES!$B$3:$H$278,2,0)</f>
        <v>#N/A</v>
      </c>
      <c r="G43" s="555"/>
      <c r="H43" s="555"/>
      <c r="I43" s="555"/>
      <c r="J43" s="536" t="str">
        <f>IF(ISERROR(VLOOKUP(B43,'Base de Datos'!$C$487:$N$4092,6,0))=TRUE,"Sin Celebrar",(VLOOKUP(B43,'Base de Datos'!$C$487:$N$4092,7,0)))</f>
        <v>Sin Celebrar</v>
      </c>
      <c r="K43" s="604"/>
      <c r="L43" s="580" t="e">
        <f t="shared" si="4"/>
        <v>#N/A</v>
      </c>
      <c r="M43" s="554"/>
      <c r="N43" s="536" t="e">
        <f t="shared" si="5"/>
        <v>#N/A</v>
      </c>
      <c r="O43" s="719" t="str">
        <f>IF(ISERROR(VLOOKUP(B43,'Base de Datos'!$C$487:$K$1048576,7,0))=TRUE," ",(VLOOKUP(B43,'Base de Datos'!$C$487:$K$1048576,8,0)))</f>
        <v xml:space="preserve"> </v>
      </c>
      <c r="P43" s="551" t="str">
        <f>IF(ISERROR(VLOOKUP(B43,'Base de Datos'!$C$487:$N$4077,9,0))=TRUE," ",(VLOOKUP(B43,'Base de Datos'!$C$487:$N$4077,10,0)))</f>
        <v xml:space="preserve"> </v>
      </c>
      <c r="Q43" s="737"/>
      <c r="R43" s="551" t="str">
        <f>IF(ISERROR(VLOOKUP(B43,'Base de Datos'!$C$487:$N$4077,10,0))=TRUE," ",(VLOOKUP(B43,'Base de Datos'!$C$487:$N$4077,11,0)))</f>
        <v xml:space="preserve"> </v>
      </c>
      <c r="S43" s="551" t="str">
        <f>IF(ISERROR(VLOOKUP(B43,'Base de Datos'!$C$487:$N$4077,11,0))=TRUE," ",(VLOOKUP(B43,'Base de Datos'!$C$487:$N$4077,12,0)))</f>
        <v xml:space="preserve"> </v>
      </c>
      <c r="T43" s="533" t="e">
        <f>VLOOKUP(B43,'Base de Datos'!$C$487:$AR$4129,41,0)</f>
        <v>#N/A</v>
      </c>
      <c r="U43" s="722"/>
      <c r="V43" s="634"/>
    </row>
    <row r="44" spans="2:22" outlineLevel="1" x14ac:dyDescent="0.25">
      <c r="B44" s="552"/>
      <c r="C44" s="533" t="str">
        <f>IF(ISERROR(VLOOKUP(B44,'Base de Datos'!$C$487:$F$4092,2,0))=TRUE,"",(VLOOKUP('Presupuesto - PAA 2017'!B44,'Base de Datos'!$C$7:$F$4092,3,0)))</f>
        <v/>
      </c>
      <c r="D44" s="533" t="str">
        <f>IF(ISERROR(VLOOKUP(B44,'Base de Datos'!$C$487:$F$4092,3,0))=TRUE,"",(VLOOKUP('Presupuesto - PAA 2017'!B44,'Base de Datos'!$C$487:$F$4092,4,0)))</f>
        <v/>
      </c>
      <c r="E44" s="536" t="e">
        <f>VLOOKUP(B44,[7]PAA2017!$C$65:$AA$255,20,0)</f>
        <v>#N/A</v>
      </c>
      <c r="F44" s="534" t="e">
        <f>VLOOKUP(B44,[8]SOLICITUDES!$B$3:$H$278,2,0)</f>
        <v>#N/A</v>
      </c>
      <c r="G44" s="555"/>
      <c r="H44" s="555"/>
      <c r="I44" s="555"/>
      <c r="J44" s="536" t="str">
        <f>IF(ISERROR(VLOOKUP(B44,'Base de Datos'!$C$487:$N$4092,6,0))=TRUE,"Sin Celebrar",(VLOOKUP(B44,'Base de Datos'!$C$487:$N$4092,7,0)))</f>
        <v>Sin Celebrar</v>
      </c>
      <c r="K44" s="604"/>
      <c r="L44" s="580" t="e">
        <f t="shared" si="4"/>
        <v>#N/A</v>
      </c>
      <c r="M44" s="554"/>
      <c r="N44" s="536" t="e">
        <f t="shared" si="5"/>
        <v>#N/A</v>
      </c>
      <c r="O44" s="719" t="str">
        <f>IF(ISERROR(VLOOKUP(B44,'Base de Datos'!$C$487:$K$1048576,7,0))=TRUE," ",(VLOOKUP(B44,'Base de Datos'!$C$487:$K$1048576,8,0)))</f>
        <v xml:space="preserve"> </v>
      </c>
      <c r="P44" s="551" t="str">
        <f>IF(ISERROR(VLOOKUP(B44,'Base de Datos'!$C$487:$N$4077,9,0))=TRUE," ",(VLOOKUP(B44,'Base de Datos'!$C$487:$N$4077,10,0)))</f>
        <v xml:space="preserve"> </v>
      </c>
      <c r="Q44" s="737"/>
      <c r="R44" s="551" t="str">
        <f>IF(ISERROR(VLOOKUP(B44,'Base de Datos'!$C$487:$N$4077,10,0))=TRUE," ",(VLOOKUP(B44,'Base de Datos'!$C$487:$N$4077,11,0)))</f>
        <v xml:space="preserve"> </v>
      </c>
      <c r="S44" s="551" t="str">
        <f>IF(ISERROR(VLOOKUP(B44,'Base de Datos'!$C$487:$N$4077,11,0))=TRUE," ",(VLOOKUP(B44,'Base de Datos'!$C$487:$N$4077,12,0)))</f>
        <v xml:space="preserve"> </v>
      </c>
      <c r="T44" s="533" t="e">
        <f>VLOOKUP(B44,'Base de Datos'!$C$487:$AR$4129,41,0)</f>
        <v>#N/A</v>
      </c>
      <c r="U44" s="722"/>
      <c r="V44" s="634"/>
    </row>
    <row r="45" spans="2:22" outlineLevel="1" x14ac:dyDescent="0.25">
      <c r="B45" s="552"/>
      <c r="C45" s="533" t="str">
        <f>IF(ISERROR(VLOOKUP(B45,'Base de Datos'!$C$487:$F$4092,2,0))=TRUE,"",(VLOOKUP('Presupuesto - PAA 2017'!B45,'Base de Datos'!$C$7:$F$4092,3,0)))</f>
        <v/>
      </c>
      <c r="D45" s="533" t="str">
        <f>IF(ISERROR(VLOOKUP(B45,'Base de Datos'!$C$487:$F$4092,3,0))=TRUE,"",(VLOOKUP('Presupuesto - PAA 2017'!B45,'Base de Datos'!$C$487:$F$4092,4,0)))</f>
        <v/>
      </c>
      <c r="E45" s="536" t="e">
        <f>VLOOKUP(B45,[7]PAA2017!$C$65:$AA$255,20,0)</f>
        <v>#N/A</v>
      </c>
      <c r="F45" s="534" t="e">
        <f>VLOOKUP(B45,[8]SOLICITUDES!$B$3:$H$278,2,0)</f>
        <v>#N/A</v>
      </c>
      <c r="G45" s="555"/>
      <c r="H45" s="555"/>
      <c r="I45" s="555"/>
      <c r="J45" s="536" t="str">
        <f>IF(ISERROR(VLOOKUP(B45,'Base de Datos'!$C$487:$N$4092,6,0))=TRUE,"Sin Celebrar",(VLOOKUP(B45,'Base de Datos'!$C$487:$N$4092,7,0)))</f>
        <v>Sin Celebrar</v>
      </c>
      <c r="K45" s="604"/>
      <c r="L45" s="580" t="e">
        <f t="shared" si="4"/>
        <v>#N/A</v>
      </c>
      <c r="M45" s="554"/>
      <c r="N45" s="536" t="e">
        <f t="shared" si="5"/>
        <v>#N/A</v>
      </c>
      <c r="O45" s="719" t="str">
        <f>IF(ISERROR(VLOOKUP(B45,'Base de Datos'!$C$487:$K$1048576,7,0))=TRUE," ",(VLOOKUP(B45,'Base de Datos'!$C$487:$K$1048576,8,0)))</f>
        <v xml:space="preserve"> </v>
      </c>
      <c r="P45" s="551" t="str">
        <f>IF(ISERROR(VLOOKUP(B45,'Base de Datos'!$C$487:$N$4077,9,0))=TRUE," ",(VLOOKUP(B45,'Base de Datos'!$C$487:$N$4077,10,0)))</f>
        <v xml:space="preserve"> </v>
      </c>
      <c r="Q45" s="737"/>
      <c r="R45" s="551" t="str">
        <f>IF(ISERROR(VLOOKUP(B45,'Base de Datos'!$C$487:$N$4077,10,0))=TRUE," ",(VLOOKUP(B45,'Base de Datos'!$C$487:$N$4077,11,0)))</f>
        <v xml:space="preserve"> </v>
      </c>
      <c r="S45" s="551" t="str">
        <f>IF(ISERROR(VLOOKUP(B45,'Base de Datos'!$C$487:$N$4077,11,0))=TRUE," ",(VLOOKUP(B45,'Base de Datos'!$C$487:$N$4077,12,0)))</f>
        <v xml:space="preserve"> </v>
      </c>
      <c r="T45" s="533" t="e">
        <f>VLOOKUP(B45,'Base de Datos'!$C$487:$AR$4129,41,0)</f>
        <v>#N/A</v>
      </c>
      <c r="U45" s="722"/>
      <c r="V45" s="634"/>
    </row>
    <row r="46" spans="2:22" outlineLevel="1" x14ac:dyDescent="0.25">
      <c r="B46" s="552"/>
      <c r="C46" s="533" t="str">
        <f>IF(ISERROR(VLOOKUP(B46,'Base de Datos'!$C$487:$F$4092,2,0))=TRUE,"",(VLOOKUP('Presupuesto - PAA 2017'!B46,'Base de Datos'!$C$7:$F$4092,3,0)))</f>
        <v/>
      </c>
      <c r="D46" s="533" t="str">
        <f>IF(ISERROR(VLOOKUP(B46,'Base de Datos'!$C$487:$F$4092,3,0))=TRUE,"",(VLOOKUP('Presupuesto - PAA 2017'!B46,'Base de Datos'!$C$487:$F$4092,4,0)))</f>
        <v/>
      </c>
      <c r="E46" s="536" t="e">
        <f>VLOOKUP(B46,[7]PAA2017!$C$65:$AA$255,20,0)</f>
        <v>#N/A</v>
      </c>
      <c r="F46" s="534" t="e">
        <f>VLOOKUP(B46,[8]SOLICITUDES!$B$3:$H$278,2,0)</f>
        <v>#N/A</v>
      </c>
      <c r="G46" s="555"/>
      <c r="H46" s="555"/>
      <c r="I46" s="555"/>
      <c r="J46" s="536" t="str">
        <f>IF(ISERROR(VLOOKUP(B46,'Base de Datos'!$C$487:$N$4092,6,0))=TRUE,"Sin Celebrar",(VLOOKUP(B46,'Base de Datos'!$C$487:$N$4092,7,0)))</f>
        <v>Sin Celebrar</v>
      </c>
      <c r="K46" s="604"/>
      <c r="L46" s="580" t="e">
        <f t="shared" si="4"/>
        <v>#N/A</v>
      </c>
      <c r="M46" s="554"/>
      <c r="N46" s="536" t="e">
        <f t="shared" si="5"/>
        <v>#N/A</v>
      </c>
      <c r="O46" s="719" t="str">
        <f>IF(ISERROR(VLOOKUP(B46,'Base de Datos'!$C$487:$K$1048576,7,0))=TRUE," ",(VLOOKUP(B46,'Base de Datos'!$C$487:$K$1048576,8,0)))</f>
        <v xml:space="preserve"> </v>
      </c>
      <c r="P46" s="551" t="str">
        <f>IF(ISERROR(VLOOKUP(B46,'Base de Datos'!$C$487:$N$4077,9,0))=TRUE," ",(VLOOKUP(B46,'Base de Datos'!$C$487:$N$4077,10,0)))</f>
        <v xml:space="preserve"> </v>
      </c>
      <c r="Q46" s="737"/>
      <c r="R46" s="551" t="str">
        <f>IF(ISERROR(VLOOKUP(B46,'Base de Datos'!$C$487:$N$4077,10,0))=TRUE," ",(VLOOKUP(B46,'Base de Datos'!$C$487:$N$4077,11,0)))</f>
        <v xml:space="preserve"> </v>
      </c>
      <c r="S46" s="551" t="str">
        <f>IF(ISERROR(VLOOKUP(B46,'Base de Datos'!$C$487:$N$4077,11,0))=TRUE," ",(VLOOKUP(B46,'Base de Datos'!$C$487:$N$4077,12,0)))</f>
        <v xml:space="preserve"> </v>
      </c>
      <c r="T46" s="533" t="e">
        <f>VLOOKUP(B46,'Base de Datos'!$C$487:$AR$4129,41,0)</f>
        <v>#N/A</v>
      </c>
      <c r="U46" s="722"/>
      <c r="V46" s="634"/>
    </row>
    <row r="47" spans="2:22" outlineLevel="1" x14ac:dyDescent="0.25">
      <c r="B47" s="552"/>
      <c r="C47" s="553"/>
      <c r="D47" s="553" t="s">
        <v>1935</v>
      </c>
      <c r="E47" s="536" t="e">
        <f>E37-SUM(E39:E46)</f>
        <v>#N/A</v>
      </c>
      <c r="F47" s="555"/>
      <c r="G47" s="555"/>
      <c r="H47" s="555"/>
      <c r="I47" s="555"/>
      <c r="J47" s="536"/>
      <c r="K47" s="604"/>
      <c r="L47" s="554"/>
      <c r="M47" s="554"/>
      <c r="N47" s="554" t="e">
        <f t="shared" si="5"/>
        <v>#N/A</v>
      </c>
      <c r="O47" s="679"/>
      <c r="P47" s="556"/>
      <c r="Q47" s="553"/>
      <c r="R47" s="556"/>
      <c r="S47" s="556"/>
      <c r="T47" s="533"/>
      <c r="U47" s="722"/>
      <c r="V47" s="634"/>
    </row>
    <row r="48" spans="2:22" outlineLevel="1" x14ac:dyDescent="0.25">
      <c r="B48" s="1190"/>
      <c r="C48" s="1190"/>
      <c r="D48" s="1190"/>
      <c r="E48" s="536"/>
      <c r="F48" s="534"/>
      <c r="G48" s="534"/>
      <c r="H48" s="534"/>
      <c r="I48" s="534"/>
      <c r="J48" s="536"/>
      <c r="K48" s="600"/>
      <c r="L48" s="536"/>
      <c r="M48" s="536"/>
      <c r="N48" s="536"/>
      <c r="O48" s="678"/>
      <c r="P48" s="551"/>
      <c r="Q48" s="533"/>
      <c r="R48" s="551"/>
      <c r="S48" s="551"/>
      <c r="T48" s="533"/>
      <c r="U48" s="722"/>
      <c r="V48" s="634"/>
    </row>
    <row r="49" spans="2:22" ht="15" customHeight="1" x14ac:dyDescent="0.25">
      <c r="B49" s="1196" t="s">
        <v>1793</v>
      </c>
      <c r="C49" s="1196"/>
      <c r="D49" s="1196"/>
      <c r="E49" s="557">
        <v>9151221000</v>
      </c>
      <c r="F49" s="633"/>
      <c r="G49" s="558"/>
      <c r="H49" s="558"/>
      <c r="I49" s="558"/>
      <c r="J49" s="567">
        <f>J50+J90+J216</f>
        <v>7282067504</v>
      </c>
      <c r="K49" s="609">
        <f>J49/E49</f>
        <v>0.79574818529680358</v>
      </c>
      <c r="L49" s="567" t="e">
        <f>L50+L90+L216</f>
        <v>#N/A</v>
      </c>
      <c r="M49" s="567" t="e">
        <f>M50+M90+M216</f>
        <v>#N/A</v>
      </c>
      <c r="N49" s="567" t="e">
        <f>N50+N90+N216</f>
        <v>#N/A</v>
      </c>
      <c r="O49" s="685"/>
      <c r="P49" s="567"/>
      <c r="Q49" s="574"/>
      <c r="R49" s="573" t="str">
        <f>IF(ISERROR(VLOOKUP(B49,'Base de Datos'!$C$7:$N$315,9,0))=TRUE," ",(VLOOKUP(B49,'Base de Datos'!$C$7:$N$315,9,0)))</f>
        <v xml:space="preserve"> </v>
      </c>
      <c r="S49" s="573" t="str">
        <f>IF(ISERROR(VLOOKUP(B49,'Base de Datos'!$C$7:$N$315,10,0))=TRUE," ",(VLOOKUP(B49,'Base de Datos'!$C$7:$N$315,10,0)))</f>
        <v xml:space="preserve"> </v>
      </c>
      <c r="T49" s="569"/>
      <c r="U49" s="722"/>
      <c r="V49" s="634"/>
    </row>
    <row r="50" spans="2:22" ht="15" customHeight="1" x14ac:dyDescent="0.25">
      <c r="B50" s="1182" t="s">
        <v>1647</v>
      </c>
      <c r="C50" s="1182"/>
      <c r="D50" s="1182"/>
      <c r="E50" s="539">
        <v>2089000000</v>
      </c>
      <c r="F50" s="631"/>
      <c r="G50" s="540"/>
      <c r="H50" s="540"/>
      <c r="I50" s="540"/>
      <c r="J50" s="631">
        <f>+J51+J75+J82</f>
        <v>1484914187</v>
      </c>
      <c r="K50" s="631"/>
      <c r="L50" s="631" t="e">
        <f>+L51+L75+L82</f>
        <v>#N/A</v>
      </c>
      <c r="M50" s="631" t="e">
        <f>+M51+M75+M82</f>
        <v>#N/A</v>
      </c>
      <c r="N50" s="631" t="e">
        <f>+N51+N75+N82</f>
        <v>#N/A</v>
      </c>
      <c r="O50" s="686"/>
      <c r="P50" s="575" t="str">
        <f>IF(ISERROR(VLOOKUP(B50,'Base de Datos'!$C$7:$N$315,8,0))=TRUE," ",(VLOOKUP(B50,'Base de Datos'!$C$7:$N$315,8,0)))</f>
        <v xml:space="preserve"> </v>
      </c>
      <c r="Q50" s="569"/>
      <c r="R50" s="575" t="str">
        <f>IF(ISERROR(VLOOKUP(B50,'Base de Datos'!$C$7:$N$315,9,0))=TRUE," ",(VLOOKUP(B50,'Base de Datos'!$C$7:$N$315,9,0)))</f>
        <v xml:space="preserve"> </v>
      </c>
      <c r="S50" s="575" t="str">
        <f>IF(ISERROR(VLOOKUP(B50,'Base de Datos'!$C$7:$N$315,10,0))=TRUE," ",(VLOOKUP(B50,'Base de Datos'!$C$7:$N$315,10,0)))</f>
        <v xml:space="preserve"> </v>
      </c>
      <c r="T50" s="569"/>
      <c r="U50" s="722"/>
      <c r="V50" s="634"/>
    </row>
    <row r="51" spans="2:22" ht="15" customHeight="1" x14ac:dyDescent="0.25">
      <c r="B51" s="1181" t="s">
        <v>1648</v>
      </c>
      <c r="C51" s="1181"/>
      <c r="D51" s="1181"/>
      <c r="E51" s="581">
        <v>1414000000</v>
      </c>
      <c r="F51" s="586">
        <f>COUNTIF('Actualizada - presupuesto'!$E$7:$E$111,B51)</f>
        <v>15</v>
      </c>
      <c r="G51" s="586"/>
      <c r="H51" s="586"/>
      <c r="I51" s="586"/>
      <c r="J51" s="581">
        <f>SUM(J54:J72)</f>
        <v>655548587</v>
      </c>
      <c r="K51" s="603">
        <f>J51/E51</f>
        <v>0.46361286209335217</v>
      </c>
      <c r="L51" s="581" t="e">
        <f>SUM(L54:L72)</f>
        <v>#N/A</v>
      </c>
      <c r="M51" s="585" t="e">
        <f>+E51-(J51+L51)</f>
        <v>#N/A</v>
      </c>
      <c r="N51" s="581" t="e">
        <f>+E51-J51-L51</f>
        <v>#N/A</v>
      </c>
      <c r="O51" s="684"/>
      <c r="P51" s="591" t="str">
        <f>IF(ISERROR(VLOOKUP(B51,'Base de Datos'!$C$7:$N$315,8,0))=TRUE," ",(VLOOKUP(B51,'Base de Datos'!$C$7:$N$315,8,0)))</f>
        <v xml:space="preserve"> </v>
      </c>
      <c r="Q51" s="592"/>
      <c r="R51" s="591" t="str">
        <f>IF(ISERROR(VLOOKUP(B51,'Base de Datos'!$C$7:$N$315,9,0))=TRUE," ",(VLOOKUP(B51,'Base de Datos'!$C$7:$N$315,9,0)))</f>
        <v xml:space="preserve"> </v>
      </c>
      <c r="S51" s="591" t="str">
        <f>IF(ISERROR(VLOOKUP(B51,'Base de Datos'!$C$7:$N$315,10,0))=TRUE," ",(VLOOKUP(B51,'Base de Datos'!$C$7:$N$315,10,0)))</f>
        <v xml:space="preserve"> </v>
      </c>
      <c r="T51" s="592"/>
      <c r="U51" s="722"/>
      <c r="V51" s="634"/>
    </row>
    <row r="52" spans="2:22" ht="24" outlineLevel="1" x14ac:dyDescent="0.25">
      <c r="B52" s="537" t="s">
        <v>1693</v>
      </c>
      <c r="C52" s="537" t="s">
        <v>912</v>
      </c>
      <c r="D52" s="537" t="s">
        <v>1822</v>
      </c>
      <c r="E52" s="545" t="s">
        <v>1846</v>
      </c>
      <c r="F52" s="534" t="s">
        <v>1853</v>
      </c>
      <c r="G52" s="534"/>
      <c r="H52" s="534"/>
      <c r="I52" s="534"/>
      <c r="J52" s="537" t="s">
        <v>1845</v>
      </c>
      <c r="K52" s="652"/>
      <c r="L52" s="537" t="s">
        <v>1939</v>
      </c>
      <c r="M52" s="537"/>
      <c r="N52" s="537" t="s">
        <v>1940</v>
      </c>
      <c r="O52" s="677"/>
      <c r="P52" s="568" t="s">
        <v>1847</v>
      </c>
      <c r="Q52" s="537" t="s">
        <v>1848</v>
      </c>
      <c r="R52" s="537" t="s">
        <v>1849</v>
      </c>
      <c r="S52" s="537" t="s">
        <v>375</v>
      </c>
      <c r="T52" s="537" t="s">
        <v>1850</v>
      </c>
      <c r="U52" s="722"/>
      <c r="V52" s="634"/>
    </row>
    <row r="53" spans="2:22" ht="24" outlineLevel="1" x14ac:dyDescent="0.25">
      <c r="B53" s="537">
        <v>63</v>
      </c>
      <c r="C53" s="533" t="str">
        <f>IF(ISERROR(VLOOKUP(B53,'Base de Datos'!$C$487:$F$4092,2,0))=TRUE,"",(VLOOKUP('Presupuesto - PAA 2017'!B53,'Base de Datos'!$C$7:$F$4092,3,0)))</f>
        <v>150249-0-2015</v>
      </c>
      <c r="D53" s="533" t="str">
        <f>IF(ISERROR(VLOOKUP(B53,'Base de Datos'!$C$487:$F$4092,3,0))=TRUE,"",(VLOOKUP('Presupuesto - PAA 2017'!B53,'Base de Datos'!$C$487:$F$4092,4,0)))</f>
        <v>MONRAK INGENIERIA LTDA</v>
      </c>
      <c r="E53" s="536">
        <f>VLOOKUP(B53,[7]PAA2017!$C$65:$AA$255,20,0)</f>
        <v>8638000</v>
      </c>
      <c r="F53" s="534" t="e">
        <f>VLOOKUP(B53,[8]SOLICITUDES!$B$3:$H$278,2,0)</f>
        <v>#N/A</v>
      </c>
      <c r="G53" s="534"/>
      <c r="H53" s="534"/>
      <c r="I53" s="534"/>
      <c r="J53" s="536">
        <f>IF(ISERROR(VLOOKUP(B53,'Base de Datos'!$C$487:$N$4092,6,0))=TRUE,"Sin Celebrar",(VLOOKUP(B53,'Base de Datos'!$C$487:$N$4092,7,0)))</f>
        <v>1800000</v>
      </c>
      <c r="K53" s="600"/>
      <c r="L53" s="580" t="str">
        <f t="shared" ref="L53:L67" si="6">IF(J53=$AA$1,E53, " ")</f>
        <v xml:space="preserve"> </v>
      </c>
      <c r="M53" s="536"/>
      <c r="N53" s="536">
        <f t="shared" ref="N53:N67" si="7">IF(J53&lt;E53,(E53-J53)," ")</f>
        <v>6838000</v>
      </c>
      <c r="O53" s="719" t="str">
        <f>IF(ISERROR(VLOOKUP(B53,'Base de Datos'!$C$487:$K$1048576,7,0))=TRUE," ",(VLOOKUP(B53,'Base de Datos'!$C$487:$K$1048576,8,0)))</f>
        <v>SDH-SMINC-44-2018</v>
      </c>
      <c r="P53" s="551">
        <f>IF(ISERROR(VLOOKUP(B53,'Base de Datos'!$C$487:$N$4077,9,0))=TRUE," ",(VLOOKUP(B53,'Base de Datos'!$C$487:$N$4077,10,0)))</f>
        <v>43390</v>
      </c>
      <c r="Q53" s="737"/>
      <c r="R53" s="551">
        <f>IF(ISERROR(VLOOKUP(B53,'Base de Datos'!$C$487:$N$4077,10,0))=TRUE," ",(VLOOKUP(B53,'Base de Datos'!$C$487:$N$4077,11,0)))</f>
        <v>43397</v>
      </c>
      <c r="S53" s="551">
        <f>IF(ISERROR(VLOOKUP(B53,'Base de Datos'!$C$487:$N$4077,11,0))=TRUE," ",(VLOOKUP(B53,'Base de Datos'!$C$487:$N$4077,12,0)))</f>
        <v>43761</v>
      </c>
      <c r="T53" s="533" t="str">
        <f>VLOOKUP(B53,'Base de Datos'!$C$487:$AR$4129,41,0)</f>
        <v>SI</v>
      </c>
      <c r="U53" s="722"/>
      <c r="V53" s="634"/>
    </row>
    <row r="54" spans="2:22" ht="12" customHeight="1" outlineLevel="1" x14ac:dyDescent="0.25">
      <c r="B54" s="537">
        <v>73</v>
      </c>
      <c r="C54" s="533" t="str">
        <f>IF(ISERROR(VLOOKUP(B54,'Base de Datos'!$C$487:$F$4092,2,0))=TRUE,"",(VLOOKUP('Presupuesto - PAA 2017'!B54,'Base de Datos'!$C$7:$F$4092,3,0)))</f>
        <v>170186-0-2017</v>
      </c>
      <c r="D54" s="533" t="str">
        <f>IF(ISERROR(VLOOKUP(B54,'Base de Datos'!$C$487:$F$4092,3,0))=TRUE,"",(VLOOKUP('Presupuesto - PAA 2017'!B54,'Base de Datos'!$C$487:$F$4092,4,0)))</f>
        <v xml:space="preserve">INFORMATICA DOCUMENTAL SAS </v>
      </c>
      <c r="E54" s="536">
        <f>VLOOKUP(B54,[7]PAA2017!$C$65:$AA$255,20,0)</f>
        <v>8320000</v>
      </c>
      <c r="F54" s="534" t="e">
        <f>VLOOKUP(B54,[8]SOLICITUDES!$B$3:$H$278,2,0)</f>
        <v>#N/A</v>
      </c>
      <c r="G54" s="534"/>
      <c r="H54" s="534"/>
      <c r="I54" s="534"/>
      <c r="J54" s="536">
        <f>IF(ISERROR(VLOOKUP(B54,'Base de Datos'!$C$487:$N$4092,6,0))=TRUE,"Sin Celebrar",(VLOOKUP(B54,'Base de Datos'!$C$487:$N$4092,7,0)))</f>
        <v>8320000</v>
      </c>
      <c r="K54" s="600"/>
      <c r="L54" s="580" t="str">
        <f t="shared" si="6"/>
        <v xml:space="preserve"> </v>
      </c>
      <c r="M54" s="536"/>
      <c r="N54" s="536" t="str">
        <f t="shared" si="7"/>
        <v xml:space="preserve"> </v>
      </c>
      <c r="O54" s="719" t="str">
        <f>IF(ISERROR(VLOOKUP(B54,'Base de Datos'!$C$487:$K$1048576,7,0))=TRUE," ",(VLOOKUP(B54,'Base de Datos'!$C$487:$K$1048576,8,0)))</f>
        <v>170186-0-2017</v>
      </c>
      <c r="P54" s="551">
        <f>IF(ISERROR(VLOOKUP(B54,'Base de Datos'!$C$487:$N$4077,9,0))=TRUE," ",(VLOOKUP(B54,'Base de Datos'!$C$487:$N$4077,10,0)))</f>
        <v>42934</v>
      </c>
      <c r="Q54" s="737"/>
      <c r="R54" s="551">
        <f>IF(ISERROR(VLOOKUP(B54,'Base de Datos'!$C$487:$N$4077,10,0))=TRUE," ",(VLOOKUP(B54,'Base de Datos'!$C$487:$N$4077,11,0)))</f>
        <v>42941</v>
      </c>
      <c r="S54" s="551">
        <f>IF(ISERROR(VLOOKUP(B54,'Base de Datos'!$C$487:$N$4077,11,0))=TRUE," ",(VLOOKUP(B54,'Base de Datos'!$C$487:$N$4077,12,0)))</f>
        <v>43215</v>
      </c>
      <c r="T54" s="533" t="str">
        <f>VLOOKUP(B54,'Base de Datos'!$C$487:$AR$4129,41,0)</f>
        <v>SI</v>
      </c>
      <c r="U54" s="722"/>
      <c r="V54" s="634"/>
    </row>
    <row r="55" spans="2:22" ht="15" customHeight="1" outlineLevel="1" x14ac:dyDescent="0.25">
      <c r="B55" s="537">
        <v>74</v>
      </c>
      <c r="C55" s="533" t="str">
        <f>IF(ISERROR(VLOOKUP(B55,'Base de Datos'!$C$487:$F$4092,2,0))=TRUE,"",(VLOOKUP('Presupuesto - PAA 2017'!B55,'Base de Datos'!$C$7:$F$4092,3,0)))</f>
        <v/>
      </c>
      <c r="D55" s="533" t="str">
        <f>IF(ISERROR(VLOOKUP(B55,'Base de Datos'!$C$487:$F$4092,3,0))=TRUE,"",(VLOOKUP('Presupuesto - PAA 2017'!B55,'Base de Datos'!$C$487:$F$4092,4,0)))</f>
        <v/>
      </c>
      <c r="E55" s="536">
        <f>VLOOKUP(B55,[7]PAA2017!$C$65:$AA$255,20,0)</f>
        <v>20000000</v>
      </c>
      <c r="F55" s="534" t="e">
        <f>VLOOKUP(B55,[8]SOLICITUDES!$B$3:$H$278,2,0)</f>
        <v>#N/A</v>
      </c>
      <c r="G55" s="534"/>
      <c r="H55" s="534"/>
      <c r="I55" s="534"/>
      <c r="J55" s="536" t="str">
        <f>IF(ISERROR(VLOOKUP(B55,'Base de Datos'!$C$487:$N$4092,6,0))=TRUE,"Sin Celebrar",(VLOOKUP(B55,'Base de Datos'!$C$487:$N$4092,7,0)))</f>
        <v>Sin Celebrar</v>
      </c>
      <c r="K55" s="600"/>
      <c r="L55" s="580">
        <f t="shared" si="6"/>
        <v>20000000</v>
      </c>
      <c r="M55" s="536"/>
      <c r="N55" s="536" t="str">
        <f t="shared" si="7"/>
        <v xml:space="preserve"> </v>
      </c>
      <c r="O55" s="719" t="str">
        <f>IF(ISERROR(VLOOKUP(B55,'Base de Datos'!$C$487:$K$1048576,7,0))=TRUE," ",(VLOOKUP(B55,'Base de Datos'!$C$487:$K$1048576,8,0)))</f>
        <v xml:space="preserve"> </v>
      </c>
      <c r="P55" s="551" t="str">
        <f>IF(ISERROR(VLOOKUP(B55,'Base de Datos'!$C$487:$N$4077,9,0))=TRUE," ",(VLOOKUP(B55,'Base de Datos'!$C$487:$N$4077,10,0)))</f>
        <v xml:space="preserve"> </v>
      </c>
      <c r="Q55" s="737"/>
      <c r="R55" s="551" t="str">
        <f>IF(ISERROR(VLOOKUP(B55,'Base de Datos'!$C$487:$N$4077,10,0))=TRUE," ",(VLOOKUP(B55,'Base de Datos'!$C$487:$N$4077,11,0)))</f>
        <v xml:space="preserve"> </v>
      </c>
      <c r="S55" s="551" t="str">
        <f>IF(ISERROR(VLOOKUP(B55,'Base de Datos'!$C$487:$N$4077,11,0))=TRUE," ",(VLOOKUP(B55,'Base de Datos'!$C$487:$N$4077,12,0)))</f>
        <v xml:space="preserve"> </v>
      </c>
      <c r="T55" s="533" t="e">
        <f>VLOOKUP(B55,'Base de Datos'!$C$487:$AR$4129,41,0)</f>
        <v>#N/A</v>
      </c>
      <c r="U55" s="722"/>
      <c r="V55" s="634"/>
    </row>
    <row r="56" spans="2:22" ht="15" customHeight="1" outlineLevel="1" x14ac:dyDescent="0.25">
      <c r="B56" s="537">
        <v>75</v>
      </c>
      <c r="C56" s="533" t="str">
        <f>IF(ISERROR(VLOOKUP(B56,'Base de Datos'!$C$487:$F$4092,2,0))=TRUE,"",(VLOOKUP('Presupuesto - PAA 2017'!B56,'Base de Datos'!$C$7:$F$4092,3,0)))</f>
        <v>150236-0-2015</v>
      </c>
      <c r="D56" s="533" t="str">
        <f>IF(ISERROR(VLOOKUP(B56,'Base de Datos'!$C$487:$F$4092,3,0))=TRUE,"",(VLOOKUP('Presupuesto - PAA 2017'!B56,'Base de Datos'!$C$487:$F$4092,4,0)))</f>
        <v xml:space="preserve">ARANDA SOFTWARE ANDINA SAS  </v>
      </c>
      <c r="E56" s="536">
        <f>VLOOKUP(B56,[7]PAA2017!$C$65:$AA$255,20,0)</f>
        <v>80000000</v>
      </c>
      <c r="F56" s="534" t="e">
        <f>VLOOKUP(B56,[8]SOLICITUDES!$B$3:$H$278,2,0)</f>
        <v>#N/A</v>
      </c>
      <c r="G56" s="534"/>
      <c r="H56" s="534"/>
      <c r="I56" s="534"/>
      <c r="J56" s="536">
        <f>IF(ISERROR(VLOOKUP(B56,'Base de Datos'!$C$487:$N$4092,6,0))=TRUE,"Sin Celebrar",(VLOOKUP(B56,'Base de Datos'!$C$487:$N$4092,7,0)))</f>
        <v>63846922</v>
      </c>
      <c r="K56" s="600"/>
      <c r="L56" s="580" t="str">
        <f t="shared" si="6"/>
        <v xml:space="preserve"> </v>
      </c>
      <c r="M56" s="536"/>
      <c r="N56" s="536">
        <f t="shared" si="7"/>
        <v>16153078</v>
      </c>
      <c r="O56" s="719" t="str">
        <f>IF(ISERROR(VLOOKUP(B56,'Base de Datos'!$C$487:$K$1048576,7,0))=TRUE," ",(VLOOKUP(B56,'Base de Datos'!$C$487:$K$1048576,8,0)))</f>
        <v>170148-0-2017</v>
      </c>
      <c r="P56" s="551">
        <f>IF(ISERROR(VLOOKUP(B56,'Base de Datos'!$C$487:$N$4077,9,0))=TRUE," ",(VLOOKUP(B56,'Base de Datos'!$C$487:$N$4077,10,0)))</f>
        <v>42887</v>
      </c>
      <c r="Q56" s="737"/>
      <c r="R56" s="551">
        <f>IF(ISERROR(VLOOKUP(B56,'Base de Datos'!$C$487:$N$4077,10,0))=TRUE," ",(VLOOKUP(B56,'Base de Datos'!$C$487:$N$4077,11,0)))</f>
        <v>42898</v>
      </c>
      <c r="S56" s="551">
        <f>IF(ISERROR(VLOOKUP(B56,'Base de Datos'!$C$487:$N$4077,11,0))=TRUE," ",(VLOOKUP(B56,'Base de Datos'!$C$487:$N$4077,12,0)))</f>
        <v>43202</v>
      </c>
      <c r="T56" s="533" t="str">
        <f>VLOOKUP(B56,'Base de Datos'!$C$487:$AR$4129,41,0)</f>
        <v>SI</v>
      </c>
      <c r="U56" s="722"/>
      <c r="V56" s="634"/>
    </row>
    <row r="57" spans="2:22" ht="15" customHeight="1" outlineLevel="1" x14ac:dyDescent="0.25">
      <c r="B57" s="537">
        <v>76</v>
      </c>
      <c r="C57" s="533" t="str">
        <f>IF(ISERROR(VLOOKUP(B57,'Base de Datos'!$C$487:$F$4092,2,0))=TRUE,"",(VLOOKUP('Presupuesto - PAA 2017'!B57,'Base de Datos'!$C$7:$F$4092,3,0)))</f>
        <v>170309-0-2017</v>
      </c>
      <c r="D57" s="533" t="str">
        <f>IF(ISERROR(VLOOKUP(B57,'Base de Datos'!$C$487:$F$4092,3,0))=TRUE,"",(VLOOKUP('Presupuesto - PAA 2017'!B57,'Base de Datos'!$C$487:$F$4092,4,0)))</f>
        <v>BRANCH OF MICROSOFT COLOMBIA INC</v>
      </c>
      <c r="E57" s="536">
        <f>VLOOKUP(B57,[7]PAA2017!$C$65:$AA$255,20,0)</f>
        <v>228488000</v>
      </c>
      <c r="F57" s="534" t="e">
        <f>VLOOKUP(B57,[8]SOLICITUDES!$B$3:$H$278,2,0)</f>
        <v>#N/A</v>
      </c>
      <c r="G57" s="534"/>
      <c r="H57" s="534"/>
      <c r="I57" s="534"/>
      <c r="J57" s="536">
        <f>IF(ISERROR(VLOOKUP(B57,'Base de Datos'!$C$487:$N$4092,6,0))=TRUE,"Sin Celebrar",(VLOOKUP(B57,'Base de Datos'!$C$487:$N$4092,7,0)))</f>
        <v>228000000</v>
      </c>
      <c r="K57" s="600"/>
      <c r="L57" s="580" t="str">
        <f t="shared" si="6"/>
        <v xml:space="preserve"> </v>
      </c>
      <c r="M57" s="536"/>
      <c r="N57" s="536">
        <f t="shared" si="7"/>
        <v>488000</v>
      </c>
      <c r="O57" s="719" t="str">
        <f>IF(ISERROR(VLOOKUP(B57,'Base de Datos'!$C$487:$K$1048576,7,0))=TRUE," ",(VLOOKUP(B57,'Base de Datos'!$C$487:$K$1048576,8,0)))</f>
        <v>170309-0-2017</v>
      </c>
      <c r="P57" s="551">
        <f>IF(ISERROR(VLOOKUP(B57,'Base de Datos'!$C$487:$N$4077,9,0))=TRUE," ",(VLOOKUP(B57,'Base de Datos'!$C$487:$N$4077,10,0)))</f>
        <v>43042</v>
      </c>
      <c r="Q57" s="737"/>
      <c r="R57" s="551">
        <f>IF(ISERROR(VLOOKUP(B57,'Base de Datos'!$C$487:$N$4077,10,0))=TRUE," ",(VLOOKUP(B57,'Base de Datos'!$C$487:$N$4077,11,0)))</f>
        <v>43075</v>
      </c>
      <c r="S57" s="551">
        <f>IF(ISERROR(VLOOKUP(B57,'Base de Datos'!$C$487:$N$4077,11,0))=TRUE," ",(VLOOKUP(B57,'Base de Datos'!$C$487:$N$4077,12,0)))</f>
        <v>43439</v>
      </c>
      <c r="T57" s="533" t="str">
        <f>VLOOKUP(B57,'Base de Datos'!$C$487:$AR$4129,41,0)</f>
        <v>SI</v>
      </c>
      <c r="U57" s="722"/>
      <c r="V57" s="634"/>
    </row>
    <row r="58" spans="2:22" ht="15" customHeight="1" outlineLevel="1" x14ac:dyDescent="0.25">
      <c r="B58" s="537">
        <v>77</v>
      </c>
      <c r="C58" s="533" t="str">
        <f>IF(ISERROR(VLOOKUP(B58,'Base de Datos'!$C$487:$F$4092,2,0))=TRUE,"",(VLOOKUP('Presupuesto - PAA 2017'!B58,'Base de Datos'!$C$7:$F$4092,3,0)))</f>
        <v>170154-0-2017</v>
      </c>
      <c r="D58" s="533" t="str">
        <f>IF(ISERROR(VLOOKUP(B58,'Base de Datos'!$C$487:$F$4092,3,0))=TRUE,"",(VLOOKUP('Presupuesto - PAA 2017'!B58,'Base de Datos'!$C$487:$F$4092,4,0)))</f>
        <v>BUSINESSMIND COLOMBIA S.A.</v>
      </c>
      <c r="E58" s="536">
        <f>VLOOKUP(B58,[7]PAA2017!$C$65:$AA$255,20,0)</f>
        <v>91000000</v>
      </c>
      <c r="F58" s="534" t="e">
        <f>VLOOKUP(B58,[8]SOLICITUDES!$B$3:$H$278,2,0)</f>
        <v>#N/A</v>
      </c>
      <c r="G58" s="534"/>
      <c r="H58" s="534"/>
      <c r="I58" s="534"/>
      <c r="J58" s="536">
        <f>IF(ISERROR(VLOOKUP(B58,'Base de Datos'!$C$487:$N$4092,6,0))=TRUE,"Sin Celebrar",(VLOOKUP(B58,'Base de Datos'!$C$487:$N$4092,7,0)))</f>
        <v>110600000</v>
      </c>
      <c r="K58" s="600"/>
      <c r="L58" s="580" t="str">
        <f t="shared" si="6"/>
        <v xml:space="preserve"> </v>
      </c>
      <c r="M58" s="536"/>
      <c r="N58" s="536" t="str">
        <f t="shared" si="7"/>
        <v xml:space="preserve"> </v>
      </c>
      <c r="O58" s="719" t="str">
        <f>IF(ISERROR(VLOOKUP(B58,'Base de Datos'!$C$487:$K$1048576,7,0))=TRUE," ",(VLOOKUP(B58,'Base de Datos'!$C$487:$K$1048576,8,0)))</f>
        <v>SDH-SAMC-04-2017</v>
      </c>
      <c r="P58" s="551">
        <f>IF(ISERROR(VLOOKUP(B58,'Base de Datos'!$C$487:$N$4077,9,0))=TRUE," ",(VLOOKUP(B58,'Base de Datos'!$C$487:$N$4077,10,0)))</f>
        <v>42891</v>
      </c>
      <c r="Q58" s="737"/>
      <c r="R58" s="551">
        <f>IF(ISERROR(VLOOKUP(B58,'Base de Datos'!$C$487:$N$4077,10,0))=TRUE," ",(VLOOKUP(B58,'Base de Datos'!$C$487:$N$4077,11,0)))</f>
        <v>42906</v>
      </c>
      <c r="S58" s="551">
        <f>IF(ISERROR(VLOOKUP(B58,'Base de Datos'!$C$487:$N$4077,11,0))=TRUE," ",(VLOOKUP(B58,'Base de Datos'!$C$487:$N$4077,12,0)))</f>
        <v>43210</v>
      </c>
      <c r="T58" s="533" t="str">
        <f ca="1">VLOOKUP(B58,'Base de Datos'!$C$487:$AR$4129,41,0)</f>
        <v>SI</v>
      </c>
      <c r="U58" s="722"/>
      <c r="V58" s="634"/>
    </row>
    <row r="59" spans="2:22" ht="15" customHeight="1" outlineLevel="1" x14ac:dyDescent="0.25">
      <c r="B59" s="537">
        <v>78</v>
      </c>
      <c r="C59" s="533" t="str">
        <f>IF(ISERROR(VLOOKUP(B59,'Base de Datos'!$C$487:$F$4092,2,0))=TRUE,"",(VLOOKUP('Presupuesto - PAA 2017'!B59,'Base de Datos'!$C$7:$F$4092,3,0)))</f>
        <v>170345-0-2017</v>
      </c>
      <c r="D59" s="533" t="str">
        <f>IF(ISERROR(VLOOKUP(B59,'Base de Datos'!$C$487:$F$4092,3,0))=TRUE,"",(VLOOKUP('Presupuesto - PAA 2017'!B59,'Base de Datos'!$C$487:$F$4092,4,0)))</f>
        <v>GRUPO EMPRESARIAL SOLUCIONES CUATRO EN UNO SAS</v>
      </c>
      <c r="E59" s="536">
        <f>VLOOKUP(B59,[7]PAA2017!$C$65:$AA$255,20,0)</f>
        <v>18000000</v>
      </c>
      <c r="F59" s="534" t="e">
        <f>VLOOKUP(B59,[8]SOLICITUDES!$B$3:$H$278,2,0)</f>
        <v>#N/A</v>
      </c>
      <c r="G59" s="534"/>
      <c r="H59" s="534"/>
      <c r="I59" s="534"/>
      <c r="J59" s="536">
        <f>IF(ISERROR(VLOOKUP(B59,'Base de Datos'!$C$487:$N$4092,6,0))=TRUE,"Sin Celebrar",(VLOOKUP(B59,'Base de Datos'!$C$487:$N$4092,7,0)))</f>
        <v>11637012</v>
      </c>
      <c r="K59" s="600"/>
      <c r="L59" s="580" t="str">
        <f t="shared" si="6"/>
        <v xml:space="preserve"> </v>
      </c>
      <c r="M59" s="536"/>
      <c r="N59" s="536">
        <f t="shared" si="7"/>
        <v>6362988</v>
      </c>
      <c r="O59" s="719" t="str">
        <f>IF(ISERROR(VLOOKUP(B59,'Base de Datos'!$C$487:$K$1048576,7,0))=TRUE," ",(VLOOKUP(B59,'Base de Datos'!$C$487:$K$1048576,8,0)))</f>
        <v>SDH-SMINC-046-2017</v>
      </c>
      <c r="P59" s="551">
        <f>IF(ISERROR(VLOOKUP(B59,'Base de Datos'!$C$487:$N$4077,9,0))=TRUE," ",(VLOOKUP(B59,'Base de Datos'!$C$487:$N$4077,10,0)))</f>
        <v>43075</v>
      </c>
      <c r="Q59" s="737"/>
      <c r="R59" s="551">
        <f>IF(ISERROR(VLOOKUP(B59,'Base de Datos'!$C$487:$N$4077,10,0))=TRUE," ",(VLOOKUP(B59,'Base de Datos'!$C$487:$N$4077,11,0)))</f>
        <v>43096</v>
      </c>
      <c r="S59" s="551">
        <f>IF(ISERROR(VLOOKUP(B59,'Base de Datos'!$C$487:$N$4077,11,0))=TRUE," ",(VLOOKUP(B59,'Base de Datos'!$C$487:$N$4077,12,0)))</f>
        <v>43369</v>
      </c>
      <c r="T59" s="533" t="str">
        <f>VLOOKUP(B59,'Base de Datos'!$C$487:$AR$4129,41,0)</f>
        <v>SI</v>
      </c>
      <c r="U59" s="722"/>
      <c r="V59" s="634"/>
    </row>
    <row r="60" spans="2:22" ht="15" customHeight="1" outlineLevel="1" x14ac:dyDescent="0.25">
      <c r="B60" s="537">
        <v>79</v>
      </c>
      <c r="C60" s="533" t="str">
        <f>IF(ISERROR(VLOOKUP(B60,'Base de Datos'!$C$487:$F$4092,2,0))=TRUE,"",(VLOOKUP('Presupuesto - PAA 2017'!B60,'Base de Datos'!$C$7:$F$4092,3,0)))</f>
        <v>170329-0-2017</v>
      </c>
      <c r="D60" s="533" t="str">
        <f>IF(ISERROR(VLOOKUP(B60,'Base de Datos'!$C$487:$F$4092,3,0))=TRUE,"",(VLOOKUP('Presupuesto - PAA 2017'!B60,'Base de Datos'!$C$487:$F$4092,4,0)))</f>
        <v>CARLOS ALBERTO CASTELLANOS MEDINA</v>
      </c>
      <c r="E60" s="536">
        <f>VLOOKUP(B60,[7]PAA2017!$C$65:$AA$255,20,0)</f>
        <v>12500000</v>
      </c>
      <c r="F60" s="534" t="e">
        <f>VLOOKUP(B60,[8]SOLICITUDES!$B$3:$H$278,2,0)</f>
        <v>#N/A</v>
      </c>
      <c r="G60" s="534"/>
      <c r="H60" s="534"/>
      <c r="I60" s="534"/>
      <c r="J60" s="536">
        <f>IF(ISERROR(VLOOKUP(B60,'Base de Datos'!$C$487:$N$4092,6,0))=TRUE,"Sin Celebrar",(VLOOKUP(B60,'Base de Datos'!$C$487:$N$4092,7,0)))</f>
        <v>12500004</v>
      </c>
      <c r="K60" s="600"/>
      <c r="L60" s="580" t="str">
        <f t="shared" si="6"/>
        <v xml:space="preserve"> </v>
      </c>
      <c r="M60" s="536"/>
      <c r="N60" s="536" t="str">
        <f t="shared" si="7"/>
        <v xml:space="preserve"> </v>
      </c>
      <c r="O60" s="719" t="str">
        <f>IF(ISERROR(VLOOKUP(B60,'Base de Datos'!$C$487:$K$1048576,7,0))=TRUE," ",(VLOOKUP(B60,'Base de Datos'!$C$487:$K$1048576,8,0)))</f>
        <v>SDH-SMINC-47-2017</v>
      </c>
      <c r="P60" s="551">
        <f>IF(ISERROR(VLOOKUP(B60,'Base de Datos'!$C$487:$N$4077,9,0))=TRUE," ",(VLOOKUP(B60,'Base de Datos'!$C$487:$N$4077,10,0)))</f>
        <v>43060</v>
      </c>
      <c r="Q60" s="737"/>
      <c r="R60" s="551">
        <f>IF(ISERROR(VLOOKUP(B60,'Base de Datos'!$C$487:$N$4077,10,0))=TRUE," ",(VLOOKUP(B60,'Base de Datos'!$C$487:$N$4077,11,0)))</f>
        <v>43096</v>
      </c>
      <c r="S60" s="551">
        <f>IF(ISERROR(VLOOKUP(B60,'Base de Datos'!$C$487:$N$4077,11,0))=TRUE," ",(VLOOKUP(B60,'Base de Datos'!$C$487:$N$4077,12,0)))</f>
        <v>43460</v>
      </c>
      <c r="T60" s="533" t="str">
        <f>VLOOKUP(B60,'Base de Datos'!$C$487:$AR$4129,41,0)</f>
        <v>SI</v>
      </c>
      <c r="U60" s="722"/>
      <c r="V60" s="634"/>
    </row>
    <row r="61" spans="2:22" ht="15" customHeight="1" outlineLevel="1" x14ac:dyDescent="0.25">
      <c r="B61" s="537">
        <v>80</v>
      </c>
      <c r="C61" s="533" t="str">
        <f>IF(ISERROR(VLOOKUP(B61,'Base de Datos'!$C$487:$F$4092,2,0))=TRUE,"",(VLOOKUP('Presupuesto - PAA 2017'!B61,'Base de Datos'!$C$7:$F$4092,3,0)))</f>
        <v/>
      </c>
      <c r="D61" s="533" t="str">
        <f>IF(ISERROR(VLOOKUP(B61,'Base de Datos'!$C$487:$F$4092,3,0))=TRUE,"",(VLOOKUP('Presupuesto - PAA 2017'!B61,'Base de Datos'!$C$487:$F$4092,4,0)))</f>
        <v/>
      </c>
      <c r="E61" s="536">
        <f>VLOOKUP(B61,[7]PAA2017!$C$65:$AA$255,20,0)</f>
        <v>86500000</v>
      </c>
      <c r="F61" s="534" t="e">
        <f>VLOOKUP(B61,[8]SOLICITUDES!$B$3:$H$278,2,0)</f>
        <v>#N/A</v>
      </c>
      <c r="G61" s="534"/>
      <c r="H61" s="534"/>
      <c r="I61" s="534"/>
      <c r="J61" s="536" t="str">
        <f>IF(ISERROR(VLOOKUP(B61,'Base de Datos'!$C$487:$N$4092,6,0))=TRUE,"Sin Celebrar",(VLOOKUP(B61,'Base de Datos'!$C$487:$N$4092,7,0)))</f>
        <v>Sin Celebrar</v>
      </c>
      <c r="K61" s="600"/>
      <c r="L61" s="580">
        <f t="shared" si="6"/>
        <v>86500000</v>
      </c>
      <c r="M61" s="536"/>
      <c r="N61" s="536" t="str">
        <f t="shared" si="7"/>
        <v xml:space="preserve"> </v>
      </c>
      <c r="O61" s="719" t="str">
        <f>IF(ISERROR(VLOOKUP(B61,'Base de Datos'!$C$487:$K$1048576,7,0))=TRUE," ",(VLOOKUP(B61,'Base de Datos'!$C$487:$K$1048576,8,0)))</f>
        <v xml:space="preserve"> </v>
      </c>
      <c r="P61" s="551" t="str">
        <f>IF(ISERROR(VLOOKUP(B61,'Base de Datos'!$C$487:$N$4077,9,0))=TRUE," ",(VLOOKUP(B61,'Base de Datos'!$C$487:$N$4077,10,0)))</f>
        <v xml:space="preserve"> </v>
      </c>
      <c r="Q61" s="737"/>
      <c r="R61" s="551" t="str">
        <f>IF(ISERROR(VLOOKUP(B61,'Base de Datos'!$C$487:$N$4077,10,0))=TRUE," ",(VLOOKUP(B61,'Base de Datos'!$C$487:$N$4077,11,0)))</f>
        <v xml:space="preserve"> </v>
      </c>
      <c r="S61" s="551" t="str">
        <f>IF(ISERROR(VLOOKUP(B61,'Base de Datos'!$C$487:$N$4077,11,0))=TRUE," ",(VLOOKUP(B61,'Base de Datos'!$C$487:$N$4077,12,0)))</f>
        <v xml:space="preserve"> </v>
      </c>
      <c r="T61" s="533" t="e">
        <f>VLOOKUP(B61,'Base de Datos'!$C$487:$AR$4129,41,0)</f>
        <v>#N/A</v>
      </c>
      <c r="U61" s="722"/>
      <c r="V61" s="634"/>
    </row>
    <row r="62" spans="2:22" ht="15" customHeight="1" outlineLevel="1" x14ac:dyDescent="0.25">
      <c r="B62" s="537">
        <v>81</v>
      </c>
      <c r="C62" s="533" t="str">
        <f>IF(ISERROR(VLOOKUP(B62,'Base de Datos'!$C$487:$F$4092,2,0))=TRUE,"",(VLOOKUP('Presupuesto - PAA 2017'!B62,'Base de Datos'!$C$7:$F$4092,3,0)))</f>
        <v>170041-0-2017</v>
      </c>
      <c r="D62" s="533" t="str">
        <f>IF(ISERROR(VLOOKUP(B62,'Base de Datos'!$C$487:$F$4092,3,0))=TRUE,"",(VLOOKUP('Presupuesto - PAA 2017'!B62,'Base de Datos'!$C$487:$F$4092,4,0)))</f>
        <v>SOLUCIONES ICG SAS</v>
      </c>
      <c r="E62" s="536">
        <f>VLOOKUP(B62,[7]PAA2017!$C$65:$AA$255,20,0)</f>
        <v>50000000</v>
      </c>
      <c r="F62" s="534" t="e">
        <f>VLOOKUP(B62,[8]SOLICITUDES!$B$3:$H$278,2,0)</f>
        <v>#N/A</v>
      </c>
      <c r="G62" s="534"/>
      <c r="H62" s="534"/>
      <c r="I62" s="534"/>
      <c r="J62" s="536">
        <f>IF(ISERROR(VLOOKUP(B62,'Base de Datos'!$C$487:$N$4092,6,0))=TRUE,"Sin Celebrar",(VLOOKUP(B62,'Base de Datos'!$C$487:$N$4092,7,0)))</f>
        <v>65851149</v>
      </c>
      <c r="K62" s="600"/>
      <c r="L62" s="580" t="str">
        <f t="shared" si="6"/>
        <v xml:space="preserve"> </v>
      </c>
      <c r="M62" s="536"/>
      <c r="N62" s="536" t="str">
        <f t="shared" si="7"/>
        <v xml:space="preserve"> </v>
      </c>
      <c r="O62" s="719" t="str">
        <f>IF(ISERROR(VLOOKUP(B62,'Base de Datos'!$C$487:$K$1048576,7,0))=TRUE," ",(VLOOKUP(B62,'Base de Datos'!$C$487:$K$1048576,8,0)))</f>
        <v>SDH-SMINC-01-2017</v>
      </c>
      <c r="P62" s="551">
        <f>IF(ISERROR(VLOOKUP(B62,'Base de Datos'!$C$487:$N$4077,9,0))=TRUE," ",(VLOOKUP(B62,'Base de Datos'!$C$487:$N$4077,10,0)))</f>
        <v>42795</v>
      </c>
      <c r="Q62" s="737"/>
      <c r="R62" s="551">
        <f>IF(ISERROR(VLOOKUP(B62,'Base de Datos'!$C$487:$N$4077,10,0))=TRUE," ",(VLOOKUP(B62,'Base de Datos'!$C$487:$N$4077,11,0)))</f>
        <v>42815</v>
      </c>
      <c r="S62" s="551">
        <f>IF(ISERROR(VLOOKUP(B62,'Base de Datos'!$C$487:$N$4077,11,0))=TRUE," ",(VLOOKUP(B62,'Base de Datos'!$C$487:$N$4077,12,0)))</f>
        <v>43180</v>
      </c>
      <c r="T62" s="533" t="str">
        <f>VLOOKUP(B62,'Base de Datos'!$C$487:$AR$4129,41,0)</f>
        <v>SI</v>
      </c>
      <c r="U62" s="722"/>
      <c r="V62" s="634"/>
    </row>
    <row r="63" spans="2:22" ht="15" customHeight="1" outlineLevel="1" x14ac:dyDescent="0.25">
      <c r="B63" s="537">
        <v>82</v>
      </c>
      <c r="C63" s="533" t="str">
        <f>IF(ISERROR(VLOOKUP(B63,'Base de Datos'!$C$487:$F$4092,2,0))=TRUE,"",(VLOOKUP('Presupuesto - PAA 2017'!B63,'Base de Datos'!$C$7:$F$4092,3,0)))</f>
        <v>160112-0-2016</v>
      </c>
      <c r="D63" s="533" t="str">
        <f>IF(ISERROR(VLOOKUP(B63,'Base de Datos'!$C$487:$F$4092,3,0))=TRUE,"",(VLOOKUP('Presupuesto - PAA 2017'!B63,'Base de Datos'!$C$487:$F$4092,4,0)))</f>
        <v>FACTOR VISUAL EAT</v>
      </c>
      <c r="E63" s="536">
        <f>VLOOKUP(B63,[7]PAA2017!$C$65:$AA$255,20,0)</f>
        <v>50000000</v>
      </c>
      <c r="F63" s="534" t="e">
        <f>VLOOKUP(B63,[8]SOLICITUDES!$B$3:$H$278,2,0)</f>
        <v>#N/A</v>
      </c>
      <c r="G63" s="534"/>
      <c r="H63" s="534"/>
      <c r="I63" s="534"/>
      <c r="J63" s="536">
        <f>IF(ISERROR(VLOOKUP(B63,'Base de Datos'!$C$487:$N$4092,6,0))=TRUE,"Sin Celebrar",(VLOOKUP(B63,'Base de Datos'!$C$487:$N$4092,7,0)))</f>
        <v>49980000</v>
      </c>
      <c r="K63" s="600"/>
      <c r="L63" s="580" t="str">
        <f t="shared" si="6"/>
        <v xml:space="preserve"> </v>
      </c>
      <c r="M63" s="536"/>
      <c r="N63" s="536">
        <f t="shared" si="7"/>
        <v>20000</v>
      </c>
      <c r="O63" s="719" t="str">
        <f>IF(ISERROR(VLOOKUP(B63,'Base de Datos'!$C$487:$K$1048576,7,0))=TRUE," ",(VLOOKUP(B63,'Base de Datos'!$C$487:$K$1048576,8,0)))</f>
        <v>170136-0-2017</v>
      </c>
      <c r="P63" s="551">
        <f>IF(ISERROR(VLOOKUP(B63,'Base de Datos'!$C$487:$N$4077,9,0))=TRUE," ",(VLOOKUP(B63,'Base de Datos'!$C$487:$N$4077,10,0)))</f>
        <v>42871</v>
      </c>
      <c r="Q63" s="737"/>
      <c r="R63" s="551">
        <f>IF(ISERROR(VLOOKUP(B63,'Base de Datos'!$C$487:$N$4077,10,0))=TRUE," ",(VLOOKUP(B63,'Base de Datos'!$C$487:$N$4077,11,0)))</f>
        <v>42874</v>
      </c>
      <c r="S63" s="551">
        <f>IF(ISERROR(VLOOKUP(B63,'Base de Datos'!$C$487:$N$4077,11,0))=TRUE," ",(VLOOKUP(B63,'Base de Datos'!$C$487:$N$4077,12,0)))</f>
        <v>43239</v>
      </c>
      <c r="T63" s="533" t="str">
        <f>VLOOKUP(B63,'Base de Datos'!$C$487:$AR$4129,41,0)</f>
        <v>SI</v>
      </c>
      <c r="U63" s="722"/>
      <c r="V63" s="634"/>
    </row>
    <row r="64" spans="2:22" ht="15" customHeight="1" outlineLevel="1" x14ac:dyDescent="0.25">
      <c r="B64" s="537">
        <v>83</v>
      </c>
      <c r="C64" s="533" t="str">
        <f>IF(ISERROR(VLOOKUP(B64,'Base de Datos'!$C$487:$F$4092,2,0))=TRUE,"",(VLOOKUP('Presupuesto - PAA 2017'!B64,'Base de Datos'!$C$7:$F$4092,3,0)))</f>
        <v/>
      </c>
      <c r="D64" s="533" t="str">
        <f>IF(ISERROR(VLOOKUP(B64,'Base de Datos'!$C$487:$F$4092,3,0))=TRUE,"",(VLOOKUP('Presupuesto - PAA 2017'!B64,'Base de Datos'!$C$487:$F$4092,4,0)))</f>
        <v/>
      </c>
      <c r="E64" s="536">
        <f>VLOOKUP(B64,[7]PAA2017!$C$65:$AA$255,20,0)</f>
        <v>900000</v>
      </c>
      <c r="F64" s="534" t="e">
        <f>VLOOKUP(B64,[8]SOLICITUDES!$B$3:$H$278,2,0)</f>
        <v>#N/A</v>
      </c>
      <c r="G64" s="534"/>
      <c r="H64" s="534"/>
      <c r="I64" s="534"/>
      <c r="J64" s="536" t="str">
        <f>IF(ISERROR(VLOOKUP(B64,'Base de Datos'!$C$487:$N$4092,6,0))=TRUE,"Sin Celebrar",(VLOOKUP(B64,'Base de Datos'!$C$487:$N$4092,7,0)))</f>
        <v>Sin Celebrar</v>
      </c>
      <c r="K64" s="600"/>
      <c r="L64" s="580">
        <f t="shared" si="6"/>
        <v>900000</v>
      </c>
      <c r="M64" s="536"/>
      <c r="N64" s="536" t="str">
        <f t="shared" si="7"/>
        <v xml:space="preserve"> </v>
      </c>
      <c r="O64" s="719" t="str">
        <f>IF(ISERROR(VLOOKUP(B64,'Base de Datos'!$C$487:$K$1048576,7,0))=TRUE," ",(VLOOKUP(B64,'Base de Datos'!$C$487:$K$1048576,8,0)))</f>
        <v xml:space="preserve"> </v>
      </c>
      <c r="P64" s="551" t="str">
        <f>IF(ISERROR(VLOOKUP(B64,'Base de Datos'!$C$487:$N$4077,9,0))=TRUE," ",(VLOOKUP(B64,'Base de Datos'!$C$487:$N$4077,10,0)))</f>
        <v xml:space="preserve"> </v>
      </c>
      <c r="Q64" s="737"/>
      <c r="R64" s="551" t="str">
        <f>IF(ISERROR(VLOOKUP(B64,'Base de Datos'!$C$487:$N$4077,10,0))=TRUE," ",(VLOOKUP(B64,'Base de Datos'!$C$487:$N$4077,11,0)))</f>
        <v xml:space="preserve"> </v>
      </c>
      <c r="S64" s="551" t="str">
        <f>IF(ISERROR(VLOOKUP(B64,'Base de Datos'!$C$487:$N$4077,11,0))=TRUE," ",(VLOOKUP(B64,'Base de Datos'!$C$487:$N$4077,12,0)))</f>
        <v xml:space="preserve"> </v>
      </c>
      <c r="T64" s="533" t="e">
        <f>VLOOKUP(B64,'Base de Datos'!$C$487:$AR$4129,41,0)</f>
        <v>#N/A</v>
      </c>
      <c r="U64" s="722"/>
      <c r="V64" s="634"/>
    </row>
    <row r="65" spans="2:22" ht="15" customHeight="1" outlineLevel="1" x14ac:dyDescent="0.25">
      <c r="B65" s="537">
        <v>85</v>
      </c>
      <c r="C65" s="533" t="str">
        <f>IF(ISERROR(VLOOKUP(B65,'Base de Datos'!$C$487:$F$4092,2,0))=TRUE,"",(VLOOKUP('Presupuesto - PAA 2017'!B65,'Base de Datos'!$C$7:$F$4092,3,0)))</f>
        <v>180099-0-2018</v>
      </c>
      <c r="D65" s="533" t="str">
        <f>IF(ISERROR(VLOOKUP(B65,'Base de Datos'!$C$487:$F$4092,3,0))=TRUE,"",(VLOOKUP('Presupuesto - PAA 2017'!B65,'Base de Datos'!$C$487:$F$4092,4,0)))</f>
        <v>JUAN DIEGO ESPÍTIA ROA</v>
      </c>
      <c r="E65" s="536">
        <f>VLOOKUP(B65,[7]PAA2017!$C$65:$AA$255,20,0)</f>
        <v>1913332000</v>
      </c>
      <c r="F65" s="534" t="e">
        <f>VLOOKUP(B65,[8]SOLICITUDES!$B$3:$H$278,2,0)</f>
        <v>#N/A</v>
      </c>
      <c r="G65" s="534"/>
      <c r="H65" s="534"/>
      <c r="I65" s="534"/>
      <c r="J65" s="536">
        <f>IF(ISERROR(VLOOKUP(B65,'Base de Datos'!$C$487:$N$4092,6,0))=TRUE,"Sin Celebrar",(VLOOKUP(B65,'Base de Datos'!$C$487:$N$4092,7,0)))</f>
        <v>70452000</v>
      </c>
      <c r="K65" s="600"/>
      <c r="L65" s="580" t="str">
        <f t="shared" si="6"/>
        <v xml:space="preserve"> </v>
      </c>
      <c r="M65" s="536"/>
      <c r="N65" s="536">
        <f t="shared" si="7"/>
        <v>1842880000</v>
      </c>
      <c r="O65" s="719" t="str">
        <f>IF(ISERROR(VLOOKUP(B65,'Base de Datos'!$C$487:$K$1048576,7,0))=TRUE," ",(VLOOKUP(B65,'Base de Datos'!$C$487:$K$1048576,8,0)))</f>
        <v>180099-0-2018</v>
      </c>
      <c r="P65" s="551">
        <f>IF(ISERROR(VLOOKUP(B65,'Base de Datos'!$C$487:$N$4077,9,0))=TRUE," ",(VLOOKUP(B65,'Base de Datos'!$C$487:$N$4077,10,0)))</f>
        <v>43126</v>
      </c>
      <c r="Q65" s="737"/>
      <c r="R65" s="551">
        <f>IF(ISERROR(VLOOKUP(B65,'Base de Datos'!$C$487:$N$4077,10,0))=TRUE," ",(VLOOKUP(B65,'Base de Datos'!$C$487:$N$4077,11,0)))</f>
        <v>43132</v>
      </c>
      <c r="S65" s="551">
        <f>IF(ISERROR(VLOOKUP(B65,'Base de Datos'!$C$487:$N$4077,11,0))=TRUE," ",(VLOOKUP(B65,'Base de Datos'!$C$487:$N$4077,12,0)))</f>
        <v>43496</v>
      </c>
      <c r="T65" s="533" t="str">
        <f>VLOOKUP(B65,'Base de Datos'!$C$487:$AR$4129,41,0)</f>
        <v>SI</v>
      </c>
      <c r="U65" s="722"/>
      <c r="V65" s="634"/>
    </row>
    <row r="66" spans="2:22" ht="19.5" customHeight="1" outlineLevel="1" x14ac:dyDescent="0.25">
      <c r="B66" s="537">
        <v>86</v>
      </c>
      <c r="C66" s="533" t="str">
        <f>IF(ISERROR(VLOOKUP(B66,'Base de Datos'!$C$487:$F$4092,2,0))=TRUE,"",(VLOOKUP('Presupuesto - PAA 2017'!B66,'Base de Datos'!$C$7:$F$4092,3,0)))</f>
        <v>160214-0-2016</v>
      </c>
      <c r="D66" s="533" t="str">
        <f>IF(ISERROR(VLOOKUP(B66,'Base de Datos'!$C$487:$F$4092,3,0))=TRUE,"",(VLOOKUP('Presupuesto - PAA 2017'!B66,'Base de Datos'!$C$487:$F$4092,4,0)))</f>
        <v>SEAN ELECTRONICA LIMITADA</v>
      </c>
      <c r="E66" s="536">
        <f>VLOOKUP(B66,[7]PAA2017!$C$65:$AA$255,20,0)</f>
        <v>160000000</v>
      </c>
      <c r="F66" s="534" t="e">
        <f>VLOOKUP(B66,[8]SOLICITUDES!$B$3:$H$278,2,0)</f>
        <v>#N/A</v>
      </c>
      <c r="G66" s="534"/>
      <c r="H66" s="534"/>
      <c r="I66" s="534"/>
      <c r="J66" s="536">
        <f>IF(ISERROR(VLOOKUP(B66,'Base de Datos'!$C$487:$N$4092,6,0))=TRUE,"Sin Celebrar",(VLOOKUP(B66,'Base de Datos'!$C$487:$N$4092,7,0)))</f>
        <v>30000000</v>
      </c>
      <c r="K66" s="600"/>
      <c r="L66" s="580" t="str">
        <f t="shared" si="6"/>
        <v xml:space="preserve"> </v>
      </c>
      <c r="M66" s="536"/>
      <c r="N66" s="536">
        <f t="shared" si="7"/>
        <v>130000000</v>
      </c>
      <c r="O66" s="719" t="str">
        <f>IF(ISERROR(VLOOKUP(B66,'Base de Datos'!$C$487:$K$1048576,7,0))=TRUE," ",(VLOOKUP(B66,'Base de Datos'!$C$487:$K$1048576,8,0)))</f>
        <v>SDH-SMINC-30-2017</v>
      </c>
      <c r="P66" s="551">
        <f>IF(ISERROR(VLOOKUP(B66,'Base de Datos'!$C$487:$N$4077,9,0))=TRUE," ",(VLOOKUP(B66,'Base de Datos'!$C$487:$N$4077,10,0)))</f>
        <v>42993</v>
      </c>
      <c r="Q66" s="737"/>
      <c r="R66" s="551">
        <f>IF(ISERROR(VLOOKUP(B66,'Base de Datos'!$C$487:$N$4077,10,0))=TRUE," ",(VLOOKUP(B66,'Base de Datos'!$C$487:$N$4077,11,0)))</f>
        <v>43020</v>
      </c>
      <c r="S66" s="551">
        <f>IF(ISERROR(VLOOKUP(B66,'Base de Datos'!$C$487:$N$4077,11,0))=TRUE," ",(VLOOKUP(B66,'Base de Datos'!$C$487:$N$4077,12,0)))</f>
        <v>43202</v>
      </c>
      <c r="T66" s="533" t="str">
        <f>VLOOKUP(B66,'Base de Datos'!$C$487:$AR$4129,41,0)</f>
        <v>SI</v>
      </c>
      <c r="U66" s="722"/>
      <c r="V66" s="634"/>
    </row>
    <row r="67" spans="2:22" ht="15" customHeight="1" outlineLevel="1" x14ac:dyDescent="0.25">
      <c r="B67" s="879">
        <v>87</v>
      </c>
      <c r="C67" s="533" t="str">
        <f>IF(ISERROR(VLOOKUP(B67,'Base de Datos'!$C$487:$F$4092,2,0))=TRUE,"",(VLOOKUP('Presupuesto - PAA 2017'!B67,'Base de Datos'!$C$7:$F$4092,3,0)))</f>
        <v/>
      </c>
      <c r="D67" s="533" t="str">
        <f>IF(ISERROR(VLOOKUP(B67,'Base de Datos'!$C$487:$F$4092,3,0))=TRUE,"",(VLOOKUP('Presupuesto - PAA 2017'!B67,'Base de Datos'!$C$487:$F$4092,4,0)))</f>
        <v/>
      </c>
      <c r="E67" s="536">
        <f>VLOOKUP(B67,[7]PAA2017!$C$65:$AA$255,20,0)</f>
        <v>7047070000</v>
      </c>
      <c r="F67" s="534" t="e">
        <f>VLOOKUP(B67,[8]SOLICITUDES!$B$3:$H$278,2,0)</f>
        <v>#N/A</v>
      </c>
      <c r="G67" s="534"/>
      <c r="H67" s="534"/>
      <c r="I67" s="534"/>
      <c r="J67" s="536" t="str">
        <f>IF(ISERROR(VLOOKUP(B67,'Base de Datos'!$C$487:$N$4092,6,0))=TRUE,"Sin Celebrar",(VLOOKUP(B67,'Base de Datos'!$C$487:$N$4092,7,0)))</f>
        <v>Sin Celebrar</v>
      </c>
      <c r="K67" s="600"/>
      <c r="L67" s="580">
        <f t="shared" si="6"/>
        <v>7047070000</v>
      </c>
      <c r="M67" s="536"/>
      <c r="N67" s="536" t="str">
        <f t="shared" si="7"/>
        <v xml:space="preserve"> </v>
      </c>
      <c r="O67" s="719" t="str">
        <f>IF(ISERROR(VLOOKUP(B67,'Base de Datos'!$C$487:$K$1048576,7,0))=TRUE," ",(VLOOKUP(B67,'Base de Datos'!$C$487:$K$1048576,8,0)))</f>
        <v xml:space="preserve"> </v>
      </c>
      <c r="P67" s="551" t="str">
        <f>IF(ISERROR(VLOOKUP(B67,'Base de Datos'!$C$487:$N$4077,9,0))=TRUE," ",(VLOOKUP(B67,'Base de Datos'!$C$487:$N$4077,10,0)))</f>
        <v xml:space="preserve"> </v>
      </c>
      <c r="Q67" s="737"/>
      <c r="R67" s="551" t="str">
        <f>IF(ISERROR(VLOOKUP(B67,'Base de Datos'!$C$487:$N$4077,10,0))=TRUE," ",(VLOOKUP(B67,'Base de Datos'!$C$487:$N$4077,11,0)))</f>
        <v xml:space="preserve"> </v>
      </c>
      <c r="S67" s="551" t="str">
        <f>IF(ISERROR(VLOOKUP(B67,'Base de Datos'!$C$487:$N$4077,11,0))=TRUE," ",(VLOOKUP(B67,'Base de Datos'!$C$487:$N$4077,12,0)))</f>
        <v xml:space="preserve"> </v>
      </c>
      <c r="T67" s="533" t="e">
        <f>VLOOKUP(B67,'Base de Datos'!$C$487:$AR$4129,41,0)</f>
        <v>#N/A</v>
      </c>
      <c r="U67" s="722"/>
      <c r="V67" s="634"/>
    </row>
    <row r="68" spans="2:22" ht="21" customHeight="1" outlineLevel="1" x14ac:dyDescent="0.25">
      <c r="B68" s="552">
        <v>88</v>
      </c>
      <c r="C68" s="533" t="str">
        <f>IF(ISERROR(VLOOKUP(B68,'Base de Datos'!$C$487:$F$4092,2,0))=TRUE,"",(VLOOKUP('Presupuesto - PAA 2017'!B68,'Base de Datos'!$C$7:$F$4092,3,0)))</f>
        <v>160314-0-2016</v>
      </c>
      <c r="D68" s="533" t="str">
        <f>IF(ISERROR(VLOOKUP(B68,'Base de Datos'!$C$487:$F$4092,3,0))=TRUE,"",(VLOOKUP('Presupuesto - PAA 2017'!B68,'Base de Datos'!$C$487:$F$4092,4,0)))</f>
        <v>COMPAÑÍA COMERCIAL CURACAO DE COLOMBIA SA</v>
      </c>
      <c r="E68" s="536">
        <f>VLOOKUP(B68,[7]PAA2017!$C$65:$AA$255,20,0)</f>
        <v>22000000</v>
      </c>
      <c r="F68" s="534" t="str">
        <f>VLOOKUP(B68,[8]SOLICITUDES!$B$3:$H$278,2,0)</f>
        <v>SI</v>
      </c>
      <c r="G68" s="534"/>
      <c r="H68" s="534"/>
      <c r="I68" s="534"/>
      <c r="J68" s="536">
        <f>IF(ISERROR(VLOOKUP(B68,'Base de Datos'!$C$487:$N$4092,6,0))=TRUE,"Sin Celebrar",(VLOOKUP(B68,'Base de Datos'!$C$487:$N$4092,7,0)))</f>
        <v>4361500</v>
      </c>
      <c r="K68" s="600"/>
      <c r="L68" s="580" t="str">
        <f>IF(J68=$AA$1,E68, " ")</f>
        <v xml:space="preserve"> </v>
      </c>
      <c r="M68" s="536"/>
      <c r="N68" s="536">
        <f>IF(J68&lt;E68,(E68-J68)," ")</f>
        <v>17638500</v>
      </c>
      <c r="O68" s="719" t="str">
        <f>IF(ISERROR(VLOOKUP(B68,'Base de Datos'!$C$487:$K$1048576,7,0))=TRUE," ",(VLOOKUP(B68,'Base de Datos'!$C$487:$K$1048576,8,0)))</f>
        <v>SDH-SMINC-16-2017</v>
      </c>
      <c r="P68" s="551">
        <f>IF(ISERROR(VLOOKUP(B68,'Base de Datos'!$C$487:$N$4077,9,0))=TRUE," ",(VLOOKUP(B68,'Base de Datos'!$C$487:$N$4077,10,0)))</f>
        <v>42909</v>
      </c>
      <c r="Q68" s="737"/>
      <c r="R68" s="551">
        <f>IF(ISERROR(VLOOKUP(B68,'Base de Datos'!$C$487:$N$4077,10,0))=TRUE," ",(VLOOKUP(B68,'Base de Datos'!$C$487:$N$4077,11,0)))</f>
        <v>42922</v>
      </c>
      <c r="S68" s="551">
        <f>IF(ISERROR(VLOOKUP(B68,'Base de Datos'!$C$487:$N$4077,11,0))=TRUE," ",(VLOOKUP(B68,'Base de Datos'!$C$487:$N$4077,12,0)))</f>
        <v>42984</v>
      </c>
      <c r="T68" s="533" t="str">
        <f>VLOOKUP(B68,'Base de Datos'!$C$487:$AR$4129,41,0)</f>
        <v>SI</v>
      </c>
      <c r="U68" s="722"/>
      <c r="V68" s="634"/>
    </row>
    <row r="69" spans="2:22" ht="21" customHeight="1" outlineLevel="1" x14ac:dyDescent="0.25">
      <c r="B69" s="552"/>
      <c r="C69" s="533" t="str">
        <f>IF(ISERROR(VLOOKUP(B69,'Base de Datos'!$C$487:$F$4092,2,0))=TRUE,"",(VLOOKUP('Presupuesto - PAA 2017'!B69,'Base de Datos'!$C$7:$F$4092,3,0)))</f>
        <v/>
      </c>
      <c r="D69" s="533" t="str">
        <f>IF(ISERROR(VLOOKUP(B69,'Base de Datos'!$C$487:$F$4092,3,0))=TRUE,"",(VLOOKUP('Presupuesto - PAA 2017'!B69,'Base de Datos'!$C$487:$F$4092,4,0)))</f>
        <v/>
      </c>
      <c r="E69" s="536" t="e">
        <f>VLOOKUP(B69,[7]PAA2017!$C$65:$AA$255,20,0)</f>
        <v>#N/A</v>
      </c>
      <c r="F69" s="534" t="e">
        <f>VLOOKUP(B69,[8]SOLICITUDES!$B$3:$H$278,2,0)</f>
        <v>#N/A</v>
      </c>
      <c r="G69" s="534"/>
      <c r="H69" s="534"/>
      <c r="I69" s="534"/>
      <c r="J69" s="536" t="str">
        <f>IF(ISERROR(VLOOKUP(B69,'Base de Datos'!$C$487:$N$4092,6,0))=TRUE,"Sin Celebrar",(VLOOKUP(B69,'Base de Datos'!$C$487:$N$4092,7,0)))</f>
        <v>Sin Celebrar</v>
      </c>
      <c r="K69" s="600"/>
      <c r="L69" s="580" t="e">
        <f>IF(J69=$AA$1,E69, " ")</f>
        <v>#N/A</v>
      </c>
      <c r="M69" s="536"/>
      <c r="N69" s="536" t="e">
        <f>IF(J69&lt;E69,(E69-J69)," ")</f>
        <v>#N/A</v>
      </c>
      <c r="O69" s="719" t="str">
        <f>IF(ISERROR(VLOOKUP(B69,'Base de Datos'!$C$487:$K$1048576,7,0))=TRUE," ",(VLOOKUP(B69,'Base de Datos'!$C$487:$K$1048576,8,0)))</f>
        <v xml:space="preserve"> </v>
      </c>
      <c r="P69" s="551" t="str">
        <f>IF(ISERROR(VLOOKUP(B69,'Base de Datos'!$C$487:$N$4077,9,0))=TRUE," ",(VLOOKUP(B69,'Base de Datos'!$C$487:$N$4077,10,0)))</f>
        <v xml:space="preserve"> </v>
      </c>
      <c r="Q69" s="737"/>
      <c r="R69" s="551" t="str">
        <f>IF(ISERROR(VLOOKUP(B69,'Base de Datos'!$C$487:$N$4077,10,0))=TRUE," ",(VLOOKUP(B69,'Base de Datos'!$C$487:$N$4077,11,0)))</f>
        <v xml:space="preserve"> </v>
      </c>
      <c r="S69" s="551" t="str">
        <f>IF(ISERROR(VLOOKUP(B69,'Base de Datos'!$C$487:$N$4077,11,0))=TRUE," ",(VLOOKUP(B69,'Base de Datos'!$C$487:$N$4077,12,0)))</f>
        <v xml:space="preserve"> </v>
      </c>
      <c r="T69" s="533" t="e">
        <f>VLOOKUP(B69,'Base de Datos'!$C$487:$AR$4129,41,0)</f>
        <v>#N/A</v>
      </c>
      <c r="U69" s="722"/>
      <c r="V69" s="634"/>
    </row>
    <row r="70" spans="2:22" ht="21" customHeight="1" outlineLevel="1" x14ac:dyDescent="0.25">
      <c r="B70" s="552"/>
      <c r="C70" s="533" t="str">
        <f>IF(ISERROR(VLOOKUP(B70,'Base de Datos'!$C$487:$F$4092,2,0))=TRUE,"",(VLOOKUP('Presupuesto - PAA 2017'!B70,'Base de Datos'!$C$7:$F$4092,3,0)))</f>
        <v/>
      </c>
      <c r="D70" s="533" t="str">
        <f>IF(ISERROR(VLOOKUP(B70,'Base de Datos'!$C$487:$F$4092,3,0))=TRUE,"",(VLOOKUP('Presupuesto - PAA 2017'!B70,'Base de Datos'!$C$487:$F$4092,4,0)))</f>
        <v/>
      </c>
      <c r="E70" s="536" t="e">
        <f>VLOOKUP(B70,[7]PAA2017!$C$65:$AA$255,20,0)</f>
        <v>#N/A</v>
      </c>
      <c r="F70" s="534" t="e">
        <f>VLOOKUP(B70,[8]SOLICITUDES!$B$3:$H$278,2,0)</f>
        <v>#N/A</v>
      </c>
      <c r="G70" s="534"/>
      <c r="H70" s="534"/>
      <c r="I70" s="534"/>
      <c r="J70" s="536" t="str">
        <f>IF(ISERROR(VLOOKUP(B70,'Base de Datos'!$C$487:$N$4092,6,0))=TRUE,"Sin Celebrar",(VLOOKUP(B70,'Base de Datos'!$C$487:$N$4092,7,0)))</f>
        <v>Sin Celebrar</v>
      </c>
      <c r="K70" s="600"/>
      <c r="L70" s="580" t="e">
        <f>IF(J70=$AA$1,E70, " ")</f>
        <v>#N/A</v>
      </c>
      <c r="M70" s="536"/>
      <c r="N70" s="536" t="e">
        <f>IF(J70&lt;E70,(E70-J70)," ")</f>
        <v>#N/A</v>
      </c>
      <c r="O70" s="719" t="str">
        <f>IF(ISERROR(VLOOKUP(B70,'Base de Datos'!$C$487:$K$1048576,7,0))=TRUE," ",(VLOOKUP(B70,'Base de Datos'!$C$487:$K$1048576,8,0)))</f>
        <v xml:space="preserve"> </v>
      </c>
      <c r="P70" s="551" t="str">
        <f>IF(ISERROR(VLOOKUP(B70,'Base de Datos'!$C$487:$N$4077,9,0))=TRUE," ",(VLOOKUP(B70,'Base de Datos'!$C$487:$N$4077,10,0)))</f>
        <v xml:space="preserve"> </v>
      </c>
      <c r="Q70" s="737"/>
      <c r="R70" s="551" t="str">
        <f>IF(ISERROR(VLOOKUP(B70,'Base de Datos'!$C$487:$N$4077,10,0))=TRUE," ",(VLOOKUP(B70,'Base de Datos'!$C$487:$N$4077,11,0)))</f>
        <v xml:space="preserve"> </v>
      </c>
      <c r="S70" s="551" t="str">
        <f>IF(ISERROR(VLOOKUP(B70,'Base de Datos'!$C$487:$N$4077,11,0))=TRUE," ",(VLOOKUP(B70,'Base de Datos'!$C$487:$N$4077,12,0)))</f>
        <v xml:space="preserve"> </v>
      </c>
      <c r="T70" s="533" t="e">
        <f>VLOOKUP(B70,'Base de Datos'!$C$487:$AR$4129,41,0)</f>
        <v>#N/A</v>
      </c>
      <c r="U70" s="722"/>
      <c r="V70" s="634"/>
    </row>
    <row r="71" spans="2:22" outlineLevel="1" x14ac:dyDescent="0.25">
      <c r="B71" s="552"/>
      <c r="C71" s="533" t="str">
        <f>IF(ISERROR(VLOOKUP(B71,'Base de Datos'!$C$487:$F$4092,2,0))=TRUE,"",(VLOOKUP('Presupuesto - PAA 2017'!B71,'Base de Datos'!$C$7:$F$4092,3,0)))</f>
        <v/>
      </c>
      <c r="D71" s="533" t="str">
        <f>IF(ISERROR(VLOOKUP(B71,'Base de Datos'!$C$487:$F$4092,3,0))=TRUE,"",(VLOOKUP('Presupuesto - PAA 2017'!B71,'Base de Datos'!$C$487:$F$4092,4,0)))</f>
        <v/>
      </c>
      <c r="E71" s="536" t="e">
        <f>VLOOKUP(B71,[7]PAA2017!$C$65:$AA$255,20,0)</f>
        <v>#N/A</v>
      </c>
      <c r="F71" s="534" t="e">
        <f>VLOOKUP(B71,[8]SOLICITUDES!$B$3:$H$278,2,0)</f>
        <v>#N/A</v>
      </c>
      <c r="G71" s="534"/>
      <c r="H71" s="534"/>
      <c r="I71" s="534"/>
      <c r="J71" s="536" t="str">
        <f>IF(ISERROR(VLOOKUP(B71,'Base de Datos'!$C$487:$N$4092,6,0))=TRUE,"Sin Celebrar",(VLOOKUP(B71,'Base de Datos'!$C$487:$N$4092,7,0)))</f>
        <v>Sin Celebrar</v>
      </c>
      <c r="K71" s="600"/>
      <c r="L71" s="580" t="e">
        <f>IF(J71=$AA$1,E71, " ")</f>
        <v>#N/A</v>
      </c>
      <c r="M71" s="536"/>
      <c r="N71" s="536" t="e">
        <f>IF(J71&lt;E71,(E71-J71)," ")</f>
        <v>#N/A</v>
      </c>
      <c r="O71" s="719" t="str">
        <f>IF(ISERROR(VLOOKUP(B71,'Base de Datos'!$C$487:$K$1048576,7,0))=TRUE," ",(VLOOKUP(B71,'Base de Datos'!$C$487:$K$1048576,8,0)))</f>
        <v xml:space="preserve"> </v>
      </c>
      <c r="P71" s="551" t="str">
        <f>IF(ISERROR(VLOOKUP(B71,'Base de Datos'!$C$487:$N$4077,9,0))=TRUE," ",(VLOOKUP(B71,'Base de Datos'!$C$487:$N$4077,10,0)))</f>
        <v xml:space="preserve"> </v>
      </c>
      <c r="Q71" s="737"/>
      <c r="R71" s="551" t="str">
        <f>IF(ISERROR(VLOOKUP(B71,'Base de Datos'!$C$487:$N$4077,10,0))=TRUE," ",(VLOOKUP(B71,'Base de Datos'!$C$487:$N$4077,11,0)))</f>
        <v xml:space="preserve"> </v>
      </c>
      <c r="S71" s="551" t="str">
        <f>IF(ISERROR(VLOOKUP(B71,'Base de Datos'!$C$487:$N$4077,11,0))=TRUE," ",(VLOOKUP(B71,'Base de Datos'!$C$487:$N$4077,12,0)))</f>
        <v xml:space="preserve"> </v>
      </c>
      <c r="T71" s="533" t="e">
        <f>VLOOKUP(B71,'Base de Datos'!$C$487:$AR$4129,41,0)</f>
        <v>#N/A</v>
      </c>
      <c r="U71" s="722"/>
      <c r="V71" s="634"/>
    </row>
    <row r="72" spans="2:22" outlineLevel="1" x14ac:dyDescent="0.25">
      <c r="B72" s="552"/>
      <c r="C72" s="553"/>
      <c r="D72" s="553" t="s">
        <v>1935</v>
      </c>
      <c r="E72" s="701" t="e">
        <f>E51-SUM(E53:E70)</f>
        <v>#N/A</v>
      </c>
      <c r="F72" s="555"/>
      <c r="G72" s="555"/>
      <c r="H72" s="555"/>
      <c r="I72" s="555"/>
      <c r="J72" s="536"/>
      <c r="K72" s="604"/>
      <c r="L72" s="536"/>
      <c r="M72" s="554"/>
      <c r="N72" s="536" t="e">
        <f>IF(J72&lt;E72,(E72-J72)," ")</f>
        <v>#N/A</v>
      </c>
      <c r="O72" s="719" t="str">
        <f>IF(ISERROR(VLOOKUP(B72,'Base de Datos'!$C$7:$K$1048576,7,0))=TRUE," ",(VLOOKUP(B72,'Base de Datos'!$C$7:$K$1048576,7,0)))</f>
        <v xml:space="preserve"> </v>
      </c>
      <c r="P72" s="551" t="str">
        <f>IF(ISERROR(VLOOKUP(B72,'Base de Datos'!$C$7:$N$4077,9,0))=TRUE," ",(VLOOKUP(B72,'Base de Datos'!$C$7:$N$4077,9,0)))</f>
        <v xml:space="preserve"> </v>
      </c>
      <c r="Q72" s="553"/>
      <c r="R72" s="556" t="str">
        <f>IF(ISERROR(VLOOKUP(B72,'Base de Datos'!$C$7:$N$315,10,0))=TRUE," ",(VLOOKUP(B72,'Base de Datos'!$C$7:$N$315,10,0)))</f>
        <v xml:space="preserve"> </v>
      </c>
      <c r="S72" s="556" t="str">
        <f>IF(ISERROR(VLOOKUP(B72,'Base de Datos'!$C$7:$N$315,11,0))=TRUE," ",(VLOOKUP(B72,'Base de Datos'!$C$7:$N$315,11,0)))</f>
        <v xml:space="preserve"> </v>
      </c>
      <c r="T72" s="533"/>
      <c r="U72" s="722"/>
      <c r="V72" s="634"/>
    </row>
    <row r="73" spans="2:22" outlineLevel="1" x14ac:dyDescent="0.25">
      <c r="B73" s="1190"/>
      <c r="C73" s="1190"/>
      <c r="D73" s="1190"/>
      <c r="E73" s="536"/>
      <c r="F73" s="534"/>
      <c r="G73" s="534"/>
      <c r="H73" s="534"/>
      <c r="I73" s="534"/>
      <c r="J73" s="536"/>
      <c r="K73" s="600"/>
      <c r="L73" s="536"/>
      <c r="M73" s="536"/>
      <c r="N73" s="536"/>
      <c r="O73" s="678"/>
      <c r="P73" s="551"/>
      <c r="Q73" s="533"/>
      <c r="R73" s="551"/>
      <c r="S73" s="551"/>
      <c r="T73" s="533"/>
      <c r="U73" s="722"/>
      <c r="V73" s="634"/>
    </row>
    <row r="74" spans="2:22" outlineLevel="1" x14ac:dyDescent="0.25">
      <c r="B74" s="1190"/>
      <c r="C74" s="1190"/>
      <c r="D74" s="1190"/>
      <c r="E74" s="536"/>
      <c r="F74" s="534"/>
      <c r="G74" s="534"/>
      <c r="H74" s="534"/>
      <c r="I74" s="534"/>
      <c r="J74" s="536"/>
      <c r="K74" s="600"/>
      <c r="L74" s="536"/>
      <c r="M74" s="536"/>
      <c r="N74" s="536"/>
      <c r="O74" s="678"/>
      <c r="P74" s="551"/>
      <c r="Q74" s="533"/>
      <c r="R74" s="551"/>
      <c r="S74" s="551"/>
      <c r="T74" s="533"/>
      <c r="U74" s="722"/>
      <c r="V74" s="634"/>
    </row>
    <row r="75" spans="2:22" ht="15" customHeight="1" x14ac:dyDescent="0.25">
      <c r="B75" s="1195" t="s">
        <v>1649</v>
      </c>
      <c r="C75" s="1195"/>
      <c r="D75" s="1195"/>
      <c r="E75" s="587">
        <v>452000000</v>
      </c>
      <c r="F75" s="588">
        <f>COUNTIF('Actualizada - presupuesto'!$E$7:$E$111,B75)</f>
        <v>3</v>
      </c>
      <c r="G75" s="588"/>
      <c r="H75" s="588"/>
      <c r="I75" s="588"/>
      <c r="J75" s="587">
        <f>SUM(J77:J80)</f>
        <v>472000000</v>
      </c>
      <c r="K75" s="607">
        <f>J75/E75</f>
        <v>1.0442477876106195</v>
      </c>
      <c r="L75" s="587">
        <f>SUM(L77:L80)</f>
        <v>0</v>
      </c>
      <c r="M75" s="632">
        <v>0</v>
      </c>
      <c r="N75" s="587">
        <f>+E75-J75-L75</f>
        <v>-20000000</v>
      </c>
      <c r="O75" s="682"/>
      <c r="P75" s="589" t="str">
        <f>IF(ISERROR(VLOOKUP(B75,'Base de Datos'!$C$7:$N$315,8,0))=TRUE," ",(VLOOKUP(B75,'Base de Datos'!$C$7:$N$315,8,0)))</f>
        <v xml:space="preserve"> </v>
      </c>
      <c r="Q75" s="590"/>
      <c r="R75" s="589" t="str">
        <f>IF(ISERROR(VLOOKUP(B75,'Base de Datos'!$C$7:$N$315,9,0))=TRUE," ",(VLOOKUP(B75,'Base de Datos'!$C$7:$N$315,9,0)))</f>
        <v xml:space="preserve"> </v>
      </c>
      <c r="S75" s="589" t="str">
        <f>IF(ISERROR(VLOOKUP(B75,'Base de Datos'!$C$7:$N$315,10,0))=TRUE," ",(VLOOKUP(B75,'Base de Datos'!$C$7:$N$315,10,0)))</f>
        <v xml:space="preserve"> </v>
      </c>
      <c r="T75" s="592"/>
      <c r="U75" s="722"/>
      <c r="V75" s="634"/>
    </row>
    <row r="76" spans="2:22" ht="24" outlineLevel="1" x14ac:dyDescent="0.25">
      <c r="B76" s="537" t="s">
        <v>1693</v>
      </c>
      <c r="C76" s="537" t="s">
        <v>912</v>
      </c>
      <c r="D76" s="537" t="s">
        <v>1822</v>
      </c>
      <c r="E76" s="545" t="s">
        <v>1846</v>
      </c>
      <c r="F76" s="534" t="s">
        <v>1853</v>
      </c>
      <c r="G76" s="534"/>
      <c r="H76" s="534"/>
      <c r="I76" s="534"/>
      <c r="J76" s="537" t="s">
        <v>1845</v>
      </c>
      <c r="K76" s="652"/>
      <c r="L76" s="537" t="s">
        <v>1939</v>
      </c>
      <c r="M76" s="537"/>
      <c r="N76" s="537" t="s">
        <v>1940</v>
      </c>
      <c r="O76" s="677"/>
      <c r="P76" s="568" t="s">
        <v>1847</v>
      </c>
      <c r="Q76" s="537" t="s">
        <v>1848</v>
      </c>
      <c r="R76" s="537" t="s">
        <v>1849</v>
      </c>
      <c r="S76" s="537" t="s">
        <v>375</v>
      </c>
      <c r="T76" s="552" t="s">
        <v>1850</v>
      </c>
      <c r="U76" s="722"/>
      <c r="V76" s="634"/>
    </row>
    <row r="77" spans="2:22" ht="24" outlineLevel="1" x14ac:dyDescent="0.25">
      <c r="B77" s="537">
        <v>184</v>
      </c>
      <c r="C77" s="533" t="str">
        <f>IF(ISERROR(VLOOKUP(B77,'Base de Datos'!$C$487:$F$4092,2,0))=TRUE,"",(VLOOKUP('Presupuesto - PAA 2017'!B77,'Base de Datos'!$C$7:$F$4092,3,0)))</f>
        <v>150386-0-2015</v>
      </c>
      <c r="D77" s="533" t="str">
        <f>IF(ISERROR(VLOOKUP(B77,'Base de Datos'!$C$487:$F$4092,3,0))=TRUE,"",(VLOOKUP('Presupuesto - PAA 2017'!B77,'Base de Datos'!$C$487:$F$4092,4,0)))</f>
        <v>ESTACION DE SERVIICIO CARRERA 50 S.A.S</v>
      </c>
      <c r="E77" s="536">
        <f>VLOOKUP(B77,[7]PAA2017!$C$65:$AA$255,20,0)</f>
        <v>59000000</v>
      </c>
      <c r="F77" s="534" t="str">
        <f>VLOOKUP(B77,[8]SOLICITUDES!$B$3:$H$278,2,0)</f>
        <v>SI</v>
      </c>
      <c r="G77" s="534"/>
      <c r="H77" s="534"/>
      <c r="I77" s="534"/>
      <c r="J77" s="536">
        <f>IF(ISERROR(VLOOKUP(B77,'Base de Datos'!$C$487:$N$4092,6,0))=TRUE,"Sin Celebrar",(VLOOKUP(B77,'Base de Datos'!$C$487:$N$4092,7,0)))</f>
        <v>39000000</v>
      </c>
      <c r="K77" s="600"/>
      <c r="L77" s="580" t="str">
        <f>IF(J77=$AA$1,E77, " ")</f>
        <v xml:space="preserve"> </v>
      </c>
      <c r="M77" s="536"/>
      <c r="N77" s="536">
        <f>IF(J77&lt;E77,(E77-J77)," ")</f>
        <v>20000000</v>
      </c>
      <c r="O77" s="719" t="str">
        <f>IF(ISERROR(VLOOKUP(B77,'Base de Datos'!$C$487:$K$1048576,7,0))=TRUE," ",(VLOOKUP(B77,'Base de Datos'!$C$487:$K$1048576,8,0)))</f>
        <v>SDH-SMINC-08-2017</v>
      </c>
      <c r="P77" s="551">
        <f>IF(ISERROR(VLOOKUP(B77,'Base de Datos'!$C$487:$N$4077,9,0))=TRUE," ",(VLOOKUP(B77,'Base de Datos'!$C$487:$N$4077,10,0)))</f>
        <v>42823</v>
      </c>
      <c r="Q77" s="737"/>
      <c r="R77" s="551">
        <f>IF(ISERROR(VLOOKUP(B77,'Base de Datos'!$C$487:$N$4077,10,0))=TRUE," ",(VLOOKUP(B77,'Base de Datos'!$C$487:$N$4077,11,0)))</f>
        <v>42846</v>
      </c>
      <c r="S77" s="551">
        <f>IF(ISERROR(VLOOKUP(B77,'Base de Datos'!$C$487:$N$4077,11,0))=TRUE," ",(VLOOKUP(B77,'Base de Datos'!$C$487:$N$4077,12,0)))</f>
        <v>43186</v>
      </c>
      <c r="T77" s="533" t="str">
        <f ca="1">VLOOKUP(B77,'Base de Datos'!$C$487:$AR$4129,41,0)</f>
        <v>SI</v>
      </c>
      <c r="U77" s="722"/>
      <c r="V77" s="634"/>
    </row>
    <row r="78" spans="2:22" ht="24" outlineLevel="1" x14ac:dyDescent="0.25">
      <c r="B78" s="537">
        <v>183</v>
      </c>
      <c r="C78" s="533" t="str">
        <f>IF(ISERROR(VLOOKUP(B78,'Base de Datos'!$C$487:$F$4092,2,0))=TRUE,"",(VLOOKUP('Presupuesto - PAA 2017'!B78,'Base de Datos'!$C$7:$F$4092,3,0)))</f>
        <v>170004-0-2017</v>
      </c>
      <c r="D78" s="533" t="str">
        <f>IF(ISERROR(VLOOKUP(B78,'Base de Datos'!$C$487:$F$4092,3,0))=TRUE,"",(VLOOKUP('Presupuesto - PAA 2017'!B78,'Base de Datos'!$C$487:$F$4092,4,0)))</f>
        <v>UT AUTOGAS GRUPO EDS</v>
      </c>
      <c r="E78" s="536">
        <f>VLOOKUP(B78,[7]PAA2017!$C$65:$AA$255,20,0)</f>
        <v>493000000</v>
      </c>
      <c r="F78" s="534" t="str">
        <f>VLOOKUP(B78,[8]SOLICITUDES!$B$3:$H$278,2,0)</f>
        <v>SI</v>
      </c>
      <c r="G78" s="534"/>
      <c r="H78" s="534"/>
      <c r="I78" s="534"/>
      <c r="J78" s="536">
        <f>IF(ISERROR(VLOOKUP(B78,'Base de Datos'!$C$487:$N$4092,6,0))=TRUE,"Sin Celebrar",(VLOOKUP(B78,'Base de Datos'!$C$487:$N$4092,7,0)))</f>
        <v>433000000</v>
      </c>
      <c r="K78" s="600"/>
      <c r="L78" s="580" t="str">
        <f>IF(J78=$AA$1,E78, " ")</f>
        <v xml:space="preserve"> </v>
      </c>
      <c r="M78" s="536"/>
      <c r="N78" s="536">
        <f>IF(J78&lt;E78,(E78-J78)," ")</f>
        <v>60000000</v>
      </c>
      <c r="O78" s="719" t="str">
        <f>IF(ISERROR(VLOOKUP(B78,'Base de Datos'!$C$487:$K$1048576,7,0))=TRUE," ",(VLOOKUP(B78,'Base de Datos'!$C$487:$K$1048576,8,0)))</f>
        <v>Orden de compra 13628</v>
      </c>
      <c r="P78" s="551">
        <f>IF(ISERROR(VLOOKUP(B78,'Base de Datos'!$C$487:$N$4077,9,0))=TRUE," ",(VLOOKUP(B78,'Base de Datos'!$C$487:$N$4077,10,0)))</f>
        <v>42754</v>
      </c>
      <c r="Q78" s="737" t="s">
        <v>1854</v>
      </c>
      <c r="R78" s="551">
        <f>IF(ISERROR(VLOOKUP(B78,'Base de Datos'!$C$487:$N$4077,10,0))=TRUE," ",(VLOOKUP(B78,'Base de Datos'!$C$487:$N$4077,11,0)))</f>
        <v>42767</v>
      </c>
      <c r="S78" s="551">
        <f>IF(ISERROR(VLOOKUP(B78,'Base de Datos'!$C$487:$N$4077,11,0))=TRUE," ",(VLOOKUP(B78,'Base de Datos'!$C$487:$N$4077,12,0)))</f>
        <v>43100</v>
      </c>
      <c r="T78" s="533" t="str">
        <f>VLOOKUP(B78,'Base de Datos'!$C$487:$AR$4129,41,0)</f>
        <v>SI</v>
      </c>
      <c r="U78" s="722"/>
      <c r="V78" s="634"/>
    </row>
    <row r="79" spans="2:22" outlineLevel="1" x14ac:dyDescent="0.25">
      <c r="B79" s="552"/>
      <c r="C79" s="533" t="str">
        <f>IF(ISERROR(VLOOKUP(B79,'Base de Datos'!$C$7:$F$4092,2,0))=TRUE,"",(VLOOKUP('Presupuesto - PAA 2017'!B79,'Base de Datos'!$C$7:$F$4092,3,0)))</f>
        <v/>
      </c>
      <c r="D79" s="533" t="str">
        <f>IF(ISERROR(VLOOKUP(B79,'Base de Datos'!$C$7:$F$4092,3,0))=TRUE,"",(VLOOKUP('Presupuesto - PAA 2017'!B79,'Base de Datos'!$C$7:$F$4092,4,0)))</f>
        <v/>
      </c>
      <c r="E79" s="554"/>
      <c r="F79" s="534" t="e">
        <f>VLOOKUP(B79,'Actualizada - presupuesto'!$D$7:$L$111,9,0)</f>
        <v>#N/A</v>
      </c>
      <c r="G79" s="555"/>
      <c r="H79" s="555"/>
      <c r="I79" s="555"/>
      <c r="J79" s="536" t="str">
        <f>IF(ISERROR(VLOOKUP(B79,'Base de Datos'!$C$7:$N$4092,6,0))=TRUE,"Sin Celebrar",(VLOOKUP(B79,'Base de Datos'!$C$7:$N$4092,7,0)))</f>
        <v>Sin Celebrar</v>
      </c>
      <c r="K79" s="604"/>
      <c r="L79" s="580">
        <f>IF(J79=$AA$1,E79, " ")</f>
        <v>0</v>
      </c>
      <c r="M79" s="554"/>
      <c r="N79" s="554" t="str">
        <f>IF(J79&lt;E79,(E79-J79)," ")</f>
        <v xml:space="preserve"> </v>
      </c>
      <c r="O79" s="719" t="str">
        <f>IF(ISERROR(VLOOKUP(B79,'Base de Datos'!$C$7:$K$1048576,7,0))=TRUE," ",(VLOOKUP(B79,'Base de Datos'!$C$7:$K$1048576,8,0)))</f>
        <v xml:space="preserve"> </v>
      </c>
      <c r="P79" s="551" t="str">
        <f>IF(ISERROR(VLOOKUP(B79,'Base de Datos'!$C$7:$N$4077,9,0))=TRUE," ",(VLOOKUP(B79,'Base de Datos'!$C$7:$N$4077,10,0)))</f>
        <v xml:space="preserve"> </v>
      </c>
      <c r="Q79" s="553"/>
      <c r="R79" s="551" t="str">
        <f>IF(ISERROR(VLOOKUP(B79,'Base de Datos'!$C$7:$N$4077,10,0))=TRUE," ",(VLOOKUP(B79,'Base de Datos'!$C$7:$N$4077,11,0)))</f>
        <v xml:space="preserve"> </v>
      </c>
      <c r="S79" s="551" t="str">
        <f>IF(ISERROR(VLOOKUP(B79,'Base de Datos'!$C$7:$N$4077,11,0))=TRUE," ",(VLOOKUP(B79,'Base de Datos'!$C$7:$N$4077,12,0)))</f>
        <v xml:space="preserve"> </v>
      </c>
      <c r="T79" s="533" t="e">
        <f>VLOOKUP(C79,'Base de Datos'!$E$7:$AR$382,39,0)</f>
        <v>#N/A</v>
      </c>
      <c r="U79" s="722"/>
      <c r="V79" s="634"/>
    </row>
    <row r="80" spans="2:22" outlineLevel="1" x14ac:dyDescent="0.25">
      <c r="B80" s="648"/>
      <c r="C80" s="648"/>
      <c r="D80" s="533" t="s">
        <v>1938</v>
      </c>
      <c r="E80" s="536">
        <f>E75-(SUM(E77:E79))</f>
        <v>-100000000</v>
      </c>
      <c r="F80" s="647"/>
      <c r="G80" s="534"/>
      <c r="H80" s="534"/>
      <c r="I80" s="534"/>
      <c r="J80" s="554"/>
      <c r="K80" s="600"/>
      <c r="L80" s="554"/>
      <c r="M80" s="536"/>
      <c r="N80" s="554" t="str">
        <f>IF(J80&lt;E80,(E80-J80)," ")</f>
        <v xml:space="preserve"> </v>
      </c>
      <c r="O80" s="679"/>
      <c r="P80" s="551" t="str">
        <f>IF(ISERROR(VLOOKUP(B80,'Base de Datos'!$C$7:$N$315,9,0))=TRUE," ",(VLOOKUP(B80,'Base de Datos'!$C$7:$N$315,9,0)))</f>
        <v xml:space="preserve"> </v>
      </c>
      <c r="Q80" s="533"/>
      <c r="R80" s="556" t="str">
        <f>IF(ISERROR(VLOOKUP(B80,'Base de Datos'!$C$7:$N$315,10,0))=TRUE," ",(VLOOKUP(B80,'Base de Datos'!$C$7:$N$315,10,0)))</f>
        <v xml:space="preserve"> </v>
      </c>
      <c r="S80" s="556" t="str">
        <f>IF(ISERROR(VLOOKUP(B80,'Base de Datos'!$C$7:$N$315,11,0))=TRUE," ",(VLOOKUP(B80,'Base de Datos'!$C$7:$N$315,11,0)))</f>
        <v xml:space="preserve"> </v>
      </c>
      <c r="T80" s="721"/>
      <c r="U80" s="722"/>
      <c r="V80" s="634"/>
    </row>
    <row r="81" spans="2:22" outlineLevel="1" x14ac:dyDescent="0.25">
      <c r="B81" s="648"/>
      <c r="C81" s="648"/>
      <c r="D81" s="648"/>
      <c r="E81" s="536"/>
      <c r="F81" s="647"/>
      <c r="G81" s="647"/>
      <c r="H81" s="647"/>
      <c r="I81" s="647"/>
      <c r="J81" s="536"/>
      <c r="K81" s="600"/>
      <c r="L81" s="536"/>
      <c r="M81" s="536"/>
      <c r="N81" s="536"/>
      <c r="O81" s="678"/>
      <c r="P81" s="551"/>
      <c r="Q81" s="533"/>
      <c r="R81" s="551"/>
      <c r="S81" s="551"/>
      <c r="T81" s="533"/>
      <c r="U81" s="722"/>
      <c r="V81" s="634"/>
    </row>
    <row r="82" spans="2:22" ht="15" customHeight="1" x14ac:dyDescent="0.25">
      <c r="B82" s="1195" t="s">
        <v>1650</v>
      </c>
      <c r="C82" s="1195"/>
      <c r="D82" s="1195"/>
      <c r="E82" s="587">
        <v>223000000</v>
      </c>
      <c r="F82" s="588">
        <f>COUNTIF('Actualizada - presupuesto'!$E$7:$E$111,B82)</f>
        <v>4</v>
      </c>
      <c r="G82" s="588"/>
      <c r="H82" s="588"/>
      <c r="I82" s="588"/>
      <c r="J82" s="587">
        <f>SUM(J84:J88)</f>
        <v>357365600</v>
      </c>
      <c r="K82" s="607">
        <f>J82/E82</f>
        <v>1.6025363228699552</v>
      </c>
      <c r="L82" s="587" t="e">
        <f>SUM(L84:L88)</f>
        <v>#N/A</v>
      </c>
      <c r="M82" s="632" t="e">
        <f>+E82-(J82+L82)</f>
        <v>#N/A</v>
      </c>
      <c r="N82" s="587" t="e">
        <f>+E82-J82-L82</f>
        <v>#N/A</v>
      </c>
      <c r="O82" s="682"/>
      <c r="P82" s="589" t="str">
        <f>IF(ISERROR(VLOOKUP(B82,'Base de Datos'!$C$7:$N$315,8,0))=TRUE," ",(VLOOKUP(B82,'Base de Datos'!$C$7:$N$315,8,0)))</f>
        <v xml:space="preserve"> </v>
      </c>
      <c r="Q82" s="590"/>
      <c r="R82" s="589" t="str">
        <f>IF(ISERROR(VLOOKUP(B82,'Base de Datos'!$C$7:$N$315,9,0))=TRUE," ",(VLOOKUP(B82,'Base de Datos'!$C$7:$N$315,9,0)))</f>
        <v xml:space="preserve"> </v>
      </c>
      <c r="S82" s="589" t="str">
        <f>IF(ISERROR(VLOOKUP(B82,'Base de Datos'!$C$7:$N$315,10,0))=TRUE," ",(VLOOKUP(B82,'Base de Datos'!$C$7:$N$315,10,0)))</f>
        <v xml:space="preserve"> </v>
      </c>
      <c r="T82" s="592"/>
      <c r="U82" s="722"/>
      <c r="V82" s="634"/>
    </row>
    <row r="83" spans="2:22" ht="24" outlineLevel="1" x14ac:dyDescent="0.25">
      <c r="B83" s="537" t="s">
        <v>1693</v>
      </c>
      <c r="C83" s="537" t="s">
        <v>912</v>
      </c>
      <c r="D83" s="537" t="s">
        <v>1822</v>
      </c>
      <c r="E83" s="545" t="s">
        <v>1846</v>
      </c>
      <c r="F83" s="534" t="s">
        <v>1853</v>
      </c>
      <c r="G83" s="534"/>
      <c r="H83" s="534"/>
      <c r="I83" s="534"/>
      <c r="J83" s="537" t="s">
        <v>1845</v>
      </c>
      <c r="K83" s="652"/>
      <c r="L83" s="537" t="s">
        <v>1939</v>
      </c>
      <c r="M83" s="537"/>
      <c r="N83" s="537" t="s">
        <v>1940</v>
      </c>
      <c r="O83" s="677"/>
      <c r="P83" s="568" t="s">
        <v>1847</v>
      </c>
      <c r="Q83" s="537" t="s">
        <v>1848</v>
      </c>
      <c r="R83" s="537" t="s">
        <v>1849</v>
      </c>
      <c r="S83" s="537" t="s">
        <v>375</v>
      </c>
      <c r="T83" s="537" t="s">
        <v>1850</v>
      </c>
      <c r="U83" s="722"/>
      <c r="V83" s="634"/>
    </row>
    <row r="84" spans="2:22" ht="24" outlineLevel="1" x14ac:dyDescent="0.25">
      <c r="B84" s="537">
        <v>187</v>
      </c>
      <c r="C84" s="533" t="str">
        <f>IF(ISERROR(VLOOKUP(B84,'Base de Datos'!$C$487:$F$4092,2,0))=TRUE,"",(VLOOKUP('Presupuesto - PAA 2017'!B84,'Base de Datos'!$C$7:$F$4092,3,0)))</f>
        <v>150348-0-2015</v>
      </c>
      <c r="D84" s="533" t="str">
        <f>IF(ISERROR(VLOOKUP(B84,'Base de Datos'!$C$487:$F$4092,3,0))=TRUE,"",(VLOOKUP('Presupuesto - PAA 2017'!B84,'Base de Datos'!$C$487:$F$4092,4,0)))</f>
        <v>COMERCIALIZADORA VIMEL LTDA</v>
      </c>
      <c r="E84" s="536">
        <f>VLOOKUP(B84,[7]PAA2017!$C$65:$AA$255,20,0)</f>
        <v>49000000</v>
      </c>
      <c r="F84" s="534" t="str">
        <f>VLOOKUP(B84,[8]SOLICITUDES!$B$3:$H$278,2,0)</f>
        <v>SI</v>
      </c>
      <c r="G84" s="534"/>
      <c r="H84" s="534"/>
      <c r="I84" s="534"/>
      <c r="J84" s="536">
        <f>IF(ISERROR(VLOOKUP(B84,'Base de Datos'!$C$487:$N$4092,6,0))=TRUE,"Sin Celebrar",(VLOOKUP(B84,'Base de Datos'!$C$487:$N$4092,7,0)))</f>
        <v>6711600</v>
      </c>
      <c r="K84" s="600"/>
      <c r="L84" s="580" t="str">
        <f>IF(J84=$AA$1,E84, " ")</f>
        <v xml:space="preserve"> </v>
      </c>
      <c r="M84" s="536"/>
      <c r="N84" s="536">
        <f>IF(J84&lt;E84,(E84-J84)," ")</f>
        <v>42288400</v>
      </c>
      <c r="O84" s="719" t="str">
        <f>IF(ISERROR(VLOOKUP(B84,'Base de Datos'!$C$487:$K$1048576,7,0))=TRUE," ",(VLOOKUP(B84,'Base de Datos'!$C$487:$K$1048576,8,0)))</f>
        <v>SDH-SMINC-31-2017</v>
      </c>
      <c r="P84" s="551">
        <f>IF(ISERROR(VLOOKUP(B84,'Base de Datos'!$C$487:$N$4077,9,0))=TRUE," ",(VLOOKUP(B84,'Base de Datos'!$C$487:$N$4077,10,0)))</f>
        <v>42996</v>
      </c>
      <c r="Q84" s="737"/>
      <c r="R84" s="551">
        <f>IF(ISERROR(VLOOKUP(B84,'Base de Datos'!$C$487:$N$4077,10,0))=TRUE," ",(VLOOKUP(B84,'Base de Datos'!$C$487:$N$4077,11,0)))</f>
        <v>43004</v>
      </c>
      <c r="S84" s="551">
        <f>IF(ISERROR(VLOOKUP(B84,'Base de Datos'!$C$487:$N$4077,11,0))=TRUE," ",(VLOOKUP(B84,'Base de Datos'!$C$487:$N$4077,12,0)))</f>
        <v>43185</v>
      </c>
      <c r="T84" s="533" t="str">
        <f>VLOOKUP(B84,'Base de Datos'!$C$487:$AR$4129,41,0)</f>
        <v>SI</v>
      </c>
      <c r="U84" s="722"/>
      <c r="V84" s="634"/>
    </row>
    <row r="85" spans="2:22" ht="17.25" customHeight="1" outlineLevel="1" x14ac:dyDescent="0.25">
      <c r="B85" s="537">
        <v>188</v>
      </c>
      <c r="C85" s="533" t="str">
        <f>IF(ISERROR(VLOOKUP(B85,'Base de Datos'!$C$487:$F$4092,2,0))=TRUE,"",(VLOOKUP('Presupuesto - PAA 2017'!B85,'Base de Datos'!$C$7:$F$4092,3,0)))</f>
        <v>150300-0-2015</v>
      </c>
      <c r="D85" s="533" t="str">
        <f>IF(ISERROR(VLOOKUP(B85,'Base de Datos'!$C$487:$F$4092,3,0))=TRUE,"",(VLOOKUP('Presupuesto - PAA 2017'!B85,'Base de Datos'!$C$487:$F$4092,4,0)))</f>
        <v>INSTITUCIONAL STAR SERVICES Ltda.</v>
      </c>
      <c r="E85" s="536">
        <f>VLOOKUP(B85,[7]PAA2017!$C$65:$AA$255,20,0)</f>
        <v>128000000</v>
      </c>
      <c r="F85" s="534" t="e">
        <f>VLOOKUP(B85,[8]SOLICITUDES!$B$3:$H$278,2,0)</f>
        <v>#N/A</v>
      </c>
      <c r="G85" s="534"/>
      <c r="H85" s="534"/>
      <c r="I85" s="534"/>
      <c r="J85" s="536">
        <f>IF(ISERROR(VLOOKUP(B85,'Base de Datos'!$C$487:$N$4092,6,0))=TRUE,"Sin Celebrar",(VLOOKUP(B85,'Base de Datos'!$C$487:$N$4092,7,0)))</f>
        <v>79741000</v>
      </c>
      <c r="K85" s="600"/>
      <c r="L85" s="580" t="str">
        <f>IF(J85=$AA$1,E85, " ")</f>
        <v xml:space="preserve"> </v>
      </c>
      <c r="M85" s="536"/>
      <c r="N85" s="536">
        <f>IF(J85&lt;E85,(E85-J85)," ")</f>
        <v>48259000</v>
      </c>
      <c r="O85" s="719" t="str">
        <f>IF(ISERROR(VLOOKUP(B85,'Base de Datos'!$C$487:$K$1048576,7,0))=TRUE," ",(VLOOKUP(B85,'Base de Datos'!$C$487:$K$1048576,8,0)))</f>
        <v>SDH-SIE-09-2017</v>
      </c>
      <c r="P85" s="551" t="str">
        <f>IF(ISERROR(VLOOKUP(B85,'Base de Datos'!$C$487:$N$4077,9,0))=TRUE," ",(VLOOKUP(B85,'Base de Datos'!$C$487:$N$4077,10,0)))</f>
        <v>03/112017</v>
      </c>
      <c r="Q85" s="737"/>
      <c r="R85" s="551">
        <f>IF(ISERROR(VLOOKUP(B85,'Base de Datos'!$C$487:$N$4077,10,0))=TRUE," ",(VLOOKUP(B85,'Base de Datos'!$C$487:$N$4077,11,0)))</f>
        <v>43059</v>
      </c>
      <c r="S85" s="551">
        <f>IF(ISERROR(VLOOKUP(B85,'Base de Datos'!$C$487:$N$4077,11,0))=TRUE," ",(VLOOKUP(B85,'Base de Datos'!$C$487:$N$4077,12,0)))</f>
        <v>43286</v>
      </c>
      <c r="T85" s="533" t="str">
        <f>VLOOKUP(B85,'Base de Datos'!$C$487:$AR$4129,41,0)</f>
        <v>SI</v>
      </c>
      <c r="U85" s="722"/>
      <c r="V85" s="634"/>
    </row>
    <row r="86" spans="2:22" outlineLevel="1" x14ac:dyDescent="0.25">
      <c r="B86" s="537">
        <v>189</v>
      </c>
      <c r="C86" s="533" t="str">
        <f>IF(ISERROR(VLOOKUP(B86,'Base de Datos'!$C$487:$F$4092,2,0))=TRUE,"",(VLOOKUP('Presupuesto - PAA 2017'!B86,'Base de Datos'!$C$7:$F$4092,3,0)))</f>
        <v>150316-0-2015</v>
      </c>
      <c r="D86" s="533" t="str">
        <f>IF(ISERROR(VLOOKUP(B86,'Base de Datos'!$C$487:$F$4092,3,0))=TRUE,"",(VLOOKUP('Presupuesto - PAA 2017'!B86,'Base de Datos'!$C$487:$F$4092,4,0)))</f>
        <v>SERVIASEO S.A.</v>
      </c>
      <c r="E86" s="536">
        <f>VLOOKUP(B86,[7]PAA2017!$C$65:$AA$255,20,0)</f>
        <v>1708200000</v>
      </c>
      <c r="F86" s="534" t="str">
        <f>VLOOKUP(B86,[8]SOLICITUDES!$B$3:$H$278,2,0)</f>
        <v>SI</v>
      </c>
      <c r="G86" s="534"/>
      <c r="H86" s="534"/>
      <c r="I86" s="534"/>
      <c r="J86" s="536">
        <f>IF(ISERROR(VLOOKUP(B86,'Base de Datos'!$C$487:$N$4092,6,0))=TRUE,"Sin Celebrar",(VLOOKUP(B86,'Base de Datos'!$C$487:$N$4092,7,0)))</f>
        <v>270913000</v>
      </c>
      <c r="K86" s="600"/>
      <c r="L86" s="580" t="str">
        <f>IF(J86=$AA$1,E86, " ")</f>
        <v xml:space="preserve"> </v>
      </c>
      <c r="M86" s="536"/>
      <c r="N86" s="536">
        <f>IF(J86&lt;E86,(E86-J86)," ")</f>
        <v>1437287000</v>
      </c>
      <c r="O86" s="719" t="str">
        <f>IF(ISERROR(VLOOKUP(B86,'Base de Datos'!$C$487:$K$1048576,7,0))=TRUE," ",(VLOOKUP(B86,'Base de Datos'!$C$487:$K$1048576,8,0)))</f>
        <v xml:space="preserve"> SDH-LP-01-2017</v>
      </c>
      <c r="P86" s="551">
        <f>IF(ISERROR(VLOOKUP(B86,'Base de Datos'!$C$487:$N$4077,9,0))=TRUE," ",(VLOOKUP(B86,'Base de Datos'!$C$487:$N$4077,10,0)))</f>
        <v>42825</v>
      </c>
      <c r="Q86" s="737"/>
      <c r="R86" s="551">
        <f>IF(ISERROR(VLOOKUP(B86,'Base de Datos'!$C$487:$N$4077,10,0))=TRUE," ",(VLOOKUP(B86,'Base de Datos'!$C$487:$N$4077,11,0)))</f>
        <v>42829</v>
      </c>
      <c r="S86" s="551">
        <f>IF(ISERROR(VLOOKUP(B86,'Base de Datos'!$C$487:$N$4077,11,0))=TRUE," ",(VLOOKUP(B86,'Base de Datos'!$C$487:$N$4077,12,0)))</f>
        <v>43073</v>
      </c>
      <c r="T86" s="533" t="str">
        <f>VLOOKUP(B86,'Base de Datos'!$C$487:$AR$4129,41,0)</f>
        <v>SI</v>
      </c>
      <c r="U86" s="722"/>
      <c r="V86" s="634"/>
    </row>
    <row r="87" spans="2:22" ht="16.5" customHeight="1" outlineLevel="1" x14ac:dyDescent="0.25">
      <c r="B87" s="552"/>
      <c r="C87" s="533" t="str">
        <f>IF(ISERROR(VLOOKUP(B87,'Base de Datos'!$C$487:$F$4092,2,0))=TRUE,"",(VLOOKUP('Presupuesto - PAA 2017'!B87,'Base de Datos'!$C$7:$F$4092,3,0)))</f>
        <v/>
      </c>
      <c r="D87" s="533" t="str">
        <f>IF(ISERROR(VLOOKUP(B87,'Base de Datos'!$C$487:$F$4092,3,0))=TRUE,"",(VLOOKUP('Presupuesto - PAA 2017'!B87,'Base de Datos'!$C$487:$F$4092,4,0)))</f>
        <v/>
      </c>
      <c r="E87" s="536" t="e">
        <f>VLOOKUP(B87,[7]PAA2017!$C$65:$AA$255,20,0)</f>
        <v>#N/A</v>
      </c>
      <c r="F87" s="534" t="e">
        <f>VLOOKUP(B87,[8]SOLICITUDES!$B$3:$H$278,2,0)</f>
        <v>#N/A</v>
      </c>
      <c r="G87" s="534"/>
      <c r="H87" s="534"/>
      <c r="I87" s="534"/>
      <c r="J87" s="536" t="str">
        <f>IF(ISERROR(VLOOKUP(B87,'Base de Datos'!$C$487:$N$4092,6,0))=TRUE,"Sin Celebrar",(VLOOKUP(B87,'Base de Datos'!$C$487:$N$4092,7,0)))</f>
        <v>Sin Celebrar</v>
      </c>
      <c r="K87" s="600"/>
      <c r="L87" s="580" t="e">
        <f>IF(J87=$AA$1,E87, " ")</f>
        <v>#N/A</v>
      </c>
      <c r="M87" s="536"/>
      <c r="N87" s="536" t="e">
        <f>IF(J87&lt;E87,(E87-J87)," ")</f>
        <v>#N/A</v>
      </c>
      <c r="O87" s="719" t="str">
        <f>IF(ISERROR(VLOOKUP(B87,'Base de Datos'!$C$487:$K$1048576,7,0))=TRUE," ",(VLOOKUP(B87,'Base de Datos'!$C$487:$K$1048576,8,0)))</f>
        <v xml:space="preserve"> </v>
      </c>
      <c r="P87" s="551" t="str">
        <f>IF(ISERROR(VLOOKUP(B87,'Base de Datos'!$C$487:$N$4077,9,0))=TRUE," ",(VLOOKUP(B87,'Base de Datos'!$C$487:$N$4077,10,0)))</f>
        <v xml:space="preserve"> </v>
      </c>
      <c r="Q87" s="737"/>
      <c r="R87" s="551" t="str">
        <f>IF(ISERROR(VLOOKUP(B87,'Base de Datos'!$C$487:$N$4077,10,0))=TRUE," ",(VLOOKUP(B87,'Base de Datos'!$C$487:$N$4077,11,0)))</f>
        <v xml:space="preserve"> </v>
      </c>
      <c r="S87" s="551" t="str">
        <f>IF(ISERROR(VLOOKUP(B87,'Base de Datos'!$C$487:$N$4077,11,0))=TRUE," ",(VLOOKUP(B87,'Base de Datos'!$C$487:$N$4077,12,0)))</f>
        <v xml:space="preserve"> </v>
      </c>
      <c r="T87" s="533" t="e">
        <f>VLOOKUP(B87,'Base de Datos'!$C$487:$AR$4129,41,0)</f>
        <v>#N/A</v>
      </c>
      <c r="U87" s="722"/>
      <c r="V87" s="634"/>
    </row>
    <row r="88" spans="2:22" outlineLevel="1" x14ac:dyDescent="0.25">
      <c r="B88" s="648"/>
      <c r="C88" s="648"/>
      <c r="D88" s="533" t="s">
        <v>1935</v>
      </c>
      <c r="E88" s="536" t="e">
        <f>E82-SUM(E84:E87)</f>
        <v>#N/A</v>
      </c>
      <c r="F88" s="534"/>
      <c r="G88" s="534"/>
      <c r="H88" s="534"/>
      <c r="I88" s="534"/>
      <c r="J88" s="536"/>
      <c r="K88" s="600"/>
      <c r="L88" s="554"/>
      <c r="M88" s="536"/>
      <c r="N88" s="554" t="e">
        <f>IF(J88&lt;E88,(E88-J88)," ")</f>
        <v>#N/A</v>
      </c>
      <c r="O88" s="679"/>
      <c r="P88" s="551" t="str">
        <f>IF(ISERROR(VLOOKUP(B88,'Base de Datos'!$C$7:$N$315,9,0))=TRUE," ",(VLOOKUP(B88,'Base de Datos'!$C$7:$N$315,9,0)))</f>
        <v xml:space="preserve"> </v>
      </c>
      <c r="Q88" s="533"/>
      <c r="R88" s="556" t="str">
        <f>IF(ISERROR(VLOOKUP(B88,'Base de Datos'!$C$7:$N$315,10,0))=TRUE," ",(VLOOKUP(B88,'Base de Datos'!$C$7:$N$315,10,0)))</f>
        <v xml:space="preserve"> </v>
      </c>
      <c r="S88" s="556" t="str">
        <f>IF(ISERROR(VLOOKUP(B88,'Base de Datos'!$C$7:$N$315,11,0))=TRUE," ",(VLOOKUP(B88,'Base de Datos'!$C$7:$N$315,11,0)))</f>
        <v xml:space="preserve"> </v>
      </c>
      <c r="T88" s="533"/>
      <c r="U88" s="722"/>
      <c r="V88" s="634"/>
    </row>
    <row r="89" spans="2:22" outlineLevel="1" x14ac:dyDescent="0.25">
      <c r="B89" s="648"/>
      <c r="C89" s="648"/>
      <c r="D89" s="648"/>
      <c r="E89" s="536"/>
      <c r="F89" s="534"/>
      <c r="G89" s="534"/>
      <c r="H89" s="534"/>
      <c r="I89" s="534"/>
      <c r="J89" s="536"/>
      <c r="K89" s="600"/>
      <c r="L89" s="536"/>
      <c r="M89" s="536"/>
      <c r="N89" s="536"/>
      <c r="O89" s="678"/>
      <c r="P89" s="551"/>
      <c r="Q89" s="533"/>
      <c r="R89" s="551"/>
      <c r="S89" s="551"/>
      <c r="T89" s="533"/>
      <c r="U89" s="722"/>
      <c r="V89" s="634"/>
    </row>
    <row r="90" spans="2:22" ht="15" customHeight="1" x14ac:dyDescent="0.25">
      <c r="B90" s="1196" t="s">
        <v>1651</v>
      </c>
      <c r="C90" s="1196"/>
      <c r="D90" s="1196"/>
      <c r="E90" s="557">
        <v>7026221000</v>
      </c>
      <c r="F90" s="558">
        <f>COUNTIF('Actualizada - presupuesto'!$E$7:$E$111,B90)</f>
        <v>0</v>
      </c>
      <c r="G90" s="558"/>
      <c r="H90" s="558"/>
      <c r="I90" s="558"/>
      <c r="J90" s="567">
        <f>+J91+J100+J116+J139+J158+J175+J180+J188+J196+J204+J209</f>
        <v>5796244783</v>
      </c>
      <c r="K90" s="610">
        <f>J90/E90</f>
        <v>0.82494484346564101</v>
      </c>
      <c r="L90" s="567" t="e">
        <f>+L91+L100+L116+L139+L158+L175+L180+L188+L196+L204+L209</f>
        <v>#N/A</v>
      </c>
      <c r="M90" s="653">
        <v>0</v>
      </c>
      <c r="N90" s="567" t="e">
        <f>+N91+N100+N116+N139+N158+N175+N180+N188+N196+N204+N209</f>
        <v>#N/A</v>
      </c>
      <c r="O90" s="685"/>
      <c r="P90" s="567"/>
      <c r="Q90" s="574"/>
      <c r="R90" s="573" t="str">
        <f>IF(ISERROR(VLOOKUP(B90,'Base de Datos'!$C$7:$N$315,9,0))=TRUE," ",(VLOOKUP(B90,'Base de Datos'!$C$7:$N$315,9,0)))</f>
        <v xml:space="preserve"> </v>
      </c>
      <c r="S90" s="573" t="str">
        <f>IF(ISERROR(VLOOKUP(B90,'Base de Datos'!$C$7:$N$315,10,0))=TRUE," ",(VLOOKUP(B90,'Base de Datos'!$C$7:$N$315,10,0)))</f>
        <v xml:space="preserve"> </v>
      </c>
      <c r="T90" s="569"/>
      <c r="U90" s="722"/>
      <c r="V90" s="634"/>
    </row>
    <row r="91" spans="2:22" ht="15" customHeight="1" x14ac:dyDescent="0.25">
      <c r="B91" s="1181" t="s">
        <v>1652</v>
      </c>
      <c r="C91" s="1181"/>
      <c r="D91" s="1181"/>
      <c r="E91" s="581">
        <v>229000000</v>
      </c>
      <c r="F91" s="586">
        <f>COUNTIF('Actualizada - presupuesto'!$E$7:$E$111,B91)</f>
        <v>5</v>
      </c>
      <c r="G91" s="586"/>
      <c r="H91" s="586"/>
      <c r="I91" s="586"/>
      <c r="J91" s="581">
        <f>SUM(J93:J98)</f>
        <v>239202165</v>
      </c>
      <c r="K91" s="603">
        <f>J91/E91</f>
        <v>1.0445509388646288</v>
      </c>
      <c r="L91" s="581">
        <f>SUM(L93:L98)</f>
        <v>40420000</v>
      </c>
      <c r="M91" s="632">
        <v>0</v>
      </c>
      <c r="N91" s="581">
        <f>+E91-J91-L91</f>
        <v>-50622165</v>
      </c>
      <c r="O91" s="684"/>
      <c r="P91" s="591" t="str">
        <f>IF(ISERROR(VLOOKUP(B91,'Base de Datos'!$C$7:$N$315,8,0))=TRUE," ",(VLOOKUP(B91,'Base de Datos'!$C$7:$N$315,8,0)))</f>
        <v xml:space="preserve"> </v>
      </c>
      <c r="Q91" s="592"/>
      <c r="R91" s="591" t="str">
        <f>IF(ISERROR(VLOOKUP(B91,'Base de Datos'!$C$7:$N$315,9,0))=TRUE," ",(VLOOKUP(B91,'Base de Datos'!$C$7:$N$315,9,0)))</f>
        <v xml:space="preserve"> </v>
      </c>
      <c r="S91" s="591" t="str">
        <f>IF(ISERROR(VLOOKUP(B91,'Base de Datos'!$C$7:$N$315,10,0))=TRUE," ",(VLOOKUP(B91,'Base de Datos'!$C$7:$N$315,10,0)))</f>
        <v xml:space="preserve"> </v>
      </c>
      <c r="T91" s="592"/>
      <c r="U91" s="722"/>
      <c r="V91" s="634"/>
    </row>
    <row r="92" spans="2:22" ht="24" outlineLevel="1" x14ac:dyDescent="0.25">
      <c r="B92" s="537" t="s">
        <v>1693</v>
      </c>
      <c r="C92" s="537" t="s">
        <v>912</v>
      </c>
      <c r="D92" s="537" t="s">
        <v>1822</v>
      </c>
      <c r="E92" s="545" t="s">
        <v>1846</v>
      </c>
      <c r="F92" s="534" t="s">
        <v>1853</v>
      </c>
      <c r="G92" s="534"/>
      <c r="H92" s="534"/>
      <c r="I92" s="534"/>
      <c r="J92" s="537" t="s">
        <v>1845</v>
      </c>
      <c r="K92" s="652"/>
      <c r="L92" s="537" t="s">
        <v>1939</v>
      </c>
      <c r="M92" s="537"/>
      <c r="N92" s="537" t="s">
        <v>1940</v>
      </c>
      <c r="O92" s="677"/>
      <c r="P92" s="568" t="s">
        <v>1847</v>
      </c>
      <c r="Q92" s="537" t="s">
        <v>1848</v>
      </c>
      <c r="R92" s="537" t="s">
        <v>1849</v>
      </c>
      <c r="S92" s="537" t="s">
        <v>375</v>
      </c>
      <c r="T92" s="537" t="s">
        <v>1850</v>
      </c>
      <c r="U92" s="722"/>
      <c r="V92" s="634"/>
    </row>
    <row r="93" spans="2:22" ht="24" customHeight="1" outlineLevel="1" x14ac:dyDescent="0.25">
      <c r="B93" s="537">
        <v>71</v>
      </c>
      <c r="C93" s="533" t="str">
        <f>IF(ISERROR(VLOOKUP(B93,'Base de Datos'!$C$487:$F$4092,2,0))=TRUE,"",(VLOOKUP('Presupuesto - PAA 2017'!B93,'Base de Datos'!$C$7:$F$4092,3,0)))</f>
        <v/>
      </c>
      <c r="D93" s="533" t="str">
        <f>IF(ISERROR(VLOOKUP(B93,'Base de Datos'!$C$487:$F$4092,3,0))=TRUE,"",(VLOOKUP('Presupuesto - PAA 2017'!B93,'Base de Datos'!$C$487:$F$4092,4,0)))</f>
        <v/>
      </c>
      <c r="E93" s="536">
        <f>VLOOKUP(B93,[7]PAA2017!$C$65:$AA$255,20,0)</f>
        <v>40420000</v>
      </c>
      <c r="F93" s="534" t="e">
        <f>VLOOKUP(B93,[8]SOLICITUDES!$B$3:$H$278,2,0)</f>
        <v>#N/A</v>
      </c>
      <c r="G93" s="534"/>
      <c r="H93" s="534"/>
      <c r="I93" s="534"/>
      <c r="J93" s="536" t="str">
        <f>IF(ISERROR(VLOOKUP(B93,'Base de Datos'!$C$487:$N$4092,6,0))=TRUE,"Sin Celebrar",(VLOOKUP(B93,'Base de Datos'!$C$487:$N$4092,7,0)))</f>
        <v>Sin Celebrar</v>
      </c>
      <c r="K93" s="600"/>
      <c r="L93" s="580">
        <f>IF(J93=$AA$1,E93, " ")</f>
        <v>40420000</v>
      </c>
      <c r="M93" s="536"/>
      <c r="N93" s="536" t="str">
        <f t="shared" ref="N93:N98" si="8">IF(J93&lt;E93,(E93-J93)," ")</f>
        <v xml:space="preserve"> </v>
      </c>
      <c r="O93" s="719" t="str">
        <f>IF(ISERROR(VLOOKUP(B93,'Base de Datos'!$C$487:$K$1048576,7,0))=TRUE," ",(VLOOKUP(B93,'Base de Datos'!$C$487:$K$1048576,8,0)))</f>
        <v xml:space="preserve"> </v>
      </c>
      <c r="P93" s="551" t="str">
        <f>IF(ISERROR(VLOOKUP(B93,'Base de Datos'!$C$487:$N$4077,9,0))=TRUE," ",(VLOOKUP(B93,'Base de Datos'!$C$487:$N$4077,10,0)))</f>
        <v xml:space="preserve"> </v>
      </c>
      <c r="Q93" s="737"/>
      <c r="R93" s="551" t="str">
        <f>IF(ISERROR(VLOOKUP(B93,'Base de Datos'!$C$487:$N$4077,10,0))=TRUE," ",(VLOOKUP(B93,'Base de Datos'!$C$487:$N$4077,11,0)))</f>
        <v xml:space="preserve"> </v>
      </c>
      <c r="S93" s="551" t="str">
        <f>IF(ISERROR(VLOOKUP(B93,'Base de Datos'!$C$487:$N$4077,11,0))=TRUE," ",(VLOOKUP(B93,'Base de Datos'!$C$487:$N$4077,12,0)))</f>
        <v xml:space="preserve"> </v>
      </c>
      <c r="T93" s="533" t="e">
        <f>VLOOKUP(B93,'Base de Datos'!$C$487:$AR$4129,41,0)</f>
        <v>#N/A</v>
      </c>
      <c r="U93" s="722"/>
      <c r="V93" s="634"/>
    </row>
    <row r="94" spans="2:22" ht="24" outlineLevel="1" x14ac:dyDescent="0.25">
      <c r="B94" s="537">
        <v>84</v>
      </c>
      <c r="C94" s="533" t="str">
        <f>IF(ISERROR(VLOOKUP(B94,'Base de Datos'!$C$487:$F$4092,2,0))=TRUE,"",(VLOOKUP('Presupuesto - PAA 2017'!B94,'Base de Datos'!$C$7:$F$4092,3,0)))</f>
        <v>160152-0-2016</v>
      </c>
      <c r="D94" s="533" t="str">
        <f>IF(ISERROR(VLOOKUP(B94,'Base de Datos'!$C$487:$F$4092,3,0))=TRUE,"",(VLOOKUP('Presupuesto - PAA 2017'!B94,'Base de Datos'!$C$487:$F$4092,4,0)))</f>
        <v>EMPRESA DE TELECOMUNICACIONES DE BOGOTA S.A.   ESP</v>
      </c>
      <c r="E94" s="536">
        <f>VLOOKUP(B94,[7]PAA2017!$C$65:$AA$255,20,0)</f>
        <v>900419000</v>
      </c>
      <c r="F94" s="534" t="e">
        <f>VLOOKUP(B94,[8]SOLICITUDES!$B$3:$H$278,2,0)</f>
        <v>#N/A</v>
      </c>
      <c r="G94" s="534"/>
      <c r="H94" s="534"/>
      <c r="I94" s="534"/>
      <c r="J94" s="536">
        <f>IF(ISERROR(VLOOKUP(B94,'Base de Datos'!$C$487:$N$4092,6,0))=TRUE,"Sin Celebrar",(VLOOKUP(B94,'Base de Datos'!$C$487:$N$4092,7,0)))</f>
        <v>195049000</v>
      </c>
      <c r="K94" s="600"/>
      <c r="L94" s="580" t="str">
        <f>IF(J94=$AA$1,E94, " ")</f>
        <v xml:space="preserve"> </v>
      </c>
      <c r="M94" s="536"/>
      <c r="N94" s="536">
        <f t="shared" si="8"/>
        <v>705370000</v>
      </c>
      <c r="O94" s="719" t="str">
        <f>IF(ISERROR(VLOOKUP(B94,'Base de Datos'!$C$487:$K$1048576,7,0))=TRUE," ",(VLOOKUP(B94,'Base de Datos'!$C$487:$K$1048576,8,0)))</f>
        <v>170045-0-2017</v>
      </c>
      <c r="P94" s="551">
        <f>IF(ISERROR(VLOOKUP(B94,'Base de Datos'!$C$487:$N$4077,9,0))=TRUE," ",(VLOOKUP(B94,'Base de Datos'!$C$487:$N$4077,10,0)))</f>
        <v>42800</v>
      </c>
      <c r="Q94" s="737"/>
      <c r="R94" s="551">
        <f>IF(ISERROR(VLOOKUP(B94,'Base de Datos'!$C$487:$N$4077,10,0))=TRUE," ",(VLOOKUP(B94,'Base de Datos'!$C$487:$N$4077,11,0)))</f>
        <v>42801</v>
      </c>
      <c r="S94" s="551">
        <f>IF(ISERROR(VLOOKUP(B94,'Base de Datos'!$C$487:$N$4077,11,0))=TRUE," ",(VLOOKUP(B94,'Base de Datos'!$C$487:$N$4077,12,0)))</f>
        <v>43046</v>
      </c>
      <c r="T94" s="533" t="str">
        <f>VLOOKUP(B94,'Base de Datos'!$C$487:$AR$4129,41,0)</f>
        <v>SI</v>
      </c>
      <c r="U94" s="722"/>
      <c r="V94" s="634"/>
    </row>
    <row r="95" spans="2:22" ht="15" customHeight="1" outlineLevel="1" x14ac:dyDescent="0.25">
      <c r="B95" s="537">
        <v>165</v>
      </c>
      <c r="C95" s="533" t="str">
        <f>IF(ISERROR(VLOOKUP(B95,'Base de Datos'!$C$487:$F$4092,2,0))=TRUE,"",(VLOOKUP('Presupuesto - PAA 2017'!B95,'Base de Datos'!$C$7:$F$4092,3,0)))</f>
        <v>150265-0-2015</v>
      </c>
      <c r="D95" s="533" t="str">
        <f>IF(ISERROR(VLOOKUP(B95,'Base de Datos'!$C$487:$F$4092,3,0))=TRUE,"",(VLOOKUP('Presupuesto - PAA 2017'!B95,'Base de Datos'!$C$487:$F$4092,4,0)))</f>
        <v>DIRECTV COLOMBIA LTDA</v>
      </c>
      <c r="E95" s="536">
        <f>VLOOKUP(B95,[7]PAA2017!$C$65:$AA$255,20,0)</f>
        <v>1800000</v>
      </c>
      <c r="F95" s="534" t="e">
        <f>VLOOKUP(B95,[8]SOLICITUDES!$B$3:$H$278,2,0)</f>
        <v>#N/A</v>
      </c>
      <c r="G95" s="534"/>
      <c r="H95" s="534"/>
      <c r="I95" s="534"/>
      <c r="J95" s="536">
        <f>IF(ISERROR(VLOOKUP(B95,'Base de Datos'!$C$487:$N$4092,6,0))=TRUE,"Sin Celebrar",(VLOOKUP(B95,'Base de Datos'!$C$487:$N$4092,7,0)))</f>
        <v>1878120</v>
      </c>
      <c r="K95" s="600"/>
      <c r="L95" s="580" t="str">
        <f>IF(J95=$AA$1,E95, " ")</f>
        <v xml:space="preserve"> </v>
      </c>
      <c r="M95" s="536"/>
      <c r="N95" s="536" t="str">
        <f t="shared" si="8"/>
        <v xml:space="preserve"> </v>
      </c>
      <c r="O95" s="719" t="str">
        <f>IF(ISERROR(VLOOKUP(B95,'Base de Datos'!$C$487:$K$1048576,7,0))=TRUE," ",(VLOOKUP(B95,'Base de Datos'!$C$487:$K$1048576,8,0)))</f>
        <v>SHD-SMINC-29-2017</v>
      </c>
      <c r="P95" s="551">
        <f>IF(ISERROR(VLOOKUP(B95,'Base de Datos'!$C$487:$N$4077,9,0))=TRUE," ",(VLOOKUP(B95,'Base de Datos'!$C$487:$N$4077,10,0)))</f>
        <v>42961</v>
      </c>
      <c r="Q95" s="737"/>
      <c r="R95" s="551">
        <f>IF(ISERROR(VLOOKUP(B95,'Base de Datos'!$C$487:$N$4077,10,0))=TRUE," ",(VLOOKUP(B95,'Base de Datos'!$C$487:$N$4077,11,0)))</f>
        <v>42963</v>
      </c>
      <c r="S95" s="551">
        <f>IF(ISERROR(VLOOKUP(B95,'Base de Datos'!$C$487:$N$4077,11,0))=TRUE," ",(VLOOKUP(B95,'Base de Datos'!$C$487:$N$4077,12,0)))</f>
        <v>43327</v>
      </c>
      <c r="T95" s="533" t="str">
        <f>VLOOKUP(B95,'Base de Datos'!$C$487:$AR$4129,41,0)</f>
        <v>SI</v>
      </c>
      <c r="U95" s="722"/>
      <c r="V95" s="634"/>
    </row>
    <row r="96" spans="2:22" ht="13.5" customHeight="1" outlineLevel="1" x14ac:dyDescent="0.25">
      <c r="B96" s="537">
        <v>190</v>
      </c>
      <c r="C96" s="533" t="str">
        <f>IF(ISERROR(VLOOKUP(B96,'Base de Datos'!$C$487:$F$4092,2,0))=TRUE,"",(VLOOKUP('Presupuesto - PAA 2017'!B96,'Base de Datos'!$C$7:$F$4092,3,0)))</f>
        <v>170326-0-2017</v>
      </c>
      <c r="D96" s="533" t="str">
        <f>IF(ISERROR(VLOOKUP(B96,'Base de Datos'!$C$487:$F$4092,3,0))=TRUE,"",(VLOOKUP('Presupuesto - PAA 2017'!B96,'Base de Datos'!$C$487:$F$4092,4,0)))</f>
        <v>USA POSTAL S.A.</v>
      </c>
      <c r="E96" s="536">
        <f>VLOOKUP(B96,[7]PAA2017!$C$65:$AA$255,20,0)</f>
        <v>28000000</v>
      </c>
      <c r="F96" s="534" t="e">
        <f>VLOOKUP(B96,[8]SOLICITUDES!$B$3:$H$278,2,0)</f>
        <v>#N/A</v>
      </c>
      <c r="G96" s="534"/>
      <c r="H96" s="534"/>
      <c r="I96" s="534"/>
      <c r="J96" s="536">
        <f>IF(ISERROR(VLOOKUP(B96,'Base de Datos'!$C$487:$N$4092,6,0))=TRUE,"Sin Celebrar",(VLOOKUP(B96,'Base de Datos'!$C$487:$N$4092,7,0)))</f>
        <v>6512000</v>
      </c>
      <c r="K96" s="600"/>
      <c r="L96" s="580" t="str">
        <f>IF(J96=$AA$1,E96, " ")</f>
        <v xml:space="preserve"> </v>
      </c>
      <c r="M96" s="536"/>
      <c r="N96" s="536">
        <f t="shared" si="8"/>
        <v>21488000</v>
      </c>
      <c r="O96" s="719" t="str">
        <f>IF(ISERROR(VLOOKUP(B96,'Base de Datos'!$C$487:$K$1048576,7,0))=TRUE," ",(VLOOKUP(B96,'Base de Datos'!$C$487:$K$1048576,8,0)))</f>
        <v>SDH-SMINC-45-2017</v>
      </c>
      <c r="P96" s="551">
        <f>IF(ISERROR(VLOOKUP(B96,'Base de Datos'!$C$487:$N$4077,9,0))=TRUE," ",(VLOOKUP(B96,'Base de Datos'!$C$487:$N$4077,10,0)))</f>
        <v>43053</v>
      </c>
      <c r="Q96" s="737"/>
      <c r="R96" s="551">
        <f>IF(ISERROR(VLOOKUP(B96,'Base de Datos'!$C$487:$N$4077,10,0))=TRUE," ",(VLOOKUP(B96,'Base de Datos'!$C$487:$N$4077,11,0)))</f>
        <v>43070</v>
      </c>
      <c r="S96" s="551">
        <f>IF(ISERROR(VLOOKUP(B96,'Base de Datos'!$C$487:$N$4077,11,0))=TRUE," ",(VLOOKUP(B96,'Base de Datos'!$C$487:$N$4077,12,0)))</f>
        <v>43190</v>
      </c>
      <c r="T96" s="533" t="str">
        <f>VLOOKUP(B96,'Base de Datos'!$C$487:$AR$4129,41,0)</f>
        <v>SI</v>
      </c>
      <c r="U96" s="722"/>
      <c r="V96" s="634"/>
    </row>
    <row r="97" spans="2:22" outlineLevel="1" x14ac:dyDescent="0.25">
      <c r="B97" s="537">
        <v>191</v>
      </c>
      <c r="C97" s="533" t="str">
        <f>IF(ISERROR(VLOOKUP(B97,'Base de Datos'!$C$487:$F$4092,2,0))=TRUE,"",(VLOOKUP('Presupuesto - PAA 2017'!B97,'Base de Datos'!$C$7:$F$4092,3,0)))</f>
        <v>170147-0-2017</v>
      </c>
      <c r="D97" s="533" t="str">
        <f>IF(ISERROR(VLOOKUP(B97,'Base de Datos'!$C$487:$F$4092,3,0))=TRUE,"",(VLOOKUP('Presupuesto - PAA 2017'!B97,'Base de Datos'!$C$487:$F$4092,4,0)))</f>
        <v>SERVICIOS POSTALES NACIONALES S.A.</v>
      </c>
      <c r="E97" s="536">
        <f>VLOOKUP(B97,[7]PAA2017!$C$65:$AA$255,20,0)</f>
        <v>3462000000</v>
      </c>
      <c r="F97" s="534" t="str">
        <f>VLOOKUP(B97,[8]SOLICITUDES!$B$3:$H$278,2,0)</f>
        <v>SI</v>
      </c>
      <c r="G97" s="534"/>
      <c r="H97" s="534"/>
      <c r="I97" s="534"/>
      <c r="J97" s="536">
        <f>IF(ISERROR(VLOOKUP(B97,'Base de Datos'!$C$487:$N$4092,6,0))=TRUE,"Sin Celebrar",(VLOOKUP(B97,'Base de Datos'!$C$487:$N$4092,7,0)))</f>
        <v>35763045</v>
      </c>
      <c r="K97" s="600"/>
      <c r="L97" s="580" t="str">
        <f>IF(J97=$AA$1,E97, " ")</f>
        <v xml:space="preserve"> </v>
      </c>
      <c r="M97" s="536"/>
      <c r="N97" s="536">
        <f t="shared" si="8"/>
        <v>3426236955</v>
      </c>
      <c r="O97" s="719" t="str">
        <f>IF(ISERROR(VLOOKUP(B97,'Base de Datos'!$C$487:$K$1048576,7,0))=TRUE," ",(VLOOKUP(B97,'Base de Datos'!$C$487:$K$1048576,8,0)))</f>
        <v>170147-0-2017</v>
      </c>
      <c r="P97" s="551">
        <f>IF(ISERROR(VLOOKUP(B97,'Base de Datos'!$C$487:$N$4077,9,0))=TRUE," ",(VLOOKUP(B97,'Base de Datos'!$C$487:$N$4077,10,0)))</f>
        <v>42887</v>
      </c>
      <c r="Q97" s="737"/>
      <c r="R97" s="551">
        <f>IF(ISERROR(VLOOKUP(B97,'Base de Datos'!$C$487:$N$4077,10,0))=TRUE," ",(VLOOKUP(B97,'Base de Datos'!$C$487:$N$4077,11,0)))</f>
        <v>42899</v>
      </c>
      <c r="S97" s="551">
        <f>IF(ISERROR(VLOOKUP(B97,'Base de Datos'!$C$487:$N$4077,11,0))=TRUE," ",(VLOOKUP(B97,'Base de Datos'!$C$487:$N$4077,12,0)))</f>
        <v>43186</v>
      </c>
      <c r="T97" s="533" t="str">
        <f>VLOOKUP(B97,'Base de Datos'!$C$487:$AR$4129,41,0)</f>
        <v>SI</v>
      </c>
      <c r="U97" s="722"/>
      <c r="V97" s="634"/>
    </row>
    <row r="98" spans="2:22" outlineLevel="1" x14ac:dyDescent="0.25">
      <c r="B98" s="533"/>
      <c r="C98" s="533"/>
      <c r="D98" s="533" t="s">
        <v>1935</v>
      </c>
      <c r="E98" s="536">
        <f>E91-SUM(E93:E97)</f>
        <v>-4203639000</v>
      </c>
      <c r="F98" s="534"/>
      <c r="G98" s="534"/>
      <c r="H98" s="534"/>
      <c r="I98" s="534"/>
      <c r="J98" s="536"/>
      <c r="K98" s="600"/>
      <c r="L98" s="554"/>
      <c r="M98" s="536"/>
      <c r="N98" s="554" t="str">
        <f t="shared" si="8"/>
        <v xml:space="preserve"> </v>
      </c>
      <c r="O98" s="679"/>
      <c r="P98" s="551" t="str">
        <f>IF(ISERROR(VLOOKUP(B98,'Base de Datos'!$C$7:$N$315,9,0))=TRUE," ",(VLOOKUP(B98,'Base de Datos'!$C$7:$N$315,9,0)))</f>
        <v xml:space="preserve"> </v>
      </c>
      <c r="Q98" s="533"/>
      <c r="R98" s="556" t="str">
        <f>IF(ISERROR(VLOOKUP(B98,'Base de Datos'!$C$7:$N$315,10,0))=TRUE," ",(VLOOKUP(B98,'Base de Datos'!$C$7:$N$315,10,0)))</f>
        <v xml:space="preserve"> </v>
      </c>
      <c r="S98" s="556" t="str">
        <f>IF(ISERROR(VLOOKUP(B98,'Base de Datos'!$C$7:$N$315,11,0))=TRUE," ",(VLOOKUP(B98,'Base de Datos'!$C$7:$N$315,11,0)))</f>
        <v xml:space="preserve"> </v>
      </c>
      <c r="T98" s="533"/>
      <c r="U98" s="722"/>
      <c r="V98" s="634"/>
    </row>
    <row r="99" spans="2:22" outlineLevel="1" x14ac:dyDescent="0.25">
      <c r="B99" s="533"/>
      <c r="C99" s="533"/>
      <c r="D99" s="533"/>
      <c r="E99" s="536"/>
      <c r="F99" s="534"/>
      <c r="G99" s="534"/>
      <c r="H99" s="534"/>
      <c r="I99" s="534"/>
      <c r="J99" s="536"/>
      <c r="K99" s="600"/>
      <c r="L99" s="536"/>
      <c r="M99" s="536"/>
      <c r="N99" s="536"/>
      <c r="O99" s="678"/>
      <c r="P99" s="551"/>
      <c r="Q99" s="533"/>
      <c r="R99" s="551"/>
      <c r="S99" s="551"/>
      <c r="T99" s="533"/>
      <c r="U99" s="722"/>
      <c r="V99" s="634"/>
    </row>
    <row r="100" spans="2:22" ht="15" customHeight="1" x14ac:dyDescent="0.25">
      <c r="B100" s="1195" t="s">
        <v>1653</v>
      </c>
      <c r="C100" s="1195"/>
      <c r="D100" s="1195"/>
      <c r="E100" s="587">
        <v>54000000</v>
      </c>
      <c r="F100" s="588">
        <f>COUNTIF('Actualizada - presupuesto'!$E$7:$E$111,B100)</f>
        <v>11</v>
      </c>
      <c r="G100" s="588"/>
      <c r="H100" s="588"/>
      <c r="I100" s="588"/>
      <c r="J100" s="587">
        <f>SUM(J102:J114)</f>
        <v>56576000</v>
      </c>
      <c r="K100" s="607">
        <f>J100/E100</f>
        <v>1.0477037037037038</v>
      </c>
      <c r="L100" s="587" t="e">
        <f>SUM(L102:L114)</f>
        <v>#N/A</v>
      </c>
      <c r="M100" s="632">
        <v>0</v>
      </c>
      <c r="N100" s="587" t="e">
        <f>+E100-J100-L100</f>
        <v>#N/A</v>
      </c>
      <c r="O100" s="682"/>
      <c r="P100" s="589" t="str">
        <f>IF(ISERROR(VLOOKUP(B100,'Base de Datos'!$C$7:$N$315,8,0))=TRUE," ",(VLOOKUP(B100,'Base de Datos'!$C$7:$N$315,8,0)))</f>
        <v xml:space="preserve"> </v>
      </c>
      <c r="Q100" s="590"/>
      <c r="R100" s="589" t="str">
        <f>IF(ISERROR(VLOOKUP(B100,'Base de Datos'!$C$7:$N$315,9,0))=TRUE," ",(VLOOKUP(B100,'Base de Datos'!$C$7:$N$315,9,0)))</f>
        <v xml:space="preserve"> </v>
      </c>
      <c r="S100" s="589" t="str">
        <f>IF(ISERROR(VLOOKUP(B100,'Base de Datos'!$C$7:$N$315,10,0))=TRUE," ",(VLOOKUP(B100,'Base de Datos'!$C$7:$N$315,10,0)))</f>
        <v xml:space="preserve"> </v>
      </c>
      <c r="T100" s="592"/>
      <c r="U100" s="722"/>
      <c r="V100" s="634"/>
    </row>
    <row r="101" spans="2:22" ht="24" outlineLevel="1" x14ac:dyDescent="0.25">
      <c r="B101" s="537" t="s">
        <v>1693</v>
      </c>
      <c r="C101" s="537" t="s">
        <v>912</v>
      </c>
      <c r="D101" s="537" t="s">
        <v>1822</v>
      </c>
      <c r="E101" s="545" t="s">
        <v>1846</v>
      </c>
      <c r="F101" s="534" t="s">
        <v>1853</v>
      </c>
      <c r="G101" s="534"/>
      <c r="H101" s="534"/>
      <c r="I101" s="534"/>
      <c r="J101" s="537" t="s">
        <v>1845</v>
      </c>
      <c r="K101" s="652"/>
      <c r="L101" s="537" t="s">
        <v>1939</v>
      </c>
      <c r="M101" s="537"/>
      <c r="N101" s="537" t="s">
        <v>1940</v>
      </c>
      <c r="O101" s="677"/>
      <c r="P101" s="568" t="s">
        <v>1847</v>
      </c>
      <c r="Q101" s="537" t="s">
        <v>1848</v>
      </c>
      <c r="R101" s="537" t="s">
        <v>1849</v>
      </c>
      <c r="S101" s="537" t="s">
        <v>375</v>
      </c>
      <c r="T101" s="537" t="s">
        <v>1850</v>
      </c>
      <c r="U101" s="722"/>
      <c r="V101" s="634"/>
    </row>
    <row r="102" spans="2:22" ht="15" customHeight="1" outlineLevel="1" x14ac:dyDescent="0.25">
      <c r="B102" s="537">
        <v>166</v>
      </c>
      <c r="C102" s="533" t="str">
        <f>IF(ISERROR(VLOOKUP(B102,'Base de Datos'!$C$487:$F$4092,2,0))=TRUE,"",(VLOOKUP('Presupuesto - PAA 2017'!B102,'Base de Datos'!$C$7:$F$4092,3,0)))</f>
        <v>150232-0-2015</v>
      </c>
      <c r="D102" s="533" t="str">
        <f>IF(ISERROR(VLOOKUP(B102,'Base de Datos'!$C$487:$F$4092,3,0))=TRUE,"",(VLOOKUP('Presupuesto - PAA 2017'!B102,'Base de Datos'!$C$487:$F$4092,4,0)))</f>
        <v>POLITICAS &amp; MEDIOS INVESTIGACIONES LTDA</v>
      </c>
      <c r="E102" s="536">
        <f>VLOOKUP(B102,[7]PAA2017!$C$65:$AA$255,20,0)</f>
        <v>1150000</v>
      </c>
      <c r="F102" s="534" t="e">
        <f>VLOOKUP(B102,[8]SOLICITUDES!$B$3:$H$278,2,0)</f>
        <v>#N/A</v>
      </c>
      <c r="G102" s="534"/>
      <c r="H102" s="534"/>
      <c r="I102" s="534"/>
      <c r="J102" s="536">
        <f>IF(ISERROR(VLOOKUP(B102,'Base de Datos'!$C$487:$N$4092,6,0))=TRUE,"Sin Celebrar",(VLOOKUP(B102,'Base de Datos'!$C$487:$N$4092,7,0)))</f>
        <v>975000</v>
      </c>
      <c r="K102" s="600"/>
      <c r="L102" s="580" t="str">
        <f t="shared" ref="L102:L113" si="9">IF(J102=$AA$1,E102, " ")</f>
        <v xml:space="preserve"> </v>
      </c>
      <c r="M102" s="536"/>
      <c r="N102" s="536">
        <f t="shared" ref="N102:N113" si="10">IF(J102&lt;E102,(E102-J102)," ")</f>
        <v>175000</v>
      </c>
      <c r="O102" s="719" t="str">
        <f>IF(ISERROR(VLOOKUP(B102,'Base de Datos'!$C$487:$K$1048576,7,0))=TRUE," ",(VLOOKUP(B102,'Base de Datos'!$C$487:$K$1048576,8,0)))</f>
        <v>SDH-SMINC-34-2017</v>
      </c>
      <c r="P102" s="551">
        <f>IF(ISERROR(VLOOKUP(B102,'Base de Datos'!$C$487:$N$4077,9,0))=TRUE," ",(VLOOKUP(B102,'Base de Datos'!$C$487:$N$4077,10,0)))</f>
        <v>43003</v>
      </c>
      <c r="Q102" s="737"/>
      <c r="R102" s="551">
        <f>IF(ISERROR(VLOOKUP(B102,'Base de Datos'!$C$487:$N$4077,10,0))=TRUE," ",(VLOOKUP(B102,'Base de Datos'!$C$487:$N$4077,11,0)))</f>
        <v>43034</v>
      </c>
      <c r="S102" s="551">
        <f>IF(ISERROR(VLOOKUP(B102,'Base de Datos'!$C$487:$N$4077,11,0))=TRUE," ",(VLOOKUP(B102,'Base de Datos'!$C$487:$N$4077,12,0)))</f>
        <v>43399</v>
      </c>
      <c r="T102" s="533" t="str">
        <f>VLOOKUP(B102,'Base de Datos'!$C$487:$AR$4129,41,0)</f>
        <v>SI</v>
      </c>
      <c r="U102" s="722"/>
      <c r="V102" s="634"/>
    </row>
    <row r="103" spans="2:22" ht="15" customHeight="1" outlineLevel="1" x14ac:dyDescent="0.25">
      <c r="B103" s="537">
        <v>167</v>
      </c>
      <c r="C103" s="533" t="str">
        <f>IF(ISERROR(VLOOKUP(B103,'Base de Datos'!$C$487:$F$4092,2,0))=TRUE,"",(VLOOKUP('Presupuesto - PAA 2017'!B103,'Base de Datos'!$C$7:$F$4092,3,0)))</f>
        <v>150252-0-2015</v>
      </c>
      <c r="D103" s="533" t="str">
        <f>IF(ISERROR(VLOOKUP(B103,'Base de Datos'!$C$487:$F$4092,3,0))=TRUE,"",(VLOOKUP('Presupuesto - PAA 2017'!B103,'Base de Datos'!$C$487:$F$4092,4,0)))</f>
        <v>CASA EDITORIAL EL TIEMPO SA</v>
      </c>
      <c r="E103" s="536">
        <f>VLOOKUP(B103,[7]PAA2017!$C$65:$AA$255,20,0)</f>
        <v>1250000</v>
      </c>
      <c r="F103" s="534" t="str">
        <f>VLOOKUP(B103,[8]SOLICITUDES!$B$3:$H$278,2,0)</f>
        <v>SI</v>
      </c>
      <c r="G103" s="534"/>
      <c r="H103" s="534"/>
      <c r="I103" s="534"/>
      <c r="J103" s="536">
        <f>IF(ISERROR(VLOOKUP(B103,'Base de Datos'!$C$487:$N$4092,6,0))=TRUE,"Sin Celebrar",(VLOOKUP(B103,'Base de Datos'!$C$487:$N$4092,7,0)))</f>
        <v>1317000</v>
      </c>
      <c r="K103" s="600"/>
      <c r="L103" s="580" t="str">
        <f t="shared" si="9"/>
        <v xml:space="preserve"> </v>
      </c>
      <c r="M103" s="536"/>
      <c r="N103" s="536" t="str">
        <f t="shared" si="10"/>
        <v xml:space="preserve"> </v>
      </c>
      <c r="O103" s="719" t="str">
        <f>IF(ISERROR(VLOOKUP(B103,'Base de Datos'!$C$487:$K$1048576,7,0))=TRUE," ",(VLOOKUP(B103,'Base de Datos'!$C$487:$K$1048576,8,0)))</f>
        <v>170064-0-2017</v>
      </c>
      <c r="P103" s="551">
        <f>IF(ISERROR(VLOOKUP(B103,'Base de Datos'!$C$487:$N$4077,9,0))=TRUE," ",(VLOOKUP(B103,'Base de Datos'!$C$487:$N$4077,10,0)))</f>
        <v>42816</v>
      </c>
      <c r="Q103" s="737"/>
      <c r="R103" s="551">
        <f>IF(ISERROR(VLOOKUP(B103,'Base de Datos'!$C$487:$N$4077,10,0))=TRUE," ",(VLOOKUP(B103,'Base de Datos'!$C$487:$N$4077,11,0)))</f>
        <v>42817</v>
      </c>
      <c r="S103" s="551">
        <f>IF(ISERROR(VLOOKUP(B103,'Base de Datos'!$C$487:$N$4077,11,0))=TRUE," ",(VLOOKUP(B103,'Base de Datos'!$C$487:$N$4077,12,0)))</f>
        <v>43182</v>
      </c>
      <c r="T103" s="533" t="str">
        <f>VLOOKUP(B103,'Base de Datos'!$C$487:$AR$4129,41,0)</f>
        <v>SI</v>
      </c>
      <c r="U103" s="722"/>
      <c r="V103" s="634"/>
    </row>
    <row r="104" spans="2:22" ht="15" customHeight="1" outlineLevel="1" x14ac:dyDescent="0.25">
      <c r="B104" s="537">
        <v>168</v>
      </c>
      <c r="C104" s="533" t="str">
        <f>IF(ISERROR(VLOOKUP(B104,'Base de Datos'!$C$487:$F$4092,2,0))=TRUE,"",(VLOOKUP('Presupuesto - PAA 2017'!B104,'Base de Datos'!$C$7:$F$4092,3,0)))</f>
        <v>150209-0-2015</v>
      </c>
      <c r="D104" s="533" t="str">
        <f>IF(ISERROR(VLOOKUP(B104,'Base de Datos'!$C$487:$F$4092,3,0))=TRUE,"",(VLOOKUP('Presupuesto - PAA 2017'!B104,'Base de Datos'!$C$487:$F$4092,4,0)))</f>
        <v>REVISTA EL CONGRESO SIGLO XXI LTDA</v>
      </c>
      <c r="E104" s="536">
        <f>VLOOKUP(B104,[7]PAA2017!$C$65:$AA$255,20,0)</f>
        <v>10000000</v>
      </c>
      <c r="F104" s="534" t="e">
        <f>VLOOKUP(B104,[8]SOLICITUDES!$B$3:$H$278,2,0)</f>
        <v>#N/A</v>
      </c>
      <c r="G104" s="534"/>
      <c r="H104" s="534"/>
      <c r="I104" s="534"/>
      <c r="J104" s="536">
        <f>IF(ISERROR(VLOOKUP(B104,'Base de Datos'!$C$487:$N$4092,6,0))=TRUE,"Sin Celebrar",(VLOOKUP(B104,'Base de Datos'!$C$487:$N$4092,7,0)))</f>
        <v>8010000</v>
      </c>
      <c r="K104" s="600"/>
      <c r="L104" s="580" t="str">
        <f t="shared" si="9"/>
        <v xml:space="preserve"> </v>
      </c>
      <c r="M104" s="536"/>
      <c r="N104" s="536">
        <f t="shared" si="10"/>
        <v>1990000</v>
      </c>
      <c r="O104" s="719" t="str">
        <f>IF(ISERROR(VLOOKUP(B104,'Base de Datos'!$C$487:$K$1048576,7,0))=TRUE," ",(VLOOKUP(B104,'Base de Datos'!$C$487:$K$1048576,8,0)))</f>
        <v>170206-0-2017</v>
      </c>
      <c r="P104" s="551">
        <f>IF(ISERROR(VLOOKUP(B104,'Base de Datos'!$C$487:$N$4077,9,0))=TRUE," ",(VLOOKUP(B104,'Base de Datos'!$C$487:$N$4077,10,0)))</f>
        <v>42962</v>
      </c>
      <c r="Q104" s="737"/>
      <c r="R104" s="551">
        <f>IF(ISERROR(VLOOKUP(B104,'Base de Datos'!$C$487:$N$4077,10,0))=TRUE," ",(VLOOKUP(B104,'Base de Datos'!$C$487:$N$4077,11,0)))</f>
        <v>42965</v>
      </c>
      <c r="S104" s="551">
        <f>IF(ISERROR(VLOOKUP(B104,'Base de Datos'!$C$487:$N$4077,11,0))=TRUE," ",(VLOOKUP(B104,'Base de Datos'!$C$487:$N$4077,12,0)))</f>
        <v>43330</v>
      </c>
      <c r="T104" s="533" t="str">
        <f>VLOOKUP(B104,'Base de Datos'!$C$487:$AR$4129,41,0)</f>
        <v>SI</v>
      </c>
      <c r="U104" s="722"/>
      <c r="V104" s="634"/>
    </row>
    <row r="105" spans="2:22" ht="24.75" customHeight="1" outlineLevel="1" x14ac:dyDescent="0.25">
      <c r="B105" s="537">
        <v>169</v>
      </c>
      <c r="C105" s="533" t="str">
        <f>IF(ISERROR(VLOOKUP(B105,'Base de Datos'!$C$487:$F$4092,2,0))=TRUE,"",(VLOOKUP('Presupuesto - PAA 2017'!B105,'Base de Datos'!$C$7:$F$4092,3,0)))</f>
        <v>170095-0-2017</v>
      </c>
      <c r="D105" s="533" t="str">
        <f>IF(ISERROR(VLOOKUP(B105,'Base de Datos'!$C$487:$F$4092,3,0))=TRUE,"",(VLOOKUP('Presupuesto - PAA 2017'!B105,'Base de Datos'!$C$487:$F$4092,4,0)))</f>
        <v>D P C LTDA DESPACHOS PUBLICOS DE COLOMBIA LTDA</v>
      </c>
      <c r="E105" s="536">
        <f>VLOOKUP(B105,[7]PAA2017!$C$65:$AA$255,20,0)</f>
        <v>5000000</v>
      </c>
      <c r="F105" s="534" t="e">
        <f>VLOOKUP(B105,[8]SOLICITUDES!$B$3:$H$278,2,0)</f>
        <v>#N/A</v>
      </c>
      <c r="G105" s="534"/>
      <c r="H105" s="534"/>
      <c r="I105" s="534"/>
      <c r="J105" s="536">
        <f>IF(ISERROR(VLOOKUP(B105,'Base de Datos'!$C$487:$N$4092,6,0))=TRUE,"Sin Celebrar",(VLOOKUP(B105,'Base de Datos'!$C$487:$N$4092,7,0)))</f>
        <v>4300000</v>
      </c>
      <c r="K105" s="600"/>
      <c r="L105" s="580" t="str">
        <f t="shared" si="9"/>
        <v xml:space="preserve"> </v>
      </c>
      <c r="M105" s="536"/>
      <c r="N105" s="536">
        <f t="shared" si="10"/>
        <v>700000</v>
      </c>
      <c r="O105" s="719" t="str">
        <f>IF(ISERROR(VLOOKUP(B105,'Base de Datos'!$C$487:$K$1048576,7,0))=TRUE," ",(VLOOKUP(B105,'Base de Datos'!$C$487:$K$1048576,8,0)))</f>
        <v>170095-0-2017</v>
      </c>
      <c r="P105" s="551">
        <f>IF(ISERROR(VLOOKUP(B105,'Base de Datos'!$C$487:$N$4077,9,0))=TRUE," ",(VLOOKUP(B105,'Base de Datos'!$C$487:$N$4077,10,0)))</f>
        <v>42837</v>
      </c>
      <c r="Q105" s="737"/>
      <c r="R105" s="551">
        <f>IF(ISERROR(VLOOKUP(B105,'Base de Datos'!$C$487:$N$4077,10,0))=TRUE," ",(VLOOKUP(B105,'Base de Datos'!$C$487:$N$4077,11,0)))</f>
        <v>42849</v>
      </c>
      <c r="S105" s="551">
        <f>IF(ISERROR(VLOOKUP(B105,'Base de Datos'!$C$487:$N$4077,11,0))=TRUE," ",(VLOOKUP(B105,'Base de Datos'!$C$487:$N$4077,12,0)))</f>
        <v>43002</v>
      </c>
      <c r="T105" s="533" t="str">
        <f>VLOOKUP(B105,'Base de Datos'!$C$487:$AR$4129,41,0)</f>
        <v>SI</v>
      </c>
      <c r="U105" s="722"/>
      <c r="V105" s="634"/>
    </row>
    <row r="106" spans="2:22" ht="14.25" customHeight="1" outlineLevel="1" x14ac:dyDescent="0.25">
      <c r="B106" s="537">
        <v>170</v>
      </c>
      <c r="C106" s="533" t="str">
        <f>IF(ISERROR(VLOOKUP(B106,'Base de Datos'!$C$487:$F$4092,2,0))=TRUE,"",(VLOOKUP('Presupuesto - PAA 2017'!B106,'Base de Datos'!$C$7:$F$4092,3,0)))</f>
        <v>150241-0-2015</v>
      </c>
      <c r="D106" s="533" t="str">
        <f>IF(ISERROR(VLOOKUP(B106,'Base de Datos'!$C$487:$F$4092,3,0))=TRUE,"",(VLOOKUP('Presupuesto - PAA 2017'!B106,'Base de Datos'!$C$487:$F$4092,4,0)))</f>
        <v>EDITORIAL LA REPUBLICA SAS</v>
      </c>
      <c r="E106" s="536">
        <f>VLOOKUP(B106,[7]PAA2017!$C$65:$AA$255,20,0)</f>
        <v>1000000</v>
      </c>
      <c r="F106" s="534" t="e">
        <f>VLOOKUP(B106,[8]SOLICITUDES!$B$3:$H$278,2,0)</f>
        <v>#N/A</v>
      </c>
      <c r="G106" s="534"/>
      <c r="H106" s="534"/>
      <c r="I106" s="534"/>
      <c r="J106" s="536">
        <f>IF(ISERROR(VLOOKUP(B106,'Base de Datos'!$C$487:$N$4092,6,0))=TRUE,"Sin Celebrar",(VLOOKUP(B106,'Base de Datos'!$C$487:$N$4092,7,0)))</f>
        <v>840000</v>
      </c>
      <c r="K106" s="600"/>
      <c r="L106" s="580" t="str">
        <f t="shared" si="9"/>
        <v xml:space="preserve"> </v>
      </c>
      <c r="M106" s="536"/>
      <c r="N106" s="536">
        <f t="shared" si="10"/>
        <v>160000</v>
      </c>
      <c r="O106" s="719" t="str">
        <f>IF(ISERROR(VLOOKUP(B106,'Base de Datos'!$C$487:$K$1048576,7,0))=TRUE," ",(VLOOKUP(B106,'Base de Datos'!$C$487:$K$1048576,8,0)))</f>
        <v>170228-0-2017</v>
      </c>
      <c r="P106" s="551">
        <f>IF(ISERROR(VLOOKUP(B106,'Base de Datos'!$C$487:$N$4077,9,0))=TRUE," ",(VLOOKUP(B106,'Base de Datos'!$C$487:$N$4077,10,0)))</f>
        <v>42983</v>
      </c>
      <c r="Q106" s="737"/>
      <c r="R106" s="551">
        <f>IF(ISERROR(VLOOKUP(B106,'Base de Datos'!$C$487:$N$4077,10,0))=TRUE," ",(VLOOKUP(B106,'Base de Datos'!$C$487:$N$4077,11,0)))</f>
        <v>43069</v>
      </c>
      <c r="S106" s="551">
        <f>IF(ISERROR(VLOOKUP(B106,'Base de Datos'!$C$487:$N$4077,11,0))=TRUE," ",(VLOOKUP(B106,'Base de Datos'!$C$487:$N$4077,12,0)))</f>
        <v>43434</v>
      </c>
      <c r="T106" s="533" t="str">
        <f>VLOOKUP(B106,'Base de Datos'!$C$487:$AR$4129,41,0)</f>
        <v>SI</v>
      </c>
      <c r="U106" s="722"/>
      <c r="V106" s="634"/>
    </row>
    <row r="107" spans="2:22" ht="14.25" customHeight="1" outlineLevel="1" x14ac:dyDescent="0.25">
      <c r="B107" s="537">
        <v>171</v>
      </c>
      <c r="C107" s="533" t="str">
        <f>IF(ISERROR(VLOOKUP(B107,'Base de Datos'!$C$487:$F$4092,2,0))=TRUE,"",(VLOOKUP('Presupuesto - PAA 2017'!B107,'Base de Datos'!$C$7:$F$4092,3,0)))</f>
        <v>150219-0-2015</v>
      </c>
      <c r="D107" s="533" t="str">
        <f>IF(ISERROR(VLOOKUP(B107,'Base de Datos'!$C$487:$F$4092,3,0))=TRUE,"",(VLOOKUP('Presupuesto - PAA 2017'!B107,'Base de Datos'!$C$487:$F$4092,4,0)))</f>
        <v xml:space="preserve">COMUNICAN SA </v>
      </c>
      <c r="E107" s="536">
        <f>VLOOKUP(B107,[7]PAA2017!$C$65:$AA$255,20,0)</f>
        <v>1000000</v>
      </c>
      <c r="F107" s="534" t="e">
        <f>VLOOKUP(B107,[8]SOLICITUDES!$B$3:$H$278,2,0)</f>
        <v>#N/A</v>
      </c>
      <c r="G107" s="534"/>
      <c r="H107" s="534"/>
      <c r="I107" s="534"/>
      <c r="J107" s="536">
        <f>IF(ISERROR(VLOOKUP(B107,'Base de Datos'!$C$487:$N$4092,6,0))=TRUE,"Sin Celebrar",(VLOOKUP(B107,'Base de Datos'!$C$487:$N$4092,7,0)))</f>
        <v>1185000</v>
      </c>
      <c r="K107" s="600"/>
      <c r="L107" s="580" t="str">
        <f t="shared" si="9"/>
        <v xml:space="preserve"> </v>
      </c>
      <c r="M107" s="536"/>
      <c r="N107" s="536" t="str">
        <f t="shared" si="10"/>
        <v xml:space="preserve"> </v>
      </c>
      <c r="O107" s="719" t="str">
        <f>IF(ISERROR(VLOOKUP(B107,'Base de Datos'!$C$487:$K$1048576,7,0))=TRUE," ",(VLOOKUP(B107,'Base de Datos'!$C$487:$K$1048576,8,0)))</f>
        <v>170249-0-2017</v>
      </c>
      <c r="P107" s="551">
        <f>IF(ISERROR(VLOOKUP(B107,'Base de Datos'!$C$487:$N$4077,9,0))=TRUE," ",(VLOOKUP(B107,'Base de Datos'!$C$487:$N$4077,10,0)))</f>
        <v>42998</v>
      </c>
      <c r="Q107" s="737"/>
      <c r="R107" s="551">
        <f>IF(ISERROR(VLOOKUP(B107,'Base de Datos'!$C$487:$N$4077,10,0))=TRUE," ",(VLOOKUP(B107,'Base de Datos'!$C$487:$N$4077,11,0)))</f>
        <v>43010</v>
      </c>
      <c r="S107" s="551">
        <f>IF(ISERROR(VLOOKUP(B107,'Base de Datos'!$C$487:$N$4077,11,0))=TRUE," ",(VLOOKUP(B107,'Base de Datos'!$C$487:$N$4077,12,0)))</f>
        <v>43375</v>
      </c>
      <c r="T107" s="533" t="str">
        <f>VLOOKUP(B107,'Base de Datos'!$C$487:$AR$4129,41,0)</f>
        <v>SI</v>
      </c>
      <c r="U107" s="722"/>
      <c r="V107" s="634"/>
    </row>
    <row r="108" spans="2:22" ht="14.25" customHeight="1" outlineLevel="1" x14ac:dyDescent="0.25">
      <c r="B108" s="537">
        <v>172</v>
      </c>
      <c r="C108" s="533" t="str">
        <f>IF(ISERROR(VLOOKUP(B108,'Base de Datos'!$C$487:$F$4092,2,0))=TRUE,"",(VLOOKUP('Presupuesto - PAA 2017'!B108,'Base de Datos'!$C$7:$F$4092,3,0)))</f>
        <v>150215-0-2015</v>
      </c>
      <c r="D108" s="533" t="str">
        <f>IF(ISERROR(VLOOKUP(B108,'Base de Datos'!$C$487:$F$4092,3,0))=TRUE,"",(VLOOKUP('Presupuesto - PAA 2017'!B108,'Base de Datos'!$C$487:$F$4092,4,0)))</f>
        <v>EDITORIAL LA UNIDAD S.A EN EJECUCIÓN DEL ACUERDO DE REESTRUCTURACIÓN</v>
      </c>
      <c r="E108" s="536">
        <f>VLOOKUP(B108,[7]PAA2017!$C$65:$AA$255,20,0)</f>
        <v>1000000</v>
      </c>
      <c r="F108" s="534" t="e">
        <f>VLOOKUP(B108,[8]SOLICITUDES!$B$3:$H$278,2,0)</f>
        <v>#N/A</v>
      </c>
      <c r="G108" s="534"/>
      <c r="H108" s="534"/>
      <c r="I108" s="534"/>
      <c r="J108" s="536">
        <f>IF(ISERROR(VLOOKUP(B108,'Base de Datos'!$C$487:$N$4092,6,0))=TRUE,"Sin Celebrar",(VLOOKUP(B108,'Base de Datos'!$C$487:$N$4092,7,0)))</f>
        <v>960000</v>
      </c>
      <c r="K108" s="600"/>
      <c r="L108" s="580" t="str">
        <f t="shared" si="9"/>
        <v xml:space="preserve"> </v>
      </c>
      <c r="M108" s="536"/>
      <c r="N108" s="536">
        <f t="shared" si="10"/>
        <v>40000</v>
      </c>
      <c r="O108" s="719" t="str">
        <f>IF(ISERROR(VLOOKUP(B108,'Base de Datos'!$C$487:$K$1048576,7,0))=TRUE," ",(VLOOKUP(B108,'Base de Datos'!$C$487:$K$1048576,8,0)))</f>
        <v>170233-0-2017</v>
      </c>
      <c r="P108" s="551">
        <f>IF(ISERROR(VLOOKUP(B108,'Base de Datos'!$C$487:$N$4077,9,0))=TRUE," ",(VLOOKUP(B108,'Base de Datos'!$C$487:$N$4077,10,0)))</f>
        <v>42986</v>
      </c>
      <c r="Q108" s="737"/>
      <c r="R108" s="551">
        <f>IF(ISERROR(VLOOKUP(B108,'Base de Datos'!$C$487:$N$4077,10,0))=TRUE," ",(VLOOKUP(B108,'Base de Datos'!$C$487:$N$4077,11,0)))</f>
        <v>43013</v>
      </c>
      <c r="S108" s="551">
        <f>IF(ISERROR(VLOOKUP(B108,'Base de Datos'!$C$487:$N$4077,11,0))=TRUE," ",(VLOOKUP(B108,'Base de Datos'!$C$487:$N$4077,12,0)))</f>
        <v>43378</v>
      </c>
      <c r="T108" s="533" t="str">
        <f>VLOOKUP(B108,'Base de Datos'!$C$487:$AR$4129,41,0)</f>
        <v>SI</v>
      </c>
      <c r="U108" s="722"/>
      <c r="V108" s="634"/>
    </row>
    <row r="109" spans="2:22" ht="14.25" customHeight="1" outlineLevel="1" x14ac:dyDescent="0.25">
      <c r="B109" s="537">
        <v>173</v>
      </c>
      <c r="C109" s="533" t="str">
        <f>IF(ISERROR(VLOOKUP(B109,'Base de Datos'!$C$487:$F$4092,2,0))=TRUE,"",(VLOOKUP('Presupuesto - PAA 2017'!B109,'Base de Datos'!$C$7:$F$4092,3,0)))</f>
        <v/>
      </c>
      <c r="D109" s="533" t="str">
        <f>IF(ISERROR(VLOOKUP(B109,'Base de Datos'!$C$487:$F$4092,3,0))=TRUE,"",(VLOOKUP('Presupuesto - PAA 2017'!B109,'Base de Datos'!$C$487:$F$4092,4,0)))</f>
        <v/>
      </c>
      <c r="E109" s="536">
        <f>VLOOKUP(B109,[7]PAA2017!$C$65:$AA$255,20,0)</f>
        <v>1000000</v>
      </c>
      <c r="F109" s="534" t="e">
        <f>VLOOKUP(B109,[8]SOLICITUDES!$B$3:$H$278,2,0)</f>
        <v>#N/A</v>
      </c>
      <c r="G109" s="534"/>
      <c r="H109" s="534"/>
      <c r="I109" s="534"/>
      <c r="J109" s="536" t="str">
        <f>IF(ISERROR(VLOOKUP(B109,'Base de Datos'!$C$487:$N$4092,6,0))=TRUE,"Sin Celebrar",(VLOOKUP(B109,'Base de Datos'!$C$487:$N$4092,7,0)))</f>
        <v>Sin Celebrar</v>
      </c>
      <c r="K109" s="600"/>
      <c r="L109" s="580">
        <f t="shared" si="9"/>
        <v>1000000</v>
      </c>
      <c r="M109" s="536"/>
      <c r="N109" s="536" t="str">
        <f t="shared" si="10"/>
        <v xml:space="preserve"> </v>
      </c>
      <c r="O109" s="719" t="str">
        <f>IF(ISERROR(VLOOKUP(B109,'Base de Datos'!$C$487:$K$1048576,7,0))=TRUE," ",(VLOOKUP(B109,'Base de Datos'!$C$487:$K$1048576,8,0)))</f>
        <v xml:space="preserve"> </v>
      </c>
      <c r="P109" s="551" t="str">
        <f>IF(ISERROR(VLOOKUP(B109,'Base de Datos'!$C$487:$N$4077,9,0))=TRUE," ",(VLOOKUP(B109,'Base de Datos'!$C$487:$N$4077,10,0)))</f>
        <v xml:space="preserve"> </v>
      </c>
      <c r="Q109" s="737"/>
      <c r="R109" s="551" t="str">
        <f>IF(ISERROR(VLOOKUP(B109,'Base de Datos'!$C$487:$N$4077,10,0))=TRUE," ",(VLOOKUP(B109,'Base de Datos'!$C$487:$N$4077,11,0)))</f>
        <v xml:space="preserve"> </v>
      </c>
      <c r="S109" s="551" t="str">
        <f>IF(ISERROR(VLOOKUP(B109,'Base de Datos'!$C$487:$N$4077,11,0))=TRUE," ",(VLOOKUP(B109,'Base de Datos'!$C$487:$N$4077,12,0)))</f>
        <v xml:space="preserve"> </v>
      </c>
      <c r="T109" s="533" t="e">
        <f>VLOOKUP(B109,'Base de Datos'!$C$487:$AR$4129,41,0)</f>
        <v>#N/A</v>
      </c>
      <c r="U109" s="722"/>
      <c r="V109" s="634"/>
    </row>
    <row r="110" spans="2:22" ht="28.5" customHeight="1" outlineLevel="1" x14ac:dyDescent="0.25">
      <c r="B110" s="537">
        <v>192</v>
      </c>
      <c r="C110" s="533" t="str">
        <f>IF(ISERROR(VLOOKUP(B110,'Base de Datos'!$C$487:$F$4092,2,0))=TRUE,"",(VLOOKUP('Presupuesto - PAA 2017'!B110,'Base de Datos'!$C$7:$F$4092,3,0)))</f>
        <v>170304-0-2017</v>
      </c>
      <c r="D110" s="533" t="str">
        <f>IF(ISERROR(VLOOKUP(B110,'Base de Datos'!$C$487:$F$4092,3,0))=TRUE,"",(VLOOKUP('Presupuesto - PAA 2017'!B110,'Base de Datos'!$C$487:$F$4092,4,0)))</f>
        <v>SOLUTION COPY LTDA</v>
      </c>
      <c r="E110" s="536">
        <f>VLOOKUP(B110,[7]PAA2017!$C$65:$AA$255,20,0)</f>
        <v>233000000</v>
      </c>
      <c r="F110" s="534" t="str">
        <f>VLOOKUP(B110,[8]SOLICITUDES!$B$3:$H$278,2,0)</f>
        <v>SI</v>
      </c>
      <c r="G110" s="534"/>
      <c r="H110" s="534"/>
      <c r="I110" s="534"/>
      <c r="J110" s="536">
        <f>IF(ISERROR(VLOOKUP(B110,'Base de Datos'!$C$487:$N$4092,6,0))=TRUE,"Sin Celebrar",(VLOOKUP(B110,'Base de Datos'!$C$487:$N$4092,7,0)))</f>
        <v>38989000</v>
      </c>
      <c r="K110" s="600"/>
      <c r="L110" s="580" t="str">
        <f t="shared" si="9"/>
        <v xml:space="preserve"> </v>
      </c>
      <c r="M110" s="536"/>
      <c r="N110" s="536">
        <f t="shared" si="10"/>
        <v>194011000</v>
      </c>
      <c r="O110" s="719" t="str">
        <f>IF(ISERROR(VLOOKUP(B110,'Base de Datos'!$C$487:$K$1048576,7,0))=TRUE," ",(VLOOKUP(B110,'Base de Datos'!$C$487:$K$1048576,8,0)))</f>
        <v>SDH-SIE-10-2017</v>
      </c>
      <c r="P110" s="551">
        <f>IF(ISERROR(VLOOKUP(B110,'Base de Datos'!$C$487:$N$4077,9,0))=TRUE," ",(VLOOKUP(B110,'Base de Datos'!$C$487:$N$4077,10,0)))</f>
        <v>43040</v>
      </c>
      <c r="Q110" s="737"/>
      <c r="R110" s="551">
        <f>IF(ISERROR(VLOOKUP(B110,'Base de Datos'!$C$487:$N$4077,10,0))=TRUE," ",(VLOOKUP(B110,'Base de Datos'!$C$487:$N$4077,11,0)))</f>
        <v>43048</v>
      </c>
      <c r="S110" s="551">
        <f>IF(ISERROR(VLOOKUP(B110,'Base de Datos'!$C$487:$N$4077,11,0))=TRUE," ",(VLOOKUP(B110,'Base de Datos'!$C$487:$N$4077,12,0)))</f>
        <v>43259</v>
      </c>
      <c r="T110" s="533" t="str">
        <f>VLOOKUP(B110,'Base de Datos'!$C$487:$AR$4129,41,0)</f>
        <v>SI</v>
      </c>
      <c r="U110" s="722"/>
      <c r="V110" s="634"/>
    </row>
    <row r="111" spans="2:22" ht="14.25" customHeight="1" outlineLevel="1" x14ac:dyDescent="0.25">
      <c r="B111" s="537"/>
      <c r="C111" s="533" t="str">
        <f>IF(ISERROR(VLOOKUP(B111,'Base de Datos'!$C$487:$F$4092,2,0))=TRUE,"",(VLOOKUP('Presupuesto - PAA 2017'!B111,'Base de Datos'!$C$7:$F$4092,3,0)))</f>
        <v/>
      </c>
      <c r="D111" s="533" t="str">
        <f>IF(ISERROR(VLOOKUP(B111,'Base de Datos'!$C$487:$F$4092,3,0))=TRUE,"",(VLOOKUP('Presupuesto - PAA 2017'!B111,'Base de Datos'!$C$487:$F$4092,4,0)))</f>
        <v/>
      </c>
      <c r="E111" s="536" t="e">
        <f>VLOOKUP(B111,[7]PAA2017!$C$65:$AA$255,20,0)</f>
        <v>#N/A</v>
      </c>
      <c r="F111" s="534" t="e">
        <f>VLOOKUP(B111,[8]SOLICITUDES!$B$3:$H$278,2,0)</f>
        <v>#N/A</v>
      </c>
      <c r="G111" s="534"/>
      <c r="H111" s="534"/>
      <c r="I111" s="534"/>
      <c r="J111" s="536" t="str">
        <f>IF(ISERROR(VLOOKUP(B111,'Base de Datos'!$C$487:$N$4092,6,0))=TRUE,"Sin Celebrar",(VLOOKUP(B111,'Base de Datos'!$C$487:$N$4092,7,0)))</f>
        <v>Sin Celebrar</v>
      </c>
      <c r="K111" s="600"/>
      <c r="L111" s="580" t="e">
        <f t="shared" si="9"/>
        <v>#N/A</v>
      </c>
      <c r="M111" s="536"/>
      <c r="N111" s="536" t="e">
        <f t="shared" si="10"/>
        <v>#N/A</v>
      </c>
      <c r="O111" s="719" t="str">
        <f>IF(ISERROR(VLOOKUP(B111,'Base de Datos'!$C$487:$K$1048576,7,0))=TRUE," ",(VLOOKUP(B111,'Base de Datos'!$C$487:$K$1048576,8,0)))</f>
        <v xml:space="preserve"> </v>
      </c>
      <c r="P111" s="551" t="str">
        <f>IF(ISERROR(VLOOKUP(B111,'Base de Datos'!$C$487:$N$4077,9,0))=TRUE," ",(VLOOKUP(B111,'Base de Datos'!$C$487:$N$4077,10,0)))</f>
        <v xml:space="preserve"> </v>
      </c>
      <c r="Q111" s="737"/>
      <c r="R111" s="551" t="str">
        <f>IF(ISERROR(VLOOKUP(B111,'Base de Datos'!$C$487:$N$4077,10,0))=TRUE," ",(VLOOKUP(B111,'Base de Datos'!$C$487:$N$4077,11,0)))</f>
        <v xml:space="preserve"> </v>
      </c>
      <c r="S111" s="551" t="str">
        <f>IF(ISERROR(VLOOKUP(B111,'Base de Datos'!$C$487:$N$4077,11,0))=TRUE," ",(VLOOKUP(B111,'Base de Datos'!$C$487:$N$4077,12,0)))</f>
        <v xml:space="preserve"> </v>
      </c>
      <c r="T111" s="533" t="e">
        <f>VLOOKUP(B111,'Base de Datos'!$C$487:$AR$4129,41,0)</f>
        <v>#N/A</v>
      </c>
      <c r="U111" s="722"/>
      <c r="V111" s="634"/>
    </row>
    <row r="112" spans="2:22" ht="14.25" customHeight="1" outlineLevel="1" x14ac:dyDescent="0.25">
      <c r="B112" s="552"/>
      <c r="C112" s="533" t="str">
        <f>IF(ISERROR(VLOOKUP(B112,'Base de Datos'!$C$487:$F$4092,2,0))=TRUE,"",(VLOOKUP('Presupuesto - PAA 2017'!B112,'Base de Datos'!$C$7:$F$4092,3,0)))</f>
        <v/>
      </c>
      <c r="D112" s="533" t="str">
        <f>IF(ISERROR(VLOOKUP(B112,'Base de Datos'!$C$487:$F$4092,3,0))=TRUE,"",(VLOOKUP('Presupuesto - PAA 2017'!B112,'Base de Datos'!$C$487:$F$4092,4,0)))</f>
        <v/>
      </c>
      <c r="E112" s="536" t="e">
        <f>VLOOKUP(B112,[7]PAA2017!$C$65:$AA$255,20,0)</f>
        <v>#N/A</v>
      </c>
      <c r="F112" s="534" t="e">
        <f>VLOOKUP(B112,[8]SOLICITUDES!$B$3:$H$278,2,0)</f>
        <v>#N/A</v>
      </c>
      <c r="G112" s="534"/>
      <c r="H112" s="534"/>
      <c r="I112" s="534"/>
      <c r="J112" s="536" t="str">
        <f>IF(ISERROR(VLOOKUP(B112,'Base de Datos'!$C$487:$N$4092,6,0))=TRUE,"Sin Celebrar",(VLOOKUP(B112,'Base de Datos'!$C$487:$N$4092,7,0)))</f>
        <v>Sin Celebrar</v>
      </c>
      <c r="K112" s="600"/>
      <c r="L112" s="580" t="e">
        <f t="shared" si="9"/>
        <v>#N/A</v>
      </c>
      <c r="M112" s="536"/>
      <c r="N112" s="536" t="e">
        <f t="shared" si="10"/>
        <v>#N/A</v>
      </c>
      <c r="O112" s="719" t="str">
        <f>IF(ISERROR(VLOOKUP(B112,'Base de Datos'!$C$487:$K$1048576,7,0))=TRUE," ",(VLOOKUP(B112,'Base de Datos'!$C$487:$K$1048576,8,0)))</f>
        <v xml:space="preserve"> </v>
      </c>
      <c r="P112" s="551" t="str">
        <f>IF(ISERROR(VLOOKUP(B112,'Base de Datos'!$C$487:$N$4077,9,0))=TRUE," ",(VLOOKUP(B112,'Base de Datos'!$C$487:$N$4077,10,0)))</f>
        <v xml:space="preserve"> </v>
      </c>
      <c r="Q112" s="737"/>
      <c r="R112" s="551" t="str">
        <f>IF(ISERROR(VLOOKUP(B112,'Base de Datos'!$C$487:$N$4077,10,0))=TRUE," ",(VLOOKUP(B112,'Base de Datos'!$C$487:$N$4077,11,0)))</f>
        <v xml:space="preserve"> </v>
      </c>
      <c r="S112" s="551" t="str">
        <f>IF(ISERROR(VLOOKUP(B112,'Base de Datos'!$C$487:$N$4077,11,0))=TRUE," ",(VLOOKUP(B112,'Base de Datos'!$C$487:$N$4077,12,0)))</f>
        <v xml:space="preserve"> </v>
      </c>
      <c r="T112" s="533" t="e">
        <f>VLOOKUP(B112,'Base de Datos'!$C$487:$AR$4129,41,0)</f>
        <v>#N/A</v>
      </c>
      <c r="U112" s="722"/>
      <c r="V112" s="634"/>
    </row>
    <row r="113" spans="2:22" ht="24.75" customHeight="1" outlineLevel="1" x14ac:dyDescent="0.25">
      <c r="B113" s="552"/>
      <c r="C113" s="533" t="str">
        <f>IF(ISERROR(VLOOKUP(B113,'Base de Datos'!$C$487:$F$4092,2,0))=TRUE,"",(VLOOKUP('Presupuesto - PAA 2017'!B113,'Base de Datos'!$C$7:$F$4092,3,0)))</f>
        <v/>
      </c>
      <c r="D113" s="533" t="str">
        <f>IF(ISERROR(VLOOKUP(B113,'Base de Datos'!$C$487:$F$4092,3,0))=TRUE,"",(VLOOKUP('Presupuesto - PAA 2017'!B113,'Base de Datos'!$C$487:$F$4092,4,0)))</f>
        <v/>
      </c>
      <c r="E113" s="536" t="e">
        <f>VLOOKUP(B113,[7]PAA2017!$C$65:$AA$255,20,0)</f>
        <v>#N/A</v>
      </c>
      <c r="F113" s="534" t="e">
        <f>VLOOKUP(B113,[8]SOLICITUDES!$B$3:$H$278,2,0)</f>
        <v>#N/A</v>
      </c>
      <c r="G113" s="534"/>
      <c r="H113" s="534"/>
      <c r="I113" s="534"/>
      <c r="J113" s="536" t="str">
        <f>IF(ISERROR(VLOOKUP(B113,'Base de Datos'!$C$487:$N$4092,6,0))=TRUE,"Sin Celebrar",(VLOOKUP(B113,'Base de Datos'!$C$487:$N$4092,7,0)))</f>
        <v>Sin Celebrar</v>
      </c>
      <c r="K113" s="600"/>
      <c r="L113" s="580" t="e">
        <f t="shared" si="9"/>
        <v>#N/A</v>
      </c>
      <c r="M113" s="536"/>
      <c r="N113" s="536" t="e">
        <f t="shared" si="10"/>
        <v>#N/A</v>
      </c>
      <c r="O113" s="719" t="str">
        <f>IF(ISERROR(VLOOKUP(B113,'Base de Datos'!$C$487:$K$1048576,7,0))=TRUE," ",(VLOOKUP(B113,'Base de Datos'!$C$487:$K$1048576,8,0)))</f>
        <v xml:space="preserve"> </v>
      </c>
      <c r="P113" s="551" t="str">
        <f>IF(ISERROR(VLOOKUP(B113,'Base de Datos'!$C$487:$N$4077,9,0))=TRUE," ",(VLOOKUP(B113,'Base de Datos'!$C$487:$N$4077,10,0)))</f>
        <v xml:space="preserve"> </v>
      </c>
      <c r="Q113" s="737"/>
      <c r="R113" s="551" t="str">
        <f>IF(ISERROR(VLOOKUP(B113,'Base de Datos'!$C$487:$N$4077,10,0))=TRUE," ",(VLOOKUP(B113,'Base de Datos'!$C$487:$N$4077,11,0)))</f>
        <v xml:space="preserve"> </v>
      </c>
      <c r="S113" s="551" t="str">
        <f>IF(ISERROR(VLOOKUP(B113,'Base de Datos'!$C$487:$N$4077,11,0))=TRUE," ",(VLOOKUP(B113,'Base de Datos'!$C$487:$N$4077,12,0)))</f>
        <v xml:space="preserve"> </v>
      </c>
      <c r="T113" s="533" t="e">
        <f>VLOOKUP(B113,'Base de Datos'!$C$487:$AR$4129,41,0)</f>
        <v>#N/A</v>
      </c>
      <c r="U113" s="722"/>
      <c r="V113" s="634"/>
    </row>
    <row r="114" spans="2:22" outlineLevel="1" x14ac:dyDescent="0.25">
      <c r="B114" s="533"/>
      <c r="C114" s="533"/>
      <c r="D114" s="533" t="s">
        <v>1935</v>
      </c>
      <c r="E114" s="536" t="e">
        <f>E100-SUM(E102:E113)</f>
        <v>#N/A</v>
      </c>
      <c r="F114" s="534"/>
      <c r="G114" s="534"/>
      <c r="H114" s="534"/>
      <c r="I114" s="534"/>
      <c r="J114" s="536"/>
      <c r="K114" s="600"/>
      <c r="L114" s="536"/>
      <c r="M114" s="536"/>
      <c r="N114" s="554" t="e">
        <f>IF(J114&lt;E114,(E114-J114)," ")</f>
        <v>#N/A</v>
      </c>
      <c r="O114" s="679"/>
      <c r="P114" s="551" t="str">
        <f>IF(ISERROR(VLOOKUP(B114,'Base de Datos'!$C$7:$N$4077,9,0))=TRUE," ",(VLOOKUP(B114,'Base de Datos'!$C$7:$N$4077,9,0)))</f>
        <v xml:space="preserve"> </v>
      </c>
      <c r="Q114" s="533"/>
      <c r="R114" s="556" t="str">
        <f>IF(ISERROR(VLOOKUP(B114,'Base de Datos'!$C$7:$N$4077,10,0))=TRUE," ",(VLOOKUP(B114,'Base de Datos'!$C$7:$N$4077,10,0)))</f>
        <v xml:space="preserve"> </v>
      </c>
      <c r="S114" s="556" t="str">
        <f>IF(ISERROR(VLOOKUP(B114,'Base de Datos'!$C$7:$N$4077,11,0))=TRUE," ",(VLOOKUP(B114,'Base de Datos'!$C$7:$N$4077,11,0)))</f>
        <v xml:space="preserve"> </v>
      </c>
      <c r="T114" s="533"/>
      <c r="U114" s="722"/>
      <c r="V114" s="634"/>
    </row>
    <row r="115" spans="2:22" outlineLevel="1" x14ac:dyDescent="0.25">
      <c r="B115" s="533"/>
      <c r="C115" s="533"/>
      <c r="D115" s="533"/>
      <c r="E115" s="536"/>
      <c r="F115" s="534"/>
      <c r="G115" s="534"/>
      <c r="H115" s="534"/>
      <c r="I115" s="534"/>
      <c r="J115" s="536"/>
      <c r="K115" s="600"/>
      <c r="L115" s="536"/>
      <c r="M115" s="536"/>
      <c r="N115" s="536"/>
      <c r="O115" s="678"/>
      <c r="P115" s="551"/>
      <c r="Q115" s="533"/>
      <c r="R115" s="551"/>
      <c r="S115" s="551"/>
      <c r="T115" s="533"/>
      <c r="U115" s="722"/>
      <c r="V115" s="634"/>
    </row>
    <row r="116" spans="2:22" ht="15" customHeight="1" x14ac:dyDescent="0.25">
      <c r="B116" s="1196" t="s">
        <v>1654</v>
      </c>
      <c r="C116" s="1196"/>
      <c r="D116" s="1196"/>
      <c r="E116" s="557">
        <v>1188000000</v>
      </c>
      <c r="F116" s="558">
        <f>COUNTIF('Actualizada - presupuesto'!$E$7:$E$111,B116)</f>
        <v>0</v>
      </c>
      <c r="G116" s="558"/>
      <c r="H116" s="558"/>
      <c r="I116" s="558"/>
      <c r="J116" s="567">
        <f>+J117</f>
        <v>1048340161</v>
      </c>
      <c r="K116" s="609">
        <f>J116/E116</f>
        <v>0.88244121296296296</v>
      </c>
      <c r="L116" s="567" t="e">
        <f>+L117</f>
        <v>#N/A</v>
      </c>
      <c r="M116" s="567"/>
      <c r="N116" s="567" t="e">
        <f>+N117</f>
        <v>#N/A</v>
      </c>
      <c r="O116" s="685"/>
      <c r="P116" s="573" t="str">
        <f>IF(ISERROR(VLOOKUP(B116,'Base de Datos'!$C$7:$N$315,8,0))=TRUE," ",(VLOOKUP(B116,'Base de Datos'!$C$7:$N$315,8,0)))</f>
        <v xml:space="preserve"> </v>
      </c>
      <c r="Q116" s="574"/>
      <c r="R116" s="573" t="str">
        <f>IF(ISERROR(VLOOKUP(B116,'Base de Datos'!$C$7:$N$315,9,0))=TRUE," ",(VLOOKUP(B116,'Base de Datos'!$C$7:$N$315,9,0)))</f>
        <v xml:space="preserve"> </v>
      </c>
      <c r="S116" s="573" t="str">
        <f>IF(ISERROR(VLOOKUP(B116,'Base de Datos'!$C$7:$N$315,10,0))=TRUE," ",(VLOOKUP(B116,'Base de Datos'!$C$7:$N$315,10,0)))</f>
        <v xml:space="preserve"> </v>
      </c>
      <c r="T116" s="569"/>
      <c r="U116" s="722"/>
      <c r="V116" s="634"/>
    </row>
    <row r="117" spans="2:22" ht="15" customHeight="1" x14ac:dyDescent="0.25">
      <c r="B117" s="1181" t="s">
        <v>1655</v>
      </c>
      <c r="C117" s="1181"/>
      <c r="D117" s="1181"/>
      <c r="E117" s="581">
        <v>1188000000</v>
      </c>
      <c r="F117" s="586">
        <f>COUNTIF('Actualizada - presupuesto'!$E$7:$E$111,B117)</f>
        <v>17</v>
      </c>
      <c r="G117" s="586"/>
      <c r="H117" s="586"/>
      <c r="I117" s="586"/>
      <c r="J117" s="581">
        <f>SUM(J119:J136)</f>
        <v>1048340161</v>
      </c>
      <c r="K117" s="603">
        <f>J117/E117</f>
        <v>0.88244121296296296</v>
      </c>
      <c r="L117" s="581" t="e">
        <f>SUM(L119:L136)</f>
        <v>#N/A</v>
      </c>
      <c r="M117" s="581"/>
      <c r="N117" s="581" t="e">
        <f>+E117-J117-L117</f>
        <v>#N/A</v>
      </c>
      <c r="O117" s="684"/>
      <c r="P117" s="591" t="str">
        <f>IF(ISERROR(VLOOKUP(B117,'Base de Datos'!$C$7:$N$315,8,0))=TRUE," ",(VLOOKUP(B117,'Base de Datos'!$C$7:$N$315,8,0)))</f>
        <v xml:space="preserve"> </v>
      </c>
      <c r="Q117" s="592"/>
      <c r="R117" s="591" t="str">
        <f>IF(ISERROR(VLOOKUP(B117,'Base de Datos'!$C$7:$N$315,9,0))=TRUE," ",(VLOOKUP(B117,'Base de Datos'!$C$7:$N$315,9,0)))</f>
        <v xml:space="preserve"> </v>
      </c>
      <c r="S117" s="591" t="str">
        <f>IF(ISERROR(VLOOKUP(B117,'Base de Datos'!$C$7:$N$315,10,0))=TRUE," ",(VLOOKUP(B117,'Base de Datos'!$C$7:$N$315,10,0)))</f>
        <v xml:space="preserve"> </v>
      </c>
      <c r="T117" s="592"/>
      <c r="U117" s="722"/>
      <c r="V117" s="634"/>
    </row>
    <row r="118" spans="2:22" ht="24" outlineLevel="1" x14ac:dyDescent="0.25">
      <c r="B118" s="537" t="s">
        <v>1693</v>
      </c>
      <c r="C118" s="537" t="s">
        <v>912</v>
      </c>
      <c r="D118" s="537" t="s">
        <v>1822</v>
      </c>
      <c r="E118" s="545" t="s">
        <v>1846</v>
      </c>
      <c r="F118" s="534" t="s">
        <v>1853</v>
      </c>
      <c r="G118" s="534"/>
      <c r="H118" s="534"/>
      <c r="I118" s="534"/>
      <c r="J118" s="537" t="s">
        <v>1845</v>
      </c>
      <c r="K118" s="652"/>
      <c r="L118" s="537" t="s">
        <v>1939</v>
      </c>
      <c r="M118" s="537"/>
      <c r="N118" s="537" t="s">
        <v>1940</v>
      </c>
      <c r="O118" s="677"/>
      <c r="P118" s="568" t="s">
        <v>1847</v>
      </c>
      <c r="Q118" s="537" t="s">
        <v>1848</v>
      </c>
      <c r="R118" s="537" t="s">
        <v>1849</v>
      </c>
      <c r="S118" s="537" t="s">
        <v>375</v>
      </c>
      <c r="T118" s="537" t="s">
        <v>1850</v>
      </c>
      <c r="U118" s="722"/>
      <c r="V118" s="634"/>
    </row>
    <row r="119" spans="2:22" outlineLevel="1" x14ac:dyDescent="0.25">
      <c r="B119" s="537">
        <v>174</v>
      </c>
      <c r="C119" s="533" t="str">
        <f>IF(ISERROR(VLOOKUP(B119,'Base de Datos'!$C$487:$F$4092,2,0))=TRUE,"",(VLOOKUP('Presupuesto - PAA 2017'!B119,'Base de Datos'!$C$7:$F$4092,3,0)))</f>
        <v/>
      </c>
      <c r="D119" s="533" t="str">
        <f>IF(ISERROR(VLOOKUP(B119,'Base de Datos'!$C$487:$F$4092,3,0))=TRUE,"",(VLOOKUP('Presupuesto - PAA 2017'!B119,'Base de Datos'!$C$487:$F$4092,4,0)))</f>
        <v/>
      </c>
      <c r="E119" s="536">
        <f>VLOOKUP(B119,[7]PAA2017!$C$65:$AA$255,20,0)</f>
        <v>11000000</v>
      </c>
      <c r="F119" s="534" t="e">
        <f>VLOOKUP(B119,[8]SOLICITUDES!$B$3:$H$278,2,0)</f>
        <v>#N/A</v>
      </c>
      <c r="G119" s="534"/>
      <c r="H119" s="534"/>
      <c r="I119" s="534"/>
      <c r="J119" s="536" t="str">
        <f>IF(ISERROR(VLOOKUP(B119,'Base de Datos'!$C$487:$N$4092,6,0))=TRUE,"Sin Celebrar",(VLOOKUP(B119,'Base de Datos'!$C$487:$N$4092,7,0)))</f>
        <v>Sin Celebrar</v>
      </c>
      <c r="K119" s="600"/>
      <c r="L119" s="580">
        <f t="shared" ref="L119:L135" si="11">IF(J119=$AA$1,E119, " ")</f>
        <v>11000000</v>
      </c>
      <c r="M119" s="536"/>
      <c r="N119" s="536" t="str">
        <f t="shared" ref="N119:N135" si="12">IF(J119&lt;E119,(E119-J119)," ")</f>
        <v xml:space="preserve"> </v>
      </c>
      <c r="O119" s="719" t="str">
        <f>IF(ISERROR(VLOOKUP(B119,'Base de Datos'!$C$487:$K$1048576,7,0))=TRUE," ",(VLOOKUP(B119,'Base de Datos'!$C$487:$K$1048576,8,0)))</f>
        <v xml:space="preserve"> </v>
      </c>
      <c r="P119" s="551" t="str">
        <f>IF(ISERROR(VLOOKUP(B119,'Base de Datos'!$C$487:$N$4077,9,0))=TRUE," ",(VLOOKUP(B119,'Base de Datos'!$C$487:$N$4077,10,0)))</f>
        <v xml:space="preserve"> </v>
      </c>
      <c r="Q119" s="737"/>
      <c r="R119" s="551" t="str">
        <f>IF(ISERROR(VLOOKUP(B119,'Base de Datos'!$C$487:$N$4077,10,0))=TRUE," ",(VLOOKUP(B119,'Base de Datos'!$C$487:$N$4077,11,0)))</f>
        <v xml:space="preserve"> </v>
      </c>
      <c r="S119" s="551" t="str">
        <f>IF(ISERROR(VLOOKUP(B119,'Base de Datos'!$C$487:$N$4077,11,0))=TRUE," ",(VLOOKUP(B119,'Base de Datos'!$C$487:$N$4077,12,0)))</f>
        <v xml:space="preserve"> </v>
      </c>
      <c r="T119" s="533" t="e">
        <f>VLOOKUP(B119,'Base de Datos'!$C$487:$AR$4129,41,0)</f>
        <v>#N/A</v>
      </c>
      <c r="U119" s="722"/>
      <c r="V119" s="634"/>
    </row>
    <row r="120" spans="2:22" ht="12" customHeight="1" outlineLevel="1" x14ac:dyDescent="0.25">
      <c r="B120" s="537">
        <v>175</v>
      </c>
      <c r="C120" s="533" t="str">
        <f>IF(ISERROR(VLOOKUP(B120,'Base de Datos'!$C$487:$F$4092,2,0))=TRUE,"",(VLOOKUP('Presupuesto - PAA 2017'!B120,'Base de Datos'!$C$7:$F$4092,3,0)))</f>
        <v>150191-0-2015</v>
      </c>
      <c r="D120" s="533" t="str">
        <f>IF(ISERROR(VLOOKUP(B120,'Base de Datos'!$C$487:$F$4092,3,0))=TRUE,"",(VLOOKUP('Presupuesto - PAA 2017'!B120,'Base de Datos'!$C$487:$F$4092,4,0)))</f>
        <v>CONTRONET LTDA</v>
      </c>
      <c r="E120" s="536">
        <f>VLOOKUP(B120,[7]PAA2017!$C$65:$AA$255,20,0)</f>
        <v>7000000</v>
      </c>
      <c r="F120" s="534" t="e">
        <f>VLOOKUP(B120,[8]SOLICITUDES!$B$3:$H$278,2,0)</f>
        <v>#N/A</v>
      </c>
      <c r="G120" s="534"/>
      <c r="H120" s="534"/>
      <c r="I120" s="534"/>
      <c r="J120" s="536">
        <f>IF(ISERROR(VLOOKUP(B120,'Base de Datos'!$C$487:$N$4092,6,0))=TRUE,"Sin Celebrar",(VLOOKUP(B120,'Base de Datos'!$C$487:$N$4092,7,0)))</f>
        <v>30000000</v>
      </c>
      <c r="K120" s="600"/>
      <c r="L120" s="580" t="str">
        <f t="shared" si="11"/>
        <v xml:space="preserve"> </v>
      </c>
      <c r="M120" s="536"/>
      <c r="N120" s="536" t="str">
        <f t="shared" si="12"/>
        <v xml:space="preserve"> </v>
      </c>
      <c r="O120" s="719" t="str">
        <f>IF(ISERROR(VLOOKUP(B120,'Base de Datos'!$C$487:$K$1048576,7,0))=TRUE," ",(VLOOKUP(B120,'Base de Datos'!$C$487:$K$1048576,8,0)))</f>
        <v>SDH-SMINC-40-2018</v>
      </c>
      <c r="P120" s="551">
        <f>IF(ISERROR(VLOOKUP(B120,'Base de Datos'!$C$487:$N$4077,9,0))=TRUE," ",(VLOOKUP(B120,'Base de Datos'!$C$487:$N$4077,10,0)))</f>
        <v>43340</v>
      </c>
      <c r="Q120" s="737"/>
      <c r="R120" s="551">
        <f>IF(ISERROR(VLOOKUP(B120,'Base de Datos'!$C$487:$N$4077,10,0))=TRUE," ",(VLOOKUP(B120,'Base de Datos'!$C$487:$N$4077,11,0)))</f>
        <v>43355</v>
      </c>
      <c r="S120" s="551">
        <f>IF(ISERROR(VLOOKUP(B120,'Base de Datos'!$C$487:$N$4077,11,0))=TRUE," ",(VLOOKUP(B120,'Base de Datos'!$C$487:$N$4077,12,0)))</f>
        <v>43535</v>
      </c>
      <c r="T120" s="533" t="str">
        <f>VLOOKUP(B120,'Base de Datos'!$C$487:$AR$4129,41,0)</f>
        <v>SI</v>
      </c>
      <c r="U120" s="722"/>
      <c r="V120" s="634"/>
    </row>
    <row r="121" spans="2:22" ht="24" outlineLevel="1" x14ac:dyDescent="0.25">
      <c r="B121" s="537">
        <v>182</v>
      </c>
      <c r="C121" s="533" t="str">
        <f>IF(ISERROR(VLOOKUP(B121,'Base de Datos'!$C$487:$F$4092,2,0))=TRUE,"",(VLOOKUP('Presupuesto - PAA 2017'!B121,'Base de Datos'!$C$7:$F$4092,3,0)))</f>
        <v>150260-0-2015</v>
      </c>
      <c r="D121" s="533" t="str">
        <f>IF(ISERROR(VLOOKUP(B121,'Base de Datos'!$C$487:$F$4092,3,0))=TRUE,"",(VLOOKUP('Presupuesto - PAA 2017'!B121,'Base de Datos'!$C$487:$F$4092,4,0)))</f>
        <v>SOLUCIONES H &amp; S S.A.S</v>
      </c>
      <c r="E121" s="536">
        <f>VLOOKUP(B121,[7]PAA2017!$C$65:$AA$255,20,0)</f>
        <v>3000000</v>
      </c>
      <c r="F121" s="534" t="str">
        <f>VLOOKUP(B121,[8]SOLICITUDES!$B$3:$H$278,2,0)</f>
        <v>SI</v>
      </c>
      <c r="G121" s="534"/>
      <c r="H121" s="534"/>
      <c r="I121" s="534"/>
      <c r="J121" s="536">
        <f>IF(ISERROR(VLOOKUP(B121,'Base de Datos'!$C$487:$N$4092,6,0))=TRUE,"Sin Celebrar",(VLOOKUP(B121,'Base de Datos'!$C$487:$N$4092,7,0)))</f>
        <v>2585000</v>
      </c>
      <c r="K121" s="600"/>
      <c r="L121" s="580" t="str">
        <f t="shared" si="11"/>
        <v xml:space="preserve"> </v>
      </c>
      <c r="M121" s="536"/>
      <c r="N121" s="536">
        <f t="shared" si="12"/>
        <v>415000</v>
      </c>
      <c r="O121" s="719" t="str">
        <f>IF(ISERROR(VLOOKUP(B121,'Base de Datos'!$C$487:$K$1048576,7,0))=TRUE," ",(VLOOKUP(B121,'Base de Datos'!$C$487:$K$1048576,8,0)))</f>
        <v xml:space="preserve"> SDH-SMINC-05-2017</v>
      </c>
      <c r="P121" s="551">
        <f>IF(ISERROR(VLOOKUP(B121,'Base de Datos'!$C$487:$N$4077,9,0))=TRUE," ",(VLOOKUP(B121,'Base de Datos'!$C$487:$N$4077,10,0)))</f>
        <v>42811</v>
      </c>
      <c r="Q121" s="737"/>
      <c r="R121" s="551">
        <f>IF(ISERROR(VLOOKUP(B121,'Base de Datos'!$C$487:$N$4077,10,0))=TRUE," ",(VLOOKUP(B121,'Base de Datos'!$C$487:$N$4077,11,0)))</f>
        <v>42846</v>
      </c>
      <c r="S121" s="551">
        <f>IF(ISERROR(VLOOKUP(B121,'Base de Datos'!$C$487:$N$4077,11,0))=TRUE," ",(VLOOKUP(B121,'Base de Datos'!$C$487:$N$4077,12,0)))</f>
        <v>43211</v>
      </c>
      <c r="T121" s="533" t="str">
        <f>VLOOKUP(B121,'Base de Datos'!$C$487:$AR$4129,41,0)</f>
        <v>SI</v>
      </c>
      <c r="U121" s="722"/>
      <c r="V121" s="634"/>
    </row>
    <row r="122" spans="2:22" ht="13.5" customHeight="1" outlineLevel="1" x14ac:dyDescent="0.25">
      <c r="B122" s="537">
        <v>184</v>
      </c>
      <c r="C122" s="533" t="str">
        <f>IF(ISERROR(VLOOKUP(B122,'Base de Datos'!$C$487:$F$4092,2,0))=TRUE,"",(VLOOKUP('Presupuesto - PAA 2017'!B122,'Base de Datos'!$C$7:$F$4092,3,0)))</f>
        <v>150386-0-2015</v>
      </c>
      <c r="D122" s="533" t="str">
        <f>IF(ISERROR(VLOOKUP(B122,'Base de Datos'!$C$487:$F$4092,3,0))=TRUE,"",(VLOOKUP('Presupuesto - PAA 2017'!B122,'Base de Datos'!$C$487:$F$4092,4,0)))</f>
        <v>ESTACION DE SERVIICIO CARRERA 50 S.A.S</v>
      </c>
      <c r="E122" s="536">
        <f>VLOOKUP(B122,[7]PAA2017!$C$65:$AA$255,20,0)</f>
        <v>59000000</v>
      </c>
      <c r="F122" s="534" t="str">
        <f>VLOOKUP(B122,[8]SOLICITUDES!$B$3:$H$278,2,0)</f>
        <v>SI</v>
      </c>
      <c r="G122" s="534"/>
      <c r="H122" s="534"/>
      <c r="I122" s="534"/>
      <c r="J122" s="536">
        <f>IF(ISERROR(VLOOKUP(B122,'Base de Datos'!$C$487:$N$4092,6,0))=TRUE,"Sin Celebrar",(VLOOKUP(B122,'Base de Datos'!$C$487:$N$4092,7,0)))</f>
        <v>39000000</v>
      </c>
      <c r="K122" s="600"/>
      <c r="L122" s="580" t="str">
        <f t="shared" si="11"/>
        <v xml:space="preserve"> </v>
      </c>
      <c r="M122" s="536"/>
      <c r="N122" s="536">
        <f t="shared" si="12"/>
        <v>20000000</v>
      </c>
      <c r="O122" s="719" t="str">
        <f>IF(ISERROR(VLOOKUP(B122,'Base de Datos'!$C$487:$K$1048576,7,0))=TRUE," ",(VLOOKUP(B122,'Base de Datos'!$C$487:$K$1048576,8,0)))</f>
        <v>SDH-SMINC-08-2017</v>
      </c>
      <c r="P122" s="551">
        <f>IF(ISERROR(VLOOKUP(B122,'Base de Datos'!$C$487:$N$4077,9,0))=TRUE," ",(VLOOKUP(B122,'Base de Datos'!$C$487:$N$4077,10,0)))</f>
        <v>42823</v>
      </c>
      <c r="Q122" s="737"/>
      <c r="R122" s="551">
        <f>IF(ISERROR(VLOOKUP(B122,'Base de Datos'!$C$487:$N$4077,10,0))=TRUE," ",(VLOOKUP(B122,'Base de Datos'!$C$487:$N$4077,11,0)))</f>
        <v>42846</v>
      </c>
      <c r="S122" s="551">
        <f>IF(ISERROR(VLOOKUP(B122,'Base de Datos'!$C$487:$N$4077,11,0))=TRUE," ",(VLOOKUP(B122,'Base de Datos'!$C$487:$N$4077,12,0)))</f>
        <v>43186</v>
      </c>
      <c r="T122" s="533" t="str">
        <f ca="1">VLOOKUP(B122,'Base de Datos'!$C$487:$AR$4129,41,0)</f>
        <v>SI</v>
      </c>
      <c r="U122" s="722"/>
      <c r="V122" s="634"/>
    </row>
    <row r="123" spans="2:22" ht="10.5" customHeight="1" outlineLevel="1" x14ac:dyDescent="0.25">
      <c r="B123" s="627">
        <v>185</v>
      </c>
      <c r="C123" s="533" t="str">
        <f>IF(ISERROR(VLOOKUP(B123,'Base de Datos'!$C$487:$F$4092,2,0))=TRUE,"",(VLOOKUP('Presupuesto - PAA 2017'!B123,'Base de Datos'!$C$7:$F$4092,3,0)))</f>
        <v>150377-0-2015</v>
      </c>
      <c r="D123" s="533" t="str">
        <f>IF(ISERROR(VLOOKUP(B123,'Base de Datos'!$C$487:$F$4092,3,0))=TRUE,"",(VLOOKUP('Presupuesto - PAA 2017'!B123,'Base de Datos'!$C$487:$F$4092,4,0)))</f>
        <v>INGENIERIA Y SOLUCIONES EN CONTROL AUTOMATIZACION Y DISEÑO SAS</v>
      </c>
      <c r="E123" s="536">
        <f>VLOOKUP(B123,[7]PAA2017!$C$65:$AA$255,20,0)</f>
        <v>5000000</v>
      </c>
      <c r="F123" s="534" t="str">
        <f>VLOOKUP(B123,[8]SOLICITUDES!$B$3:$H$278,2,0)</f>
        <v>SI</v>
      </c>
      <c r="G123" s="534"/>
      <c r="H123" s="534"/>
      <c r="I123" s="534"/>
      <c r="J123" s="536">
        <f>IF(ISERROR(VLOOKUP(B123,'Base de Datos'!$C$487:$N$4092,6,0))=TRUE,"Sin Celebrar",(VLOOKUP(B123,'Base de Datos'!$C$487:$N$4092,7,0)))</f>
        <v>1802850</v>
      </c>
      <c r="K123" s="600"/>
      <c r="L123" s="580" t="str">
        <f t="shared" si="11"/>
        <v xml:space="preserve"> </v>
      </c>
      <c r="M123" s="536"/>
      <c r="N123" s="536">
        <f t="shared" si="12"/>
        <v>3197150</v>
      </c>
      <c r="O123" s="719" t="str">
        <f>IF(ISERROR(VLOOKUP(B123,'Base de Datos'!$C$487:$K$1048576,7,0))=TRUE," ",(VLOOKUP(B123,'Base de Datos'!$C$487:$K$1048576,8,0)))</f>
        <v>SDH-SMINC-13-2017</v>
      </c>
      <c r="P123" s="551">
        <f>IF(ISERROR(VLOOKUP(B123,'Base de Datos'!$C$487:$N$4077,9,0))=TRUE," ",(VLOOKUP(B123,'Base de Datos'!$C$487:$N$4077,10,0)))</f>
        <v>42877</v>
      </c>
      <c r="Q123" s="737"/>
      <c r="R123" s="551">
        <f>IF(ISERROR(VLOOKUP(B123,'Base de Datos'!$C$487:$N$4077,10,0))=TRUE," ",(VLOOKUP(B123,'Base de Datos'!$C$487:$N$4077,11,0)))</f>
        <v>42887</v>
      </c>
      <c r="S123" s="551">
        <f>IF(ISERROR(VLOOKUP(B123,'Base de Datos'!$C$487:$N$4077,11,0))=TRUE," ",(VLOOKUP(B123,'Base de Datos'!$C$487:$N$4077,12,0)))</f>
        <v>43191</v>
      </c>
      <c r="T123" s="533" t="str">
        <f>VLOOKUP(B123,'Base de Datos'!$C$487:$AR$4129,41,0)</f>
        <v>SI</v>
      </c>
      <c r="U123" s="722"/>
      <c r="V123" s="634"/>
    </row>
    <row r="124" spans="2:22" outlineLevel="1" x14ac:dyDescent="0.25">
      <c r="B124" s="537">
        <v>186</v>
      </c>
      <c r="C124" s="533" t="str">
        <f>IF(ISERROR(VLOOKUP(B124,'Base de Datos'!$C$487:$F$4092,2,0))=TRUE,"",(VLOOKUP('Presupuesto - PAA 2017'!B124,'Base de Datos'!$C$7:$F$4092,3,0)))</f>
        <v>150353-0-2015</v>
      </c>
      <c r="D124" s="533" t="str">
        <f>IF(ISERROR(VLOOKUP(B124,'Base de Datos'!$C$487:$F$4092,3,0))=TRUE,"",(VLOOKUP('Presupuesto - PAA 2017'!B124,'Base de Datos'!$C$487:$F$4092,4,0)))</f>
        <v xml:space="preserve">MOTORES Y MAQUINAS S.A. MOTORYSA </v>
      </c>
      <c r="E124" s="536">
        <f>VLOOKUP(B124,[7]PAA2017!$C$65:$AA$255,20,0)</f>
        <v>33000000</v>
      </c>
      <c r="F124" s="534" t="e">
        <f>VLOOKUP(B124,[8]SOLICITUDES!$B$3:$H$278,2,0)</f>
        <v>#N/A</v>
      </c>
      <c r="G124" s="534"/>
      <c r="H124" s="534"/>
      <c r="I124" s="534"/>
      <c r="J124" s="536">
        <f>IF(ISERROR(VLOOKUP(B124,'Base de Datos'!$C$487:$N$4092,6,0))=TRUE,"Sin Celebrar",(VLOOKUP(B124,'Base de Datos'!$C$487:$N$4092,7,0)))</f>
        <v>28800000</v>
      </c>
      <c r="K124" s="600"/>
      <c r="L124" s="580" t="str">
        <f t="shared" si="11"/>
        <v xml:space="preserve"> </v>
      </c>
      <c r="M124" s="536"/>
      <c r="N124" s="536">
        <f t="shared" si="12"/>
        <v>4200000</v>
      </c>
      <c r="O124" s="719">
        <f>IF(ISERROR(VLOOKUP(B124,'Base de Datos'!$C$487:$K$1048576,7,0))=TRUE," ",(VLOOKUP(B124,'Base de Datos'!$C$487:$K$1048576,8,0)))</f>
        <v>0</v>
      </c>
      <c r="P124" s="551">
        <f>IF(ISERROR(VLOOKUP(B124,'Base de Datos'!$C$487:$N$4077,9,0))=TRUE," ",(VLOOKUP(B124,'Base de Datos'!$C$487:$N$4077,10,0)))</f>
        <v>42803</v>
      </c>
      <c r="Q124" s="737"/>
      <c r="R124" s="551">
        <f>IF(ISERROR(VLOOKUP(B124,'Base de Datos'!$C$487:$N$4077,10,0))=TRUE," ",(VLOOKUP(B124,'Base de Datos'!$C$487:$N$4077,11,0)))</f>
        <v>42810</v>
      </c>
      <c r="S124" s="551">
        <f>IF(ISERROR(VLOOKUP(B124,'Base de Datos'!$C$487:$N$4077,11,0))=TRUE," ",(VLOOKUP(B124,'Base de Datos'!$C$487:$N$4077,12,0)))</f>
        <v>43175</v>
      </c>
      <c r="T124" s="533" t="str">
        <f>VLOOKUP(B124,'Base de Datos'!$C$487:$AR$4129,41,0)</f>
        <v>SI</v>
      </c>
      <c r="U124" s="722"/>
      <c r="V124" s="634"/>
    </row>
    <row r="125" spans="2:22" outlineLevel="1" x14ac:dyDescent="0.25">
      <c r="B125" s="537">
        <v>189</v>
      </c>
      <c r="C125" s="533" t="str">
        <f>IF(ISERROR(VLOOKUP(B125,'Base de Datos'!$C$487:$F$4092,2,0))=TRUE,"",(VLOOKUP('Presupuesto - PAA 2017'!B125,'Base de Datos'!$C$7:$F$4092,3,0)))</f>
        <v>150316-0-2015</v>
      </c>
      <c r="D125" s="533" t="str">
        <f>IF(ISERROR(VLOOKUP(B125,'Base de Datos'!$C$487:$F$4092,3,0))=TRUE,"",(VLOOKUP('Presupuesto - PAA 2017'!B125,'Base de Datos'!$C$487:$F$4092,4,0)))</f>
        <v>SERVIASEO S.A.</v>
      </c>
      <c r="E125" s="536">
        <f>VLOOKUP(B125,[7]PAA2017!$C$65:$AA$255,20,0)</f>
        <v>1708200000</v>
      </c>
      <c r="F125" s="534" t="str">
        <f>VLOOKUP(B125,[8]SOLICITUDES!$B$3:$H$278,2,0)</f>
        <v>SI</v>
      </c>
      <c r="G125" s="534"/>
      <c r="H125" s="534"/>
      <c r="I125" s="534"/>
      <c r="J125" s="536">
        <f>IF(ISERROR(VLOOKUP(B125,'Base de Datos'!$C$487:$N$4092,6,0))=TRUE,"Sin Celebrar",(VLOOKUP(B125,'Base de Datos'!$C$487:$N$4092,7,0)))</f>
        <v>270913000</v>
      </c>
      <c r="K125" s="600"/>
      <c r="L125" s="580" t="str">
        <f t="shared" si="11"/>
        <v xml:space="preserve"> </v>
      </c>
      <c r="M125" s="536"/>
      <c r="N125" s="536">
        <f t="shared" si="12"/>
        <v>1437287000</v>
      </c>
      <c r="O125" s="719" t="str">
        <f>IF(ISERROR(VLOOKUP(B125,'Base de Datos'!$C$487:$K$1048576,7,0))=TRUE," ",(VLOOKUP(B125,'Base de Datos'!$C$487:$K$1048576,8,0)))</f>
        <v xml:space="preserve"> SDH-LP-01-2017</v>
      </c>
      <c r="P125" s="551">
        <f>IF(ISERROR(VLOOKUP(B125,'Base de Datos'!$C$487:$N$4077,9,0))=TRUE," ",(VLOOKUP(B125,'Base de Datos'!$C$487:$N$4077,10,0)))</f>
        <v>42825</v>
      </c>
      <c r="Q125" s="737"/>
      <c r="R125" s="551">
        <f>IF(ISERROR(VLOOKUP(B125,'Base de Datos'!$C$487:$N$4077,10,0))=TRUE," ",(VLOOKUP(B125,'Base de Datos'!$C$487:$N$4077,11,0)))</f>
        <v>42829</v>
      </c>
      <c r="S125" s="551">
        <f>IF(ISERROR(VLOOKUP(B125,'Base de Datos'!$C$487:$N$4077,11,0))=TRUE," ",(VLOOKUP(B125,'Base de Datos'!$C$487:$N$4077,12,0)))</f>
        <v>43073</v>
      </c>
      <c r="T125" s="533" t="str">
        <f>VLOOKUP(B125,'Base de Datos'!$C$487:$AR$4129,41,0)</f>
        <v>SI</v>
      </c>
      <c r="U125" s="722"/>
      <c r="V125" s="634"/>
    </row>
    <row r="126" spans="2:22" ht="15" customHeight="1" outlineLevel="1" x14ac:dyDescent="0.25">
      <c r="B126" s="537">
        <v>193</v>
      </c>
      <c r="C126" s="533" t="str">
        <f>IF(ISERROR(VLOOKUP(B126,'Base de Datos'!$C$487:$F$4092,2,0))=TRUE,"",(VLOOKUP('Presupuesto - PAA 2017'!B126,'Base de Datos'!$C$7:$F$4092,3,0)))</f>
        <v>170157-0-2017</v>
      </c>
      <c r="D126" s="533" t="str">
        <f>IF(ISERROR(VLOOKUP(B126,'Base de Datos'!$C$487:$F$4092,3,0))=TRUE,"",(VLOOKUP('Presupuesto - PAA 2017'!B126,'Base de Datos'!$C$487:$F$4092,4,0)))</f>
        <v>ALL IN SERVICE SAS</v>
      </c>
      <c r="E126" s="536">
        <f>VLOOKUP(B126,[7]PAA2017!$C$65:$AA$255,20,0)</f>
        <v>149553000</v>
      </c>
      <c r="F126" s="534" t="str">
        <f>VLOOKUP(B126,[8]SOLICITUDES!$B$3:$H$278,2,0)</f>
        <v>SI</v>
      </c>
      <c r="G126" s="534"/>
      <c r="H126" s="534"/>
      <c r="I126" s="534"/>
      <c r="J126" s="536">
        <f>IF(ISERROR(VLOOKUP(B126,'Base de Datos'!$C$487:$N$4092,6,0))=TRUE,"Sin Celebrar",(VLOOKUP(B126,'Base de Datos'!$C$487:$N$4092,7,0)))</f>
        <v>29000000</v>
      </c>
      <c r="K126" s="600"/>
      <c r="L126" s="580" t="str">
        <f t="shared" si="11"/>
        <v xml:space="preserve"> </v>
      </c>
      <c r="M126" s="536"/>
      <c r="N126" s="536">
        <f t="shared" si="12"/>
        <v>120553000</v>
      </c>
      <c r="O126" s="719" t="str">
        <f>IF(ISERROR(VLOOKUP(B126,'Base de Datos'!$C$487:$K$1048576,7,0))=TRUE," ",(VLOOKUP(B126,'Base de Datos'!$C$487:$K$1048576,8,0)))</f>
        <v>SDH-SAMC-01-2017</v>
      </c>
      <c r="P126" s="551">
        <f>IF(ISERROR(VLOOKUP(B126,'Base de Datos'!$C$487:$N$4077,9,0))=TRUE," ",(VLOOKUP(B126,'Base de Datos'!$C$487:$N$4077,10,0)))</f>
        <v>42893</v>
      </c>
      <c r="Q126" s="737"/>
      <c r="R126" s="551">
        <f>IF(ISERROR(VLOOKUP(B126,'Base de Datos'!$C$487:$N$4077,10,0))=TRUE," ",(VLOOKUP(B126,'Base de Datos'!$C$487:$N$4077,11,0)))</f>
        <v>42920</v>
      </c>
      <c r="S126" s="551">
        <f>IF(ISERROR(VLOOKUP(B126,'Base de Datos'!$C$487:$N$4077,11,0))=TRUE," ",(VLOOKUP(B126,'Base de Datos'!$C$487:$N$4077,12,0)))</f>
        <v>43194</v>
      </c>
      <c r="T126" s="533" t="str">
        <f>VLOOKUP(B126,'Base de Datos'!$C$487:$AR$4129,41,0)</f>
        <v>SI</v>
      </c>
      <c r="U126" s="722"/>
      <c r="V126" s="634"/>
    </row>
    <row r="127" spans="2:22" ht="24" outlineLevel="1" x14ac:dyDescent="0.25">
      <c r="B127" s="537">
        <v>194</v>
      </c>
      <c r="C127" s="533" t="str">
        <f>IF(ISERROR(VLOOKUP(B127,'Base de Datos'!$C$487:$F$4092,2,0))=TRUE,"",(VLOOKUP('Presupuesto - PAA 2017'!B127,'Base de Datos'!$C$7:$F$4092,3,0)))</f>
        <v>170079-0-2017</v>
      </c>
      <c r="D127" s="533" t="str">
        <f>IF(ISERROR(VLOOKUP(B127,'Base de Datos'!$C$487:$F$4092,3,0))=TRUE,"",(VLOOKUP('Presupuesto - PAA 2017'!B127,'Base de Datos'!$C$487:$F$4092,4,0)))</f>
        <v>AGR SOLUCIONES SAS</v>
      </c>
      <c r="E127" s="536">
        <f>VLOOKUP(B127,[7]PAA2017!$C$65:$AA$255,20,0)</f>
        <v>13000000</v>
      </c>
      <c r="F127" s="534" t="e">
        <f>VLOOKUP(B127,[8]SOLICITUDES!$B$3:$H$278,2,0)</f>
        <v>#N/A</v>
      </c>
      <c r="G127" s="534"/>
      <c r="H127" s="534"/>
      <c r="I127" s="534"/>
      <c r="J127" s="536">
        <f>IF(ISERROR(VLOOKUP(B127,'Base de Datos'!$C$487:$N$4092,6,0))=TRUE,"Sin Celebrar",(VLOOKUP(B127,'Base de Datos'!$C$487:$N$4092,7,0)))</f>
        <v>3725711</v>
      </c>
      <c r="K127" s="600"/>
      <c r="L127" s="580" t="str">
        <f t="shared" si="11"/>
        <v xml:space="preserve"> </v>
      </c>
      <c r="M127" s="536"/>
      <c r="N127" s="536">
        <f t="shared" si="12"/>
        <v>9274289</v>
      </c>
      <c r="O127" s="719" t="str">
        <f>IF(ISERROR(VLOOKUP(B127,'Base de Datos'!$C$487:$K$1048576,7,0))=TRUE," ",(VLOOKUP(B127,'Base de Datos'!$C$487:$K$1048576,8,0)))</f>
        <v>SDH-SMINC-09-2017</v>
      </c>
      <c r="P127" s="551">
        <f>IF(ISERROR(VLOOKUP(B127,'Base de Datos'!$C$487:$N$4077,9,0))=TRUE," ",(VLOOKUP(B127,'Base de Datos'!$C$487:$N$4077,10,0)))</f>
        <v>42823</v>
      </c>
      <c r="Q127" s="737"/>
      <c r="R127" s="551">
        <f>IF(ISERROR(VLOOKUP(B127,'Base de Datos'!$C$487:$N$4077,10,0))=TRUE," ",(VLOOKUP(B127,'Base de Datos'!$C$487:$N$4077,11,0)))</f>
        <v>42831</v>
      </c>
      <c r="S127" s="551">
        <f>IF(ISERROR(VLOOKUP(B127,'Base de Datos'!$C$487:$N$4077,11,0))=TRUE," ",(VLOOKUP(B127,'Base de Datos'!$C$487:$N$4077,12,0)))</f>
        <v>43196</v>
      </c>
      <c r="T127" s="533" t="str">
        <f>VLOOKUP(B127,'Base de Datos'!$C$487:$AR$4129,41,0)</f>
        <v>SI</v>
      </c>
      <c r="U127" s="722"/>
      <c r="V127" s="634"/>
    </row>
    <row r="128" spans="2:22" ht="12" customHeight="1" outlineLevel="1" x14ac:dyDescent="0.25">
      <c r="B128" s="537">
        <v>195</v>
      </c>
      <c r="C128" s="533" t="str">
        <f>IF(ISERROR(VLOOKUP(B128,'Base de Datos'!$C$487:$F$4092,2,0))=TRUE,"",(VLOOKUP('Presupuesto - PAA 2017'!B128,'Base de Datos'!$C$7:$F$4092,3,0)))</f>
        <v>170059-0-2017</v>
      </c>
      <c r="D128" s="533" t="str">
        <f>IF(ISERROR(VLOOKUP(B128,'Base de Datos'!$C$487:$F$4092,3,0))=TRUE,"",(VLOOKUP('Presupuesto - PAA 2017'!B128,'Base de Datos'!$C$487:$F$4092,4,0)))</f>
        <v>HERNANDO BULLA ORJUELA</v>
      </c>
      <c r="E128" s="536">
        <f>VLOOKUP(B128,[7]PAA2017!$C$65:$AA$255,20,0)</f>
        <v>62000000</v>
      </c>
      <c r="F128" s="534" t="str">
        <f>VLOOKUP(B128,[8]SOLICITUDES!$B$3:$H$278,2,0)</f>
        <v>SI</v>
      </c>
      <c r="G128" s="534"/>
      <c r="H128" s="534"/>
      <c r="I128" s="534"/>
      <c r="J128" s="536">
        <f>IF(ISERROR(VLOOKUP(B128,'Base de Datos'!$C$487:$N$4092,6,0))=TRUE,"Sin Celebrar",(VLOOKUP(B128,'Base de Datos'!$C$487:$N$4092,7,0)))</f>
        <v>34535000</v>
      </c>
      <c r="K128" s="600"/>
      <c r="L128" s="580" t="str">
        <f t="shared" si="11"/>
        <v xml:space="preserve"> </v>
      </c>
      <c r="M128" s="536"/>
      <c r="N128" s="536">
        <f t="shared" si="12"/>
        <v>27465000</v>
      </c>
      <c r="O128" s="719" t="str">
        <f>IF(ISERROR(VLOOKUP(B128,'Base de Datos'!$C$487:$K$1048576,7,0))=TRUE," ",(VLOOKUP(B128,'Base de Datos'!$C$487:$K$1048576,8,0)))</f>
        <v>SDH-SMINC-07-2017</v>
      </c>
      <c r="P128" s="551">
        <f>IF(ISERROR(VLOOKUP(B128,'Base de Datos'!$C$487:$N$4077,9,0))=TRUE," ",(VLOOKUP(B128,'Base de Datos'!$C$487:$N$4077,10,0)))</f>
        <v>42811</v>
      </c>
      <c r="Q128" s="737"/>
      <c r="R128" s="551">
        <f>IF(ISERROR(VLOOKUP(B128,'Base de Datos'!$C$487:$N$4077,10,0))=TRUE," ",(VLOOKUP(B128,'Base de Datos'!$C$487:$N$4077,11,0)))</f>
        <v>42831</v>
      </c>
      <c r="S128" s="551">
        <f>IF(ISERROR(VLOOKUP(B128,'Base de Datos'!$C$487:$N$4077,11,0))=TRUE," ",(VLOOKUP(B128,'Base de Datos'!$C$487:$N$4077,12,0)))</f>
        <v>43196</v>
      </c>
      <c r="T128" s="533" t="str">
        <f>VLOOKUP(B128,'Base de Datos'!$C$487:$AR$4129,41,0)</f>
        <v>SI</v>
      </c>
      <c r="U128" s="722"/>
      <c r="V128" s="634"/>
    </row>
    <row r="129" spans="2:22" outlineLevel="1" x14ac:dyDescent="0.25">
      <c r="B129" s="537">
        <v>196</v>
      </c>
      <c r="C129" s="533" t="str">
        <f>IF(ISERROR(VLOOKUP(B129,'Base de Datos'!$C$487:$F$4092,2,0))=TRUE,"",(VLOOKUP('Presupuesto - PAA 2017'!B129,'Base de Datos'!$C$7:$F$4092,3,0)))</f>
        <v>160150-0-2016</v>
      </c>
      <c r="D129" s="533" t="str">
        <f>IF(ISERROR(VLOOKUP(B129,'Base de Datos'!$C$487:$F$4092,3,0))=TRUE,"",(VLOOKUP('Presupuesto - PAA 2017'!B129,'Base de Datos'!$C$487:$F$4092,4,0)))</f>
        <v>UNION TEMPORAL GRANADINA SERACIS</v>
      </c>
      <c r="E129" s="536">
        <f>VLOOKUP(B129,[7]PAA2017!$C$65:$AA$255,20,0)</f>
        <v>7711363000</v>
      </c>
      <c r="F129" s="534" t="str">
        <f>VLOOKUP(B129,[8]SOLICITUDES!$B$3:$H$278,2,0)</f>
        <v>SI</v>
      </c>
      <c r="G129" s="534"/>
      <c r="H129" s="534"/>
      <c r="I129" s="534"/>
      <c r="J129" s="536">
        <f>IF(ISERROR(VLOOKUP(B129,'Base de Datos'!$C$487:$N$4092,6,0))=TRUE,"Sin Celebrar",(VLOOKUP(B129,'Base de Datos'!$C$487:$N$4092,7,0)))</f>
        <v>578014000</v>
      </c>
      <c r="K129" s="600"/>
      <c r="L129" s="580" t="str">
        <f t="shared" si="11"/>
        <v xml:space="preserve"> </v>
      </c>
      <c r="M129" s="536"/>
      <c r="N129" s="536">
        <f t="shared" si="12"/>
        <v>7133349000</v>
      </c>
      <c r="O129" s="719" t="str">
        <f>IF(ISERROR(VLOOKUP(B129,'Base de Datos'!$C$487:$K$1048576,7,0))=TRUE," ",(VLOOKUP(B129,'Base de Datos'!$C$487:$K$1048576,8,0)))</f>
        <v>SDH-LP-02-2017</v>
      </c>
      <c r="P129" s="551">
        <f>IF(ISERROR(VLOOKUP(B129,'Base de Datos'!$C$487:$N$4077,9,0))=TRUE," ",(VLOOKUP(B129,'Base de Datos'!$C$487:$N$4077,10,0)))</f>
        <v>42929</v>
      </c>
      <c r="Q129" s="737"/>
      <c r="R129" s="551">
        <f>IF(ISERROR(VLOOKUP(B129,'Base de Datos'!$C$487:$N$4077,10,0))=TRUE," ",(VLOOKUP(B129,'Base de Datos'!$C$487:$N$4077,11,0)))</f>
        <v>42933</v>
      </c>
      <c r="S129" s="551">
        <f>IF(ISERROR(VLOOKUP(B129,'Base de Datos'!$C$487:$N$4077,11,0))=TRUE," ",(VLOOKUP(B129,'Base de Datos'!$C$487:$N$4077,12,0)))</f>
        <v>43117</v>
      </c>
      <c r="T129" s="533" t="str">
        <f>VLOOKUP(B129,'Base de Datos'!$C$487:$AR$4129,41,0)</f>
        <v>SI</v>
      </c>
      <c r="U129" s="722"/>
      <c r="V129" s="634"/>
    </row>
    <row r="130" spans="2:22" ht="24" outlineLevel="1" x14ac:dyDescent="0.25">
      <c r="B130" s="537">
        <v>198</v>
      </c>
      <c r="C130" s="533" t="str">
        <f>IF(ISERROR(VLOOKUP(B130,'Base de Datos'!$C$487:$F$4092,2,0))=TRUE,"",(VLOOKUP('Presupuesto - PAA 2017'!B130,'Base de Datos'!$C$7:$F$4092,3,0)))</f>
        <v>160161-0-2016</v>
      </c>
      <c r="D130" s="533" t="str">
        <f>IF(ISERROR(VLOOKUP(B130,'Base de Datos'!$C$487:$F$4092,3,0))=TRUE,"",(VLOOKUP('Presupuesto - PAA 2017'!B130,'Base de Datos'!$C$487:$F$4092,4,0)))</f>
        <v>SOLUCIONES Y DIAGNÓSTICOS EN INGENIERÍA ELÉCTRICA LTDA</v>
      </c>
      <c r="E130" s="536">
        <f>VLOOKUP(B130,[7]PAA2017!$C$65:$AA$255,20,0)</f>
        <v>71000000</v>
      </c>
      <c r="F130" s="534" t="str">
        <f>VLOOKUP(B130,[8]SOLICITUDES!$B$3:$H$278,2,0)</f>
        <v>SI</v>
      </c>
      <c r="G130" s="534"/>
      <c r="H130" s="534"/>
      <c r="I130" s="534"/>
      <c r="J130" s="536">
        <f>IF(ISERROR(VLOOKUP(B130,'Base de Datos'!$C$487:$N$4092,6,0))=TRUE,"Sin Celebrar",(VLOOKUP(B130,'Base de Datos'!$C$487:$N$4092,7,0)))</f>
        <v>10473600</v>
      </c>
      <c r="K130" s="600"/>
      <c r="L130" s="580" t="str">
        <f t="shared" si="11"/>
        <v xml:space="preserve"> </v>
      </c>
      <c r="M130" s="536"/>
      <c r="N130" s="536">
        <f t="shared" si="12"/>
        <v>60526400</v>
      </c>
      <c r="O130" s="719" t="str">
        <f>IF(ISERROR(VLOOKUP(B130,'Base de Datos'!$C$487:$K$1048576,7,0))=TRUE," ",(VLOOKUP(B130,'Base de Datos'!$C$487:$K$1048576,8,0)))</f>
        <v>SDH-SMINC-10-2017</v>
      </c>
      <c r="P130" s="551">
        <f>IF(ISERROR(VLOOKUP(B130,'Base de Datos'!$C$487:$N$4077,9,0))=TRUE," ",(VLOOKUP(B130,'Base de Datos'!$C$487:$N$4077,10,0)))</f>
        <v>42823</v>
      </c>
      <c r="Q130" s="737"/>
      <c r="R130" s="551">
        <f>IF(ISERROR(VLOOKUP(B130,'Base de Datos'!$C$487:$N$4077,10,0))=TRUE," ",(VLOOKUP(B130,'Base de Datos'!$C$487:$N$4077,11,0)))</f>
        <v>42857</v>
      </c>
      <c r="S130" s="551">
        <f>IF(ISERROR(VLOOKUP(B130,'Base de Datos'!$C$487:$N$4077,11,0))=TRUE," ",(VLOOKUP(B130,'Base de Datos'!$C$487:$N$4077,12,0)))</f>
        <v>43161</v>
      </c>
      <c r="T130" s="533" t="str">
        <f>VLOOKUP(B130,'Base de Datos'!$C$487:$AR$4129,41,0)</f>
        <v>SI</v>
      </c>
      <c r="U130" s="722"/>
      <c r="V130" s="634"/>
    </row>
    <row r="131" spans="2:22" ht="9.75" customHeight="1" outlineLevel="1" x14ac:dyDescent="0.25">
      <c r="B131" s="537">
        <v>199</v>
      </c>
      <c r="C131" s="533" t="str">
        <f>IF(ISERROR(VLOOKUP(B131,'Base de Datos'!$C$487:$F$4092,2,0))=TRUE,"",(VLOOKUP('Presupuesto - PAA 2017'!B131,'Base de Datos'!$C$7:$F$4092,3,0)))</f>
        <v>160228-0-2016</v>
      </c>
      <c r="D131" s="533" t="str">
        <f>IF(ISERROR(VLOOKUP(B131,'Base de Datos'!$C$487:$F$4092,3,0))=TRUE,"",(VLOOKUP('Presupuesto - PAA 2017'!B131,'Base de Datos'!$C$487:$F$4092,4,0)))</f>
        <v>MITSUBISHI ELECTRIC DE COLOMBIA LTDA</v>
      </c>
      <c r="E131" s="536">
        <f>VLOOKUP(B131,[7]PAA2017!$C$65:$AA$255,20,0)</f>
        <v>52000000</v>
      </c>
      <c r="F131" s="534" t="e">
        <f>VLOOKUP(B131,[8]SOLICITUDES!$B$3:$H$278,2,0)</f>
        <v>#N/A</v>
      </c>
      <c r="G131" s="534"/>
      <c r="H131" s="534"/>
      <c r="I131" s="534"/>
      <c r="J131" s="536">
        <f>IF(ISERROR(VLOOKUP(B131,'Base de Datos'!$C$487:$N$4092,6,0))=TRUE,"Sin Celebrar",(VLOOKUP(B131,'Base de Datos'!$C$487:$N$4092,7,0)))</f>
        <v>15000000</v>
      </c>
      <c r="K131" s="600"/>
      <c r="L131" s="580" t="str">
        <f t="shared" si="11"/>
        <v xml:space="preserve"> </v>
      </c>
      <c r="M131" s="536"/>
      <c r="N131" s="536">
        <f t="shared" si="12"/>
        <v>37000000</v>
      </c>
      <c r="O131" s="719" t="str">
        <f>IF(ISERROR(VLOOKUP(B131,'Base de Datos'!$C$487:$K$1048576,7,0))=TRUE," ",(VLOOKUP(B131,'Base de Datos'!$C$487:$K$1048576,8,0)))</f>
        <v>170164-0-2017</v>
      </c>
      <c r="P131" s="551">
        <f>IF(ISERROR(VLOOKUP(B131,'Base de Datos'!$C$487:$N$4077,9,0))=TRUE," ",(VLOOKUP(B131,'Base de Datos'!$C$487:$N$4077,10,0)))</f>
        <v>42906</v>
      </c>
      <c r="Q131" s="737"/>
      <c r="R131" s="551">
        <f>IF(ISERROR(VLOOKUP(B131,'Base de Datos'!$C$487:$N$4077,10,0))=TRUE," ",(VLOOKUP(B131,'Base de Datos'!$C$487:$N$4077,11,0)))</f>
        <v>42948</v>
      </c>
      <c r="S131" s="551">
        <f>IF(ISERROR(VLOOKUP(B131,'Base de Datos'!$C$487:$N$4077,11,0))=TRUE," ",(VLOOKUP(B131,'Base de Datos'!$C$487:$N$4077,12,0)))</f>
        <v>43236</v>
      </c>
      <c r="T131" s="533" t="str">
        <f>VLOOKUP(B131,'Base de Datos'!$C$487:$AR$4129,41,0)</f>
        <v>SI</v>
      </c>
      <c r="U131" s="722"/>
      <c r="V131" s="634"/>
    </row>
    <row r="132" spans="2:22" ht="14.25" customHeight="1" outlineLevel="1" x14ac:dyDescent="0.25">
      <c r="B132" s="537">
        <v>200</v>
      </c>
      <c r="C132" s="533" t="str">
        <f>IF(ISERROR(VLOOKUP(B132,'Base de Datos'!$C$487:$F$4092,2,0))=TRUE,"",(VLOOKUP('Presupuesto - PAA 2017'!B132,'Base de Datos'!$C$7:$F$4092,3,0)))</f>
        <v>170161-0-2017</v>
      </c>
      <c r="D132" s="533" t="str">
        <f>IF(ISERROR(VLOOKUP(B132,'Base de Datos'!$C$487:$F$4092,3,0))=TRUE,"",(VLOOKUP('Presupuesto - PAA 2017'!B132,'Base de Datos'!$C$487:$F$4092,4,0)))</f>
        <v>INGENIERIA DE BOMBAS Y PLANTAS LIMITADA</v>
      </c>
      <c r="E132" s="536">
        <f>VLOOKUP(B132,[7]PAA2017!$C$65:$AA$255,20,0)</f>
        <v>71000000</v>
      </c>
      <c r="F132" s="534" t="e">
        <f>VLOOKUP(B132,[8]SOLICITUDES!$B$3:$H$278,2,0)</f>
        <v>#N/A</v>
      </c>
      <c r="G132" s="534"/>
      <c r="H132" s="534"/>
      <c r="I132" s="534"/>
      <c r="J132" s="536">
        <f>IF(ISERROR(VLOOKUP(B132,'Base de Datos'!$C$487:$N$4092,6,0))=TRUE,"Sin Celebrar",(VLOOKUP(B132,'Base de Datos'!$C$487:$N$4092,7,0)))</f>
        <v>4491000</v>
      </c>
      <c r="K132" s="600"/>
      <c r="L132" s="580" t="str">
        <f t="shared" si="11"/>
        <v xml:space="preserve"> </v>
      </c>
      <c r="M132" s="536"/>
      <c r="N132" s="536">
        <f t="shared" si="12"/>
        <v>66509000</v>
      </c>
      <c r="O132" s="719" t="str">
        <f>IF(ISERROR(VLOOKUP(B132,'Base de Datos'!$C$487:$K$1048576,7,0))=TRUE," ",(VLOOKUP(B132,'Base de Datos'!$C$487:$K$1048576,8,0)))</f>
        <v>SDH-SMINC-17-2017</v>
      </c>
      <c r="P132" s="551">
        <f>IF(ISERROR(VLOOKUP(B132,'Base de Datos'!$C$487:$N$4077,9,0))=TRUE," ",(VLOOKUP(B132,'Base de Datos'!$C$487:$N$4077,10,0)))</f>
        <v>42894</v>
      </c>
      <c r="Q132" s="737"/>
      <c r="R132" s="551">
        <f>IF(ISERROR(VLOOKUP(B132,'Base de Datos'!$C$487:$N$4077,10,0))=TRUE," ",(VLOOKUP(B132,'Base de Datos'!$C$487:$N$4077,11,0)))</f>
        <v>42920</v>
      </c>
      <c r="S132" s="551">
        <f>IF(ISERROR(VLOOKUP(B132,'Base de Datos'!$C$487:$N$4077,11,0))=TRUE," ",(VLOOKUP(B132,'Base de Datos'!$C$487:$N$4077,12,0)))</f>
        <v>43255</v>
      </c>
      <c r="T132" s="533" t="str">
        <f>VLOOKUP(B132,'Base de Datos'!$C$487:$AR$4129,41,0)</f>
        <v>SI</v>
      </c>
      <c r="U132" s="722"/>
      <c r="V132" s="634"/>
    </row>
    <row r="133" spans="2:22" outlineLevel="1" x14ac:dyDescent="0.25">
      <c r="B133" s="537"/>
      <c r="C133" s="533" t="str">
        <f>IF(ISERROR(VLOOKUP(B133,'Base de Datos'!$C$487:$F$4092,2,0))=TRUE,"",(VLOOKUP('Presupuesto - PAA 2017'!B133,'Base de Datos'!$C$7:$F$4092,3,0)))</f>
        <v/>
      </c>
      <c r="D133" s="533" t="str">
        <f>IF(ISERROR(VLOOKUP(B133,'Base de Datos'!$C$487:$F$4092,3,0))=TRUE,"",(VLOOKUP('Presupuesto - PAA 2017'!B133,'Base de Datos'!$C$487:$F$4092,4,0)))</f>
        <v/>
      </c>
      <c r="E133" s="536" t="e">
        <f>VLOOKUP(B133,[7]PAA2017!$C$65:$AA$255,20,0)</f>
        <v>#N/A</v>
      </c>
      <c r="F133" s="534" t="e">
        <f>VLOOKUP(B133,[8]SOLICITUDES!$B$3:$H$278,2,0)</f>
        <v>#N/A</v>
      </c>
      <c r="G133" s="534"/>
      <c r="H133" s="534"/>
      <c r="I133" s="534"/>
      <c r="J133" s="536" t="str">
        <f>IF(ISERROR(VLOOKUP(B133,'Base de Datos'!$C$487:$N$4092,6,0))=TRUE,"Sin Celebrar",(VLOOKUP(B133,'Base de Datos'!$C$487:$N$4092,7,0)))</f>
        <v>Sin Celebrar</v>
      </c>
      <c r="K133" s="600"/>
      <c r="L133" s="580" t="e">
        <f t="shared" si="11"/>
        <v>#N/A</v>
      </c>
      <c r="M133" s="536"/>
      <c r="N133" s="536" t="e">
        <f t="shared" si="12"/>
        <v>#N/A</v>
      </c>
      <c r="O133" s="719" t="str">
        <f>IF(ISERROR(VLOOKUP(B133,'Base de Datos'!$C$487:$K$1048576,7,0))=TRUE," ",(VLOOKUP(B133,'Base de Datos'!$C$487:$K$1048576,8,0)))</f>
        <v xml:space="preserve"> </v>
      </c>
      <c r="P133" s="551" t="str">
        <f>IF(ISERROR(VLOOKUP(B133,'Base de Datos'!$C$487:$N$4077,9,0))=TRUE," ",(VLOOKUP(B133,'Base de Datos'!$C$487:$N$4077,10,0)))</f>
        <v xml:space="preserve"> </v>
      </c>
      <c r="Q133" s="737"/>
      <c r="R133" s="551" t="str">
        <f>IF(ISERROR(VLOOKUP(B133,'Base de Datos'!$C$487:$N$4077,10,0))=TRUE," ",(VLOOKUP(B133,'Base de Datos'!$C$487:$N$4077,11,0)))</f>
        <v xml:space="preserve"> </v>
      </c>
      <c r="S133" s="551" t="str">
        <f>IF(ISERROR(VLOOKUP(B133,'Base de Datos'!$C$487:$N$4077,11,0))=TRUE," ",(VLOOKUP(B133,'Base de Datos'!$C$487:$N$4077,12,0)))</f>
        <v xml:space="preserve"> </v>
      </c>
      <c r="T133" s="533" t="e">
        <f>VLOOKUP(B133,'Base de Datos'!$C$487:$AR$4129,41,0)</f>
        <v>#N/A</v>
      </c>
      <c r="U133" s="722"/>
      <c r="V133" s="634"/>
    </row>
    <row r="134" spans="2:22" outlineLevel="1" x14ac:dyDescent="0.25">
      <c r="B134" s="552"/>
      <c r="C134" s="533" t="str">
        <f>IF(ISERROR(VLOOKUP(B134,'Base de Datos'!$C$487:$F$4092,2,0))=TRUE,"",(VLOOKUP('Presupuesto - PAA 2017'!B134,'Base de Datos'!$C$7:$F$4092,3,0)))</f>
        <v/>
      </c>
      <c r="D134" s="533" t="str">
        <f>IF(ISERROR(VLOOKUP(B134,'Base de Datos'!$C$487:$F$4092,3,0))=TRUE,"",(VLOOKUP('Presupuesto - PAA 2017'!B134,'Base de Datos'!$C$487:$F$4092,4,0)))</f>
        <v/>
      </c>
      <c r="E134" s="536" t="e">
        <f>VLOOKUP(B134,[7]PAA2017!$C$65:$AA$255,20,0)</f>
        <v>#N/A</v>
      </c>
      <c r="F134" s="534" t="e">
        <f>VLOOKUP(B134,[8]SOLICITUDES!$B$3:$H$278,2,0)</f>
        <v>#N/A</v>
      </c>
      <c r="G134" s="534"/>
      <c r="H134" s="534"/>
      <c r="I134" s="534"/>
      <c r="J134" s="536" t="str">
        <f>IF(ISERROR(VLOOKUP(B134,'Base de Datos'!$C$487:$N$4092,6,0))=TRUE,"Sin Celebrar",(VLOOKUP(B134,'Base de Datos'!$C$487:$N$4092,7,0)))</f>
        <v>Sin Celebrar</v>
      </c>
      <c r="K134" s="600"/>
      <c r="L134" s="580" t="e">
        <f t="shared" si="11"/>
        <v>#N/A</v>
      </c>
      <c r="M134" s="536"/>
      <c r="N134" s="536" t="e">
        <f t="shared" si="12"/>
        <v>#N/A</v>
      </c>
      <c r="O134" s="719" t="str">
        <f>IF(ISERROR(VLOOKUP(B134,'Base de Datos'!$C$487:$K$1048576,7,0))=TRUE," ",(VLOOKUP(B134,'Base de Datos'!$C$487:$K$1048576,8,0)))</f>
        <v xml:space="preserve"> </v>
      </c>
      <c r="P134" s="551" t="str">
        <f>IF(ISERROR(VLOOKUP(B134,'Base de Datos'!$C$487:$N$4077,9,0))=TRUE," ",(VLOOKUP(B134,'Base de Datos'!$C$487:$N$4077,10,0)))</f>
        <v xml:space="preserve"> </v>
      </c>
      <c r="Q134" s="737"/>
      <c r="R134" s="551" t="str">
        <f>IF(ISERROR(VLOOKUP(B134,'Base de Datos'!$C$487:$N$4077,10,0))=TRUE," ",(VLOOKUP(B134,'Base de Datos'!$C$487:$N$4077,11,0)))</f>
        <v xml:space="preserve"> </v>
      </c>
      <c r="S134" s="551" t="str">
        <f>IF(ISERROR(VLOOKUP(B134,'Base de Datos'!$C$487:$N$4077,11,0))=TRUE," ",(VLOOKUP(B134,'Base de Datos'!$C$487:$N$4077,12,0)))</f>
        <v xml:space="preserve"> </v>
      </c>
      <c r="T134" s="533" t="e">
        <f>VLOOKUP(B134,'Base de Datos'!$C$487:$AR$4129,41,0)</f>
        <v>#N/A</v>
      </c>
      <c r="U134" s="722"/>
      <c r="V134" s="634"/>
    </row>
    <row r="135" spans="2:22" outlineLevel="1" x14ac:dyDescent="0.25">
      <c r="B135" s="552"/>
      <c r="C135" s="533" t="str">
        <f>IF(ISERROR(VLOOKUP(B135,'Base de Datos'!$C$487:$F$4092,2,0))=TRUE,"",(VLOOKUP('Presupuesto - PAA 2017'!B135,'Base de Datos'!$C$7:$F$4092,3,0)))</f>
        <v/>
      </c>
      <c r="D135" s="533" t="str">
        <f>IF(ISERROR(VLOOKUP(B135,'Base de Datos'!$C$487:$F$4092,3,0))=TRUE,"",(VLOOKUP('Presupuesto - PAA 2017'!B135,'Base de Datos'!$C$487:$F$4092,4,0)))</f>
        <v/>
      </c>
      <c r="E135" s="536" t="e">
        <f>VLOOKUP(B135,[7]PAA2017!$C$65:$AA$255,20,0)</f>
        <v>#N/A</v>
      </c>
      <c r="F135" s="534" t="e">
        <f>VLOOKUP(B135,[8]SOLICITUDES!$B$3:$H$278,2,0)</f>
        <v>#N/A</v>
      </c>
      <c r="G135" s="534"/>
      <c r="H135" s="534"/>
      <c r="I135" s="534"/>
      <c r="J135" s="536" t="str">
        <f>IF(ISERROR(VLOOKUP(B135,'Base de Datos'!$C$487:$N$4092,6,0))=TRUE,"Sin Celebrar",(VLOOKUP(B135,'Base de Datos'!$C$487:$N$4092,7,0)))</f>
        <v>Sin Celebrar</v>
      </c>
      <c r="K135" s="600"/>
      <c r="L135" s="580" t="e">
        <f t="shared" si="11"/>
        <v>#N/A</v>
      </c>
      <c r="M135" s="536"/>
      <c r="N135" s="536" t="e">
        <f t="shared" si="12"/>
        <v>#N/A</v>
      </c>
      <c r="O135" s="719" t="str">
        <f>IF(ISERROR(VLOOKUP(B135,'Base de Datos'!$C$487:$K$1048576,7,0))=TRUE," ",(VLOOKUP(B135,'Base de Datos'!$C$487:$K$1048576,8,0)))</f>
        <v xml:space="preserve"> </v>
      </c>
      <c r="P135" s="551" t="str">
        <f>IF(ISERROR(VLOOKUP(B135,'Base de Datos'!$C$487:$N$4077,9,0))=TRUE," ",(VLOOKUP(B135,'Base de Datos'!$C$487:$N$4077,10,0)))</f>
        <v xml:space="preserve"> </v>
      </c>
      <c r="Q135" s="737"/>
      <c r="R135" s="551" t="str">
        <f>IF(ISERROR(VLOOKUP(B135,'Base de Datos'!$C$487:$N$4077,10,0))=TRUE," ",(VLOOKUP(B135,'Base de Datos'!$C$487:$N$4077,11,0)))</f>
        <v xml:space="preserve"> </v>
      </c>
      <c r="S135" s="551" t="str">
        <f>IF(ISERROR(VLOOKUP(B135,'Base de Datos'!$C$487:$N$4077,11,0))=TRUE," ",(VLOOKUP(B135,'Base de Datos'!$C$487:$N$4077,12,0)))</f>
        <v xml:space="preserve"> </v>
      </c>
      <c r="T135" s="533" t="e">
        <f>VLOOKUP(B135,'Base de Datos'!$C$487:$AR$4129,41,0)</f>
        <v>#N/A</v>
      </c>
      <c r="U135" s="722"/>
      <c r="V135" s="634"/>
    </row>
    <row r="136" spans="2:22" outlineLevel="1" x14ac:dyDescent="0.25">
      <c r="B136" s="552"/>
      <c r="C136" s="553"/>
      <c r="D136" s="553" t="s">
        <v>1935</v>
      </c>
      <c r="E136" s="536" t="e">
        <f>E117-SUM(E119:E135)</f>
        <v>#N/A</v>
      </c>
      <c r="F136" s="555"/>
      <c r="G136" s="555"/>
      <c r="H136" s="555"/>
      <c r="I136" s="555"/>
      <c r="J136" s="554"/>
      <c r="K136" s="604"/>
      <c r="L136" s="554"/>
      <c r="M136" s="554"/>
      <c r="N136" s="554" t="e">
        <f>IF(J136&lt;E136,(E136-J136)," ")</f>
        <v>#N/A</v>
      </c>
      <c r="O136" s="679"/>
      <c r="P136" s="551" t="str">
        <f>IF(ISERROR(VLOOKUP(B136,'Base de Datos'!$C$7:$N$315,9,0))=TRUE," ",(VLOOKUP(B136,'Base de Datos'!$C$7:$N$315,9,0)))</f>
        <v xml:space="preserve"> </v>
      </c>
      <c r="Q136" s="553"/>
      <c r="R136" s="556" t="str">
        <f>IF(ISERROR(VLOOKUP(B136,'Base de Datos'!$C$7:$N$4077,10,0))=TRUE," ",(VLOOKUP(B136,'Base de Datos'!$C$7:$N$4077,10,0)))</f>
        <v xml:space="preserve"> </v>
      </c>
      <c r="S136" s="556" t="str">
        <f>IF(ISERROR(VLOOKUP(B136,'Base de Datos'!$C$7:$N$4077,11,0))=TRUE," ",(VLOOKUP(B136,'Base de Datos'!$C$7:$N$4077,11,0)))</f>
        <v xml:space="preserve"> </v>
      </c>
      <c r="T136" s="533"/>
      <c r="U136" s="722"/>
      <c r="V136" s="634"/>
    </row>
    <row r="137" spans="2:22" outlineLevel="1" x14ac:dyDescent="0.25">
      <c r="B137" s="648"/>
      <c r="C137" s="648"/>
      <c r="D137" s="648"/>
      <c r="E137" s="536"/>
      <c r="F137" s="534"/>
      <c r="G137" s="534"/>
      <c r="H137" s="534"/>
      <c r="I137" s="534"/>
      <c r="J137" s="536"/>
      <c r="K137" s="600"/>
      <c r="L137" s="536"/>
      <c r="M137" s="536"/>
      <c r="N137" s="536"/>
      <c r="O137" s="678"/>
      <c r="P137" s="551"/>
      <c r="Q137" s="533"/>
      <c r="R137" s="551"/>
      <c r="S137" s="551"/>
      <c r="T137" s="533"/>
      <c r="U137" s="722"/>
      <c r="V137" s="634"/>
    </row>
    <row r="138" spans="2:22" outlineLevel="1" x14ac:dyDescent="0.25">
      <c r="B138" s="648"/>
      <c r="C138" s="648"/>
      <c r="D138" s="648"/>
      <c r="E138" s="536"/>
      <c r="F138" s="534"/>
      <c r="G138" s="534"/>
      <c r="H138" s="534"/>
      <c r="I138" s="534"/>
      <c r="J138" s="536"/>
      <c r="K138" s="600"/>
      <c r="L138" s="536"/>
      <c r="M138" s="536"/>
      <c r="N138" s="536"/>
      <c r="O138" s="678"/>
      <c r="P138" s="551"/>
      <c r="Q138" s="533"/>
      <c r="R138" s="551"/>
      <c r="S138" s="551"/>
      <c r="T138" s="533"/>
      <c r="U138" s="722"/>
      <c r="V138" s="634"/>
    </row>
    <row r="139" spans="2:22" ht="15" customHeight="1" x14ac:dyDescent="0.25">
      <c r="B139" s="1196" t="s">
        <v>1656</v>
      </c>
      <c r="C139" s="1196"/>
      <c r="D139" s="1196"/>
      <c r="E139" s="557">
        <v>1513500000</v>
      </c>
      <c r="F139" s="558">
        <f>COUNTIF('Actualizada - presupuesto'!$E$7:$E$111,B139)</f>
        <v>0</v>
      </c>
      <c r="G139" s="558"/>
      <c r="H139" s="558"/>
      <c r="I139" s="558"/>
      <c r="J139" s="567">
        <v>1306122735</v>
      </c>
      <c r="K139" s="609">
        <f>J139/E139</f>
        <v>0.86298165510406344</v>
      </c>
      <c r="L139" s="567">
        <f>+L140+L147+L154</f>
        <v>190346405</v>
      </c>
      <c r="M139" s="567"/>
      <c r="N139" s="567">
        <f>+N140+N147+N154</f>
        <v>205289766</v>
      </c>
      <c r="O139" s="685"/>
      <c r="P139" s="573" t="str">
        <f>IF(ISERROR(VLOOKUP(B139,'Base de Datos'!$C$7:$N$315,8,0))=TRUE," ",(VLOOKUP(B139,'Base de Datos'!$C$7:$N$315,8,0)))</f>
        <v xml:space="preserve"> </v>
      </c>
      <c r="Q139" s="574"/>
      <c r="R139" s="573" t="str">
        <f>IF(ISERROR(VLOOKUP(B139,'Base de Datos'!$C$7:$N$315,9,0))=TRUE," ",(VLOOKUP(B139,'Base de Datos'!$C$7:$N$315,9,0)))</f>
        <v xml:space="preserve"> </v>
      </c>
      <c r="S139" s="573" t="str">
        <f>IF(ISERROR(VLOOKUP(B139,'Base de Datos'!$C$7:$N$315,10,0))=TRUE," ",(VLOOKUP(B139,'Base de Datos'!$C$7:$N$315,10,0)))</f>
        <v xml:space="preserve"> </v>
      </c>
      <c r="T139" s="569"/>
      <c r="U139" s="722"/>
      <c r="V139" s="634"/>
    </row>
    <row r="140" spans="2:22" ht="15" customHeight="1" x14ac:dyDescent="0.25">
      <c r="B140" s="1181" t="s">
        <v>1657</v>
      </c>
      <c r="C140" s="1181"/>
      <c r="D140" s="1181"/>
      <c r="E140" s="581">
        <v>205193000</v>
      </c>
      <c r="F140" s="586">
        <f>COUNTIF('Actualizada - presupuesto'!$E$7:$E$111,B140)</f>
        <v>2</v>
      </c>
      <c r="G140" s="586"/>
      <c r="H140" s="586"/>
      <c r="I140" s="586"/>
      <c r="J140" s="733">
        <v>188702234</v>
      </c>
      <c r="K140" s="603">
        <f>J140/E140</f>
        <v>0.91963290170717327</v>
      </c>
      <c r="L140" s="581">
        <f>SUM(L142:L145)</f>
        <v>0</v>
      </c>
      <c r="M140" s="581"/>
      <c r="N140" s="581">
        <f>+E140-J140-L140</f>
        <v>16490766</v>
      </c>
      <c r="O140" s="684"/>
      <c r="P140" s="591" t="str">
        <f>IF(ISERROR(VLOOKUP(B140,'Base de Datos'!$C$7:$N$315,8,0))=TRUE," ",(VLOOKUP(B140,'Base de Datos'!$C$7:$N$315,8,0)))</f>
        <v xml:space="preserve"> </v>
      </c>
      <c r="Q140" s="592"/>
      <c r="R140" s="591" t="str">
        <f>IF(ISERROR(VLOOKUP(B140,'Base de Datos'!$C$7:$N$315,9,0))=TRUE," ",(VLOOKUP(B140,'Base de Datos'!$C$7:$N$315,9,0)))</f>
        <v xml:space="preserve"> </v>
      </c>
      <c r="S140" s="591" t="str">
        <f>IF(ISERROR(VLOOKUP(B140,'Base de Datos'!$C$7:$N$315,10,0))=TRUE," ",(VLOOKUP(B140,'Base de Datos'!$C$7:$N$315,10,0)))</f>
        <v xml:space="preserve"> </v>
      </c>
      <c r="T140" s="592"/>
      <c r="U140" s="722"/>
      <c r="V140" s="634"/>
    </row>
    <row r="141" spans="2:22" ht="24" outlineLevel="1" x14ac:dyDescent="0.25">
      <c r="B141" s="537" t="s">
        <v>1693</v>
      </c>
      <c r="C141" s="537" t="s">
        <v>912</v>
      </c>
      <c r="D141" s="537" t="s">
        <v>1822</v>
      </c>
      <c r="E141" s="545" t="s">
        <v>1846</v>
      </c>
      <c r="F141" s="534" t="s">
        <v>1853</v>
      </c>
      <c r="G141" s="534"/>
      <c r="H141" s="534"/>
      <c r="I141" s="534"/>
      <c r="J141" s="537" t="s">
        <v>1845</v>
      </c>
      <c r="K141" s="652"/>
      <c r="L141" s="537" t="s">
        <v>1939</v>
      </c>
      <c r="M141" s="537"/>
      <c r="N141" s="537" t="s">
        <v>1940</v>
      </c>
      <c r="O141" s="677"/>
      <c r="P141" s="568" t="s">
        <v>1847</v>
      </c>
      <c r="Q141" s="537" t="s">
        <v>1848</v>
      </c>
      <c r="R141" s="537" t="s">
        <v>1849</v>
      </c>
      <c r="S141" s="537" t="s">
        <v>375</v>
      </c>
      <c r="T141" s="537" t="s">
        <v>1850</v>
      </c>
      <c r="U141" s="722"/>
      <c r="V141" s="634"/>
    </row>
    <row r="142" spans="2:22" ht="20.25" customHeight="1" outlineLevel="1" x14ac:dyDescent="0.25">
      <c r="B142" s="537">
        <v>203</v>
      </c>
      <c r="C142" s="533" t="str">
        <f>IF(ISERROR(VLOOKUP(B142,'Base de Datos'!$C$487:$F$4092,2,0))=TRUE,"",(VLOOKUP('Presupuesto - PAA 2017'!B142,'Base de Datos'!$C$7:$F$4092,3,0)))</f>
        <v>160269-0-2016</v>
      </c>
      <c r="D142" s="533" t="str">
        <f>IF(ISERROR(VLOOKUP(B142,'Base de Datos'!$C$487:$F$4092,3,0))=TRUE,"",(VLOOKUP('Presupuesto - PAA 2017'!B142,'Base de Datos'!$C$487:$F$4092,4,0)))</f>
        <v>PATRICIA VILLEGAS RODRIGUEZ</v>
      </c>
      <c r="E142" s="536">
        <f>VLOOKUP(B142,[7]PAA2017!$C$65:$AA$255,20,0)</f>
        <v>10000000</v>
      </c>
      <c r="F142" s="534" t="e">
        <f>VLOOKUP(B142,[8]SOLICITUDES!$B$3:$H$278,2,0)</f>
        <v>#N/A</v>
      </c>
      <c r="G142" s="534"/>
      <c r="H142" s="534"/>
      <c r="I142" s="534"/>
      <c r="J142" s="536">
        <f>IF(ISERROR(VLOOKUP(B142,'Base de Datos'!$C$487:$N$4092,6,0))=TRUE,"Sin Celebrar",(VLOOKUP(B142,'Base de Datos'!$C$487:$N$4092,7,0)))</f>
        <v>24273392</v>
      </c>
      <c r="K142" s="600"/>
      <c r="L142" s="580" t="str">
        <f>IF(J142=$AA$1,E142, " ")</f>
        <v xml:space="preserve"> </v>
      </c>
      <c r="M142" s="536"/>
      <c r="N142" s="536" t="str">
        <f>IF(J142&lt;E142,(E142-J142)," ")</f>
        <v xml:space="preserve"> </v>
      </c>
      <c r="O142" s="719" t="str">
        <f>IF(ISERROR(VLOOKUP(B142,'Base de Datos'!$C$487:$K$1048576,7,0))=TRUE," ",(VLOOKUP(B142,'Base de Datos'!$C$487:$K$1048576,8,0)))</f>
        <v>SDH-CD-74-2018</v>
      </c>
      <c r="P142" s="551">
        <f>IF(ISERROR(VLOOKUP(B142,'Base de Datos'!$C$487:$N$4077,9,0))=TRUE," ",(VLOOKUP(B142,'Base de Datos'!$C$487:$N$4077,10,0)))</f>
        <v>43381</v>
      </c>
      <c r="Q142" s="737"/>
      <c r="R142" s="551">
        <f>IF(ISERROR(VLOOKUP(B142,'Base de Datos'!$C$487:$N$4077,10,0))=TRUE," ",(VLOOKUP(B142,'Base de Datos'!$C$487:$N$4077,11,0)))</f>
        <v>43389</v>
      </c>
      <c r="S142" s="551">
        <f>IF(ISERROR(VLOOKUP(B142,'Base de Datos'!$C$487:$N$4077,11,0))=TRUE," ",(VLOOKUP(B142,'Base de Datos'!$C$487:$N$4077,12,0)))</f>
        <v>43496</v>
      </c>
      <c r="T142" s="533" t="str">
        <f>VLOOKUP(B142,'Base de Datos'!$C$487:$AR$4129,41,0)</f>
        <v>SI</v>
      </c>
      <c r="U142" s="722"/>
      <c r="V142" s="634"/>
    </row>
    <row r="143" spans="2:22" ht="11.25" customHeight="1" outlineLevel="1" x14ac:dyDescent="0.25">
      <c r="B143" s="552">
        <v>204</v>
      </c>
      <c r="C143" s="533" t="str">
        <f>IF(ISERROR(VLOOKUP(B143,'Base de Datos'!$C$487:$F$4092,2,0))=TRUE,"",(VLOOKUP('Presupuesto - PAA 2017'!B143,'Base de Datos'!$C$7:$F$4092,3,0)))</f>
        <v>190086-0-2019</v>
      </c>
      <c r="D143" s="533" t="str">
        <f>IF(ISERROR(VLOOKUP(B143,'Base de Datos'!$C$487:$F$4092,3,0))=TRUE,"",(VLOOKUP('Presupuesto - PAA 2017'!B143,'Base de Datos'!$C$487:$F$4092,4,0)))</f>
        <v xml:space="preserve">ANDREA PAOLA MELENDEZ PINEDA </v>
      </c>
      <c r="E143" s="536">
        <f>VLOOKUP(B143,[7]PAA2017!$C$65:$AA$255,20,0)</f>
        <v>8217738000</v>
      </c>
      <c r="F143" s="534" t="e">
        <f>VLOOKUP(B143,[8]SOLICITUDES!$B$3:$H$278,2,0)</f>
        <v>#N/A</v>
      </c>
      <c r="G143" s="534"/>
      <c r="H143" s="534"/>
      <c r="I143" s="534"/>
      <c r="J143" s="536">
        <f>IF(ISERROR(VLOOKUP(B143,'Base de Datos'!$C$487:$N$4092,6,0))=TRUE,"Sin Celebrar",(VLOOKUP(B143,'Base de Datos'!$C$487:$N$4092,7,0)))</f>
        <v>38508000</v>
      </c>
      <c r="K143" s="600"/>
      <c r="L143" s="580" t="str">
        <f>IF(J143=$AA$1,E143, " ")</f>
        <v xml:space="preserve"> </v>
      </c>
      <c r="M143" s="536"/>
      <c r="N143" s="536">
        <f>IF(J143&lt;E143,(E143-J143)," ")</f>
        <v>8179230000</v>
      </c>
      <c r="O143" s="719" t="str">
        <f>IF(ISERROR(VLOOKUP(B143,'Base de Datos'!$C$487:$K$1048576,7,0))=TRUE," ",(VLOOKUP(B143,'Base de Datos'!$C$487:$K$1048576,8,0)))</f>
        <v>SDH-CD-44-2019</v>
      </c>
      <c r="P143" s="551">
        <f>IF(ISERROR(VLOOKUP(B143,'Base de Datos'!$C$487:$N$4077,9,0))=TRUE," ",(VLOOKUP(B143,'Base de Datos'!$C$487:$N$4077,10,0)))</f>
        <v>43500</v>
      </c>
      <c r="Q143" s="737"/>
      <c r="R143" s="551">
        <f>IF(ISERROR(VLOOKUP(B143,'Base de Datos'!$C$487:$N$4077,10,0))=TRUE," ",(VLOOKUP(B143,'Base de Datos'!$C$487:$N$4077,11,0)))</f>
        <v>43504</v>
      </c>
      <c r="S143" s="551">
        <f>IF(ISERROR(VLOOKUP(B143,'Base de Datos'!$C$487:$N$4077,11,0))=TRUE," ",(VLOOKUP(B143,'Base de Datos'!$C$487:$N$4077,12,0)))</f>
        <v>43641</v>
      </c>
      <c r="T143" s="533" t="str">
        <f>VLOOKUP(B143,'Base de Datos'!$C$487:$AR$4129,41,0)</f>
        <v>SI</v>
      </c>
      <c r="U143" s="722"/>
      <c r="V143" s="634"/>
    </row>
    <row r="144" spans="2:22" ht="36" outlineLevel="1" x14ac:dyDescent="0.25">
      <c r="B144" s="552">
        <v>205</v>
      </c>
      <c r="C144" s="533" t="str">
        <f>IF(ISERROR(VLOOKUP(B144,'Base de Datos'!$C$487:$F$4092,2,0))=TRUE,"",(VLOOKUP('Presupuesto - PAA 2017'!B144,'Base de Datos'!$C$7:$F$4092,3,0)))</f>
        <v>190121-0-2019</v>
      </c>
      <c r="D144" s="533" t="str">
        <f>IF(ISERROR(VLOOKUP(B144,'Base de Datos'!$C$487:$F$4092,3,0))=TRUE,"",(VLOOKUP('Presupuesto - PAA 2017'!B144,'Base de Datos'!$C$487:$F$4092,4,0)))</f>
        <v xml:space="preserve">DIANA CAROLINA RIVEROS BEJARANO  (Cesionaria) / ANA MARIA MONROY MORA (Antes)
</v>
      </c>
      <c r="E144" s="536">
        <f>VLOOKUP(B144,[7]PAA2017!$C$65:$AA$255,20,0)</f>
        <v>0</v>
      </c>
      <c r="F144" s="534" t="e">
        <f>VLOOKUP(B144,[8]SOLICITUDES!$B$3:$H$278,2,0)</f>
        <v>#N/A</v>
      </c>
      <c r="G144" s="534"/>
      <c r="H144" s="534"/>
      <c r="I144" s="534"/>
      <c r="J144" s="536">
        <f>IF(ISERROR(VLOOKUP(B144,'Base de Datos'!$C$487:$N$4092,6,0))=TRUE,"Sin Celebrar",(VLOOKUP(B144,'Base de Datos'!$C$487:$N$4092,7,0)))</f>
        <v>33666233</v>
      </c>
      <c r="K144" s="600"/>
      <c r="L144" s="580" t="str">
        <f>IF(J144=$AA$1,E144, " ")</f>
        <v xml:space="preserve"> </v>
      </c>
      <c r="M144" s="536"/>
      <c r="N144" s="536" t="str">
        <f>IF(J144&lt;E144,(E144-J144)," ")</f>
        <v xml:space="preserve"> </v>
      </c>
      <c r="O144" s="719" t="str">
        <f>IF(ISERROR(VLOOKUP(B144,'Base de Datos'!$C$487:$K$1048576,7,0))=TRUE," ",(VLOOKUP(B144,'Base de Datos'!$C$487:$K$1048576,8,0)))</f>
        <v>SDH-CD-46-2019</v>
      </c>
      <c r="P144" s="551">
        <f>IF(ISERROR(VLOOKUP(B144,'Base de Datos'!$C$487:$N$4077,9,0))=TRUE," ",(VLOOKUP(B144,'Base de Datos'!$C$487:$N$4077,10,0)))</f>
        <v>43501</v>
      </c>
      <c r="Q144" s="737"/>
      <c r="R144" s="551">
        <f>IF(ISERROR(VLOOKUP(B144,'Base de Datos'!$C$487:$N$4077,10,0))=TRUE," ",(VLOOKUP(B144,'Base de Datos'!$C$487:$N$4077,11,0)))</f>
        <v>43504</v>
      </c>
      <c r="S144" s="551">
        <f>IF(ISERROR(VLOOKUP(B144,'Base de Datos'!$C$487:$N$4077,11,0))=TRUE," ",(VLOOKUP(B144,'Base de Datos'!$C$487:$N$4077,12,0)))</f>
        <v>43641</v>
      </c>
      <c r="T144" s="533" t="str">
        <f>VLOOKUP(B144,'Base de Datos'!$C$487:$AR$4129,41,0)</f>
        <v>SI</v>
      </c>
      <c r="U144" s="722"/>
      <c r="V144" s="634"/>
    </row>
    <row r="145" spans="2:22" outlineLevel="1" x14ac:dyDescent="0.25">
      <c r="B145" s="648"/>
      <c r="C145" s="648"/>
      <c r="D145" s="533" t="s">
        <v>1935</v>
      </c>
      <c r="E145" s="536">
        <f>E140-SUM(E142:E144)</f>
        <v>-8022545000</v>
      </c>
      <c r="F145" s="534"/>
      <c r="G145" s="534"/>
      <c r="H145" s="534"/>
      <c r="I145" s="534"/>
      <c r="J145" s="536"/>
      <c r="K145" s="600"/>
      <c r="L145" s="536"/>
      <c r="M145" s="536"/>
      <c r="N145" s="554" t="str">
        <f>IF(J145&lt;E145,(E145-J145)," ")</f>
        <v xml:space="preserve"> </v>
      </c>
      <c r="O145" s="678"/>
      <c r="P145" s="551" t="str">
        <f>IF(ISERROR(VLOOKUP(B145,'Base de Datos'!$C$7:$N$315,9,0))=TRUE," ",(VLOOKUP(B145,'Base de Datos'!$C$7:$N$315,9,0)))</f>
        <v xml:space="preserve"> </v>
      </c>
      <c r="Q145" s="533"/>
      <c r="R145" s="556" t="str">
        <f>IF(ISERROR(VLOOKUP(B145,'Base de Datos'!$C$7:$N$315,10,0))=TRUE," ",(VLOOKUP(B145,'Base de Datos'!$C$7:$N$315,10,0)))</f>
        <v xml:space="preserve"> </v>
      </c>
      <c r="S145" s="556" t="str">
        <f>IF(ISERROR(VLOOKUP(B145,'Base de Datos'!$C$7:$N$315,11,0))=TRUE," ",(VLOOKUP(B145,'Base de Datos'!$C$7:$N$315,11,0)))</f>
        <v xml:space="preserve"> </v>
      </c>
      <c r="T145" s="533"/>
      <c r="U145" s="722"/>
      <c r="V145" s="634"/>
    </row>
    <row r="146" spans="2:22" outlineLevel="1" x14ac:dyDescent="0.25">
      <c r="B146" s="533"/>
      <c r="C146" s="533"/>
      <c r="D146" s="533"/>
      <c r="E146" s="536"/>
      <c r="F146" s="534"/>
      <c r="G146" s="534"/>
      <c r="H146" s="534"/>
      <c r="I146" s="534"/>
      <c r="J146" s="536"/>
      <c r="K146" s="600"/>
      <c r="L146" s="536"/>
      <c r="M146" s="536"/>
      <c r="N146" s="536"/>
      <c r="O146" s="678"/>
      <c r="P146" s="551"/>
      <c r="Q146" s="533"/>
      <c r="R146" s="551"/>
      <c r="S146" s="551"/>
      <c r="T146" s="533"/>
      <c r="U146" s="722"/>
      <c r="V146" s="634"/>
    </row>
    <row r="147" spans="2:22" ht="15" customHeight="1" x14ac:dyDescent="0.25">
      <c r="B147" s="1195" t="s">
        <v>1658</v>
      </c>
      <c r="C147" s="1195"/>
      <c r="D147" s="1195"/>
      <c r="E147" s="587">
        <v>227307000</v>
      </c>
      <c r="F147" s="588">
        <f>COUNTIF('Actualizada - presupuesto'!$E$7:$E$111,B147)</f>
        <v>2</v>
      </c>
      <c r="G147" s="588"/>
      <c r="H147" s="588"/>
      <c r="I147" s="588"/>
      <c r="J147" s="587">
        <f>SUM(J149:J151)</f>
        <v>38508000</v>
      </c>
      <c r="K147" s="607">
        <f>J147/E147</f>
        <v>0.16940965302432393</v>
      </c>
      <c r="L147" s="587">
        <f>SUM(L149:L151)</f>
        <v>0</v>
      </c>
      <c r="M147" s="587"/>
      <c r="N147" s="587">
        <f>+E147-J147-L147</f>
        <v>188799000</v>
      </c>
      <c r="O147" s="682"/>
      <c r="P147" s="589" t="str">
        <f>IF(ISERROR(VLOOKUP(B147,'Base de Datos'!$C$7:$N$315,8,0))=TRUE," ",(VLOOKUP(B147,'Base de Datos'!$C$7:$N$315,8,0)))</f>
        <v xml:space="preserve"> </v>
      </c>
      <c r="Q147" s="590"/>
      <c r="R147" s="589" t="str">
        <f>IF(ISERROR(VLOOKUP(B147,'Base de Datos'!$C$7:$N$315,9,0))=TRUE," ",(VLOOKUP(B147,'Base de Datos'!$C$7:$N$315,9,0)))</f>
        <v xml:space="preserve"> </v>
      </c>
      <c r="S147" s="589" t="str">
        <f>IF(ISERROR(VLOOKUP(B147,'Base de Datos'!$C$7:$N$315,10,0))=TRUE," ",(VLOOKUP(B147,'Base de Datos'!$C$7:$N$315,10,0)))</f>
        <v xml:space="preserve"> </v>
      </c>
      <c r="T147" s="592"/>
      <c r="U147" s="722"/>
      <c r="V147" s="634"/>
    </row>
    <row r="148" spans="2:22" ht="24" outlineLevel="1" x14ac:dyDescent="0.25">
      <c r="B148" s="537" t="s">
        <v>1693</v>
      </c>
      <c r="C148" s="537" t="s">
        <v>912</v>
      </c>
      <c r="D148" s="537" t="s">
        <v>1822</v>
      </c>
      <c r="E148" s="545" t="s">
        <v>1846</v>
      </c>
      <c r="F148" s="534" t="s">
        <v>1853</v>
      </c>
      <c r="G148" s="534"/>
      <c r="H148" s="534"/>
      <c r="I148" s="534"/>
      <c r="J148" s="537" t="s">
        <v>1845</v>
      </c>
      <c r="K148" s="652"/>
      <c r="L148" s="537" t="s">
        <v>1939</v>
      </c>
      <c r="M148" s="537"/>
      <c r="N148" s="537" t="s">
        <v>1940</v>
      </c>
      <c r="O148" s="677"/>
      <c r="P148" s="568" t="s">
        <v>1847</v>
      </c>
      <c r="Q148" s="537" t="s">
        <v>1848</v>
      </c>
      <c r="R148" s="537" t="s">
        <v>1849</v>
      </c>
      <c r="S148" s="537" t="s">
        <v>375</v>
      </c>
      <c r="T148" s="537" t="s">
        <v>1850</v>
      </c>
      <c r="U148" s="722"/>
      <c r="V148" s="634"/>
    </row>
    <row r="149" spans="2:22" ht="13.5" customHeight="1" outlineLevel="1" x14ac:dyDescent="0.25">
      <c r="B149" s="537">
        <v>204</v>
      </c>
      <c r="C149" s="533" t="str">
        <f>IF(ISERROR(VLOOKUP(B149,'Base de Datos'!$C$487:$F$4092,2,0))=TRUE,"",(VLOOKUP('Presupuesto - PAA 2017'!B149,'Base de Datos'!$C$7:$F$4092,3,0)))</f>
        <v>190086-0-2019</v>
      </c>
      <c r="D149" s="533" t="str">
        <f>IF(ISERROR(VLOOKUP(B149,'Base de Datos'!$C$487:$F$4092,3,0))=TRUE,"",(VLOOKUP('Presupuesto - PAA 2017'!B149,'Base de Datos'!$C$487:$F$4092,4,0)))</f>
        <v xml:space="preserve">ANDREA PAOLA MELENDEZ PINEDA </v>
      </c>
      <c r="E149" s="536">
        <f>VLOOKUP(B149,[7]PAA2017!$C$65:$AA$255,20,0)</f>
        <v>8217738000</v>
      </c>
      <c r="F149" s="534" t="e">
        <f>VLOOKUP(B149,[8]SOLICITUDES!$B$3:$H$278,2,0)</f>
        <v>#N/A</v>
      </c>
      <c r="G149" s="534"/>
      <c r="H149" s="534"/>
      <c r="I149" s="534"/>
      <c r="J149" s="536">
        <f>IF(ISERROR(VLOOKUP(B149,'Base de Datos'!$C$487:$N$4092,6,0))=TRUE,"Sin Celebrar",(VLOOKUP(B149,'Base de Datos'!$C$487:$N$4092,7,0)))</f>
        <v>38508000</v>
      </c>
      <c r="K149" s="600"/>
      <c r="L149" s="580" t="str">
        <f>IF(J149=$AA$1,E149, " ")</f>
        <v xml:space="preserve"> </v>
      </c>
      <c r="M149" s="536"/>
      <c r="N149" s="536">
        <f>IF(J149&lt;E149,(E149-J149)," ")</f>
        <v>8179230000</v>
      </c>
      <c r="O149" s="719" t="str">
        <f>IF(ISERROR(VLOOKUP(B149,'Base de Datos'!$C$487:$K$1048576,7,0))=TRUE," ",(VLOOKUP(B149,'Base de Datos'!$C$487:$K$1048576,8,0)))</f>
        <v>SDH-CD-44-2019</v>
      </c>
      <c r="P149" s="551">
        <f>IF(ISERROR(VLOOKUP(B149,'Base de Datos'!$C$487:$N$4077,9,0))=TRUE," ",(VLOOKUP(B149,'Base de Datos'!$C$487:$N$4077,10,0)))</f>
        <v>43500</v>
      </c>
      <c r="Q149" s="737"/>
      <c r="R149" s="551">
        <f>IF(ISERROR(VLOOKUP(B149,'Base de Datos'!$C$487:$N$4077,10,0))=TRUE," ",(VLOOKUP(B149,'Base de Datos'!$C$487:$N$4077,11,0)))</f>
        <v>43504</v>
      </c>
      <c r="S149" s="551">
        <f>IF(ISERROR(VLOOKUP(B149,'Base de Datos'!$C$487:$N$4077,11,0))=TRUE," ",(VLOOKUP(B149,'Base de Datos'!$C$487:$N$4077,12,0)))</f>
        <v>43641</v>
      </c>
      <c r="T149" s="533" t="str">
        <f>VLOOKUP(B149,'Base de Datos'!$C$487:$AR$4129,41,0)</f>
        <v>SI</v>
      </c>
      <c r="U149" s="722"/>
      <c r="V149" s="634"/>
    </row>
    <row r="150" spans="2:22" ht="21" customHeight="1" outlineLevel="1" x14ac:dyDescent="0.25">
      <c r="B150" s="552"/>
      <c r="C150" s="533"/>
      <c r="D150" s="533"/>
      <c r="E150" s="554"/>
      <c r="F150" s="534"/>
      <c r="G150" s="555"/>
      <c r="H150" s="555"/>
      <c r="I150" s="555"/>
      <c r="J150" s="536"/>
      <c r="K150" s="604"/>
      <c r="L150" s="554"/>
      <c r="M150" s="554"/>
      <c r="N150" s="554"/>
      <c r="O150" s="719"/>
      <c r="P150" s="551"/>
      <c r="Q150" s="553"/>
      <c r="R150" s="551"/>
      <c r="S150" s="551"/>
      <c r="T150" s="533"/>
      <c r="U150" s="722"/>
      <c r="V150" s="634"/>
    </row>
    <row r="151" spans="2:22" outlineLevel="1" x14ac:dyDescent="0.25">
      <c r="B151" s="537"/>
      <c r="C151" s="533"/>
      <c r="D151" s="533"/>
      <c r="E151" s="536"/>
      <c r="F151" s="534"/>
      <c r="G151" s="534"/>
      <c r="H151" s="534"/>
      <c r="I151" s="534"/>
      <c r="J151" s="554"/>
      <c r="K151" s="600"/>
      <c r="L151" s="554"/>
      <c r="M151" s="536"/>
      <c r="N151" s="554"/>
      <c r="O151" s="719"/>
      <c r="P151" s="551"/>
      <c r="Q151" s="533"/>
      <c r="R151" s="556"/>
      <c r="S151" s="556"/>
      <c r="T151" s="533"/>
      <c r="U151" s="722"/>
      <c r="V151" s="634"/>
    </row>
    <row r="152" spans="2:22" outlineLevel="1" x14ac:dyDescent="0.25">
      <c r="B152" s="537"/>
      <c r="C152" s="533"/>
      <c r="D152" s="533" t="s">
        <v>1935</v>
      </c>
      <c r="E152" s="536">
        <f>+E147-SUM(E149:E151)</f>
        <v>-7990431000</v>
      </c>
      <c r="F152" s="534"/>
      <c r="G152" s="534"/>
      <c r="H152" s="534"/>
      <c r="I152" s="534"/>
      <c r="J152" s="554"/>
      <c r="K152" s="600"/>
      <c r="L152" s="554"/>
      <c r="M152" s="536"/>
      <c r="N152" s="554" t="str">
        <f>IF(J152&lt;E152,(E152-J152)," ")</f>
        <v xml:space="preserve"> </v>
      </c>
      <c r="O152" s="719"/>
      <c r="P152" s="551"/>
      <c r="Q152" s="533"/>
      <c r="R152" s="556"/>
      <c r="S152" s="556"/>
      <c r="T152" s="533"/>
      <c r="U152" s="722"/>
      <c r="V152" s="634"/>
    </row>
    <row r="153" spans="2:22" outlineLevel="1" x14ac:dyDescent="0.25">
      <c r="B153" s="648"/>
      <c r="C153" s="648"/>
      <c r="D153" s="648"/>
      <c r="E153" s="536"/>
      <c r="F153" s="534"/>
      <c r="G153" s="534"/>
      <c r="H153" s="534"/>
      <c r="I153" s="534"/>
      <c r="J153" s="536"/>
      <c r="K153" s="600"/>
      <c r="L153" s="536"/>
      <c r="M153" s="536"/>
      <c r="N153" s="536"/>
      <c r="O153" s="678"/>
      <c r="P153" s="551"/>
      <c r="Q153" s="533"/>
      <c r="R153" s="551"/>
      <c r="S153" s="551"/>
      <c r="T153" s="533"/>
      <c r="U153" s="722"/>
      <c r="V153" s="634"/>
    </row>
    <row r="154" spans="2:22" ht="15" customHeight="1" x14ac:dyDescent="0.25">
      <c r="B154" s="1195" t="s">
        <v>1659</v>
      </c>
      <c r="C154" s="1195"/>
      <c r="D154" s="1195"/>
      <c r="E154" s="587">
        <v>1081000000</v>
      </c>
      <c r="F154" s="588"/>
      <c r="G154" s="588"/>
      <c r="H154" s="588"/>
      <c r="I154" s="588"/>
      <c r="J154" s="587">
        <f>+J156</f>
        <v>890653595</v>
      </c>
      <c r="K154" s="607">
        <f>J154/E154</f>
        <v>0.82391636910268273</v>
      </c>
      <c r="L154" s="587">
        <f>+L156</f>
        <v>190346405</v>
      </c>
      <c r="M154" s="587"/>
      <c r="N154" s="587">
        <f>+E154-J154-L154</f>
        <v>0</v>
      </c>
      <c r="O154" s="682"/>
      <c r="P154" s="589" t="str">
        <f>IF(ISERROR(VLOOKUP(B154,'Base de Datos'!$C$7:$N$315,8,0))=TRUE," ",(VLOOKUP(B154,'Base de Datos'!$C$7:$N$315,8,0)))</f>
        <v xml:space="preserve"> </v>
      </c>
      <c r="Q154" s="590"/>
      <c r="R154" s="589" t="str">
        <f>IF(ISERROR(VLOOKUP(B154,'Base de Datos'!$C$7:$N$315,9,0))=TRUE," ",(VLOOKUP(B154,'Base de Datos'!$C$7:$N$315,9,0)))</f>
        <v xml:space="preserve"> </v>
      </c>
      <c r="S154" s="589" t="str">
        <f>IF(ISERROR(VLOOKUP(B154,'Base de Datos'!$C$7:$N$315,10,0))=TRUE," ",(VLOOKUP(B154,'Base de Datos'!$C$7:$N$315,10,0)))</f>
        <v xml:space="preserve"> </v>
      </c>
      <c r="T154" s="592"/>
      <c r="U154" s="722"/>
      <c r="V154" s="634"/>
    </row>
    <row r="155" spans="2:22" ht="24" customHeight="1" outlineLevel="1" x14ac:dyDescent="0.25">
      <c r="B155" s="537" t="s">
        <v>1693</v>
      </c>
      <c r="C155" s="537" t="s">
        <v>912</v>
      </c>
      <c r="D155" s="537" t="s">
        <v>1822</v>
      </c>
      <c r="E155" s="545" t="s">
        <v>1846</v>
      </c>
      <c r="F155" s="534" t="s">
        <v>1853</v>
      </c>
      <c r="G155" s="534"/>
      <c r="H155" s="534"/>
      <c r="I155" s="534"/>
      <c r="J155" s="537" t="s">
        <v>1845</v>
      </c>
      <c r="K155" s="652"/>
      <c r="L155" s="537" t="s">
        <v>1939</v>
      </c>
      <c r="M155" s="537"/>
      <c r="N155" s="537" t="s">
        <v>1940</v>
      </c>
      <c r="O155" s="677"/>
      <c r="P155" s="568" t="s">
        <v>1847</v>
      </c>
      <c r="Q155" s="537" t="s">
        <v>1848</v>
      </c>
      <c r="R155" s="537" t="s">
        <v>1849</v>
      </c>
      <c r="S155" s="537" t="s">
        <v>375</v>
      </c>
      <c r="T155" s="537" t="s">
        <v>1850</v>
      </c>
      <c r="U155" s="722"/>
      <c r="V155" s="634"/>
    </row>
    <row r="156" spans="2:22" ht="15" customHeight="1" outlineLevel="1" x14ac:dyDescent="0.25">
      <c r="B156" s="537"/>
      <c r="C156" s="533"/>
      <c r="D156" s="878" t="s">
        <v>2264</v>
      </c>
      <c r="E156" s="534"/>
      <c r="F156" s="536"/>
      <c r="G156" s="595"/>
      <c r="H156" s="595"/>
      <c r="I156" s="595"/>
      <c r="J156" s="580">
        <v>890653595</v>
      </c>
      <c r="K156" s="643"/>
      <c r="L156" s="580">
        <f>+E154-J156</f>
        <v>190346405</v>
      </c>
      <c r="M156" s="642"/>
      <c r="N156" s="536"/>
      <c r="O156" s="687"/>
      <c r="P156" s="644"/>
      <c r="Q156" s="645"/>
      <c r="R156" s="644"/>
      <c r="S156" s="644"/>
      <c r="T156" s="614"/>
      <c r="U156" s="722"/>
      <c r="V156" s="634"/>
    </row>
    <row r="157" spans="2:22" ht="15" customHeight="1" outlineLevel="1" x14ac:dyDescent="0.25">
      <c r="B157" s="537"/>
      <c r="C157" s="533"/>
      <c r="D157" s="533"/>
      <c r="E157" s="534"/>
      <c r="F157" s="536"/>
      <c r="G157" s="595"/>
      <c r="H157" s="595"/>
      <c r="I157" s="595"/>
      <c r="J157" s="642"/>
      <c r="K157" s="643"/>
      <c r="L157" s="642"/>
      <c r="M157" s="642"/>
      <c r="N157" s="642"/>
      <c r="O157" s="688"/>
      <c r="P157" s="644"/>
      <c r="Q157" s="645"/>
      <c r="R157" s="644"/>
      <c r="S157" s="644"/>
      <c r="T157" s="614"/>
      <c r="U157" s="722"/>
      <c r="V157" s="634"/>
    </row>
    <row r="158" spans="2:22" ht="15" customHeight="1" x14ac:dyDescent="0.25">
      <c r="B158" s="1182" t="s">
        <v>1660</v>
      </c>
      <c r="C158" s="1182"/>
      <c r="D158" s="1182"/>
      <c r="E158" s="539">
        <v>430000000</v>
      </c>
      <c r="F158" s="540"/>
      <c r="G158" s="540"/>
      <c r="H158" s="540"/>
      <c r="I158" s="540"/>
      <c r="J158" s="543">
        <f>+J159+J163+J167+J171</f>
        <v>242601380</v>
      </c>
      <c r="K158" s="609">
        <f>J158/E158</f>
        <v>0.56418925581395352</v>
      </c>
      <c r="L158" s="543">
        <f>+L159+L163+L167+L171</f>
        <v>187398620</v>
      </c>
      <c r="M158" s="543"/>
      <c r="N158" s="543">
        <f>+N159+N163+N167+N171</f>
        <v>0</v>
      </c>
      <c r="O158" s="689"/>
      <c r="P158" s="575" t="str">
        <f>IF(ISERROR(VLOOKUP(B158,'Base de Datos'!$C$7:$N$315,8,0))=TRUE," ",(VLOOKUP(B158,'Base de Datos'!$C$7:$N$315,8,0)))</f>
        <v xml:space="preserve"> </v>
      </c>
      <c r="Q158" s="569"/>
      <c r="R158" s="575" t="str">
        <f>IF(ISERROR(VLOOKUP(B158,'Base de Datos'!$C$7:$N$315,9,0))=TRUE," ",(VLOOKUP(B158,'Base de Datos'!$C$7:$N$315,9,0)))</f>
        <v xml:space="preserve"> </v>
      </c>
      <c r="S158" s="575" t="str">
        <f>IF(ISERROR(VLOOKUP(B158,'Base de Datos'!$C$7:$N$315,10,0))=TRUE," ",(VLOOKUP(B158,'Base de Datos'!$C$7:$N$315,10,0)))</f>
        <v xml:space="preserve"> </v>
      </c>
      <c r="T158" s="569"/>
      <c r="U158" s="722"/>
      <c r="V158" s="634"/>
    </row>
    <row r="159" spans="2:22" ht="15" customHeight="1" x14ac:dyDescent="0.25">
      <c r="B159" s="1180" t="s">
        <v>1661</v>
      </c>
      <c r="C159" s="1180"/>
      <c r="D159" s="1180"/>
      <c r="E159" s="543">
        <v>206250000</v>
      </c>
      <c r="F159" s="540"/>
      <c r="G159" s="540"/>
      <c r="H159" s="540"/>
      <c r="I159" s="540"/>
      <c r="J159" s="543">
        <f>+J161</f>
        <v>106215940</v>
      </c>
      <c r="K159" s="609">
        <f>J159/E159</f>
        <v>0.51498637575757578</v>
      </c>
      <c r="L159" s="543">
        <f>+E159-J159</f>
        <v>100034060</v>
      </c>
      <c r="M159" s="543"/>
      <c r="N159" s="543">
        <f>+N161</f>
        <v>0</v>
      </c>
      <c r="O159" s="689"/>
      <c r="P159" s="575" t="str">
        <f>IF(ISERROR(VLOOKUP(B159,'Base de Datos'!$C$7:$N$315,8,0))=TRUE," ",(VLOOKUP(B159,'Base de Datos'!$C$7:$N$315,8,0)))</f>
        <v xml:space="preserve"> </v>
      </c>
      <c r="Q159" s="569"/>
      <c r="R159" s="575" t="str">
        <f>IF(ISERROR(VLOOKUP(B159,'Base de Datos'!$C$7:$N$315,9,0))=TRUE," ",(VLOOKUP(B159,'Base de Datos'!$C$7:$N$315,9,0)))</f>
        <v xml:space="preserve"> </v>
      </c>
      <c r="S159" s="575" t="str">
        <f>IF(ISERROR(VLOOKUP(B159,'Base de Datos'!$C$7:$N$315,10,0))=TRUE," ",(VLOOKUP(B159,'Base de Datos'!$C$7:$N$315,10,0)))</f>
        <v xml:space="preserve"> </v>
      </c>
      <c r="T159" s="569"/>
      <c r="U159" s="722"/>
      <c r="V159" s="634"/>
    </row>
    <row r="160" spans="2:22" s="615" customFormat="1" ht="24" outlineLevel="1" x14ac:dyDescent="0.25">
      <c r="B160" s="537" t="s">
        <v>1693</v>
      </c>
      <c r="C160" s="537" t="s">
        <v>912</v>
      </c>
      <c r="D160" s="537" t="s">
        <v>1822</v>
      </c>
      <c r="E160" s="545" t="s">
        <v>1846</v>
      </c>
      <c r="F160" s="534" t="s">
        <v>1853</v>
      </c>
      <c r="G160" s="534"/>
      <c r="H160" s="534"/>
      <c r="I160" s="534"/>
      <c r="J160" s="537" t="s">
        <v>1845</v>
      </c>
      <c r="K160" s="652"/>
      <c r="L160" s="537" t="s">
        <v>1939</v>
      </c>
      <c r="M160" s="537"/>
      <c r="N160" s="537" t="s">
        <v>1940</v>
      </c>
      <c r="O160" s="677"/>
      <c r="P160" s="568" t="s">
        <v>1847</v>
      </c>
      <c r="Q160" s="537" t="s">
        <v>1848</v>
      </c>
      <c r="R160" s="537" t="s">
        <v>1849</v>
      </c>
      <c r="S160" s="537" t="s">
        <v>375</v>
      </c>
      <c r="T160" s="537" t="s">
        <v>1850</v>
      </c>
      <c r="U160" s="722"/>
      <c r="V160" s="634"/>
    </row>
    <row r="161" spans="2:22" s="615" customFormat="1" ht="15" customHeight="1" outlineLevel="1" x14ac:dyDescent="0.25">
      <c r="B161" s="537"/>
      <c r="C161" s="533"/>
      <c r="D161" s="878" t="s">
        <v>2264</v>
      </c>
      <c r="E161" s="534"/>
      <c r="F161" s="536"/>
      <c r="G161" s="536"/>
      <c r="H161" s="536"/>
      <c r="I161" s="536"/>
      <c r="J161" s="536">
        <v>106215940</v>
      </c>
      <c r="K161" s="536"/>
      <c r="L161" s="536">
        <f>9700000*8</f>
        <v>77600000</v>
      </c>
      <c r="M161" s="580"/>
      <c r="N161" s="580"/>
      <c r="O161" s="690"/>
      <c r="P161" s="613"/>
      <c r="Q161" s="614"/>
      <c r="R161" s="613"/>
      <c r="S161" s="613"/>
      <c r="T161" s="614"/>
      <c r="U161" s="722"/>
      <c r="V161" s="634"/>
    </row>
    <row r="162" spans="2:22" s="615" customFormat="1" ht="15" customHeight="1" outlineLevel="1" x14ac:dyDescent="0.25">
      <c r="B162" s="878"/>
      <c r="C162" s="878"/>
      <c r="D162" s="878"/>
      <c r="E162" s="580"/>
      <c r="F162" s="534"/>
      <c r="G162" s="534"/>
      <c r="H162" s="534"/>
      <c r="I162" s="534"/>
      <c r="J162" s="580"/>
      <c r="K162" s="612"/>
      <c r="L162" s="580"/>
      <c r="M162" s="580"/>
      <c r="N162" s="580"/>
      <c r="O162" s="690"/>
      <c r="P162" s="613"/>
      <c r="Q162" s="614"/>
      <c r="R162" s="613"/>
      <c r="S162" s="613"/>
      <c r="T162" s="614"/>
      <c r="U162" s="722"/>
      <c r="V162" s="634"/>
    </row>
    <row r="163" spans="2:22" ht="15" customHeight="1" x14ac:dyDescent="0.25">
      <c r="B163" s="1180" t="s">
        <v>1662</v>
      </c>
      <c r="C163" s="1180"/>
      <c r="D163" s="1180"/>
      <c r="E163" s="543">
        <v>36750000</v>
      </c>
      <c r="F163" s="540"/>
      <c r="G163" s="540"/>
      <c r="H163" s="540"/>
      <c r="I163" s="540"/>
      <c r="J163" s="543">
        <f>+J165</f>
        <v>12264940</v>
      </c>
      <c r="K163" s="609">
        <f>J163/E163</f>
        <v>0.33373986394557825</v>
      </c>
      <c r="L163" s="543">
        <f>+E163-J163</f>
        <v>24485060</v>
      </c>
      <c r="M163" s="543"/>
      <c r="N163" s="543">
        <f>+N165</f>
        <v>0</v>
      </c>
      <c r="O163" s="689"/>
      <c r="P163" s="575" t="str">
        <f>IF(ISERROR(VLOOKUP(B163,'Base de Datos'!$C$7:$N$315,8,0))=TRUE," ",(VLOOKUP(B163,'Base de Datos'!$C$7:$N$315,8,0)))</f>
        <v xml:space="preserve"> </v>
      </c>
      <c r="Q163" s="569"/>
      <c r="R163" s="575" t="str">
        <f>IF(ISERROR(VLOOKUP(B163,'Base de Datos'!$C$7:$N$315,9,0))=TRUE," ",(VLOOKUP(B163,'Base de Datos'!$C$7:$N$315,9,0)))</f>
        <v xml:space="preserve"> </v>
      </c>
      <c r="S163" s="575" t="str">
        <f>IF(ISERROR(VLOOKUP(B163,'Base de Datos'!$C$7:$N$315,10,0))=TRUE," ",(VLOOKUP(B163,'Base de Datos'!$C$7:$N$315,10,0)))</f>
        <v xml:space="preserve"> </v>
      </c>
      <c r="T163" s="569"/>
      <c r="U163" s="722"/>
      <c r="V163" s="634"/>
    </row>
    <row r="164" spans="2:22" ht="24.75" customHeight="1" outlineLevel="1" x14ac:dyDescent="0.25">
      <c r="B164" s="537" t="s">
        <v>1693</v>
      </c>
      <c r="C164" s="537" t="s">
        <v>912</v>
      </c>
      <c r="D164" s="537" t="s">
        <v>1822</v>
      </c>
      <c r="E164" s="545" t="s">
        <v>1846</v>
      </c>
      <c r="F164" s="534" t="s">
        <v>1853</v>
      </c>
      <c r="G164" s="534"/>
      <c r="H164" s="534"/>
      <c r="I164" s="534"/>
      <c r="J164" s="537" t="s">
        <v>1845</v>
      </c>
      <c r="K164" s="652"/>
      <c r="L164" s="537" t="s">
        <v>1939</v>
      </c>
      <c r="M164" s="537"/>
      <c r="N164" s="537" t="s">
        <v>1940</v>
      </c>
      <c r="O164" s="677"/>
      <c r="P164" s="568" t="s">
        <v>1847</v>
      </c>
      <c r="Q164" s="537" t="s">
        <v>1848</v>
      </c>
      <c r="R164" s="537" t="s">
        <v>1849</v>
      </c>
      <c r="S164" s="537" t="s">
        <v>375</v>
      </c>
      <c r="T164" s="537" t="s">
        <v>1850</v>
      </c>
      <c r="U164" s="722"/>
      <c r="V164" s="634"/>
    </row>
    <row r="165" spans="2:22" ht="15" customHeight="1" outlineLevel="1" x14ac:dyDescent="0.25">
      <c r="B165" s="537"/>
      <c r="C165" s="533"/>
      <c r="D165" s="878" t="s">
        <v>2264</v>
      </c>
      <c r="E165" s="534"/>
      <c r="F165" s="536"/>
      <c r="G165" s="536"/>
      <c r="H165" s="536"/>
      <c r="I165" s="536"/>
      <c r="J165" s="536">
        <v>12264940</v>
      </c>
      <c r="K165" s="536"/>
      <c r="L165" s="536">
        <f>3200000*4</f>
        <v>12800000</v>
      </c>
      <c r="M165" s="580"/>
      <c r="N165" s="580"/>
      <c r="O165" s="690"/>
      <c r="P165" s="613"/>
      <c r="Q165" s="614"/>
      <c r="R165" s="613"/>
      <c r="S165" s="613"/>
      <c r="T165" s="614"/>
      <c r="U165" s="722"/>
      <c r="V165" s="634"/>
    </row>
    <row r="166" spans="2:22" s="615" customFormat="1" ht="15" customHeight="1" outlineLevel="1" x14ac:dyDescent="0.25">
      <c r="B166" s="878"/>
      <c r="C166" s="878"/>
      <c r="D166" s="878"/>
      <c r="E166" s="580"/>
      <c r="F166" s="534"/>
      <c r="G166" s="534"/>
      <c r="H166" s="534"/>
      <c r="I166" s="534"/>
      <c r="J166" s="580"/>
      <c r="K166" s="612"/>
      <c r="L166" s="580"/>
      <c r="M166" s="580"/>
      <c r="N166" s="580"/>
      <c r="O166" s="690"/>
      <c r="P166" s="613"/>
      <c r="Q166" s="614"/>
      <c r="R166" s="613"/>
      <c r="S166" s="613"/>
      <c r="T166" s="614"/>
      <c r="U166" s="722"/>
      <c r="V166" s="634"/>
    </row>
    <row r="167" spans="2:22" ht="15" customHeight="1" x14ac:dyDescent="0.25">
      <c r="B167" s="1180" t="s">
        <v>1663</v>
      </c>
      <c r="C167" s="1180"/>
      <c r="D167" s="1180"/>
      <c r="E167" s="543">
        <v>58000000</v>
      </c>
      <c r="F167" s="540"/>
      <c r="G167" s="540"/>
      <c r="H167" s="540"/>
      <c r="I167" s="540"/>
      <c r="J167" s="543">
        <f>+J169</f>
        <v>5462970</v>
      </c>
      <c r="K167" s="609">
        <f>J167/E167</f>
        <v>9.4189137931034478E-2</v>
      </c>
      <c r="L167" s="543">
        <f>+E167-J167</f>
        <v>52537030</v>
      </c>
      <c r="M167" s="543"/>
      <c r="N167" s="543">
        <f>+N169</f>
        <v>0</v>
      </c>
      <c r="O167" s="689"/>
      <c r="P167" s="575" t="str">
        <f>IF(ISERROR(VLOOKUP(B167,'Base de Datos'!$C$7:$N$315,8,0))=TRUE," ",(VLOOKUP(B167,'Base de Datos'!$C$7:$N$315,8,0)))</f>
        <v xml:space="preserve"> </v>
      </c>
      <c r="Q167" s="569"/>
      <c r="R167" s="575" t="str">
        <f>IF(ISERROR(VLOOKUP(B167,'Base de Datos'!$C$7:$N$315,9,0))=TRUE," ",(VLOOKUP(B167,'Base de Datos'!$C$7:$N$315,9,0)))</f>
        <v xml:space="preserve"> </v>
      </c>
      <c r="S167" s="575" t="str">
        <f>IF(ISERROR(VLOOKUP(B167,'Base de Datos'!$C$7:$N$315,10,0))=TRUE," ",(VLOOKUP(B167,'Base de Datos'!$C$7:$N$315,10,0)))</f>
        <v xml:space="preserve"> </v>
      </c>
      <c r="T167" s="569"/>
      <c r="U167" s="722"/>
      <c r="V167" s="634"/>
    </row>
    <row r="168" spans="2:22" ht="23.25" customHeight="1" outlineLevel="1" x14ac:dyDescent="0.25">
      <c r="B168" s="537" t="s">
        <v>1693</v>
      </c>
      <c r="C168" s="537" t="s">
        <v>912</v>
      </c>
      <c r="D168" s="537" t="s">
        <v>1822</v>
      </c>
      <c r="E168" s="545" t="s">
        <v>1846</v>
      </c>
      <c r="F168" s="534" t="s">
        <v>1853</v>
      </c>
      <c r="G168" s="534"/>
      <c r="H168" s="534"/>
      <c r="I168" s="534"/>
      <c r="J168" s="537" t="s">
        <v>1845</v>
      </c>
      <c r="K168" s="652"/>
      <c r="L168" s="537" t="s">
        <v>1939</v>
      </c>
      <c r="M168" s="537"/>
      <c r="N168" s="537" t="s">
        <v>1940</v>
      </c>
      <c r="O168" s="677"/>
      <c r="P168" s="568" t="s">
        <v>1847</v>
      </c>
      <c r="Q168" s="537" t="s">
        <v>1848</v>
      </c>
      <c r="R168" s="537" t="s">
        <v>1849</v>
      </c>
      <c r="S168" s="537" t="s">
        <v>375</v>
      </c>
      <c r="T168" s="537" t="s">
        <v>1850</v>
      </c>
      <c r="U168" s="722"/>
      <c r="V168" s="634"/>
    </row>
    <row r="169" spans="2:22" ht="15" customHeight="1" outlineLevel="1" x14ac:dyDescent="0.25">
      <c r="B169" s="537"/>
      <c r="C169" s="533"/>
      <c r="D169" s="878" t="s">
        <v>2264</v>
      </c>
      <c r="E169" s="534"/>
      <c r="F169" s="536"/>
      <c r="G169" s="536"/>
      <c r="H169" s="536"/>
      <c r="I169" s="536"/>
      <c r="J169" s="536">
        <v>5462970</v>
      </c>
      <c r="K169" s="536"/>
      <c r="L169" s="536">
        <f>1200000*4</f>
        <v>4800000</v>
      </c>
      <c r="M169" s="580"/>
      <c r="N169" s="580"/>
      <c r="O169" s="690"/>
      <c r="P169" s="613"/>
      <c r="Q169" s="614"/>
      <c r="R169" s="613"/>
      <c r="S169" s="613"/>
      <c r="T169" s="614"/>
      <c r="U169" s="722"/>
      <c r="V169" s="634"/>
    </row>
    <row r="170" spans="2:22" s="615" customFormat="1" ht="15" customHeight="1" outlineLevel="1" x14ac:dyDescent="0.25">
      <c r="B170" s="878"/>
      <c r="C170" s="878"/>
      <c r="D170" s="878"/>
      <c r="E170" s="580"/>
      <c r="F170" s="534"/>
      <c r="G170" s="534"/>
      <c r="H170" s="534"/>
      <c r="I170" s="534"/>
      <c r="J170" s="580"/>
      <c r="K170" s="612"/>
      <c r="L170" s="580"/>
      <c r="M170" s="580"/>
      <c r="N170" s="580"/>
      <c r="O170" s="690"/>
      <c r="P170" s="613"/>
      <c r="Q170" s="614"/>
      <c r="R170" s="613"/>
      <c r="S170" s="613"/>
      <c r="T170" s="614"/>
      <c r="U170" s="722"/>
      <c r="V170" s="634"/>
    </row>
    <row r="171" spans="2:22" ht="15" customHeight="1" x14ac:dyDescent="0.25">
      <c r="B171" s="1180" t="s">
        <v>1664</v>
      </c>
      <c r="C171" s="1180"/>
      <c r="D171" s="1180"/>
      <c r="E171" s="543">
        <v>129000000</v>
      </c>
      <c r="F171" s="540"/>
      <c r="G171" s="540"/>
      <c r="H171" s="540"/>
      <c r="I171" s="540"/>
      <c r="J171" s="543">
        <f>+J173</f>
        <v>118657530</v>
      </c>
      <c r="K171" s="609">
        <f>J171/E171</f>
        <v>0.91982581395348839</v>
      </c>
      <c r="L171" s="543">
        <f>+L173</f>
        <v>10342470</v>
      </c>
      <c r="M171" s="543"/>
      <c r="N171" s="543">
        <f>+N173</f>
        <v>0</v>
      </c>
      <c r="O171" s="689"/>
      <c r="P171" s="575" t="str">
        <f>IF(ISERROR(VLOOKUP(B171,'Base de Datos'!$C$7:$N$315,8,0))=TRUE," ",(VLOOKUP(B171,'Base de Datos'!$C$7:$N$315,8,0)))</f>
        <v xml:space="preserve"> </v>
      </c>
      <c r="Q171" s="569"/>
      <c r="R171" s="575" t="str">
        <f>IF(ISERROR(VLOOKUP(B171,'Base de Datos'!$C$7:$N$315,9,0))=TRUE," ",(VLOOKUP(B171,'Base de Datos'!$C$7:$N$315,9,0)))</f>
        <v xml:space="preserve"> </v>
      </c>
      <c r="S171" s="575" t="str">
        <f>IF(ISERROR(VLOOKUP(B171,'Base de Datos'!$C$7:$N$315,10,0))=TRUE," ",(VLOOKUP(B171,'Base de Datos'!$C$7:$N$315,10,0)))</f>
        <v xml:space="preserve"> </v>
      </c>
      <c r="T171" s="569"/>
      <c r="U171" s="722"/>
      <c r="V171" s="634"/>
    </row>
    <row r="172" spans="2:22" s="615" customFormat="1" ht="21.75" customHeight="1" outlineLevel="1" x14ac:dyDescent="0.25">
      <c r="B172" s="537" t="s">
        <v>1693</v>
      </c>
      <c r="C172" s="537" t="s">
        <v>912</v>
      </c>
      <c r="D172" s="537" t="s">
        <v>1822</v>
      </c>
      <c r="E172" s="545" t="s">
        <v>1846</v>
      </c>
      <c r="F172" s="534" t="s">
        <v>1853</v>
      </c>
      <c r="G172" s="534"/>
      <c r="H172" s="534"/>
      <c r="I172" s="534"/>
      <c r="J172" s="537" t="s">
        <v>1845</v>
      </c>
      <c r="K172" s="652"/>
      <c r="L172" s="537" t="s">
        <v>1939</v>
      </c>
      <c r="M172" s="537"/>
      <c r="N172" s="537" t="s">
        <v>1940</v>
      </c>
      <c r="O172" s="677"/>
      <c r="P172" s="568" t="s">
        <v>1847</v>
      </c>
      <c r="Q172" s="537" t="s">
        <v>1848</v>
      </c>
      <c r="R172" s="537" t="s">
        <v>1849</v>
      </c>
      <c r="S172" s="537" t="s">
        <v>375</v>
      </c>
      <c r="T172" s="537" t="s">
        <v>1850</v>
      </c>
      <c r="U172" s="722"/>
      <c r="V172" s="634"/>
    </row>
    <row r="173" spans="2:22" s="615" customFormat="1" ht="15" customHeight="1" outlineLevel="1" x14ac:dyDescent="0.25">
      <c r="B173" s="627"/>
      <c r="C173" s="614"/>
      <c r="D173" s="878" t="s">
        <v>2264</v>
      </c>
      <c r="E173" s="534"/>
      <c r="F173" s="580"/>
      <c r="G173" s="580"/>
      <c r="H173" s="580"/>
      <c r="I173" s="580"/>
      <c r="J173" s="580">
        <v>118657530</v>
      </c>
      <c r="K173" s="580"/>
      <c r="L173" s="580">
        <f>+E171-J173</f>
        <v>10342470</v>
      </c>
      <c r="M173" s="580"/>
      <c r="N173" s="580"/>
      <c r="O173" s="690"/>
      <c r="P173" s="613"/>
      <c r="Q173" s="614"/>
      <c r="R173" s="613"/>
      <c r="S173" s="613"/>
      <c r="T173" s="614"/>
      <c r="U173" s="722"/>
      <c r="V173" s="634"/>
    </row>
    <row r="174" spans="2:22" s="615" customFormat="1" ht="15" customHeight="1" outlineLevel="1" x14ac:dyDescent="0.25">
      <c r="B174" s="878"/>
      <c r="C174" s="878"/>
      <c r="D174" s="878"/>
      <c r="E174" s="580"/>
      <c r="F174" s="534"/>
      <c r="G174" s="534"/>
      <c r="H174" s="534"/>
      <c r="I174" s="534"/>
      <c r="J174" s="580"/>
      <c r="K174" s="612"/>
      <c r="L174" s="580"/>
      <c r="M174" s="580"/>
      <c r="N174" s="580"/>
      <c r="O174" s="690"/>
      <c r="P174" s="613"/>
      <c r="Q174" s="614"/>
      <c r="R174" s="613"/>
      <c r="S174" s="613"/>
      <c r="T174" s="614"/>
      <c r="U174" s="722"/>
      <c r="V174" s="634"/>
    </row>
    <row r="175" spans="2:22" ht="15" customHeight="1" x14ac:dyDescent="0.25">
      <c r="B175" s="1182" t="s">
        <v>1665</v>
      </c>
      <c r="C175" s="1182"/>
      <c r="D175" s="1182"/>
      <c r="E175" s="539">
        <v>478000000</v>
      </c>
      <c r="F175" s="540"/>
      <c r="G175" s="540"/>
      <c r="H175" s="540"/>
      <c r="I175" s="540"/>
      <c r="J175" s="543">
        <f>+J176</f>
        <v>405331000</v>
      </c>
      <c r="K175" s="610"/>
      <c r="L175" s="543">
        <f>+L176</f>
        <v>0</v>
      </c>
      <c r="M175" s="543"/>
      <c r="N175" s="543">
        <f>+N176</f>
        <v>72669000</v>
      </c>
      <c r="O175" s="689"/>
      <c r="P175" s="575" t="str">
        <f>IF(ISERROR(VLOOKUP(B175,'Base de Datos'!$C$7:$N$315,8,0))=TRUE," ",(VLOOKUP(B175,'Base de Datos'!$C$7:$N$315,8,0)))</f>
        <v xml:space="preserve"> </v>
      </c>
      <c r="Q175" s="569"/>
      <c r="R175" s="575" t="str">
        <f>IF(ISERROR(VLOOKUP(B175,'Base de Datos'!$C$7:$N$315,9,0))=TRUE," ",(VLOOKUP(B175,'Base de Datos'!$C$7:$N$315,9,0)))</f>
        <v xml:space="preserve"> </v>
      </c>
      <c r="S175" s="575" t="str">
        <f>IF(ISERROR(VLOOKUP(B175,'Base de Datos'!$C$7:$N$315,10,0))=TRUE," ",(VLOOKUP(B175,'Base de Datos'!$C$7:$N$315,10,0)))</f>
        <v xml:space="preserve"> </v>
      </c>
      <c r="T175" s="569"/>
      <c r="U175" s="722"/>
      <c r="V175" s="634"/>
    </row>
    <row r="176" spans="2:22" ht="15" customHeight="1" x14ac:dyDescent="0.25">
      <c r="B176" s="1181" t="s">
        <v>1666</v>
      </c>
      <c r="C176" s="1181"/>
      <c r="D176" s="1181"/>
      <c r="E176" s="581">
        <v>478000000</v>
      </c>
      <c r="F176" s="586">
        <f>COUNTIF('Actualizada - presupuesto'!$E$7:$E$111,B176)</f>
        <v>1</v>
      </c>
      <c r="G176" s="586"/>
      <c r="H176" s="586"/>
      <c r="I176" s="586"/>
      <c r="J176" s="581">
        <f>SUM(J178)</f>
        <v>405331000</v>
      </c>
      <c r="K176" s="603">
        <f>J176/E176</f>
        <v>0.84797280334728031</v>
      </c>
      <c r="L176" s="581">
        <f>SUM(L178)</f>
        <v>0</v>
      </c>
      <c r="M176" s="581"/>
      <c r="N176" s="581">
        <f>+E176-J176-L176</f>
        <v>72669000</v>
      </c>
      <c r="O176" s="684"/>
      <c r="P176" s="591" t="str">
        <f>IF(ISERROR(VLOOKUP(B176,'Base de Datos'!$C$7:$N$315,8,0))=TRUE," ",(VLOOKUP(B176,'Base de Datos'!$C$7:$N$315,8,0)))</f>
        <v xml:space="preserve"> </v>
      </c>
      <c r="Q176" s="592"/>
      <c r="R176" s="591" t="str">
        <f>IF(ISERROR(VLOOKUP(B176,'Base de Datos'!$C$7:$N$315,9,0))=TRUE," ",(VLOOKUP(B176,'Base de Datos'!$C$7:$N$315,9,0)))</f>
        <v xml:space="preserve"> </v>
      </c>
      <c r="S176" s="591" t="str">
        <f>IF(ISERROR(VLOOKUP(B176,'Base de Datos'!$C$7:$N$315,10,0))=TRUE," ",(VLOOKUP(B176,'Base de Datos'!$C$7:$N$315,10,0)))</f>
        <v xml:space="preserve"> </v>
      </c>
      <c r="T176" s="592"/>
      <c r="U176" s="722"/>
      <c r="V176" s="634"/>
    </row>
    <row r="177" spans="2:22" ht="24" outlineLevel="1" x14ac:dyDescent="0.25">
      <c r="B177" s="537" t="s">
        <v>1693</v>
      </c>
      <c r="C177" s="537" t="s">
        <v>912</v>
      </c>
      <c r="D177" s="537" t="s">
        <v>1822</v>
      </c>
      <c r="E177" s="545" t="s">
        <v>1846</v>
      </c>
      <c r="F177" s="534" t="s">
        <v>1853</v>
      </c>
      <c r="G177" s="534"/>
      <c r="H177" s="534"/>
      <c r="I177" s="534"/>
      <c r="J177" s="537" t="s">
        <v>1845</v>
      </c>
      <c r="K177" s="652"/>
      <c r="L177" s="537" t="s">
        <v>1939</v>
      </c>
      <c r="M177" s="537"/>
      <c r="N177" s="537" t="s">
        <v>1940</v>
      </c>
      <c r="O177" s="677"/>
      <c r="P177" s="568" t="s">
        <v>1847</v>
      </c>
      <c r="Q177" s="537" t="s">
        <v>1848</v>
      </c>
      <c r="R177" s="537" t="s">
        <v>1849</v>
      </c>
      <c r="S177" s="537" t="s">
        <v>375</v>
      </c>
      <c r="T177" s="537" t="s">
        <v>1850</v>
      </c>
      <c r="U177" s="722"/>
      <c r="V177" s="634"/>
    </row>
    <row r="178" spans="2:22" s="615" customFormat="1" ht="24" customHeight="1" outlineLevel="1" x14ac:dyDescent="0.25">
      <c r="B178" s="706">
        <v>202</v>
      </c>
      <c r="C178" s="533" t="str">
        <f>IF(ISERROR(VLOOKUP(B178,'Base de Datos'!$C$487:$F$4092,2,0))=TRUE,"",(VLOOKUP('Presupuesto - PAA 2017'!B178,'Base de Datos'!$C$7:$F$4092,3,0)))</f>
        <v>170331-0-2017</v>
      </c>
      <c r="D178" s="533" t="str">
        <f>IF(ISERROR(VLOOKUP(B178,'Base de Datos'!$C$487:$F$4092,3,0))=TRUE,"",(VLOOKUP('Presupuesto - PAA 2017'!B178,'Base de Datos'!$C$487:$F$4092,4,0)))</f>
        <v>POLITECNICO GRANCOLOMBIANO</v>
      </c>
      <c r="E178" s="536">
        <f>VLOOKUP(B178,[7]PAA2017!$C$65:$AA$255,20,0)</f>
        <v>852000000</v>
      </c>
      <c r="F178" s="534" t="e">
        <f>VLOOKUP(B178,[8]SOLICITUDES!$B$3:$H$278,2,0)</f>
        <v>#N/A</v>
      </c>
      <c r="G178" s="534"/>
      <c r="H178" s="534"/>
      <c r="I178" s="534"/>
      <c r="J178" s="536">
        <f>IF(ISERROR(VLOOKUP(B178,'Base de Datos'!$C$487:$N$4092,6,0))=TRUE,"Sin Celebrar",(VLOOKUP(B178,'Base de Datos'!$C$487:$N$4092,7,0)))</f>
        <v>405331000</v>
      </c>
      <c r="K178" s="600"/>
      <c r="L178" s="580" t="str">
        <f>IF(J178=$AA$1,E178, " ")</f>
        <v xml:space="preserve"> </v>
      </c>
      <c r="M178" s="536"/>
      <c r="N178" s="536">
        <f>IF(J178&lt;E178,(E178-J178)," ")</f>
        <v>446669000</v>
      </c>
      <c r="O178" s="719" t="str">
        <f>IF(ISERROR(VLOOKUP(B178,'Base de Datos'!$C$487:$K$1048576,7,0))=TRUE," ",(VLOOKUP(B178,'Base de Datos'!$C$487:$K$1048576,8,0)))</f>
        <v>SDH-SAMC-11-2017</v>
      </c>
      <c r="P178" s="551">
        <f>IF(ISERROR(VLOOKUP(B178,'Base de Datos'!$C$487:$N$4077,9,0))=TRUE," ",(VLOOKUP(B178,'Base de Datos'!$C$487:$N$4077,10,0)))</f>
        <v>43063</v>
      </c>
      <c r="Q178" s="737"/>
      <c r="R178" s="551">
        <f>IF(ISERROR(VLOOKUP(B178,'Base de Datos'!$C$487:$N$4077,10,0))=TRUE," ",(VLOOKUP(B178,'Base de Datos'!$C$487:$N$4077,11,0)))</f>
        <v>43070</v>
      </c>
      <c r="S178" s="551">
        <f>IF(ISERROR(VLOOKUP(B178,'Base de Datos'!$C$487:$N$4077,11,0))=TRUE," ",(VLOOKUP(B178,'Base de Datos'!$C$487:$N$4077,12,0)))</f>
        <v>43312</v>
      </c>
      <c r="T178" s="533" t="str">
        <f>VLOOKUP(B178,'Base de Datos'!$C$487:$AR$4129,41,0)</f>
        <v>SI</v>
      </c>
      <c r="U178" s="722"/>
      <c r="V178" s="634"/>
    </row>
    <row r="179" spans="2:22" outlineLevel="1" x14ac:dyDescent="0.25">
      <c r="B179" s="648"/>
      <c r="C179" s="648"/>
      <c r="D179" s="648"/>
      <c r="E179" s="536"/>
      <c r="F179" s="534"/>
      <c r="G179" s="534"/>
      <c r="H179" s="534"/>
      <c r="I179" s="534"/>
      <c r="J179" s="536"/>
      <c r="K179" s="600"/>
      <c r="L179" s="536"/>
      <c r="M179" s="536"/>
      <c r="N179" s="536"/>
      <c r="O179" s="678"/>
      <c r="P179" s="551"/>
      <c r="Q179" s="533"/>
      <c r="R179" s="551"/>
      <c r="S179" s="551"/>
      <c r="T179" s="533"/>
      <c r="U179" s="722"/>
      <c r="V179" s="634"/>
    </row>
    <row r="180" spans="2:22" ht="15" customHeight="1" x14ac:dyDescent="0.25">
      <c r="B180" s="1195" t="s">
        <v>1667</v>
      </c>
      <c r="C180" s="1195"/>
      <c r="D180" s="1195"/>
      <c r="E180" s="587">
        <v>834000000</v>
      </c>
      <c r="F180" s="588">
        <f>COUNTIF('Actualizada - presupuesto'!$E$7:$E$111,B180)</f>
        <v>3</v>
      </c>
      <c r="G180" s="588"/>
      <c r="H180" s="588"/>
      <c r="I180" s="588"/>
      <c r="J180" s="587">
        <f>SUM(J182:J186)</f>
        <v>890792320</v>
      </c>
      <c r="K180" s="607">
        <f>J180/E180</f>
        <v>1.0680963069544365</v>
      </c>
      <c r="L180" s="587" t="e">
        <f>SUM(L182:L186)</f>
        <v>#N/A</v>
      </c>
      <c r="M180" s="587"/>
      <c r="N180" s="587" t="e">
        <f>+E180-J180-L180</f>
        <v>#N/A</v>
      </c>
      <c r="O180" s="682"/>
      <c r="P180" s="589" t="str">
        <f>IF(ISERROR(VLOOKUP(B180,'Base de Datos'!$C$7:$N$315,8,0))=TRUE," ",(VLOOKUP(B180,'Base de Datos'!$C$7:$N$315,8,0)))</f>
        <v xml:space="preserve"> </v>
      </c>
      <c r="Q180" s="590"/>
      <c r="R180" s="589" t="str">
        <f>IF(ISERROR(VLOOKUP(B180,'Base de Datos'!$C$7:$N$315,9,0))=TRUE," ",(VLOOKUP(B180,'Base de Datos'!$C$7:$N$315,9,0)))</f>
        <v xml:space="preserve"> </v>
      </c>
      <c r="S180" s="589" t="str">
        <f>IF(ISERROR(VLOOKUP(B180,'Base de Datos'!$C$7:$N$315,10,0))=TRUE," ",(VLOOKUP(B180,'Base de Datos'!$C$7:$N$315,10,0)))</f>
        <v xml:space="preserve"> </v>
      </c>
      <c r="T180" s="592"/>
      <c r="U180" s="722"/>
      <c r="V180" s="634"/>
    </row>
    <row r="181" spans="2:22" ht="24" outlineLevel="1" x14ac:dyDescent="0.25">
      <c r="B181" s="537" t="s">
        <v>1693</v>
      </c>
      <c r="C181" s="537" t="s">
        <v>912</v>
      </c>
      <c r="D181" s="537" t="s">
        <v>1822</v>
      </c>
      <c r="E181" s="545" t="s">
        <v>1846</v>
      </c>
      <c r="F181" s="534" t="s">
        <v>1853</v>
      </c>
      <c r="G181" s="534"/>
      <c r="H181" s="534"/>
      <c r="I181" s="534"/>
      <c r="J181" s="537" t="s">
        <v>1845</v>
      </c>
      <c r="K181" s="652"/>
      <c r="L181" s="537" t="s">
        <v>1939</v>
      </c>
      <c r="M181" s="537"/>
      <c r="N181" s="537" t="s">
        <v>1940</v>
      </c>
      <c r="O181" s="677"/>
      <c r="P181" s="568" t="s">
        <v>1847</v>
      </c>
      <c r="Q181" s="537" t="s">
        <v>1848</v>
      </c>
      <c r="R181" s="537" t="s">
        <v>1849</v>
      </c>
      <c r="S181" s="537" t="s">
        <v>375</v>
      </c>
      <c r="T181" s="537" t="s">
        <v>1850</v>
      </c>
      <c r="U181" s="722"/>
      <c r="V181" s="634"/>
    </row>
    <row r="182" spans="2:22" ht="12.75" customHeight="1" outlineLevel="1" x14ac:dyDescent="0.25">
      <c r="B182" s="537">
        <v>206</v>
      </c>
      <c r="C182" s="533" t="str">
        <f>IF(ISERROR(VLOOKUP(B182,'Base de Datos'!$C$487:$F$4092,2,0))=TRUE,"",(VLOOKUP('Presupuesto - PAA 2017'!B182,'Base de Datos'!$C$7:$F$4092,3,0)))</f>
        <v>170231-0-2017</v>
      </c>
      <c r="D182" s="533" t="str">
        <f>IF(ISERROR(VLOOKUP(B182,'Base de Datos'!$C$487:$F$4092,3,0))=TRUE,"",(VLOOKUP('Presupuesto - PAA 2017'!B182,'Base de Datos'!$C$487:$F$4092,4,0)))</f>
        <v>ROYAL PARK LTDA</v>
      </c>
      <c r="E182" s="536">
        <f>VLOOKUP(B182,[7]PAA2017!$C$65:$AA$255,20,0)</f>
        <v>2196143000</v>
      </c>
      <c r="F182" s="534" t="str">
        <f>VLOOKUP(B182,[8]SOLICITUDES!$B$3:$H$278,2,0)</f>
        <v>SI</v>
      </c>
      <c r="G182" s="534"/>
      <c r="H182" s="534"/>
      <c r="I182" s="534"/>
      <c r="J182" s="536">
        <f>IF(ISERROR(VLOOKUP(B182,'Base de Datos'!$C$487:$N$4092,6,0))=TRUE,"Sin Celebrar",(VLOOKUP(B182,'Base de Datos'!$C$487:$N$4092,7,0)))</f>
        <v>855382000</v>
      </c>
      <c r="K182" s="600"/>
      <c r="L182" s="580" t="str">
        <f>IF(J182=$AA$1,E182, " ")</f>
        <v xml:space="preserve"> </v>
      </c>
      <c r="M182" s="536"/>
      <c r="N182" s="536">
        <f>IF(J182&lt;E182,(E182-J182)," ")</f>
        <v>1340761000</v>
      </c>
      <c r="O182" s="719" t="str">
        <f>IF(ISERROR(VLOOKUP(B182,'Base de Datos'!$C$487:$K$1048576,7,0))=TRUE," ",(VLOOKUP(B182,'Base de Datos'!$C$487:$K$1048576,8,0)))</f>
        <v>SDH-LP-03-2017</v>
      </c>
      <c r="P182" s="551">
        <f>IF(ISERROR(VLOOKUP(B182,'Base de Datos'!$C$487:$N$4077,9,0))=TRUE," ",(VLOOKUP(B182,'Base de Datos'!$C$487:$N$4077,10,0)))</f>
        <v>42984</v>
      </c>
      <c r="Q182" s="737"/>
      <c r="R182" s="551">
        <f>IF(ISERROR(VLOOKUP(B182,'Base de Datos'!$C$487:$N$4077,10,0))=TRUE," ",(VLOOKUP(B182,'Base de Datos'!$C$487:$N$4077,11,0)))</f>
        <v>42999</v>
      </c>
      <c r="S182" s="551">
        <f>IF(ISERROR(VLOOKUP(B182,'Base de Datos'!$C$487:$N$4077,11,0))=TRUE," ",(VLOOKUP(B182,'Base de Datos'!$C$487:$N$4077,12,0)))</f>
        <v>43241</v>
      </c>
      <c r="T182" s="533" t="str">
        <f>VLOOKUP(B182,'Base de Datos'!$C$487:$AR$4129,41,0)</f>
        <v>SI</v>
      </c>
      <c r="U182" s="722"/>
      <c r="V182" s="634"/>
    </row>
    <row r="183" spans="2:22" ht="24" outlineLevel="1" x14ac:dyDescent="0.25">
      <c r="B183" s="537">
        <v>207</v>
      </c>
      <c r="C183" s="533" t="str">
        <f>IF(ISERROR(VLOOKUP(B183,'Base de Datos'!$C$487:$F$4092,2,0))=TRUE,"",(VLOOKUP('Presupuesto - PAA 2017'!B183,'Base de Datos'!$C$7:$F$4092,3,0)))</f>
        <v>160307-0-2016</v>
      </c>
      <c r="D183" s="533" t="str">
        <f>IF(ISERROR(VLOOKUP(B183,'Base de Datos'!$C$487:$F$4092,3,0))=TRUE,"",(VLOOKUP('Presupuesto - PAA 2017'!B183,'Base de Datos'!$C$487:$F$4092,4,0)))</f>
        <v>ALMACNES ÉXITO SA</v>
      </c>
      <c r="E183" s="536">
        <f>VLOOKUP(B183,[7]PAA2017!$C$65:$AA$255,20,0)</f>
        <v>108848000</v>
      </c>
      <c r="F183" s="534" t="e">
        <f>VLOOKUP(B183,[8]SOLICITUDES!$B$3:$H$278,2,0)</f>
        <v>#N/A</v>
      </c>
      <c r="G183" s="534"/>
      <c r="H183" s="534"/>
      <c r="I183" s="534"/>
      <c r="J183" s="536">
        <f>IF(ISERROR(VLOOKUP(B183,'Base de Datos'!$C$487:$N$4092,6,0))=TRUE,"Sin Celebrar",(VLOOKUP(B183,'Base de Datos'!$C$487:$N$4092,7,0)))</f>
        <v>35410320</v>
      </c>
      <c r="K183" s="600"/>
      <c r="L183" s="580" t="str">
        <f>IF(J183=$AA$1,E183, " ")</f>
        <v xml:space="preserve"> </v>
      </c>
      <c r="M183" s="536"/>
      <c r="N183" s="536">
        <f>IF(J183&lt;E183,(E183-J183)," ")</f>
        <v>73437680</v>
      </c>
      <c r="O183" s="719" t="str">
        <f>IF(ISERROR(VLOOKUP(B183,'Base de Datos'!$C$487:$K$1048576,7,0))=TRUE," ",(VLOOKUP(B183,'Base de Datos'!$C$487:$K$1048576,8,0)))</f>
        <v>SDH-SAMC-10-2017</v>
      </c>
      <c r="P183" s="551">
        <f>IF(ISERROR(VLOOKUP(B183,'Base de Datos'!$C$487:$N$4077,9,0))=TRUE," ",(VLOOKUP(B183,'Base de Datos'!$C$487:$N$4077,10,0)))</f>
        <v>43076</v>
      </c>
      <c r="Q183" s="737"/>
      <c r="R183" s="551">
        <f>IF(ISERROR(VLOOKUP(B183,'Base de Datos'!$C$487:$N$4077,10,0))=TRUE," ",(VLOOKUP(B183,'Base de Datos'!$C$487:$N$4077,11,0)))</f>
        <v>43091</v>
      </c>
      <c r="S183" s="551">
        <f>IF(ISERROR(VLOOKUP(B183,'Base de Datos'!$C$487:$N$4077,11,0))=TRUE," ",(VLOOKUP(B183,'Base de Datos'!$C$487:$N$4077,12,0)))</f>
        <v>43211</v>
      </c>
      <c r="T183" s="533" t="str">
        <f>VLOOKUP(B183,'Base de Datos'!$C$487:$AR$4129,41,0)</f>
        <v>SI</v>
      </c>
      <c r="U183" s="722"/>
      <c r="V183" s="634"/>
    </row>
    <row r="184" spans="2:22" outlineLevel="1" x14ac:dyDescent="0.25">
      <c r="B184" s="552"/>
      <c r="C184" s="533" t="str">
        <f>IF(ISERROR(VLOOKUP(B184,'Base de Datos'!$C$487:$F$4092,2,0))=TRUE,"",(VLOOKUP('Presupuesto - PAA 2017'!B184,'Base de Datos'!$C$7:$F$4092,3,0)))</f>
        <v/>
      </c>
      <c r="D184" s="533" t="str">
        <f>IF(ISERROR(VLOOKUP(B184,'Base de Datos'!$C$487:$F$4092,3,0))=TRUE,"",(VLOOKUP('Presupuesto - PAA 2017'!B184,'Base de Datos'!$C$487:$F$4092,4,0)))</f>
        <v/>
      </c>
      <c r="E184" s="536" t="e">
        <f>VLOOKUP(B184,[7]PAA2017!$C$65:$AA$255,20,0)</f>
        <v>#N/A</v>
      </c>
      <c r="F184" s="534" t="e">
        <f>VLOOKUP(B184,[8]SOLICITUDES!$B$3:$H$278,2,0)</f>
        <v>#N/A</v>
      </c>
      <c r="G184" s="534"/>
      <c r="H184" s="534"/>
      <c r="I184" s="534"/>
      <c r="J184" s="536" t="str">
        <f>IF(ISERROR(VLOOKUP(B184,'Base de Datos'!$C$487:$N$4092,6,0))=TRUE,"Sin Celebrar",(VLOOKUP(B184,'Base de Datos'!$C$487:$N$4092,7,0)))</f>
        <v>Sin Celebrar</v>
      </c>
      <c r="K184" s="600"/>
      <c r="L184" s="580" t="e">
        <f>IF(J184=$AA$1,E184, " ")</f>
        <v>#N/A</v>
      </c>
      <c r="M184" s="536"/>
      <c r="N184" s="536" t="e">
        <f>IF(J184&lt;E184,(E184-J184)," ")</f>
        <v>#N/A</v>
      </c>
      <c r="O184" s="719" t="str">
        <f>IF(ISERROR(VLOOKUP(B184,'Base de Datos'!$C$487:$K$1048576,7,0))=TRUE," ",(VLOOKUP(B184,'Base de Datos'!$C$487:$K$1048576,8,0)))</f>
        <v xml:space="preserve"> </v>
      </c>
      <c r="P184" s="551" t="str">
        <f>IF(ISERROR(VLOOKUP(B184,'Base de Datos'!$C$487:$N$4077,9,0))=TRUE," ",(VLOOKUP(B184,'Base de Datos'!$C$487:$N$4077,10,0)))</f>
        <v xml:space="preserve"> </v>
      </c>
      <c r="Q184" s="737"/>
      <c r="R184" s="551" t="str">
        <f>IF(ISERROR(VLOOKUP(B184,'Base de Datos'!$C$487:$N$4077,10,0))=TRUE," ",(VLOOKUP(B184,'Base de Datos'!$C$487:$N$4077,11,0)))</f>
        <v xml:space="preserve"> </v>
      </c>
      <c r="S184" s="551" t="str">
        <f>IF(ISERROR(VLOOKUP(B184,'Base de Datos'!$C$487:$N$4077,11,0))=TRUE," ",(VLOOKUP(B184,'Base de Datos'!$C$487:$N$4077,12,0)))</f>
        <v xml:space="preserve"> </v>
      </c>
      <c r="T184" s="533" t="e">
        <f>VLOOKUP(B184,'Base de Datos'!$C$487:$AR$4129,41,0)</f>
        <v>#N/A</v>
      </c>
      <c r="U184" s="722"/>
      <c r="V184" s="634"/>
    </row>
    <row r="185" spans="2:22" outlineLevel="1" x14ac:dyDescent="0.25">
      <c r="B185" s="552"/>
      <c r="C185" s="533" t="str">
        <f>IF(ISERROR(VLOOKUP(B185,'Base de Datos'!$C$487:$F$4092,2,0))=TRUE,"",(VLOOKUP('Presupuesto - PAA 2017'!B185,'Base de Datos'!$C$7:$F$4092,3,0)))</f>
        <v/>
      </c>
      <c r="D185" s="533" t="str">
        <f>IF(ISERROR(VLOOKUP(B185,'Base de Datos'!$C$487:$F$4092,3,0))=TRUE,"",(VLOOKUP('Presupuesto - PAA 2017'!B185,'Base de Datos'!$C$487:$F$4092,4,0)))</f>
        <v/>
      </c>
      <c r="E185" s="536" t="e">
        <f>VLOOKUP(B185,[7]PAA2017!$C$65:$AA$255,20,0)</f>
        <v>#N/A</v>
      </c>
      <c r="F185" s="534" t="e">
        <f>VLOOKUP(B185,[8]SOLICITUDES!$B$3:$H$278,2,0)</f>
        <v>#N/A</v>
      </c>
      <c r="G185" s="534"/>
      <c r="H185" s="534"/>
      <c r="I185" s="534"/>
      <c r="J185" s="536" t="str">
        <f>IF(ISERROR(VLOOKUP(B185,'Base de Datos'!$C$487:$N$4092,6,0))=TRUE,"Sin Celebrar",(VLOOKUP(B185,'Base de Datos'!$C$487:$N$4092,7,0)))</f>
        <v>Sin Celebrar</v>
      </c>
      <c r="K185" s="600"/>
      <c r="L185" s="580" t="e">
        <f>IF(J185=$AA$1,E185, " ")</f>
        <v>#N/A</v>
      </c>
      <c r="M185" s="536"/>
      <c r="N185" s="536" t="e">
        <f>IF(J185&lt;E185,(E185-J185)," ")</f>
        <v>#N/A</v>
      </c>
      <c r="O185" s="719" t="str">
        <f>IF(ISERROR(VLOOKUP(B185,'Base de Datos'!$C$487:$K$1048576,7,0))=TRUE," ",(VLOOKUP(B185,'Base de Datos'!$C$487:$K$1048576,8,0)))</f>
        <v xml:space="preserve"> </v>
      </c>
      <c r="P185" s="551" t="str">
        <f>IF(ISERROR(VLOOKUP(B185,'Base de Datos'!$C$487:$N$4077,9,0))=TRUE," ",(VLOOKUP(B185,'Base de Datos'!$C$487:$N$4077,10,0)))</f>
        <v xml:space="preserve"> </v>
      </c>
      <c r="Q185" s="737"/>
      <c r="R185" s="551" t="str">
        <f>IF(ISERROR(VLOOKUP(B185,'Base de Datos'!$C$487:$N$4077,10,0))=TRUE," ",(VLOOKUP(B185,'Base de Datos'!$C$487:$N$4077,11,0)))</f>
        <v xml:space="preserve"> </v>
      </c>
      <c r="S185" s="551" t="str">
        <f>IF(ISERROR(VLOOKUP(B185,'Base de Datos'!$C$487:$N$4077,11,0))=TRUE," ",(VLOOKUP(B185,'Base de Datos'!$C$487:$N$4077,12,0)))</f>
        <v xml:space="preserve"> </v>
      </c>
      <c r="T185" s="533" t="e">
        <f>VLOOKUP(B185,'Base de Datos'!$C$487:$AR$4129,41,0)</f>
        <v>#N/A</v>
      </c>
      <c r="U185" s="722"/>
      <c r="V185" s="634"/>
    </row>
    <row r="186" spans="2:22" outlineLevel="1" x14ac:dyDescent="0.25">
      <c r="B186" s="533"/>
      <c r="C186" s="533"/>
      <c r="D186" s="533" t="s">
        <v>1935</v>
      </c>
      <c r="E186" s="536">
        <f>E180-SUM(E182:E183)</f>
        <v>-1470991000</v>
      </c>
      <c r="F186" s="534"/>
      <c r="G186" s="534"/>
      <c r="H186" s="534"/>
      <c r="I186" s="534"/>
      <c r="J186" s="536"/>
      <c r="K186" s="600"/>
      <c r="L186" s="554"/>
      <c r="M186" s="554"/>
      <c r="N186" s="536" t="str">
        <f>IF(J186&lt;E186,(E186-J186)," ")</f>
        <v xml:space="preserve"> </v>
      </c>
      <c r="O186" s="679"/>
      <c r="P186" s="551" t="str">
        <f>IF(ISERROR(VLOOKUP(B186,'Base de Datos'!$C$7:$N$315,9,0))=TRUE," ",(VLOOKUP(B186,'Base de Datos'!$C$7:$N$315,9,0)))</f>
        <v xml:space="preserve"> </v>
      </c>
      <c r="Q186" s="533"/>
      <c r="R186" s="710" t="str">
        <f>IF(ISERROR(VLOOKUP(B186,'Base de Datos'!$C$7:$N$4077,10,0))=TRUE," ",(VLOOKUP(B186,'Base de Datos'!$C$7:$N$4077,10,0)))</f>
        <v xml:space="preserve"> </v>
      </c>
      <c r="S186" s="710" t="str">
        <f>IF(ISERROR(VLOOKUP(B186,'Base de Datos'!$C$7:$N$4077,11,0))=TRUE," ",(VLOOKUP(B186,'Base de Datos'!$C$7:$N$4077,11,0)))</f>
        <v xml:space="preserve"> </v>
      </c>
      <c r="T186" s="533"/>
      <c r="U186" s="722"/>
      <c r="V186" s="634"/>
    </row>
    <row r="187" spans="2:22" outlineLevel="1" x14ac:dyDescent="0.25">
      <c r="B187" s="533"/>
      <c r="C187" s="533"/>
      <c r="D187" s="533"/>
      <c r="E187" s="536"/>
      <c r="F187" s="534"/>
      <c r="G187" s="534"/>
      <c r="H187" s="534"/>
      <c r="I187" s="534"/>
      <c r="J187" s="536"/>
      <c r="K187" s="600"/>
      <c r="L187" s="536"/>
      <c r="M187" s="536"/>
      <c r="N187" s="536"/>
      <c r="O187" s="678"/>
      <c r="P187" s="551"/>
      <c r="Q187" s="533"/>
      <c r="R187" s="551"/>
      <c r="S187" s="551"/>
      <c r="T187" s="533"/>
      <c r="U187" s="722"/>
      <c r="V187" s="634"/>
    </row>
    <row r="188" spans="2:22" ht="15" customHeight="1" x14ac:dyDescent="0.25">
      <c r="B188" s="1199" t="s">
        <v>1668</v>
      </c>
      <c r="C188" s="1199"/>
      <c r="D188" s="1199"/>
      <c r="E188" s="587">
        <v>351721000</v>
      </c>
      <c r="F188" s="588">
        <f>COUNTIF('Actualizada - presupuesto'!$E$7:$E$111,B188)</f>
        <v>4</v>
      </c>
      <c r="G188" s="588"/>
      <c r="H188" s="588"/>
      <c r="I188" s="588"/>
      <c r="J188" s="587">
        <f>SUM(J190:J194)</f>
        <v>169703000</v>
      </c>
      <c r="K188" s="607">
        <f>J188/E188</f>
        <v>0.48249322616505697</v>
      </c>
      <c r="L188" s="587" t="e">
        <f>SUM(L190:L194)</f>
        <v>#N/A</v>
      </c>
      <c r="M188" s="587"/>
      <c r="N188" s="587" t="e">
        <f>+E188-J188-L188</f>
        <v>#N/A</v>
      </c>
      <c r="O188" s="682"/>
      <c r="P188" s="589" t="str">
        <f>IF(ISERROR(VLOOKUP(B188,'Base de Datos'!$C$7:$N$315,8,0))=TRUE," ",(VLOOKUP(B188,'Base de Datos'!$C$7:$N$315,8,0)))</f>
        <v xml:space="preserve"> </v>
      </c>
      <c r="Q188" s="590"/>
      <c r="R188" s="589" t="str">
        <f>IF(ISERROR(VLOOKUP(B188,'Base de Datos'!$C$7:$N$315,9,0))=TRUE," ",(VLOOKUP(B188,'Base de Datos'!$C$7:$N$315,9,0)))</f>
        <v xml:space="preserve"> </v>
      </c>
      <c r="S188" s="589" t="str">
        <f>IF(ISERROR(VLOOKUP(B188,'Base de Datos'!$C$7:$N$315,10,0))=TRUE," ",(VLOOKUP(B188,'Base de Datos'!$C$7:$N$315,10,0)))</f>
        <v xml:space="preserve"> </v>
      </c>
      <c r="T188" s="592"/>
      <c r="U188" s="722"/>
      <c r="V188" s="634"/>
    </row>
    <row r="189" spans="2:22" ht="24" outlineLevel="1" x14ac:dyDescent="0.25">
      <c r="B189" s="537" t="s">
        <v>1693</v>
      </c>
      <c r="C189" s="537" t="s">
        <v>912</v>
      </c>
      <c r="D189" s="537" t="s">
        <v>1822</v>
      </c>
      <c r="E189" s="545" t="s">
        <v>1846</v>
      </c>
      <c r="F189" s="534" t="s">
        <v>1853</v>
      </c>
      <c r="G189" s="534"/>
      <c r="H189" s="534"/>
      <c r="I189" s="534"/>
      <c r="J189" s="537" t="s">
        <v>1845</v>
      </c>
      <c r="K189" s="652"/>
      <c r="L189" s="537" t="s">
        <v>1939</v>
      </c>
      <c r="M189" s="537"/>
      <c r="N189" s="537" t="s">
        <v>1940</v>
      </c>
      <c r="O189" s="677"/>
      <c r="P189" s="568" t="s">
        <v>1847</v>
      </c>
      <c r="Q189" s="537" t="s">
        <v>1848</v>
      </c>
      <c r="R189" s="537" t="s">
        <v>1849</v>
      </c>
      <c r="S189" s="537" t="s">
        <v>375</v>
      </c>
      <c r="T189" s="537" t="s">
        <v>1850</v>
      </c>
      <c r="U189" s="722"/>
      <c r="V189" s="634"/>
    </row>
    <row r="190" spans="2:22" ht="16.5" customHeight="1" outlineLevel="1" x14ac:dyDescent="0.25">
      <c r="B190" s="537">
        <v>176</v>
      </c>
      <c r="C190" s="533" t="str">
        <f>IF(ISERROR(VLOOKUP(B190,'Base de Datos'!$C$487:$F$4092,2,0))=TRUE,"",(VLOOKUP('Presupuesto - PAA 2017'!B190,'Base de Datos'!$C$7:$F$4092,3,0)))</f>
        <v>150141-0-2015</v>
      </c>
      <c r="D190" s="533" t="str">
        <f>IF(ISERROR(VLOOKUP(B190,'Base de Datos'!$C$487:$F$4092,3,0))=TRUE,"",(VLOOKUP('Presupuesto - PAA 2017'!B190,'Base de Datos'!$C$487:$F$4092,4,0)))</f>
        <v>GRANADOS Y CONDECORACIONES</v>
      </c>
      <c r="E190" s="536">
        <f>VLOOKUP(B190,[7]PAA2017!$C$65:$AA$255,20,0)</f>
        <v>72000000</v>
      </c>
      <c r="F190" s="534" t="str">
        <f>VLOOKUP(B190,[8]SOLICITUDES!$B$3:$H$278,2,0)</f>
        <v>SI</v>
      </c>
      <c r="G190" s="534"/>
      <c r="H190" s="534"/>
      <c r="I190" s="534"/>
      <c r="J190" s="536">
        <f>IF(ISERROR(VLOOKUP(B190,'Base de Datos'!$C$487:$N$4092,6,0))=TRUE,"Sin Celebrar",(VLOOKUP(B190,'Base de Datos'!$C$487:$N$4092,7,0)))</f>
        <v>50703000</v>
      </c>
      <c r="K190" s="600"/>
      <c r="L190" s="580" t="str">
        <f>IF(J190=$AA$1,E190, " ")</f>
        <v xml:space="preserve"> </v>
      </c>
      <c r="M190" s="536"/>
      <c r="N190" s="536">
        <f>IF(J190&lt;E190,(E190-J190)," ")</f>
        <v>21297000</v>
      </c>
      <c r="O190" s="719" t="str">
        <f>IF(ISERROR(VLOOKUP(B190,'Base de Datos'!$C$487:$K$1048576,7,0))=TRUE," ",(VLOOKUP(B190,'Base de Datos'!$C$487:$K$1048576,8,0)))</f>
        <v>SDH-SMINC-12-2017</v>
      </c>
      <c r="P190" s="551">
        <f>IF(ISERROR(VLOOKUP(B190,'Base de Datos'!$C$487:$N$4077,9,0))=TRUE," ",(VLOOKUP(B190,'Base de Datos'!$C$487:$N$4077,10,0)))</f>
        <v>42846</v>
      </c>
      <c r="Q190" s="737"/>
      <c r="R190" s="551">
        <f>IF(ISERROR(VLOOKUP(B190,'Base de Datos'!$C$487:$N$4077,10,0))=TRUE," ",(VLOOKUP(B190,'Base de Datos'!$C$487:$N$4077,11,0)))</f>
        <v>42874</v>
      </c>
      <c r="S190" s="551">
        <f>IF(ISERROR(VLOOKUP(B190,'Base de Datos'!$C$487:$N$4077,11,0))=TRUE," ",(VLOOKUP(B190,'Base de Datos'!$C$487:$N$4077,12,0)))</f>
        <v>43239</v>
      </c>
      <c r="T190" s="533" t="str">
        <f>VLOOKUP(B190,'Base de Datos'!$C$487:$AR$4129,41,0)</f>
        <v>SI</v>
      </c>
      <c r="U190" s="722"/>
      <c r="V190" s="634"/>
    </row>
    <row r="191" spans="2:22" ht="18" customHeight="1" outlineLevel="1" x14ac:dyDescent="0.25">
      <c r="B191" s="537">
        <v>201</v>
      </c>
      <c r="C191" s="533" t="str">
        <f>IF(ISERROR(VLOOKUP(B191,'Base de Datos'!$C$487:$F$4092,2,0))=TRUE,"",(VLOOKUP('Presupuesto - PAA 2017'!B191,'Base de Datos'!$C$7:$F$4092,3,0)))</f>
        <v>160250-0-2016</v>
      </c>
      <c r="D191" s="533" t="str">
        <f>IF(ISERROR(VLOOKUP(B191,'Base de Datos'!$C$487:$F$4092,3,0))=TRUE,"",(VLOOKUP('Presupuesto - PAA 2017'!B191,'Base de Datos'!$C$487:$F$4092,4,0)))</f>
        <v>DOUGLAS TRADE SAS</v>
      </c>
      <c r="E191" s="536">
        <f>VLOOKUP(B191,[7]PAA2017!$C$65:$AA$255,20,0)</f>
        <v>317000000</v>
      </c>
      <c r="F191" s="534" t="str">
        <f>VLOOKUP(B191,[8]SOLICITUDES!$B$3:$H$278,2,0)</f>
        <v>SI</v>
      </c>
      <c r="G191" s="534"/>
      <c r="H191" s="534"/>
      <c r="I191" s="534"/>
      <c r="J191" s="536">
        <f>IF(ISERROR(VLOOKUP(B191,'Base de Datos'!$C$487:$N$4092,6,0))=TRUE,"Sin Celebrar",(VLOOKUP(B191,'Base de Datos'!$C$487:$N$4092,7,0)))</f>
        <v>119000000</v>
      </c>
      <c r="K191" s="600"/>
      <c r="L191" s="580" t="str">
        <f>IF(J191=$AA$1,E191, " ")</f>
        <v xml:space="preserve"> </v>
      </c>
      <c r="M191" s="536"/>
      <c r="N191" s="536">
        <f>IF(J191&lt;E191,(E191-J191)," ")</f>
        <v>198000000</v>
      </c>
      <c r="O191" s="719" t="str">
        <f>IF(ISERROR(VLOOKUP(B191,'Base de Datos'!$C$487:$K$1048576,7,0))=TRUE," ",(VLOOKUP(B191,'Base de Datos'!$C$487:$K$1048576,8,0)))</f>
        <v>SDH-SAMC-02-2017</v>
      </c>
      <c r="P191" s="551">
        <f>IF(ISERROR(VLOOKUP(B191,'Base de Datos'!$C$487:$N$4077,9,0))=TRUE," ",(VLOOKUP(B191,'Base de Datos'!$C$487:$N$4077,10,0)))</f>
        <v>42863</v>
      </c>
      <c r="Q191" s="737"/>
      <c r="R191" s="551">
        <f>IF(ISERROR(VLOOKUP(B191,'Base de Datos'!$C$487:$N$4077,10,0))=TRUE," ",(VLOOKUP(B191,'Base de Datos'!$C$487:$N$4077,11,0)))</f>
        <v>42872</v>
      </c>
      <c r="S191" s="551">
        <f>IF(ISERROR(VLOOKUP(B191,'Base de Datos'!$C$487:$N$4077,11,0))=TRUE," ",(VLOOKUP(B191,'Base de Datos'!$C$487:$N$4077,12,0)))</f>
        <v>43176</v>
      </c>
      <c r="T191" s="533" t="str">
        <f>VLOOKUP(B191,'Base de Datos'!$C$487:$AR$4129,41,0)</f>
        <v>SI</v>
      </c>
      <c r="U191" s="722"/>
      <c r="V191" s="634"/>
    </row>
    <row r="192" spans="2:22" ht="15" customHeight="1" outlineLevel="1" x14ac:dyDescent="0.25">
      <c r="B192" s="537"/>
      <c r="C192" s="533" t="str">
        <f>IF(ISERROR(VLOOKUP(B192,'Base de Datos'!$C$487:$F$4092,2,0))=TRUE,"",(VLOOKUP('Presupuesto - PAA 2017'!B192,'Base de Datos'!$C$7:$F$4092,3,0)))</f>
        <v/>
      </c>
      <c r="D192" s="533" t="str">
        <f>IF(ISERROR(VLOOKUP(B192,'Base de Datos'!$C$487:$F$4092,3,0))=TRUE,"",(VLOOKUP('Presupuesto - PAA 2017'!B192,'Base de Datos'!$C$487:$F$4092,4,0)))</f>
        <v/>
      </c>
      <c r="E192" s="536" t="e">
        <f>VLOOKUP(B192,[7]PAA2017!$C$65:$AA$255,20,0)</f>
        <v>#N/A</v>
      </c>
      <c r="F192" s="534" t="e">
        <f>VLOOKUP(B192,[8]SOLICITUDES!$B$3:$H$278,2,0)</f>
        <v>#N/A</v>
      </c>
      <c r="G192" s="534"/>
      <c r="H192" s="534"/>
      <c r="I192" s="534"/>
      <c r="J192" s="536" t="str">
        <f>IF(ISERROR(VLOOKUP(B192,'Base de Datos'!$C$487:$N$4092,6,0))=TRUE,"Sin Celebrar",(VLOOKUP(B192,'Base de Datos'!$C$487:$N$4092,7,0)))</f>
        <v>Sin Celebrar</v>
      </c>
      <c r="K192" s="600"/>
      <c r="L192" s="580" t="e">
        <f>IF(J192=$AA$1,E192, " ")</f>
        <v>#N/A</v>
      </c>
      <c r="M192" s="536"/>
      <c r="N192" s="536" t="e">
        <f>IF(J192&lt;E192,(E192-J192)," ")</f>
        <v>#N/A</v>
      </c>
      <c r="O192" s="719" t="str">
        <f>IF(ISERROR(VLOOKUP(B192,'Base de Datos'!$C$487:$K$1048576,7,0))=TRUE," ",(VLOOKUP(B192,'Base de Datos'!$C$487:$K$1048576,8,0)))</f>
        <v xml:space="preserve"> </v>
      </c>
      <c r="P192" s="551" t="str">
        <f>IF(ISERROR(VLOOKUP(B192,'Base de Datos'!$C$487:$N$4077,9,0))=TRUE," ",(VLOOKUP(B192,'Base de Datos'!$C$487:$N$4077,10,0)))</f>
        <v xml:space="preserve"> </v>
      </c>
      <c r="Q192" s="737"/>
      <c r="R192" s="551" t="str">
        <f>IF(ISERROR(VLOOKUP(B192,'Base de Datos'!$C$487:$N$4077,10,0))=TRUE," ",(VLOOKUP(B192,'Base de Datos'!$C$487:$N$4077,11,0)))</f>
        <v xml:space="preserve"> </v>
      </c>
      <c r="S192" s="551" t="str">
        <f>IF(ISERROR(VLOOKUP(B192,'Base de Datos'!$C$487:$N$4077,11,0))=TRUE," ",(VLOOKUP(B192,'Base de Datos'!$C$487:$N$4077,12,0)))</f>
        <v xml:space="preserve"> </v>
      </c>
      <c r="T192" s="533" t="e">
        <f>VLOOKUP(B192,'Base de Datos'!$C$487:$AR$4129,41,0)</f>
        <v>#N/A</v>
      </c>
      <c r="U192" s="722"/>
      <c r="V192" s="634"/>
    </row>
    <row r="193" spans="2:22" outlineLevel="1" x14ac:dyDescent="0.25">
      <c r="B193" s="552"/>
      <c r="C193" s="533" t="str">
        <f>IF(ISERROR(VLOOKUP(B193,'Base de Datos'!$C$487:$F$4092,2,0))=TRUE,"",(VLOOKUP('Presupuesto - PAA 2017'!B193,'Base de Datos'!$C$7:$F$4092,3,0)))</f>
        <v/>
      </c>
      <c r="D193" s="533" t="str">
        <f>IF(ISERROR(VLOOKUP(B193,'Base de Datos'!$C$487:$F$4092,3,0))=TRUE,"",(VLOOKUP('Presupuesto - PAA 2017'!B193,'Base de Datos'!$C$487:$F$4092,4,0)))</f>
        <v/>
      </c>
      <c r="E193" s="536" t="e">
        <f>VLOOKUP(B193,[7]PAA2017!$C$65:$AA$255,20,0)</f>
        <v>#N/A</v>
      </c>
      <c r="F193" s="534" t="e">
        <f>VLOOKUP(B193,[8]SOLICITUDES!$B$3:$H$278,2,0)</f>
        <v>#N/A</v>
      </c>
      <c r="G193" s="534"/>
      <c r="H193" s="534"/>
      <c r="I193" s="534"/>
      <c r="J193" s="536" t="str">
        <f>IF(ISERROR(VLOOKUP(B193,'Base de Datos'!$C$487:$N$4092,6,0))=TRUE,"Sin Celebrar",(VLOOKUP(B193,'Base de Datos'!$C$487:$N$4092,7,0)))</f>
        <v>Sin Celebrar</v>
      </c>
      <c r="K193" s="600"/>
      <c r="L193" s="580" t="e">
        <f>IF(J193=$AA$1,E193, " ")</f>
        <v>#N/A</v>
      </c>
      <c r="M193" s="536"/>
      <c r="N193" s="536" t="e">
        <f>IF(J193&lt;E193,(E193-J193)," ")</f>
        <v>#N/A</v>
      </c>
      <c r="O193" s="719" t="str">
        <f>IF(ISERROR(VLOOKUP(B193,'Base de Datos'!$C$487:$K$1048576,7,0))=TRUE," ",(VLOOKUP(B193,'Base de Datos'!$C$487:$K$1048576,8,0)))</f>
        <v xml:space="preserve"> </v>
      </c>
      <c r="P193" s="551" t="str">
        <f>IF(ISERROR(VLOOKUP(B193,'Base de Datos'!$C$487:$N$4077,9,0))=TRUE," ",(VLOOKUP(B193,'Base de Datos'!$C$487:$N$4077,10,0)))</f>
        <v xml:space="preserve"> </v>
      </c>
      <c r="Q193" s="737"/>
      <c r="R193" s="551" t="str">
        <f>IF(ISERROR(VLOOKUP(B193,'Base de Datos'!$C$487:$N$4077,10,0))=TRUE," ",(VLOOKUP(B193,'Base de Datos'!$C$487:$N$4077,11,0)))</f>
        <v xml:space="preserve"> </v>
      </c>
      <c r="S193" s="551" t="str">
        <f>IF(ISERROR(VLOOKUP(B193,'Base de Datos'!$C$487:$N$4077,11,0))=TRUE," ",(VLOOKUP(B193,'Base de Datos'!$C$487:$N$4077,12,0)))</f>
        <v xml:space="preserve"> </v>
      </c>
      <c r="T193" s="533" t="e">
        <f>VLOOKUP(B193,'Base de Datos'!$C$487:$AR$4129,41,0)</f>
        <v>#N/A</v>
      </c>
      <c r="U193" s="722"/>
      <c r="V193" s="634"/>
    </row>
    <row r="194" spans="2:22" outlineLevel="1" x14ac:dyDescent="0.25">
      <c r="B194" s="533"/>
      <c r="C194" s="533"/>
      <c r="D194" s="533" t="s">
        <v>1935</v>
      </c>
      <c r="E194" s="536" t="e">
        <f>+E188-SUM(E190:E193)</f>
        <v>#N/A</v>
      </c>
      <c r="F194" s="534"/>
      <c r="G194" s="534"/>
      <c r="H194" s="534"/>
      <c r="I194" s="534"/>
      <c r="J194" s="536"/>
      <c r="K194" s="600"/>
      <c r="L194" s="554"/>
      <c r="M194" s="554"/>
      <c r="N194" s="554" t="e">
        <f>IF(J194&lt;E194,(E194-J194)," ")</f>
        <v>#N/A</v>
      </c>
      <c r="O194" s="679"/>
      <c r="P194" s="551" t="str">
        <f>IF(ISERROR(VLOOKUP(B194,'Base de Datos'!$C$7:$N$315,9,0))=TRUE," ",(VLOOKUP(B194,'Base de Datos'!$C$7:$N$315,9,0)))</f>
        <v xml:space="preserve"> </v>
      </c>
      <c r="Q194" s="533"/>
      <c r="R194" s="556" t="str">
        <f>IF(ISERROR(VLOOKUP(B194,'Base de Datos'!$C$7:$N$315,10,0))=TRUE," ",(VLOOKUP(B194,'Base de Datos'!$C$7:$N$315,10,0)))</f>
        <v xml:space="preserve"> </v>
      </c>
      <c r="S194" s="556" t="str">
        <f>IF(ISERROR(VLOOKUP(B194,'Base de Datos'!$C$7:$N$315,11,0))=TRUE," ",(VLOOKUP(B194,'Base de Datos'!$C$7:$N$315,11,0)))</f>
        <v xml:space="preserve"> </v>
      </c>
      <c r="T194" s="533"/>
      <c r="U194" s="722"/>
      <c r="V194" s="634"/>
    </row>
    <row r="195" spans="2:22" outlineLevel="1" x14ac:dyDescent="0.25">
      <c r="B195" s="533"/>
      <c r="C195" s="533"/>
      <c r="D195" s="533"/>
      <c r="E195" s="536"/>
      <c r="F195" s="534"/>
      <c r="G195" s="534"/>
      <c r="H195" s="534"/>
      <c r="I195" s="534"/>
      <c r="J195" s="536"/>
      <c r="K195" s="600"/>
      <c r="L195" s="536"/>
      <c r="M195" s="536"/>
      <c r="N195" s="536"/>
      <c r="O195" s="678"/>
      <c r="P195" s="551"/>
      <c r="Q195" s="533"/>
      <c r="R195" s="551"/>
      <c r="S195" s="551"/>
      <c r="T195" s="533"/>
      <c r="U195" s="722"/>
      <c r="V195" s="634"/>
    </row>
    <row r="196" spans="2:22" ht="15" customHeight="1" x14ac:dyDescent="0.25">
      <c r="B196" s="1195" t="s">
        <v>1669</v>
      </c>
      <c r="C196" s="1195"/>
      <c r="D196" s="1195"/>
      <c r="E196" s="587">
        <v>108000000</v>
      </c>
      <c r="F196" s="588">
        <f>COUNTIF('Actualizada - presupuesto'!$E$7:$E$111,B196)</f>
        <v>3</v>
      </c>
      <c r="G196" s="588"/>
      <c r="H196" s="588"/>
      <c r="I196" s="588"/>
      <c r="J196" s="587">
        <f>SUM(J198:J202)</f>
        <v>87576032</v>
      </c>
      <c r="K196" s="607">
        <f>J196/E196</f>
        <v>0.81088918518518516</v>
      </c>
      <c r="L196" s="587">
        <f>SUM(L198:L202)</f>
        <v>0</v>
      </c>
      <c r="M196" s="587"/>
      <c r="N196" s="587">
        <f>+E196-J196-L196</f>
        <v>20423968</v>
      </c>
      <c r="O196" s="682"/>
      <c r="P196" s="589" t="str">
        <f>IF(ISERROR(VLOOKUP(B196,'Base de Datos'!$C$7:$N$315,8,0))=TRUE," ",(VLOOKUP(B196,'Base de Datos'!$C$7:$N$315,8,0)))</f>
        <v xml:space="preserve"> </v>
      </c>
      <c r="Q196" s="590"/>
      <c r="R196" s="589" t="str">
        <f>IF(ISERROR(VLOOKUP(B196,'Base de Datos'!$C$7:$N$315,9,0))=TRUE," ",(VLOOKUP(B196,'Base de Datos'!$C$7:$N$315,9,0)))</f>
        <v xml:space="preserve"> </v>
      </c>
      <c r="S196" s="589" t="str">
        <f>IF(ISERROR(VLOOKUP(B196,'Base de Datos'!$C$7:$N$315,10,0))=TRUE," ",(VLOOKUP(B196,'Base de Datos'!$C$7:$N$315,10,0)))</f>
        <v xml:space="preserve"> </v>
      </c>
      <c r="T196" s="592"/>
      <c r="U196" s="722"/>
      <c r="V196" s="634"/>
    </row>
    <row r="197" spans="2:22" ht="24" outlineLevel="1" x14ac:dyDescent="0.25">
      <c r="B197" s="537" t="s">
        <v>1693</v>
      </c>
      <c r="C197" s="537" t="s">
        <v>912</v>
      </c>
      <c r="D197" s="537" t="s">
        <v>1822</v>
      </c>
      <c r="E197" s="545" t="s">
        <v>1846</v>
      </c>
      <c r="F197" s="534" t="s">
        <v>1853</v>
      </c>
      <c r="G197" s="534"/>
      <c r="H197" s="534"/>
      <c r="I197" s="534"/>
      <c r="J197" s="537" t="s">
        <v>1845</v>
      </c>
      <c r="K197" s="652"/>
      <c r="L197" s="537" t="s">
        <v>1939</v>
      </c>
      <c r="M197" s="537"/>
      <c r="N197" s="537" t="s">
        <v>1940</v>
      </c>
      <c r="O197" s="677"/>
      <c r="P197" s="568" t="s">
        <v>1847</v>
      </c>
      <c r="Q197" s="537" t="s">
        <v>1848</v>
      </c>
      <c r="R197" s="537" t="s">
        <v>1849</v>
      </c>
      <c r="S197" s="537" t="s">
        <v>375</v>
      </c>
      <c r="T197" s="537" t="s">
        <v>1850</v>
      </c>
      <c r="U197" s="722"/>
      <c r="V197" s="634"/>
    </row>
    <row r="198" spans="2:22" ht="24" outlineLevel="1" x14ac:dyDescent="0.25">
      <c r="B198" s="537">
        <v>208</v>
      </c>
      <c r="C198" s="533" t="str">
        <f>IF(ISERROR(VLOOKUP(B198,'Base de Datos'!$C$487:$F$4092,2,0))=TRUE,"",(VLOOKUP('Presupuesto - PAA 2017'!B198,'Base de Datos'!$C$7:$F$4092,3,0)))</f>
        <v>150192-0-2015</v>
      </c>
      <c r="D198" s="533" t="str">
        <f>IF(ISERROR(VLOOKUP(B198,'Base de Datos'!$C$487:$F$4092,3,0))=TRUE,"",(VLOOKUP('Presupuesto - PAA 2017'!B198,'Base de Datos'!$C$487:$F$4092,4,0)))</f>
        <v>MAGIQ ALL SAS</v>
      </c>
      <c r="E198" s="536">
        <f>VLOOKUP(B198,[7]PAA2017!$C$65:$AA$255,20,0)</f>
        <v>53048000</v>
      </c>
      <c r="F198" s="534" t="str">
        <f>VLOOKUP(B198,[8]SOLICITUDES!$B$3:$H$278,2,0)</f>
        <v>NO</v>
      </c>
      <c r="G198" s="534"/>
      <c r="H198" s="534"/>
      <c r="I198" s="534"/>
      <c r="J198" s="536">
        <f>IF(ISERROR(VLOOKUP(B198,'Base de Datos'!$C$487:$N$4092,6,0))=TRUE,"Sin Celebrar",(VLOOKUP(B198,'Base de Datos'!$C$487:$N$4092,7,0)))</f>
        <v>23058000</v>
      </c>
      <c r="K198" s="600"/>
      <c r="L198" s="580" t="str">
        <f>IF(J198=$AA$1,E198, " ")</f>
        <v xml:space="preserve"> </v>
      </c>
      <c r="M198" s="536"/>
      <c r="N198" s="536">
        <f>IF(J198&lt;E198,(E198-J198)," ")</f>
        <v>29990000</v>
      </c>
      <c r="O198" s="719" t="str">
        <f>IF(ISERROR(VLOOKUP(B198,'Base de Datos'!$C$487:$K$1048576,7,0))=TRUE," ",(VLOOKUP(B198,'Base de Datos'!$C$487:$K$1048576,8,0)))</f>
        <v>SDH-SMINC-26-2017</v>
      </c>
      <c r="P198" s="551">
        <f>IF(ISERROR(VLOOKUP(B198,'Base de Datos'!$C$487:$N$4077,9,0))=TRUE," ",(VLOOKUP(B198,'Base de Datos'!$C$487:$N$4077,10,0)))</f>
        <v>43013</v>
      </c>
      <c r="Q198" s="737"/>
      <c r="R198" s="551">
        <f>IF(ISERROR(VLOOKUP(B198,'Base de Datos'!$C$487:$N$4077,10,0))=TRUE," ",(VLOOKUP(B198,'Base de Datos'!$C$487:$N$4077,11,0)))</f>
        <v>43033</v>
      </c>
      <c r="S198" s="551">
        <f>IF(ISERROR(VLOOKUP(B198,'Base de Datos'!$C$487:$N$4077,11,0))=TRUE," ",(VLOOKUP(B198,'Base de Datos'!$C$487:$N$4077,12,0)))</f>
        <v>43156</v>
      </c>
      <c r="T198" s="533" t="str">
        <f>VLOOKUP(B198,'Base de Datos'!$C$487:$AR$4129,41,0)</f>
        <v>SI</v>
      </c>
      <c r="U198" s="722"/>
      <c r="V198" s="634"/>
    </row>
    <row r="199" spans="2:22" ht="24" outlineLevel="1" x14ac:dyDescent="0.25">
      <c r="B199" s="537">
        <v>209</v>
      </c>
      <c r="C199" s="533" t="str">
        <f>IF(ISERROR(VLOOKUP(B199,'Base de Datos'!$C$487:$F$4092,2,0))=TRUE,"",(VLOOKUP('Presupuesto - PAA 2017'!B199,'Base de Datos'!$C$7:$F$4092,3,0)))</f>
        <v>160284-0-2016</v>
      </c>
      <c r="D199" s="533" t="str">
        <f>IF(ISERROR(VLOOKUP(B199,'Base de Datos'!$C$487:$F$4092,3,0))=TRUE,"",(VLOOKUP('Presupuesto - PAA 2017'!B199,'Base de Datos'!$C$487:$F$4092,4,0)))</f>
        <v>EDER GIOVANNY CASTIBLANCO ORJUELA</v>
      </c>
      <c r="E199" s="536">
        <f>VLOOKUP(B199,[7]PAA2017!$C$65:$AA$255,20,0)</f>
        <v>21606000</v>
      </c>
      <c r="F199" s="534" t="str">
        <f>VLOOKUP(B199,[8]SOLICITUDES!$B$3:$H$278,2,0)</f>
        <v>NO</v>
      </c>
      <c r="G199" s="534"/>
      <c r="H199" s="534"/>
      <c r="I199" s="534"/>
      <c r="J199" s="536">
        <f>IF(ISERROR(VLOOKUP(B199,'Base de Datos'!$C$487:$N$4092,6,0))=TRUE,"Sin Celebrar",(VLOOKUP(B199,'Base de Datos'!$C$487:$N$4092,7,0)))</f>
        <v>4606000</v>
      </c>
      <c r="K199" s="600"/>
      <c r="L199" s="580" t="str">
        <f>IF(J199=$AA$1,E199, " ")</f>
        <v xml:space="preserve"> </v>
      </c>
      <c r="M199" s="536"/>
      <c r="N199" s="536">
        <f>IF(J199&lt;E199,(E199-J199)," ")</f>
        <v>17000000</v>
      </c>
      <c r="O199" s="719" t="str">
        <f>IF(ISERROR(VLOOKUP(B199,'Base de Datos'!$C$487:$K$1048576,7,0))=TRUE," ",(VLOOKUP(B199,'Base de Datos'!$C$487:$K$1048576,8,0)))</f>
        <v>SDH-SMINC-37-2017</v>
      </c>
      <c r="P199" s="551">
        <f>IF(ISERROR(VLOOKUP(B199,'Base de Datos'!$C$487:$N$4077,9,0))=TRUE," ",(VLOOKUP(B199,'Base de Datos'!$C$487:$N$4077,10,0)))</f>
        <v>43026</v>
      </c>
      <c r="Q199" s="737"/>
      <c r="R199" s="551">
        <f>IF(ISERROR(VLOOKUP(B199,'Base de Datos'!$C$487:$N$4077,10,0))=TRUE," ",(VLOOKUP(B199,'Base de Datos'!$C$487:$N$4077,11,0)))</f>
        <v>43041</v>
      </c>
      <c r="S199" s="551">
        <f>IF(ISERROR(VLOOKUP(B199,'Base de Datos'!$C$487:$N$4077,11,0))=TRUE," ",(VLOOKUP(B199,'Base de Datos'!$C$487:$N$4077,12,0)))</f>
        <v>43133</v>
      </c>
      <c r="T199" s="533" t="str">
        <f>VLOOKUP(B199,'Base de Datos'!$C$487:$AR$4129,41,0)</f>
        <v>SI</v>
      </c>
      <c r="U199" s="722"/>
      <c r="V199" s="634"/>
    </row>
    <row r="200" spans="2:22" ht="24" outlineLevel="1" x14ac:dyDescent="0.25">
      <c r="B200" s="552">
        <v>210</v>
      </c>
      <c r="C200" s="533" t="str">
        <f>IF(ISERROR(VLOOKUP(B200,'Base de Datos'!$C$487:$F$4092,2,0))=TRUE,"",(VLOOKUP('Presupuesto - PAA 2017'!B200,'Base de Datos'!$C$7:$F$4092,3,0)))</f>
        <v>150198-0-2015</v>
      </c>
      <c r="D200" s="533" t="str">
        <f>IF(ISERROR(VLOOKUP(B200,'Base de Datos'!$C$487:$F$4092,3,0))=TRUE,"",(VLOOKUP('Presupuesto - PAA 2017'!B200,'Base de Datos'!$C$487:$F$4092,4,0)))</f>
        <v>TECNOLOGIA BIOMEDICA Y SUMINISTROS LTDA</v>
      </c>
      <c r="E200" s="536">
        <f>VLOOKUP(B200,[7]PAA2017!$C$65:$AA$255,20,0)</f>
        <v>12427000</v>
      </c>
      <c r="F200" s="534" t="str">
        <f>VLOOKUP(B200,[8]SOLICITUDES!$B$3:$H$278,2,0)</f>
        <v>NO</v>
      </c>
      <c r="G200" s="534"/>
      <c r="H200" s="534"/>
      <c r="I200" s="534"/>
      <c r="J200" s="536">
        <f>IF(ISERROR(VLOOKUP(B200,'Base de Datos'!$C$487:$N$4092,6,0))=TRUE,"Sin Celebrar",(VLOOKUP(B200,'Base de Datos'!$C$487:$N$4092,7,0)))</f>
        <v>3790032</v>
      </c>
      <c r="K200" s="600"/>
      <c r="L200" s="580" t="str">
        <f>IF(J200=$AA$1,E200, " ")</f>
        <v xml:space="preserve"> </v>
      </c>
      <c r="M200" s="536"/>
      <c r="N200" s="536">
        <f>IF(J200&lt;E200,(E200-J200)," ")</f>
        <v>8636968</v>
      </c>
      <c r="O200" s="719" t="str">
        <f>IF(ISERROR(VLOOKUP(B200,'Base de Datos'!$C$487:$K$1048576,7,0))=TRUE," ",(VLOOKUP(B200,'Base de Datos'!$C$487:$K$1048576,8,0)))</f>
        <v>SDH- SMINC-24-2017</v>
      </c>
      <c r="P200" s="551">
        <f>IF(ISERROR(VLOOKUP(B200,'Base de Datos'!$C$487:$N$4077,9,0))=TRUE," ",(VLOOKUP(B200,'Base de Datos'!$C$487:$N$4077,10,0)))</f>
        <v>42971</v>
      </c>
      <c r="Q200" s="737"/>
      <c r="R200" s="551">
        <f>IF(ISERROR(VLOOKUP(B200,'Base de Datos'!$C$487:$N$4077,10,0))=TRUE," ",(VLOOKUP(B200,'Base de Datos'!$C$487:$N$4077,11,0)))</f>
        <v>42982</v>
      </c>
      <c r="S200" s="551">
        <f>IF(ISERROR(VLOOKUP(B200,'Base de Datos'!$C$487:$N$4077,11,0))=TRUE," ",(VLOOKUP(B200,'Base de Datos'!$C$487:$N$4077,12,0)))</f>
        <v>43073</v>
      </c>
      <c r="T200" s="533" t="str">
        <f>VLOOKUP(B200,'Base de Datos'!$C$487:$AR$4129,41,0)</f>
        <v>SI</v>
      </c>
      <c r="U200" s="722"/>
      <c r="V200" s="634"/>
    </row>
    <row r="201" spans="2:22" ht="14.25" customHeight="1" outlineLevel="1" x14ac:dyDescent="0.25">
      <c r="B201" s="552">
        <v>211</v>
      </c>
      <c r="C201" s="533" t="str">
        <f>IF(ISERROR(VLOOKUP(B201,'Base de Datos'!$C$487:$F$4092,2,0))=TRUE,"",(VLOOKUP('Presupuesto - PAA 2017'!B201,'Base de Datos'!$C$7:$F$4092,3,0)))</f>
        <v>160165-0-2016</v>
      </c>
      <c r="D201" s="533" t="str">
        <f>IF(ISERROR(VLOOKUP(B201,'Base de Datos'!$C$487:$F$4092,3,0))=TRUE,"",(VLOOKUP('Presupuesto - PAA 2017'!B201,'Base de Datos'!$C$487:$F$4092,4,0)))</f>
        <v>MEDICAL PROTECTION LTDA. SALUD OCUPACIONAL</v>
      </c>
      <c r="E201" s="536">
        <f>VLOOKUP(B201,[7]PAA2017!$C$65:$AA$255,20,0)</f>
        <v>165122000</v>
      </c>
      <c r="F201" s="534" t="str">
        <f>VLOOKUP(B201,[8]SOLICITUDES!$B$3:$H$278,2,0)</f>
        <v>SI</v>
      </c>
      <c r="G201" s="534"/>
      <c r="H201" s="534"/>
      <c r="I201" s="534"/>
      <c r="J201" s="536">
        <f>IF(ISERROR(VLOOKUP(B201,'Base de Datos'!$C$487:$N$4092,6,0))=TRUE,"Sin Celebrar",(VLOOKUP(B201,'Base de Datos'!$C$487:$N$4092,7,0)))</f>
        <v>56122000</v>
      </c>
      <c r="K201" s="600"/>
      <c r="L201" s="580" t="str">
        <f>IF(J201=$AA$1,E201, " ")</f>
        <v xml:space="preserve"> </v>
      </c>
      <c r="M201" s="536"/>
      <c r="N201" s="536">
        <f>IF(J201&lt;E201,(E201-J201)," ")</f>
        <v>109000000</v>
      </c>
      <c r="O201" s="719" t="str">
        <f>IF(ISERROR(VLOOKUP(B201,'Base de Datos'!$C$487:$K$1048576,7,0))=TRUE," ",(VLOOKUP(B201,'Base de Datos'!$C$487:$K$1048576,8,0)))</f>
        <v>SDH-SAMC-03-2017</v>
      </c>
      <c r="P201" s="551">
        <f>IF(ISERROR(VLOOKUP(B201,'Base de Datos'!$C$487:$N$4077,9,0))=TRUE," ",(VLOOKUP(B201,'Base de Datos'!$C$487:$N$4077,10,0)))</f>
        <v>42888</v>
      </c>
      <c r="Q201" s="737"/>
      <c r="R201" s="551">
        <f>IF(ISERROR(VLOOKUP(B201,'Base de Datos'!$C$487:$N$4077,10,0))=TRUE," ",(VLOOKUP(B201,'Base de Datos'!$C$487:$N$4077,11,0)))</f>
        <v>42898</v>
      </c>
      <c r="S201" s="551">
        <f>IF(ISERROR(VLOOKUP(B201,'Base de Datos'!$C$487:$N$4077,11,0))=TRUE," ",(VLOOKUP(B201,'Base de Datos'!$C$487:$N$4077,12,0)))</f>
        <v>43263</v>
      </c>
      <c r="T201" s="533" t="str">
        <f>VLOOKUP(B201,'Base de Datos'!$C$487:$AR$4129,41,0)</f>
        <v>SI</v>
      </c>
      <c r="U201" s="722"/>
      <c r="V201" s="634"/>
    </row>
    <row r="202" spans="2:22" outlineLevel="1" x14ac:dyDescent="0.25">
      <c r="B202" s="648"/>
      <c r="C202" s="648"/>
      <c r="D202" s="533" t="s">
        <v>1935</v>
      </c>
      <c r="E202" s="536">
        <f>+E196-SUM(E198:E201)</f>
        <v>-144203000</v>
      </c>
      <c r="F202" s="534"/>
      <c r="G202" s="534"/>
      <c r="H202" s="534"/>
      <c r="I202" s="534"/>
      <c r="J202" s="554"/>
      <c r="K202" s="600"/>
      <c r="L202" s="554"/>
      <c r="M202" s="554"/>
      <c r="N202" s="554" t="str">
        <f>IF(J202&lt;E202,(E202-J202)," ")</f>
        <v xml:space="preserve"> </v>
      </c>
      <c r="O202" s="719" t="str">
        <f>IF(ISERROR(VLOOKUP(B202,'Base de Datos'!$C$7:$K$1048576,7,0))=TRUE," ",(VLOOKUP(B202,'Base de Datos'!$C$7:$K$1048576,7,0)))</f>
        <v xml:space="preserve"> </v>
      </c>
      <c r="P202" s="551" t="str">
        <f>IF(ISERROR(VLOOKUP(B202,'Base de Datos'!$C$7:$N$315,9,0))=TRUE," ",(VLOOKUP(B202,'Base de Datos'!$C$7:$N$315,9,0)))</f>
        <v xml:space="preserve"> </v>
      </c>
      <c r="Q202" s="533"/>
      <c r="R202" s="556" t="str">
        <f>IF(ISERROR(VLOOKUP(B202,'Base de Datos'!$C$7:$N$315,10,0))=TRUE," ",(VLOOKUP(B202,'Base de Datos'!$C$7:$N$315,10,0)))</f>
        <v xml:space="preserve"> </v>
      </c>
      <c r="S202" s="556" t="str">
        <f>IF(ISERROR(VLOOKUP(B202,'Base de Datos'!$C$7:$N$315,11,0))=TRUE," ",(VLOOKUP(B202,'Base de Datos'!$C$7:$N$315,11,0)))</f>
        <v xml:space="preserve"> </v>
      </c>
      <c r="T202" s="533"/>
      <c r="U202" s="722"/>
      <c r="V202" s="634"/>
    </row>
    <row r="203" spans="2:22" outlineLevel="1" x14ac:dyDescent="0.25">
      <c r="B203" s="648"/>
      <c r="C203" s="648"/>
      <c r="D203" s="648"/>
      <c r="E203" s="536"/>
      <c r="F203" s="534"/>
      <c r="G203" s="534"/>
      <c r="H203" s="534"/>
      <c r="I203" s="534"/>
      <c r="J203" s="536"/>
      <c r="K203" s="600"/>
      <c r="L203" s="536"/>
      <c r="M203" s="536"/>
      <c r="N203" s="536"/>
      <c r="O203" s="678"/>
      <c r="P203" s="551"/>
      <c r="Q203" s="533"/>
      <c r="R203" s="551"/>
      <c r="S203" s="551"/>
      <c r="T203" s="533"/>
      <c r="U203" s="722"/>
      <c r="V203" s="634"/>
    </row>
    <row r="204" spans="2:22" ht="15" customHeight="1" x14ac:dyDescent="0.25">
      <c r="B204" s="1196" t="s">
        <v>1670</v>
      </c>
      <c r="C204" s="1196"/>
      <c r="D204" s="1196"/>
      <c r="E204" s="557">
        <v>40000000</v>
      </c>
      <c r="F204" s="558">
        <f>COUNTIF('Actualizada - presupuesto'!$E$7:$E$111,B204)</f>
        <v>0</v>
      </c>
      <c r="G204" s="558"/>
      <c r="H204" s="558"/>
      <c r="I204" s="558"/>
      <c r="J204" s="567">
        <f>+J205</f>
        <v>40000000</v>
      </c>
      <c r="K204" s="609">
        <f>J204/E204</f>
        <v>1</v>
      </c>
      <c r="L204" s="567"/>
      <c r="M204" s="567"/>
      <c r="N204" s="567">
        <f>SUM(N205)</f>
        <v>0</v>
      </c>
      <c r="O204" s="685"/>
      <c r="P204" s="573" t="str">
        <f>IF(ISERROR(VLOOKUP(B204,'Base de Datos'!$C$7:$N$315,8,0))=TRUE," ",(VLOOKUP(B204,'Base de Datos'!$C$7:$N$315,8,0)))</f>
        <v xml:space="preserve"> </v>
      </c>
      <c r="Q204" s="574"/>
      <c r="R204" s="573" t="str">
        <f>IF(ISERROR(VLOOKUP(B204,'Base de Datos'!$C$7:$N$315,9,0))=TRUE," ",(VLOOKUP(B204,'Base de Datos'!$C$7:$N$315,9,0)))</f>
        <v xml:space="preserve"> </v>
      </c>
      <c r="S204" s="573" t="str">
        <f>IF(ISERROR(VLOOKUP(B204,'Base de Datos'!$C$7:$N$315,10,0))=TRUE," ",(VLOOKUP(B204,'Base de Datos'!$C$7:$N$315,10,0)))</f>
        <v xml:space="preserve"> </v>
      </c>
      <c r="T204" s="569"/>
      <c r="U204" s="722"/>
      <c r="V204" s="634"/>
    </row>
    <row r="205" spans="2:22" ht="15" customHeight="1" x14ac:dyDescent="0.25">
      <c r="B205" s="1180" t="s">
        <v>1839</v>
      </c>
      <c r="C205" s="1180"/>
      <c r="D205" s="1180"/>
      <c r="E205" s="543">
        <v>40000000</v>
      </c>
      <c r="F205" s="540">
        <f>COUNTIF('Actualizada - presupuesto'!$E$7:$E$111,B205)</f>
        <v>0</v>
      </c>
      <c r="G205" s="540"/>
      <c r="H205" s="540"/>
      <c r="I205" s="540"/>
      <c r="J205" s="543">
        <f>+J207</f>
        <v>40000000</v>
      </c>
      <c r="K205" s="610"/>
      <c r="L205" s="543"/>
      <c r="M205" s="543"/>
      <c r="N205" s="543"/>
      <c r="O205" s="689"/>
      <c r="P205" s="575" t="str">
        <f>IF(ISERROR(VLOOKUP(B205,'Base de Datos'!$C$7:$N$315,8,0))=TRUE," ",(VLOOKUP(B205,'Base de Datos'!$C$7:$N$315,8,0)))</f>
        <v xml:space="preserve"> </v>
      </c>
      <c r="Q205" s="569"/>
      <c r="R205" s="575" t="str">
        <f>IF(ISERROR(VLOOKUP(B205,'Base de Datos'!$C$7:$N$315,9,0))=TRUE," ",(VLOOKUP(B205,'Base de Datos'!$C$7:$N$315,9,0)))</f>
        <v xml:space="preserve"> </v>
      </c>
      <c r="S205" s="575" t="str">
        <f>IF(ISERROR(VLOOKUP(B205,'Base de Datos'!$C$7:$N$315,10,0))=TRUE," ",(VLOOKUP(B205,'Base de Datos'!$C$7:$N$315,10,0)))</f>
        <v xml:space="preserve"> </v>
      </c>
      <c r="T205" s="569"/>
      <c r="U205" s="722"/>
      <c r="V205" s="634"/>
    </row>
    <row r="206" spans="2:22" s="615" customFormat="1" ht="23.25" customHeight="1" outlineLevel="1" x14ac:dyDescent="0.25">
      <c r="B206" s="537" t="s">
        <v>1823</v>
      </c>
      <c r="C206" s="537" t="s">
        <v>912</v>
      </c>
      <c r="D206" s="537" t="s">
        <v>1822</v>
      </c>
      <c r="E206" s="534" t="s">
        <v>1853</v>
      </c>
      <c r="F206" s="545" t="s">
        <v>1846</v>
      </c>
      <c r="G206" s="545"/>
      <c r="H206" s="545"/>
      <c r="I206" s="545"/>
      <c r="J206" s="533" t="s">
        <v>1845</v>
      </c>
      <c r="K206" s="612"/>
      <c r="L206" s="580"/>
      <c r="M206" s="580"/>
      <c r="N206" s="580"/>
      <c r="O206" s="690"/>
      <c r="P206" s="613"/>
      <c r="Q206" s="614"/>
      <c r="R206" s="613"/>
      <c r="S206" s="613"/>
      <c r="T206" s="614"/>
      <c r="U206" s="722"/>
      <c r="V206" s="634"/>
    </row>
    <row r="207" spans="2:22" s="615" customFormat="1" ht="15" customHeight="1" outlineLevel="1" x14ac:dyDescent="0.25">
      <c r="B207" s="537"/>
      <c r="C207" s="533"/>
      <c r="D207" s="533"/>
      <c r="E207" s="534"/>
      <c r="F207" s="536">
        <v>40000000</v>
      </c>
      <c r="G207" s="536"/>
      <c r="H207" s="536"/>
      <c r="I207" s="536"/>
      <c r="J207" s="536">
        <v>40000000</v>
      </c>
      <c r="K207" s="612"/>
      <c r="L207" s="580"/>
      <c r="M207" s="580"/>
      <c r="N207" s="580"/>
      <c r="O207" s="690"/>
      <c r="P207" s="613"/>
      <c r="Q207" s="614"/>
      <c r="R207" s="613"/>
      <c r="S207" s="613"/>
      <c r="T207" s="614"/>
      <c r="U207" s="722"/>
      <c r="V207" s="634"/>
    </row>
    <row r="208" spans="2:22" s="615" customFormat="1" ht="15" customHeight="1" outlineLevel="1" x14ac:dyDescent="0.25">
      <c r="B208" s="878"/>
      <c r="C208" s="878"/>
      <c r="D208" s="878"/>
      <c r="E208" s="580"/>
      <c r="F208" s="534"/>
      <c r="G208" s="534"/>
      <c r="H208" s="534"/>
      <c r="I208" s="534"/>
      <c r="J208" s="580"/>
      <c r="K208" s="612"/>
      <c r="L208" s="580"/>
      <c r="M208" s="580"/>
      <c r="N208" s="580"/>
      <c r="O208" s="690"/>
      <c r="P208" s="613"/>
      <c r="Q208" s="614"/>
      <c r="R208" s="613"/>
      <c r="S208" s="613"/>
      <c r="T208" s="614"/>
      <c r="U208" s="722"/>
      <c r="V208" s="634"/>
    </row>
    <row r="209" spans="2:22" ht="15" customHeight="1" x14ac:dyDescent="0.25">
      <c r="B209" s="1181" t="s">
        <v>1672</v>
      </c>
      <c r="C209" s="1181"/>
      <c r="D209" s="1181"/>
      <c r="E209" s="581">
        <v>1800000000</v>
      </c>
      <c r="F209" s="586">
        <f>COUNTIF('Actualizada - presupuesto'!$E$7:$E$111,B209)</f>
        <v>2</v>
      </c>
      <c r="G209" s="586"/>
      <c r="H209" s="586"/>
      <c r="I209" s="586"/>
      <c r="J209" s="581">
        <f>SUM(J211:J213)</f>
        <v>1309999990</v>
      </c>
      <c r="K209" s="603">
        <f>J209/E209</f>
        <v>0.72777777222222217</v>
      </c>
      <c r="L209" s="581" t="e">
        <f>SUM(L211:L213)</f>
        <v>#N/A</v>
      </c>
      <c r="M209" s="581"/>
      <c r="N209" s="581" t="e">
        <f>+E209-J209-L209</f>
        <v>#N/A</v>
      </c>
      <c r="O209" s="684"/>
      <c r="P209" s="591" t="str">
        <f>IF(ISERROR(VLOOKUP(B209,'Base de Datos'!$C$7:$N$315,8,0))=TRUE," ",(VLOOKUP(B209,'Base de Datos'!$C$7:$N$315,8,0)))</f>
        <v xml:space="preserve"> </v>
      </c>
      <c r="Q209" s="592"/>
      <c r="R209" s="591" t="str">
        <f>IF(ISERROR(VLOOKUP(B209,'Base de Datos'!$C$7:$N$315,9,0))=TRUE," ",(VLOOKUP(B209,'Base de Datos'!$C$7:$N$315,9,0)))</f>
        <v xml:space="preserve"> </v>
      </c>
      <c r="S209" s="591" t="str">
        <f>IF(ISERROR(VLOOKUP(B209,'Base de Datos'!$C$7:$N$315,10,0))=TRUE," ",(VLOOKUP(B209,'Base de Datos'!$C$7:$N$315,10,0)))</f>
        <v xml:space="preserve"> </v>
      </c>
      <c r="T209" s="592"/>
      <c r="U209" s="722"/>
      <c r="V209" s="634"/>
    </row>
    <row r="210" spans="2:22" ht="24" outlineLevel="1" x14ac:dyDescent="0.25">
      <c r="B210" s="537" t="s">
        <v>1693</v>
      </c>
      <c r="C210" s="537" t="s">
        <v>912</v>
      </c>
      <c r="D210" s="537" t="s">
        <v>1822</v>
      </c>
      <c r="E210" s="545" t="s">
        <v>1846</v>
      </c>
      <c r="F210" s="534" t="s">
        <v>1853</v>
      </c>
      <c r="G210" s="534"/>
      <c r="H210" s="534"/>
      <c r="I210" s="534"/>
      <c r="J210" s="537" t="s">
        <v>1845</v>
      </c>
      <c r="K210" s="652"/>
      <c r="L210" s="537" t="s">
        <v>1939</v>
      </c>
      <c r="M210" s="537"/>
      <c r="N210" s="537" t="s">
        <v>1940</v>
      </c>
      <c r="O210" s="677"/>
      <c r="P210" s="568" t="s">
        <v>1847</v>
      </c>
      <c r="Q210" s="537" t="s">
        <v>1848</v>
      </c>
      <c r="R210" s="537" t="s">
        <v>1849</v>
      </c>
      <c r="S210" s="537" t="s">
        <v>375</v>
      </c>
      <c r="T210" s="537" t="s">
        <v>1850</v>
      </c>
      <c r="U210" s="722"/>
      <c r="V210" s="634"/>
    </row>
    <row r="211" spans="2:22" outlineLevel="1" x14ac:dyDescent="0.25">
      <c r="B211" s="537">
        <v>177</v>
      </c>
      <c r="C211" s="533" t="str">
        <f>IF(ISERROR(VLOOKUP(B211,'Base de Datos'!$C$487:$F$4092,2,0))=TRUE,"",(VLOOKUP('Presupuesto - PAA 2017'!B211,'Base de Datos'!$C$7:$F$4092,3,0)))</f>
        <v>150193-0-2015</v>
      </c>
      <c r="D211" s="533" t="str">
        <f>IF(ISERROR(VLOOKUP(B211,'Base de Datos'!$C$487:$F$4092,3,0))=TRUE,"",(VLOOKUP('Presupuesto - PAA 2017'!B211,'Base de Datos'!$C$487:$F$4092,4,0)))</f>
        <v>PERIODICOS Y PUBLICACIONES SA</v>
      </c>
      <c r="E211" s="536">
        <f>VLOOKUP(B211,[7]PAA2017!$C$65:$AA$255,20,0)</f>
        <v>155000000</v>
      </c>
      <c r="F211" s="534" t="e">
        <f>VLOOKUP(B211,[8]SOLICITUDES!$B$3:$H$278,2,0)</f>
        <v>#N/A</v>
      </c>
      <c r="G211" s="534"/>
      <c r="H211" s="534"/>
      <c r="I211" s="534"/>
      <c r="J211" s="536">
        <f>IF(ISERROR(VLOOKUP(B211,'Base de Datos'!$C$487:$N$4092,6,0))=TRUE,"Sin Celebrar",(VLOOKUP(B211,'Base de Datos'!$C$487:$N$4092,7,0)))</f>
        <v>400000000</v>
      </c>
      <c r="K211" s="600"/>
      <c r="L211" s="580" t="str">
        <f>IF(J211=$AA$1,E211, " ")</f>
        <v xml:space="preserve"> </v>
      </c>
      <c r="M211" s="536"/>
      <c r="N211" s="536" t="str">
        <f>IF(J211&lt;E211,(E211-J211)," ")</f>
        <v xml:space="preserve"> </v>
      </c>
      <c r="O211" s="719" t="str">
        <f>IF(ISERROR(VLOOKUP(B211,'Base de Datos'!$C$487:$K$1048576,7,0))=TRUE," ",(VLOOKUP(B211,'Base de Datos'!$C$487:$K$1048576,8,0)))</f>
        <v>SDH-SIE-24-2016</v>
      </c>
      <c r="P211" s="551">
        <f>IF(ISERROR(VLOOKUP(B211,'Base de Datos'!$C$487:$N$4077,9,0))=TRUE," ",(VLOOKUP(B211,'Base de Datos'!$C$487:$N$4077,10,0)))</f>
        <v>42746</v>
      </c>
      <c r="Q211" s="737"/>
      <c r="R211" s="551">
        <f>IF(ISERROR(VLOOKUP(B211,'Base de Datos'!$C$487:$N$4077,10,0))=TRUE," ",(VLOOKUP(B211,'Base de Datos'!$C$487:$N$4077,11,0)))</f>
        <v>42773</v>
      </c>
      <c r="S211" s="551">
        <f>IF(ISERROR(VLOOKUP(B211,'Base de Datos'!$C$487:$N$4077,11,0))=TRUE," ",(VLOOKUP(B211,'Base de Datos'!$C$487:$N$4077,12,0)))</f>
        <v>43046</v>
      </c>
      <c r="T211" s="533" t="str">
        <f>VLOOKUP(B211,'Base de Datos'!$C$487:$AR$4129,41,0)</f>
        <v>SI</v>
      </c>
      <c r="U211" s="722"/>
      <c r="V211" s="634"/>
    </row>
    <row r="212" spans="2:22" ht="25.5" customHeight="1" outlineLevel="1" x14ac:dyDescent="0.25">
      <c r="B212" s="552">
        <v>178</v>
      </c>
      <c r="C212" s="533" t="str">
        <f>IF(ISERROR(VLOOKUP(B212,'Base de Datos'!$C$487:$F$4092,2,0))=TRUE,"",(VLOOKUP('Presupuesto - PAA 2017'!B212,'Base de Datos'!$C$7:$F$4092,3,0)))</f>
        <v>150152-0-2015</v>
      </c>
      <c r="D212" s="533" t="str">
        <f>IF(ISERROR(VLOOKUP(B212,'Base de Datos'!$C$487:$F$4092,3,0))=TRUE,"",(VLOOKUP('Presupuesto - PAA 2017'!B212,'Base de Datos'!$C$487:$F$4092,4,0)))</f>
        <v>CANAL CAPITAL</v>
      </c>
      <c r="E212" s="536">
        <f>VLOOKUP(B212,[7]PAA2017!$C$65:$AA$255,20,0)</f>
        <v>1314000000</v>
      </c>
      <c r="F212" s="534" t="e">
        <f>VLOOKUP(B212,[8]SOLICITUDES!$B$3:$H$278,2,0)</f>
        <v>#N/A</v>
      </c>
      <c r="G212" s="534"/>
      <c r="H212" s="534"/>
      <c r="I212" s="534"/>
      <c r="J212" s="536">
        <f>IF(ISERROR(VLOOKUP(B212,'Base de Datos'!$C$487:$N$4092,6,0))=TRUE,"Sin Celebrar",(VLOOKUP(B212,'Base de Datos'!$C$487:$N$4092,7,0)))</f>
        <v>909999990</v>
      </c>
      <c r="K212" s="600"/>
      <c r="L212" s="580" t="str">
        <f>IF(J212=$AA$1,E212, " ")</f>
        <v xml:space="preserve"> </v>
      </c>
      <c r="M212" s="536"/>
      <c r="N212" s="536">
        <f>IF(J212&lt;E212,(E212-J212)," ")</f>
        <v>404000010</v>
      </c>
      <c r="O212" s="719" t="str">
        <f>IF(ISERROR(VLOOKUP(B212,'Base de Datos'!$C$487:$K$1048576,7,0))=TRUE," ",(VLOOKUP(B212,'Base de Datos'!$C$487:$K$1048576,8,0)))</f>
        <v>170185-0-2017</v>
      </c>
      <c r="P212" s="551">
        <f>IF(ISERROR(VLOOKUP(B212,'Base de Datos'!$C$487:$N$4077,9,0))=TRUE," ",(VLOOKUP(B212,'Base de Datos'!$C$487:$N$4077,10,0)))</f>
        <v>42933</v>
      </c>
      <c r="Q212" s="737"/>
      <c r="R212" s="551">
        <f>IF(ISERROR(VLOOKUP(B212,'Base de Datos'!$C$487:$N$4077,10,0))=TRUE," ",(VLOOKUP(B212,'Base de Datos'!$C$487:$N$4077,11,0)))</f>
        <v>42948</v>
      </c>
      <c r="S212" s="551">
        <f>IF(ISERROR(VLOOKUP(B212,'Base de Datos'!$C$487:$N$4077,11,0))=TRUE," ",(VLOOKUP(B212,'Base de Datos'!$C$487:$N$4077,12,0)))</f>
        <v>43221</v>
      </c>
      <c r="T212" s="533" t="str">
        <f>VLOOKUP(B212,'Base de Datos'!$C$487:$AR$4129,41,0)</f>
        <v>SI</v>
      </c>
      <c r="U212" s="722"/>
      <c r="V212" s="634"/>
    </row>
    <row r="213" spans="2:22" outlineLevel="1" x14ac:dyDescent="0.25">
      <c r="B213" s="537"/>
      <c r="C213" s="533" t="str">
        <f>IF(ISERROR(VLOOKUP(B213,'Base de Datos'!$C$487:$F$4092,2,0))=TRUE,"",(VLOOKUP('Presupuesto - PAA 2017'!B213,'Base de Datos'!$C$7:$F$4092,3,0)))</f>
        <v/>
      </c>
      <c r="D213" s="533" t="str">
        <f>IF(ISERROR(VLOOKUP(B213,'Base de Datos'!$C$487:$F$4092,3,0))=TRUE,"",(VLOOKUP('Presupuesto - PAA 2017'!B213,'Base de Datos'!$C$487:$F$4092,4,0)))</f>
        <v/>
      </c>
      <c r="E213" s="536" t="e">
        <f>VLOOKUP(B213,[7]PAA2017!$C$65:$AA$255,20,0)</f>
        <v>#N/A</v>
      </c>
      <c r="F213" s="534" t="e">
        <f>VLOOKUP(B213,[8]SOLICITUDES!$B$3:$H$278,2,0)</f>
        <v>#N/A</v>
      </c>
      <c r="G213" s="534"/>
      <c r="H213" s="534"/>
      <c r="I213" s="534"/>
      <c r="J213" s="536" t="str">
        <f>IF(ISERROR(VLOOKUP(B213,'Base de Datos'!$C$487:$N$4092,6,0))=TRUE,"Sin Celebrar",(VLOOKUP(B213,'Base de Datos'!$C$487:$N$4092,7,0)))</f>
        <v>Sin Celebrar</v>
      </c>
      <c r="K213" s="600"/>
      <c r="L213" s="580" t="e">
        <f>IF(J213=$AA$1,E213, " ")</f>
        <v>#N/A</v>
      </c>
      <c r="M213" s="536"/>
      <c r="N213" s="536" t="e">
        <f>IF(J213&lt;E213,(E213-J213)," ")</f>
        <v>#N/A</v>
      </c>
      <c r="O213" s="719" t="str">
        <f>IF(ISERROR(VLOOKUP(B213,'Base de Datos'!$C$487:$K$1048576,7,0))=TRUE," ",(VLOOKUP(B213,'Base de Datos'!$C$487:$K$1048576,8,0)))</f>
        <v xml:space="preserve"> </v>
      </c>
      <c r="P213" s="551" t="str">
        <f>IF(ISERROR(VLOOKUP(B213,'Base de Datos'!$C$487:$N$4077,9,0))=TRUE," ",(VLOOKUP(B213,'Base de Datos'!$C$487:$N$4077,10,0)))</f>
        <v xml:space="preserve"> </v>
      </c>
      <c r="Q213" s="737"/>
      <c r="R213" s="551" t="str">
        <f>IF(ISERROR(VLOOKUP(B213,'Base de Datos'!$C$487:$N$4077,10,0))=TRUE," ",(VLOOKUP(B213,'Base de Datos'!$C$487:$N$4077,11,0)))</f>
        <v xml:space="preserve"> </v>
      </c>
      <c r="S213" s="551" t="str">
        <f>IF(ISERROR(VLOOKUP(B213,'Base de Datos'!$C$487:$N$4077,11,0))=TRUE," ",(VLOOKUP(B213,'Base de Datos'!$C$487:$N$4077,12,0)))</f>
        <v xml:space="preserve"> </v>
      </c>
      <c r="T213" s="533" t="e">
        <f>VLOOKUP(B213,'Base de Datos'!$C$487:$AR$4129,41,0)</f>
        <v>#N/A</v>
      </c>
      <c r="U213" s="722"/>
      <c r="V213" s="634"/>
    </row>
    <row r="214" spans="2:22" outlineLevel="1" x14ac:dyDescent="0.25">
      <c r="B214" s="537"/>
      <c r="C214" s="648"/>
      <c r="D214" s="533" t="s">
        <v>1935</v>
      </c>
      <c r="E214" s="536" t="e">
        <f>+E209-(SUM(E211:E213))</f>
        <v>#N/A</v>
      </c>
      <c r="F214" s="534"/>
      <c r="G214" s="534"/>
      <c r="H214" s="534"/>
      <c r="I214" s="534"/>
      <c r="J214" s="536"/>
      <c r="K214" s="600"/>
      <c r="L214" s="554"/>
      <c r="M214" s="536"/>
      <c r="N214" s="536"/>
      <c r="O214" s="719" t="str">
        <f>IF(ISERROR(VLOOKUP(B214,'Base de Datos'!$C$7:$K$1048576,7,0))=TRUE," ",(VLOOKUP(B214,'Base de Datos'!$C$7:$K$1048576,7,0)))</f>
        <v xml:space="preserve"> </v>
      </c>
      <c r="P214" s="551"/>
      <c r="Q214" s="533"/>
      <c r="R214" s="556"/>
      <c r="S214" s="556"/>
      <c r="T214" s="533"/>
      <c r="U214" s="722"/>
      <c r="V214" s="634"/>
    </row>
    <row r="215" spans="2:22" outlineLevel="1" x14ac:dyDescent="0.25">
      <c r="B215" s="648"/>
      <c r="C215" s="648"/>
      <c r="D215" s="648"/>
      <c r="E215" s="536"/>
      <c r="F215" s="534"/>
      <c r="G215" s="534"/>
      <c r="H215" s="534"/>
      <c r="I215" s="534"/>
      <c r="J215" s="536"/>
      <c r="K215" s="600"/>
      <c r="L215" s="536"/>
      <c r="M215" s="536"/>
      <c r="N215" s="536"/>
      <c r="O215" s="678"/>
      <c r="P215" s="551"/>
      <c r="Q215" s="533"/>
      <c r="R215" s="551"/>
      <c r="S215" s="551"/>
      <c r="T215" s="533"/>
      <c r="U215" s="722"/>
      <c r="V215" s="634"/>
    </row>
    <row r="216" spans="2:22" ht="15" customHeight="1" x14ac:dyDescent="0.25">
      <c r="B216" s="1196" t="s">
        <v>1673</v>
      </c>
      <c r="C216" s="1196"/>
      <c r="D216" s="1196"/>
      <c r="E216" s="557">
        <v>36000000</v>
      </c>
      <c r="F216" s="558"/>
      <c r="G216" s="558"/>
      <c r="H216" s="558"/>
      <c r="I216" s="558"/>
      <c r="J216" s="567">
        <f>+J217</f>
        <v>908534</v>
      </c>
      <c r="K216" s="609">
        <f>J216/E216</f>
        <v>2.5237055555555554E-2</v>
      </c>
      <c r="L216" s="567">
        <f>+L217</f>
        <v>91466</v>
      </c>
      <c r="M216" s="567"/>
      <c r="N216" s="567">
        <f>SUM(N217)</f>
        <v>18203084</v>
      </c>
      <c r="O216" s="685"/>
      <c r="P216" s="573" t="str">
        <f>IF(ISERROR(VLOOKUP(B216,'Base de Datos'!$C$7:$N$315,8,0))=TRUE," ",(VLOOKUP(B216,'Base de Datos'!$C$7:$N$315,8,0)))</f>
        <v xml:space="preserve"> </v>
      </c>
      <c r="Q216" s="574"/>
      <c r="R216" s="573" t="str">
        <f>IF(ISERROR(VLOOKUP(B216,'Base de Datos'!$C$7:$N$315,9,0))=TRUE," ",(VLOOKUP(B216,'Base de Datos'!$C$7:$N$315,9,0)))</f>
        <v xml:space="preserve"> </v>
      </c>
      <c r="S216" s="573" t="str">
        <f>IF(ISERROR(VLOOKUP(B216,'Base de Datos'!$C$7:$N$315,10,0))=TRUE," ",(VLOOKUP(B216,'Base de Datos'!$C$7:$N$315,10,0)))</f>
        <v xml:space="preserve"> </v>
      </c>
      <c r="T216" s="569"/>
      <c r="U216" s="722"/>
      <c r="V216" s="634"/>
    </row>
    <row r="217" spans="2:22" ht="15" customHeight="1" x14ac:dyDescent="0.25">
      <c r="B217" s="1180" t="s">
        <v>1838</v>
      </c>
      <c r="C217" s="1180"/>
      <c r="D217" s="1180"/>
      <c r="E217" s="543">
        <v>1000000</v>
      </c>
      <c r="F217" s="540"/>
      <c r="G217" s="540"/>
      <c r="H217" s="540"/>
      <c r="I217" s="540"/>
      <c r="J217" s="543">
        <f>+J219</f>
        <v>908534</v>
      </c>
      <c r="K217" s="610">
        <f>J217/E217</f>
        <v>0.90853399999999995</v>
      </c>
      <c r="L217" s="543">
        <f>+L219</f>
        <v>91466</v>
      </c>
      <c r="M217" s="543"/>
      <c r="N217" s="543">
        <f>SUM(N219:N225)</f>
        <v>18203084</v>
      </c>
      <c r="O217" s="689"/>
      <c r="P217" s="575" t="str">
        <f>IF(ISERROR(VLOOKUP(B217,'Base de Datos'!$C$7:$N$315,8,0))=TRUE," ",(VLOOKUP(B217,'Base de Datos'!$C$7:$N$315,8,0)))</f>
        <v xml:space="preserve"> </v>
      </c>
      <c r="Q217" s="569"/>
      <c r="R217" s="575" t="str">
        <f>IF(ISERROR(VLOOKUP(B217,'Base de Datos'!$C$7:$N$315,9,0))=TRUE," ",(VLOOKUP(B217,'Base de Datos'!$C$7:$N$315,9,0)))</f>
        <v xml:space="preserve"> </v>
      </c>
      <c r="S217" s="575" t="str">
        <f>IF(ISERROR(VLOOKUP(B217,'Base de Datos'!$C$7:$N$315,10,0))=TRUE," ",(VLOOKUP(B217,'Base de Datos'!$C$7:$N$315,10,0)))</f>
        <v xml:space="preserve"> </v>
      </c>
      <c r="T217" s="569"/>
      <c r="U217" s="722"/>
      <c r="V217" s="634"/>
    </row>
    <row r="218" spans="2:22" s="615" customFormat="1" ht="21.75" customHeight="1" outlineLevel="1" x14ac:dyDescent="0.25">
      <c r="B218" s="537" t="s">
        <v>1693</v>
      </c>
      <c r="C218" s="537" t="s">
        <v>912</v>
      </c>
      <c r="D218" s="537" t="s">
        <v>1822</v>
      </c>
      <c r="E218" s="545" t="s">
        <v>1846</v>
      </c>
      <c r="F218" s="534" t="s">
        <v>1853</v>
      </c>
      <c r="G218" s="534"/>
      <c r="H218" s="534"/>
      <c r="I218" s="534"/>
      <c r="J218" s="537" t="s">
        <v>1845</v>
      </c>
      <c r="K218" s="652"/>
      <c r="L218" s="537" t="s">
        <v>1939</v>
      </c>
      <c r="M218" s="537"/>
      <c r="N218" s="537" t="s">
        <v>1940</v>
      </c>
      <c r="O218" s="677"/>
      <c r="P218" s="568" t="s">
        <v>1847</v>
      </c>
      <c r="Q218" s="537" t="s">
        <v>1848</v>
      </c>
      <c r="R218" s="537" t="s">
        <v>1849</v>
      </c>
      <c r="S218" s="537" t="s">
        <v>375</v>
      </c>
      <c r="T218" s="537" t="s">
        <v>1850</v>
      </c>
      <c r="U218" s="722"/>
      <c r="V218" s="634"/>
    </row>
    <row r="219" spans="2:22" s="615" customFormat="1" ht="15" customHeight="1" outlineLevel="1" x14ac:dyDescent="0.25">
      <c r="B219" s="537"/>
      <c r="C219" s="533"/>
      <c r="D219" s="533" t="s">
        <v>2266</v>
      </c>
      <c r="E219" s="580">
        <v>1000000</v>
      </c>
      <c r="F219" s="536"/>
      <c r="G219" s="536"/>
      <c r="H219" s="536"/>
      <c r="I219" s="536"/>
      <c r="J219" s="536">
        <v>908534</v>
      </c>
      <c r="K219" s="612"/>
      <c r="L219" s="536">
        <f>E219-J219</f>
        <v>91466</v>
      </c>
      <c r="M219" s="580"/>
      <c r="N219" s="533"/>
      <c r="O219" s="691"/>
      <c r="P219" s="613"/>
      <c r="Q219" s="614"/>
      <c r="R219" s="613"/>
      <c r="S219" s="613"/>
      <c r="T219" s="614"/>
      <c r="U219" s="722"/>
      <c r="V219" s="634"/>
    </row>
    <row r="220" spans="2:22" s="615" customFormat="1" ht="15" customHeight="1" outlineLevel="1" x14ac:dyDescent="0.25">
      <c r="B220" s="537"/>
      <c r="C220" s="533"/>
      <c r="D220" s="533"/>
      <c r="E220" s="580"/>
      <c r="F220" s="536"/>
      <c r="G220" s="536"/>
      <c r="H220" s="536"/>
      <c r="I220" s="536"/>
      <c r="J220" s="536"/>
      <c r="K220" s="612"/>
      <c r="L220" s="536"/>
      <c r="M220" s="580"/>
      <c r="N220" s="533"/>
      <c r="O220" s="691"/>
      <c r="P220" s="613"/>
      <c r="Q220" s="614"/>
      <c r="R220" s="613"/>
      <c r="S220" s="613"/>
      <c r="T220" s="614"/>
      <c r="U220" s="722"/>
      <c r="V220" s="634"/>
    </row>
    <row r="221" spans="2:22" s="615" customFormat="1" ht="15" customHeight="1" x14ac:dyDescent="0.25">
      <c r="B221" s="1180" t="s">
        <v>2127</v>
      </c>
      <c r="C221" s="1180"/>
      <c r="D221" s="1180"/>
      <c r="E221" s="543">
        <v>35000000</v>
      </c>
      <c r="F221" s="540"/>
      <c r="G221" s="540"/>
      <c r="H221" s="540"/>
      <c r="I221" s="540"/>
      <c r="J221" s="543">
        <f>SUM(J223:J224)</f>
        <v>25744458</v>
      </c>
      <c r="K221" s="610"/>
      <c r="L221" s="543">
        <f>SUM(L223:L224)</f>
        <v>0</v>
      </c>
      <c r="M221" s="543"/>
      <c r="N221" s="543">
        <f>+E221-J221-L221</f>
        <v>9255542</v>
      </c>
      <c r="O221" s="689"/>
      <c r="P221" s="575" t="str">
        <f>IF(ISERROR(VLOOKUP(B221,'Base de Datos'!$C$7:$N$315,8,0))=TRUE," ",(VLOOKUP(B221,'Base de Datos'!$C$7:$N$315,8,0)))</f>
        <v xml:space="preserve"> </v>
      </c>
      <c r="Q221" s="569"/>
      <c r="R221" s="575" t="str">
        <f>IF(ISERROR(VLOOKUP(B221,'Base de Datos'!$C$7:$N$315,9,0))=TRUE," ",(VLOOKUP(B221,'Base de Datos'!$C$7:$N$315,9,0)))</f>
        <v xml:space="preserve"> </v>
      </c>
      <c r="S221" s="575" t="str">
        <f>IF(ISERROR(VLOOKUP(B221,'Base de Datos'!$C$7:$N$315,10,0))=TRUE," ",(VLOOKUP(B221,'Base de Datos'!$C$7:$N$315,10,0)))</f>
        <v xml:space="preserve"> </v>
      </c>
      <c r="T221" s="569"/>
      <c r="U221" s="722"/>
      <c r="V221" s="634"/>
    </row>
    <row r="222" spans="2:22" s="615" customFormat="1" ht="24" customHeight="1" outlineLevel="1" x14ac:dyDescent="0.25">
      <c r="B222" s="537" t="s">
        <v>1693</v>
      </c>
      <c r="C222" s="537" t="s">
        <v>912</v>
      </c>
      <c r="D222" s="537" t="s">
        <v>1822</v>
      </c>
      <c r="E222" s="545" t="s">
        <v>1846</v>
      </c>
      <c r="F222" s="534" t="s">
        <v>1853</v>
      </c>
      <c r="G222" s="534"/>
      <c r="H222" s="534"/>
      <c r="I222" s="534"/>
      <c r="J222" s="537" t="s">
        <v>1845</v>
      </c>
      <c r="K222" s="652"/>
      <c r="L222" s="537" t="s">
        <v>1939</v>
      </c>
      <c r="M222" s="537"/>
      <c r="N222" s="537" t="s">
        <v>1940</v>
      </c>
      <c r="O222" s="677"/>
      <c r="P222" s="568" t="s">
        <v>1847</v>
      </c>
      <c r="Q222" s="537" t="s">
        <v>1848</v>
      </c>
      <c r="R222" s="537" t="s">
        <v>1849</v>
      </c>
      <c r="S222" s="537" t="s">
        <v>375</v>
      </c>
      <c r="T222" s="537" t="s">
        <v>1850</v>
      </c>
      <c r="U222" s="722"/>
      <c r="V222" s="634"/>
    </row>
    <row r="223" spans="2:22" s="615" customFormat="1" ht="15" customHeight="1" outlineLevel="1" x14ac:dyDescent="0.25">
      <c r="B223" s="627">
        <v>367</v>
      </c>
      <c r="C223" s="533" t="str">
        <f>IF(ISERROR(VLOOKUP(B223,'Base de Datos'!$C$7:$F$4092,2,0))=TRUE,"",(VLOOKUP('Presupuesto - PAA 2017'!B223,'Base de Datos'!$C$7:$F$4092,3,0)))</f>
        <v>150394-0-2015</v>
      </c>
      <c r="D223" s="533" t="str">
        <f>IF(ISERROR(VLOOKUP(B223,'Base de Datos'!$C$7:$F$4092,3,0))=TRUE,"",(VLOOKUP('Presupuesto - PAA 2017'!B223,'Base de Datos'!$C$7:$F$4092,4,0)))</f>
        <v>SOLUCIONES H&amp;S SAS</v>
      </c>
      <c r="E223" s="580">
        <v>23860000</v>
      </c>
      <c r="F223" s="545" t="s">
        <v>390</v>
      </c>
      <c r="G223" s="536"/>
      <c r="H223" s="536"/>
      <c r="I223" s="536"/>
      <c r="J223" s="536">
        <f>IF(ISERROR(VLOOKUP(B223,'Base de Datos'!$C$7:$N$4092,6,0))=TRUE,"Sin Celebrar",(VLOOKUP(B223,'Base de Datos'!$C$7:$N$4092,7,0)))</f>
        <v>17340258</v>
      </c>
      <c r="K223" s="612"/>
      <c r="L223" s="554" t="str">
        <f>IF(J223=$AA$1,E223, " ")</f>
        <v xml:space="preserve"> </v>
      </c>
      <c r="M223" s="554"/>
      <c r="N223" s="554">
        <f>IF(J223&lt;E223,(E223-J223)," ")</f>
        <v>6519742</v>
      </c>
      <c r="O223" s="719" t="str">
        <f>IF(ISERROR(VLOOKUP(B223,'Base de Datos'!$C$7:$K$1048576,7,0))=TRUE," ",(VLOOKUP(B223,'Base de Datos'!$C$7:$K$1048576,8,0)))</f>
        <v>SDH-SMINC-063-2015</v>
      </c>
      <c r="P223" s="551">
        <f>IF(ISERROR(VLOOKUP(B223,'Base de Datos'!$C$7:$N$4077,9,0))=TRUE," ",(VLOOKUP(B223,'Base de Datos'!$C$7:$N$4077,10,0)))</f>
        <v>42332</v>
      </c>
      <c r="Q223" s="553" t="s">
        <v>378</v>
      </c>
      <c r="R223" s="551">
        <f>IF(ISERROR(VLOOKUP(B223,'Base de Datos'!$C$7:$N$4077,10,0))=TRUE," ",(VLOOKUP(B223,'Base de Datos'!$C$7:$N$4077,11,0)))</f>
        <v>42338</v>
      </c>
      <c r="S223" s="551">
        <f>IF(ISERROR(VLOOKUP(B223,'Base de Datos'!$C$7:$N$4077,11,0))=TRUE," ",(VLOOKUP(B223,'Base de Datos'!$C$7:$N$4077,12,0)))</f>
        <v>42399</v>
      </c>
      <c r="T223" s="533" t="s">
        <v>981</v>
      </c>
      <c r="U223" s="722"/>
      <c r="V223" s="634"/>
    </row>
    <row r="224" spans="2:22" s="615" customFormat="1" ht="15" customHeight="1" outlineLevel="1" x14ac:dyDescent="0.25">
      <c r="B224" s="627">
        <v>368</v>
      </c>
      <c r="C224" s="533" t="str">
        <f>IF(ISERROR(VLOOKUP(B224,'Base de Datos'!$C$7:$F$4092,2,0))=TRUE,"",(VLOOKUP('Presupuesto - PAA 2017'!B224,'Base de Datos'!$C$7:$F$4092,3,0)))</f>
        <v>150404-0-2015</v>
      </c>
      <c r="D224" s="533" t="str">
        <f>IF(ISERROR(VLOOKUP(B224,'Base de Datos'!$C$7:$F$4092,3,0))=TRUE,"",(VLOOKUP('Presupuesto - PAA 2017'!B224,'Base de Datos'!$C$7:$F$4092,4,0)))</f>
        <v>PUBLIDRUGS LTDA</v>
      </c>
      <c r="E224" s="580">
        <v>10832000</v>
      </c>
      <c r="F224" s="545" t="s">
        <v>390</v>
      </c>
      <c r="G224" s="536"/>
      <c r="H224" s="536"/>
      <c r="I224" s="536"/>
      <c r="J224" s="536">
        <f>IF(ISERROR(VLOOKUP(B224,'Base de Datos'!$C$7:$N$4092,6,0))=TRUE,"Sin Celebrar",(VLOOKUP(B224,'Base de Datos'!$C$7:$N$4092,7,0)))</f>
        <v>8404200</v>
      </c>
      <c r="K224" s="612"/>
      <c r="L224" s="554" t="str">
        <f>IF(J224=$AA$1,E224, " ")</f>
        <v xml:space="preserve"> </v>
      </c>
      <c r="M224" s="554"/>
      <c r="N224" s="554">
        <f>IF(J224&lt;E224,(E224-J224)," ")</f>
        <v>2427800</v>
      </c>
      <c r="O224" s="719" t="str">
        <f>IF(ISERROR(VLOOKUP(B224,'Base de Datos'!$C$7:$K$1048576,7,0))=TRUE," ",(VLOOKUP(B224,'Base de Datos'!$C$7:$K$1048576,8,0)))</f>
        <v>SDH-SMINC-064-2015</v>
      </c>
      <c r="P224" s="551">
        <f>IF(ISERROR(VLOOKUP(B224,'Base de Datos'!$C$7:$N$4077,9,0))=TRUE," ",(VLOOKUP(B224,'Base de Datos'!$C$7:$N$4077,10,0)))</f>
        <v>42352</v>
      </c>
      <c r="Q224" s="553" t="s">
        <v>378</v>
      </c>
      <c r="R224" s="551">
        <f>IF(ISERROR(VLOOKUP(B224,'Base de Datos'!$C$7:$N$4077,10,0))=TRUE," ",(VLOOKUP(B224,'Base de Datos'!$C$7:$N$4077,11,0)))</f>
        <v>42383</v>
      </c>
      <c r="S224" s="551">
        <f>IF(ISERROR(VLOOKUP(B224,'Base de Datos'!$C$7:$N$4077,11,0))=TRUE," ",(VLOOKUP(B224,'Base de Datos'!$C$7:$N$4077,12,0)))</f>
        <v>42443</v>
      </c>
      <c r="T224" s="533"/>
      <c r="U224" s="722"/>
      <c r="V224" s="634"/>
    </row>
    <row r="225" spans="2:22" s="615" customFormat="1" ht="15" customHeight="1" outlineLevel="1" x14ac:dyDescent="0.25">
      <c r="B225" s="878"/>
      <c r="C225" s="878"/>
      <c r="D225" s="878"/>
      <c r="E225" s="580"/>
      <c r="F225" s="534"/>
      <c r="G225" s="534"/>
      <c r="H225" s="534"/>
      <c r="I225" s="534"/>
      <c r="J225" s="580"/>
      <c r="K225" s="612"/>
      <c r="L225" s="580"/>
      <c r="M225" s="580"/>
      <c r="N225" s="580"/>
      <c r="O225" s="690"/>
      <c r="P225" s="613"/>
      <c r="Q225" s="614"/>
      <c r="R225" s="613"/>
      <c r="S225" s="613"/>
      <c r="T225" s="614"/>
      <c r="U225" s="722"/>
      <c r="V225" s="634"/>
    </row>
    <row r="226" spans="2:22" ht="15" customHeight="1" x14ac:dyDescent="0.25">
      <c r="B226" s="1183" t="s">
        <v>1688</v>
      </c>
      <c r="C226" s="1183"/>
      <c r="D226" s="1183"/>
      <c r="E226" s="541">
        <v>8242477000</v>
      </c>
      <c r="F226" s="542"/>
      <c r="G226" s="541">
        <f t="shared" ref="G226:N230" si="13">+G227</f>
        <v>7542477000</v>
      </c>
      <c r="H226" s="541">
        <f t="shared" si="13"/>
        <v>0</v>
      </c>
      <c r="I226" s="541">
        <f t="shared" si="13"/>
        <v>7542477000</v>
      </c>
      <c r="J226" s="541">
        <f t="shared" si="13"/>
        <v>11652295575.200001</v>
      </c>
      <c r="K226" s="583">
        <f t="shared" si="13"/>
        <v>1.4136885762859879</v>
      </c>
      <c r="L226" s="541" t="e">
        <f t="shared" si="13"/>
        <v>#N/A</v>
      </c>
      <c r="M226" s="576"/>
      <c r="N226" s="541" t="e">
        <f t="shared" si="13"/>
        <v>#N/A</v>
      </c>
      <c r="O226" s="674"/>
      <c r="P226" s="576"/>
      <c r="Q226" s="571"/>
      <c r="R226" s="577" t="str">
        <f>IF(ISERROR(VLOOKUP(B226,'Base de Datos'!$C$7:$N$315,9,0))=TRUE," ",(VLOOKUP(B226,'Base de Datos'!$C$7:$N$315,9,0)))</f>
        <v xml:space="preserve"> </v>
      </c>
      <c r="S226" s="577" t="str">
        <f>IF(ISERROR(VLOOKUP(B226,'Base de Datos'!$C$7:$N$315,10,0))=TRUE," ",(VLOOKUP(B226,'Base de Datos'!$C$7:$N$315,10,0)))</f>
        <v xml:space="preserve"> </v>
      </c>
      <c r="T226" s="571"/>
      <c r="U226" s="722"/>
      <c r="V226" s="634"/>
    </row>
    <row r="227" spans="2:22" ht="15" customHeight="1" x14ac:dyDescent="0.25">
      <c r="B227" s="1182" t="s">
        <v>1687</v>
      </c>
      <c r="C227" s="1182"/>
      <c r="D227" s="1182"/>
      <c r="E227" s="539">
        <v>8242477000</v>
      </c>
      <c r="F227" s="540"/>
      <c r="G227" s="543">
        <f t="shared" si="13"/>
        <v>7542477000</v>
      </c>
      <c r="H227" s="543">
        <f t="shared" si="13"/>
        <v>0</v>
      </c>
      <c r="I227" s="543">
        <f t="shared" si="13"/>
        <v>7542477000</v>
      </c>
      <c r="J227" s="543">
        <f t="shared" si="13"/>
        <v>11652295575.200001</v>
      </c>
      <c r="K227" s="601">
        <f t="shared" si="13"/>
        <v>1.4136885762859879</v>
      </c>
      <c r="L227" s="543" t="e">
        <f t="shared" si="13"/>
        <v>#N/A</v>
      </c>
      <c r="M227" s="543"/>
      <c r="N227" s="543" t="e">
        <f t="shared" si="13"/>
        <v>#N/A</v>
      </c>
      <c r="O227" s="689"/>
      <c r="P227" s="575" t="str">
        <f>IF(ISERROR(VLOOKUP(B227,'Base de Datos'!$C$7:$N$315,8,0))=TRUE," ",(VLOOKUP(B227,'Base de Datos'!$C$7:$N$315,8,0)))</f>
        <v xml:space="preserve"> </v>
      </c>
      <c r="Q227" s="569"/>
      <c r="R227" s="575" t="str">
        <f>IF(ISERROR(VLOOKUP(B227,'Base de Datos'!$C$7:$N$315,9,0))=TRUE," ",(VLOOKUP(B227,'Base de Datos'!$C$7:$N$315,9,0)))</f>
        <v xml:space="preserve"> </v>
      </c>
      <c r="S227" s="575" t="str">
        <f>IF(ISERROR(VLOOKUP(B227,'Base de Datos'!$C$7:$N$315,10,0))=TRUE," ",(VLOOKUP(B227,'Base de Datos'!$C$7:$N$315,10,0)))</f>
        <v xml:space="preserve"> </v>
      </c>
      <c r="T227" s="569"/>
      <c r="U227" s="722"/>
      <c r="V227" s="634"/>
    </row>
    <row r="228" spans="2:22" ht="15" customHeight="1" x14ac:dyDescent="0.25">
      <c r="B228" s="1180" t="s">
        <v>1676</v>
      </c>
      <c r="C228" s="1180"/>
      <c r="D228" s="1180"/>
      <c r="E228" s="543">
        <v>8242477000</v>
      </c>
      <c r="F228" s="540"/>
      <c r="G228" s="543">
        <f t="shared" si="13"/>
        <v>7542477000</v>
      </c>
      <c r="H228" s="543">
        <f t="shared" si="13"/>
        <v>0</v>
      </c>
      <c r="I228" s="543">
        <f t="shared" si="13"/>
        <v>7542477000</v>
      </c>
      <c r="J228" s="543">
        <f t="shared" si="13"/>
        <v>11652295575.200001</v>
      </c>
      <c r="K228" s="601">
        <f t="shared" si="13"/>
        <v>1.4136885762859879</v>
      </c>
      <c r="L228" s="543" t="e">
        <f t="shared" si="13"/>
        <v>#N/A</v>
      </c>
      <c r="M228" s="543"/>
      <c r="N228" s="543" t="e">
        <f t="shared" si="13"/>
        <v>#N/A</v>
      </c>
      <c r="O228" s="689"/>
      <c r="P228" s="575" t="str">
        <f>IF(ISERROR(VLOOKUP(B228,'Base de Datos'!$C$7:$N$315,8,0))=TRUE," ",(VLOOKUP(B228,'Base de Datos'!$C$7:$N$315,8,0)))</f>
        <v xml:space="preserve"> </v>
      </c>
      <c r="Q228" s="569"/>
      <c r="R228" s="575" t="str">
        <f>IF(ISERROR(VLOOKUP(B228,'Base de Datos'!$C$7:$N$315,9,0))=TRUE," ",(VLOOKUP(B228,'Base de Datos'!$C$7:$N$315,9,0)))</f>
        <v xml:space="preserve"> </v>
      </c>
      <c r="S228" s="575" t="str">
        <f>IF(ISERROR(VLOOKUP(B228,'Base de Datos'!$C$7:$N$315,10,0))=TRUE," ",(VLOOKUP(B228,'Base de Datos'!$C$7:$N$315,10,0)))</f>
        <v xml:space="preserve"> </v>
      </c>
      <c r="T228" s="569"/>
      <c r="U228" s="722"/>
      <c r="V228" s="634"/>
    </row>
    <row r="229" spans="2:22" ht="15" customHeight="1" x14ac:dyDescent="0.25">
      <c r="B229" s="1180" t="s">
        <v>1837</v>
      </c>
      <c r="C229" s="1180"/>
      <c r="D229" s="1180"/>
      <c r="E229" s="543">
        <v>8242477000</v>
      </c>
      <c r="F229" s="540"/>
      <c r="G229" s="543">
        <f t="shared" si="13"/>
        <v>7542477000</v>
      </c>
      <c r="H229" s="543">
        <f t="shared" si="13"/>
        <v>0</v>
      </c>
      <c r="I229" s="543">
        <f t="shared" si="13"/>
        <v>7542477000</v>
      </c>
      <c r="J229" s="543">
        <f t="shared" si="13"/>
        <v>11652295575.200001</v>
      </c>
      <c r="K229" s="601">
        <f t="shared" si="13"/>
        <v>1.4136885762859879</v>
      </c>
      <c r="L229" s="543" t="e">
        <f t="shared" si="13"/>
        <v>#N/A</v>
      </c>
      <c r="M229" s="543"/>
      <c r="N229" s="543" t="e">
        <f t="shared" si="13"/>
        <v>#N/A</v>
      </c>
      <c r="O229" s="689"/>
      <c r="P229" s="575" t="str">
        <f>IF(ISERROR(VLOOKUP(B229,'Base de Datos'!$C$7:$N$315,8,0))=TRUE," ",(VLOOKUP(B229,'Base de Datos'!$C$7:$N$315,8,0)))</f>
        <v xml:space="preserve"> </v>
      </c>
      <c r="Q229" s="569"/>
      <c r="R229" s="575" t="str">
        <f>IF(ISERROR(VLOOKUP(B229,'Base de Datos'!$C$7:$N$315,9,0))=TRUE," ",(VLOOKUP(B229,'Base de Datos'!$C$7:$N$315,9,0)))</f>
        <v xml:space="preserve"> </v>
      </c>
      <c r="S229" s="575" t="str">
        <f>IF(ISERROR(VLOOKUP(B229,'Base de Datos'!$C$7:$N$315,10,0))=TRUE," ",(VLOOKUP(B229,'Base de Datos'!$C$7:$N$315,10,0)))</f>
        <v xml:space="preserve"> </v>
      </c>
      <c r="T229" s="569"/>
      <c r="U229" s="722"/>
      <c r="V229" s="634"/>
    </row>
    <row r="230" spans="2:22" ht="15" customHeight="1" x14ac:dyDescent="0.25">
      <c r="B230" s="1180" t="s">
        <v>1836</v>
      </c>
      <c r="C230" s="1180"/>
      <c r="D230" s="1180"/>
      <c r="E230" s="543">
        <v>8242477000</v>
      </c>
      <c r="F230" s="540"/>
      <c r="G230" s="543">
        <f t="shared" si="13"/>
        <v>7542477000</v>
      </c>
      <c r="H230" s="543">
        <f t="shared" si="13"/>
        <v>0</v>
      </c>
      <c r="I230" s="543">
        <f t="shared" si="13"/>
        <v>7542477000</v>
      </c>
      <c r="J230" s="543">
        <f t="shared" si="13"/>
        <v>11652295575.200001</v>
      </c>
      <c r="K230" s="601">
        <f t="shared" si="13"/>
        <v>1.4136885762859879</v>
      </c>
      <c r="L230" s="543" t="e">
        <f t="shared" si="13"/>
        <v>#N/A</v>
      </c>
      <c r="M230" s="543"/>
      <c r="N230" s="543" t="e">
        <f t="shared" si="13"/>
        <v>#N/A</v>
      </c>
      <c r="O230" s="689"/>
      <c r="P230" s="575" t="str">
        <f>IF(ISERROR(VLOOKUP(B230,'Base de Datos'!$C$7:$N$315,8,0))=TRUE," ",(VLOOKUP(B230,'Base de Datos'!$C$7:$N$315,8,0)))</f>
        <v xml:space="preserve"> </v>
      </c>
      <c r="Q230" s="569"/>
      <c r="R230" s="575" t="str">
        <f>IF(ISERROR(VLOOKUP(B230,'Base de Datos'!$C$7:$N$315,9,0))=TRUE," ",(VLOOKUP(B230,'Base de Datos'!$C$7:$N$315,9,0)))</f>
        <v xml:space="preserve"> </v>
      </c>
      <c r="S230" s="575" t="str">
        <f>IF(ISERROR(VLOOKUP(B230,'Base de Datos'!$C$7:$N$315,10,0))=TRUE," ",(VLOOKUP(B230,'Base de Datos'!$C$7:$N$315,10,0)))</f>
        <v xml:space="preserve"> </v>
      </c>
      <c r="T230" s="569"/>
      <c r="U230" s="722"/>
      <c r="V230" s="634"/>
    </row>
    <row r="231" spans="2:22" ht="15" customHeight="1" x14ac:dyDescent="0.25">
      <c r="B231" s="1181" t="s">
        <v>1874</v>
      </c>
      <c r="C231" s="1181"/>
      <c r="D231" s="1181"/>
      <c r="E231" s="581">
        <v>8242477000</v>
      </c>
      <c r="F231" s="586">
        <f>COUNTIF('Actualizada - presupuesto'!$E$7:$E$111,B231)</f>
        <v>0</v>
      </c>
      <c r="G231" s="581">
        <v>7542477000</v>
      </c>
      <c r="H231" s="586"/>
      <c r="I231" s="581">
        <v>7542477000</v>
      </c>
      <c r="J231" s="581">
        <f>+J233+J241</f>
        <v>11652295575.200001</v>
      </c>
      <c r="K231" s="603">
        <f>J231/E231</f>
        <v>1.4136885762859879</v>
      </c>
      <c r="L231" s="581" t="e">
        <f>+L233+L241</f>
        <v>#N/A</v>
      </c>
      <c r="M231" s="581"/>
      <c r="N231" s="581" t="e">
        <f>+E231-J231-L231</f>
        <v>#N/A</v>
      </c>
      <c r="O231" s="684"/>
      <c r="P231" s="591" t="str">
        <f>IF(ISERROR(VLOOKUP(B231,'Base de Datos'!$C$7:$N$315,8,0))=TRUE," ",(VLOOKUP(B231,'Base de Datos'!$C$7:$N$315,8,0)))</f>
        <v xml:space="preserve"> </v>
      </c>
      <c r="Q231" s="592"/>
      <c r="R231" s="591" t="str">
        <f>IF(ISERROR(VLOOKUP(B231,'Base de Datos'!$C$7:$N$315,9,0))=TRUE," ",(VLOOKUP(B231,'Base de Datos'!$C$7:$N$315,9,0)))</f>
        <v xml:space="preserve"> </v>
      </c>
      <c r="S231" s="591" t="str">
        <f>IF(ISERROR(VLOOKUP(B231,'Base de Datos'!$C$7:$N$315,10,0))=TRUE," ",(VLOOKUP(B231,'Base de Datos'!$C$7:$N$315,10,0)))</f>
        <v xml:space="preserve"> </v>
      </c>
      <c r="T231" s="592"/>
      <c r="U231" s="722"/>
      <c r="V231" s="634"/>
    </row>
    <row r="232" spans="2:22" ht="24" outlineLevel="1" x14ac:dyDescent="0.25">
      <c r="B232" s="537" t="s">
        <v>1693</v>
      </c>
      <c r="C232" s="537" t="s">
        <v>912</v>
      </c>
      <c r="D232" s="537" t="s">
        <v>1822</v>
      </c>
      <c r="E232" s="545" t="s">
        <v>1846</v>
      </c>
      <c r="F232" s="534" t="s">
        <v>1853</v>
      </c>
      <c r="G232" s="534"/>
      <c r="H232" s="534"/>
      <c r="I232" s="534"/>
      <c r="J232" s="537" t="s">
        <v>1845</v>
      </c>
      <c r="K232" s="652"/>
      <c r="L232" s="537" t="s">
        <v>1939</v>
      </c>
      <c r="M232" s="537"/>
      <c r="N232" s="537" t="s">
        <v>1940</v>
      </c>
      <c r="O232" s="677"/>
      <c r="P232" s="568" t="s">
        <v>1847</v>
      </c>
      <c r="Q232" s="537" t="s">
        <v>1848</v>
      </c>
      <c r="R232" s="537" t="s">
        <v>1849</v>
      </c>
      <c r="S232" s="537" t="s">
        <v>375</v>
      </c>
      <c r="T232" s="537" t="s">
        <v>1850</v>
      </c>
      <c r="U232" s="722"/>
      <c r="V232" s="634"/>
    </row>
    <row r="233" spans="2:22" outlineLevel="1" x14ac:dyDescent="0.25">
      <c r="B233" s="616"/>
      <c r="C233" s="1182" t="s">
        <v>1910</v>
      </c>
      <c r="D233" s="1182"/>
      <c r="E233" s="618">
        <f>+E234</f>
        <v>400000000</v>
      </c>
      <c r="F233" s="540"/>
      <c r="G233" s="540"/>
      <c r="H233" s="540"/>
      <c r="I233" s="618">
        <v>400000000</v>
      </c>
      <c r="J233" s="622">
        <f>+J234</f>
        <v>4393265373</v>
      </c>
      <c r="K233" s="601">
        <f>+J233/I233</f>
        <v>10.9831634325</v>
      </c>
      <c r="L233" s="622" t="e">
        <f>+L234</f>
        <v>#N/A</v>
      </c>
      <c r="M233" s="543"/>
      <c r="N233" s="622" t="e">
        <f>+N234</f>
        <v>#N/A</v>
      </c>
      <c r="O233" s="692"/>
      <c r="P233" s="575" t="str">
        <f>IF(ISERROR(VLOOKUP(B233,'Base de Datos'!$C$7:$N$315,8,0))=TRUE," ",(VLOOKUP(B233,'Base de Datos'!$C$7:$N$315,8,0)))</f>
        <v xml:space="preserve"> </v>
      </c>
      <c r="Q233" s="569"/>
      <c r="R233" s="575" t="str">
        <f>IF(ISERROR(VLOOKUP(B233,'Base de Datos'!$C$7:$N$315,9,0))=TRUE," ",(VLOOKUP(B233,'Base de Datos'!$C$7:$N$315,9,0)))</f>
        <v xml:space="preserve"> </v>
      </c>
      <c r="S233" s="575" t="str">
        <f>IF(ISERROR(VLOOKUP(B233,'Base de Datos'!$C$7:$N$315,10,0))=TRUE," ",(VLOOKUP(B233,'Base de Datos'!$C$7:$N$315,10,0)))</f>
        <v xml:space="preserve"> </v>
      </c>
      <c r="T233" s="569"/>
      <c r="U233" s="722"/>
      <c r="V233" s="634"/>
    </row>
    <row r="234" spans="2:22" ht="31.5" customHeight="1" outlineLevel="1" x14ac:dyDescent="0.25">
      <c r="B234" s="537"/>
      <c r="C234" s="1197" t="s">
        <v>1911</v>
      </c>
      <c r="D234" s="1198"/>
      <c r="E234" s="637">
        <v>400000000</v>
      </c>
      <c r="F234" s="636"/>
      <c r="G234" s="636"/>
      <c r="H234" s="636"/>
      <c r="I234" s="636"/>
      <c r="J234" s="638">
        <f>SUM(J235:J239)</f>
        <v>4393265373</v>
      </c>
      <c r="K234" s="637"/>
      <c r="L234" s="638" t="e">
        <f>SUM(L235:L239)</f>
        <v>#N/A</v>
      </c>
      <c r="M234" s="639"/>
      <c r="N234" s="638" t="e">
        <f>+E234-J234-L234</f>
        <v>#N/A</v>
      </c>
      <c r="O234" s="693"/>
      <c r="P234" s="640" t="str">
        <f>IF(ISERROR(VLOOKUP(B234,'Base de Datos'!$C$7:$N$315,8,0))=TRUE," ",(VLOOKUP(B234,'Base de Datos'!$C$7:$N$315,8,0)))</f>
        <v xml:space="preserve"> </v>
      </c>
      <c r="Q234" s="641"/>
      <c r="R234" s="640" t="str">
        <f>IF(ISERROR(VLOOKUP(B234,'Base de Datos'!$C$7:$N$315,9,0))=TRUE," ",(VLOOKUP(B234,'Base de Datos'!$C$7:$N$315,9,0)))</f>
        <v xml:space="preserve"> </v>
      </c>
      <c r="S234" s="640" t="str">
        <f>IF(ISERROR(VLOOKUP(B234,'Base de Datos'!$C$7:$N$315,10,0))=TRUE," ",(VLOOKUP(B234,'Base de Datos'!$C$7:$N$315,10,0)))</f>
        <v xml:space="preserve"> </v>
      </c>
      <c r="T234" s="641"/>
      <c r="U234" s="722"/>
      <c r="V234" s="634"/>
    </row>
    <row r="235" spans="2:22" ht="13.5" customHeight="1" outlineLevel="1" x14ac:dyDescent="0.25">
      <c r="B235" s="627">
        <v>179</v>
      </c>
      <c r="C235" s="533" t="str">
        <f>IF(ISERROR(VLOOKUP(B235,'Base de Datos'!$C$487:$F$4092,2,0))=TRUE,"",(VLOOKUP('Presupuesto - PAA 2017'!B235,'Base de Datos'!$C$7:$F$4092,3,0)))</f>
        <v>150302-0-2015</v>
      </c>
      <c r="D235" s="533" t="str">
        <f>IF(ISERROR(VLOOKUP(B235,'Base de Datos'!$C$487:$F$4092,3,0))=TRUE,"",(VLOOKUP('Presupuesto - PAA 2017'!B235,'Base de Datos'!$C$487:$F$4092,4,0)))</f>
        <v>GRUPO TITANIUM SAS</v>
      </c>
      <c r="E235" s="536">
        <f>VLOOKUP(B235,[7]PAA2017!$C$65:$AA$255,20,0)</f>
        <v>300000000</v>
      </c>
      <c r="F235" s="534" t="str">
        <f>VLOOKUP(B235,[8]SOLICITUDES!$B$3:$H$278,2,0)</f>
        <v>SI</v>
      </c>
      <c r="G235" s="534"/>
      <c r="H235" s="534"/>
      <c r="I235" s="534"/>
      <c r="J235" s="536">
        <f>IF(ISERROR(VLOOKUP(B235,'Base de Datos'!$C$487:$N$4092,6,0))=TRUE,"Sin Celebrar",(VLOOKUP(B235,'Base de Datos'!$C$487:$N$4092,7,0)))</f>
        <v>241357373</v>
      </c>
      <c r="K235" s="600"/>
      <c r="L235" s="580" t="str">
        <f>IF(J235=$AA$1,E235, " ")</f>
        <v xml:space="preserve"> </v>
      </c>
      <c r="M235" s="536"/>
      <c r="N235" s="536">
        <f>IF(J235&lt;E235,(E235-J235)," ")</f>
        <v>58642627</v>
      </c>
      <c r="O235" s="719" t="str">
        <f>IF(ISERROR(VLOOKUP(B235,'Base de Datos'!$C$487:$K$1048576,7,0))=TRUE," ",(VLOOKUP(B235,'Base de Datos'!$C$487:$K$1048576,8,0)))</f>
        <v>SDH-SAMC-08-2017</v>
      </c>
      <c r="P235" s="551">
        <f>IF(ISERROR(VLOOKUP(B235,'Base de Datos'!$C$487:$N$4077,9,0))=TRUE," ",(VLOOKUP(B235,'Base de Datos'!$C$487:$N$4077,10,0)))</f>
        <v>42993</v>
      </c>
      <c r="Q235" s="737"/>
      <c r="R235" s="551">
        <f>IF(ISERROR(VLOOKUP(B235,'Base de Datos'!$C$487:$N$4077,10,0))=TRUE," ",(VLOOKUP(B235,'Base de Datos'!$C$487:$N$4077,11,0)))</f>
        <v>43053</v>
      </c>
      <c r="S235" s="551">
        <f>IF(ISERROR(VLOOKUP(B235,'Base de Datos'!$C$487:$N$4077,11,0))=TRUE," ",(VLOOKUP(B235,'Base de Datos'!$C$487:$N$4077,12,0)))</f>
        <v>43172</v>
      </c>
      <c r="T235" s="533" t="str">
        <f>VLOOKUP(B235,'Base de Datos'!$C$487:$AR$4129,41,0)</f>
        <v>SI</v>
      </c>
      <c r="U235" s="722"/>
      <c r="V235" s="634"/>
    </row>
    <row r="236" spans="2:22" ht="24" outlineLevel="1" x14ac:dyDescent="0.25">
      <c r="B236" s="627">
        <v>180</v>
      </c>
      <c r="C236" s="533" t="str">
        <f>IF(ISERROR(VLOOKUP(B236,'Base de Datos'!$C$487:$F$4092,2,0))=TRUE,"",(VLOOKUP('Presupuesto - PAA 2017'!B236,'Base de Datos'!$C$487:$F$4092,3,0)))</f>
        <v>180192-0-2018</v>
      </c>
      <c r="D236" s="533" t="str">
        <f>IF(ISERROR(VLOOKUP(B236,'Base de Datos'!$C$487:$F$4092,3,0))=TRUE,"",(VLOOKUP('Presupuesto - PAA 2017'!B236,'Base de Datos'!$C$487:$F$4092,4,0)))</f>
        <v>TEAM MANAGEMENT INFRASTRUCTURE SAS</v>
      </c>
      <c r="E236" s="536">
        <f>VLOOKUP(B236,[7]PAA2017!$C$65:$AA$255,20,0)</f>
        <v>450000000</v>
      </c>
      <c r="F236" s="534" t="e">
        <f>VLOOKUP(B236,[8]SOLICITUDES!$B$3:$H$278,2,0)</f>
        <v>#N/A</v>
      </c>
      <c r="G236" s="534"/>
      <c r="H236" s="534"/>
      <c r="I236" s="534"/>
      <c r="J236" s="536">
        <f>IF(ISERROR(VLOOKUP(B236,'Base de Datos'!$C$487:$N$4092,6,0))=TRUE,"Sin Celebrar",(VLOOKUP(B236,'Base de Datos'!$C$487:$N$4092,7,0)))</f>
        <v>43000000</v>
      </c>
      <c r="K236" s="600"/>
      <c r="L236" s="580" t="str">
        <f>IF(J236=$AA$1,E236, " ")</f>
        <v xml:space="preserve"> </v>
      </c>
      <c r="M236" s="536"/>
      <c r="N236" s="536">
        <f>IF(J236&lt;E236,(E236-J236)," ")</f>
        <v>407000000</v>
      </c>
      <c r="O236" s="719" t="str">
        <f>IF(ISERROR(VLOOKUP(B236,'Base de Datos'!$C$487:$K$1048576,7,0))=TRUE," ",(VLOOKUP(B236,'Base de Datos'!$C$487:$K$1048576,8,0)))</f>
        <v>SDH-SMINC-35-2018</v>
      </c>
      <c r="P236" s="551">
        <f>IF(ISERROR(VLOOKUP(B236,'Base de Datos'!$C$487:$N$4077,9,0))=TRUE," ",(VLOOKUP(B236,'Base de Datos'!$C$487:$N$4077,10,0)))</f>
        <v>43278</v>
      </c>
      <c r="Q236" s="737"/>
      <c r="R236" s="551">
        <f>IF(ISERROR(VLOOKUP(B236,'Base de Datos'!$C$487:$N$4077,10,0))=TRUE," ",(VLOOKUP(B236,'Base de Datos'!$C$487:$N$4077,11,0)))</f>
        <v>43286</v>
      </c>
      <c r="S236" s="551">
        <f>IF(ISERROR(VLOOKUP(B236,'Base de Datos'!$C$487:$N$4077,11,0))=TRUE," ",(VLOOKUP(B236,'Base de Datos'!$C$487:$N$4077,12,0)))</f>
        <v>43650</v>
      </c>
      <c r="T236" s="533" t="str">
        <f>VLOOKUP(B236,'Base de Datos'!$C$487:$AR$4129,41,0)</f>
        <v>SI</v>
      </c>
      <c r="U236" s="722"/>
      <c r="V236" s="634"/>
    </row>
    <row r="237" spans="2:22" outlineLevel="1" x14ac:dyDescent="0.25">
      <c r="B237" s="627">
        <v>181</v>
      </c>
      <c r="C237" s="533" t="str">
        <f>IF(ISERROR(VLOOKUP(B237,'Base de Datos'!$C$487:$F$4092,2,0))=TRUE,"",(VLOOKUP('Presupuesto - PAA 2017'!B237,'Base de Datos'!$C$487:$F$4092,3,0)))</f>
        <v>170002-0-2017</v>
      </c>
      <c r="D237" s="533" t="str">
        <f>IF(ISERROR(VLOOKUP(B237,'Base de Datos'!$C$487:$F$4092,3,0))=TRUE,"",(VLOOKUP('Presupuesto - PAA 2017'!B237,'Base de Datos'!$C$487:$F$4092,4,0)))</f>
        <v>UNIDAD NACIONAL DE PROTECCION - UNP</v>
      </c>
      <c r="E237" s="536">
        <f>VLOOKUP(B237,[7]PAA2017!$C$65:$AA$255,20,0)</f>
        <v>4250000000</v>
      </c>
      <c r="F237" s="534" t="str">
        <f>VLOOKUP(B237,[8]SOLICITUDES!$B$3:$H$278,2,0)</f>
        <v>SI</v>
      </c>
      <c r="G237" s="534"/>
      <c r="H237" s="534"/>
      <c r="I237" s="534"/>
      <c r="J237" s="536">
        <f>IF(ISERROR(VLOOKUP(B237,'Base de Datos'!$C$487:$N$4092,6,0))=TRUE,"Sin Celebrar",(VLOOKUP(B237,'Base de Datos'!$C$487:$N$4092,7,0)))</f>
        <v>4108908000</v>
      </c>
      <c r="K237" s="600"/>
      <c r="L237" s="580" t="str">
        <f>IF(J237=$AA$1,E237, " ")</f>
        <v xml:space="preserve"> </v>
      </c>
      <c r="M237" s="536"/>
      <c r="N237" s="536">
        <f>IF(J237&lt;E237,(E237-J237)," ")</f>
        <v>141092000</v>
      </c>
      <c r="O237" s="719" t="str">
        <f>IF(ISERROR(VLOOKUP(B237,'Base de Datos'!$C$487:$K$1048576,7,0))=TRUE," ",(VLOOKUP(B237,'Base de Datos'!$C$487:$K$1048576,8,0)))</f>
        <v>170002-0-2017</v>
      </c>
      <c r="P237" s="551">
        <f>IF(ISERROR(VLOOKUP(B237,'Base de Datos'!$C$487:$N$4077,9,0))=TRUE," ",(VLOOKUP(B237,'Base de Datos'!$C$487:$N$4077,10,0)))</f>
        <v>42748</v>
      </c>
      <c r="Q237" s="737"/>
      <c r="R237" s="551">
        <f>IF(ISERROR(VLOOKUP(B237,'Base de Datos'!$C$487:$N$4077,10,0))=TRUE," ",(VLOOKUP(B237,'Base de Datos'!$C$487:$N$4077,11,0)))</f>
        <v>42751</v>
      </c>
      <c r="S237" s="551">
        <f>IF(ISERROR(VLOOKUP(B237,'Base de Datos'!$C$487:$N$4077,11,0))=TRUE," ",(VLOOKUP(B237,'Base de Datos'!$C$487:$N$4077,12,0)))</f>
        <v>43070</v>
      </c>
      <c r="T237" s="533" t="str">
        <f>VLOOKUP(B237,'Base de Datos'!$C$487:$AR$4129,41,0)</f>
        <v>SI</v>
      </c>
      <c r="U237" s="722"/>
      <c r="V237" s="634"/>
    </row>
    <row r="238" spans="2:22" outlineLevel="1" x14ac:dyDescent="0.25">
      <c r="B238" s="537"/>
      <c r="C238" s="533" t="str">
        <f>IF(ISERROR(VLOOKUP(B238,'Base de Datos'!$C$487:$F$4092,2,0))=TRUE,"",(VLOOKUP('Presupuesto - PAA 2017'!B238,'Base de Datos'!$C$7:$F$4092,3,0)))</f>
        <v/>
      </c>
      <c r="D238" s="533" t="str">
        <f>IF(ISERROR(VLOOKUP(B238,'Base de Datos'!$C$487:$F$4092,3,0))=TRUE,"",(VLOOKUP('Presupuesto - PAA 2017'!B238,'Base de Datos'!$C$487:$F$4092,4,0)))</f>
        <v/>
      </c>
      <c r="E238" s="536" t="e">
        <f>VLOOKUP(B238,[7]PAA2017!$C$65:$AA$255,20,0)</f>
        <v>#N/A</v>
      </c>
      <c r="F238" s="534" t="e">
        <f>VLOOKUP(B238,[8]SOLICITUDES!$B$3:$H$278,2,0)</f>
        <v>#N/A</v>
      </c>
      <c r="G238" s="534"/>
      <c r="H238" s="534"/>
      <c r="I238" s="534"/>
      <c r="J238" s="536" t="str">
        <f>IF(ISERROR(VLOOKUP(B238,'Base de Datos'!$C$487:$N$4092,6,0))=TRUE,"Sin Celebrar",(VLOOKUP(B238,'Base de Datos'!$C$487:$N$4092,7,0)))</f>
        <v>Sin Celebrar</v>
      </c>
      <c r="K238" s="600"/>
      <c r="L238" s="580" t="e">
        <f>IF(J238=$AA$1,E238, " ")</f>
        <v>#N/A</v>
      </c>
      <c r="M238" s="536"/>
      <c r="N238" s="536" t="e">
        <f>IF(J238&lt;E238,(E238-J238)," ")</f>
        <v>#N/A</v>
      </c>
      <c r="O238" s="719" t="str">
        <f>IF(ISERROR(VLOOKUP(B238,'Base de Datos'!$C$487:$K$1048576,7,0))=TRUE," ",(VLOOKUP(B238,'Base de Datos'!$C$487:$K$1048576,8,0)))</f>
        <v xml:space="preserve"> </v>
      </c>
      <c r="P238" s="551" t="str">
        <f>IF(ISERROR(VLOOKUP(B238,'Base de Datos'!$C$487:$N$4077,9,0))=TRUE," ",(VLOOKUP(B238,'Base de Datos'!$C$487:$N$4077,10,0)))</f>
        <v xml:space="preserve"> </v>
      </c>
      <c r="Q238" s="737"/>
      <c r="R238" s="551" t="str">
        <f>IF(ISERROR(VLOOKUP(B238,'Base de Datos'!$C$487:$N$4077,10,0))=TRUE," ",(VLOOKUP(B238,'Base de Datos'!$C$487:$N$4077,11,0)))</f>
        <v xml:space="preserve"> </v>
      </c>
      <c r="S238" s="551" t="str">
        <f>IF(ISERROR(VLOOKUP(B238,'Base de Datos'!$C$487:$N$4077,11,0))=TRUE," ",(VLOOKUP(B238,'Base de Datos'!$C$487:$N$4077,12,0)))</f>
        <v xml:space="preserve"> </v>
      </c>
      <c r="T238" s="533" t="e">
        <f>VLOOKUP(B238,'Base de Datos'!$C$487:$AR$4129,41,0)</f>
        <v>#N/A</v>
      </c>
      <c r="U238" s="722"/>
      <c r="V238" s="634"/>
    </row>
    <row r="239" spans="2:22" outlineLevel="1" x14ac:dyDescent="0.25">
      <c r="B239" s="537"/>
      <c r="C239" s="533"/>
      <c r="D239" s="617" t="s">
        <v>1935</v>
      </c>
      <c r="E239" s="536" t="e">
        <f>+E234-SUM(E235:E238)</f>
        <v>#N/A</v>
      </c>
      <c r="F239" s="534"/>
      <c r="G239" s="534"/>
      <c r="H239" s="534"/>
      <c r="I239" s="534"/>
      <c r="J239" s="536"/>
      <c r="K239" s="536"/>
      <c r="L239" s="536"/>
      <c r="M239" s="536"/>
      <c r="N239" s="536" t="e">
        <f t="shared" ref="N239:N259" si="14">IF(J239&lt;E239,(E239-J239)," ")</f>
        <v>#N/A</v>
      </c>
      <c r="O239" s="678"/>
      <c r="P239" s="551" t="str">
        <f>IF(ISERROR(VLOOKUP(B239,'Base de Datos'!$C$7:$N$315,8,0))=TRUE," ",(VLOOKUP(B239,'Base de Datos'!$C$7:$N$315,8,0)))</f>
        <v xml:space="preserve"> </v>
      </c>
      <c r="Q239" s="533"/>
      <c r="R239" s="551" t="str">
        <f>IF(ISERROR(VLOOKUP(B239,'Base de Datos'!$C$7:$N$315,9,0))=TRUE," ",(VLOOKUP(B239,'Base de Datos'!$C$7:$N$315,9,0)))</f>
        <v xml:space="preserve"> </v>
      </c>
      <c r="S239" s="551" t="str">
        <f>IF(ISERROR(VLOOKUP(B239,'Base de Datos'!$C$7:$N$315,10,0))=TRUE," ",(VLOOKUP(B239,'Base de Datos'!$C$7:$N$315,10,0)))</f>
        <v xml:space="preserve"> </v>
      </c>
      <c r="T239" s="533"/>
      <c r="U239" s="722"/>
      <c r="V239" s="634"/>
    </row>
    <row r="240" spans="2:22" outlineLevel="1" x14ac:dyDescent="0.25">
      <c r="B240" s="537"/>
      <c r="C240" s="533"/>
      <c r="D240" s="617"/>
      <c r="E240" s="536"/>
      <c r="F240" s="534"/>
      <c r="G240" s="534"/>
      <c r="H240" s="534"/>
      <c r="I240" s="534"/>
      <c r="J240" s="536"/>
      <c r="K240" s="536"/>
      <c r="L240" s="536"/>
      <c r="M240" s="536"/>
      <c r="N240" s="536" t="str">
        <f t="shared" si="14"/>
        <v xml:space="preserve"> </v>
      </c>
      <c r="O240" s="678"/>
      <c r="P240" s="551" t="str">
        <f>IF(ISERROR(VLOOKUP(B240,'Base de Datos'!$C$7:$N$315,8,0))=TRUE," ",(VLOOKUP(B240,'Base de Datos'!$C$7:$N$315,8,0)))</f>
        <v xml:space="preserve"> </v>
      </c>
      <c r="Q240" s="533"/>
      <c r="R240" s="551" t="str">
        <f>IF(ISERROR(VLOOKUP(B240,'Base de Datos'!$C$7:$N$315,9,0))=TRUE," ",(VLOOKUP(B240,'Base de Datos'!$C$7:$N$315,9,0)))</f>
        <v xml:space="preserve"> </v>
      </c>
      <c r="S240" s="551" t="str">
        <f>IF(ISERROR(VLOOKUP(B240,'Base de Datos'!$C$7:$N$315,10,0))=TRUE," ",(VLOOKUP(B240,'Base de Datos'!$C$7:$N$315,10,0)))</f>
        <v xml:space="preserve"> </v>
      </c>
      <c r="T240" s="533"/>
      <c r="U240" s="722"/>
      <c r="V240" s="634"/>
    </row>
    <row r="241" spans="2:22" ht="24" customHeight="1" outlineLevel="1" x14ac:dyDescent="0.25">
      <c r="B241" s="616"/>
      <c r="C241" s="1182" t="s">
        <v>1914</v>
      </c>
      <c r="D241" s="1182"/>
      <c r="E241" s="543">
        <f>+E242+E244+E249+E251+E264</f>
        <v>7722182796</v>
      </c>
      <c r="F241" s="631"/>
      <c r="G241" s="540"/>
      <c r="H241" s="540"/>
      <c r="I241" s="540"/>
      <c r="J241" s="543">
        <f>+J242+J244+J249+J251+J264</f>
        <v>7259030202.1999998</v>
      </c>
      <c r="K241" s="601">
        <f>+J241/E241</f>
        <v>0.94002309890411972</v>
      </c>
      <c r="L241" s="543">
        <f>+L242+L244+L249+L251+L264</f>
        <v>450477000</v>
      </c>
      <c r="M241" s="536"/>
      <c r="N241" s="543">
        <f>+E241-J241-L241</f>
        <v>12675593.800000191</v>
      </c>
      <c r="O241" s="689"/>
      <c r="P241" s="575" t="str">
        <f>IF(ISERROR(VLOOKUP(B241,'Base de Datos'!$C$7:$N$315,8,0))=TRUE," ",(VLOOKUP(B241,'Base de Datos'!$C$7:$N$315,8,0)))</f>
        <v xml:space="preserve"> </v>
      </c>
      <c r="Q241" s="569"/>
      <c r="R241" s="575" t="str">
        <f>IF(ISERROR(VLOOKUP(B241,'Base de Datos'!$C$7:$N$315,9,0))=TRUE," ",(VLOOKUP(B241,'Base de Datos'!$C$7:$N$315,9,0)))</f>
        <v xml:space="preserve"> </v>
      </c>
      <c r="S241" s="575" t="str">
        <f>IF(ISERROR(VLOOKUP(B241,'Base de Datos'!$C$7:$N$315,10,0))=TRUE," ",(VLOOKUP(B241,'Base de Datos'!$C$7:$N$315,10,0)))</f>
        <v xml:space="preserve"> </v>
      </c>
      <c r="T241" s="569"/>
      <c r="U241" s="722"/>
      <c r="V241" s="634"/>
    </row>
    <row r="242" spans="2:22" ht="24.75" customHeight="1" outlineLevel="1" x14ac:dyDescent="0.25">
      <c r="B242" s="537"/>
      <c r="C242" s="1201" t="s">
        <v>1915</v>
      </c>
      <c r="D242" s="1201"/>
      <c r="E242" s="619">
        <v>450477000</v>
      </c>
      <c r="F242" s="876"/>
      <c r="G242" s="621"/>
      <c r="H242" s="621"/>
      <c r="I242" s="621"/>
      <c r="J242" s="620">
        <f>SUM(J243)</f>
        <v>0</v>
      </c>
      <c r="K242" s="623">
        <f>+J242/E242</f>
        <v>0</v>
      </c>
      <c r="L242" s="620">
        <f>SUM(L243)</f>
        <v>450477000</v>
      </c>
      <c r="M242" s="619"/>
      <c r="N242" s="649">
        <f>SUM(N243)</f>
        <v>0</v>
      </c>
      <c r="O242" s="694"/>
      <c r="P242" s="625" t="str">
        <f>IF(ISERROR(VLOOKUP(B242,'Base de Datos'!$C$7:$N$315,8,0))=TRUE," ",(VLOOKUP(B242,'Base de Datos'!$C$7:$N$315,8,0)))</f>
        <v xml:space="preserve"> </v>
      </c>
      <c r="Q242" s="876"/>
      <c r="R242" s="625" t="str">
        <f>IF(ISERROR(VLOOKUP(B242,'Base de Datos'!$C$7:$N$315,9,0))=TRUE," ",(VLOOKUP(B242,'Base de Datos'!$C$7:$N$315,9,0)))</f>
        <v xml:space="preserve"> </v>
      </c>
      <c r="S242" s="625" t="str">
        <f>IF(ISERROR(VLOOKUP(B242,'Base de Datos'!$C$7:$N$315,10,0))=TRUE," ",(VLOOKUP(B242,'Base de Datos'!$C$7:$N$315,10,0)))</f>
        <v xml:space="preserve"> </v>
      </c>
      <c r="T242" s="876"/>
      <c r="U242" s="722"/>
      <c r="V242" s="634"/>
    </row>
    <row r="243" spans="2:22" ht="15" customHeight="1" outlineLevel="1" x14ac:dyDescent="0.25">
      <c r="B243" s="537">
        <v>213</v>
      </c>
      <c r="C243" s="617"/>
      <c r="D243" s="617" t="s">
        <v>1916</v>
      </c>
      <c r="E243" s="580">
        <v>450477000</v>
      </c>
      <c r="F243" s="534" t="str">
        <f>VLOOKUP(B243,'Actualizada - presupuesto'!$D$7:$L$111,9,0)</f>
        <v>SI</v>
      </c>
      <c r="G243" s="534"/>
      <c r="H243" s="534"/>
      <c r="I243" s="534"/>
      <c r="J243" s="536" t="str">
        <f>IF(ISERROR(VLOOKUP(B243,'Base de Datos'!$C$7:$N$315,6,0))=TRUE,"Sin Celebrar",(VLOOKUP(B243,'Base de Datos'!$C$7:$N$315,6,0)))</f>
        <v>Sin Celebrar</v>
      </c>
      <c r="K243" s="536"/>
      <c r="L243" s="536">
        <f>IF(J243=$AA$1,E243, " ")</f>
        <v>450477000</v>
      </c>
      <c r="M243" s="536"/>
      <c r="N243" s="554" t="str">
        <f>IF(J243&lt;E243,(E243-J243)," ")</f>
        <v xml:space="preserve"> </v>
      </c>
      <c r="O243" s="679"/>
      <c r="P243" s="551" t="str">
        <f>IF(ISERROR(VLOOKUP(B243,'Base de Datos'!$C$7:$N$315,8,0))=TRUE," ",(VLOOKUP(B243,'Base de Datos'!$C$7:$N$315,8,0)))</f>
        <v xml:space="preserve"> </v>
      </c>
      <c r="Q243" s="533"/>
      <c r="R243" s="551" t="str">
        <f>IF(ISERROR(VLOOKUP(B243,'Base de Datos'!$C$7:$N$315,9,0))=TRUE," ",(VLOOKUP(B243,'Base de Datos'!$C$7:$N$315,9,0)))</f>
        <v xml:space="preserve"> </v>
      </c>
      <c r="S243" s="551" t="str">
        <f>IF(ISERROR(VLOOKUP(B243,'Base de Datos'!$C$7:$N$315,10,0))=TRUE," ",(VLOOKUP(B243,'Base de Datos'!$C$7:$N$315,10,0)))</f>
        <v xml:space="preserve"> </v>
      </c>
      <c r="T243" s="533" t="e">
        <f>VLOOKUP(C243,'Base de Datos'!$E$7:$AR$382,39,0)</f>
        <v>#N/A</v>
      </c>
      <c r="U243" s="722"/>
      <c r="V243" s="634"/>
    </row>
    <row r="244" spans="2:22" ht="27" customHeight="1" outlineLevel="1" x14ac:dyDescent="0.25">
      <c r="B244" s="537"/>
      <c r="C244" s="1201" t="s">
        <v>1917</v>
      </c>
      <c r="D244" s="1201"/>
      <c r="E244" s="619">
        <f>SUM(E245:E248)</f>
        <v>466869877</v>
      </c>
      <c r="F244" s="621"/>
      <c r="G244" s="621"/>
      <c r="H244" s="621"/>
      <c r="I244" s="621"/>
      <c r="J244" s="619">
        <f>SUM(J245:J248)</f>
        <v>466869877</v>
      </c>
      <c r="K244" s="623">
        <f>+J244/E244</f>
        <v>1</v>
      </c>
      <c r="L244" s="619">
        <f>SUM(L245:L248)</f>
        <v>0</v>
      </c>
      <c r="M244" s="619"/>
      <c r="N244" s="619">
        <f>+E244-J244-L244</f>
        <v>0</v>
      </c>
      <c r="O244" s="694"/>
      <c r="P244" s="625" t="str">
        <f>IF(ISERROR(VLOOKUP(B244,'Base de Datos'!$C$7:$N$315,8,0))=TRUE," ",(VLOOKUP(B244,'Base de Datos'!$C$7:$N$315,8,0)))</f>
        <v xml:space="preserve"> </v>
      </c>
      <c r="Q244" s="876"/>
      <c r="R244" s="625" t="str">
        <f>IF(ISERROR(VLOOKUP(B244,'Base de Datos'!$C$7:$N$315,9,0))=TRUE," ",(VLOOKUP(B244,'Base de Datos'!$C$7:$N$315,9,0)))</f>
        <v xml:space="preserve"> </v>
      </c>
      <c r="S244" s="625" t="str">
        <f>IF(ISERROR(VLOOKUP(B244,'Base de Datos'!$C$7:$N$315,10,0))=TRUE," ",(VLOOKUP(B244,'Base de Datos'!$C$7:$N$315,10,0)))</f>
        <v xml:space="preserve"> </v>
      </c>
      <c r="T244" s="876"/>
      <c r="U244" s="722"/>
      <c r="V244" s="634"/>
    </row>
    <row r="245" spans="2:22" outlineLevel="1" x14ac:dyDescent="0.25">
      <c r="B245" s="537">
        <v>208</v>
      </c>
      <c r="C245" s="533" t="str">
        <f>IF(ISERROR(VLOOKUP(B245,'Base de Datos'!$C$7:$F$4092,2,0))=TRUE,"",(VLOOKUP('Presupuesto - PAA 2017'!B245,'Base de Datos'!$C$7:$F$4092,3,0)))</f>
        <v>150192-0-2015</v>
      </c>
      <c r="D245" s="533" t="str">
        <f>IF(ISERROR(VLOOKUP(B245,'Base de Datos'!$C$7:$F$4092,3,0))=TRUE,"",(VLOOKUP('Presupuesto - PAA 2017'!B245,'Base de Datos'!$C$7:$F$4092,4,0)))</f>
        <v>INVERSIONES MATAY SAS</v>
      </c>
      <c r="E245" s="536">
        <v>379200000</v>
      </c>
      <c r="F245" s="534" t="str">
        <f>VLOOKUP(B245,'Actualizada - presupuesto'!$D$7:$L$111,9,0)</f>
        <v>SI</v>
      </c>
      <c r="G245" s="534"/>
      <c r="H245" s="534"/>
      <c r="I245" s="534"/>
      <c r="J245" s="536">
        <f>IF(ISERROR(VLOOKUP(B245,'Base de Datos'!$C$7:$N$4092,6,0))=TRUE,"Sin Celebrar",(VLOOKUP(B245,'Base de Datos'!$C$7:$N$4092,7,0)))</f>
        <v>379200000</v>
      </c>
      <c r="K245" s="536"/>
      <c r="L245" s="536" t="str">
        <f t="shared" ref="L245:L259" si="15">IF(J245=$AA$1,E245, " ")</f>
        <v xml:space="preserve"> </v>
      </c>
      <c r="M245" s="536"/>
      <c r="N245" s="536" t="str">
        <f t="shared" si="14"/>
        <v xml:space="preserve"> </v>
      </c>
      <c r="O245" s="719" t="str">
        <f>IF(ISERROR(VLOOKUP(B245,'Base de Datos'!$C$7:$K$1048576,7,0))=TRUE," ",(VLOOKUP(B245,'Base de Datos'!$C$7:$K$1048576,8,0)))</f>
        <v>150192-0-2015</v>
      </c>
      <c r="P245" s="551">
        <f>IF(ISERROR(VLOOKUP(B245,'Base de Datos'!$C$7:$N$4077,9,0))=TRUE," ",(VLOOKUP(B245,'Base de Datos'!$C$7:$N$4077,10,0)))</f>
        <v>42109</v>
      </c>
      <c r="Q245" s="533" t="s">
        <v>1854</v>
      </c>
      <c r="R245" s="551">
        <f>IF(ISERROR(VLOOKUP(B245,'Base de Datos'!$C$7:$N$4077,10,0))=TRUE," ",(VLOOKUP(B245,'Base de Datos'!$C$7:$N$4077,11,0)))</f>
        <v>42109</v>
      </c>
      <c r="S245" s="551">
        <f>IF(ISERROR(VLOOKUP(B245,'Base de Datos'!$C$7:$N$4077,11,0))=TRUE," ",(VLOOKUP(B245,'Base de Datos'!$C$7:$N$4077,12,0)))</f>
        <v>42429</v>
      </c>
      <c r="T245" s="533" t="str">
        <f ca="1">VLOOKUP(C245,'Base de Datos'!$E$7:$AR$382,39,0)</f>
        <v>NO</v>
      </c>
      <c r="U245" s="722"/>
      <c r="V245" s="634"/>
    </row>
    <row r="246" spans="2:22" outlineLevel="1" x14ac:dyDescent="0.25">
      <c r="B246" s="537">
        <v>263</v>
      </c>
      <c r="C246" s="533" t="s">
        <v>307</v>
      </c>
      <c r="D246" s="617" t="s">
        <v>1920</v>
      </c>
      <c r="E246" s="536">
        <v>87669877</v>
      </c>
      <c r="F246" s="534" t="str">
        <f>VLOOKUP(B246,'Actualizada - presupuesto'!$D$7:$L$111,9,0)</f>
        <v>SI</v>
      </c>
      <c r="G246" s="534"/>
      <c r="H246" s="534"/>
      <c r="I246" s="534"/>
      <c r="J246" s="536">
        <v>87669877</v>
      </c>
      <c r="K246" s="536"/>
      <c r="L246" s="536" t="str">
        <f t="shared" si="15"/>
        <v xml:space="preserve"> </v>
      </c>
      <c r="M246" s="536"/>
      <c r="N246" s="536" t="str">
        <f t="shared" si="14"/>
        <v xml:space="preserve"> </v>
      </c>
      <c r="O246" s="719">
        <f>IF(ISERROR(VLOOKUP(B246,'Base de Datos'!$C$7:$K$1048576,7,0))=TRUE," ",(VLOOKUP(B246,'Base de Datos'!$C$7:$K$1048576,7,0)))</f>
        <v>44000000</v>
      </c>
      <c r="P246" s="551" t="str">
        <f>IF(ISERROR(VLOOKUP(B246,'Base de Datos'!$C$7:$N$315,9,0))=TRUE," ",(VLOOKUP(B246,'Base de Datos'!$C$7:$N$315,9,0)))</f>
        <v xml:space="preserve"> </v>
      </c>
      <c r="Q246" s="533"/>
      <c r="R246" s="556" t="str">
        <f>IF(ISERROR(VLOOKUP(B246,'Base de Datos'!$C$7:$N$315,10,0))=TRUE," ",(VLOOKUP(B246,'Base de Datos'!$C$7:$N$315,10,0)))</f>
        <v xml:space="preserve"> </v>
      </c>
      <c r="S246" s="556" t="str">
        <f>IF(ISERROR(VLOOKUP(B246,'Base de Datos'!$C$7:$N$315,11,0))=TRUE," ",(VLOOKUP(B246,'Base de Datos'!$C$7:$N$315,11,0)))</f>
        <v xml:space="preserve"> </v>
      </c>
      <c r="T246" s="533" t="str">
        <f ca="1">VLOOKUP(C246,'Base de Datos'!$E$7:$AR$382,39,0)</f>
        <v>NO</v>
      </c>
      <c r="U246" s="722"/>
      <c r="V246" s="634"/>
    </row>
    <row r="247" spans="2:22" ht="24" outlineLevel="1" x14ac:dyDescent="0.25">
      <c r="B247" s="537">
        <v>209</v>
      </c>
      <c r="C247" s="553" t="str">
        <f>IF(ISERROR(VLOOKUP(B247,'Base de Datos'!$C$7:$F$4085,2,0))=TRUE,"",(VLOOKUP('Presupuesto - PAA 2017'!B247,'Base de Datos'!$C$7:$F$4085,2,0)))</f>
        <v>2016209</v>
      </c>
      <c r="D247" s="617" t="s">
        <v>1921</v>
      </c>
      <c r="E247" s="732"/>
      <c r="F247" s="534">
        <f>VLOOKUP(B247,'Actualizada - presupuesto'!$D$7:$L$111,9,0)</f>
        <v>0</v>
      </c>
      <c r="G247" s="534"/>
      <c r="H247" s="534"/>
      <c r="I247" s="534"/>
      <c r="J247" s="536" t="str">
        <f>IF(ISERROR(VLOOKUP(B247,'Base de Datos'!$C$7:$N$315,6,0))=TRUE,"Sin Celebrar",(VLOOKUP(B247,'Base de Datos'!$C$7:$N$315,6,0)))</f>
        <v>Sin Celebrar</v>
      </c>
      <c r="K247" s="536"/>
      <c r="L247" s="536"/>
      <c r="M247" s="536"/>
      <c r="N247" s="536" t="str">
        <f t="shared" si="14"/>
        <v xml:space="preserve"> </v>
      </c>
      <c r="O247" s="719">
        <f>IF(ISERROR(VLOOKUP(B247,'Base de Datos'!$C$7:$K$1048576,7,0))=TRUE," ",(VLOOKUP(B247,'Base de Datos'!$C$7:$K$1048576,7,0)))</f>
        <v>3000000</v>
      </c>
      <c r="P247" s="551" t="str">
        <f>IF(ISERROR(VLOOKUP(B247,'Base de Datos'!$C$7:$N$315,9,0))=TRUE," ",(VLOOKUP(B247,'Base de Datos'!$C$7:$N$315,9,0)))</f>
        <v xml:space="preserve"> </v>
      </c>
      <c r="Q247" s="533"/>
      <c r="R247" s="556" t="str">
        <f>IF(ISERROR(VLOOKUP(B247,'Base de Datos'!$C$7:$N$315,10,0))=TRUE," ",(VLOOKUP(B247,'Base de Datos'!$C$7:$N$315,10,0)))</f>
        <v xml:space="preserve"> </v>
      </c>
      <c r="S247" s="556" t="str">
        <f>IF(ISERROR(VLOOKUP(B247,'Base de Datos'!$C$7:$N$315,11,0))=TRUE," ",(VLOOKUP(B247,'Base de Datos'!$C$7:$N$315,11,0)))</f>
        <v xml:space="preserve"> </v>
      </c>
      <c r="T247" s="533" t="e">
        <f>VLOOKUP(C247,'Base de Datos'!$E$7:$AR$382,39,0)</f>
        <v>#N/A</v>
      </c>
      <c r="U247" s="722"/>
      <c r="V247" s="634"/>
    </row>
    <row r="248" spans="2:22" ht="24" outlineLevel="1" x14ac:dyDescent="0.25">
      <c r="B248" s="537">
        <v>211</v>
      </c>
      <c r="C248" s="553" t="str">
        <f>IF(ISERROR(VLOOKUP(B248,'Base de Datos'!$C$7:$F$4085,2,0))=TRUE,"",(VLOOKUP('Presupuesto - PAA 2017'!B248,'Base de Datos'!$C$7:$F$4085,2,0)))</f>
        <v>2016211</v>
      </c>
      <c r="D248" s="617" t="s">
        <v>1922</v>
      </c>
      <c r="E248" s="732"/>
      <c r="F248" s="534">
        <f>VLOOKUP(B248,'Actualizada - presupuesto'!$D$7:$L$111,9,0)</f>
        <v>0</v>
      </c>
      <c r="G248" s="534"/>
      <c r="H248" s="534"/>
      <c r="I248" s="534"/>
      <c r="J248" s="536" t="str">
        <f>IF(ISERROR(VLOOKUP(B248,'Base de Datos'!$C$7:$N$315,6,0))=TRUE,"Sin Celebrar",(VLOOKUP(B248,'Base de Datos'!$C$7:$N$315,6,0)))</f>
        <v>Sin Celebrar</v>
      </c>
      <c r="K248" s="536"/>
      <c r="L248" s="536"/>
      <c r="M248" s="536"/>
      <c r="N248" s="536" t="str">
        <f t="shared" si="14"/>
        <v xml:space="preserve"> </v>
      </c>
      <c r="O248" s="719">
        <f>IF(ISERROR(VLOOKUP(B248,'Base de Datos'!$C$7:$K$1048576,7,0))=TRUE," ",(VLOOKUP(B248,'Base de Datos'!$C$7:$K$1048576,7,0)))</f>
        <v>12928000</v>
      </c>
      <c r="P248" s="551" t="str">
        <f>IF(ISERROR(VLOOKUP(B248,'Base de Datos'!$C$7:$N$315,9,0))=TRUE," ",(VLOOKUP(B248,'Base de Datos'!$C$7:$N$315,9,0)))</f>
        <v xml:space="preserve"> </v>
      </c>
      <c r="Q248" s="533"/>
      <c r="R248" s="556" t="str">
        <f>IF(ISERROR(VLOOKUP(B248,'Base de Datos'!$C$7:$N$315,10,0))=TRUE," ",(VLOOKUP(B248,'Base de Datos'!$C$7:$N$315,10,0)))</f>
        <v xml:space="preserve"> </v>
      </c>
      <c r="S248" s="556" t="str">
        <f>IF(ISERROR(VLOOKUP(B248,'Base de Datos'!$C$7:$N$315,11,0))=TRUE," ",(VLOOKUP(B248,'Base de Datos'!$C$7:$N$315,11,0)))</f>
        <v xml:space="preserve"> </v>
      </c>
      <c r="T248" s="533" t="e">
        <f>VLOOKUP(C248,'Base de Datos'!$E$7:$AR$382,39,0)</f>
        <v>#N/A</v>
      </c>
      <c r="U248" s="722"/>
      <c r="V248" s="634"/>
    </row>
    <row r="249" spans="2:22" ht="24.75" customHeight="1" outlineLevel="1" x14ac:dyDescent="0.25">
      <c r="B249" s="537"/>
      <c r="C249" s="1201" t="s">
        <v>1923</v>
      </c>
      <c r="D249" s="1201"/>
      <c r="E249" s="619">
        <f>+E250</f>
        <v>0</v>
      </c>
      <c r="F249" s="621"/>
      <c r="G249" s="624"/>
      <c r="H249" s="624"/>
      <c r="I249" s="624"/>
      <c r="J249" s="619">
        <f>SUM(J250)</f>
        <v>0</v>
      </c>
      <c r="K249" s="623" t="e">
        <f>+J249/E249</f>
        <v>#DIV/0!</v>
      </c>
      <c r="L249" s="619">
        <f>SUM(L250)</f>
        <v>0</v>
      </c>
      <c r="M249" s="619"/>
      <c r="N249" s="619">
        <f>+E249-J249-L249</f>
        <v>0</v>
      </c>
      <c r="O249" s="694"/>
      <c r="P249" s="625" t="str">
        <f>IF(ISERROR(VLOOKUP(B249,'Base de Datos'!$C$7:$N$315,8,0))=TRUE," ",(VLOOKUP(B249,'Base de Datos'!$C$7:$N$315,8,0)))</f>
        <v xml:space="preserve"> </v>
      </c>
      <c r="Q249" s="876"/>
      <c r="R249" s="625" t="str">
        <f>IF(ISERROR(VLOOKUP(B249,'Base de Datos'!$C$7:$N$315,9,0))=TRUE," ",(VLOOKUP(B249,'Base de Datos'!$C$7:$N$315,9,0)))</f>
        <v xml:space="preserve"> </v>
      </c>
      <c r="S249" s="625" t="str">
        <f>IF(ISERROR(VLOOKUP(B249,'Base de Datos'!$C$7:$N$315,10,0))=TRUE," ",(VLOOKUP(B249,'Base de Datos'!$C$7:$N$315,10,0)))</f>
        <v xml:space="preserve"> </v>
      </c>
      <c r="T249" s="876"/>
      <c r="U249" s="722"/>
      <c r="V249" s="634"/>
    </row>
    <row r="250" spans="2:22" ht="36" outlineLevel="1" x14ac:dyDescent="0.25">
      <c r="B250" s="537">
        <v>212</v>
      </c>
      <c r="C250" s="553">
        <f>IF(ISERROR(VLOOKUP(B250,'Base de Datos'!$C$7:$F$4085,2,0))=TRUE,"",(VLOOKUP('Presupuesto - PAA 2017'!B250,'Base de Datos'!$C$7:$F$4085,2,0)))</f>
        <v>0</v>
      </c>
      <c r="D250" s="617" t="s">
        <v>1924</v>
      </c>
      <c r="E250" s="732"/>
      <c r="F250" s="534">
        <f>VLOOKUP(B250,'Actualizada - presupuesto'!$D$7:$L$111,9,0)</f>
        <v>0</v>
      </c>
      <c r="G250" s="534"/>
      <c r="H250" s="534"/>
      <c r="I250" s="534"/>
      <c r="J250" s="536" t="str">
        <f>IF(ISERROR(VLOOKUP(B250,'Base de Datos'!$C$7:$N$315,6,0))=TRUE,"Sin Celebrar",(VLOOKUP(B250,'Base de Datos'!$C$7:$N$315,6,0)))</f>
        <v>Sin Celebrar</v>
      </c>
      <c r="K250" s="536"/>
      <c r="L250" s="536"/>
      <c r="M250" s="536"/>
      <c r="N250" s="536" t="str">
        <f t="shared" si="14"/>
        <v xml:space="preserve"> </v>
      </c>
      <c r="O250" s="719">
        <f>IF(ISERROR(VLOOKUP(B250,'Base de Datos'!$C$7:$K$1048576,7,0))=TRUE," ",(VLOOKUP(B250,'Base de Datos'!$C$7:$K$1048576,7,0)))</f>
        <v>480000000</v>
      </c>
      <c r="P250" s="551" t="str">
        <f>IF(ISERROR(VLOOKUP(B250,'Base de Datos'!$C$7:$N$315,9,0))=TRUE," ",(VLOOKUP(B250,'Base de Datos'!$C$7:$N$315,9,0)))</f>
        <v xml:space="preserve"> </v>
      </c>
      <c r="Q250" s="533"/>
      <c r="R250" s="556" t="str">
        <f>IF(ISERROR(VLOOKUP(B250,'Base de Datos'!$C$7:$N$315,10,0))=TRUE," ",(VLOOKUP(B250,'Base de Datos'!$C$7:$N$315,10,0)))</f>
        <v xml:space="preserve"> </v>
      </c>
      <c r="S250" s="556" t="str">
        <f>IF(ISERROR(VLOOKUP(B250,'Base de Datos'!$C$7:$N$315,11,0))=TRUE," ",(VLOOKUP(B250,'Base de Datos'!$C$7:$N$315,11,0)))</f>
        <v xml:space="preserve"> </v>
      </c>
      <c r="T250" s="533" t="e">
        <f>VLOOKUP(C250,'Base de Datos'!$E$7:$AR$382,39,0)</f>
        <v>#N/A</v>
      </c>
      <c r="U250" s="722"/>
      <c r="V250" s="634"/>
    </row>
    <row r="251" spans="2:22" outlineLevel="1" x14ac:dyDescent="0.25">
      <c r="B251" s="537"/>
      <c r="C251" s="1200" t="s">
        <v>1925</v>
      </c>
      <c r="D251" s="1200"/>
      <c r="E251" s="619">
        <f>SUM(E252:E260)</f>
        <v>2630558934</v>
      </c>
      <c r="F251" s="621"/>
      <c r="G251" s="621"/>
      <c r="H251" s="621"/>
      <c r="I251" s="621"/>
      <c r="J251" s="619">
        <f>SUM(J252:J260)</f>
        <v>2617883340.1999998</v>
      </c>
      <c r="K251" s="623">
        <f>+J251/E251</f>
        <v>0.99518140664473698</v>
      </c>
      <c r="L251" s="619">
        <f>SUM(L252:L260)</f>
        <v>0</v>
      </c>
      <c r="M251" s="619"/>
      <c r="N251" s="619">
        <f>+E251-J251-L251</f>
        <v>12675593.800000191</v>
      </c>
      <c r="O251" s="694"/>
      <c r="P251" s="625" t="str">
        <f>IF(ISERROR(VLOOKUP(B251,'Base de Datos'!$C$7:$N$315,8,0))=TRUE," ",(VLOOKUP(B251,'Base de Datos'!$C$7:$N$315,8,0)))</f>
        <v xml:space="preserve"> </v>
      </c>
      <c r="Q251" s="876"/>
      <c r="R251" s="625" t="str">
        <f>IF(ISERROR(VLOOKUP(B251,'Base de Datos'!$C$7:$N$315,9,0))=TRUE," ",(VLOOKUP(B251,'Base de Datos'!$C$7:$N$315,9,0)))</f>
        <v xml:space="preserve"> </v>
      </c>
      <c r="S251" s="625" t="str">
        <f>IF(ISERROR(VLOOKUP(B251,'Base de Datos'!$C$7:$N$315,10,0))=TRUE," ",(VLOOKUP(B251,'Base de Datos'!$C$7:$N$315,10,0)))</f>
        <v xml:space="preserve"> </v>
      </c>
      <c r="T251" s="876"/>
      <c r="U251" s="722"/>
      <c r="V251" s="634"/>
    </row>
    <row r="252" spans="2:22" s="615" customFormat="1" ht="15" customHeight="1" outlineLevel="1" x14ac:dyDescent="0.25">
      <c r="B252" s="627">
        <v>70</v>
      </c>
      <c r="C252" s="533" t="str">
        <f>IF(ISERROR(VLOOKUP(B252,'Base de Datos'!$C$7:$F$4092,2,0))=TRUE,"",(VLOOKUP('Presupuesto - PAA 2017'!B252,'Base de Datos'!$C$7:$F$4092,3,0)))</f>
        <v>150321-0-2015</v>
      </c>
      <c r="D252" s="533" t="str">
        <f>IF(ISERROR(VLOOKUP(B252,'Base de Datos'!$C$7:$F$4092,3,0))=TRUE,"",(VLOOKUP('Presupuesto - PAA 2017'!B252,'Base de Datos'!$C$7:$F$4092,4,0)))</f>
        <v>BUSINESSMIND COLOMBIA SA</v>
      </c>
      <c r="E252" s="580">
        <v>31577404</v>
      </c>
      <c r="F252" s="534" t="str">
        <f>VLOOKUP(B252,'Actualizada - presupuesto'!$D$7:$L$111,9,0)</f>
        <v>SI</v>
      </c>
      <c r="G252" s="534"/>
      <c r="H252" s="534"/>
      <c r="I252" s="534"/>
      <c r="J252" s="536">
        <f>IF(ISERROR(VLOOKUP(B252,'Base de Datos'!$C$7:$N$4092,6,0))=TRUE,"Sin Celebrar",(VLOOKUP(B252,'Base de Datos'!$C$7:$N$4092,7,0)))</f>
        <v>31577404</v>
      </c>
      <c r="K252" s="580"/>
      <c r="L252" s="580" t="str">
        <f t="shared" si="15"/>
        <v xml:space="preserve"> </v>
      </c>
      <c r="M252" s="580"/>
      <c r="N252" s="580" t="str">
        <f t="shared" si="14"/>
        <v xml:space="preserve"> </v>
      </c>
      <c r="O252" s="719" t="str">
        <f>IF(ISERROR(VLOOKUP(B252,'Base de Datos'!$C$7:$K$1048576,7,0))=TRUE," ",(VLOOKUP(B252,'Base de Datos'!$C$7:$K$1048576,8,0)))</f>
        <v>SDH-SMINC-043-2015</v>
      </c>
      <c r="P252" s="551">
        <f>IF(ISERROR(VLOOKUP(B252,'Base de Datos'!$C$7:$N$4077,9,0))=TRUE," ",(VLOOKUP(B252,'Base de Datos'!$C$7:$N$4077,10,0)))</f>
        <v>42208</v>
      </c>
      <c r="Q252" s="614" t="s">
        <v>378</v>
      </c>
      <c r="R252" s="551">
        <f>IF(ISERROR(VLOOKUP(B252,'Base de Datos'!$C$7:$N$4077,10,0))=TRUE," ",(VLOOKUP(B252,'Base de Datos'!$C$7:$N$4077,11,0)))</f>
        <v>42221</v>
      </c>
      <c r="S252" s="551">
        <f>IF(ISERROR(VLOOKUP(B252,'Base de Datos'!$C$7:$N$4077,11,0))=TRUE," ",(VLOOKUP(B252,'Base de Datos'!$C$7:$N$4077,12,0)))</f>
        <v>42282</v>
      </c>
      <c r="T252" s="533" t="str">
        <f ca="1">VLOOKUP(C252,'Base de Datos'!$E$7:$AR$382,39,0)</f>
        <v>NO</v>
      </c>
      <c r="U252" s="722"/>
      <c r="V252" s="634"/>
    </row>
    <row r="253" spans="2:22" s="615" customFormat="1" ht="14.25" customHeight="1" outlineLevel="1" x14ac:dyDescent="0.25">
      <c r="B253" s="627">
        <v>71</v>
      </c>
      <c r="C253" s="533" t="str">
        <f>IF(ISERROR(VLOOKUP(B253,'Base de Datos'!$C$7:$F$4092,2,0))=TRUE,"",(VLOOKUP('Presupuesto - PAA 2017'!B253,'Base de Datos'!$C$7:$F$4092,3,0)))</f>
        <v>150254-0-2015</v>
      </c>
      <c r="D253" s="533" t="str">
        <f>IF(ISERROR(VLOOKUP(B253,'Base de Datos'!$C$7:$F$4092,3,0))=TRUE,"",(VLOOKUP('Presupuesto - PAA 2017'!B253,'Base de Datos'!$C$7:$F$4092,4,0)))</f>
        <v>OFICOMCO SAS</v>
      </c>
      <c r="E253" s="580">
        <v>11167296</v>
      </c>
      <c r="F253" s="534" t="str">
        <f>VLOOKUP(B253,'Actualizada - presupuesto'!$D$7:$L$111,9,0)</f>
        <v>SI</v>
      </c>
      <c r="G253" s="534"/>
      <c r="H253" s="534"/>
      <c r="I253" s="534"/>
      <c r="J253" s="536">
        <f>IF(ISERROR(VLOOKUP(B253,'Base de Datos'!$C$7:$N$4092,6,0))=TRUE,"Sin Celebrar",(VLOOKUP(B253,'Base de Datos'!$C$7:$N$4092,7,0)))</f>
        <v>11167296</v>
      </c>
      <c r="K253" s="580"/>
      <c r="L253" s="580" t="str">
        <f t="shared" si="15"/>
        <v xml:space="preserve"> </v>
      </c>
      <c r="M253" s="580"/>
      <c r="N253" s="580" t="str">
        <f t="shared" si="14"/>
        <v xml:space="preserve"> </v>
      </c>
      <c r="O253" s="719" t="str">
        <f>IF(ISERROR(VLOOKUP(B253,'Base de Datos'!$C$7:$K$1048576,7,0))=TRUE," ",(VLOOKUP(B253,'Base de Datos'!$C$7:$K$1048576,8,0)))</f>
        <v>SDH-SMINC-32-2015</v>
      </c>
      <c r="P253" s="551">
        <f>IF(ISERROR(VLOOKUP(B253,'Base de Datos'!$C$7:$N$4077,9,0))=TRUE," ",(VLOOKUP(B253,'Base de Datos'!$C$7:$N$4077,10,0)))</f>
        <v>42167</v>
      </c>
      <c r="Q253" s="614" t="s">
        <v>378</v>
      </c>
      <c r="R253" s="551">
        <f>IF(ISERROR(VLOOKUP(B253,'Base de Datos'!$C$7:$N$4077,10,0))=TRUE," ",(VLOOKUP(B253,'Base de Datos'!$C$7:$N$4077,11,0)))</f>
        <v>42188</v>
      </c>
      <c r="S253" s="551">
        <f>IF(ISERROR(VLOOKUP(B253,'Base de Datos'!$C$7:$N$4077,11,0))=TRUE," ",(VLOOKUP(B253,'Base de Datos'!$C$7:$N$4077,12,0)))</f>
        <v>42250</v>
      </c>
      <c r="T253" s="533" t="str">
        <f ca="1">VLOOKUP(C253,'Base de Datos'!$E$7:$AR$382,39,0)</f>
        <v>NO</v>
      </c>
      <c r="U253" s="722"/>
      <c r="V253" s="634"/>
    </row>
    <row r="254" spans="2:22" s="615" customFormat="1" ht="24" outlineLevel="1" x14ac:dyDescent="0.25">
      <c r="B254" s="627">
        <v>73</v>
      </c>
      <c r="C254" s="553">
        <f>IF(ISERROR(VLOOKUP(B254,'Base de Datos'!$C$7:$F$4085,2,0))=TRUE,"",(VLOOKUP('Presupuesto - PAA 2017'!B254,'Base de Datos'!$C$7:$F$4085,2,0)))</f>
        <v>0</v>
      </c>
      <c r="D254" s="628" t="s">
        <v>1928</v>
      </c>
      <c r="E254" s="732"/>
      <c r="F254" s="534" t="str">
        <f>VLOOKUP(B254,'Actualizada - presupuesto'!$D$7:$L$111,9,0)</f>
        <v>SI</v>
      </c>
      <c r="G254" s="614"/>
      <c r="H254" s="614"/>
      <c r="I254" s="614"/>
      <c r="J254" s="536">
        <f>IF(ISERROR(VLOOKUP(B254,'Base de Datos'!$C$7:$N$4092,6,0))=TRUE,"Sin Celebrar",(VLOOKUP(B254,'Base de Datos'!$C$7:$N$4092,7,0)))</f>
        <v>8320000</v>
      </c>
      <c r="K254" s="580"/>
      <c r="L254" s="580" t="str">
        <f t="shared" si="15"/>
        <v xml:space="preserve"> </v>
      </c>
      <c r="M254" s="614"/>
      <c r="N254" s="580" t="str">
        <f t="shared" si="14"/>
        <v xml:space="preserve"> </v>
      </c>
      <c r="O254" s="719" t="str">
        <f>IF(ISERROR(VLOOKUP(B254,'Base de Datos'!$C$7:$K$1048576,7,0))=TRUE," ",(VLOOKUP(B254,'Base de Datos'!$C$7:$K$1048576,8,0)))</f>
        <v>170186-0-2017</v>
      </c>
      <c r="P254" s="551">
        <f>IF(ISERROR(VLOOKUP(B254,'Base de Datos'!$C$7:$N$4077,9,0))=TRUE," ",(VLOOKUP(B254,'Base de Datos'!$C$7:$N$4077,10,0)))</f>
        <v>42934</v>
      </c>
      <c r="Q254" s="614"/>
      <c r="R254" s="551">
        <f>IF(ISERROR(VLOOKUP(B254,'Base de Datos'!$C$7:$N$4077,10,0))=TRUE," ",(VLOOKUP(B254,'Base de Datos'!$C$7:$N$4077,11,0)))</f>
        <v>42941</v>
      </c>
      <c r="S254" s="551">
        <f>IF(ISERROR(VLOOKUP(B254,'Base de Datos'!$C$7:$N$4077,11,0))=TRUE," ",(VLOOKUP(B254,'Base de Datos'!$C$7:$N$4077,12,0)))</f>
        <v>43215</v>
      </c>
      <c r="T254" s="533" t="e">
        <f>VLOOKUP(C254,'Base de Datos'!$E$7:$AR$382,39,0)</f>
        <v>#N/A</v>
      </c>
      <c r="U254" s="722"/>
      <c r="V254" s="634"/>
    </row>
    <row r="255" spans="2:22" s="615" customFormat="1" outlineLevel="1" x14ac:dyDescent="0.25">
      <c r="B255" s="627">
        <v>74</v>
      </c>
      <c r="C255" s="533" t="str">
        <f>IF(ISERROR(VLOOKUP(B255,'Base de Datos'!$C$7:$F$4092,2,0))=TRUE,"",(VLOOKUP('Presupuesto - PAA 2017'!B255,'Base de Datos'!$C$7:$F$4092,3,0)))</f>
        <v>150382-0-2015</v>
      </c>
      <c r="D255" s="533" t="str">
        <f>IF(ISERROR(VLOOKUP(B255,'Base de Datos'!$C$7:$F$4092,3,0))=TRUE,"",(VLOOKUP('Presupuesto - PAA 2017'!B255,'Base de Datos'!$C$7:$F$4092,4,0)))</f>
        <v>OPENLINK SISTEMAS DE REDES DE DATOS S A S</v>
      </c>
      <c r="E255" s="580">
        <v>1544000000</v>
      </c>
      <c r="F255" s="534" t="s">
        <v>390</v>
      </c>
      <c r="G255" s="614"/>
      <c r="H255" s="614"/>
      <c r="I255" s="614"/>
      <c r="J255" s="536">
        <f>IF(ISERROR(VLOOKUP(B255,'Base de Datos'!$C$7:$N$4092,6,0))=TRUE,"Sin Celebrar",(VLOOKUP(B255,'Base de Datos'!$C$7:$N$4092,7,0)))</f>
        <v>1512217703</v>
      </c>
      <c r="K255" s="580"/>
      <c r="L255" s="580" t="str">
        <f t="shared" si="15"/>
        <v xml:space="preserve"> </v>
      </c>
      <c r="M255" s="614"/>
      <c r="N255" s="580">
        <f t="shared" si="14"/>
        <v>31782297</v>
      </c>
      <c r="O255" s="719" t="str">
        <f>IF(ISERROR(VLOOKUP(B255,'Base de Datos'!$C$7:$K$1048576,7,0))=TRUE," ",(VLOOKUP(B255,'Base de Datos'!$C$7:$K$1048576,8,0)))</f>
        <v>SDH-SIE-14-2015</v>
      </c>
      <c r="P255" s="551">
        <f>IF(ISERROR(VLOOKUP(B255,'Base de Datos'!$C$7:$N$4077,9,0))=TRUE," ",(VLOOKUP(B255,'Base de Datos'!$C$7:$N$4077,10,0)))</f>
        <v>42311</v>
      </c>
      <c r="Q255" s="614"/>
      <c r="R255" s="551">
        <f>IF(ISERROR(VLOOKUP(B255,'Base de Datos'!$C$7:$N$4077,10,0))=TRUE," ",(VLOOKUP(B255,'Base de Datos'!$C$7:$N$4077,11,0)))</f>
        <v>42333</v>
      </c>
      <c r="S255" s="551">
        <f>IF(ISERROR(VLOOKUP(B255,'Base de Datos'!$C$7:$N$4077,11,0))=TRUE," ",(VLOOKUP(B255,'Base de Datos'!$C$7:$N$4077,12,0)))</f>
        <v>42515</v>
      </c>
      <c r="T255" s="533" t="str">
        <f ca="1">VLOOKUP(C255,'Base de Datos'!$E$7:$AR$382,39,0)</f>
        <v>NO</v>
      </c>
      <c r="U255" s="722"/>
      <c r="V255" s="634"/>
    </row>
    <row r="256" spans="2:22" s="615" customFormat="1" ht="17.25" customHeight="1" outlineLevel="1" x14ac:dyDescent="0.25">
      <c r="B256" s="627">
        <v>75</v>
      </c>
      <c r="C256" s="533" t="str">
        <f>IF(ISERROR(VLOOKUP(B256,'Base de Datos'!$C$7:$F$4092,2,0))=TRUE,"",(VLOOKUP('Presupuesto - PAA 2017'!B256,'Base de Datos'!$C$7:$F$4092,3,0)))</f>
        <v>150236-0-2015</v>
      </c>
      <c r="D256" s="533" t="str">
        <f>IF(ISERROR(VLOOKUP(B256,'Base de Datos'!$C$7:$F$4092,3,0))=TRUE,"",(VLOOKUP('Presupuesto - PAA 2017'!B256,'Base de Datos'!$C$7:$F$4092,4,0)))</f>
        <v>SISTEG SAS</v>
      </c>
      <c r="E256" s="580">
        <v>8086410</v>
      </c>
      <c r="F256" s="534" t="str">
        <f>VLOOKUP(B256,'Actualizada - presupuesto'!$D$7:$L$111,9,0)</f>
        <v>SI</v>
      </c>
      <c r="G256" s="614"/>
      <c r="H256" s="614"/>
      <c r="I256" s="614"/>
      <c r="J256" s="536">
        <f>IF(ISERROR(VLOOKUP(B256,'Base de Datos'!$C$7:$N$4092,6,0))=TRUE,"Sin Celebrar",(VLOOKUP(B256,'Base de Datos'!$C$7:$N$4092,7,0)))</f>
        <v>8086410</v>
      </c>
      <c r="K256" s="580"/>
      <c r="L256" s="580" t="str">
        <f t="shared" si="15"/>
        <v xml:space="preserve"> </v>
      </c>
      <c r="M256" s="614"/>
      <c r="N256" s="580" t="str">
        <f t="shared" si="14"/>
        <v xml:space="preserve"> </v>
      </c>
      <c r="O256" s="719" t="str">
        <f>IF(ISERROR(VLOOKUP(B256,'Base de Datos'!$C$7:$K$1048576,7,0))=TRUE," ",(VLOOKUP(B256,'Base de Datos'!$C$7:$K$1048576,8,0)))</f>
        <v>SDH-SMINC-30-2015</v>
      </c>
      <c r="P256" s="551">
        <f>IF(ISERROR(VLOOKUP(B256,'Base de Datos'!$C$7:$N$4077,9,0))=TRUE," ",(VLOOKUP(B256,'Base de Datos'!$C$7:$N$4077,10,0)))</f>
        <v>42152</v>
      </c>
      <c r="Q256" s="533" t="s">
        <v>378</v>
      </c>
      <c r="R256" s="551">
        <f>IF(ISERROR(VLOOKUP(B256,'Base de Datos'!$C$7:$N$4077,10,0))=TRUE," ",(VLOOKUP(B256,'Base de Datos'!$C$7:$N$4077,11,0)))</f>
        <v>42165</v>
      </c>
      <c r="S256" s="551">
        <f>IF(ISERROR(VLOOKUP(B256,'Base de Datos'!$C$7:$N$4077,11,0))=TRUE," ",(VLOOKUP(B256,'Base de Datos'!$C$7:$N$4077,12,0)))</f>
        <v>42226</v>
      </c>
      <c r="T256" s="533" t="str">
        <f ca="1">VLOOKUP(C256,'Base de Datos'!$E$7:$AR$382,39,0)</f>
        <v>NO</v>
      </c>
      <c r="U256" s="722"/>
      <c r="V256" s="634"/>
    </row>
    <row r="257" spans="2:22" s="615" customFormat="1" outlineLevel="1" x14ac:dyDescent="0.25">
      <c r="B257" s="627">
        <v>314</v>
      </c>
      <c r="C257" s="533" t="str">
        <f>IF(ISERROR(VLOOKUP(B257,'Base de Datos'!$C$7:$F$4092,2,0))=TRUE,"",(VLOOKUP('Presupuesto - PAA 2017'!B257,'Base de Datos'!$C$7:$F$4092,3,0)))</f>
        <v>150308-0-2015</v>
      </c>
      <c r="D257" s="533" t="str">
        <f>IF(ISERROR(VLOOKUP(B257,'Base de Datos'!$C$7:$F$4092,3,0))=TRUE,"",(VLOOKUP('Presupuesto - PAA 2017'!B257,'Base de Datos'!$C$7:$F$4092,4,0)))</f>
        <v xml:space="preserve">ARANDA SOFTWARE ANDINA SAS  </v>
      </c>
      <c r="E257" s="630">
        <v>30000000</v>
      </c>
      <c r="F257" s="534" t="s">
        <v>390</v>
      </c>
      <c r="G257" s="614"/>
      <c r="H257" s="614"/>
      <c r="I257" s="614"/>
      <c r="J257" s="580">
        <v>30000000</v>
      </c>
      <c r="K257" s="614"/>
      <c r="L257" s="580" t="str">
        <f t="shared" si="15"/>
        <v xml:space="preserve"> </v>
      </c>
      <c r="M257" s="614"/>
      <c r="N257" s="580" t="str">
        <f t="shared" si="14"/>
        <v xml:space="preserve"> </v>
      </c>
      <c r="O257" s="719" t="str">
        <f>IF(ISERROR(VLOOKUP(B257,'Base de Datos'!$C$7:$K$1048576,7,0))=TRUE," ",(VLOOKUP(B257,'Base de Datos'!$C$7:$K$1048576,8,0)))</f>
        <v>150308-0-2015</v>
      </c>
      <c r="P257" s="551">
        <f>IF(ISERROR(VLOOKUP(B257,'Base de Datos'!$C$7:$N$4077,9,0))=TRUE," ",(VLOOKUP(B257,'Base de Datos'!$C$7:$N$4077,10,0)))</f>
        <v>42193</v>
      </c>
      <c r="Q257" s="614"/>
      <c r="R257" s="551">
        <f>IF(ISERROR(VLOOKUP(B257,'Base de Datos'!$C$7:$N$4077,10,0))=TRUE," ",(VLOOKUP(B257,'Base de Datos'!$C$7:$N$4077,11,0)))</f>
        <v>42199</v>
      </c>
      <c r="S257" s="551">
        <f>IF(ISERROR(VLOOKUP(B257,'Base de Datos'!$C$7:$N$4077,11,0))=TRUE," ",(VLOOKUP(B257,'Base de Datos'!$C$7:$N$4077,12,0)))</f>
        <v>42565</v>
      </c>
      <c r="T257" s="533" t="str">
        <f ca="1">VLOOKUP(C257,'Base de Datos'!$E$7:$AR$382,39,0)</f>
        <v>NO</v>
      </c>
      <c r="U257" s="722"/>
      <c r="V257" s="634"/>
    </row>
    <row r="258" spans="2:22" s="615" customFormat="1" outlineLevel="1" x14ac:dyDescent="0.25">
      <c r="B258" s="627">
        <v>325</v>
      </c>
      <c r="C258" s="533" t="str">
        <f>IF(ISERROR(VLOOKUP(B258,'Base de Datos'!$C$7:$F$4092,2,0))=TRUE,"",(VLOOKUP('Presupuesto - PAA 2017'!B258,'Base de Datos'!$C$7:$F$4092,3,0)))</f>
        <v>150346-0-2015</v>
      </c>
      <c r="D258" s="533" t="str">
        <f>IF(ISERROR(VLOOKUP(B258,'Base de Datos'!$C$7:$F$4092,3,0))=TRUE,"",(VLOOKUP('Presupuesto - PAA 2017'!B258,'Base de Datos'!$C$7:$F$4092,4,0)))</f>
        <v>JOHN KENNEDY LEON CASTIBLANCO</v>
      </c>
      <c r="E258" s="630">
        <v>33000000</v>
      </c>
      <c r="F258" s="534" t="s">
        <v>390</v>
      </c>
      <c r="G258" s="614"/>
      <c r="H258" s="614"/>
      <c r="I258" s="614"/>
      <c r="J258" s="536">
        <f>IF(ISERROR(VLOOKUP(B258,'Base de Datos'!$C$7:$N$4092,6,0))=TRUE,"Sin Celebrar",(VLOOKUP(B258,'Base de Datos'!$C$7:$N$4092,7,0)))</f>
        <v>33000000</v>
      </c>
      <c r="K258" s="614"/>
      <c r="L258" s="580" t="str">
        <f t="shared" si="15"/>
        <v xml:space="preserve"> </v>
      </c>
      <c r="M258" s="614"/>
      <c r="N258" s="580" t="str">
        <f t="shared" si="14"/>
        <v xml:space="preserve"> </v>
      </c>
      <c r="O258" s="719" t="str">
        <f>IF(ISERROR(VLOOKUP(B258,'Base de Datos'!$C$7:$K$1048576,7,0))=TRUE," ",(VLOOKUP(B258,'Base de Datos'!$C$7:$K$1048576,8,0)))</f>
        <v>150346-0-2015</v>
      </c>
      <c r="P258" s="551">
        <f>IF(ISERROR(VLOOKUP(B258,'Base de Datos'!$C$7:$N$4077,9,0))=TRUE," ",(VLOOKUP(B258,'Base de Datos'!$C$7:$N$4077,10,0)))</f>
        <v>42244</v>
      </c>
      <c r="Q258" s="614"/>
      <c r="R258" s="551">
        <f>IF(ISERROR(VLOOKUP(B258,'Base de Datos'!$C$7:$N$4077,10,0))=TRUE," ",(VLOOKUP(B258,'Base de Datos'!$C$7:$N$4077,11,0)))</f>
        <v>42249</v>
      </c>
      <c r="S258" s="551">
        <f>IF(ISERROR(VLOOKUP(B258,'Base de Datos'!$C$7:$N$4077,11,0))=TRUE," ",(VLOOKUP(B258,'Base de Datos'!$C$7:$N$4077,12,0)))</f>
        <v>42431</v>
      </c>
      <c r="T258" s="533" t="str">
        <f ca="1">VLOOKUP(C258,'Base de Datos'!$E$7:$AR$382,39,0)</f>
        <v>NO</v>
      </c>
      <c r="U258" s="722"/>
      <c r="V258" s="634"/>
    </row>
    <row r="259" spans="2:22" s="615" customFormat="1" outlineLevel="1" x14ac:dyDescent="0.25">
      <c r="B259" s="627">
        <v>326</v>
      </c>
      <c r="C259" s="533" t="str">
        <f>IF(ISERROR(VLOOKUP(B259,'Base de Datos'!$C$7:$F$4092,2,0))=TRUE,"",(VLOOKUP('Presupuesto - PAA 2017'!B259,'Base de Datos'!$C$7:$F$4092,3,0)))</f>
        <v>150340-0-2015</v>
      </c>
      <c r="D259" s="533" t="str">
        <f>IF(ISERROR(VLOOKUP(B259,'Base de Datos'!$C$7:$F$4092,3,0))=TRUE,"",(VLOOKUP('Presupuesto - PAA 2017'!B259,'Base de Datos'!$C$7:$F$4092,4,0)))</f>
        <v>RICOH COLOMBIA S.A.</v>
      </c>
      <c r="E259" s="630">
        <v>72727824</v>
      </c>
      <c r="F259" s="534" t="s">
        <v>390</v>
      </c>
      <c r="G259" s="614"/>
      <c r="H259" s="614"/>
      <c r="I259" s="614"/>
      <c r="J259" s="536">
        <f>IF(ISERROR(VLOOKUP(B259,'Base de Datos'!$C$7:$N$4092,6,0))=TRUE,"Sin Celebrar",(VLOOKUP(B259,'Base de Datos'!$C$7:$N$4092,7,0)))</f>
        <v>72727824</v>
      </c>
      <c r="K259" s="614"/>
      <c r="L259" s="580" t="str">
        <f t="shared" si="15"/>
        <v xml:space="preserve"> </v>
      </c>
      <c r="M259" s="614"/>
      <c r="N259" s="580" t="str">
        <f t="shared" si="14"/>
        <v xml:space="preserve"> </v>
      </c>
      <c r="O259" s="719" t="str">
        <f>IF(ISERROR(VLOOKUP(B259,'Base de Datos'!$C$7:$K$1048576,7,0))=TRUE," ",(VLOOKUP(B259,'Base de Datos'!$C$7:$K$1048576,8,0)))</f>
        <v>150340-0-2015</v>
      </c>
      <c r="P259" s="551">
        <f>IF(ISERROR(VLOOKUP(B259,'Base de Datos'!$C$7:$N$4077,9,0))=TRUE," ",(VLOOKUP(B259,'Base de Datos'!$C$7:$N$4077,10,0)))</f>
        <v>42236</v>
      </c>
      <c r="Q259" s="614"/>
      <c r="R259" s="551">
        <f>IF(ISERROR(VLOOKUP(B259,'Base de Datos'!$C$7:$N$4077,10,0))=TRUE," ",(VLOOKUP(B259,'Base de Datos'!$C$7:$N$4077,11,0)))</f>
        <v>42244</v>
      </c>
      <c r="S259" s="551">
        <f>IF(ISERROR(VLOOKUP(B259,'Base de Datos'!$C$7:$N$4077,11,0))=TRUE," ",(VLOOKUP(B259,'Base de Datos'!$C$7:$N$4077,12,0)))</f>
        <v>42305</v>
      </c>
      <c r="T259" s="533" t="str">
        <f ca="1">VLOOKUP(C259,'Base de Datos'!$E$7:$AR$382,39,0)</f>
        <v>NO</v>
      </c>
      <c r="U259" s="722"/>
      <c r="V259" s="634"/>
    </row>
    <row r="260" spans="2:22" s="615" customFormat="1" outlineLevel="1" x14ac:dyDescent="0.25">
      <c r="B260" s="627">
        <v>365</v>
      </c>
      <c r="C260" s="533" t="str">
        <f>IF(ISERROR(VLOOKUP(B260,'Base de Datos'!$C$7:$F$4092,2,0))=TRUE,"",(VLOOKUP('Presupuesto - PAA 2017'!B260,'Base de Datos'!$C$7:$F$4092,3,0)))</f>
        <v>150397-0-2015</v>
      </c>
      <c r="D260" s="533" t="str">
        <f>IF(ISERROR(VLOOKUP(B260,'Base de Datos'!$C$7:$F$4092,3,0))=TRUE,"",(VLOOKUP('Presupuesto - PAA 2017'!B260,'Base de Datos'!$C$7:$F$4092,4,0)))</f>
        <v>ORACLE COLOMBIA LTDA</v>
      </c>
      <c r="E260" s="630">
        <v>900000000</v>
      </c>
      <c r="F260" s="534" t="s">
        <v>390</v>
      </c>
      <c r="G260" s="614"/>
      <c r="H260" s="614"/>
      <c r="I260" s="614"/>
      <c r="J260" s="536">
        <f>IF(ISERROR(VLOOKUP(B260,'Base de Datos'!$C$7:$N$4092,6,0))=TRUE,"Sin Celebrar",(VLOOKUP(B260,'Base de Datos'!$C$7:$N$4092,7,0)))</f>
        <v>910786703.20000005</v>
      </c>
      <c r="K260" s="614"/>
      <c r="L260" s="580" t="str">
        <f>IF(J260=$AA$1,E260, " ")</f>
        <v xml:space="preserve"> </v>
      </c>
      <c r="M260" s="614"/>
      <c r="N260" s="580" t="str">
        <f>IF(J260&lt;E260,(E260-J260)," ")</f>
        <v xml:space="preserve"> </v>
      </c>
      <c r="O260" s="719" t="str">
        <f>IF(ISERROR(VLOOKUP(B260,'Base de Datos'!$C$7:$K$1048576,7,0))=TRUE," ",(VLOOKUP(B260,'Base de Datos'!$C$7:$K$1048576,8,0)))</f>
        <v>CCE-211-AG-2015</v>
      </c>
      <c r="P260" s="551">
        <f>IF(ISERROR(VLOOKUP(B260,'Base de Datos'!$C$7:$N$4077,9,0))=TRUE," ",(VLOOKUP(B260,'Base de Datos'!$C$7:$N$4077,10,0)))</f>
        <v>42341</v>
      </c>
      <c r="Q260" s="614" t="s">
        <v>382</v>
      </c>
      <c r="R260" s="551">
        <f>IF(ISERROR(VLOOKUP(B260,'Base de Datos'!$C$7:$N$4077,10,0))=TRUE," ",(VLOOKUP(B260,'Base de Datos'!$C$7:$N$4077,11,0)))</f>
        <v>42341</v>
      </c>
      <c r="S260" s="551">
        <f>IF(ISERROR(VLOOKUP(B260,'Base de Datos'!$C$7:$N$4077,11,0))=TRUE," ",(VLOOKUP(B260,'Base de Datos'!$C$7:$N$4077,12,0)))</f>
        <v>42524</v>
      </c>
      <c r="T260" s="533" t="s">
        <v>1992</v>
      </c>
      <c r="U260" s="722"/>
      <c r="V260" s="634"/>
    </row>
    <row r="261" spans="2:22" s="615" customFormat="1" outlineLevel="1" x14ac:dyDescent="0.25">
      <c r="B261" s="627">
        <v>365</v>
      </c>
      <c r="C261" s="533" t="s">
        <v>2375</v>
      </c>
      <c r="D261" s="533" t="s">
        <v>2362</v>
      </c>
      <c r="E261" s="630"/>
      <c r="F261" s="534"/>
      <c r="G261" s="614"/>
      <c r="H261" s="614"/>
      <c r="I261" s="614"/>
      <c r="J261" s="536">
        <v>295840339</v>
      </c>
      <c r="K261" s="614"/>
      <c r="L261" s="580"/>
      <c r="M261" s="614"/>
      <c r="N261" s="580"/>
      <c r="O261" s="719" t="s">
        <v>2363</v>
      </c>
      <c r="P261" s="551">
        <v>42349</v>
      </c>
      <c r="Q261" s="614" t="s">
        <v>382</v>
      </c>
      <c r="R261" s="551"/>
      <c r="S261" s="551"/>
      <c r="T261" s="533"/>
      <c r="U261" s="722"/>
      <c r="V261" s="634"/>
    </row>
    <row r="262" spans="2:22" s="615" customFormat="1" outlineLevel="1" x14ac:dyDescent="0.25">
      <c r="B262" s="627">
        <v>365</v>
      </c>
      <c r="C262" s="533" t="s">
        <v>2373</v>
      </c>
      <c r="D262" s="533" t="s">
        <v>2362</v>
      </c>
      <c r="E262" s="630"/>
      <c r="F262" s="534"/>
      <c r="G262" s="614"/>
      <c r="H262" s="614"/>
      <c r="I262" s="614"/>
      <c r="J262" s="536">
        <v>188315358.83000001</v>
      </c>
      <c r="K262" s="614"/>
      <c r="L262" s="580"/>
      <c r="M262" s="614"/>
      <c r="N262" s="580"/>
      <c r="O262" s="719" t="s">
        <v>2363</v>
      </c>
      <c r="P262" s="551">
        <v>42349</v>
      </c>
      <c r="Q262" s="614" t="s">
        <v>382</v>
      </c>
      <c r="R262" s="551"/>
      <c r="S262" s="551"/>
      <c r="T262" s="533"/>
      <c r="U262" s="722"/>
      <c r="V262" s="634"/>
    </row>
    <row r="263" spans="2:22" s="615" customFormat="1" outlineLevel="1" x14ac:dyDescent="0.25">
      <c r="B263" s="614"/>
      <c r="C263" s="614"/>
      <c r="D263" s="614"/>
      <c r="E263" s="630"/>
      <c r="F263" s="614"/>
      <c r="G263" s="614"/>
      <c r="H263" s="614"/>
      <c r="I263" s="614"/>
      <c r="J263" s="614"/>
      <c r="K263" s="614"/>
      <c r="L263" s="614"/>
      <c r="M263" s="614"/>
      <c r="N263" s="630"/>
      <c r="O263" s="695"/>
      <c r="P263" s="629"/>
      <c r="Q263" s="614"/>
      <c r="R263" s="614"/>
      <c r="S263" s="614"/>
      <c r="T263" s="614"/>
      <c r="U263" s="722"/>
      <c r="V263" s="634"/>
    </row>
    <row r="264" spans="2:22" outlineLevel="1" x14ac:dyDescent="0.25">
      <c r="B264" s="533"/>
      <c r="C264" s="1200" t="s">
        <v>1933</v>
      </c>
      <c r="D264" s="1200"/>
      <c r="E264" s="620">
        <f>+E265</f>
        <v>4174276985</v>
      </c>
      <c r="F264" s="876"/>
      <c r="G264" s="876"/>
      <c r="H264" s="876"/>
      <c r="I264" s="876"/>
      <c r="J264" s="620">
        <f>SUM(J265)</f>
        <v>4174276985</v>
      </c>
      <c r="K264" s="623">
        <f>+J264/E264</f>
        <v>1</v>
      </c>
      <c r="L264" s="620">
        <f>SUM(L265)</f>
        <v>0</v>
      </c>
      <c r="M264" s="876"/>
      <c r="N264" s="620" t="str">
        <f>+N265</f>
        <v xml:space="preserve"> </v>
      </c>
      <c r="O264" s="696"/>
      <c r="P264" s="626"/>
      <c r="Q264" s="876"/>
      <c r="R264" s="876"/>
      <c r="S264" s="876"/>
      <c r="T264" s="876"/>
      <c r="U264" s="722"/>
      <c r="V264" s="634"/>
    </row>
    <row r="265" spans="2:22" ht="24" outlineLevel="1" x14ac:dyDescent="0.25">
      <c r="B265" s="537">
        <v>210</v>
      </c>
      <c r="C265" s="533" t="str">
        <f>IF(ISERROR(VLOOKUP(B265,'Base de Datos'!$C$7:$F$4092,2,0))=TRUE,"",(VLOOKUP('Presupuesto - PAA 2017'!B265,'Base de Datos'!$C$7:$F$4092,3,0)))</f>
        <v>150198-0-2015</v>
      </c>
      <c r="D265" s="533" t="str">
        <f>IF(ISERROR(VLOOKUP(B265,'Base de Datos'!$C$7:$F$4092,3,0))=TRUE,"",(VLOOKUP('Presupuesto - PAA 2017'!B265,'Base de Datos'!$C$7:$F$4092,4,0)))</f>
        <v>UNIDAD NACIONAL DE PROTECCIÓN UNP</v>
      </c>
      <c r="E265" s="536">
        <v>4174276985</v>
      </c>
      <c r="F265" s="534" t="str">
        <f>VLOOKUP(B265,'Actualizada - presupuesto'!$D$7:$L$111,9,0)</f>
        <v>SI</v>
      </c>
      <c r="G265" s="533"/>
      <c r="H265" s="533"/>
      <c r="I265" s="533"/>
      <c r="J265" s="536">
        <f>IF(ISERROR(VLOOKUP(B265,'Base de Datos'!$C$7:$N$4092,6,0))=TRUE,"Sin Celebrar",(VLOOKUP(B265,'Base de Datos'!$C$7:$N$4092,7,0)))</f>
        <v>4174276985</v>
      </c>
      <c r="K265" s="536"/>
      <c r="L265" s="536" t="str">
        <f>IF(J265=$AA$1,E265, " ")</f>
        <v xml:space="preserve"> </v>
      </c>
      <c r="M265" s="533"/>
      <c r="N265" s="536" t="str">
        <f>IF(J265&lt;E265,(E265-J265)," ")</f>
        <v xml:space="preserve"> </v>
      </c>
      <c r="O265" s="719" t="str">
        <f>IF(ISERROR(VLOOKUP(B265,'Base de Datos'!$C$7:$K$1048576,7,0))=TRUE," ",(VLOOKUP(B265,'Base de Datos'!$C$7:$K$1048576,8,0)))</f>
        <v>150198-0-2015</v>
      </c>
      <c r="P265" s="551">
        <f>IF(ISERROR(VLOOKUP(B265,'Base de Datos'!$C$7:$N$4077,9,0))=TRUE," ",(VLOOKUP(B265,'Base de Datos'!$C$7:$N$4077,10,0)))</f>
        <v>42117</v>
      </c>
      <c r="Q265" s="533" t="s">
        <v>2093</v>
      </c>
      <c r="R265" s="551">
        <f>IF(ISERROR(VLOOKUP(B265,'Base de Datos'!$C$7:$N$4077,10,0))=TRUE," ",(VLOOKUP(B265,'Base de Datos'!$C$7:$N$4077,11,0)))</f>
        <v>42117</v>
      </c>
      <c r="S265" s="551">
        <f>IF(ISERROR(VLOOKUP(B265,'Base de Datos'!$C$7:$N$4077,11,0))=TRUE," ",(VLOOKUP(B265,'Base de Datos'!$C$7:$N$4077,12,0)))</f>
        <v>42468</v>
      </c>
      <c r="T265" s="533" t="str">
        <f ca="1">VLOOKUP(C265,'Base de Datos'!$E$7:$AR$382,39,0)</f>
        <v>NO</v>
      </c>
      <c r="U265" s="722"/>
      <c r="V265" s="634"/>
    </row>
    <row r="266" spans="2:22" outlineLevel="1" x14ac:dyDescent="0.25">
      <c r="B266" s="762"/>
      <c r="C266" s="763"/>
      <c r="D266" s="763"/>
      <c r="E266" s="764"/>
      <c r="F266" s="765"/>
      <c r="G266" s="763"/>
      <c r="H266" s="763"/>
      <c r="I266" s="763"/>
      <c r="J266" s="764"/>
      <c r="K266" s="764"/>
      <c r="L266" s="764"/>
      <c r="M266" s="763"/>
      <c r="N266" s="764"/>
      <c r="O266" s="766"/>
      <c r="P266" s="767"/>
      <c r="Q266" s="763"/>
      <c r="R266" s="767"/>
      <c r="S266" s="767"/>
      <c r="T266" s="763"/>
      <c r="U266" s="722"/>
      <c r="V266" s="634"/>
    </row>
    <row r="267" spans="2:22" outlineLevel="1" x14ac:dyDescent="0.25">
      <c r="B267" s="762"/>
      <c r="C267" s="763"/>
      <c r="D267" s="763"/>
      <c r="E267" s="764"/>
      <c r="F267" s="765"/>
      <c r="G267" s="763"/>
      <c r="H267" s="763"/>
      <c r="I267" s="763"/>
      <c r="J267" s="764"/>
      <c r="K267" s="764"/>
      <c r="L267" s="764"/>
      <c r="M267" s="763"/>
      <c r="N267" s="764"/>
      <c r="O267" s="766"/>
      <c r="P267" s="767"/>
      <c r="Q267" s="763"/>
      <c r="R267" s="767"/>
      <c r="S267" s="767"/>
      <c r="T267" s="763"/>
      <c r="U267" s="722"/>
      <c r="V267" s="634"/>
    </row>
    <row r="268" spans="2:22" outlineLevel="1" x14ac:dyDescent="0.25">
      <c r="B268" s="762"/>
      <c r="C268" s="763"/>
      <c r="D268" s="763"/>
      <c r="E268" s="764"/>
      <c r="F268" s="765"/>
      <c r="G268" s="763"/>
      <c r="H268" s="763"/>
      <c r="I268" s="763"/>
      <c r="J268" s="764"/>
      <c r="K268" s="764"/>
      <c r="L268" s="764"/>
      <c r="M268" s="763"/>
      <c r="N268" s="764"/>
      <c r="O268" s="766"/>
      <c r="P268" s="767"/>
      <c r="Q268" s="763"/>
      <c r="R268" s="767"/>
      <c r="S268" s="767"/>
      <c r="T268" s="763"/>
      <c r="U268" s="722"/>
      <c r="V268" s="634"/>
    </row>
    <row r="269" spans="2:22" x14ac:dyDescent="0.25">
      <c r="R269" s="697"/>
    </row>
    <row r="270" spans="2:22" ht="36" hidden="1" x14ac:dyDescent="0.25">
      <c r="B270" s="1186" t="s">
        <v>2126</v>
      </c>
      <c r="C270" s="1186"/>
      <c r="D270" s="1186"/>
      <c r="E270" s="734"/>
      <c r="F270" s="738" t="str">
        <f>+F271</f>
        <v>Valor total con adiciones</v>
      </c>
      <c r="G270" s="734" t="str">
        <f t="shared" ref="G270:T270" si="16">+G271</f>
        <v>Presupuesto Inicial</v>
      </c>
      <c r="H270" s="734" t="str">
        <f t="shared" si="16"/>
        <v>Presupuesto Modificado</v>
      </c>
      <c r="I270" s="734" t="str">
        <f t="shared" si="16"/>
        <v>Presupuesto Disponible (04-05-15)</v>
      </c>
      <c r="J270" s="739" t="str">
        <f t="shared" si="16"/>
        <v>Valor con Autorización de Giro</v>
      </c>
      <c r="K270" s="735" t="str">
        <f t="shared" si="16"/>
        <v>% EJE</v>
      </c>
      <c r="L270" s="734" t="str">
        <f t="shared" si="16"/>
        <v xml:space="preserve">SALDOS  </v>
      </c>
      <c r="M270" s="736"/>
      <c r="N270" s="734" t="str">
        <f t="shared" si="16"/>
        <v>SALDOS A LIBERAR</v>
      </c>
      <c r="O270" s="734" t="str">
        <f t="shared" si="16"/>
        <v>Estado</v>
      </c>
      <c r="P270" s="734" t="str">
        <f t="shared" si="16"/>
        <v>Observaciones</v>
      </c>
      <c r="Q270" s="734" t="str">
        <f t="shared" si="16"/>
        <v>Plazo de ejecución</v>
      </c>
      <c r="R270" s="734" t="str">
        <f t="shared" si="16"/>
        <v>Fecha de Inicio</v>
      </c>
      <c r="S270" s="734" t="str">
        <f t="shared" si="16"/>
        <v>Fecha de terminación</v>
      </c>
      <c r="T270" s="734" t="str">
        <f t="shared" si="16"/>
        <v>Responsable FC</v>
      </c>
    </row>
    <row r="271" spans="2:22" ht="36" hidden="1" x14ac:dyDescent="0.25">
      <c r="B271" s="1185" t="s">
        <v>1783</v>
      </c>
      <c r="C271" s="1185"/>
      <c r="D271" s="1185"/>
      <c r="E271" s="875" t="s">
        <v>2129</v>
      </c>
      <c r="F271" s="875" t="s">
        <v>2130</v>
      </c>
      <c r="G271" s="875" t="s">
        <v>1897</v>
      </c>
      <c r="H271" s="875" t="s">
        <v>1898</v>
      </c>
      <c r="I271" s="875" t="s">
        <v>1840</v>
      </c>
      <c r="J271" s="875" t="s">
        <v>2131</v>
      </c>
      <c r="K271" s="716" t="s">
        <v>1900</v>
      </c>
      <c r="L271" s="875" t="s">
        <v>2135</v>
      </c>
      <c r="M271" s="875" t="s">
        <v>1902</v>
      </c>
      <c r="N271" s="875" t="s">
        <v>1904</v>
      </c>
      <c r="O271" s="717" t="s">
        <v>2134</v>
      </c>
      <c r="P271" s="718" t="s">
        <v>1818</v>
      </c>
      <c r="Q271" s="875" t="s">
        <v>1848</v>
      </c>
      <c r="R271" s="875" t="s">
        <v>1849</v>
      </c>
      <c r="S271" s="875" t="s">
        <v>375</v>
      </c>
      <c r="T271" s="875" t="s">
        <v>1850</v>
      </c>
    </row>
    <row r="272" spans="2:22" hidden="1" x14ac:dyDescent="0.25">
      <c r="B272" s="1183" t="s">
        <v>1686</v>
      </c>
      <c r="C272" s="1183"/>
      <c r="D272" s="1183"/>
      <c r="E272" s="541">
        <f>+E273+E383</f>
        <v>16001697633</v>
      </c>
      <c r="F272" s="541">
        <f>+F273+F383</f>
        <v>17754440578</v>
      </c>
      <c r="G272" s="541"/>
      <c r="H272" s="541"/>
      <c r="I272" s="541">
        <f>+I273+I496</f>
        <v>730500000</v>
      </c>
      <c r="J272" s="541">
        <f>+J273+J383</f>
        <v>16073453549.200001</v>
      </c>
      <c r="K272" s="646">
        <f>+J272/E272</f>
        <v>1.0044842689723132</v>
      </c>
      <c r="L272" s="541">
        <f>+L273+L383</f>
        <v>546451496</v>
      </c>
      <c r="M272" s="541">
        <f>+M273+M521</f>
        <v>-10300000</v>
      </c>
      <c r="N272" s="541">
        <f ca="1">+N273+N383</f>
        <v>0</v>
      </c>
      <c r="O272" s="674"/>
      <c r="P272" s="651"/>
      <c r="Q272" s="571"/>
      <c r="R272" s="571"/>
      <c r="S272" s="571"/>
      <c r="T272" s="571"/>
    </row>
    <row r="273" spans="2:20" hidden="1" x14ac:dyDescent="0.25">
      <c r="B273" s="1183" t="s">
        <v>1684</v>
      </c>
      <c r="C273" s="1183"/>
      <c r="D273" s="1183"/>
      <c r="E273" s="541">
        <f>+E274+E289</f>
        <v>12961700936</v>
      </c>
      <c r="F273" s="541">
        <f>+F274+F289</f>
        <v>13698835881</v>
      </c>
      <c r="G273" s="541">
        <f>+G274+G332</f>
        <v>858500000</v>
      </c>
      <c r="H273" s="541">
        <f>+H274+H332</f>
        <v>128000000</v>
      </c>
      <c r="I273" s="541">
        <f>+I274+I332</f>
        <v>730500000</v>
      </c>
      <c r="J273" s="541">
        <f>+J274+J289</f>
        <v>12192652851.200001</v>
      </c>
      <c r="K273" s="646">
        <f>+J273/E273</f>
        <v>0.9406676570770095</v>
      </c>
      <c r="L273" s="541">
        <f>+L274+L289</f>
        <v>371647497</v>
      </c>
      <c r="M273" s="541">
        <f>+M274+M325</f>
        <v>-10300000</v>
      </c>
      <c r="N273" s="541">
        <f ca="1">+N274+N289</f>
        <v>0</v>
      </c>
      <c r="O273" s="674"/>
      <c r="P273" s="572"/>
      <c r="Q273" s="571"/>
      <c r="R273" s="571"/>
      <c r="S273" s="571"/>
      <c r="T273" s="571"/>
    </row>
    <row r="274" spans="2:20" hidden="1" x14ac:dyDescent="0.25">
      <c r="B274" s="1182" t="s">
        <v>1683</v>
      </c>
      <c r="C274" s="1182"/>
      <c r="D274" s="1182"/>
      <c r="E274" s="539">
        <f>+E275</f>
        <v>256100000</v>
      </c>
      <c r="F274" s="631">
        <f>+F275</f>
        <v>266400000</v>
      </c>
      <c r="G274" s="539">
        <f t="shared" ref="G274:I275" si="17">+G275</f>
        <v>858500000</v>
      </c>
      <c r="H274" s="539">
        <f t="shared" si="17"/>
        <v>128000000</v>
      </c>
      <c r="I274" s="539">
        <f t="shared" si="17"/>
        <v>730500000</v>
      </c>
      <c r="J274" s="539">
        <f>+J275</f>
        <v>237453332</v>
      </c>
      <c r="K274" s="602">
        <f>+J274/E274</f>
        <v>0.92718989457243262</v>
      </c>
      <c r="L274" s="539">
        <f t="shared" ref="L274:N275" si="18">+L275</f>
        <v>28946668</v>
      </c>
      <c r="M274" s="539">
        <f t="shared" si="18"/>
        <v>-10300000</v>
      </c>
      <c r="N274" s="539">
        <f t="shared" ca="1" si="18"/>
        <v>0</v>
      </c>
      <c r="O274" s="675"/>
      <c r="P274" s="570"/>
      <c r="Q274" s="569"/>
      <c r="R274" s="569"/>
      <c r="S274" s="569"/>
      <c r="T274" s="569"/>
    </row>
    <row r="275" spans="2:20" hidden="1" x14ac:dyDescent="0.25">
      <c r="B275" s="1182" t="s">
        <v>1682</v>
      </c>
      <c r="C275" s="1182"/>
      <c r="D275" s="1182"/>
      <c r="E275" s="539">
        <f>+E276+E285</f>
        <v>256100000</v>
      </c>
      <c r="F275" s="539">
        <f>+F276+F285</f>
        <v>266400000</v>
      </c>
      <c r="G275" s="539">
        <f t="shared" si="17"/>
        <v>858500000</v>
      </c>
      <c r="H275" s="539">
        <f t="shared" si="17"/>
        <v>128000000</v>
      </c>
      <c r="I275" s="539">
        <f t="shared" si="17"/>
        <v>730500000</v>
      </c>
      <c r="J275" s="539">
        <f>+J276+J285</f>
        <v>237453332</v>
      </c>
      <c r="K275" s="602">
        <f>+J275/E275</f>
        <v>0.92718989457243262</v>
      </c>
      <c r="L275" s="539">
        <f>+L276+L285</f>
        <v>28946668</v>
      </c>
      <c r="M275" s="539">
        <f t="shared" si="18"/>
        <v>-10300000</v>
      </c>
      <c r="N275" s="539">
        <f ca="1">+N276+N285</f>
        <v>0</v>
      </c>
      <c r="O275" s="675"/>
      <c r="P275" s="570"/>
      <c r="Q275" s="569"/>
      <c r="R275" s="569"/>
      <c r="S275" s="569"/>
      <c r="T275" s="569"/>
    </row>
    <row r="276" spans="2:20" hidden="1" x14ac:dyDescent="0.25">
      <c r="B276" s="1182" t="s">
        <v>1681</v>
      </c>
      <c r="C276" s="1182"/>
      <c r="D276" s="1182"/>
      <c r="E276" s="539">
        <f>+E277</f>
        <v>239600000</v>
      </c>
      <c r="F276" s="631">
        <f>+F277</f>
        <v>249900000</v>
      </c>
      <c r="G276" s="539">
        <f>+G277+G325+G328</f>
        <v>858500000</v>
      </c>
      <c r="H276" s="539">
        <f>+H277+H325+H328</f>
        <v>128000000</v>
      </c>
      <c r="I276" s="539">
        <f>+I277+I325+I328</f>
        <v>730500000</v>
      </c>
      <c r="J276" s="539">
        <f>+J277</f>
        <v>227153332</v>
      </c>
      <c r="K276" s="602">
        <f>+J276/E276</f>
        <v>0.94805230383973293</v>
      </c>
      <c r="L276" s="539">
        <f>+L277</f>
        <v>22746668</v>
      </c>
      <c r="M276" s="539">
        <f>+M277+M305+M309</f>
        <v>-10300000</v>
      </c>
      <c r="N276" s="539">
        <f ca="1">+N277</f>
        <v>0</v>
      </c>
      <c r="O276" s="675"/>
      <c r="P276" s="570"/>
      <c r="Q276" s="569"/>
      <c r="R276" s="569"/>
      <c r="S276" s="569"/>
      <c r="T276" s="569"/>
    </row>
    <row r="277" spans="2:20" hidden="1" x14ac:dyDescent="0.25">
      <c r="B277" s="1181" t="s">
        <v>1643</v>
      </c>
      <c r="C277" s="1181"/>
      <c r="D277" s="1181"/>
      <c r="E277" s="584">
        <f>SUM(E279:E283)</f>
        <v>239600000</v>
      </c>
      <c r="F277" s="584">
        <f>SUM(F279:F283)</f>
        <v>249900000</v>
      </c>
      <c r="G277" s="581">
        <v>858500000</v>
      </c>
      <c r="H277" s="582">
        <v>128000000</v>
      </c>
      <c r="I277" s="581">
        <f>+G277-H277</f>
        <v>730500000</v>
      </c>
      <c r="J277" s="584">
        <f>SUM(J279:J283)</f>
        <v>227153332</v>
      </c>
      <c r="K277" s="603">
        <f>+J277/F277</f>
        <v>0.90897691876750697</v>
      </c>
      <c r="L277" s="584">
        <f>SUM(L279:L283)</f>
        <v>22746668</v>
      </c>
      <c r="M277" s="585">
        <f>+E277-(J277+L277)</f>
        <v>-10300000</v>
      </c>
      <c r="N277" s="584">
        <f ca="1">SUM(N279:N283)</f>
        <v>0</v>
      </c>
      <c r="O277" s="676"/>
      <c r="P277" s="584"/>
      <c r="Q277" s="592"/>
      <c r="R277" s="592"/>
      <c r="S277" s="592"/>
      <c r="T277" s="592"/>
    </row>
    <row r="278" spans="2:20" ht="24" hidden="1" x14ac:dyDescent="0.25">
      <c r="B278" s="537" t="s">
        <v>2128</v>
      </c>
      <c r="C278" s="537" t="s">
        <v>912</v>
      </c>
      <c r="D278" s="537" t="s">
        <v>1822</v>
      </c>
      <c r="E278" s="545" t="s">
        <v>1845</v>
      </c>
      <c r="F278" s="534" t="s">
        <v>2130</v>
      </c>
      <c r="G278" s="534"/>
      <c r="H278" s="534"/>
      <c r="I278" s="534"/>
      <c r="J278" s="537" t="s">
        <v>2131</v>
      </c>
      <c r="K278" s="652"/>
      <c r="L278" s="537" t="s">
        <v>1940</v>
      </c>
      <c r="M278" s="537"/>
      <c r="N278" s="537" t="s">
        <v>2137</v>
      </c>
      <c r="O278" s="677" t="s">
        <v>2134</v>
      </c>
      <c r="P278" s="568" t="s">
        <v>1818</v>
      </c>
      <c r="Q278" s="537" t="s">
        <v>1848</v>
      </c>
      <c r="R278" s="537" t="s">
        <v>1849</v>
      </c>
      <c r="S278" s="537" t="s">
        <v>375</v>
      </c>
      <c r="T278" s="537" t="s">
        <v>1850</v>
      </c>
    </row>
    <row r="279" spans="2:20" ht="22.5" hidden="1" customHeight="1" x14ac:dyDescent="0.25">
      <c r="B279" s="533"/>
      <c r="C279" s="533" t="s">
        <v>256</v>
      </c>
      <c r="D279" s="533" t="str">
        <f>VLOOKUP(C279,'Base de Datos'!$E$7:$AR$390,2,0)</f>
        <v>MATILDE NIETO CONTRERAS (Cesionaria) / antes ELIS ALEXANDER MORENO SALAMANCA</v>
      </c>
      <c r="E279" s="536">
        <f>VLOOKUP(C279,'Base de Datos'!$E$7:$AR$390,5,0)</f>
        <v>51500000</v>
      </c>
      <c r="F279" s="536">
        <f>VLOOKUP(C279,'Base de Datos'!$E$7:$AR$390,17,0)</f>
        <v>61800000</v>
      </c>
      <c r="G279" s="536" t="e">
        <f>VLOOKUP(D279,'Base de Datos'!$E$7:$AR$390,17,0)</f>
        <v>#N/A</v>
      </c>
      <c r="H279" s="536" t="e">
        <f>VLOOKUP(E279,'Base de Datos'!$E$7:$AR$390,17,0)</f>
        <v>#N/A</v>
      </c>
      <c r="I279" s="536" t="e">
        <f>VLOOKUP(F279,'Base de Datos'!$E$7:$AR$390,17,0)</f>
        <v>#N/A</v>
      </c>
      <c r="J279" s="536">
        <f>VLOOKUP(C279,'Base de Datos'!$E$7:$AR$390,18,0)</f>
        <v>54933333</v>
      </c>
      <c r="K279" s="600"/>
      <c r="L279" s="536">
        <f>VLOOKUP(C279,'Base de Datos'!$E$7:$AR$390,19,0)</f>
        <v>6866667</v>
      </c>
      <c r="M279" s="533"/>
      <c r="N279" s="536" t="str">
        <f ca="1">IF(OR(O279=Hoja1!$D$17,'Presupuesto - PAA 2017'!O279=Hoja1!$D$18),'Presupuesto - PAA 2017'!L279," ")</f>
        <v xml:space="preserve"> </v>
      </c>
      <c r="O279" s="678" t="str">
        <f ca="1">VLOOKUP(C279,'Base de Datos'!$E$7:$AR$390,33,0)</f>
        <v>TERMINO</v>
      </c>
      <c r="P279" s="737"/>
      <c r="Q279" s="533"/>
      <c r="R279" s="743">
        <f>VLOOKUP(C279,'Base de Datos'!$E$7:$AR$390,9,0)</f>
        <v>41677</v>
      </c>
      <c r="S279" s="743">
        <f>VLOOKUP(C279,'Base de Datos'!$E$7:$AR$390,16,0)</f>
        <v>42006</v>
      </c>
      <c r="T279" s="678" t="str">
        <f>VLOOKUP(C279,'Base de Datos'!$E$7:$AR$390,40,0)</f>
        <v>Andrea Casas</v>
      </c>
    </row>
    <row r="280" spans="2:20" ht="24" hidden="1" x14ac:dyDescent="0.25">
      <c r="B280" s="533"/>
      <c r="C280" s="533" t="s">
        <v>247</v>
      </c>
      <c r="D280" s="533" t="str">
        <f>VLOOKUP(C280,'Base de Datos'!$E$7:$AR$390,2,0)</f>
        <v>LORENZA SANTOS BARBOSA (Cesionaria) - Antes VICTOR MANUEL ARMELLA VELASQUEZ</v>
      </c>
      <c r="E280" s="536">
        <f>VLOOKUP(C280,'Base de Datos'!$E$7:$AR$390,5,0)</f>
        <v>55000000</v>
      </c>
      <c r="F280" s="536">
        <f>VLOOKUP(C280,'Base de Datos'!$E$7:$AR$390,17,0)</f>
        <v>55000000</v>
      </c>
      <c r="G280" s="533"/>
      <c r="H280" s="533"/>
      <c r="I280" s="533"/>
      <c r="J280" s="536">
        <f>VLOOKUP(C280,'Base de Datos'!$E$7:$AR$390,18,0)</f>
        <v>54666666</v>
      </c>
      <c r="K280" s="600"/>
      <c r="L280" s="536">
        <f>VLOOKUP(C280,'Base de Datos'!$E$7:$AR$390,19,0)</f>
        <v>333334</v>
      </c>
      <c r="M280" s="533"/>
      <c r="N280" s="536" t="str">
        <f ca="1">IF(OR(O280=Hoja1!$D$17,'Presupuesto - PAA 2017'!O280=Hoja1!$D$18),'Presupuesto - PAA 2017'!L280," ")</f>
        <v xml:space="preserve"> </v>
      </c>
      <c r="O280" s="751" t="str">
        <f ca="1">VLOOKUP(C280,'Base de Datos'!$E$7:$AR$390,33,0)</f>
        <v>TERMINO</v>
      </c>
      <c r="P280" s="737" t="s">
        <v>2136</v>
      </c>
      <c r="Q280" s="533"/>
      <c r="R280" s="743">
        <f>VLOOKUP(C280,'Base de Datos'!$E$7:$AR$390,9,0)</f>
        <v>41675</v>
      </c>
      <c r="S280" s="743">
        <f>VLOOKUP(C280,'Base de Datos'!$E$7:$AR$390,16,0)</f>
        <v>42008</v>
      </c>
      <c r="T280" s="678" t="str">
        <f>VLOOKUP(C280,'Base de Datos'!$E$7:$AR$390,40,0)</f>
        <v>Lizeth González</v>
      </c>
    </row>
    <row r="281" spans="2:20" hidden="1" x14ac:dyDescent="0.25">
      <c r="B281" s="533"/>
      <c r="C281" s="533" t="s">
        <v>249</v>
      </c>
      <c r="D281" s="533" t="str">
        <f>VLOOKUP(C281,'Base de Datos'!$E$7:$AR$390,2,0)</f>
        <v>NORMA CONSTANZA MEZA GÓMEZ</v>
      </c>
      <c r="E281" s="536">
        <f>VLOOKUP(C281,'Base de Datos'!$E$7:$AR$390,5,0)</f>
        <v>38500000</v>
      </c>
      <c r="F281" s="536">
        <f>VLOOKUP(C281,'Base de Datos'!$E$7:$AR$390,17,0)</f>
        <v>38500000</v>
      </c>
      <c r="G281" s="533"/>
      <c r="H281" s="533"/>
      <c r="I281" s="533"/>
      <c r="J281" s="536">
        <f>VLOOKUP(C281,'Base de Datos'!$E$7:$AR$390,18,0)</f>
        <v>38500000</v>
      </c>
      <c r="K281" s="600"/>
      <c r="L281" s="536">
        <f>VLOOKUP(C281,'Base de Datos'!$E$7:$AR$390,19,0)</f>
        <v>0</v>
      </c>
      <c r="M281" s="533"/>
      <c r="N281" s="536" t="str">
        <f ca="1">IF(OR(O281=Hoja1!$D$17,'Presupuesto - PAA 2017'!O281=Hoja1!$D$18),'Presupuesto - PAA 2017'!L281," ")</f>
        <v xml:space="preserve"> </v>
      </c>
      <c r="O281" s="678" t="str">
        <f ca="1">VLOOKUP(C281,'Base de Datos'!$E$7:$AR$390,33,0)</f>
        <v>TERMINO</v>
      </c>
      <c r="P281" s="737"/>
      <c r="Q281" s="533"/>
      <c r="R281" s="743">
        <f>VLOOKUP(C281,'Base de Datos'!$E$7:$AR$390,9,0)</f>
        <v>41675</v>
      </c>
      <c r="S281" s="743">
        <f>VLOOKUP(C281,'Base de Datos'!$E$7:$AR$390,16,0)</f>
        <v>42008</v>
      </c>
      <c r="T281" s="678" t="str">
        <f>VLOOKUP(C281,'Base de Datos'!$E$7:$AR$390,40,0)</f>
        <v>Lizeth González</v>
      </c>
    </row>
    <row r="282" spans="2:20" hidden="1" x14ac:dyDescent="0.25">
      <c r="B282" s="533"/>
      <c r="C282" s="533" t="s">
        <v>245</v>
      </c>
      <c r="D282" s="533" t="str">
        <f>VLOOKUP(C282,'Base de Datos'!$E$7:$AR$390,2,0)</f>
        <v>FERNANDO SOTOMONTE AMAYA</v>
      </c>
      <c r="E282" s="536">
        <f>VLOOKUP(C282,'Base de Datos'!$E$7:$AR$390,5,0)</f>
        <v>55000000</v>
      </c>
      <c r="F282" s="536">
        <f>VLOOKUP(C282,'Base de Datos'!$E$7:$AR$390,17,0)</f>
        <v>55000000</v>
      </c>
      <c r="G282" s="533"/>
      <c r="H282" s="533"/>
      <c r="I282" s="533"/>
      <c r="J282" s="536">
        <f>VLOOKUP(C282,'Base de Datos'!$E$7:$AR$390,18,0)</f>
        <v>54333333</v>
      </c>
      <c r="K282" s="600"/>
      <c r="L282" s="536">
        <f>VLOOKUP(C282,'Base de Datos'!$E$7:$AR$390,19,0)</f>
        <v>666667</v>
      </c>
      <c r="M282" s="533"/>
      <c r="N282" s="536" t="str">
        <f ca="1">IF(OR(O282=Hoja1!$D$17,'Presupuesto - PAA 2017'!O282=Hoja1!$D$18),'Presupuesto - PAA 2017'!L282," ")</f>
        <v xml:space="preserve"> </v>
      </c>
      <c r="O282" s="678" t="str">
        <f ca="1">VLOOKUP(C282,'Base de Datos'!$E$7:$AR$390,33,0)</f>
        <v>TERMINO</v>
      </c>
      <c r="P282" s="737"/>
      <c r="Q282" s="533"/>
      <c r="R282" s="743">
        <f>VLOOKUP(C282,'Base de Datos'!$E$7:$AR$390,9,0)</f>
        <v>41675</v>
      </c>
      <c r="S282" s="743">
        <f>VLOOKUP(C282,'Base de Datos'!$E$7:$AR$390,16,0)</f>
        <v>42008</v>
      </c>
      <c r="T282" s="678" t="str">
        <f>VLOOKUP(C282,'Base de Datos'!$E$7:$AR$390,40,0)</f>
        <v>Lizeth González</v>
      </c>
    </row>
    <row r="283" spans="2:20" hidden="1" x14ac:dyDescent="0.25">
      <c r="B283" s="533"/>
      <c r="C283" s="533" t="s">
        <v>253</v>
      </c>
      <c r="D283" s="533" t="str">
        <f>VLOOKUP(C283,'Base de Datos'!$E$7:$AR$390,2,0)</f>
        <v>EDELMIRA ATARA GIL</v>
      </c>
      <c r="E283" s="536">
        <f>VLOOKUP(C283,'Base de Datos'!$E$7:$AR$390,5,0)</f>
        <v>39600000</v>
      </c>
      <c r="F283" s="536">
        <f>VLOOKUP(C283,'Base de Datos'!$E$7:$AR$390,17,0)</f>
        <v>39600000</v>
      </c>
      <c r="G283" s="533"/>
      <c r="H283" s="533"/>
      <c r="I283" s="533"/>
      <c r="J283" s="536">
        <f>VLOOKUP(C283,'Base de Datos'!$E$7:$AR$390,18,0)</f>
        <v>24720000</v>
      </c>
      <c r="K283" s="600"/>
      <c r="L283" s="536">
        <f>VLOOKUP(C283,'Base de Datos'!$E$7:$AR$390,19,0)</f>
        <v>14880000</v>
      </c>
      <c r="M283" s="533"/>
      <c r="N283" s="536" t="str">
        <f ca="1">IF(OR(O283=Hoja1!$D$17,'Presupuesto - PAA 2017'!O283=Hoja1!$D$18),'Presupuesto - PAA 2017'!L283," ")</f>
        <v xml:space="preserve"> </v>
      </c>
      <c r="O283" s="678" t="str">
        <f ca="1">VLOOKUP(C283,'Base de Datos'!$E$7:$AR$390,33,0)</f>
        <v>TERMINO</v>
      </c>
      <c r="P283" s="737"/>
      <c r="Q283" s="533"/>
      <c r="R283" s="743">
        <f>VLOOKUP(C283,'Base de Datos'!$E$7:$AR$390,9,0)</f>
        <v>41675</v>
      </c>
      <c r="S283" s="743">
        <f>VLOOKUP(C283,'Base de Datos'!$E$7:$AR$390,16,0)</f>
        <v>42008</v>
      </c>
      <c r="T283" s="678" t="str">
        <f>VLOOKUP(C283,'Base de Datos'!$E$7:$AR$390,40,0)</f>
        <v>Matilde Nieto</v>
      </c>
    </row>
    <row r="284" spans="2:20" hidden="1" x14ac:dyDescent="0.25">
      <c r="B284" s="533"/>
      <c r="C284" s="533"/>
      <c r="D284" s="533"/>
      <c r="E284" s="533"/>
      <c r="F284" s="533"/>
      <c r="G284" s="533"/>
      <c r="H284" s="533"/>
      <c r="I284" s="533"/>
      <c r="J284" s="533"/>
      <c r="K284" s="600"/>
      <c r="L284" s="533"/>
      <c r="M284" s="533"/>
      <c r="N284" s="533"/>
      <c r="O284" s="691"/>
      <c r="P284" s="737"/>
      <c r="Q284" s="533"/>
      <c r="R284" s="744"/>
      <c r="S284" s="744"/>
      <c r="T284" s="533"/>
    </row>
    <row r="285" spans="2:20" hidden="1" x14ac:dyDescent="0.25">
      <c r="B285" s="1181" t="s">
        <v>1645</v>
      </c>
      <c r="C285" s="1181"/>
      <c r="D285" s="1181"/>
      <c r="E285" s="581">
        <f>+E287</f>
        <v>16500000</v>
      </c>
      <c r="F285" s="581">
        <f>+F287</f>
        <v>16500000</v>
      </c>
      <c r="G285" s="586"/>
      <c r="H285" s="586"/>
      <c r="I285" s="586"/>
      <c r="J285" s="581">
        <f>+J287</f>
        <v>10300000</v>
      </c>
      <c r="K285" s="603">
        <f>+J285/F285</f>
        <v>0.62424242424242427</v>
      </c>
      <c r="L285" s="581">
        <f>+L287</f>
        <v>6200000</v>
      </c>
      <c r="M285" s="632">
        <v>0</v>
      </c>
      <c r="N285" s="581">
        <f ca="1">SUM(N287)</f>
        <v>0</v>
      </c>
      <c r="O285" s="684"/>
      <c r="P285" s="591" t="str">
        <f>IF(ISERROR(VLOOKUP(B285,'Base de Datos'!$C$7:$N$315,8,0))=TRUE," ",(VLOOKUP(B285,'Base de Datos'!$C$7:$N$315,8,0)))</f>
        <v xml:space="preserve"> </v>
      </c>
      <c r="Q285" s="592"/>
      <c r="R285" s="745" t="str">
        <f>IF(ISERROR(VLOOKUP(B285,'Base de Datos'!$C$7:$N$315,9,0))=TRUE," ",(VLOOKUP(B285,'Base de Datos'!$C$7:$N$315,9,0)))</f>
        <v xml:space="preserve"> </v>
      </c>
      <c r="S285" s="745" t="str">
        <f>IF(ISERROR(VLOOKUP(B285,'Base de Datos'!$C$7:$N$315,10,0))=TRUE," ",(VLOOKUP(B285,'Base de Datos'!$C$7:$N$315,10,0)))</f>
        <v xml:space="preserve"> </v>
      </c>
      <c r="T285" s="592"/>
    </row>
    <row r="286" spans="2:20" ht="24" hidden="1" x14ac:dyDescent="0.25">
      <c r="B286" s="537" t="s">
        <v>2128</v>
      </c>
      <c r="C286" s="537" t="s">
        <v>912</v>
      </c>
      <c r="D286" s="537" t="s">
        <v>1822</v>
      </c>
      <c r="E286" s="545" t="s">
        <v>1845</v>
      </c>
      <c r="F286" s="534" t="s">
        <v>2130</v>
      </c>
      <c r="G286" s="534"/>
      <c r="H286" s="534"/>
      <c r="I286" s="534"/>
      <c r="J286" s="537" t="s">
        <v>2131</v>
      </c>
      <c r="K286" s="652"/>
      <c r="L286" s="537" t="s">
        <v>1940</v>
      </c>
      <c r="M286" s="537"/>
      <c r="N286" s="537" t="s">
        <v>2137</v>
      </c>
      <c r="O286" s="677" t="s">
        <v>2134</v>
      </c>
      <c r="P286" s="568" t="s">
        <v>1818</v>
      </c>
      <c r="Q286" s="537" t="s">
        <v>1848</v>
      </c>
      <c r="R286" s="746" t="s">
        <v>1849</v>
      </c>
      <c r="S286" s="746" t="s">
        <v>375</v>
      </c>
      <c r="T286" s="537" t="s">
        <v>1850</v>
      </c>
    </row>
    <row r="287" spans="2:20" hidden="1" x14ac:dyDescent="0.25">
      <c r="B287" s="533"/>
      <c r="C287" s="533" t="s">
        <v>250</v>
      </c>
      <c r="D287" s="533" t="str">
        <f>VLOOKUP(C287,'Base de Datos'!$E$7:$AR$390,2,0)</f>
        <v>JORGE LUIS TRUJILLO VERA</v>
      </c>
      <c r="E287" s="536">
        <f>VLOOKUP(C287,'Base de Datos'!$E$7:$AR$390,5,0)</f>
        <v>16500000</v>
      </c>
      <c r="F287" s="536">
        <f>VLOOKUP(C287,'Base de Datos'!$E$7:$AR$390,17,0)</f>
        <v>16500000</v>
      </c>
      <c r="G287" s="533"/>
      <c r="H287" s="533"/>
      <c r="I287" s="533"/>
      <c r="J287" s="536">
        <f>VLOOKUP(C287,'Base de Datos'!$E$7:$AR$390,18,0)</f>
        <v>10300000</v>
      </c>
      <c r="K287" s="600"/>
      <c r="L287" s="536">
        <f>VLOOKUP(C287,'Base de Datos'!$E$7:$AR$390,19,0)</f>
        <v>6200000</v>
      </c>
      <c r="M287" s="533"/>
      <c r="N287" s="536" t="str">
        <f ca="1">IF(OR(O287=Hoja1!$D$17,'Presupuesto - PAA 2017'!O287=Hoja1!$D$18),'Presupuesto - PAA 2017'!L287," ")</f>
        <v xml:space="preserve"> </v>
      </c>
      <c r="O287" s="678" t="str">
        <f ca="1">VLOOKUP(C287,'Base de Datos'!$E$7:$AR$390,33,0)</f>
        <v>TERMINO</v>
      </c>
      <c r="P287" s="737"/>
      <c r="Q287" s="533"/>
      <c r="R287" s="743">
        <f>VLOOKUP(C287,'Base de Datos'!$E$7:$AR$390,9,0)</f>
        <v>41675</v>
      </c>
      <c r="S287" s="743">
        <f>VLOOKUP(C287,'Base de Datos'!$E$7:$AR$390,16,0)</f>
        <v>42008</v>
      </c>
      <c r="T287" s="678" t="str">
        <f>VLOOKUP(C287,'Base de Datos'!$E$7:$AR$390,40,0)</f>
        <v>Javier Andrés Vidal</v>
      </c>
    </row>
    <row r="288" spans="2:20" hidden="1" x14ac:dyDescent="0.25">
      <c r="B288" s="533"/>
      <c r="C288" s="533"/>
      <c r="D288" s="533"/>
      <c r="E288" s="533"/>
      <c r="F288" s="533"/>
      <c r="G288" s="533"/>
      <c r="H288" s="533"/>
      <c r="I288" s="533"/>
      <c r="J288" s="533"/>
      <c r="K288" s="600"/>
      <c r="L288" s="533"/>
      <c r="M288" s="533"/>
      <c r="N288" s="533"/>
      <c r="O288" s="691"/>
      <c r="P288" s="737"/>
      <c r="Q288" s="533"/>
      <c r="R288" s="744"/>
      <c r="S288" s="744"/>
      <c r="T288" s="533"/>
    </row>
    <row r="289" spans="2:22" ht="15" hidden="1" customHeight="1" x14ac:dyDescent="0.25">
      <c r="B289" s="1182" t="s">
        <v>1793</v>
      </c>
      <c r="C289" s="1182"/>
      <c r="D289" s="1182"/>
      <c r="E289" s="539">
        <f>+E290+E312+E378</f>
        <v>12705600936</v>
      </c>
      <c r="F289" s="539">
        <f>+F290+F312+F378</f>
        <v>13432435881</v>
      </c>
      <c r="G289" s="540"/>
      <c r="H289" s="540"/>
      <c r="I289" s="540"/>
      <c r="J289" s="539">
        <f>+J290+J312+J378</f>
        <v>11955199519.200001</v>
      </c>
      <c r="K289" s="610">
        <f>+J289/F289</f>
        <v>0.89002468540426605</v>
      </c>
      <c r="L289" s="539">
        <f>+L290+L312+L378</f>
        <v>342700829</v>
      </c>
      <c r="M289" s="543">
        <f>M290+M334+M461</f>
        <v>-55855426.199999988</v>
      </c>
      <c r="N289" s="539">
        <f ca="1">+N290+N312+N378</f>
        <v>0</v>
      </c>
      <c r="O289" s="689"/>
      <c r="P289" s="543"/>
      <c r="Q289" s="569"/>
      <c r="R289" s="747" t="str">
        <f>IF(ISERROR(VLOOKUP(B289,'Base de Datos'!$C$7:$N$315,9,0))=TRUE," ",(VLOOKUP(B289,'Base de Datos'!$C$7:$N$315,9,0)))</f>
        <v xml:space="preserve"> </v>
      </c>
      <c r="S289" s="747" t="str">
        <f>IF(ISERROR(VLOOKUP(B289,'Base de Datos'!$C$7:$N$315,10,0))=TRUE," ",(VLOOKUP(B289,'Base de Datos'!$C$7:$N$315,10,0)))</f>
        <v xml:space="preserve"> </v>
      </c>
      <c r="T289" s="569"/>
      <c r="U289" s="722"/>
      <c r="V289" s="634"/>
    </row>
    <row r="290" spans="2:22" ht="15" hidden="1" customHeight="1" x14ac:dyDescent="0.25">
      <c r="B290" s="1182" t="s">
        <v>1647</v>
      </c>
      <c r="C290" s="1182"/>
      <c r="D290" s="1182"/>
      <c r="E290" s="539">
        <f>+E291+E300+E307</f>
        <v>1397807908</v>
      </c>
      <c r="F290" s="539">
        <f>+F291+F300+F307</f>
        <v>1638062734</v>
      </c>
      <c r="G290" s="540"/>
      <c r="H290" s="540"/>
      <c r="I290" s="540"/>
      <c r="J290" s="539">
        <f>+J291+J300+J307</f>
        <v>1433597964.2</v>
      </c>
      <c r="K290" s="631"/>
      <c r="L290" s="539">
        <f>+L291+L300+L307</f>
        <v>165372681</v>
      </c>
      <c r="M290" s="631">
        <f>+M291+M319+M326</f>
        <v>-55855426.199999988</v>
      </c>
      <c r="N290" s="539">
        <f ca="1">+N291+N300+N307</f>
        <v>0</v>
      </c>
      <c r="O290" s="686"/>
      <c r="P290" s="575" t="str">
        <f>IF(ISERROR(VLOOKUP(B290,'Base de Datos'!$C$7:$N$315,8,0))=TRUE," ",(VLOOKUP(B290,'Base de Datos'!$C$7:$N$315,8,0)))</f>
        <v xml:space="preserve"> </v>
      </c>
      <c r="Q290" s="569"/>
      <c r="R290" s="747" t="str">
        <f>IF(ISERROR(VLOOKUP(B290,'Base de Datos'!$C$7:$N$315,9,0))=TRUE," ",(VLOOKUP(B290,'Base de Datos'!$C$7:$N$315,9,0)))</f>
        <v xml:space="preserve"> </v>
      </c>
      <c r="S290" s="747" t="str">
        <f>IF(ISERROR(VLOOKUP(B290,'Base de Datos'!$C$7:$N$315,10,0))=TRUE," ",(VLOOKUP(B290,'Base de Datos'!$C$7:$N$315,10,0)))</f>
        <v xml:space="preserve"> </v>
      </c>
      <c r="T290" s="569"/>
      <c r="U290" s="722"/>
      <c r="V290" s="634"/>
    </row>
    <row r="291" spans="2:22" hidden="1" x14ac:dyDescent="0.25">
      <c r="B291" s="1181" t="s">
        <v>1648</v>
      </c>
      <c r="C291" s="1181"/>
      <c r="D291" s="1181"/>
      <c r="E291" s="581">
        <f>SUM(E293:E298)</f>
        <v>264468575</v>
      </c>
      <c r="F291" s="581">
        <f>SUM(F293:F298)</f>
        <v>374484341</v>
      </c>
      <c r="G291" s="586"/>
      <c r="H291" s="586"/>
      <c r="I291" s="586"/>
      <c r="J291" s="581">
        <f>SUM(J293:J298)</f>
        <v>290073532.19999999</v>
      </c>
      <c r="K291" s="603">
        <f>+J291/F291</f>
        <v>0.77459455694570678</v>
      </c>
      <c r="L291" s="581">
        <f>SUM(L293:L298)</f>
        <v>30250469</v>
      </c>
      <c r="M291" s="585">
        <f>+E291-(J291+L291)</f>
        <v>-55855426.199999988</v>
      </c>
      <c r="N291" s="581">
        <f ca="1">SUM(N293:N298)</f>
        <v>0</v>
      </c>
      <c r="O291" s="684"/>
      <c r="P291" s="591" t="str">
        <f>IF(ISERROR(VLOOKUP(B291,'Base de Datos'!$C$7:$N$315,8,0))=TRUE," ",(VLOOKUP(B291,'Base de Datos'!$C$7:$N$315,8,0)))</f>
        <v xml:space="preserve"> </v>
      </c>
      <c r="Q291" s="592"/>
      <c r="R291" s="745" t="str">
        <f>IF(ISERROR(VLOOKUP(B291,'Base de Datos'!$C$7:$N$315,9,0))=TRUE," ",(VLOOKUP(B291,'Base de Datos'!$C$7:$N$315,9,0)))</f>
        <v xml:space="preserve"> </v>
      </c>
      <c r="S291" s="745" t="str">
        <f>IF(ISERROR(VLOOKUP(B291,'Base de Datos'!$C$7:$N$315,10,0))=TRUE," ",(VLOOKUP(B291,'Base de Datos'!$C$7:$N$315,10,0)))</f>
        <v xml:space="preserve"> </v>
      </c>
      <c r="T291" s="592"/>
      <c r="U291" s="535"/>
    </row>
    <row r="292" spans="2:22" ht="24" hidden="1" x14ac:dyDescent="0.25">
      <c r="B292" s="537" t="s">
        <v>2128</v>
      </c>
      <c r="C292" s="537" t="s">
        <v>912</v>
      </c>
      <c r="D292" s="537" t="s">
        <v>1822</v>
      </c>
      <c r="E292" s="545" t="s">
        <v>1845</v>
      </c>
      <c r="F292" s="534" t="s">
        <v>2130</v>
      </c>
      <c r="G292" s="534"/>
      <c r="H292" s="534"/>
      <c r="I292" s="534"/>
      <c r="J292" s="537" t="s">
        <v>2131</v>
      </c>
      <c r="K292" s="652"/>
      <c r="L292" s="537" t="s">
        <v>1940</v>
      </c>
      <c r="M292" s="537"/>
      <c r="N292" s="537" t="s">
        <v>2137</v>
      </c>
      <c r="O292" s="677" t="s">
        <v>2134</v>
      </c>
      <c r="P292" s="568" t="s">
        <v>1818</v>
      </c>
      <c r="Q292" s="537" t="s">
        <v>1848</v>
      </c>
      <c r="R292" s="746" t="s">
        <v>1849</v>
      </c>
      <c r="S292" s="746" t="s">
        <v>375</v>
      </c>
      <c r="T292" s="537" t="s">
        <v>1850</v>
      </c>
      <c r="U292" s="535"/>
    </row>
    <row r="293" spans="2:22" hidden="1" x14ac:dyDescent="0.25">
      <c r="B293" s="533"/>
      <c r="C293" s="533" t="s">
        <v>1158</v>
      </c>
      <c r="D293" s="533" t="str">
        <f>VLOOKUP(C293,'Base de Datos'!$E$7:$AR$390,2,0)</f>
        <v>FACTOR VISUAL EAT</v>
      </c>
      <c r="E293" s="536">
        <f>VLOOKUP(C293,'Base de Datos'!$E$7:$AR$390,5,0)</f>
        <v>44544000</v>
      </c>
      <c r="F293" s="536">
        <f>VLOOKUP(C293,'Base de Datos'!$E$7:$AR$390,17,0)</f>
        <v>66816000</v>
      </c>
      <c r="G293" s="533"/>
      <c r="H293" s="533"/>
      <c r="I293" s="533"/>
      <c r="J293" s="740">
        <f>VLOOKUP(C293,'Base de Datos'!$E$7:$AR$390,18,0)</f>
        <v>66816000</v>
      </c>
      <c r="K293" s="600"/>
      <c r="L293" s="753">
        <v>26912000</v>
      </c>
      <c r="M293" s="533"/>
      <c r="N293" s="536" t="str">
        <f ca="1">IF(OR(O293=Hoja1!$D$17,'Presupuesto - PAA 2017'!O293=Hoja1!$D$18),'Presupuesto - PAA 2017'!L293," ")</f>
        <v xml:space="preserve"> </v>
      </c>
      <c r="O293" s="678" t="str">
        <f ca="1">VLOOKUP(C293,'Base de Datos'!$E$7:$AR$390,33,0)</f>
        <v>TERMINO</v>
      </c>
      <c r="P293" s="737"/>
      <c r="Q293" s="533"/>
      <c r="R293" s="743">
        <f>VLOOKUP(C293,'Base de Datos'!$E$7:$AR$390,9,0)</f>
        <v>41929</v>
      </c>
      <c r="S293" s="743">
        <f>VLOOKUP(C293,'Base de Datos'!$E$7:$AR$390,16,0)</f>
        <v>42477</v>
      </c>
      <c r="T293" s="678" t="str">
        <f>VLOOKUP(C293,'Base de Datos'!$E$7:$AR$390,40,0)</f>
        <v>Adriana Payares</v>
      </c>
      <c r="U293" s="535"/>
    </row>
    <row r="294" spans="2:22" hidden="1" x14ac:dyDescent="0.25">
      <c r="B294" s="533"/>
      <c r="C294" s="533" t="s">
        <v>289</v>
      </c>
      <c r="D294" s="533" t="str">
        <f>VLOOKUP(C294,'Base de Datos'!$E$7:$AR$390,2,0)</f>
        <v>UNIPLES S.A.</v>
      </c>
      <c r="E294" s="536">
        <f>VLOOKUP(C294,'Base de Datos'!$E$7:$AR$390,5,0)</f>
        <v>9998117</v>
      </c>
      <c r="F294" s="536">
        <f>VLOOKUP(C294,'Base de Datos'!$E$7:$AR$390,17,0)</f>
        <v>9998117</v>
      </c>
      <c r="G294" s="533"/>
      <c r="H294" s="533"/>
      <c r="I294" s="533"/>
      <c r="J294" s="536">
        <f>VLOOKUP(C294,'Base de Datos'!$E$7:$AR$390,18,0)</f>
        <v>9998097</v>
      </c>
      <c r="K294" s="600"/>
      <c r="L294" s="536">
        <f>VLOOKUP(C294,'Base de Datos'!$E$7:$AR$390,19,0)</f>
        <v>20</v>
      </c>
      <c r="M294" s="533"/>
      <c r="N294" s="536" t="str">
        <f ca="1">IF(OR(O294=Hoja1!$D$17,'Presupuesto - PAA 2017'!O294=Hoja1!$D$18),'Presupuesto - PAA 2017'!L294," ")</f>
        <v xml:space="preserve"> </v>
      </c>
      <c r="O294" s="678" t="str">
        <f ca="1">VLOOKUP(C294,'Base de Datos'!$E$7:$AR$390,33,0)</f>
        <v>TERMINO</v>
      </c>
      <c r="P294" s="737"/>
      <c r="Q294" s="533"/>
      <c r="R294" s="743">
        <f>VLOOKUP(C294,'Base de Datos'!$E$7:$AR$390,9,0)</f>
        <v>41794</v>
      </c>
      <c r="S294" s="743">
        <f>VLOOKUP(C294,'Base de Datos'!$E$7:$AR$390,16,0)</f>
        <v>41855</v>
      </c>
      <c r="T294" s="678" t="str">
        <f>VLOOKUP(C294,'Base de Datos'!$E$7:$AR$390,40,0)</f>
        <v>Andrea Casas</v>
      </c>
      <c r="U294" s="535"/>
    </row>
    <row r="295" spans="2:22" hidden="1" x14ac:dyDescent="0.25">
      <c r="B295" s="533"/>
      <c r="C295" s="533" t="s">
        <v>240</v>
      </c>
      <c r="D295" s="533" t="str">
        <f>VLOOKUP(C295,'Base de Datos'!$E$7:$AR$390,2,0)</f>
        <v>UNIPLES S.A.</v>
      </c>
      <c r="E295" s="536">
        <f>VLOOKUP(C295,'Base de Datos'!$E$7:$AR$390,5,0)</f>
        <v>60000000</v>
      </c>
      <c r="F295" s="536">
        <f>VLOOKUP(C295,'Base de Datos'!$E$7:$AR$390,17,0)</f>
        <v>90000000</v>
      </c>
      <c r="G295" s="533"/>
      <c r="H295" s="533"/>
      <c r="I295" s="533"/>
      <c r="J295" s="536">
        <f>VLOOKUP(C295,'Base de Datos'!$E$7:$AR$390,18,0)</f>
        <v>42574877.200000003</v>
      </c>
      <c r="K295" s="600"/>
      <c r="L295" s="753">
        <v>146147</v>
      </c>
      <c r="M295" s="533"/>
      <c r="N295" s="536" t="str">
        <f ca="1">IF(OR(O295=Hoja1!$D$17,'Presupuesto - PAA 2017'!O295=Hoja1!$D$18),'Presupuesto - PAA 2017'!L295," ")</f>
        <v xml:space="preserve"> </v>
      </c>
      <c r="O295" s="678" t="str">
        <f ca="1">VLOOKUP(C295,'Base de Datos'!$E$7:$AR$390,33,0)</f>
        <v>TERMINO</v>
      </c>
      <c r="P295" s="737"/>
      <c r="Q295" s="533"/>
      <c r="R295" s="743">
        <f>VLOOKUP(C295,'Base de Datos'!$E$7:$AR$390,9,0)</f>
        <v>41655</v>
      </c>
      <c r="S295" s="743">
        <f>VLOOKUP(C295,'Base de Datos'!$E$7:$AR$390,16,0)</f>
        <v>42019</v>
      </c>
      <c r="T295" s="678" t="str">
        <f>VLOOKUP(C295,'Base de Datos'!$E$7:$AR$390,40,0)</f>
        <v>Adriana Payares</v>
      </c>
      <c r="U295" s="535"/>
    </row>
    <row r="296" spans="2:22" hidden="1" x14ac:dyDescent="0.25">
      <c r="B296" s="533"/>
      <c r="C296" s="533" t="s">
        <v>183</v>
      </c>
      <c r="D296" s="533" t="str">
        <f>VLOOKUP(C296,'Base de Datos'!$E$7:$AR$390,2,0)</f>
        <v>CONTRONET LTDA</v>
      </c>
      <c r="E296" s="536">
        <f>VLOOKUP(C296,'Base de Datos'!$E$7:$AR$390,5,0)</f>
        <v>86923131</v>
      </c>
      <c r="F296" s="536">
        <f>VLOOKUP(C296,'Base de Datos'!$E$7:$AR$390,17,0)</f>
        <v>130384697</v>
      </c>
      <c r="G296" s="533"/>
      <c r="H296" s="533"/>
      <c r="I296" s="533"/>
      <c r="J296" s="536">
        <f>VLOOKUP(C296,'Base de Datos'!$E$7:$AR$390,18,0)</f>
        <v>96359635</v>
      </c>
      <c r="K296" s="600"/>
      <c r="L296" s="753">
        <v>231698</v>
      </c>
      <c r="M296" s="533"/>
      <c r="N296" s="536" t="str">
        <f ca="1">IF(OR(O296=Hoja1!$D$17,'Presupuesto - PAA 2017'!O296=Hoja1!$D$18),'Presupuesto - PAA 2017'!L296," ")</f>
        <v xml:space="preserve"> </v>
      </c>
      <c r="O296" s="678" t="str">
        <f ca="1">VLOOKUP(C296,'Base de Datos'!$E$7:$AR$390,33,0)</f>
        <v>TERMINO</v>
      </c>
      <c r="P296" s="737"/>
      <c r="Q296" s="533"/>
      <c r="R296" s="743">
        <f>VLOOKUP(C296,'Base de Datos'!$E$7:$AR$390,9,0)</f>
        <v>41506</v>
      </c>
      <c r="S296" s="743">
        <f>VLOOKUP(C296,'Base de Datos'!$E$7:$AR$390,16,0)</f>
        <v>42055</v>
      </c>
      <c r="T296" s="678" t="str">
        <f>VLOOKUP(C296,'Base de Datos'!$E$7:$AR$390,40,0)</f>
        <v>Adriana Payares</v>
      </c>
      <c r="U296" s="535"/>
    </row>
    <row r="297" spans="2:22" hidden="1" x14ac:dyDescent="0.25">
      <c r="B297" s="533"/>
      <c r="C297" s="533" t="s">
        <v>1162</v>
      </c>
      <c r="D297" s="533" t="str">
        <f>VLOOKUP(C297,'Base de Datos'!$E$7:$AR$390,2,0)</f>
        <v>LINALCA INFORMATICA</v>
      </c>
      <c r="E297" s="536">
        <f>VLOOKUP(C297,'Base de Datos'!$E$7:$AR$390,5,0)</f>
        <v>16592327</v>
      </c>
      <c r="F297" s="536">
        <f>VLOOKUP(C297,'Base de Datos'!$E$7:$AR$390,17,0)</f>
        <v>16592327</v>
      </c>
      <c r="G297" s="533"/>
      <c r="H297" s="533"/>
      <c r="I297" s="533"/>
      <c r="J297" s="536">
        <f>VLOOKUP(C297,'Base de Datos'!$E$7:$AR$390,18,0)</f>
        <v>14933095</v>
      </c>
      <c r="K297" s="600"/>
      <c r="L297" s="753">
        <v>1659232</v>
      </c>
      <c r="M297" s="533"/>
      <c r="N297" s="536" t="str">
        <f ca="1">IF(OR(O297=Hoja1!$D$17,'Presupuesto - PAA 2017'!O297=Hoja1!$D$18),'Presupuesto - PAA 2017'!L297," ")</f>
        <v xml:space="preserve"> </v>
      </c>
      <c r="O297" s="678" t="str">
        <f ca="1">VLOOKUP(C297,'Base de Datos'!$E$7:$AR$390,33,0)</f>
        <v>TERMINO</v>
      </c>
      <c r="P297" s="737"/>
      <c r="Q297" s="533"/>
      <c r="R297" s="743">
        <f>VLOOKUP(C297,'Base de Datos'!$E$7:$AR$390,9,0)</f>
        <v>41936</v>
      </c>
      <c r="S297" s="743">
        <f>VLOOKUP(C297,'Base de Datos'!$E$7:$AR$390,16,0)</f>
        <v>42301</v>
      </c>
      <c r="T297" s="678" t="str">
        <f>VLOOKUP(C297,'Base de Datos'!$E$7:$AR$390,40,0)</f>
        <v>Adriana Payares</v>
      </c>
      <c r="U297" s="535"/>
    </row>
    <row r="298" spans="2:22" ht="24" hidden="1" x14ac:dyDescent="0.25">
      <c r="B298" s="533"/>
      <c r="C298" s="533" t="s">
        <v>172</v>
      </c>
      <c r="D298" s="533" t="str">
        <f>VLOOKUP(C298,'Base de Datos'!$E$7:$AR$390,2,0)</f>
        <v>COLOMBIANA DE SOFTWARE Y HARDWARE COLSOF S.A.</v>
      </c>
      <c r="E298" s="536">
        <f>VLOOKUP(C298,'Base de Datos'!$E$7:$AR$390,5,0)</f>
        <v>46411000</v>
      </c>
      <c r="F298" s="536">
        <f>VLOOKUP(C298,'Base de Datos'!$E$7:$AR$390,17,0)</f>
        <v>60693200</v>
      </c>
      <c r="G298" s="533"/>
      <c r="H298" s="533"/>
      <c r="I298" s="533"/>
      <c r="J298" s="536">
        <f>VLOOKUP(C298,'Base de Datos'!$E$7:$AR$390,18,0)</f>
        <v>59391828</v>
      </c>
      <c r="K298" s="600"/>
      <c r="L298" s="536">
        <f>VLOOKUP(C298,'Base de Datos'!$E$7:$AR$390,19,0)</f>
        <v>1301372</v>
      </c>
      <c r="M298" s="533"/>
      <c r="N298" s="536" t="str">
        <f ca="1">IF(OR(O298=Hoja1!$D$17,'Presupuesto - PAA 2017'!O298=Hoja1!$D$18),'Presupuesto - PAA 2017'!L298," ")</f>
        <v xml:space="preserve"> </v>
      </c>
      <c r="O298" s="678" t="str">
        <f ca="1">VLOOKUP(C298,'Base de Datos'!$E$7:$AR$390,33,0)</f>
        <v>TERMINO</v>
      </c>
      <c r="P298" s="737"/>
      <c r="Q298" s="533"/>
      <c r="R298" s="743">
        <f>VLOOKUP(C298,'Base de Datos'!$E$7:$AR$390,9,0)</f>
        <v>41500</v>
      </c>
      <c r="S298" s="743">
        <f>VLOOKUP(C298,'Base de Datos'!$E$7:$AR$390,16,0)</f>
        <v>41864</v>
      </c>
      <c r="T298" s="678" t="str">
        <f>VLOOKUP(C298,'Base de Datos'!$E$7:$AR$390,40,0)</f>
        <v>Judith Hernández</v>
      </c>
      <c r="U298" s="535"/>
    </row>
    <row r="299" spans="2:22" hidden="1" x14ac:dyDescent="0.25">
      <c r="B299" s="533"/>
      <c r="C299" s="533"/>
      <c r="D299" s="533"/>
      <c r="E299" s="533"/>
      <c r="F299" s="533"/>
      <c r="G299" s="533"/>
      <c r="H299" s="533"/>
      <c r="I299" s="533"/>
      <c r="J299" s="533"/>
      <c r="K299" s="600"/>
      <c r="L299" s="533"/>
      <c r="M299" s="533"/>
      <c r="N299" s="533"/>
      <c r="O299" s="691"/>
      <c r="P299" s="737"/>
      <c r="Q299" s="533"/>
      <c r="R299" s="744"/>
      <c r="S299" s="744"/>
      <c r="T299" s="533"/>
      <c r="U299" s="535"/>
    </row>
    <row r="300" spans="2:22" hidden="1" x14ac:dyDescent="0.25">
      <c r="B300" s="1181" t="s">
        <v>1649</v>
      </c>
      <c r="C300" s="1181"/>
      <c r="D300" s="1181"/>
      <c r="E300" s="581">
        <f>SUM(E302:E305)</f>
        <v>791102333</v>
      </c>
      <c r="F300" s="581">
        <f>SUM(F302:F305)</f>
        <v>921341393</v>
      </c>
      <c r="G300" s="586"/>
      <c r="H300" s="586"/>
      <c r="I300" s="586"/>
      <c r="J300" s="581">
        <f>SUM(J302:J305)</f>
        <v>802058750</v>
      </c>
      <c r="K300" s="603">
        <f>+J300/F300</f>
        <v>0.87053371974138583</v>
      </c>
      <c r="L300" s="581">
        <f>SUM(L302:L305)</f>
        <v>119282643</v>
      </c>
      <c r="M300" s="632">
        <v>0</v>
      </c>
      <c r="N300" s="581">
        <f ca="1">SUM(N302:N305)</f>
        <v>0</v>
      </c>
      <c r="O300" s="684"/>
      <c r="P300" s="591" t="str">
        <f>IF(ISERROR(VLOOKUP(B300,'Base de Datos'!$C$7:$N$315,8,0))=TRUE," ",(VLOOKUP(B300,'Base de Datos'!$C$7:$N$315,8,0)))</f>
        <v xml:space="preserve"> </v>
      </c>
      <c r="Q300" s="592"/>
      <c r="R300" s="745" t="str">
        <f>IF(ISERROR(VLOOKUP(B300,'Base de Datos'!$C$7:$N$315,9,0))=TRUE," ",(VLOOKUP(B300,'Base de Datos'!$C$7:$N$315,9,0)))</f>
        <v xml:space="preserve"> </v>
      </c>
      <c r="S300" s="745" t="str">
        <f>IF(ISERROR(VLOOKUP(B300,'Base de Datos'!$C$7:$N$315,10,0))=TRUE," ",(VLOOKUP(B300,'Base de Datos'!$C$7:$N$315,10,0)))</f>
        <v xml:space="preserve"> </v>
      </c>
      <c r="T300" s="592"/>
      <c r="U300" s="535"/>
    </row>
    <row r="301" spans="2:22" ht="24" hidden="1" x14ac:dyDescent="0.25">
      <c r="B301" s="537" t="s">
        <v>2128</v>
      </c>
      <c r="C301" s="537" t="s">
        <v>912</v>
      </c>
      <c r="D301" s="537" t="s">
        <v>1822</v>
      </c>
      <c r="E301" s="545" t="s">
        <v>1845</v>
      </c>
      <c r="F301" s="534" t="s">
        <v>2130</v>
      </c>
      <c r="G301" s="534"/>
      <c r="H301" s="534"/>
      <c r="I301" s="534"/>
      <c r="J301" s="537" t="s">
        <v>2131</v>
      </c>
      <c r="K301" s="652"/>
      <c r="L301" s="537" t="s">
        <v>1940</v>
      </c>
      <c r="M301" s="537"/>
      <c r="N301" s="537" t="s">
        <v>2137</v>
      </c>
      <c r="O301" s="677" t="s">
        <v>2134</v>
      </c>
      <c r="P301" s="568" t="s">
        <v>1818</v>
      </c>
      <c r="Q301" s="537" t="s">
        <v>1848</v>
      </c>
      <c r="R301" s="746" t="s">
        <v>1849</v>
      </c>
      <c r="S301" s="746" t="s">
        <v>375</v>
      </c>
      <c r="T301" s="537" t="s">
        <v>1850</v>
      </c>
      <c r="U301" s="535"/>
    </row>
    <row r="302" spans="2:22" hidden="1" x14ac:dyDescent="0.25">
      <c r="B302" s="533"/>
      <c r="C302" s="533" t="s">
        <v>1477</v>
      </c>
      <c r="D302" s="533" t="str">
        <f>VLOOKUP(C302,'Base de Datos'!$E$7:$AR$390,2,0)</f>
        <v>ORGANIZACIÓN TERPEL S.A.</v>
      </c>
      <c r="E302" s="536">
        <f>VLOOKUP(C302,'Base de Datos'!$E$7:$AR$390,5,0)</f>
        <v>171253333</v>
      </c>
      <c r="F302" s="536">
        <f>VLOOKUP(C302,'Base de Datos'!$E$7:$AR$390,17,0)</f>
        <v>171253333</v>
      </c>
      <c r="G302" s="533"/>
      <c r="H302" s="533"/>
      <c r="I302" s="533"/>
      <c r="J302" s="536">
        <f>VLOOKUP(C302,'Base de Datos'!$E$7:$AR$390,18,0)</f>
        <v>123537109</v>
      </c>
      <c r="K302" s="741"/>
      <c r="L302" s="742">
        <f>VLOOKUP(C302,'Base de Datos'!$E$7:$AR$390,19,0)</f>
        <v>47716224</v>
      </c>
      <c r="M302" s="533"/>
      <c r="N302" s="536" t="str">
        <f ca="1">IF(OR(O302=Hoja1!$D$17,'Presupuesto - PAA 2017'!O302=Hoja1!$D$18),'Presupuesto - PAA 2017'!L302," ")</f>
        <v xml:space="preserve"> </v>
      </c>
      <c r="O302" s="678" t="str">
        <f ca="1">VLOOKUP(C302,'Base de Datos'!$E$7:$AR$390,33,0)</f>
        <v>TERMINO</v>
      </c>
      <c r="P302" s="737"/>
      <c r="Q302" s="533"/>
      <c r="R302" s="743">
        <f>VLOOKUP(C302,'Base de Datos'!$E$7:$AR$390,9,0)</f>
        <v>41961</v>
      </c>
      <c r="S302" s="743">
        <f>VLOOKUP(C302,'Base de Datos'!$E$7:$AR$390,16,0)</f>
        <v>42063</v>
      </c>
      <c r="T302" s="678" t="str">
        <f>VLOOKUP(C302,'Base de Datos'!$E$7:$AR$390,40,0)</f>
        <v>Judith Hernández</v>
      </c>
      <c r="U302" s="535"/>
    </row>
    <row r="303" spans="2:22" hidden="1" x14ac:dyDescent="0.25">
      <c r="B303" s="533"/>
      <c r="C303" s="533" t="s">
        <v>96</v>
      </c>
      <c r="D303" s="533" t="str">
        <f>VLOOKUP(C303,'Base de Datos'!$E$7:$AR$390,2,0)</f>
        <v>ORGANIZACIÓN TERPEL S.A.</v>
      </c>
      <c r="E303" s="536">
        <f>VLOOKUP(C303,'Base de Datos'!$E$7:$AR$390,5,0)</f>
        <v>351295000</v>
      </c>
      <c r="F303" s="536">
        <f>VLOOKUP(C303,'Base de Datos'!$E$7:$AR$390,17,0)</f>
        <v>473134060</v>
      </c>
      <c r="G303" s="533"/>
      <c r="H303" s="533"/>
      <c r="I303" s="533"/>
      <c r="J303" s="536">
        <f>VLOOKUP(C303,'Base de Datos'!$E$7:$AR$390,18,0)</f>
        <v>473133510</v>
      </c>
      <c r="K303" s="600"/>
      <c r="L303" s="742">
        <f>VLOOKUP(C303,'Base de Datos'!$E$7:$AR$390,19,0)</f>
        <v>550</v>
      </c>
      <c r="M303" s="533"/>
      <c r="N303" s="536" t="str">
        <f ca="1">IF(OR(O303=Hoja1!$D$17,'Presupuesto - PAA 2017'!O303=Hoja1!$D$18),'Presupuesto - PAA 2017'!L303," ")</f>
        <v xml:space="preserve"> </v>
      </c>
      <c r="O303" s="678" t="str">
        <f ca="1">VLOOKUP(C303,'Base de Datos'!$E$7:$AR$390,33,0)</f>
        <v>TERMINO</v>
      </c>
      <c r="P303" s="737"/>
      <c r="Q303" s="533"/>
      <c r="R303" s="743">
        <f>VLOOKUP(C303,'Base de Datos'!$E$7:$AR$390,9,0)</f>
        <v>41426</v>
      </c>
      <c r="S303" s="743">
        <f>VLOOKUP(C303,'Base de Datos'!$E$7:$AR$390,16,0)</f>
        <v>41820</v>
      </c>
      <c r="T303" s="678" t="str">
        <f>VLOOKUP(C303,'Base de Datos'!$E$7:$AR$390,40,0)</f>
        <v>Judith Hernández</v>
      </c>
      <c r="U303" s="535"/>
    </row>
    <row r="304" spans="2:22" ht="24" hidden="1" x14ac:dyDescent="0.25">
      <c r="B304" s="533"/>
      <c r="C304" s="533" t="s">
        <v>187</v>
      </c>
      <c r="D304" s="533" t="str">
        <f>VLOOKUP(C304,'Base de Datos'!$E$7:$AR$390,2,0)</f>
        <v>INVERSIONES LIGOL - INVERLIGOL LTD A</v>
      </c>
      <c r="E304" s="536">
        <f>VLOOKUP(C304,'Base de Datos'!$E$7:$AR$390,5,0)</f>
        <v>16804000</v>
      </c>
      <c r="F304" s="536">
        <f>VLOOKUP(C304,'Base de Datos'!$E$7:$AR$390,17,0)</f>
        <v>25204000</v>
      </c>
      <c r="G304" s="533"/>
      <c r="H304" s="533"/>
      <c r="I304" s="533"/>
      <c r="J304" s="536">
        <f>VLOOKUP(C304,'Base de Datos'!$E$7:$AR$390,18,0)</f>
        <v>25201450</v>
      </c>
      <c r="K304" s="600"/>
      <c r="L304" s="742">
        <f>VLOOKUP(C304,'Base de Datos'!$E$7:$AR$390,19,0)</f>
        <v>2550</v>
      </c>
      <c r="M304" s="533"/>
      <c r="N304" s="536" t="str">
        <f ca="1">IF(OR(O304=Hoja1!$D$17,'Presupuesto - PAA 2017'!O304=Hoja1!$D$18),'Presupuesto - PAA 2017'!L304," ")</f>
        <v xml:space="preserve"> </v>
      </c>
      <c r="O304" s="678" t="str">
        <f ca="1">VLOOKUP(C304,'Base de Datos'!$E$7:$AR$390,33,0)</f>
        <v>TERMINO</v>
      </c>
      <c r="P304" s="737"/>
      <c r="Q304" s="533"/>
      <c r="R304" s="743">
        <f>VLOOKUP(C304,'Base de Datos'!$E$7:$AR$390,9,0)</f>
        <v>41523</v>
      </c>
      <c r="S304" s="743">
        <f>VLOOKUP(C304,'Base de Datos'!$E$7:$AR$390,16,0)</f>
        <v>42099</v>
      </c>
      <c r="T304" s="678" t="str">
        <f>VLOOKUP(C304,'Base de Datos'!$E$7:$AR$390,40,0)</f>
        <v>Luisa Fernanda Gutiérrez</v>
      </c>
      <c r="U304" s="535"/>
    </row>
    <row r="305" spans="2:21" hidden="1" x14ac:dyDescent="0.25">
      <c r="B305" s="533"/>
      <c r="C305" s="533" t="s">
        <v>285</v>
      </c>
      <c r="D305" s="533" t="str">
        <f>VLOOKUP(C305,'Base de Datos'!$E$7:$AR$390,2,0)</f>
        <v>ORGANIZACIÓN TERPEL S.A.</v>
      </c>
      <c r="E305" s="536">
        <f>VLOOKUP(C305,'Base de Datos'!$E$7:$AR$390,5,0)</f>
        <v>251750000</v>
      </c>
      <c r="F305" s="536">
        <f>VLOOKUP(C305,'Base de Datos'!$E$7:$AR$390,17,0)</f>
        <v>251750000</v>
      </c>
      <c r="G305" s="533"/>
      <c r="H305" s="533"/>
      <c r="I305" s="533"/>
      <c r="J305" s="536">
        <f>VLOOKUP(C305,'Base de Datos'!$E$7:$AR$390,18,0)</f>
        <v>180186681</v>
      </c>
      <c r="K305" s="600"/>
      <c r="L305" s="742">
        <f>VLOOKUP(C305,'Base de Datos'!$E$7:$AR$390,19,0)</f>
        <v>71563319</v>
      </c>
      <c r="M305" s="533"/>
      <c r="N305" s="536" t="str">
        <f ca="1">IF(OR(O305=Hoja1!$D$17,'Presupuesto - PAA 2017'!O305=Hoja1!$D$18),'Presupuesto - PAA 2017'!L305," ")</f>
        <v xml:space="preserve"> </v>
      </c>
      <c r="O305" s="678" t="str">
        <f ca="1">VLOOKUP(C305,'Base de Datos'!$E$7:$AR$390,33,0)</f>
        <v>TERMINO</v>
      </c>
      <c r="P305" s="737"/>
      <c r="Q305" s="533"/>
      <c r="R305" s="743">
        <f>VLOOKUP(C305,'Base de Datos'!$E$7:$AR$390,9,0)</f>
        <v>41806</v>
      </c>
      <c r="S305" s="743">
        <f>VLOOKUP(C305,'Base de Datos'!$E$7:$AR$390,16,0)</f>
        <v>41959</v>
      </c>
      <c r="T305" s="678" t="str">
        <f>VLOOKUP(C305,'Base de Datos'!$E$7:$AR$390,40,0)</f>
        <v>Judith Hernández</v>
      </c>
      <c r="U305" s="535"/>
    </row>
    <row r="306" spans="2:21" hidden="1" x14ac:dyDescent="0.25">
      <c r="B306" s="533"/>
      <c r="C306" s="533"/>
      <c r="D306" s="533"/>
      <c r="E306" s="533"/>
      <c r="F306" s="533"/>
      <c r="G306" s="533"/>
      <c r="H306" s="533"/>
      <c r="I306" s="533"/>
      <c r="J306" s="533"/>
      <c r="K306" s="600"/>
      <c r="L306" s="533"/>
      <c r="M306" s="533"/>
      <c r="N306" s="533"/>
      <c r="O306" s="691"/>
      <c r="P306" s="737"/>
      <c r="Q306" s="533"/>
      <c r="R306" s="744"/>
      <c r="S306" s="744"/>
      <c r="T306" s="533"/>
      <c r="U306" s="535"/>
    </row>
    <row r="307" spans="2:21" hidden="1" x14ac:dyDescent="0.25">
      <c r="B307" s="1181" t="s">
        <v>1650</v>
      </c>
      <c r="C307" s="1181"/>
      <c r="D307" s="1181"/>
      <c r="E307" s="581">
        <f>SUM(E309:E310)</f>
        <v>342237000</v>
      </c>
      <c r="F307" s="581">
        <f>SUM(F309:F310)</f>
        <v>342237000</v>
      </c>
      <c r="G307" s="586"/>
      <c r="H307" s="586"/>
      <c r="I307" s="586"/>
      <c r="J307" s="581">
        <f>SUM(J309:J310)</f>
        <v>341465682</v>
      </c>
      <c r="K307" s="603">
        <f>+J307/F307</f>
        <v>0.99774624602249318</v>
      </c>
      <c r="L307" s="581">
        <f>SUM(L309:L310)</f>
        <v>15839569</v>
      </c>
      <c r="M307" s="632">
        <f>+E307-(J307+L307)</f>
        <v>-15068251</v>
      </c>
      <c r="N307" s="581">
        <f ca="1">SUM(N309:N310)</f>
        <v>0</v>
      </c>
      <c r="O307" s="684"/>
      <c r="P307" s="591" t="str">
        <f>IF(ISERROR(VLOOKUP(B307,'Base de Datos'!$C$7:$N$315,8,0))=TRUE," ",(VLOOKUP(B307,'Base de Datos'!$C$7:$N$315,8,0)))</f>
        <v xml:space="preserve"> </v>
      </c>
      <c r="Q307" s="592"/>
      <c r="R307" s="745" t="str">
        <f>IF(ISERROR(VLOOKUP(B307,'Base de Datos'!$C$7:$N$315,9,0))=TRUE," ",(VLOOKUP(B307,'Base de Datos'!$C$7:$N$315,9,0)))</f>
        <v xml:space="preserve"> </v>
      </c>
      <c r="S307" s="745" t="str">
        <f>IF(ISERROR(VLOOKUP(B307,'Base de Datos'!$C$7:$N$315,10,0))=TRUE," ",(VLOOKUP(B307,'Base de Datos'!$C$7:$N$315,10,0)))</f>
        <v xml:space="preserve"> </v>
      </c>
      <c r="T307" s="592"/>
    </row>
    <row r="308" spans="2:21" ht="24" hidden="1" x14ac:dyDescent="0.25">
      <c r="B308" s="537" t="s">
        <v>2128</v>
      </c>
      <c r="C308" s="537" t="s">
        <v>912</v>
      </c>
      <c r="D308" s="537" t="s">
        <v>1822</v>
      </c>
      <c r="E308" s="545" t="s">
        <v>1845</v>
      </c>
      <c r="F308" s="534" t="s">
        <v>2130</v>
      </c>
      <c r="G308" s="534"/>
      <c r="H308" s="534"/>
      <c r="I308" s="534"/>
      <c r="J308" s="537" t="s">
        <v>2131</v>
      </c>
      <c r="K308" s="652"/>
      <c r="L308" s="537" t="s">
        <v>1940</v>
      </c>
      <c r="M308" s="537"/>
      <c r="N308" s="537" t="s">
        <v>2137</v>
      </c>
      <c r="O308" s="677" t="s">
        <v>2134</v>
      </c>
      <c r="P308" s="568" t="s">
        <v>1818</v>
      </c>
      <c r="Q308" s="537" t="s">
        <v>1848</v>
      </c>
      <c r="R308" s="746" t="s">
        <v>1849</v>
      </c>
      <c r="S308" s="746" t="s">
        <v>375</v>
      </c>
      <c r="T308" s="537" t="s">
        <v>1850</v>
      </c>
    </row>
    <row r="309" spans="2:21" ht="21" hidden="1" customHeight="1" x14ac:dyDescent="0.25">
      <c r="B309" s="533"/>
      <c r="C309" s="533" t="s">
        <v>1419</v>
      </c>
      <c r="D309" s="533" t="str">
        <f>VLOOKUP(C309,'Base de Datos'!$E$7:$AR$390,2,0)</f>
        <v>S.O.S. SOLUCIONES DE OFICINA &amp; SUMINISTROS S.A.S.</v>
      </c>
      <c r="E309" s="536">
        <f>VLOOKUP(C309,'Base de Datos'!$E$7:$AR$390,5,0)</f>
        <v>4750000</v>
      </c>
      <c r="F309" s="536">
        <f>VLOOKUP(C309,'Base de Datos'!$E$7:$AR$390,17,0)</f>
        <v>4750000</v>
      </c>
      <c r="G309" s="533"/>
      <c r="H309" s="533"/>
      <c r="I309" s="533"/>
      <c r="J309" s="536">
        <f>VLOOKUP(C309,'Base de Datos'!$E$7:$AR$390,18,0)</f>
        <v>3978684</v>
      </c>
      <c r="K309" s="600"/>
      <c r="L309" s="742">
        <f>VLOOKUP(C309,'Base de Datos'!$E$7:$AR$390,19,0)</f>
        <v>771316</v>
      </c>
      <c r="M309" s="533"/>
      <c r="N309" s="536" t="str">
        <f ca="1">IF(OR(O309=Hoja1!$D$17,'Presupuesto - PAA 2017'!O309=Hoja1!$D$18),'Presupuesto - PAA 2017'!L309," ")</f>
        <v xml:space="preserve"> </v>
      </c>
      <c r="O309" s="678" t="str">
        <f ca="1">VLOOKUP(C309,'Base de Datos'!$E$7:$AR$390,33,0)</f>
        <v>TERMINO</v>
      </c>
      <c r="P309" s="737"/>
      <c r="Q309" s="533"/>
      <c r="R309" s="743">
        <f>VLOOKUP(C309,'Base de Datos'!$E$7:$AR$390,9,0)</f>
        <v>41968</v>
      </c>
      <c r="S309" s="743">
        <f>VLOOKUP(C309,'Base de Datos'!$E$7:$AR$390,16,0)</f>
        <v>42060</v>
      </c>
      <c r="T309" s="678" t="str">
        <f>VLOOKUP(C309,'Base de Datos'!$E$7:$AR$390,40,0)</f>
        <v>Luisa Fernanda Gutiérrez</v>
      </c>
    </row>
    <row r="310" spans="2:21" ht="24" hidden="1" x14ac:dyDescent="0.25">
      <c r="B310" s="533"/>
      <c r="C310" s="533" t="s">
        <v>287</v>
      </c>
      <c r="D310" s="533" t="str">
        <f>VLOOKUP(C310,'Base de Datos'!$E$7:$AR$390,2,0)</f>
        <v xml:space="preserve">UNIÓN TEMPORAL EMINSER-SOLOASEO </v>
      </c>
      <c r="E310" s="536">
        <f>VLOOKUP(C310,'Base de Datos'!$E$7:$AR$390,5,0)</f>
        <v>337487000</v>
      </c>
      <c r="F310" s="536">
        <f>VLOOKUP(C310,'Base de Datos'!$E$7:$AR$390,17,0)</f>
        <v>337487000</v>
      </c>
      <c r="G310" s="533"/>
      <c r="H310" s="533"/>
      <c r="I310" s="533"/>
      <c r="J310" s="536">
        <f>VLOOKUP(C310,'Base de Datos'!$E$7:$AR$390,18,0)</f>
        <v>337486998</v>
      </c>
      <c r="K310" s="600"/>
      <c r="L310" s="742">
        <v>15068253</v>
      </c>
      <c r="M310" s="533"/>
      <c r="N310" s="536" t="str">
        <f ca="1">IF(OR(O310=Hoja1!$D$17,'Presupuesto - PAA 2017'!O310=Hoja1!$D$18),'Presupuesto - PAA 2017'!L310," ")</f>
        <v xml:space="preserve"> </v>
      </c>
      <c r="O310" s="678" t="str">
        <f ca="1">VLOOKUP(C310,'Base de Datos'!$E$7:$AR$390,33,0)</f>
        <v>TERMINO</v>
      </c>
      <c r="P310" s="737"/>
      <c r="Q310" s="533"/>
      <c r="R310" s="743">
        <f>VLOOKUP(C310,'Base de Datos'!$E$7:$AR$390,9,0)</f>
        <v>41811</v>
      </c>
      <c r="S310" s="743">
        <f>VLOOKUP(C310,'Base de Datos'!$E$7:$AR$390,16,0)</f>
        <v>42186</v>
      </c>
      <c r="T310" s="678" t="str">
        <f>VLOOKUP(C310,'Base de Datos'!$E$7:$AR$390,40,0)</f>
        <v>Luisa Fernanda Gutiérrez</v>
      </c>
    </row>
    <row r="311" spans="2:21" hidden="1" x14ac:dyDescent="0.25">
      <c r="B311" s="533"/>
      <c r="C311" s="533"/>
      <c r="D311" s="533"/>
      <c r="E311" s="533"/>
      <c r="F311" s="533"/>
      <c r="G311" s="533"/>
      <c r="H311" s="533"/>
      <c r="I311" s="533"/>
      <c r="J311" s="533"/>
      <c r="K311" s="600"/>
      <c r="L311" s="533"/>
      <c r="M311" s="533"/>
      <c r="N311" s="533"/>
      <c r="O311" s="691"/>
      <c r="P311" s="737"/>
      <c r="Q311" s="533"/>
      <c r="R311" s="744"/>
      <c r="S311" s="744"/>
      <c r="T311" s="533"/>
    </row>
    <row r="312" spans="2:21" hidden="1" x14ac:dyDescent="0.25">
      <c r="B312" s="1182" t="s">
        <v>1651</v>
      </c>
      <c r="C312" s="1182"/>
      <c r="D312" s="1182"/>
      <c r="E312" s="539">
        <f>+E317+E323+E327+E347+E353+E359+E363+E368+E373+E313</f>
        <v>11295093028</v>
      </c>
      <c r="F312" s="539">
        <f>+F317+F323+F327+F347+F353+F359+F363+F368+F373+F313</f>
        <v>11781673147</v>
      </c>
      <c r="G312" s="540"/>
      <c r="H312" s="540"/>
      <c r="I312" s="540"/>
      <c r="J312" s="539">
        <f>+J317+J323+J327+J347+J353+J359+J363+J368+J373+J313</f>
        <v>10509143155</v>
      </c>
      <c r="K312" s="610">
        <f>+J312/F312</f>
        <v>0.89199072354812114</v>
      </c>
      <c r="L312" s="539">
        <f>+L317+L323+L327+L347+L353+L359+L363+L368+L373+L313</f>
        <v>177086548</v>
      </c>
      <c r="M312" s="653">
        <v>0</v>
      </c>
      <c r="N312" s="539">
        <f ca="1">+N317+N323+N327+N347+N353+N359+N363+N368+N373</f>
        <v>0</v>
      </c>
      <c r="O312" s="689"/>
      <c r="P312" s="543"/>
      <c r="Q312" s="569"/>
      <c r="R312" s="747" t="str">
        <f>IF(ISERROR(VLOOKUP(B312,'Base de Datos'!$C$7:$N$315,9,0))=TRUE," ",(VLOOKUP(B312,'Base de Datos'!$C$7:$N$315,9,0)))</f>
        <v xml:space="preserve"> </v>
      </c>
      <c r="S312" s="747" t="str">
        <f>IF(ISERROR(VLOOKUP(B312,'Base de Datos'!$C$7:$N$315,10,0))=TRUE," ",(VLOOKUP(B312,'Base de Datos'!$C$7:$N$315,10,0)))</f>
        <v xml:space="preserve"> </v>
      </c>
      <c r="T312" s="569"/>
    </row>
    <row r="313" spans="2:21" s="615" customFormat="1" hidden="1" x14ac:dyDescent="0.25">
      <c r="B313" s="1181" t="s">
        <v>2139</v>
      </c>
      <c r="C313" s="1181"/>
      <c r="D313" s="1181"/>
      <c r="E313" s="581">
        <f>SUM(E315:E317)</f>
        <v>7365169309</v>
      </c>
      <c r="F313" s="581">
        <f>SUM(F315:F317)</f>
        <v>7376274309</v>
      </c>
      <c r="G313" s="586"/>
      <c r="H313" s="586"/>
      <c r="I313" s="586"/>
      <c r="J313" s="581">
        <f>SUM(J315:J317)</f>
        <v>6263648676</v>
      </c>
      <c r="K313" s="603">
        <f>+J313/F313</f>
        <v>0.84916157040927098</v>
      </c>
      <c r="L313" s="581">
        <f>SUM(L315:L317)</f>
        <v>2165107</v>
      </c>
      <c r="M313" s="632">
        <v>0</v>
      </c>
      <c r="N313" s="581">
        <f ca="1">SUM(N315:N317)</f>
        <v>0</v>
      </c>
      <c r="O313" s="684"/>
      <c r="P313" s="591" t="str">
        <f>IF(ISERROR(VLOOKUP(B313,'Base de Datos'!$C$7:$N$315,8,0))=TRUE," ",(VLOOKUP(B313,'Base de Datos'!$C$7:$N$315,8,0)))</f>
        <v xml:space="preserve"> </v>
      </c>
      <c r="Q313" s="592"/>
      <c r="R313" s="745" t="str">
        <f>IF(ISERROR(VLOOKUP(B313,'Base de Datos'!$C$7:$N$315,9,0))=TRUE," ",(VLOOKUP(B313,'Base de Datos'!$C$7:$N$315,9,0)))</f>
        <v xml:space="preserve"> </v>
      </c>
      <c r="S313" s="745" t="str">
        <f>IF(ISERROR(VLOOKUP(B313,'Base de Datos'!$C$7:$N$315,10,0))=TRUE," ",(VLOOKUP(B313,'Base de Datos'!$C$7:$N$315,10,0)))</f>
        <v xml:space="preserve"> </v>
      </c>
      <c r="T313" s="592"/>
      <c r="U313" s="656"/>
    </row>
    <row r="314" spans="2:21" s="615" customFormat="1" ht="24" hidden="1" x14ac:dyDescent="0.25">
      <c r="B314" s="537" t="s">
        <v>2128</v>
      </c>
      <c r="C314" s="537" t="s">
        <v>912</v>
      </c>
      <c r="D314" s="537" t="s">
        <v>1822</v>
      </c>
      <c r="E314" s="545" t="s">
        <v>1845</v>
      </c>
      <c r="F314" s="534" t="s">
        <v>2130</v>
      </c>
      <c r="G314" s="534"/>
      <c r="H314" s="534"/>
      <c r="I314" s="534"/>
      <c r="J314" s="537" t="s">
        <v>2131</v>
      </c>
      <c r="K314" s="652"/>
      <c r="L314" s="537" t="s">
        <v>1940</v>
      </c>
      <c r="M314" s="537"/>
      <c r="N314" s="537" t="s">
        <v>2137</v>
      </c>
      <c r="O314" s="677" t="s">
        <v>2134</v>
      </c>
      <c r="P314" s="568" t="s">
        <v>1818</v>
      </c>
      <c r="Q314" s="537" t="s">
        <v>1848</v>
      </c>
      <c r="R314" s="746" t="s">
        <v>1849</v>
      </c>
      <c r="S314" s="746" t="s">
        <v>375</v>
      </c>
      <c r="T314" s="537" t="s">
        <v>1850</v>
      </c>
      <c r="U314" s="656"/>
    </row>
    <row r="315" spans="2:21" s="615" customFormat="1" hidden="1" x14ac:dyDescent="0.25">
      <c r="B315" s="533"/>
      <c r="C315" s="757" t="s">
        <v>92</v>
      </c>
      <c r="D315" s="533" t="str">
        <f>VLOOKUP(C315,'Base de Datos'!$E$7:$AR$390,2,0)</f>
        <v>FONDO DE VIGILANCIA Y SEGURIDAD DE BOGOTÁ</v>
      </c>
      <c r="E315" s="536">
        <f>VLOOKUP(C315,'Base de Datos'!$E$7:$AR$390,5,0)</f>
        <v>7329236109</v>
      </c>
      <c r="F315" s="536">
        <f>VLOOKUP(C315,'Base de Datos'!$E$7:$AR$390,17,0)</f>
        <v>7329236109</v>
      </c>
      <c r="G315" s="533"/>
      <c r="H315" s="533"/>
      <c r="I315" s="533"/>
      <c r="J315" s="536">
        <f>VLOOKUP(C315,'Base de Datos'!$E$7:$AR$390,18,0)</f>
        <v>6218260556</v>
      </c>
      <c r="K315" s="600"/>
      <c r="L315" s="754">
        <v>613019</v>
      </c>
      <c r="M315" s="533"/>
      <c r="N315" s="536" t="str">
        <f>IF(OR(O315=Hoja1!$D$17,'Presupuesto - PAA 2017'!O315=Hoja1!$D$18),'Presupuesto - PAA 2017'!L315," ")</f>
        <v xml:space="preserve"> </v>
      </c>
      <c r="O315" s="678">
        <f>VLOOKUP(C315,'Base de Datos'!$E$7:$AR$390,32,0)</f>
        <v>0</v>
      </c>
      <c r="P315" s="737"/>
      <c r="Q315" s="533"/>
      <c r="R315" s="743">
        <f>VLOOKUP(C315,'Base de Datos'!$E$7:$AR$390,9,0)</f>
        <v>39724</v>
      </c>
      <c r="S315" s="743">
        <f>VLOOKUP(C315,'Base de Datos'!$E$7:$AR$390,16,0)</f>
        <v>41673</v>
      </c>
      <c r="T315" s="678" t="str">
        <f>VLOOKUP(C315,'Base de Datos'!$E$7:$AR$390,40,0)</f>
        <v>Ricardo Rojas</v>
      </c>
      <c r="U315" s="656"/>
    </row>
    <row r="316" spans="2:21" s="615" customFormat="1" hidden="1" x14ac:dyDescent="0.25">
      <c r="B316" s="877"/>
      <c r="C316" s="877"/>
      <c r="D316" s="877"/>
      <c r="E316" s="666"/>
      <c r="F316" s="666"/>
      <c r="G316" s="534"/>
      <c r="H316" s="534"/>
      <c r="I316" s="534"/>
      <c r="J316" s="666"/>
      <c r="K316" s="612"/>
      <c r="L316" s="666"/>
      <c r="M316" s="755"/>
      <c r="N316" s="666"/>
      <c r="O316" s="690"/>
      <c r="P316" s="580"/>
      <c r="Q316" s="614"/>
      <c r="R316" s="756"/>
      <c r="S316" s="756"/>
      <c r="T316" s="614"/>
      <c r="U316" s="656"/>
    </row>
    <row r="317" spans="2:21" hidden="1" x14ac:dyDescent="0.25">
      <c r="B317" s="1181" t="s">
        <v>1652</v>
      </c>
      <c r="C317" s="1181"/>
      <c r="D317" s="1181"/>
      <c r="E317" s="581">
        <f>SUM(E319:E321)</f>
        <v>35933200</v>
      </c>
      <c r="F317" s="581">
        <f>SUM(F319:F321)</f>
        <v>47038200</v>
      </c>
      <c r="G317" s="586"/>
      <c r="H317" s="586"/>
      <c r="I317" s="586"/>
      <c r="J317" s="581">
        <f>SUM(J319:J321)</f>
        <v>45388120</v>
      </c>
      <c r="K317" s="603">
        <f>+J317/F317</f>
        <v>0.96492042637685971</v>
      </c>
      <c r="L317" s="581">
        <f>SUM(L319:L321)</f>
        <v>1552088</v>
      </c>
      <c r="M317" s="632">
        <v>0</v>
      </c>
      <c r="N317" s="581">
        <f ca="1">SUM(N319:N321)</f>
        <v>0</v>
      </c>
      <c r="O317" s="684"/>
      <c r="P317" s="591" t="str">
        <f>IF(ISERROR(VLOOKUP(B317,'Base de Datos'!$C$7:$N$315,8,0))=TRUE," ",(VLOOKUP(B317,'Base de Datos'!$C$7:$N$315,8,0)))</f>
        <v xml:space="preserve"> </v>
      </c>
      <c r="Q317" s="592"/>
      <c r="R317" s="745" t="str">
        <f>IF(ISERROR(VLOOKUP(B317,'Base de Datos'!$C$7:$N$315,9,0))=TRUE," ",(VLOOKUP(B317,'Base de Datos'!$C$7:$N$315,9,0)))</f>
        <v xml:space="preserve"> </v>
      </c>
      <c r="S317" s="745" t="str">
        <f>IF(ISERROR(VLOOKUP(B317,'Base de Datos'!$C$7:$N$315,10,0))=TRUE," ",(VLOOKUP(B317,'Base de Datos'!$C$7:$N$315,10,0)))</f>
        <v xml:space="preserve"> </v>
      </c>
      <c r="T317" s="592"/>
    </row>
    <row r="318" spans="2:21" ht="24" hidden="1" x14ac:dyDescent="0.25">
      <c r="B318" s="537" t="s">
        <v>2128</v>
      </c>
      <c r="C318" s="537" t="s">
        <v>912</v>
      </c>
      <c r="D318" s="537" t="s">
        <v>1822</v>
      </c>
      <c r="E318" s="545" t="s">
        <v>1845</v>
      </c>
      <c r="F318" s="534" t="s">
        <v>2130</v>
      </c>
      <c r="G318" s="534"/>
      <c r="H318" s="534"/>
      <c r="I318" s="534"/>
      <c r="J318" s="537" t="s">
        <v>2131</v>
      </c>
      <c r="K318" s="652"/>
      <c r="L318" s="537" t="s">
        <v>1940</v>
      </c>
      <c r="M318" s="537"/>
      <c r="N318" s="537" t="s">
        <v>2137</v>
      </c>
      <c r="O318" s="677" t="s">
        <v>2134</v>
      </c>
      <c r="P318" s="568" t="s">
        <v>1818</v>
      </c>
      <c r="Q318" s="537" t="s">
        <v>1848</v>
      </c>
      <c r="R318" s="746" t="s">
        <v>1849</v>
      </c>
      <c r="S318" s="746" t="s">
        <v>375</v>
      </c>
      <c r="T318" s="537" t="s">
        <v>1850</v>
      </c>
    </row>
    <row r="319" spans="2:21" hidden="1" x14ac:dyDescent="0.25">
      <c r="B319" s="533"/>
      <c r="C319" s="533" t="s">
        <v>11</v>
      </c>
      <c r="D319" s="533" t="str">
        <f>VLOOKUP(C319,'Base de Datos'!$E$7:$AR$390,2,0)</f>
        <v>DIRECTV COLOMBIA LTDA</v>
      </c>
      <c r="E319" s="536">
        <f>VLOOKUP(C319,'Base de Datos'!$E$7:$AR$390,5,0)</f>
        <v>1633200</v>
      </c>
      <c r="F319" s="536">
        <f>VLOOKUP(C319,'Base de Datos'!$E$7:$AR$390,17,0)</f>
        <v>1918200</v>
      </c>
      <c r="G319" s="533"/>
      <c r="H319" s="533"/>
      <c r="I319" s="533"/>
      <c r="J319" s="536">
        <f>VLOOKUP(C319,'Base de Datos'!$E$7:$AR$390,18,0)</f>
        <v>1755170</v>
      </c>
      <c r="K319" s="600"/>
      <c r="L319" s="754">
        <v>65038</v>
      </c>
      <c r="M319" s="533"/>
      <c r="N319" s="536" t="str">
        <f ca="1">IF(OR(O319=Hoja1!$D$17,'Presupuesto - PAA 2017'!O319=Hoja1!$D$18),'Presupuesto - PAA 2017'!L319," ")</f>
        <v xml:space="preserve"> </v>
      </c>
      <c r="O319" s="678" t="str">
        <f ca="1">VLOOKUP(C319,'Base de Datos'!$E$7:$AR$390,33,0)</f>
        <v>TERMINO</v>
      </c>
      <c r="P319" s="737"/>
      <c r="Q319" s="533"/>
      <c r="R319" s="743">
        <f>VLOOKUP(C319,'Base de Datos'!$E$7:$AR$390,9,0)</f>
        <v>41288</v>
      </c>
      <c r="S319" s="743">
        <f>VLOOKUP(C319,'Base de Datos'!$E$7:$AR$390,16,0)</f>
        <v>41711</v>
      </c>
      <c r="T319" s="678" t="str">
        <f>VLOOKUP(C319,'Base de Datos'!$E$7:$AR$390,40,0)</f>
        <v>Judith Hernández</v>
      </c>
    </row>
    <row r="320" spans="2:21" hidden="1" x14ac:dyDescent="0.25">
      <c r="B320" s="533"/>
      <c r="C320" s="533" t="s">
        <v>129</v>
      </c>
      <c r="D320" s="533" t="str">
        <f>VLOOKUP(C320,'Base de Datos'!$E$7:$AR$390,2,0)</f>
        <v>UNIÓN TEMPORAL INTERPOSTAL URBANEX</v>
      </c>
      <c r="E320" s="536">
        <f>VLOOKUP(C320,'Base de Datos'!$E$7:$AR$390,5,0)</f>
        <v>22300000</v>
      </c>
      <c r="F320" s="536">
        <f>VLOOKUP(C320,'Base de Datos'!$E$7:$AR$390,17,0)</f>
        <v>33120000</v>
      </c>
      <c r="G320" s="533"/>
      <c r="H320" s="533"/>
      <c r="I320" s="533"/>
      <c r="J320" s="536">
        <f>VLOOKUP(C320,'Base de Datos'!$E$7:$AR$390,18,0)</f>
        <v>32832950</v>
      </c>
      <c r="K320" s="600"/>
      <c r="L320" s="742">
        <f>VLOOKUP(C320,'Base de Datos'!$E$7:$AR$390,19,0)</f>
        <v>287050</v>
      </c>
      <c r="M320" s="533"/>
      <c r="N320" s="536" t="str">
        <f>IF(OR(O320=Hoja1!$D$17,'Presupuesto - PAA 2017'!O320=Hoja1!$D$18),'Presupuesto - PAA 2017'!L320," ")</f>
        <v xml:space="preserve"> </v>
      </c>
      <c r="O320" s="751" t="s">
        <v>2133</v>
      </c>
      <c r="P320" s="737" t="s">
        <v>2136</v>
      </c>
      <c r="Q320" s="533"/>
      <c r="R320" s="743">
        <f>VLOOKUP(C320,'Base de Datos'!$E$7:$AR$390,9,0)</f>
        <v>41410</v>
      </c>
      <c r="S320" s="743">
        <f>VLOOKUP(C320,'Base de Datos'!$E$7:$AR$390,16,0)</f>
        <v>41806</v>
      </c>
      <c r="T320" s="678" t="str">
        <f>VLOOKUP(C320,'Base de Datos'!$E$7:$AR$390,40,0)</f>
        <v>Judith Hernández</v>
      </c>
    </row>
    <row r="321" spans="2:21" hidden="1" x14ac:dyDescent="0.25">
      <c r="B321" s="533"/>
      <c r="C321" s="533" t="s">
        <v>300</v>
      </c>
      <c r="D321" s="533" t="str">
        <f>VLOOKUP(C321,'Base de Datos'!$E$7:$AR$390,2,0)</f>
        <v>MUDANZAS EL NOGAL SAS</v>
      </c>
      <c r="E321" s="536">
        <f>VLOOKUP(C321,'Base de Datos'!$E$7:$AR$390,5,0)</f>
        <v>12000000</v>
      </c>
      <c r="F321" s="536">
        <f>VLOOKUP(C321,'Base de Datos'!$E$7:$AR$390,17,0)</f>
        <v>12000000</v>
      </c>
      <c r="G321" s="533"/>
      <c r="H321" s="533"/>
      <c r="I321" s="533"/>
      <c r="J321" s="536">
        <f>VLOOKUP(C321,'Base de Datos'!$E$7:$AR$390,18,0)</f>
        <v>10800000</v>
      </c>
      <c r="K321" s="600"/>
      <c r="L321" s="742">
        <f>VLOOKUP(C321,'Base de Datos'!$E$7:$AR$390,19,0)</f>
        <v>1200000</v>
      </c>
      <c r="M321" s="533"/>
      <c r="N321" s="536" t="str">
        <f ca="1">IF(OR(O321=Hoja1!$D$17,'Presupuesto - PAA 2017'!O321=Hoja1!$D$18),'Presupuesto - PAA 2017'!L321," ")</f>
        <v xml:space="preserve"> </v>
      </c>
      <c r="O321" s="678" t="str">
        <f ca="1">VLOOKUP(C321,'Base de Datos'!$E$7:$AR$390,33,0)</f>
        <v>TERMINO</v>
      </c>
      <c r="P321" s="737"/>
      <c r="Q321" s="533"/>
      <c r="R321" s="743">
        <f>VLOOKUP(C321,'Base de Datos'!$E$7:$AR$390,9,0)</f>
        <v>41824</v>
      </c>
      <c r="S321" s="743">
        <f>VLOOKUP(C321,'Base de Datos'!$E$7:$AR$390,16,0)</f>
        <v>42312</v>
      </c>
      <c r="T321" s="678" t="str">
        <f>VLOOKUP(C321,'Base de Datos'!$E$7:$AR$390,40,0)</f>
        <v>Andrea Casas</v>
      </c>
    </row>
    <row r="322" spans="2:21" hidden="1" x14ac:dyDescent="0.25">
      <c r="B322" s="533"/>
      <c r="C322" s="533"/>
      <c r="D322" s="533"/>
      <c r="E322" s="533"/>
      <c r="F322" s="533"/>
      <c r="G322" s="533"/>
      <c r="H322" s="533"/>
      <c r="I322" s="533"/>
      <c r="J322" s="533"/>
      <c r="K322" s="600"/>
      <c r="L322" s="533"/>
      <c r="M322" s="533"/>
      <c r="N322" s="533"/>
      <c r="O322" s="691"/>
      <c r="P322" s="737"/>
      <c r="Q322" s="533"/>
      <c r="R322" s="744"/>
      <c r="S322" s="744"/>
      <c r="T322" s="533"/>
    </row>
    <row r="323" spans="2:21" hidden="1" x14ac:dyDescent="0.25">
      <c r="B323" s="1181" t="s">
        <v>1653</v>
      </c>
      <c r="C323" s="1181"/>
      <c r="D323" s="1181"/>
      <c r="E323" s="581">
        <f>+E325</f>
        <v>36581760</v>
      </c>
      <c r="F323" s="581">
        <f>+F325</f>
        <v>36581760</v>
      </c>
      <c r="G323" s="586"/>
      <c r="H323" s="586"/>
      <c r="I323" s="586"/>
      <c r="J323" s="581">
        <f>+J325</f>
        <v>34363318</v>
      </c>
      <c r="K323" s="603">
        <f>+J323/F323</f>
        <v>0.93935660832064938</v>
      </c>
      <c r="L323" s="581">
        <f>+L325</f>
        <v>2218442</v>
      </c>
      <c r="M323" s="632">
        <v>0</v>
      </c>
      <c r="N323" s="752">
        <f ca="1">SUM(N325:N326)</f>
        <v>0</v>
      </c>
      <c r="O323" s="684"/>
      <c r="P323" s="591" t="str">
        <f>IF(ISERROR(VLOOKUP(B323,'Base de Datos'!$C$7:$N$315,8,0))=TRUE," ",(VLOOKUP(B323,'Base de Datos'!$C$7:$N$315,8,0)))</f>
        <v xml:space="preserve"> </v>
      </c>
      <c r="Q323" s="592"/>
      <c r="R323" s="745" t="str">
        <f>IF(ISERROR(VLOOKUP(B323,'Base de Datos'!$C$7:$N$315,9,0))=TRUE," ",(VLOOKUP(B323,'Base de Datos'!$C$7:$N$315,9,0)))</f>
        <v xml:space="preserve"> </v>
      </c>
      <c r="S323" s="745" t="str">
        <f>IF(ISERROR(VLOOKUP(B323,'Base de Datos'!$C$7:$N$315,10,0))=TRUE," ",(VLOOKUP(B323,'Base de Datos'!$C$7:$N$315,10,0)))</f>
        <v xml:space="preserve"> </v>
      </c>
      <c r="T323" s="592"/>
      <c r="U323" s="535"/>
    </row>
    <row r="324" spans="2:21" ht="24" hidden="1" x14ac:dyDescent="0.25">
      <c r="B324" s="537" t="s">
        <v>2128</v>
      </c>
      <c r="C324" s="537" t="s">
        <v>912</v>
      </c>
      <c r="D324" s="537" t="s">
        <v>1822</v>
      </c>
      <c r="E324" s="545" t="s">
        <v>1845</v>
      </c>
      <c r="F324" s="534" t="s">
        <v>2130</v>
      </c>
      <c r="G324" s="534"/>
      <c r="H324" s="534"/>
      <c r="I324" s="534"/>
      <c r="J324" s="537" t="s">
        <v>2131</v>
      </c>
      <c r="K324" s="652"/>
      <c r="L324" s="537" t="s">
        <v>1940</v>
      </c>
      <c r="M324" s="537"/>
      <c r="N324" s="537" t="s">
        <v>2137</v>
      </c>
      <c r="O324" s="677" t="s">
        <v>2134</v>
      </c>
      <c r="P324" s="568" t="s">
        <v>1818</v>
      </c>
      <c r="Q324" s="537" t="s">
        <v>1848</v>
      </c>
      <c r="R324" s="746" t="s">
        <v>1849</v>
      </c>
      <c r="S324" s="746" t="s">
        <v>375</v>
      </c>
      <c r="T324" s="537" t="s">
        <v>1850</v>
      </c>
      <c r="U324" s="535"/>
    </row>
    <row r="325" spans="2:21" hidden="1" x14ac:dyDescent="0.25">
      <c r="B325" s="533"/>
      <c r="C325" s="533" t="s">
        <v>294</v>
      </c>
      <c r="D325" s="533" t="str">
        <f>VLOOKUP(C325,'Base de Datos'!$E$7:$AR$390,2,0)</f>
        <v>T Y G MINOLTA</v>
      </c>
      <c r="E325" s="536">
        <f>VLOOKUP(C325,'Base de Datos'!$E$7:$AR$390,5,0)</f>
        <v>36581760</v>
      </c>
      <c r="F325" s="536">
        <f>VLOOKUP(C325,'Base de Datos'!$E$7:$AR$390,17,0)</f>
        <v>36581760</v>
      </c>
      <c r="G325" s="533"/>
      <c r="H325" s="533"/>
      <c r="I325" s="533"/>
      <c r="J325" s="536">
        <f>VLOOKUP(C325,'Base de Datos'!$E$7:$AR$390,18,0)</f>
        <v>34363318</v>
      </c>
      <c r="K325" s="600"/>
      <c r="L325" s="742">
        <f>VLOOKUP(C325,'Base de Datos'!$E$7:$AR$390,19,0)</f>
        <v>2218442</v>
      </c>
      <c r="M325" s="533"/>
      <c r="N325" s="536" t="str">
        <f ca="1">IF(OR(O325=Hoja1!$D$17,'Presupuesto - PAA 2017'!O325=Hoja1!$D$18),'Presupuesto - PAA 2017'!L325," ")</f>
        <v xml:space="preserve"> </v>
      </c>
      <c r="O325" s="678" t="str">
        <f ca="1">VLOOKUP(C325,'Base de Datos'!$E$7:$AR$390,33,0)</f>
        <v>TERMINO</v>
      </c>
      <c r="P325" s="737"/>
      <c r="Q325" s="533"/>
      <c r="R325" s="743">
        <f>VLOOKUP(C325,'Base de Datos'!$E$7:$AR$390,9,0)</f>
        <v>41821</v>
      </c>
      <c r="S325" s="743">
        <f>VLOOKUP(C325,'Base de Datos'!$E$7:$AR$390,16,0)</f>
        <v>42186</v>
      </c>
      <c r="T325" s="678" t="str">
        <f>VLOOKUP(C325,'Base de Datos'!$E$7:$AR$390,40,0)</f>
        <v>Andrea Casas</v>
      </c>
      <c r="U325" s="535"/>
    </row>
    <row r="326" spans="2:21" hidden="1" x14ac:dyDescent="0.25">
      <c r="B326" s="533"/>
      <c r="C326" s="533"/>
      <c r="D326" s="533"/>
      <c r="E326" s="533"/>
      <c r="F326" s="533"/>
      <c r="G326" s="533"/>
      <c r="H326" s="533"/>
      <c r="I326" s="533"/>
      <c r="J326" s="533"/>
      <c r="K326" s="600"/>
      <c r="L326" s="533"/>
      <c r="M326" s="533"/>
      <c r="N326" s="533"/>
      <c r="O326" s="691"/>
      <c r="P326" s="737"/>
      <c r="Q326" s="533"/>
      <c r="R326" s="744"/>
      <c r="S326" s="744"/>
      <c r="T326" s="533"/>
      <c r="U326" s="535"/>
    </row>
    <row r="327" spans="2:21" hidden="1" x14ac:dyDescent="0.25">
      <c r="B327" s="1182" t="s">
        <v>1654</v>
      </c>
      <c r="C327" s="1182"/>
      <c r="D327" s="1182"/>
      <c r="E327" s="539">
        <f>+E328</f>
        <v>1888405314</v>
      </c>
      <c r="F327" s="631">
        <f>+F328</f>
        <v>2089052345</v>
      </c>
      <c r="G327" s="540"/>
      <c r="H327" s="540"/>
      <c r="I327" s="540"/>
      <c r="J327" s="631">
        <f>+J328</f>
        <v>1971374657</v>
      </c>
      <c r="K327" s="610"/>
      <c r="L327" s="631">
        <f>+L328</f>
        <v>130481292</v>
      </c>
      <c r="M327" s="543"/>
      <c r="N327" s="631">
        <f ca="1">+N328</f>
        <v>0</v>
      </c>
      <c r="O327" s="689"/>
      <c r="P327" s="575" t="str">
        <f>IF(ISERROR(VLOOKUP(B327,'Base de Datos'!$C$7:$N$315,8,0))=TRUE," ",(VLOOKUP(B327,'Base de Datos'!$C$7:$N$315,8,0)))</f>
        <v xml:space="preserve"> </v>
      </c>
      <c r="Q327" s="569"/>
      <c r="R327" s="747" t="str">
        <f>IF(ISERROR(VLOOKUP(B327,'Base de Datos'!$C$7:$N$315,9,0))=TRUE," ",(VLOOKUP(B327,'Base de Datos'!$C$7:$N$315,9,0)))</f>
        <v xml:space="preserve"> </v>
      </c>
      <c r="S327" s="747" t="str">
        <f>IF(ISERROR(VLOOKUP(B327,'Base de Datos'!$C$7:$N$315,10,0))=TRUE," ",(VLOOKUP(B327,'Base de Datos'!$C$7:$N$315,10,0)))</f>
        <v xml:space="preserve"> </v>
      </c>
      <c r="T327" s="569"/>
      <c r="U327" s="535"/>
    </row>
    <row r="328" spans="2:21" hidden="1" x14ac:dyDescent="0.25">
      <c r="B328" s="1181" t="s">
        <v>1655</v>
      </c>
      <c r="C328" s="1181"/>
      <c r="D328" s="1181"/>
      <c r="E328" s="581">
        <f>SUM(E330:E345)</f>
        <v>1888405314</v>
      </c>
      <c r="F328" s="581">
        <f>SUM(F330:F345)</f>
        <v>2089052345</v>
      </c>
      <c r="G328" s="586"/>
      <c r="H328" s="586"/>
      <c r="I328" s="586"/>
      <c r="J328" s="581">
        <f>SUM(J330:J345)</f>
        <v>1971374657</v>
      </c>
      <c r="K328" s="603">
        <f>+J328/F328</f>
        <v>0.94366934448452033</v>
      </c>
      <c r="L328" s="581">
        <f>SUM(L330:L345)</f>
        <v>130481292</v>
      </c>
      <c r="M328" s="581"/>
      <c r="N328" s="581">
        <f ca="1">SUM(N330:N345)</f>
        <v>0</v>
      </c>
      <c r="O328" s="684"/>
      <c r="P328" s="591" t="str">
        <f>IF(ISERROR(VLOOKUP(B328,'Base de Datos'!$C$7:$N$315,8,0))=TRUE," ",(VLOOKUP(B328,'Base de Datos'!$C$7:$N$315,8,0)))</f>
        <v xml:space="preserve"> </v>
      </c>
      <c r="Q328" s="592"/>
      <c r="R328" s="745" t="str">
        <f>IF(ISERROR(VLOOKUP(B328,'Base de Datos'!$C$7:$N$315,9,0))=TRUE," ",(VLOOKUP(B328,'Base de Datos'!$C$7:$N$315,9,0)))</f>
        <v xml:space="preserve"> </v>
      </c>
      <c r="S328" s="745" t="str">
        <f>IF(ISERROR(VLOOKUP(B328,'Base de Datos'!$C$7:$N$315,10,0))=TRUE," ",(VLOOKUP(B328,'Base de Datos'!$C$7:$N$315,10,0)))</f>
        <v xml:space="preserve"> </v>
      </c>
      <c r="T328" s="592"/>
      <c r="U328" s="535"/>
    </row>
    <row r="329" spans="2:21" ht="24" hidden="1" x14ac:dyDescent="0.25">
      <c r="B329" s="537" t="s">
        <v>2128</v>
      </c>
      <c r="C329" s="537" t="s">
        <v>912</v>
      </c>
      <c r="D329" s="537" t="s">
        <v>1822</v>
      </c>
      <c r="E329" s="545" t="s">
        <v>1845</v>
      </c>
      <c r="F329" s="534" t="s">
        <v>2130</v>
      </c>
      <c r="G329" s="534"/>
      <c r="H329" s="534"/>
      <c r="I329" s="534"/>
      <c r="J329" s="537" t="s">
        <v>2131</v>
      </c>
      <c r="K329" s="652"/>
      <c r="L329" s="537" t="s">
        <v>1940</v>
      </c>
      <c r="M329" s="537"/>
      <c r="N329" s="537" t="s">
        <v>2137</v>
      </c>
      <c r="O329" s="677" t="s">
        <v>2134</v>
      </c>
      <c r="P329" s="568" t="s">
        <v>1818</v>
      </c>
      <c r="Q329" s="537" t="s">
        <v>1848</v>
      </c>
      <c r="R329" s="746" t="s">
        <v>1849</v>
      </c>
      <c r="S329" s="746" t="s">
        <v>375</v>
      </c>
      <c r="T329" s="537" t="s">
        <v>1850</v>
      </c>
      <c r="U329" s="535"/>
    </row>
    <row r="330" spans="2:21" hidden="1" x14ac:dyDescent="0.25">
      <c r="B330" s="533"/>
      <c r="C330" s="533" t="s">
        <v>302</v>
      </c>
      <c r="D330" s="533" t="str">
        <f>VLOOKUP(C330,'Base de Datos'!$E$7:$AR$390,2,0)</f>
        <v>DIVIEXPORT EU</v>
      </c>
      <c r="E330" s="536">
        <f>VLOOKUP(C330,'Base de Datos'!$E$7:$AR$390,5,0)</f>
        <v>4672000</v>
      </c>
      <c r="F330" s="536">
        <f>VLOOKUP(C330,'Base de Datos'!$E$7:$AR$390,17,0)</f>
        <v>4672000</v>
      </c>
      <c r="G330" s="533"/>
      <c r="H330" s="533"/>
      <c r="I330" s="533"/>
      <c r="J330" s="536">
        <f>VLOOKUP(C330,'Base de Datos'!$E$7:$AR$390,18,0)</f>
        <v>1806200</v>
      </c>
      <c r="K330" s="600"/>
      <c r="L330" s="742">
        <f>VLOOKUP(C330,'Base de Datos'!$E$7:$AR$390,19,0)</f>
        <v>2865800</v>
      </c>
      <c r="M330" s="533"/>
      <c r="N330" s="536" t="str">
        <f>IF(OR(O330=Hoja1!$D$17,'Presupuesto - PAA 2017'!O330=Hoja1!$D$18),'Presupuesto - PAA 2017'!L330," ")</f>
        <v xml:space="preserve"> </v>
      </c>
      <c r="O330" s="751" t="s">
        <v>2133</v>
      </c>
      <c r="P330" s="737" t="s">
        <v>2136</v>
      </c>
      <c r="Q330" s="533"/>
      <c r="R330" s="743">
        <f>VLOOKUP(C330,'Base de Datos'!$E$7:$AR$390,9,0)</f>
        <v>41835</v>
      </c>
      <c r="S330" s="743">
        <f>VLOOKUP(C330,'Base de Datos'!$E$7:$AR$390,16,0)</f>
        <v>42050</v>
      </c>
      <c r="T330" s="678" t="str">
        <f>VLOOKUP(C330,'Base de Datos'!$E$7:$AR$390,40,0)</f>
        <v>Lizeth González</v>
      </c>
      <c r="U330" s="535"/>
    </row>
    <row r="331" spans="2:21" hidden="1" x14ac:dyDescent="0.25">
      <c r="B331" s="533"/>
      <c r="C331" s="533" t="s">
        <v>271</v>
      </c>
      <c r="D331" s="533" t="str">
        <f>VLOOKUP(C331,'Base de Datos'!$E$7:$AR$390,2,0)</f>
        <v>MODULARES OFIMA LTDA</v>
      </c>
      <c r="E331" s="536">
        <f>VLOOKUP(C331,'Base de Datos'!$E$7:$AR$390,5,0)</f>
        <v>28000000</v>
      </c>
      <c r="F331" s="536">
        <f>VLOOKUP(C331,'Base de Datos'!$E$7:$AR$390,17,0)</f>
        <v>28000000</v>
      </c>
      <c r="G331" s="533"/>
      <c r="H331" s="533"/>
      <c r="I331" s="533"/>
      <c r="J331" s="536">
        <f>VLOOKUP(C331,'Base de Datos'!$E$7:$AR$390,18,0)</f>
        <v>10978240</v>
      </c>
      <c r="K331" s="600"/>
      <c r="L331" s="742">
        <f>VLOOKUP(C331,'Base de Datos'!$E$7:$AR$390,19,0)</f>
        <v>17021760</v>
      </c>
      <c r="M331" s="533"/>
      <c r="N331" s="536" t="str">
        <f ca="1">IF(OR(O331=Hoja1!$D$17,'Presupuesto - PAA 2017'!O331=Hoja1!$D$18),'Presupuesto - PAA 2017'!L331," ")</f>
        <v xml:space="preserve"> </v>
      </c>
      <c r="O331" s="751" t="str">
        <f ca="1">VLOOKUP(C331,'Base de Datos'!$E$7:$AR$390,33,0)</f>
        <v>TERMINO</v>
      </c>
      <c r="P331" s="737" t="s">
        <v>2136</v>
      </c>
      <c r="Q331" s="533"/>
      <c r="R331" s="743">
        <f>VLOOKUP(C331,'Base de Datos'!$E$7:$AR$390,9,0)</f>
        <v>41738</v>
      </c>
      <c r="S331" s="743">
        <f>VLOOKUP(C331,'Base de Datos'!$E$7:$AR$390,16,0)</f>
        <v>41951</v>
      </c>
      <c r="T331" s="678" t="str">
        <f>VLOOKUP(C331,'Base de Datos'!$E$7:$AR$390,40,0)</f>
        <v>Lizeth González</v>
      </c>
      <c r="U331" s="535"/>
    </row>
    <row r="332" spans="2:21" hidden="1" x14ac:dyDescent="0.25">
      <c r="B332" s="533"/>
      <c r="C332" s="533" t="s">
        <v>279</v>
      </c>
      <c r="D332" s="533" t="str">
        <f>VLOOKUP(C332,'Base de Datos'!$E$7:$AR$390,2,0)</f>
        <v>HERNANDO  BULLA ORJUELA</v>
      </c>
      <c r="E332" s="536">
        <f>VLOOKUP(C332,'Base de Datos'!$E$7:$AR$390,5,0)</f>
        <v>20872000</v>
      </c>
      <c r="F332" s="536">
        <f>VLOOKUP(C332,'Base de Datos'!$E$7:$AR$390,17,0)</f>
        <v>31218000</v>
      </c>
      <c r="G332" s="533"/>
      <c r="H332" s="533"/>
      <c r="I332" s="533"/>
      <c r="J332" s="536">
        <f>VLOOKUP(C332,'Base de Datos'!$E$7:$AR$390,18,0)</f>
        <v>29571427</v>
      </c>
      <c r="K332" s="600"/>
      <c r="L332" s="742">
        <f>VLOOKUP(C332,'Base de Datos'!$E$7:$AR$390,19,0)</f>
        <v>1646573</v>
      </c>
      <c r="M332" s="533"/>
      <c r="N332" s="536" t="str">
        <f ca="1">IF(OR(O332=Hoja1!$D$17,'Presupuesto - PAA 2017'!O332=Hoja1!$D$18),'Presupuesto - PAA 2017'!L332," ")</f>
        <v xml:space="preserve"> </v>
      </c>
      <c r="O332" s="751" t="str">
        <f ca="1">VLOOKUP(C332,'Base de Datos'!$E$7:$AR$390,33,0)</f>
        <v>TERMINO</v>
      </c>
      <c r="P332" s="737" t="s">
        <v>2136</v>
      </c>
      <c r="Q332" s="533"/>
      <c r="R332" s="743">
        <f>VLOOKUP(C332,'Base de Datos'!$E$7:$AR$390,9,0)</f>
        <v>41757</v>
      </c>
      <c r="S332" s="743">
        <f>VLOOKUP(C332,'Base de Datos'!$E$7:$AR$390,16,0)</f>
        <v>42091</v>
      </c>
      <c r="T332" s="678" t="str">
        <f>VLOOKUP(C332,'Base de Datos'!$E$7:$AR$390,40,0)</f>
        <v>Nayive Carrasco</v>
      </c>
      <c r="U332" s="535"/>
    </row>
    <row r="333" spans="2:21" hidden="1" x14ac:dyDescent="0.25">
      <c r="B333" s="533"/>
      <c r="C333" s="533" t="s">
        <v>268</v>
      </c>
      <c r="D333" s="533" t="str">
        <f>VLOOKUP(C333,'Base de Datos'!$E$7:$AR$390,2,0)</f>
        <v>MITSUBISHIS ELECTRIC DE COLOMBIA LTDA</v>
      </c>
      <c r="E333" s="536">
        <f>VLOOKUP(C333,'Base de Datos'!$E$7:$AR$390,5,0)</f>
        <v>16555000</v>
      </c>
      <c r="F333" s="536">
        <f>VLOOKUP(C333,'Base de Datos'!$E$7:$AR$390,17,0)</f>
        <v>16555000</v>
      </c>
      <c r="G333" s="533"/>
      <c r="H333" s="533"/>
      <c r="I333" s="533"/>
      <c r="J333" s="536">
        <f>VLOOKUP(C333,'Base de Datos'!$E$7:$AR$390,18,0)</f>
        <v>15762669</v>
      </c>
      <c r="K333" s="600"/>
      <c r="L333" s="742">
        <f>VLOOKUP(C333,'Base de Datos'!$E$7:$AR$390,19,0)</f>
        <v>792331</v>
      </c>
      <c r="M333" s="533"/>
      <c r="N333" s="536" t="str">
        <f ca="1">IF(OR(O333=Hoja1!$D$17,'Presupuesto - PAA 2017'!O333=Hoja1!$D$18),'Presupuesto - PAA 2017'!L333," ")</f>
        <v xml:space="preserve"> </v>
      </c>
      <c r="O333" s="678" t="str">
        <f ca="1">VLOOKUP(C333,'Base de Datos'!$E$7:$AR$390,33,0)</f>
        <v>TERMINO</v>
      </c>
      <c r="P333" s="737"/>
      <c r="Q333" s="533"/>
      <c r="R333" s="743">
        <f>VLOOKUP(C333,'Base de Datos'!$E$7:$AR$390,9,0)</f>
        <v>41732</v>
      </c>
      <c r="S333" s="743">
        <f>VLOOKUP(C333,'Base de Datos'!$E$7:$AR$390,16,0)</f>
        <v>42096</v>
      </c>
      <c r="T333" s="678" t="str">
        <f>VLOOKUP(C333,'Base de Datos'!$E$7:$AR$390,40,0)</f>
        <v>Edward Moreno</v>
      </c>
      <c r="U333" s="535"/>
    </row>
    <row r="334" spans="2:21" hidden="1" x14ac:dyDescent="0.25">
      <c r="B334" s="533"/>
      <c r="C334" s="533" t="s">
        <v>1491</v>
      </c>
      <c r="D334" s="533" t="str">
        <f>VLOOKUP(C334,'Base de Datos'!$E$7:$AR$390,2,0)</f>
        <v>VIGILANCIA ACOSTA LIMITADA</v>
      </c>
      <c r="E334" s="536">
        <f>VLOOKUP(C334,'Base de Datos'!$E$7:$AR$390,5,0)</f>
        <v>300000000</v>
      </c>
      <c r="F334" s="536">
        <f>VLOOKUP(C334,'Base de Datos'!$E$7:$AR$390,17,0)</f>
        <v>300000000</v>
      </c>
      <c r="G334" s="533"/>
      <c r="H334" s="533"/>
      <c r="I334" s="533"/>
      <c r="J334" s="536">
        <f>VLOOKUP(C334,'Base de Datos'!$E$7:$AR$390,18,0)</f>
        <v>238626484</v>
      </c>
      <c r="K334" s="600"/>
      <c r="L334" s="742">
        <f>VLOOKUP(C334,'Base de Datos'!$E$7:$AR$390,19,0)</f>
        <v>61373516</v>
      </c>
      <c r="M334" s="533"/>
      <c r="N334" s="536" t="str">
        <f ca="1">IF(OR(O334=Hoja1!$D$17,'Presupuesto - PAA 2017'!O334=Hoja1!$D$18),'Presupuesto - PAA 2017'!L334," ")</f>
        <v xml:space="preserve"> </v>
      </c>
      <c r="O334" s="678" t="str">
        <f ca="1">VLOOKUP(C334,'Base de Datos'!$E$7:$AR$390,33,0)</f>
        <v>TERMINO</v>
      </c>
      <c r="P334" s="737"/>
      <c r="Q334" s="533"/>
      <c r="R334" s="743">
        <f>VLOOKUP(C334,'Base de Datos'!$E$7:$AR$390,9,0)</f>
        <v>41989</v>
      </c>
      <c r="S334" s="743">
        <f>VLOOKUP(C334,'Base de Datos'!$E$7:$AR$390,16,0)</f>
        <v>42140</v>
      </c>
      <c r="T334" s="678" t="str">
        <f>VLOOKUP(C334,'Base de Datos'!$E$7:$AR$390,40,0)</f>
        <v>Ricardo Rojas</v>
      </c>
      <c r="U334" s="535"/>
    </row>
    <row r="335" spans="2:21" hidden="1" x14ac:dyDescent="0.25">
      <c r="B335" s="533"/>
      <c r="C335" s="533" t="s">
        <v>292</v>
      </c>
      <c r="D335" s="533" t="str">
        <f>VLOOKUP(C335,'Base de Datos'!$E$7:$AR$390,2,0)</f>
        <v>ELKIN MAURICIO DIMAS MONTAYA</v>
      </c>
      <c r="E335" s="536">
        <f>VLOOKUP(C335,'Base de Datos'!$E$7:$AR$390,5,0)</f>
        <v>16390000</v>
      </c>
      <c r="F335" s="536">
        <f>VLOOKUP(C335,'Base de Datos'!$E$7:$AR$390,17,0)</f>
        <v>18714400</v>
      </c>
      <c r="G335" s="533"/>
      <c r="H335" s="533"/>
      <c r="I335" s="533"/>
      <c r="J335" s="536">
        <f>VLOOKUP(C335,'Base de Datos'!$E$7:$AR$390,18,0)</f>
        <v>18714400</v>
      </c>
      <c r="K335" s="600"/>
      <c r="L335" s="742">
        <f>VLOOKUP(C335,'Base de Datos'!$E$7:$AR$390,19,0)</f>
        <v>0</v>
      </c>
      <c r="M335" s="533"/>
      <c r="N335" s="536" t="str">
        <f ca="1">IF(OR(O335=Hoja1!$D$17,'Presupuesto - PAA 2017'!O335=Hoja1!$D$18),'Presupuesto - PAA 2017'!L335," ")</f>
        <v xml:space="preserve"> </v>
      </c>
      <c r="O335" s="678" t="str">
        <f ca="1">VLOOKUP(C335,'Base de Datos'!$E$7:$AR$390,33,0)</f>
        <v>TERMINO</v>
      </c>
      <c r="P335" s="737"/>
      <c r="Q335" s="533"/>
      <c r="R335" s="743">
        <f>VLOOKUP(C335,'Base de Datos'!$E$7:$AR$390,9,0)</f>
        <v>41799</v>
      </c>
      <c r="S335" s="743">
        <f>VLOOKUP(C335,'Base de Datos'!$E$7:$AR$390,16,0)</f>
        <v>42247</v>
      </c>
      <c r="T335" s="678" t="str">
        <f>VLOOKUP(C335,'Base de Datos'!$E$7:$AR$390,40,0)</f>
        <v>Andrea Casas</v>
      </c>
      <c r="U335" s="535"/>
    </row>
    <row r="336" spans="2:21" hidden="1" x14ac:dyDescent="0.25">
      <c r="B336" s="533"/>
      <c r="C336" s="533" t="s">
        <v>401</v>
      </c>
      <c r="D336" s="533" t="str">
        <f>VLOOKUP(C336,'Base de Datos'!$E$7:$AR$390,2,0)</f>
        <v>H &amp; D OFIMAGEN</v>
      </c>
      <c r="E336" s="536">
        <f>VLOOKUP(C336,'Base de Datos'!$E$7:$AR$390,5,0)</f>
        <v>249991314</v>
      </c>
      <c r="F336" s="536">
        <f>VLOOKUP(C336,'Base de Datos'!$E$7:$AR$390,17,0)</f>
        <v>249991314</v>
      </c>
      <c r="G336" s="533"/>
      <c r="H336" s="533"/>
      <c r="I336" s="533"/>
      <c r="J336" s="536">
        <f>VLOOKUP(C336,'Base de Datos'!$E$7:$AR$390,18,0)</f>
        <v>248275406</v>
      </c>
      <c r="K336" s="600"/>
      <c r="L336" s="742">
        <f>VLOOKUP(C336,'Base de Datos'!$E$7:$AR$390,19,0)</f>
        <v>1715908</v>
      </c>
      <c r="M336" s="533"/>
      <c r="N336" s="536" t="str">
        <f ca="1">IF(OR(O336=Hoja1!$D$17,'Presupuesto - PAA 2017'!O336=Hoja1!$D$18),'Presupuesto - PAA 2017'!L336," ")</f>
        <v xml:space="preserve"> </v>
      </c>
      <c r="O336" s="678" t="str">
        <f ca="1">VLOOKUP(C336,'Base de Datos'!$E$7:$AR$390,33,0)</f>
        <v>TERMINO</v>
      </c>
      <c r="P336" s="737"/>
      <c r="Q336" s="533"/>
      <c r="R336" s="743">
        <f>VLOOKUP(C336,'Base de Datos'!$E$7:$AR$390,9,0)</f>
        <v>41837</v>
      </c>
      <c r="S336" s="743">
        <f>VLOOKUP(C336,'Base de Datos'!$E$7:$AR$390,16,0)</f>
        <v>42216</v>
      </c>
      <c r="T336" s="678" t="str">
        <f>VLOOKUP(C336,'Base de Datos'!$E$7:$AR$390,40,0)</f>
        <v>Andrea Casas</v>
      </c>
      <c r="U336" s="535"/>
    </row>
    <row r="337" spans="2:21" hidden="1" x14ac:dyDescent="0.25">
      <c r="B337" s="533"/>
      <c r="C337" s="533" t="s">
        <v>146</v>
      </c>
      <c r="D337" s="533" t="str">
        <f>VLOOKUP(C337,'Base de Datos'!$E$7:$AR$390,2,0)</f>
        <v xml:space="preserve">UNIÓN TEMPORAL EMINSER-SOLOASEO </v>
      </c>
      <c r="E337" s="536">
        <f>VLOOKUP(C337,'Base de Datos'!$E$7:$AR$390,5,0)</f>
        <v>301200000</v>
      </c>
      <c r="F337" s="536">
        <f>VLOOKUP(C337,'Base de Datos'!$E$7:$AR$390,17,0)</f>
        <v>321573359</v>
      </c>
      <c r="G337" s="533"/>
      <c r="H337" s="533"/>
      <c r="I337" s="533"/>
      <c r="J337" s="536">
        <f>VLOOKUP(C337,'Base de Datos'!$E$7:$AR$390,18,0)</f>
        <v>317232018</v>
      </c>
      <c r="K337" s="600"/>
      <c r="L337" s="754">
        <v>1021877</v>
      </c>
      <c r="M337" s="533"/>
      <c r="N337" s="536" t="str">
        <f ca="1">IF(OR(O337=Hoja1!$D$17,'Presupuesto - PAA 2017'!O337=Hoja1!$D$18),'Presupuesto - PAA 2017'!L337," ")</f>
        <v xml:space="preserve"> </v>
      </c>
      <c r="O337" s="751" t="str">
        <f ca="1">VLOOKUP(C337,'Base de Datos'!$E$7:$AR$390,33,0)</f>
        <v>TERMINO</v>
      </c>
      <c r="P337" s="737" t="s">
        <v>2136</v>
      </c>
      <c r="Q337" s="533"/>
      <c r="R337" s="743">
        <f>VLOOKUP(C337,'Base de Datos'!$E$7:$AR$390,9,0)</f>
        <v>41446</v>
      </c>
      <c r="S337" s="743">
        <f>VLOOKUP(C337,'Base de Datos'!$E$7:$AR$390,16,0)</f>
        <v>41810</v>
      </c>
      <c r="T337" s="678" t="str">
        <f>VLOOKUP(C337,'Base de Datos'!$E$7:$AR$390,40,0)</f>
        <v>Judith Hernández</v>
      </c>
      <c r="U337" s="535"/>
    </row>
    <row r="338" spans="2:21" ht="18.75" hidden="1" customHeight="1" x14ac:dyDescent="0.25">
      <c r="B338" s="533"/>
      <c r="C338" s="533" t="s">
        <v>400</v>
      </c>
      <c r="D338" s="533" t="str">
        <f>VLOOKUP(C338,'Base de Datos'!$E$7:$AR$390,2,0)</f>
        <v>SODINLEC LTDA</v>
      </c>
      <c r="E338" s="536">
        <f>VLOOKUP(C338,'Base de Datos'!$E$7:$AR$390,5,0)</f>
        <v>10564000</v>
      </c>
      <c r="F338" s="536">
        <f>VLOOKUP(C338,'Base de Datos'!$E$7:$AR$390,17,0)</f>
        <v>10564000</v>
      </c>
      <c r="G338" s="533"/>
      <c r="H338" s="533"/>
      <c r="I338" s="533"/>
      <c r="J338" s="536">
        <f>VLOOKUP(C338,'Base de Datos'!$E$7:$AR$390,18,0)</f>
        <v>10055157</v>
      </c>
      <c r="K338" s="600"/>
      <c r="L338" s="742">
        <f>VLOOKUP(C338,'Base de Datos'!$E$7:$AR$390,19,0)</f>
        <v>508843</v>
      </c>
      <c r="M338" s="533"/>
      <c r="N338" s="536" t="str">
        <f ca="1">IF(OR(O338=Hoja1!$D$17,'Presupuesto - PAA 2017'!O338=Hoja1!$D$18),'Presupuesto - PAA 2017'!L338," ")</f>
        <v xml:space="preserve"> </v>
      </c>
      <c r="O338" s="678" t="str">
        <f ca="1">VLOOKUP(C338,'Base de Datos'!$E$7:$AR$390,33,0)</f>
        <v>TERMINO</v>
      </c>
      <c r="P338" s="737"/>
      <c r="Q338" s="533"/>
      <c r="R338" s="743">
        <f>VLOOKUP(C338,'Base de Datos'!$E$7:$AR$390,9,0)</f>
        <v>41793</v>
      </c>
      <c r="S338" s="743">
        <f>VLOOKUP(C338,'Base de Datos'!$E$7:$AR$390,16,0)</f>
        <v>42096</v>
      </c>
      <c r="T338" s="678" t="str">
        <f>VLOOKUP(C338,'Base de Datos'!$E$7:$AR$390,40,0)</f>
        <v>Luisa Fernanda Gutiérrez</v>
      </c>
      <c r="U338" s="535"/>
    </row>
    <row r="339" spans="2:21" ht="24" hidden="1" x14ac:dyDescent="0.25">
      <c r="B339" s="533"/>
      <c r="C339" s="533" t="s">
        <v>213</v>
      </c>
      <c r="D339" s="533" t="str">
        <f>VLOOKUP(C339,'Base de Datos'!$E$7:$AR$390,2,0)</f>
        <v>UNIÓN TEMPORAL VIGILANCIA ACOSTA LTDA  - RUMBO ASOCIADOS</v>
      </c>
      <c r="E339" s="536">
        <f>VLOOKUP(C339,'Base de Datos'!$E$7:$AR$390,5,0)</f>
        <v>533636000</v>
      </c>
      <c r="F339" s="536">
        <f>VLOOKUP(C339,'Base de Datos'!$E$7:$AR$390,17,0)</f>
        <v>692839272</v>
      </c>
      <c r="G339" s="533"/>
      <c r="H339" s="533"/>
      <c r="I339" s="533"/>
      <c r="J339" s="536">
        <f>VLOOKUP(C339,'Base de Datos'!$E$7:$AR$390,18,0)</f>
        <v>678164443</v>
      </c>
      <c r="K339" s="600"/>
      <c r="L339" s="742">
        <f>VLOOKUP(C339,'Base de Datos'!$E$7:$AR$390,19,0)</f>
        <v>14674829</v>
      </c>
      <c r="M339" s="533"/>
      <c r="N339" s="536" t="str">
        <f ca="1">IF(OR(O339=Hoja1!$D$17,'Presupuesto - PAA 2017'!O339=Hoja1!$D$18),'Presupuesto - PAA 2017'!L339," ")</f>
        <v xml:space="preserve"> </v>
      </c>
      <c r="O339" s="751" t="str">
        <f ca="1">VLOOKUP(C339,'Base de Datos'!$E$7:$AR$390,33,0)</f>
        <v>TERMINO</v>
      </c>
      <c r="P339" s="737" t="s">
        <v>2136</v>
      </c>
      <c r="Q339" s="533"/>
      <c r="R339" s="743"/>
      <c r="S339" s="743"/>
      <c r="T339" s="678" t="str">
        <f>VLOOKUP(C339,'Base de Datos'!$E$7:$AR$390,40,0)</f>
        <v>Nayive Carrasco</v>
      </c>
      <c r="U339" s="535"/>
    </row>
    <row r="340" spans="2:21" ht="24" hidden="1" x14ac:dyDescent="0.25">
      <c r="B340" s="533"/>
      <c r="C340" s="533" t="s">
        <v>287</v>
      </c>
      <c r="D340" s="533" t="str">
        <f>VLOOKUP(C340,'Base de Datos'!$E$7:$AR$390,2,0)</f>
        <v xml:space="preserve">UNIÓN TEMPORAL EMINSER-SOLOASEO </v>
      </c>
      <c r="E340" s="536">
        <f>VLOOKUP(C340,'Base de Datos'!$E$7:$AR$390,5,0)</f>
        <v>337487000</v>
      </c>
      <c r="F340" s="536">
        <f>VLOOKUP(C340,'Base de Datos'!$E$7:$AR$390,17,0)</f>
        <v>337487000</v>
      </c>
      <c r="G340" s="533"/>
      <c r="H340" s="533"/>
      <c r="I340" s="533"/>
      <c r="J340" s="536">
        <f>VLOOKUP(C340,'Base de Datos'!$E$7:$AR$390,18,0)</f>
        <v>337486998</v>
      </c>
      <c r="K340" s="600"/>
      <c r="L340" s="742">
        <v>16123070</v>
      </c>
      <c r="M340" s="533"/>
      <c r="N340" s="536" t="str">
        <f ca="1">IF(OR(O340=Hoja1!$D$17,'Presupuesto - PAA 2017'!O340=Hoja1!$D$18),'Presupuesto - PAA 2017'!L340," ")</f>
        <v xml:space="preserve"> </v>
      </c>
      <c r="O340" s="678" t="str">
        <f ca="1">VLOOKUP(C340,'Base de Datos'!$E$7:$AR$390,33,0)</f>
        <v>TERMINO</v>
      </c>
      <c r="P340" s="737"/>
      <c r="Q340" s="533"/>
      <c r="R340" s="743">
        <f>VLOOKUP(C340,'Base de Datos'!$E$7:$AR$390,9,0)</f>
        <v>41811</v>
      </c>
      <c r="S340" s="743">
        <f>VLOOKUP(C340,'Base de Datos'!$E$7:$AR$390,16,0)</f>
        <v>42186</v>
      </c>
      <c r="T340" s="678" t="str">
        <f>VLOOKUP(C340,'Base de Datos'!$E$7:$AR$390,40,0)</f>
        <v>Luisa Fernanda Gutiérrez</v>
      </c>
      <c r="U340" s="535"/>
    </row>
    <row r="341" spans="2:21" hidden="1" x14ac:dyDescent="0.25">
      <c r="B341" s="533"/>
      <c r="C341" s="533" t="s">
        <v>266</v>
      </c>
      <c r="D341" s="533" t="str">
        <f>VLOOKUP(C341,'Base de Datos'!$E$7:$AR$390,2,0)</f>
        <v>SYSTEM NET INGENIERÍA LTDA</v>
      </c>
      <c r="E341" s="536">
        <f>VLOOKUP(C341,'Base de Datos'!$E$7:$AR$390,5,0)</f>
        <v>4982000</v>
      </c>
      <c r="F341" s="536">
        <f>VLOOKUP(C341,'Base de Datos'!$E$7:$AR$390,17,0)</f>
        <v>4982000</v>
      </c>
      <c r="G341" s="533"/>
      <c r="H341" s="533"/>
      <c r="I341" s="533"/>
      <c r="J341" s="536">
        <f>VLOOKUP(C341,'Base de Datos'!$E$7:$AR$390,18,0)</f>
        <v>2832000</v>
      </c>
      <c r="K341" s="600"/>
      <c r="L341" s="742">
        <f>VLOOKUP(C341,'Base de Datos'!$E$7:$AR$390,19,0)</f>
        <v>2150000</v>
      </c>
      <c r="M341" s="533"/>
      <c r="N341" s="536" t="str">
        <f ca="1">IF(OR(O341=Hoja1!$D$17,'Presupuesto - PAA 2017'!O341=Hoja1!$D$18),'Presupuesto - PAA 2017'!L341," ")</f>
        <v xml:space="preserve"> </v>
      </c>
      <c r="O341" s="678" t="str">
        <f ca="1">VLOOKUP(C341,'Base de Datos'!$E$7:$AR$390,33,0)</f>
        <v>TERMINO</v>
      </c>
      <c r="P341" s="737"/>
      <c r="Q341" s="533"/>
      <c r="R341" s="743">
        <f>VLOOKUP(C341,'Base de Datos'!$E$7:$AR$390,9,0)</f>
        <v>41725</v>
      </c>
      <c r="S341" s="743">
        <f>VLOOKUP(C341,'Base de Datos'!$E$7:$AR$390,16,0)</f>
        <v>41969</v>
      </c>
      <c r="T341" s="678" t="str">
        <f>VLOOKUP(C341,'Base de Datos'!$E$7:$AR$390,40,0)</f>
        <v>Andrea Casas</v>
      </c>
      <c r="U341" s="535"/>
    </row>
    <row r="342" spans="2:21" ht="24" hidden="1" x14ac:dyDescent="0.25">
      <c r="B342" s="533"/>
      <c r="C342" s="533" t="s">
        <v>1106</v>
      </c>
      <c r="D342" s="533" t="str">
        <f>VLOOKUP(C342,'Base de Datos'!$E$7:$AR$390,2,0)</f>
        <v>MOTORES Y MAQUINAS MOTORYSA</v>
      </c>
      <c r="E342" s="536">
        <f>VLOOKUP(C342,'Base de Datos'!$E$7:$AR$390,5,0)</f>
        <v>30000000</v>
      </c>
      <c r="F342" s="536">
        <f>VLOOKUP(C342,'Base de Datos'!$E$7:$AR$390,17,0)</f>
        <v>30000000</v>
      </c>
      <c r="G342" s="533"/>
      <c r="H342" s="533"/>
      <c r="I342" s="533"/>
      <c r="J342" s="536">
        <f>VLOOKUP(C342,'Base de Datos'!$E$7:$AR$390,18,0)</f>
        <v>28330110</v>
      </c>
      <c r="K342" s="600"/>
      <c r="L342" s="742">
        <f>VLOOKUP(C342,'Base de Datos'!$E$7:$AR$390,19,0)</f>
        <v>1669890</v>
      </c>
      <c r="M342" s="533"/>
      <c r="N342" s="536" t="str">
        <f ca="1">IF(OR(O342=Hoja1!$D$17,'Presupuesto - PAA 2017'!O342=Hoja1!$D$18),'Presupuesto - PAA 2017'!L342," ")</f>
        <v xml:space="preserve"> </v>
      </c>
      <c r="O342" s="678" t="str">
        <f ca="1">VLOOKUP(C342,'Base de Datos'!$E$7:$AR$390,33,0)</f>
        <v>TERMINO</v>
      </c>
      <c r="P342" s="737"/>
      <c r="Q342" s="533"/>
      <c r="R342" s="743">
        <f>VLOOKUP(C342,'Base de Datos'!$E$7:$AR$390,9,0)</f>
        <v>41703</v>
      </c>
      <c r="S342" s="743">
        <f>VLOOKUP(C342,'Base de Datos'!$E$7:$AR$390,16,0)</f>
        <v>42129</v>
      </c>
      <c r="T342" s="678" t="str">
        <f>VLOOKUP(C342,'Base de Datos'!$E$7:$AR$390,40,0)</f>
        <v>Luisa Fernanda Gutiérrez</v>
      </c>
      <c r="U342" s="535"/>
    </row>
    <row r="343" spans="2:21" ht="24" hidden="1" x14ac:dyDescent="0.25">
      <c r="B343" s="533"/>
      <c r="C343" s="533" t="s">
        <v>187</v>
      </c>
      <c r="D343" s="533" t="str">
        <f>VLOOKUP(C343,'Base de Datos'!$E$7:$AR$390,2,0)</f>
        <v>INVERSIONES LIGOL - INVERLIGOL LTD A</v>
      </c>
      <c r="E343" s="536">
        <f>VLOOKUP(C343,'Base de Datos'!$E$7:$AR$390,5,0)</f>
        <v>16804000</v>
      </c>
      <c r="F343" s="536">
        <f>VLOOKUP(C343,'Base de Datos'!$E$7:$AR$390,17,0)</f>
        <v>25204000</v>
      </c>
      <c r="G343" s="533"/>
      <c r="H343" s="533"/>
      <c r="I343" s="533"/>
      <c r="J343" s="536">
        <f>VLOOKUP(C343,'Base de Datos'!$E$7:$AR$390,18,0)</f>
        <v>25201450</v>
      </c>
      <c r="K343" s="600"/>
      <c r="L343" s="742">
        <f>VLOOKUP(C343,'Base de Datos'!$E$7:$AR$390,19,0)</f>
        <v>2550</v>
      </c>
      <c r="M343" s="533"/>
      <c r="N343" s="536" t="str">
        <f ca="1">IF(OR(O343=Hoja1!$D$17,'Presupuesto - PAA 2017'!O343=Hoja1!$D$18),'Presupuesto - PAA 2017'!L343," ")</f>
        <v xml:space="preserve"> </v>
      </c>
      <c r="O343" s="678" t="str">
        <f ca="1">VLOOKUP(C343,'Base de Datos'!$E$7:$AR$390,33,0)</f>
        <v>TERMINO</v>
      </c>
      <c r="P343" s="737"/>
      <c r="Q343" s="533"/>
      <c r="R343" s="743">
        <f>VLOOKUP(C343,'Base de Datos'!$E$7:$AR$390,9,0)</f>
        <v>41523</v>
      </c>
      <c r="S343" s="743">
        <f>VLOOKUP(C343,'Base de Datos'!$E$7:$AR$390,16,0)</f>
        <v>42099</v>
      </c>
      <c r="T343" s="678" t="str">
        <f>VLOOKUP(C343,'Base de Datos'!$E$7:$AR$390,40,0)</f>
        <v>Luisa Fernanda Gutiérrez</v>
      </c>
      <c r="U343" s="535"/>
    </row>
    <row r="344" spans="2:21" ht="24" hidden="1" x14ac:dyDescent="0.25">
      <c r="B344" s="533"/>
      <c r="C344" s="533" t="s">
        <v>1101</v>
      </c>
      <c r="D344" s="533" t="str">
        <f>VLOOKUP(C344,'Base de Datos'!$E$7:$AR$390,2,0)</f>
        <v>INGENIERÍA DE BOMBAS Y PLANTAS LIMITADA</v>
      </c>
      <c r="E344" s="536">
        <f>VLOOKUP(C344,'Base de Datos'!$E$7:$AR$390,5,0)</f>
        <v>6252000</v>
      </c>
      <c r="F344" s="536">
        <f>VLOOKUP(C344,'Base de Datos'!$E$7:$AR$390,17,0)</f>
        <v>6252000</v>
      </c>
      <c r="G344" s="533"/>
      <c r="H344" s="533"/>
      <c r="I344" s="533"/>
      <c r="J344" s="536">
        <f>VLOOKUP(C344,'Base de Datos'!$E$7:$AR$390,18,0)</f>
        <v>5665189</v>
      </c>
      <c r="K344" s="600"/>
      <c r="L344" s="742">
        <f>VLOOKUP(C344,'Base de Datos'!$E$7:$AR$390,19,0)</f>
        <v>586811</v>
      </c>
      <c r="M344" s="533"/>
      <c r="N344" s="536" t="str">
        <f ca="1">IF(OR(O344=Hoja1!$D$17,'Presupuesto - PAA 2017'!O344=Hoja1!$D$18),'Presupuesto - PAA 2017'!L344," ")</f>
        <v xml:space="preserve"> </v>
      </c>
      <c r="O344" s="678" t="str">
        <f ca="1">VLOOKUP(C344,'Base de Datos'!$E$7:$AR$390,33,0)</f>
        <v>TERMINO</v>
      </c>
      <c r="P344" s="737"/>
      <c r="Q344" s="533"/>
      <c r="R344" s="743">
        <f>VLOOKUP(C344,'Base de Datos'!$E$7:$AR$390,9,0)</f>
        <v>41842</v>
      </c>
      <c r="S344" s="743">
        <f>VLOOKUP(C344,'Base de Datos'!$E$7:$AR$390,16,0)</f>
        <v>42207</v>
      </c>
      <c r="T344" s="678" t="str">
        <f>VLOOKUP(C344,'Base de Datos'!$E$7:$AR$390,40,0)</f>
        <v>Alexander Avendaño</v>
      </c>
      <c r="U344" s="535"/>
    </row>
    <row r="345" spans="2:21" hidden="1" x14ac:dyDescent="0.25">
      <c r="B345" s="533"/>
      <c r="C345" s="533" t="s">
        <v>273</v>
      </c>
      <c r="D345" s="533" t="str">
        <f>VLOOKUP(C345,'Base de Datos'!$E$7:$AR$390,2,0)</f>
        <v>AGR SOLUCIONES S.A.S.</v>
      </c>
      <c r="E345" s="536">
        <f>VLOOKUP(C345,'Base de Datos'!$E$7:$AR$390,5,0)</f>
        <v>11000000</v>
      </c>
      <c r="F345" s="536">
        <f>VLOOKUP(C345,'Base de Datos'!$E$7:$AR$390,17,0)</f>
        <v>11000000</v>
      </c>
      <c r="G345" s="533"/>
      <c r="H345" s="533"/>
      <c r="I345" s="533"/>
      <c r="J345" s="536">
        <f>VLOOKUP(C345,'Base de Datos'!$E$7:$AR$390,18,0)</f>
        <v>2672466</v>
      </c>
      <c r="K345" s="600"/>
      <c r="L345" s="742">
        <f>VLOOKUP(C345,'Base de Datos'!$E$7:$AR$390,19,0)</f>
        <v>8327534</v>
      </c>
      <c r="M345" s="533"/>
      <c r="N345" s="536" t="str">
        <f ca="1">IF(OR(O345=Hoja1!$D$17,'Presupuesto - PAA 2017'!O345=Hoja1!$D$18),'Presupuesto - PAA 2017'!L345," ")</f>
        <v xml:space="preserve"> </v>
      </c>
      <c r="O345" s="678" t="str">
        <f ca="1">VLOOKUP(C345,'Base de Datos'!$E$7:$AR$390,33,0)</f>
        <v>TERMINO</v>
      </c>
      <c r="P345" s="737"/>
      <c r="Q345" s="533"/>
      <c r="R345" s="743">
        <f>VLOOKUP(C345,'Base de Datos'!$E$7:$AR$390,9,0)</f>
        <v>41738</v>
      </c>
      <c r="S345" s="743">
        <f>VLOOKUP(C345,'Base de Datos'!$E$7:$AR$390,16,0)</f>
        <v>42012</v>
      </c>
      <c r="T345" s="678" t="str">
        <f>VLOOKUP(C345,'Base de Datos'!$E$7:$AR$390,40,0)</f>
        <v>Judith Hernández</v>
      </c>
      <c r="U345" s="535"/>
    </row>
    <row r="346" spans="2:21" hidden="1" x14ac:dyDescent="0.25">
      <c r="B346" s="533"/>
      <c r="C346" s="533"/>
      <c r="D346" s="533"/>
      <c r="E346" s="533"/>
      <c r="F346" s="533"/>
      <c r="G346" s="533"/>
      <c r="H346" s="533"/>
      <c r="I346" s="533"/>
      <c r="J346" s="533"/>
      <c r="K346" s="600"/>
      <c r="L346" s="533"/>
      <c r="M346" s="533"/>
      <c r="N346" s="533"/>
      <c r="O346" s="691"/>
      <c r="P346" s="737"/>
      <c r="Q346" s="533"/>
      <c r="R346" s="744"/>
      <c r="S346" s="744"/>
      <c r="T346" s="533"/>
      <c r="U346" s="535"/>
    </row>
    <row r="347" spans="2:21" hidden="1" x14ac:dyDescent="0.25">
      <c r="B347" s="1182" t="s">
        <v>1656</v>
      </c>
      <c r="C347" s="1182"/>
      <c r="D347" s="1182"/>
      <c r="E347" s="539">
        <f>+E348</f>
        <v>3846133</v>
      </c>
      <c r="F347" s="539">
        <f>+F348</f>
        <v>3846133</v>
      </c>
      <c r="G347" s="540"/>
      <c r="H347" s="540"/>
      <c r="I347" s="540"/>
      <c r="J347" s="539">
        <f>+J348</f>
        <v>674854</v>
      </c>
      <c r="K347" s="610">
        <f>+J347/F347</f>
        <v>0.17546299100941126</v>
      </c>
      <c r="L347" s="539">
        <f>+L348</f>
        <v>5482749</v>
      </c>
      <c r="M347" s="543"/>
      <c r="N347" s="539">
        <f>+N348</f>
        <v>0</v>
      </c>
      <c r="O347" s="689"/>
      <c r="P347" s="575" t="str">
        <f>IF(ISERROR(VLOOKUP(B347,'Base de Datos'!$C$7:$N$315,8,0))=TRUE," ",(VLOOKUP(B347,'Base de Datos'!$C$7:$N$315,8,0)))</f>
        <v xml:space="preserve"> </v>
      </c>
      <c r="Q347" s="569"/>
      <c r="R347" s="747" t="str">
        <f>IF(ISERROR(VLOOKUP(B347,'Base de Datos'!$C$7:$N$315,9,0))=TRUE," ",(VLOOKUP(B347,'Base de Datos'!$C$7:$N$315,9,0)))</f>
        <v xml:space="preserve"> </v>
      </c>
      <c r="S347" s="747" t="str">
        <f>IF(ISERROR(VLOOKUP(B347,'Base de Datos'!$C$7:$N$315,10,0))=TRUE," ",(VLOOKUP(B347,'Base de Datos'!$C$7:$N$315,10,0)))</f>
        <v xml:space="preserve"> </v>
      </c>
      <c r="T347" s="569"/>
      <c r="U347" s="535"/>
    </row>
    <row r="348" spans="2:21" hidden="1" x14ac:dyDescent="0.25">
      <c r="B348" s="1181" t="s">
        <v>1657</v>
      </c>
      <c r="C348" s="1181"/>
      <c r="D348" s="1181"/>
      <c r="E348" s="581">
        <f>SUM(E350:E351)</f>
        <v>3846133</v>
      </c>
      <c r="F348" s="581">
        <f>SUM(F350:F351)</f>
        <v>3846133</v>
      </c>
      <c r="G348" s="586"/>
      <c r="H348" s="586"/>
      <c r="I348" s="586"/>
      <c r="J348" s="581">
        <f>SUM(J350:J351)</f>
        <v>674854</v>
      </c>
      <c r="K348" s="603">
        <f>+J348/F348</f>
        <v>0.17546299100941126</v>
      </c>
      <c r="L348" s="581">
        <f>SUM(L350:L351)</f>
        <v>5482749</v>
      </c>
      <c r="M348" s="581"/>
      <c r="N348" s="581">
        <f>SUM(N350:N351)</f>
        <v>0</v>
      </c>
      <c r="O348" s="684"/>
      <c r="P348" s="591" t="str">
        <f>IF(ISERROR(VLOOKUP(B348,'Base de Datos'!$C$7:$N$315,8,0))=TRUE," ",(VLOOKUP(B348,'Base de Datos'!$C$7:$N$315,8,0)))</f>
        <v xml:space="preserve"> </v>
      </c>
      <c r="Q348" s="592"/>
      <c r="R348" s="745" t="str">
        <f>IF(ISERROR(VLOOKUP(B348,'Base de Datos'!$C$7:$N$315,9,0))=TRUE," ",(VLOOKUP(B348,'Base de Datos'!$C$7:$N$315,9,0)))</f>
        <v xml:space="preserve"> </v>
      </c>
      <c r="S348" s="745" t="str">
        <f>IF(ISERROR(VLOOKUP(B348,'Base de Datos'!$C$7:$N$315,10,0))=TRUE," ",(VLOOKUP(B348,'Base de Datos'!$C$7:$N$315,10,0)))</f>
        <v xml:space="preserve"> </v>
      </c>
      <c r="T348" s="592"/>
      <c r="U348" s="535"/>
    </row>
    <row r="349" spans="2:21" ht="24" hidden="1" x14ac:dyDescent="0.25">
      <c r="B349" s="537" t="s">
        <v>2128</v>
      </c>
      <c r="C349" s="537" t="s">
        <v>912</v>
      </c>
      <c r="D349" s="537" t="s">
        <v>1822</v>
      </c>
      <c r="E349" s="545" t="s">
        <v>1845</v>
      </c>
      <c r="F349" s="534" t="s">
        <v>2130</v>
      </c>
      <c r="G349" s="534"/>
      <c r="H349" s="534"/>
      <c r="I349" s="534"/>
      <c r="J349" s="537" t="s">
        <v>2131</v>
      </c>
      <c r="K349" s="652"/>
      <c r="L349" s="537" t="s">
        <v>1940</v>
      </c>
      <c r="M349" s="537"/>
      <c r="N349" s="537" t="s">
        <v>2137</v>
      </c>
      <c r="O349" s="677" t="s">
        <v>2134</v>
      </c>
      <c r="P349" s="568" t="s">
        <v>1818</v>
      </c>
      <c r="Q349" s="537" t="s">
        <v>1848</v>
      </c>
      <c r="R349" s="746" t="s">
        <v>1849</v>
      </c>
      <c r="S349" s="746" t="s">
        <v>375</v>
      </c>
      <c r="T349" s="537" t="s">
        <v>1850</v>
      </c>
      <c r="U349" s="535"/>
    </row>
    <row r="350" spans="2:21" ht="36" hidden="1" x14ac:dyDescent="0.25">
      <c r="B350" s="533"/>
      <c r="C350" s="533" t="s">
        <v>878</v>
      </c>
      <c r="D350" s="533" t="s">
        <v>2138</v>
      </c>
      <c r="E350" s="536"/>
      <c r="F350" s="536"/>
      <c r="G350" s="533"/>
      <c r="H350" s="533"/>
      <c r="I350" s="533"/>
      <c r="J350" s="536">
        <v>674854</v>
      </c>
      <c r="K350" s="600"/>
      <c r="L350" s="742">
        <v>1636616</v>
      </c>
      <c r="M350" s="533"/>
      <c r="N350" s="536"/>
      <c r="O350" s="678"/>
      <c r="P350" s="737"/>
      <c r="Q350" s="533"/>
      <c r="R350" s="743" t="e">
        <f>VLOOKUP(C350,'Base de Datos'!$E$7:$AR$390,9,0)</f>
        <v>#N/A</v>
      </c>
      <c r="S350" s="743" t="e">
        <f>VLOOKUP(C350,'Base de Datos'!$E$7:$AR$390,16,0)</f>
        <v>#N/A</v>
      </c>
      <c r="T350" s="678"/>
      <c r="U350" s="535"/>
    </row>
    <row r="351" spans="2:21" hidden="1" x14ac:dyDescent="0.25">
      <c r="B351" s="533"/>
      <c r="C351" s="533" t="s">
        <v>919</v>
      </c>
      <c r="D351" s="533" t="str">
        <f>VLOOKUP(C351,'Base de Datos'!$E$7:$AR$390,2,0)</f>
        <v>SEGUROS GENERALES SURAMERICANA</v>
      </c>
      <c r="E351" s="536">
        <f>VLOOKUP(C351,'Base de Datos'!$E$7:$AR$390,5,0)</f>
        <v>3846133</v>
      </c>
      <c r="F351" s="536">
        <f>VLOOKUP(C351,'Base de Datos'!$E$7:$AR$390,17,0)</f>
        <v>3846133</v>
      </c>
      <c r="G351" s="533"/>
      <c r="H351" s="533"/>
      <c r="I351" s="533"/>
      <c r="J351" s="536">
        <f>VLOOKUP(C351,'Base de Datos'!$E$7:$AR$390,18,0)</f>
        <v>0</v>
      </c>
      <c r="K351" s="600"/>
      <c r="L351" s="742">
        <f>VLOOKUP(C351,'Base de Datos'!$E$7:$AR$390,19,0)</f>
        <v>3846133</v>
      </c>
      <c r="M351" s="533"/>
      <c r="N351" s="536" t="str">
        <f>IF(OR(O351=Hoja1!$D$17,'Presupuesto - PAA 2017'!O351=Hoja1!$D$18),'Presupuesto - PAA 2017'!L351," ")</f>
        <v xml:space="preserve"> </v>
      </c>
      <c r="O351" s="678">
        <f>VLOOKUP(C351,'Base de Datos'!$E$7:$AR$390,32,0)</f>
        <v>0</v>
      </c>
      <c r="P351" s="737"/>
      <c r="Q351" s="533"/>
      <c r="R351" s="743">
        <f>VLOOKUP(C351,'Base de Datos'!$E$7:$AR$390,9,0)</f>
        <v>41837</v>
      </c>
      <c r="S351" s="743">
        <f>VLOOKUP(C351,'Base de Datos'!$E$7:$AR$390,16,0)</f>
        <v>42202</v>
      </c>
      <c r="T351" s="678"/>
      <c r="U351" s="535"/>
    </row>
    <row r="352" spans="2:21" hidden="1" x14ac:dyDescent="0.25">
      <c r="B352" s="533"/>
      <c r="C352" s="533"/>
      <c r="D352" s="533"/>
      <c r="E352" s="533"/>
      <c r="F352" s="533"/>
      <c r="G352" s="533"/>
      <c r="H352" s="533"/>
      <c r="I352" s="533"/>
      <c r="J352" s="533"/>
      <c r="K352" s="600"/>
      <c r="L352" s="533"/>
      <c r="M352" s="533"/>
      <c r="N352" s="533"/>
      <c r="O352" s="691"/>
      <c r="P352" s="737"/>
      <c r="Q352" s="533"/>
      <c r="R352" s="744"/>
      <c r="S352" s="744"/>
      <c r="T352" s="533"/>
      <c r="U352" s="535"/>
    </row>
    <row r="353" spans="2:21" hidden="1" x14ac:dyDescent="0.25">
      <c r="B353" s="1182" t="s">
        <v>1665</v>
      </c>
      <c r="C353" s="1182"/>
      <c r="D353" s="1182"/>
      <c r="E353" s="539">
        <f>+E354</f>
        <v>406019488</v>
      </c>
      <c r="F353" s="631">
        <f>+F354</f>
        <v>406019488</v>
      </c>
      <c r="G353" s="540"/>
      <c r="H353" s="540"/>
      <c r="I353" s="540"/>
      <c r="J353" s="543">
        <f>+J354</f>
        <v>406019488</v>
      </c>
      <c r="K353" s="610">
        <f>+J353/F353</f>
        <v>1</v>
      </c>
      <c r="L353" s="543">
        <f>+L354</f>
        <v>0</v>
      </c>
      <c r="M353" s="543"/>
      <c r="N353" s="543">
        <f ca="1">+N354</f>
        <v>0</v>
      </c>
      <c r="O353" s="689"/>
      <c r="P353" s="575" t="str">
        <f>IF(ISERROR(VLOOKUP(B353,'Base de Datos'!$C$7:$N$315,8,0))=TRUE," ",(VLOOKUP(B353,'Base de Datos'!$C$7:$N$315,8,0)))</f>
        <v xml:space="preserve"> </v>
      </c>
      <c r="Q353" s="569"/>
      <c r="R353" s="747" t="str">
        <f>IF(ISERROR(VLOOKUP(B353,'Base de Datos'!$C$7:$N$315,9,0))=TRUE," ",(VLOOKUP(B353,'Base de Datos'!$C$7:$N$315,9,0)))</f>
        <v xml:space="preserve"> </v>
      </c>
      <c r="S353" s="747" t="str">
        <f>IF(ISERROR(VLOOKUP(B353,'Base de Datos'!$C$7:$N$315,10,0))=TRUE," ",(VLOOKUP(B353,'Base de Datos'!$C$7:$N$315,10,0)))</f>
        <v xml:space="preserve"> </v>
      </c>
      <c r="T353" s="569"/>
      <c r="U353" s="535"/>
    </row>
    <row r="354" spans="2:21" hidden="1" x14ac:dyDescent="0.25">
      <c r="B354" s="1181" t="s">
        <v>1666</v>
      </c>
      <c r="C354" s="1181"/>
      <c r="D354" s="1181"/>
      <c r="E354" s="581">
        <f>SUM(E356:E357)</f>
        <v>406019488</v>
      </c>
      <c r="F354" s="581">
        <f>SUM(F356:F357)</f>
        <v>406019488</v>
      </c>
      <c r="G354" s="586"/>
      <c r="H354" s="586"/>
      <c r="I354" s="586"/>
      <c r="J354" s="581">
        <f>SUM(J356:J357)</f>
        <v>406019488</v>
      </c>
      <c r="K354" s="603">
        <f>+J354/F354</f>
        <v>1</v>
      </c>
      <c r="L354" s="581">
        <f>SUM(L356:L357)</f>
        <v>0</v>
      </c>
      <c r="M354" s="581"/>
      <c r="N354" s="581">
        <f ca="1">SUM(N356:N357)</f>
        <v>0</v>
      </c>
      <c r="O354" s="684"/>
      <c r="P354" s="591" t="str">
        <f>IF(ISERROR(VLOOKUP(B354,'Base de Datos'!$C$7:$N$315,8,0))=TRUE," ",(VLOOKUP(B354,'Base de Datos'!$C$7:$N$315,8,0)))</f>
        <v xml:space="preserve"> </v>
      </c>
      <c r="Q354" s="592"/>
      <c r="R354" s="745" t="str">
        <f>IF(ISERROR(VLOOKUP(B354,'Base de Datos'!$C$7:$N$315,9,0))=TRUE," ",(VLOOKUP(B354,'Base de Datos'!$C$7:$N$315,9,0)))</f>
        <v xml:space="preserve"> </v>
      </c>
      <c r="S354" s="745" t="str">
        <f>IF(ISERROR(VLOOKUP(B354,'Base de Datos'!$C$7:$N$315,10,0))=TRUE," ",(VLOOKUP(B354,'Base de Datos'!$C$7:$N$315,10,0)))</f>
        <v xml:space="preserve"> </v>
      </c>
      <c r="T354" s="592"/>
      <c r="U354" s="535"/>
    </row>
    <row r="355" spans="2:21" ht="24" hidden="1" x14ac:dyDescent="0.25">
      <c r="B355" s="537" t="s">
        <v>2128</v>
      </c>
      <c r="C355" s="537" t="s">
        <v>912</v>
      </c>
      <c r="D355" s="537" t="s">
        <v>1822</v>
      </c>
      <c r="E355" s="545" t="s">
        <v>1845</v>
      </c>
      <c r="F355" s="534" t="s">
        <v>2130</v>
      </c>
      <c r="G355" s="534"/>
      <c r="H355" s="534"/>
      <c r="I355" s="534"/>
      <c r="J355" s="537" t="s">
        <v>2131</v>
      </c>
      <c r="K355" s="652"/>
      <c r="L355" s="537" t="s">
        <v>1940</v>
      </c>
      <c r="M355" s="537"/>
      <c r="N355" s="537" t="s">
        <v>2137</v>
      </c>
      <c r="O355" s="677" t="s">
        <v>2134</v>
      </c>
      <c r="P355" s="568" t="s">
        <v>1818</v>
      </c>
      <c r="Q355" s="537" t="s">
        <v>1848</v>
      </c>
      <c r="R355" s="746" t="s">
        <v>1849</v>
      </c>
      <c r="S355" s="746" t="s">
        <v>375</v>
      </c>
      <c r="T355" s="537" t="s">
        <v>1850</v>
      </c>
      <c r="U355" s="535"/>
    </row>
    <row r="356" spans="2:21" ht="24" hidden="1" x14ac:dyDescent="0.25">
      <c r="B356" s="533"/>
      <c r="C356" s="533" t="s">
        <v>1537</v>
      </c>
      <c r="D356" s="533" t="str">
        <f>VLOOKUP(C356,'Base de Datos'!$E$7:$AR$390,2,0)</f>
        <v>INSTITUTO COLOMBIANO DE NORMAS TÉCNICAS Y CERTIFICACIÓN ICONTEC</v>
      </c>
      <c r="E356" s="536">
        <f>VLOOKUP(C356,'Base de Datos'!$E$7:$AR$390,5,0)</f>
        <v>4961088</v>
      </c>
      <c r="F356" s="536">
        <f>VLOOKUP(C356,'Base de Datos'!$E$7:$AR$390,17,0)</f>
        <v>4961088</v>
      </c>
      <c r="G356" s="533"/>
      <c r="H356" s="533"/>
      <c r="I356" s="533"/>
      <c r="J356" s="536">
        <f>VLOOKUP(C356,'Base de Datos'!$E$7:$AR$390,18,0)</f>
        <v>4961088</v>
      </c>
      <c r="K356" s="600"/>
      <c r="L356" s="742">
        <f>VLOOKUP(C356,'Base de Datos'!$E$7:$AR$390,19,0)</f>
        <v>0</v>
      </c>
      <c r="M356" s="533"/>
      <c r="N356" s="536" t="str">
        <f ca="1">IF(OR(O356=Hoja1!$D$17,'Presupuesto - PAA 2017'!O356=Hoja1!$D$18),'Presupuesto - PAA 2017'!L356," ")</f>
        <v xml:space="preserve"> </v>
      </c>
      <c r="O356" s="678" t="str">
        <f ca="1">VLOOKUP(C356,'Base de Datos'!$E$7:$AR$390,33,0)</f>
        <v>TERMINO</v>
      </c>
      <c r="P356" s="737"/>
      <c r="Q356" s="533"/>
      <c r="R356" s="743">
        <f>VLOOKUP(C356,'Base de Datos'!$E$7:$AR$390,9,0)</f>
        <v>42178</v>
      </c>
      <c r="S356" s="743">
        <f>VLOOKUP(C356,'Base de Datos'!$E$7:$AR$390,16,0)</f>
        <v>42423</v>
      </c>
      <c r="T356" s="678" t="str">
        <f>VLOOKUP(C356,'Base de Datos'!$E$7:$AR$390,40,0)</f>
        <v>Ricardo Rojas</v>
      </c>
      <c r="U356" s="535"/>
    </row>
    <row r="357" spans="2:21" ht="24" hidden="1" x14ac:dyDescent="0.25">
      <c r="B357" s="533"/>
      <c r="C357" s="533" t="s">
        <v>1474</v>
      </c>
      <c r="D357" s="533" t="str">
        <f>VLOOKUP(C357,'Base de Datos'!$E$7:$AR$390,2,0)</f>
        <v>CENTRO DE RECURSOS EDUCATIVOS PARA LA COMPETITIVIDAD EMPRESARIAL LTDA - CRECE</v>
      </c>
      <c r="E357" s="536">
        <f>VLOOKUP(C357,'Base de Datos'!$E$7:$AR$390,5,0)</f>
        <v>401058400</v>
      </c>
      <c r="F357" s="536">
        <f>VLOOKUP(C357,'Base de Datos'!$E$7:$AR$390,17,0)</f>
        <v>401058400</v>
      </c>
      <c r="G357" s="533"/>
      <c r="H357" s="533"/>
      <c r="I357" s="533"/>
      <c r="J357" s="536">
        <f>VLOOKUP(C357,'Base de Datos'!$E$7:$AR$390,18,0)</f>
        <v>401058400</v>
      </c>
      <c r="K357" s="600"/>
      <c r="L357" s="742">
        <f>VLOOKUP(C357,'Base de Datos'!$E$7:$AR$390,19,0)</f>
        <v>0</v>
      </c>
      <c r="M357" s="533"/>
      <c r="N357" s="536" t="str">
        <f ca="1">IF(OR(O357=Hoja1!$D$17,'Presupuesto - PAA 2017'!O357=Hoja1!$D$18),'Presupuesto - PAA 2017'!L357," ")</f>
        <v xml:space="preserve"> </v>
      </c>
      <c r="O357" s="678" t="str">
        <f ca="1">VLOOKUP(C357,'Base de Datos'!$E$7:$AR$390,33,0)</f>
        <v>TERMINO</v>
      </c>
      <c r="P357" s="737"/>
      <c r="Q357" s="533"/>
      <c r="R357" s="743">
        <f>VLOOKUP(C357,'Base de Datos'!$E$7:$AR$390,9,0)</f>
        <v>42031</v>
      </c>
      <c r="S357" s="743">
        <f>VLOOKUP(C357,'Base de Datos'!$E$7:$AR$390,16,0)</f>
        <v>42335</v>
      </c>
      <c r="T357" s="678" t="str">
        <f>VLOOKUP(C357,'Base de Datos'!$E$7:$AR$390,40,0)</f>
        <v>Ricardo Rojas</v>
      </c>
      <c r="U357" s="535"/>
    </row>
    <row r="358" spans="2:21" hidden="1" x14ac:dyDescent="0.25">
      <c r="B358" s="533"/>
      <c r="C358" s="533"/>
      <c r="D358" s="533"/>
      <c r="E358" s="533"/>
      <c r="F358" s="533"/>
      <c r="G358" s="533"/>
      <c r="H358" s="533"/>
      <c r="I358" s="533"/>
      <c r="J358" s="533"/>
      <c r="K358" s="600"/>
      <c r="L358" s="533"/>
      <c r="M358" s="533"/>
      <c r="N358" s="533"/>
      <c r="O358" s="691"/>
      <c r="P358" s="737"/>
      <c r="Q358" s="533"/>
      <c r="R358" s="744"/>
      <c r="S358" s="744"/>
      <c r="T358" s="533"/>
      <c r="U358" s="535"/>
    </row>
    <row r="359" spans="2:21" hidden="1" x14ac:dyDescent="0.25">
      <c r="B359" s="1181" t="s">
        <v>1667</v>
      </c>
      <c r="C359" s="1181"/>
      <c r="D359" s="1181"/>
      <c r="E359" s="581">
        <f>+E361</f>
        <v>336560000</v>
      </c>
      <c r="F359" s="581">
        <f>+F361</f>
        <v>502280800</v>
      </c>
      <c r="G359" s="586"/>
      <c r="H359" s="586"/>
      <c r="I359" s="586"/>
      <c r="J359" s="581">
        <f>+J361</f>
        <v>502247588</v>
      </c>
      <c r="K359" s="603">
        <f>+J359/F359</f>
        <v>0.99993387762383112</v>
      </c>
      <c r="L359" s="581">
        <f>+L361</f>
        <v>33212</v>
      </c>
      <c r="M359" s="581"/>
      <c r="N359" s="581">
        <f ca="1">SUM(N361)</f>
        <v>0</v>
      </c>
      <c r="O359" s="684"/>
      <c r="P359" s="591" t="str">
        <f>IF(ISERROR(VLOOKUP(B359,'Base de Datos'!$C$7:$N$315,8,0))=TRUE," ",(VLOOKUP(B359,'Base de Datos'!$C$7:$N$315,8,0)))</f>
        <v xml:space="preserve"> </v>
      </c>
      <c r="Q359" s="592"/>
      <c r="R359" s="745" t="str">
        <f>IF(ISERROR(VLOOKUP(B359,'Base de Datos'!$C$7:$N$315,9,0))=TRUE," ",(VLOOKUP(B359,'Base de Datos'!$C$7:$N$315,9,0)))</f>
        <v xml:space="preserve"> </v>
      </c>
      <c r="S359" s="745" t="str">
        <f>IF(ISERROR(VLOOKUP(B359,'Base de Datos'!$C$7:$N$315,10,0))=TRUE," ",(VLOOKUP(B359,'Base de Datos'!$C$7:$N$315,10,0)))</f>
        <v xml:space="preserve"> </v>
      </c>
      <c r="T359" s="592"/>
      <c r="U359" s="535"/>
    </row>
    <row r="360" spans="2:21" ht="24" hidden="1" x14ac:dyDescent="0.25">
      <c r="B360" s="537" t="s">
        <v>2128</v>
      </c>
      <c r="C360" s="537" t="s">
        <v>912</v>
      </c>
      <c r="D360" s="537" t="s">
        <v>1822</v>
      </c>
      <c r="E360" s="545" t="s">
        <v>1845</v>
      </c>
      <c r="F360" s="534" t="s">
        <v>2130</v>
      </c>
      <c r="G360" s="534"/>
      <c r="H360" s="534"/>
      <c r="I360" s="534"/>
      <c r="J360" s="537" t="s">
        <v>2131</v>
      </c>
      <c r="K360" s="652"/>
      <c r="L360" s="537" t="s">
        <v>1940</v>
      </c>
      <c r="M360" s="537"/>
      <c r="N360" s="537" t="s">
        <v>2137</v>
      </c>
      <c r="O360" s="677" t="s">
        <v>2134</v>
      </c>
      <c r="P360" s="568" t="s">
        <v>1818</v>
      </c>
      <c r="Q360" s="537" t="s">
        <v>1848</v>
      </c>
      <c r="R360" s="746" t="s">
        <v>1849</v>
      </c>
      <c r="S360" s="746" t="s">
        <v>375</v>
      </c>
      <c r="T360" s="537" t="s">
        <v>1850</v>
      </c>
      <c r="U360" s="535"/>
    </row>
    <row r="361" spans="2:21" hidden="1" x14ac:dyDescent="0.25">
      <c r="B361" s="533"/>
      <c r="C361" s="533" t="s">
        <v>207</v>
      </c>
      <c r="D361" s="533" t="str">
        <f>VLOOKUP(C361,'Base de Datos'!$E$7:$AR$390,2,0)</f>
        <v>COMPENSAR BIENESTAR</v>
      </c>
      <c r="E361" s="536">
        <f>VLOOKUP(C361,'Base de Datos'!$E$7:$AR$390,5,0)</f>
        <v>336560000</v>
      </c>
      <c r="F361" s="536">
        <f>VLOOKUP(C361,'Base de Datos'!$E$7:$AR$390,17,0)</f>
        <v>502280800</v>
      </c>
      <c r="G361" s="533"/>
      <c r="H361" s="533"/>
      <c r="I361" s="533"/>
      <c r="J361" s="536">
        <f>VLOOKUP(C361,'Base de Datos'!$E$7:$AR$390,18,0)</f>
        <v>502247588</v>
      </c>
      <c r="K361" s="600"/>
      <c r="L361" s="742">
        <f>VLOOKUP(C361,'Base de Datos'!$E$7:$AR$390,19,0)</f>
        <v>33212</v>
      </c>
      <c r="M361" s="533"/>
      <c r="N361" s="536" t="str">
        <f ca="1">IF(OR(O361=Hoja1!$D$17,'Presupuesto - PAA 2017'!O361=Hoja1!$D$18),'Presupuesto - PAA 2017'!L361," ")</f>
        <v xml:space="preserve"> </v>
      </c>
      <c r="O361" s="751" t="str">
        <f ca="1">VLOOKUP(C361,'Base de Datos'!$E$7:$AR$390,33,0)</f>
        <v>TERMINO</v>
      </c>
      <c r="P361" s="737" t="s">
        <v>2136</v>
      </c>
      <c r="Q361" s="533"/>
      <c r="R361" s="743">
        <f>VLOOKUP(C361,'Base de Datos'!$E$7:$AR$390,9,0)</f>
        <v>41572</v>
      </c>
      <c r="S361" s="743">
        <f>VLOOKUP(C361,'Base de Datos'!$E$7:$AR$390,16,0)</f>
        <v>41814</v>
      </c>
      <c r="T361" s="678" t="str">
        <f>VLOOKUP(C361,'Base de Datos'!$E$7:$AR$390,40,0)</f>
        <v>Matilde Nieto</v>
      </c>
      <c r="U361" s="535"/>
    </row>
    <row r="362" spans="2:21" hidden="1" x14ac:dyDescent="0.25">
      <c r="B362" s="533"/>
      <c r="C362" s="533"/>
      <c r="D362" s="533"/>
      <c r="E362" s="533"/>
      <c r="F362" s="533"/>
      <c r="G362" s="533"/>
      <c r="H362" s="533"/>
      <c r="I362" s="533"/>
      <c r="J362" s="533"/>
      <c r="K362" s="600"/>
      <c r="L362" s="533"/>
      <c r="M362" s="533"/>
      <c r="N362" s="533"/>
      <c r="O362" s="691"/>
      <c r="P362" s="737"/>
      <c r="Q362" s="533"/>
      <c r="R362" s="744"/>
      <c r="S362" s="744"/>
      <c r="T362" s="533"/>
      <c r="U362" s="535"/>
    </row>
    <row r="363" spans="2:21" hidden="1" x14ac:dyDescent="0.25">
      <c r="B363" s="1184" t="s">
        <v>1668</v>
      </c>
      <c r="C363" s="1184"/>
      <c r="D363" s="1184"/>
      <c r="E363" s="581">
        <f>SUM(E365:E366)</f>
        <v>108854000</v>
      </c>
      <c r="F363" s="581">
        <f>SUM(F365:F366)</f>
        <v>146856288</v>
      </c>
      <c r="G363" s="586"/>
      <c r="H363" s="586"/>
      <c r="I363" s="586"/>
      <c r="J363" s="581">
        <f>SUM(J365:J366)</f>
        <v>146811699</v>
      </c>
      <c r="K363" s="603">
        <f>+J363/F363</f>
        <v>0.99969637663727418</v>
      </c>
      <c r="L363" s="581">
        <f>SUM(L365:L366)</f>
        <v>44589</v>
      </c>
      <c r="M363" s="581"/>
      <c r="N363" s="581">
        <f ca="1">SUM(N365:N366)</f>
        <v>0</v>
      </c>
      <c r="O363" s="684"/>
      <c r="P363" s="591" t="str">
        <f>IF(ISERROR(VLOOKUP(B363,'Base de Datos'!$C$7:$N$315,8,0))=TRUE," ",(VLOOKUP(B363,'Base de Datos'!$C$7:$N$315,8,0)))</f>
        <v xml:space="preserve"> </v>
      </c>
      <c r="Q363" s="592"/>
      <c r="R363" s="745" t="str">
        <f>IF(ISERROR(VLOOKUP(B363,'Base de Datos'!$C$7:$N$315,9,0))=TRUE," ",(VLOOKUP(B363,'Base de Datos'!$C$7:$N$315,9,0)))</f>
        <v xml:space="preserve"> </v>
      </c>
      <c r="S363" s="745" t="str">
        <f>IF(ISERROR(VLOOKUP(B363,'Base de Datos'!$C$7:$N$315,10,0))=TRUE," ",(VLOOKUP(B363,'Base de Datos'!$C$7:$N$315,10,0)))</f>
        <v xml:space="preserve"> </v>
      </c>
      <c r="T363" s="592"/>
      <c r="U363" s="535"/>
    </row>
    <row r="364" spans="2:21" ht="24" hidden="1" x14ac:dyDescent="0.25">
      <c r="B364" s="537" t="s">
        <v>2128</v>
      </c>
      <c r="C364" s="537" t="s">
        <v>912</v>
      </c>
      <c r="D364" s="537" t="s">
        <v>1822</v>
      </c>
      <c r="E364" s="545" t="s">
        <v>1845</v>
      </c>
      <c r="F364" s="534" t="s">
        <v>2130</v>
      </c>
      <c r="G364" s="534"/>
      <c r="H364" s="534"/>
      <c r="I364" s="534"/>
      <c r="J364" s="537" t="s">
        <v>2131</v>
      </c>
      <c r="K364" s="652"/>
      <c r="L364" s="537" t="s">
        <v>1940</v>
      </c>
      <c r="M364" s="537"/>
      <c r="N364" s="537" t="s">
        <v>2137</v>
      </c>
      <c r="O364" s="677" t="s">
        <v>2134</v>
      </c>
      <c r="P364" s="568" t="s">
        <v>1818</v>
      </c>
      <c r="Q364" s="537" t="s">
        <v>1848</v>
      </c>
      <c r="R364" s="746" t="s">
        <v>1849</v>
      </c>
      <c r="S364" s="746" t="s">
        <v>375</v>
      </c>
      <c r="T364" s="537" t="s">
        <v>1850</v>
      </c>
      <c r="U364" s="535"/>
    </row>
    <row r="365" spans="2:21" ht="24" hidden="1" x14ac:dyDescent="0.25">
      <c r="B365" s="533"/>
      <c r="C365" s="533" t="s">
        <v>195</v>
      </c>
      <c r="D365" s="533" t="str">
        <f>VLOOKUP(C365,'Base de Datos'!$E$7:$AR$390,2,0)</f>
        <v>CAJA DE COMPENSACIÓN FAMILIAR COMPENSAR SALONES</v>
      </c>
      <c r="E365" s="536">
        <f>VLOOKUP(C365,'Base de Datos'!$E$7:$AR$390,5,0)</f>
        <v>76223000</v>
      </c>
      <c r="F365" s="536">
        <f>VLOOKUP(C365,'Base de Datos'!$E$7:$AR$390,17,0)</f>
        <v>114225288</v>
      </c>
      <c r="G365" s="533"/>
      <c r="H365" s="533"/>
      <c r="I365" s="533"/>
      <c r="J365" s="536">
        <f>VLOOKUP(C365,'Base de Datos'!$E$7:$AR$390,18,0)</f>
        <v>114217068</v>
      </c>
      <c r="K365" s="600"/>
      <c r="L365" s="742">
        <f>VLOOKUP(C365,'Base de Datos'!$E$7:$AR$390,19,0)</f>
        <v>8220</v>
      </c>
      <c r="M365" s="533"/>
      <c r="N365" s="536" t="str">
        <f ca="1">IF(OR(O365=Hoja1!$D$17,'Presupuesto - PAA 2017'!O365=Hoja1!$D$18),'Presupuesto - PAA 2017'!L365," ")</f>
        <v xml:space="preserve"> </v>
      </c>
      <c r="O365" s="678" t="str">
        <f ca="1">VLOOKUP(C365,'Base de Datos'!$E$7:$AR$390,33,0)</f>
        <v>TERMINO</v>
      </c>
      <c r="P365" s="737"/>
      <c r="Q365" s="533"/>
      <c r="R365" s="743">
        <f>VLOOKUP(C365,'Base de Datos'!$E$7:$AR$390,9,0)</f>
        <v>41541</v>
      </c>
      <c r="S365" s="743">
        <f>VLOOKUP(C365,'Base de Datos'!$E$7:$AR$390,16,0)</f>
        <v>41782</v>
      </c>
      <c r="T365" s="678" t="str">
        <f>VLOOKUP(C365,'Base de Datos'!$E$7:$AR$390,40,0)</f>
        <v>Juan Sebastián Ramírez</v>
      </c>
      <c r="U365" s="535"/>
    </row>
    <row r="366" spans="2:21" ht="24" hidden="1" x14ac:dyDescent="0.25">
      <c r="B366" s="533"/>
      <c r="C366" s="533" t="s">
        <v>276</v>
      </c>
      <c r="D366" s="533" t="str">
        <f>VLOOKUP(C366,'Base de Datos'!$E$7:$AR$390,2,0)</f>
        <v>GRANADOS Y CONDECORACIONES</v>
      </c>
      <c r="E366" s="536">
        <f>VLOOKUP(C366,'Base de Datos'!$E$7:$AR$390,5,0)</f>
        <v>32631000</v>
      </c>
      <c r="F366" s="536">
        <f>VLOOKUP(C366,'Base de Datos'!$E$7:$AR$390,17,0)</f>
        <v>32631000</v>
      </c>
      <c r="G366" s="533"/>
      <c r="H366" s="533"/>
      <c r="I366" s="533"/>
      <c r="J366" s="536">
        <f>VLOOKUP(C366,'Base de Datos'!$E$7:$AR$390,18,0)</f>
        <v>32594631</v>
      </c>
      <c r="K366" s="600"/>
      <c r="L366" s="742">
        <f>VLOOKUP(C366,'Base de Datos'!$E$7:$AR$390,19,0)</f>
        <v>36369</v>
      </c>
      <c r="M366" s="533"/>
      <c r="N366" s="536" t="str">
        <f ca="1">IF(OR(O366=Hoja1!$D$17,'Presupuesto - PAA 2017'!O366=Hoja1!$D$18),'Presupuesto - PAA 2017'!L366," ")</f>
        <v xml:space="preserve"> </v>
      </c>
      <c r="O366" s="678" t="str">
        <f ca="1">VLOOKUP(C366,'Base de Datos'!$E$7:$AR$390,33,0)</f>
        <v>TERMINO</v>
      </c>
      <c r="P366" s="737"/>
      <c r="Q366" s="533"/>
      <c r="R366" s="743">
        <f>VLOOKUP(C366,'Base de Datos'!$E$7:$AR$390,9,0)</f>
        <v>41753</v>
      </c>
      <c r="S366" s="743">
        <f>VLOOKUP(C366,'Base de Datos'!$E$7:$AR$390,16,0)</f>
        <v>42117</v>
      </c>
      <c r="T366" s="678" t="str">
        <f>VLOOKUP(C366,'Base de Datos'!$E$7:$AR$390,40,0)</f>
        <v>Luisa Fernanda Gutiérrez</v>
      </c>
      <c r="U366" s="535"/>
    </row>
    <row r="367" spans="2:21" hidden="1" x14ac:dyDescent="0.25">
      <c r="B367" s="533"/>
      <c r="C367" s="533"/>
      <c r="D367" s="533"/>
      <c r="E367" s="533"/>
      <c r="F367" s="533"/>
      <c r="G367" s="533"/>
      <c r="H367" s="533"/>
      <c r="I367" s="533"/>
      <c r="J367" s="533"/>
      <c r="K367" s="600"/>
      <c r="L367" s="533"/>
      <c r="M367" s="533"/>
      <c r="N367" s="533"/>
      <c r="O367" s="691"/>
      <c r="P367" s="737"/>
      <c r="Q367" s="533"/>
      <c r="R367" s="744"/>
      <c r="S367" s="744"/>
      <c r="T367" s="533"/>
      <c r="U367" s="535"/>
    </row>
    <row r="368" spans="2:21" hidden="1" x14ac:dyDescent="0.25">
      <c r="B368" s="1181" t="s">
        <v>1669</v>
      </c>
      <c r="C368" s="1181"/>
      <c r="D368" s="1181"/>
      <c r="E368" s="581">
        <f>SUM(E370:E371)</f>
        <v>45986000</v>
      </c>
      <c r="F368" s="581">
        <f>SUM(F370:F371)</f>
        <v>45986000</v>
      </c>
      <c r="G368" s="586"/>
      <c r="H368" s="586"/>
      <c r="I368" s="586"/>
      <c r="J368" s="581">
        <f>SUM(J370:J371)</f>
        <v>28614047</v>
      </c>
      <c r="K368" s="603">
        <f>+J368/F368</f>
        <v>0.62223387552733445</v>
      </c>
      <c r="L368" s="581">
        <f>SUM(L370:L371)</f>
        <v>17371953</v>
      </c>
      <c r="M368" s="581"/>
      <c r="N368" s="581">
        <f ca="1">SUM(N370:N371)</f>
        <v>0</v>
      </c>
      <c r="O368" s="684"/>
      <c r="P368" s="591" t="str">
        <f>IF(ISERROR(VLOOKUP(B368,'Base de Datos'!$C$7:$N$315,8,0))=TRUE," ",(VLOOKUP(B368,'Base de Datos'!$C$7:$N$315,8,0)))</f>
        <v xml:space="preserve"> </v>
      </c>
      <c r="Q368" s="592"/>
      <c r="R368" s="745" t="str">
        <f>IF(ISERROR(VLOOKUP(B368,'Base de Datos'!$C$7:$N$315,9,0))=TRUE," ",(VLOOKUP(B368,'Base de Datos'!$C$7:$N$315,9,0)))</f>
        <v xml:space="preserve"> </v>
      </c>
      <c r="S368" s="745" t="str">
        <f>IF(ISERROR(VLOOKUP(B368,'Base de Datos'!$C$7:$N$315,10,0))=TRUE," ",(VLOOKUP(B368,'Base de Datos'!$C$7:$N$315,10,0)))</f>
        <v xml:space="preserve"> </v>
      </c>
      <c r="T368" s="592"/>
      <c r="U368" s="535"/>
    </row>
    <row r="369" spans="2:22" ht="24" hidden="1" x14ac:dyDescent="0.25">
      <c r="B369" s="537" t="s">
        <v>2128</v>
      </c>
      <c r="C369" s="537" t="s">
        <v>912</v>
      </c>
      <c r="D369" s="537" t="s">
        <v>1822</v>
      </c>
      <c r="E369" s="545" t="s">
        <v>1845</v>
      </c>
      <c r="F369" s="534" t="s">
        <v>2130</v>
      </c>
      <c r="G369" s="534"/>
      <c r="H369" s="534"/>
      <c r="I369" s="534"/>
      <c r="J369" s="537" t="s">
        <v>2131</v>
      </c>
      <c r="K369" s="652"/>
      <c r="L369" s="537" t="s">
        <v>1940</v>
      </c>
      <c r="M369" s="537"/>
      <c r="N369" s="537" t="s">
        <v>2137</v>
      </c>
      <c r="O369" s="677" t="s">
        <v>2134</v>
      </c>
      <c r="P369" s="568" t="s">
        <v>1818</v>
      </c>
      <c r="Q369" s="537" t="s">
        <v>1848</v>
      </c>
      <c r="R369" s="746" t="s">
        <v>1849</v>
      </c>
      <c r="S369" s="746" t="s">
        <v>375</v>
      </c>
      <c r="T369" s="537" t="s">
        <v>1850</v>
      </c>
      <c r="U369" s="535"/>
    </row>
    <row r="370" spans="2:22" ht="14.25" hidden="1" customHeight="1" x14ac:dyDescent="0.25">
      <c r="B370" s="533"/>
      <c r="C370" s="533" t="s">
        <v>1333</v>
      </c>
      <c r="D370" s="533" t="str">
        <f>VLOOKUP(C370,'Base de Datos'!$E$7:$AR$390,2,0)</f>
        <v>SISTEMA Y SEGURIDAD INDUSTRIAL COLOMBIANA E.U.</v>
      </c>
      <c r="E370" s="536">
        <f>VLOOKUP(C370,'Base de Datos'!$E$7:$AR$390,5,0)</f>
        <v>4136000</v>
      </c>
      <c r="F370" s="536">
        <f>VLOOKUP(C370,'Base de Datos'!$E$7:$AR$390,17,0)</f>
        <v>4136000</v>
      </c>
      <c r="G370" s="533"/>
      <c r="H370" s="533"/>
      <c r="I370" s="533"/>
      <c r="J370" s="536">
        <f>VLOOKUP(C370,'Base de Datos'!$E$7:$AR$390,18,0)</f>
        <v>2251047</v>
      </c>
      <c r="K370" s="600"/>
      <c r="L370" s="742">
        <f>VLOOKUP(C370,'Base de Datos'!$E$7:$AR$390,19,0)</f>
        <v>1884953</v>
      </c>
      <c r="M370" s="533"/>
      <c r="N370" s="536" t="str">
        <f ca="1">IF(OR(O370=Hoja1!$D$17,'Presupuesto - PAA 2017'!O370=Hoja1!$D$18),'Presupuesto - PAA 2017'!L370," ")</f>
        <v xml:space="preserve"> </v>
      </c>
      <c r="O370" s="678" t="str">
        <f ca="1">VLOOKUP(C370,'Base de Datos'!$E$7:$AR$390,33,0)</f>
        <v>TERMINO</v>
      </c>
      <c r="P370" s="737"/>
      <c r="Q370" s="533"/>
      <c r="R370" s="743">
        <f>VLOOKUP(C370,'Base de Datos'!$E$7:$AR$390,9,0)</f>
        <v>41935</v>
      </c>
      <c r="S370" s="743">
        <f>VLOOKUP(C370,'Base de Datos'!$E$7:$AR$390,16,0)</f>
        <v>42027</v>
      </c>
      <c r="T370" s="678" t="str">
        <f>VLOOKUP(C370,'Base de Datos'!$E$7:$AR$390,40,0)</f>
        <v>Judith Hernández</v>
      </c>
      <c r="U370" s="535"/>
    </row>
    <row r="371" spans="2:22" ht="24" hidden="1" x14ac:dyDescent="0.25">
      <c r="B371" s="533"/>
      <c r="C371" s="533" t="s">
        <v>1160</v>
      </c>
      <c r="D371" s="533" t="str">
        <f>VLOOKUP(C371,'Base de Datos'!$E$7:$AR$390,2,0)</f>
        <v>CENTRO DE DIAGNOSTICO Y TRATAMIENTO CENDIATRA LTDA</v>
      </c>
      <c r="E371" s="536">
        <f>VLOOKUP(C371,'Base de Datos'!$E$7:$AR$390,5,0)</f>
        <v>41850000</v>
      </c>
      <c r="F371" s="536">
        <f>VLOOKUP(C371,'Base de Datos'!$E$7:$AR$390,17,0)</f>
        <v>41850000</v>
      </c>
      <c r="G371" s="533"/>
      <c r="H371" s="533"/>
      <c r="I371" s="533"/>
      <c r="J371" s="536">
        <f>VLOOKUP(C371,'Base de Datos'!$E$7:$AR$390,18,0)</f>
        <v>26363000</v>
      </c>
      <c r="K371" s="600"/>
      <c r="L371" s="742">
        <f>VLOOKUP(C371,'Base de Datos'!$E$7:$AR$390,19,0)</f>
        <v>15487000</v>
      </c>
      <c r="M371" s="533"/>
      <c r="N371" s="536" t="str">
        <f ca="1">IF(OR(O371=Hoja1!$D$17,'Presupuesto - PAA 2017'!O371=Hoja1!$D$18),'Presupuesto - PAA 2017'!L371," ")</f>
        <v xml:space="preserve"> </v>
      </c>
      <c r="O371" s="678" t="str">
        <f ca="1">VLOOKUP(C371,'Base de Datos'!$E$7:$AR$390,33,0)</f>
        <v>TERMINO</v>
      </c>
      <c r="P371" s="737"/>
      <c r="Q371" s="533"/>
      <c r="R371" s="743">
        <f>VLOOKUP(C371,'Base de Datos'!$E$7:$AR$390,9,0)</f>
        <v>41926</v>
      </c>
      <c r="S371" s="743">
        <f>VLOOKUP(C371,'Base de Datos'!$E$7:$AR$390,16,0)</f>
        <v>42138</v>
      </c>
      <c r="T371" s="678" t="str">
        <f>VLOOKUP(C371,'Base de Datos'!$E$7:$AR$390,40,0)</f>
        <v>Alexander Avendaño</v>
      </c>
    </row>
    <row r="372" spans="2:22" hidden="1" x14ac:dyDescent="0.25">
      <c r="B372" s="533"/>
      <c r="C372" s="533"/>
      <c r="D372" s="533"/>
      <c r="E372" s="533"/>
      <c r="F372" s="533"/>
      <c r="G372" s="533"/>
      <c r="H372" s="533"/>
      <c r="I372" s="533"/>
      <c r="J372" s="533"/>
      <c r="K372" s="600"/>
      <c r="L372" s="533"/>
      <c r="M372" s="533"/>
      <c r="N372" s="533"/>
      <c r="O372" s="691"/>
      <c r="P372" s="737"/>
      <c r="Q372" s="533"/>
      <c r="R372" s="744"/>
      <c r="S372" s="744"/>
      <c r="T372" s="533"/>
    </row>
    <row r="373" spans="2:22" hidden="1" x14ac:dyDescent="0.25">
      <c r="B373" s="1181" t="s">
        <v>1672</v>
      </c>
      <c r="C373" s="1181"/>
      <c r="D373" s="1181"/>
      <c r="E373" s="581">
        <f>SUM(E375:E377)</f>
        <v>1067737824</v>
      </c>
      <c r="F373" s="581">
        <f>SUM(F375:F377)</f>
        <v>1127737824</v>
      </c>
      <c r="G373" s="586"/>
      <c r="H373" s="586"/>
      <c r="I373" s="586"/>
      <c r="J373" s="581">
        <f>SUM(J375:J377)</f>
        <v>1110000708</v>
      </c>
      <c r="K373" s="603">
        <f>+J373/F373</f>
        <v>0.98427195078277341</v>
      </c>
      <c r="L373" s="581">
        <f>SUM(L375:L377)</f>
        <v>17737116</v>
      </c>
      <c r="M373" s="581"/>
      <c r="N373" s="581">
        <f ca="1">SUM(N375:N377)</f>
        <v>0</v>
      </c>
      <c r="O373" s="684"/>
      <c r="P373" s="591" t="str">
        <f>IF(ISERROR(VLOOKUP(B373,'Base de Datos'!$C$7:$N$315,8,0))=TRUE," ",(VLOOKUP(B373,'Base de Datos'!$C$7:$N$315,8,0)))</f>
        <v xml:space="preserve"> </v>
      </c>
      <c r="Q373" s="592"/>
      <c r="R373" s="745" t="str">
        <f>IF(ISERROR(VLOOKUP(B373,'Base de Datos'!$C$7:$N$315,9,0))=TRUE," ",(VLOOKUP(B373,'Base de Datos'!$C$7:$N$315,9,0)))</f>
        <v xml:space="preserve"> </v>
      </c>
      <c r="S373" s="745" t="str">
        <f>IF(ISERROR(VLOOKUP(B373,'Base de Datos'!$C$7:$N$315,10,0))=TRUE," ",(VLOOKUP(B373,'Base de Datos'!$C$7:$N$315,10,0)))</f>
        <v xml:space="preserve"> </v>
      </c>
      <c r="T373" s="592"/>
    </row>
    <row r="374" spans="2:22" ht="24" hidden="1" x14ac:dyDescent="0.25">
      <c r="B374" s="537" t="s">
        <v>2128</v>
      </c>
      <c r="C374" s="537" t="s">
        <v>912</v>
      </c>
      <c r="D374" s="537" t="s">
        <v>1822</v>
      </c>
      <c r="E374" s="545" t="s">
        <v>1845</v>
      </c>
      <c r="F374" s="534" t="s">
        <v>2130</v>
      </c>
      <c r="G374" s="534"/>
      <c r="H374" s="534"/>
      <c r="I374" s="534"/>
      <c r="J374" s="537" t="s">
        <v>2131</v>
      </c>
      <c r="K374" s="652"/>
      <c r="L374" s="537" t="s">
        <v>1940</v>
      </c>
      <c r="M374" s="537"/>
      <c r="N374" s="537" t="s">
        <v>2137</v>
      </c>
      <c r="O374" s="677" t="s">
        <v>2134</v>
      </c>
      <c r="P374" s="568" t="s">
        <v>1818</v>
      </c>
      <c r="Q374" s="537" t="s">
        <v>1848</v>
      </c>
      <c r="R374" s="746" t="s">
        <v>1849</v>
      </c>
      <c r="S374" s="746" t="s">
        <v>375</v>
      </c>
      <c r="T374" s="537" t="s">
        <v>1850</v>
      </c>
    </row>
    <row r="375" spans="2:22" ht="24" hidden="1" x14ac:dyDescent="0.25">
      <c r="B375" s="533"/>
      <c r="C375" s="533" t="s">
        <v>1110</v>
      </c>
      <c r="D375" s="533" t="str">
        <f>VLOOKUP(C375,'Base de Datos'!$E$7:$AR$390,2,0)</f>
        <v>CANAL REGIONAL DE TELEVISION TEVEANDINA LTDA - TEVEANDINA LTDA</v>
      </c>
      <c r="E375" s="536">
        <f>VLOOKUP(C375,'Base de Datos'!$E$7:$AR$390,5,0)</f>
        <v>818527824</v>
      </c>
      <c r="F375" s="536">
        <f>VLOOKUP(C375,'Base de Datos'!$E$7:$AR$390,17,0)</f>
        <v>818527824</v>
      </c>
      <c r="G375" s="533"/>
      <c r="H375" s="533"/>
      <c r="I375" s="533"/>
      <c r="J375" s="536">
        <f>VLOOKUP(C375,'Base de Datos'!$E$7:$AR$390,18,0)</f>
        <v>800790708</v>
      </c>
      <c r="K375" s="600"/>
      <c r="L375" s="742">
        <f>VLOOKUP(C375,'Base de Datos'!$E$7:$AR$390,19,0)</f>
        <v>17737116</v>
      </c>
      <c r="M375" s="533"/>
      <c r="N375" s="536" t="str">
        <f ca="1">IF(OR(O375=Hoja1!$D$17,'Presupuesto - PAA 2017'!O375=Hoja1!$D$18),'Presupuesto - PAA 2017'!L375," ")</f>
        <v xml:space="preserve"> </v>
      </c>
      <c r="O375" s="678" t="str">
        <f ca="1">VLOOKUP(C375,'Base de Datos'!$E$7:$AR$390,33,0)</f>
        <v>TERMINO</v>
      </c>
      <c r="P375" s="737"/>
      <c r="Q375" s="533"/>
      <c r="R375" s="743">
        <f>VLOOKUP(C375,'Base de Datos'!$E$7:$AR$390,9,0)</f>
        <v>41921</v>
      </c>
      <c r="S375" s="743">
        <f>VLOOKUP(C375,'Base de Datos'!$E$7:$AR$390,16,0)</f>
        <v>42116</v>
      </c>
      <c r="T375" s="678" t="str">
        <f>VLOOKUP(C375,'Base de Datos'!$E$7:$AR$390,40,0)</f>
        <v>Ricardo Rojas</v>
      </c>
    </row>
    <row r="376" spans="2:22" hidden="1" x14ac:dyDescent="0.25">
      <c r="B376" s="533"/>
      <c r="C376" s="533" t="s">
        <v>1529</v>
      </c>
      <c r="D376" s="533" t="str">
        <f>VLOOKUP(C376,'Base de Datos'!$E$7:$AR$390,2,0)</f>
        <v>CENTURY MEDIA SAS</v>
      </c>
      <c r="E376" s="536">
        <f>VLOOKUP(C376,'Base de Datos'!$E$7:$AR$390,5,0)</f>
        <v>249210000</v>
      </c>
      <c r="F376" s="536">
        <f>VLOOKUP(C376,'Base de Datos'!$E$7:$AR$390,17,0)</f>
        <v>309210000</v>
      </c>
      <c r="G376" s="533"/>
      <c r="H376" s="533"/>
      <c r="I376" s="533"/>
      <c r="J376" s="536">
        <f>VLOOKUP(C376,'Base de Datos'!$E$7:$AR$390,18,0)</f>
        <v>309210000</v>
      </c>
      <c r="K376" s="600"/>
      <c r="L376" s="742">
        <f>VLOOKUP(C376,'Base de Datos'!$E$7:$AR$390,19,0)</f>
        <v>0</v>
      </c>
      <c r="M376" s="533"/>
      <c r="N376" s="536" t="str">
        <f ca="1">IF(OR(O376=Hoja1!$D$17,'Presupuesto - PAA 2017'!O376=Hoja1!$D$18),'Presupuesto - PAA 2017'!L376," ")</f>
        <v xml:space="preserve"> </v>
      </c>
      <c r="O376" s="678" t="str">
        <f ca="1">VLOOKUP(C376,'Base de Datos'!$E$7:$AR$390,33,0)</f>
        <v>TERMINO</v>
      </c>
      <c r="P376" s="737"/>
      <c r="Q376" s="533"/>
      <c r="R376" s="743">
        <f>VLOOKUP(C376,'Base de Datos'!$E$7:$AR$390,9,0)</f>
        <v>42017</v>
      </c>
      <c r="S376" s="743">
        <f>VLOOKUP(C376,'Base de Datos'!$E$7:$AR$390,16,0)</f>
        <v>42338</v>
      </c>
      <c r="T376" s="678" t="str">
        <f>VLOOKUP(C376,'Base de Datos'!$E$7:$AR$390,40,0)</f>
        <v>Ricardo Rojas</v>
      </c>
    </row>
    <row r="377" spans="2:22" hidden="1" x14ac:dyDescent="0.25">
      <c r="B377" s="533"/>
      <c r="C377" s="533"/>
      <c r="D377" s="533"/>
      <c r="E377" s="533"/>
      <c r="F377" s="533"/>
      <c r="G377" s="533"/>
      <c r="H377" s="533"/>
      <c r="I377" s="533"/>
      <c r="J377" s="533"/>
      <c r="K377" s="600"/>
      <c r="L377" s="533"/>
      <c r="M377" s="533"/>
      <c r="N377" s="533"/>
      <c r="O377" s="691"/>
      <c r="P377" s="737"/>
      <c r="Q377" s="533"/>
      <c r="R377" s="744"/>
      <c r="S377" s="744"/>
      <c r="T377" s="533"/>
    </row>
    <row r="378" spans="2:22" ht="15" hidden="1" customHeight="1" x14ac:dyDescent="0.25">
      <c r="B378" s="1182" t="s">
        <v>1673</v>
      </c>
      <c r="C378" s="1182"/>
      <c r="D378" s="1182"/>
      <c r="E378" s="539">
        <f>+E379</f>
        <v>12700000</v>
      </c>
      <c r="F378" s="631">
        <f>+F379</f>
        <v>12700000</v>
      </c>
      <c r="G378" s="540"/>
      <c r="H378" s="540"/>
      <c r="I378" s="540"/>
      <c r="J378" s="543">
        <f>+J379</f>
        <v>12458400</v>
      </c>
      <c r="K378" s="610">
        <f>+J378/F378</f>
        <v>0.98097637795275594</v>
      </c>
      <c r="L378" s="543">
        <f>+L379</f>
        <v>241600</v>
      </c>
      <c r="M378" s="543"/>
      <c r="N378" s="543">
        <f>SUM(N379)</f>
        <v>0</v>
      </c>
      <c r="O378" s="689"/>
      <c r="P378" s="575" t="str">
        <f>IF(ISERROR(VLOOKUP(B378,'Base de Datos'!$C$7:$N$315,8,0))=TRUE," ",(VLOOKUP(B378,'Base de Datos'!$C$7:$N$315,8,0)))</f>
        <v xml:space="preserve"> </v>
      </c>
      <c r="Q378" s="569"/>
      <c r="R378" s="747" t="str">
        <f>IF(ISERROR(VLOOKUP(B378,'Base de Datos'!$C$7:$N$315,9,0))=TRUE," ",(VLOOKUP(B378,'Base de Datos'!$C$7:$N$315,9,0)))</f>
        <v xml:space="preserve"> </v>
      </c>
      <c r="S378" s="747" t="str">
        <f>IF(ISERROR(VLOOKUP(B378,'Base de Datos'!$C$7:$N$315,10,0))=TRUE," ",(VLOOKUP(B378,'Base de Datos'!$C$7:$N$315,10,0)))</f>
        <v xml:space="preserve"> </v>
      </c>
      <c r="T378" s="569"/>
      <c r="U378" s="722"/>
      <c r="V378" s="634"/>
    </row>
    <row r="379" spans="2:22" hidden="1" x14ac:dyDescent="0.25">
      <c r="B379" s="1181" t="s">
        <v>2127</v>
      </c>
      <c r="C379" s="1181"/>
      <c r="D379" s="1181"/>
      <c r="E379" s="581">
        <f>+E381</f>
        <v>12700000</v>
      </c>
      <c r="F379" s="581">
        <f>+F381</f>
        <v>12700000</v>
      </c>
      <c r="G379" s="586"/>
      <c r="H379" s="586"/>
      <c r="I379" s="586"/>
      <c r="J379" s="581">
        <f>+J381</f>
        <v>12458400</v>
      </c>
      <c r="K379" s="603">
        <f>+J379/F379</f>
        <v>0.98097637795275594</v>
      </c>
      <c r="L379" s="581">
        <f>+L381</f>
        <v>241600</v>
      </c>
      <c r="M379" s="581"/>
      <c r="N379" s="581">
        <f>+N381</f>
        <v>0</v>
      </c>
      <c r="O379" s="684"/>
      <c r="P379" s="591" t="str">
        <f>IF(ISERROR(VLOOKUP(B379,'Base de Datos'!$C$7:$N$315,8,0))=TRUE," ",(VLOOKUP(B379,'Base de Datos'!$C$7:$N$315,8,0)))</f>
        <v xml:space="preserve"> </v>
      </c>
      <c r="Q379" s="592"/>
      <c r="R379" s="745" t="str">
        <f>IF(ISERROR(VLOOKUP(B379,'Base de Datos'!$C$7:$N$315,9,0))=TRUE," ",(VLOOKUP(B379,'Base de Datos'!$C$7:$N$315,9,0)))</f>
        <v xml:space="preserve"> </v>
      </c>
      <c r="S379" s="745" t="str">
        <f>IF(ISERROR(VLOOKUP(B379,'Base de Datos'!$C$7:$N$315,10,0))=TRUE," ",(VLOOKUP(B379,'Base de Datos'!$C$7:$N$315,10,0)))</f>
        <v xml:space="preserve"> </v>
      </c>
      <c r="T379" s="592"/>
    </row>
    <row r="380" spans="2:22" ht="24" hidden="1" x14ac:dyDescent="0.25">
      <c r="B380" s="537" t="s">
        <v>2128</v>
      </c>
      <c r="C380" s="537" t="s">
        <v>912</v>
      </c>
      <c r="D380" s="537" t="s">
        <v>1822</v>
      </c>
      <c r="E380" s="545" t="s">
        <v>1845</v>
      </c>
      <c r="F380" s="534" t="s">
        <v>2130</v>
      </c>
      <c r="G380" s="534"/>
      <c r="H380" s="534"/>
      <c r="I380" s="534"/>
      <c r="J380" s="537" t="s">
        <v>2131</v>
      </c>
      <c r="K380" s="652"/>
      <c r="L380" s="537" t="s">
        <v>1940</v>
      </c>
      <c r="M380" s="537"/>
      <c r="N380" s="537" t="s">
        <v>2137</v>
      </c>
      <c r="O380" s="677" t="s">
        <v>2134</v>
      </c>
      <c r="P380" s="568" t="s">
        <v>1818</v>
      </c>
      <c r="Q380" s="537" t="s">
        <v>1848</v>
      </c>
      <c r="R380" s="746" t="s">
        <v>1849</v>
      </c>
      <c r="S380" s="746" t="s">
        <v>375</v>
      </c>
      <c r="T380" s="537" t="s">
        <v>1850</v>
      </c>
    </row>
    <row r="381" spans="2:22" hidden="1" x14ac:dyDescent="0.25">
      <c r="B381" s="533"/>
      <c r="C381" s="533" t="s">
        <v>1485</v>
      </c>
      <c r="D381" s="533" t="str">
        <f>VLOOKUP(C381,'Base de Datos'!$E$7:$AR$390,2,0)</f>
        <v>RIGOBERTO GÓMEZ JAIMES</v>
      </c>
      <c r="E381" s="536">
        <f>VLOOKUP(C381,'Base de Datos'!$E$7:$AR$390,5,0)</f>
        <v>12700000</v>
      </c>
      <c r="F381" s="536">
        <f>VLOOKUP(C381,'Base de Datos'!$E$7:$AR$390,17,0)</f>
        <v>12700000</v>
      </c>
      <c r="G381" s="533"/>
      <c r="H381" s="533"/>
      <c r="I381" s="533"/>
      <c r="J381" s="536">
        <f>VLOOKUP(C381,'Base de Datos'!$E$7:$AR$390,18,0)</f>
        <v>12458400</v>
      </c>
      <c r="K381" s="600"/>
      <c r="L381" s="536">
        <f>VLOOKUP(C381,'Base de Datos'!$E$7:$AR$390,19,0)</f>
        <v>241600</v>
      </c>
      <c r="M381" s="533"/>
      <c r="N381" s="536"/>
      <c r="O381" s="751" t="str">
        <f ca="1">VLOOKUP(C381,'Base de Datos'!$E$7:$AR$390,33,0)</f>
        <v>TERMINO</v>
      </c>
      <c r="P381" s="737" t="s">
        <v>2136</v>
      </c>
      <c r="Q381" s="533"/>
      <c r="R381" s="743">
        <f>VLOOKUP(C381,'Base de Datos'!$E$7:$AR$390,9,0)</f>
        <v>41982</v>
      </c>
      <c r="S381" s="743">
        <f>VLOOKUP(C381,'Base de Datos'!$E$7:$AR$390,16,0)</f>
        <v>42044</v>
      </c>
      <c r="T381" s="678" t="str">
        <f>VLOOKUP(C381,'Base de Datos'!$E$7:$AR$390,40,0)</f>
        <v>Lizeth González</v>
      </c>
    </row>
    <row r="382" spans="2:22" hidden="1" x14ac:dyDescent="0.25">
      <c r="B382" s="533"/>
      <c r="C382" s="533"/>
      <c r="D382" s="533"/>
      <c r="E382" s="533"/>
      <c r="F382" s="533"/>
      <c r="G382" s="533"/>
      <c r="H382" s="533"/>
      <c r="I382" s="533"/>
      <c r="J382" s="533"/>
      <c r="K382" s="600"/>
      <c r="L382" s="533"/>
      <c r="M382" s="533"/>
      <c r="N382" s="533"/>
      <c r="O382" s="691"/>
      <c r="P382" s="737"/>
      <c r="Q382" s="533"/>
      <c r="R382" s="744"/>
      <c r="S382" s="744"/>
      <c r="T382" s="533"/>
    </row>
    <row r="383" spans="2:22" hidden="1" x14ac:dyDescent="0.25">
      <c r="B383" s="1183" t="s">
        <v>1688</v>
      </c>
      <c r="C383" s="1183"/>
      <c r="D383" s="1183"/>
      <c r="E383" s="541">
        <f t="shared" ref="E383:N387" si="19">+E384</f>
        <v>3039996697</v>
      </c>
      <c r="F383" s="541">
        <f t="shared" si="19"/>
        <v>4055604697</v>
      </c>
      <c r="G383" s="541">
        <f t="shared" si="19"/>
        <v>7542477000</v>
      </c>
      <c r="H383" s="541">
        <f t="shared" si="19"/>
        <v>0</v>
      </c>
      <c r="I383" s="541">
        <f t="shared" si="19"/>
        <v>7542477000</v>
      </c>
      <c r="J383" s="541">
        <f t="shared" si="19"/>
        <v>3880800698</v>
      </c>
      <c r="K383" s="583">
        <f t="shared" si="19"/>
        <v>0.95689816635006231</v>
      </c>
      <c r="L383" s="541">
        <f t="shared" si="19"/>
        <v>174803999</v>
      </c>
      <c r="M383" s="576"/>
      <c r="N383" s="541">
        <f t="shared" ca="1" si="19"/>
        <v>0</v>
      </c>
      <c r="O383" s="674"/>
      <c r="P383" s="576"/>
      <c r="Q383" s="571"/>
      <c r="R383" s="748" t="str">
        <f>IF(ISERROR(VLOOKUP(B383,'Base de Datos'!$C$7:$N$315,9,0))=TRUE," ",(VLOOKUP(B383,'Base de Datos'!$C$7:$N$315,9,0)))</f>
        <v xml:space="preserve"> </v>
      </c>
      <c r="S383" s="748" t="str">
        <f>IF(ISERROR(VLOOKUP(B383,'Base de Datos'!$C$7:$N$315,10,0))=TRUE," ",(VLOOKUP(B383,'Base de Datos'!$C$7:$N$315,10,0)))</f>
        <v xml:space="preserve"> </v>
      </c>
      <c r="T383" s="571"/>
    </row>
    <row r="384" spans="2:22" hidden="1" x14ac:dyDescent="0.25">
      <c r="B384" s="1182" t="s">
        <v>1687</v>
      </c>
      <c r="C384" s="1182"/>
      <c r="D384" s="1182"/>
      <c r="E384" s="539">
        <f t="shared" si="19"/>
        <v>3039996697</v>
      </c>
      <c r="F384" s="539">
        <f t="shared" si="19"/>
        <v>4055604697</v>
      </c>
      <c r="G384" s="543">
        <f t="shared" si="19"/>
        <v>7542477000</v>
      </c>
      <c r="H384" s="543">
        <f t="shared" si="19"/>
        <v>0</v>
      </c>
      <c r="I384" s="543">
        <f t="shared" si="19"/>
        <v>7542477000</v>
      </c>
      <c r="J384" s="543">
        <f t="shared" si="19"/>
        <v>3880800698</v>
      </c>
      <c r="K384" s="601">
        <f t="shared" si="19"/>
        <v>0.95689816635006231</v>
      </c>
      <c r="L384" s="543">
        <f t="shared" si="19"/>
        <v>174803999</v>
      </c>
      <c r="M384" s="543"/>
      <c r="N384" s="543">
        <f t="shared" ca="1" si="19"/>
        <v>0</v>
      </c>
      <c r="O384" s="689"/>
      <c r="P384" s="575" t="str">
        <f>IF(ISERROR(VLOOKUP(B384,'Base de Datos'!$C$7:$N$315,8,0))=TRUE," ",(VLOOKUP(B384,'Base de Datos'!$C$7:$N$315,8,0)))</f>
        <v xml:space="preserve"> </v>
      </c>
      <c r="Q384" s="569"/>
      <c r="R384" s="747" t="str">
        <f>IF(ISERROR(VLOOKUP(B384,'Base de Datos'!$C$7:$N$315,9,0))=TRUE," ",(VLOOKUP(B384,'Base de Datos'!$C$7:$N$315,9,0)))</f>
        <v xml:space="preserve"> </v>
      </c>
      <c r="S384" s="747" t="str">
        <f>IF(ISERROR(VLOOKUP(B384,'Base de Datos'!$C$7:$N$315,10,0))=TRUE," ",(VLOOKUP(B384,'Base de Datos'!$C$7:$N$315,10,0)))</f>
        <v xml:space="preserve"> </v>
      </c>
      <c r="T384" s="569"/>
    </row>
    <row r="385" spans="2:21" hidden="1" x14ac:dyDescent="0.25">
      <c r="B385" s="1180" t="s">
        <v>1676</v>
      </c>
      <c r="C385" s="1180"/>
      <c r="D385" s="1180"/>
      <c r="E385" s="543">
        <f t="shared" si="19"/>
        <v>3039996697</v>
      </c>
      <c r="F385" s="543">
        <f t="shared" si="19"/>
        <v>4055604697</v>
      </c>
      <c r="G385" s="543">
        <f t="shared" si="19"/>
        <v>7542477000</v>
      </c>
      <c r="H385" s="543">
        <f t="shared" si="19"/>
        <v>0</v>
      </c>
      <c r="I385" s="543">
        <f t="shared" si="19"/>
        <v>7542477000</v>
      </c>
      <c r="J385" s="543">
        <f t="shared" si="19"/>
        <v>3880800698</v>
      </c>
      <c r="K385" s="601">
        <f t="shared" si="19"/>
        <v>0.95689816635006231</v>
      </c>
      <c r="L385" s="543">
        <f t="shared" si="19"/>
        <v>174803999</v>
      </c>
      <c r="M385" s="543"/>
      <c r="N385" s="543">
        <f t="shared" ca="1" si="19"/>
        <v>0</v>
      </c>
      <c r="O385" s="689"/>
      <c r="P385" s="575" t="str">
        <f>IF(ISERROR(VLOOKUP(B385,'Base de Datos'!$C$7:$N$315,8,0))=TRUE," ",(VLOOKUP(B385,'Base de Datos'!$C$7:$N$315,8,0)))</f>
        <v xml:space="preserve"> </v>
      </c>
      <c r="Q385" s="569"/>
      <c r="R385" s="747" t="str">
        <f>IF(ISERROR(VLOOKUP(B385,'Base de Datos'!$C$7:$N$315,9,0))=TRUE," ",(VLOOKUP(B385,'Base de Datos'!$C$7:$N$315,9,0)))</f>
        <v xml:space="preserve"> </v>
      </c>
      <c r="S385" s="747" t="str">
        <f>IF(ISERROR(VLOOKUP(B385,'Base de Datos'!$C$7:$N$315,10,0))=TRUE," ",(VLOOKUP(B385,'Base de Datos'!$C$7:$N$315,10,0)))</f>
        <v xml:space="preserve"> </v>
      </c>
      <c r="T385" s="569"/>
    </row>
    <row r="386" spans="2:21" hidden="1" x14ac:dyDescent="0.25">
      <c r="B386" s="1180" t="s">
        <v>1837</v>
      </c>
      <c r="C386" s="1180"/>
      <c r="D386" s="1180"/>
      <c r="E386" s="543">
        <f t="shared" si="19"/>
        <v>3039996697</v>
      </c>
      <c r="F386" s="543">
        <f t="shared" si="19"/>
        <v>4055604697</v>
      </c>
      <c r="G386" s="543">
        <f t="shared" si="19"/>
        <v>7542477000</v>
      </c>
      <c r="H386" s="543">
        <f t="shared" si="19"/>
        <v>0</v>
      </c>
      <c r="I386" s="543">
        <f t="shared" si="19"/>
        <v>7542477000</v>
      </c>
      <c r="J386" s="543">
        <f t="shared" si="19"/>
        <v>3880800698</v>
      </c>
      <c r="K386" s="601">
        <f t="shared" si="19"/>
        <v>0.95689816635006231</v>
      </c>
      <c r="L386" s="543">
        <f t="shared" si="19"/>
        <v>174803999</v>
      </c>
      <c r="M386" s="543"/>
      <c r="N386" s="543">
        <f t="shared" ca="1" si="19"/>
        <v>0</v>
      </c>
      <c r="O386" s="689"/>
      <c r="P386" s="575" t="str">
        <f>IF(ISERROR(VLOOKUP(B386,'Base de Datos'!$C$7:$N$315,8,0))=TRUE," ",(VLOOKUP(B386,'Base de Datos'!$C$7:$N$315,8,0)))</f>
        <v xml:space="preserve"> </v>
      </c>
      <c r="Q386" s="569"/>
      <c r="R386" s="747" t="str">
        <f>IF(ISERROR(VLOOKUP(B386,'Base de Datos'!$C$7:$N$315,9,0))=TRUE," ",(VLOOKUP(B386,'Base de Datos'!$C$7:$N$315,9,0)))</f>
        <v xml:space="preserve"> </v>
      </c>
      <c r="S386" s="747" t="str">
        <f>IF(ISERROR(VLOOKUP(B386,'Base de Datos'!$C$7:$N$315,10,0))=TRUE," ",(VLOOKUP(B386,'Base de Datos'!$C$7:$N$315,10,0)))</f>
        <v xml:space="preserve"> </v>
      </c>
      <c r="T386" s="569"/>
    </row>
    <row r="387" spans="2:21" hidden="1" x14ac:dyDescent="0.25">
      <c r="B387" s="1180" t="s">
        <v>1836</v>
      </c>
      <c r="C387" s="1180"/>
      <c r="D387" s="1180"/>
      <c r="E387" s="543">
        <f t="shared" si="19"/>
        <v>3039996697</v>
      </c>
      <c r="F387" s="543">
        <f t="shared" si="19"/>
        <v>4055604697</v>
      </c>
      <c r="G387" s="543">
        <f t="shared" si="19"/>
        <v>7542477000</v>
      </c>
      <c r="H387" s="543">
        <f t="shared" si="19"/>
        <v>0</v>
      </c>
      <c r="I387" s="543">
        <f t="shared" si="19"/>
        <v>7542477000</v>
      </c>
      <c r="J387" s="543">
        <f t="shared" si="19"/>
        <v>3880800698</v>
      </c>
      <c r="K387" s="601">
        <f t="shared" si="19"/>
        <v>0.95689816635006231</v>
      </c>
      <c r="L387" s="543">
        <f t="shared" si="19"/>
        <v>174803999</v>
      </c>
      <c r="M387" s="543"/>
      <c r="N387" s="543">
        <f t="shared" ca="1" si="19"/>
        <v>0</v>
      </c>
      <c r="O387" s="689"/>
      <c r="P387" s="575" t="str">
        <f>IF(ISERROR(VLOOKUP(B387,'Base de Datos'!$C$7:$N$315,8,0))=TRUE," ",(VLOOKUP(B387,'Base de Datos'!$C$7:$N$315,8,0)))</f>
        <v xml:space="preserve"> </v>
      </c>
      <c r="Q387" s="569"/>
      <c r="R387" s="747" t="str">
        <f>IF(ISERROR(VLOOKUP(B387,'Base de Datos'!$C$7:$N$315,9,0))=TRUE," ",(VLOOKUP(B387,'Base de Datos'!$C$7:$N$315,9,0)))</f>
        <v xml:space="preserve"> </v>
      </c>
      <c r="S387" s="747" t="str">
        <f>IF(ISERROR(VLOOKUP(B387,'Base de Datos'!$C$7:$N$315,10,0))=TRUE," ",(VLOOKUP(B387,'Base de Datos'!$C$7:$N$315,10,0)))</f>
        <v xml:space="preserve"> </v>
      </c>
      <c r="T387" s="569"/>
      <c r="U387" s="535"/>
    </row>
    <row r="388" spans="2:21" hidden="1" x14ac:dyDescent="0.25">
      <c r="B388" s="1181" t="s">
        <v>1874</v>
      </c>
      <c r="C388" s="1181"/>
      <c r="D388" s="1181"/>
      <c r="E388" s="581">
        <f>SUM(E390:E397)</f>
        <v>3039996697</v>
      </c>
      <c r="F388" s="581">
        <f>SUM(F390:F397)</f>
        <v>4055604697</v>
      </c>
      <c r="G388" s="581">
        <v>7542477000</v>
      </c>
      <c r="H388" s="586"/>
      <c r="I388" s="581">
        <v>7542477000</v>
      </c>
      <c r="J388" s="581">
        <f>SUM(J390:J397)</f>
        <v>3880800698</v>
      </c>
      <c r="K388" s="603">
        <f>+J388/F388</f>
        <v>0.95689816635006231</v>
      </c>
      <c r="L388" s="581">
        <f>SUM(L390:L397)</f>
        <v>174803999</v>
      </c>
      <c r="M388" s="581"/>
      <c r="N388" s="581">
        <f ca="1">SUM(N390:N397)</f>
        <v>0</v>
      </c>
      <c r="O388" s="684"/>
      <c r="P388" s="591" t="str">
        <f>IF(ISERROR(VLOOKUP(B388,'Base de Datos'!$C$7:$N$315,8,0))=TRUE," ",(VLOOKUP(B388,'Base de Datos'!$C$7:$N$315,8,0)))</f>
        <v xml:space="preserve"> </v>
      </c>
      <c r="Q388" s="592"/>
      <c r="R388" s="745" t="str">
        <f>IF(ISERROR(VLOOKUP(B388,'Base de Datos'!$C$7:$N$315,9,0))=TRUE," ",(VLOOKUP(B388,'Base de Datos'!$C$7:$N$315,9,0)))</f>
        <v xml:space="preserve"> </v>
      </c>
      <c r="S388" s="745" t="str">
        <f>IF(ISERROR(VLOOKUP(B388,'Base de Datos'!$C$7:$N$315,10,0))=TRUE," ",(VLOOKUP(B388,'Base de Datos'!$C$7:$N$315,10,0)))</f>
        <v xml:space="preserve"> </v>
      </c>
      <c r="T388" s="592"/>
      <c r="U388" s="535"/>
    </row>
    <row r="389" spans="2:21" ht="24" hidden="1" x14ac:dyDescent="0.25">
      <c r="B389" s="537" t="s">
        <v>2128</v>
      </c>
      <c r="C389" s="537" t="s">
        <v>912</v>
      </c>
      <c r="D389" s="537" t="s">
        <v>1822</v>
      </c>
      <c r="E389" s="545" t="s">
        <v>1845</v>
      </c>
      <c r="F389" s="534" t="s">
        <v>2130</v>
      </c>
      <c r="G389" s="534"/>
      <c r="H389" s="534"/>
      <c r="I389" s="534"/>
      <c r="J389" s="537" t="s">
        <v>2131</v>
      </c>
      <c r="K389" s="652"/>
      <c r="L389" s="537" t="s">
        <v>1940</v>
      </c>
      <c r="M389" s="537"/>
      <c r="N389" s="537" t="s">
        <v>2137</v>
      </c>
      <c r="O389" s="677" t="s">
        <v>2134</v>
      </c>
      <c r="P389" s="568" t="s">
        <v>1818</v>
      </c>
      <c r="Q389" s="537" t="s">
        <v>1848</v>
      </c>
      <c r="R389" s="746" t="s">
        <v>1849</v>
      </c>
      <c r="S389" s="746" t="s">
        <v>375</v>
      </c>
      <c r="T389" s="537" t="s">
        <v>1850</v>
      </c>
      <c r="U389" s="535"/>
    </row>
    <row r="390" spans="2:21" hidden="1" x14ac:dyDescent="0.25">
      <c r="B390" s="533"/>
      <c r="C390" s="533" t="s">
        <v>1525</v>
      </c>
      <c r="D390" s="533" t="str">
        <f>VLOOKUP(C390,'Base de Datos'!$E$7:$AR$390,2,0)</f>
        <v>M@ICROTEL LTDA</v>
      </c>
      <c r="E390" s="536">
        <f>VLOOKUP(C390,'Base de Datos'!$E$7:$AR$390,5,0)</f>
        <v>137450000</v>
      </c>
      <c r="F390" s="536">
        <f>VLOOKUP(C390,'Base de Datos'!$E$7:$AR$390,17,0)</f>
        <v>137450000</v>
      </c>
      <c r="G390" s="533"/>
      <c r="H390" s="533"/>
      <c r="I390" s="533"/>
      <c r="J390" s="536">
        <f>VLOOKUP(C390,'Base de Datos'!$E$7:$AR$390,18,0)</f>
        <v>137449999</v>
      </c>
      <c r="K390" s="600"/>
      <c r="L390" s="742">
        <f>VLOOKUP(C390,'Base de Datos'!$E$7:$AR$390,19,0)</f>
        <v>1</v>
      </c>
      <c r="M390" s="533"/>
      <c r="N390" s="536" t="str">
        <f ca="1">IF(OR(O390=Hoja1!$D$17,'Presupuesto - PAA 2017'!O390=Hoja1!$D$18),'Presupuesto - PAA 2017'!L390," ")</f>
        <v xml:space="preserve"> </v>
      </c>
      <c r="O390" s="678" t="str">
        <f ca="1">VLOOKUP(C390,'Base de Datos'!$E$7:$AR$390,33,0)</f>
        <v>TERMINO</v>
      </c>
      <c r="P390" s="737"/>
      <c r="Q390" s="533"/>
      <c r="R390" s="743">
        <f>VLOOKUP(C390,'Base de Datos'!$E$7:$AR$390,9,0)</f>
        <v>42018</v>
      </c>
      <c r="S390" s="743">
        <f>VLOOKUP(C390,'Base de Datos'!$E$7:$AR$390,16,0)</f>
        <v>42383</v>
      </c>
      <c r="T390" s="678" t="str">
        <f>VLOOKUP(C390,'Base de Datos'!$E$7:$AR$390,40,0)</f>
        <v>Adriana Payares</v>
      </c>
      <c r="U390" s="535"/>
    </row>
    <row r="391" spans="2:21" hidden="1" x14ac:dyDescent="0.25">
      <c r="B391" s="533"/>
      <c r="C391" s="533" t="s">
        <v>1116</v>
      </c>
      <c r="D391" s="533" t="str">
        <f>VLOOKUP(C391,'Base de Datos'!$E$7:$AR$390,2,0)</f>
        <v>SUMIMAS SAS</v>
      </c>
      <c r="E391" s="536">
        <f>VLOOKUP(C391,'Base de Datos'!$E$7:$AR$390,5,0)</f>
        <v>75520000</v>
      </c>
      <c r="F391" s="536">
        <f>VLOOKUP(C391,'Base de Datos'!$E$7:$AR$390,17,0)</f>
        <v>75520000</v>
      </c>
      <c r="G391" s="533"/>
      <c r="H391" s="533"/>
      <c r="I391" s="533"/>
      <c r="J391" s="536">
        <f>VLOOKUP(C391,'Base de Datos'!$E$7:$AR$390,18,0)</f>
        <v>75519999</v>
      </c>
      <c r="K391" s="600"/>
      <c r="L391" s="742">
        <f>VLOOKUP(C391,'Base de Datos'!$E$7:$AR$390,19,0)</f>
        <v>1</v>
      </c>
      <c r="M391" s="533"/>
      <c r="N391" s="536" t="str">
        <f ca="1">IF(OR(O391=Hoja1!$D$17,'Presupuesto - PAA 2017'!O391=Hoja1!$D$18),'Presupuesto - PAA 2017'!L391," ")</f>
        <v xml:space="preserve"> </v>
      </c>
      <c r="O391" s="678" t="str">
        <f ca="1">VLOOKUP(C391,'Base de Datos'!$E$7:$AR$390,33,0)</f>
        <v>TERMINO</v>
      </c>
      <c r="P391" s="737"/>
      <c r="Q391" s="533"/>
      <c r="R391" s="743">
        <f>VLOOKUP(C391,'Base de Datos'!$E$7:$AR$390,9,0)</f>
        <v>41929</v>
      </c>
      <c r="S391" s="743">
        <f>VLOOKUP(C391,'Base de Datos'!$E$7:$AR$390,16,0)</f>
        <v>42369</v>
      </c>
      <c r="T391" s="678" t="str">
        <f>VLOOKUP(C391,'Base de Datos'!$E$7:$AR$390,40,0)</f>
        <v>Adriana Payares</v>
      </c>
      <c r="U391" s="535"/>
    </row>
    <row r="392" spans="2:21" hidden="1" x14ac:dyDescent="0.25">
      <c r="B392" s="533"/>
      <c r="C392" s="533" t="s">
        <v>1359</v>
      </c>
      <c r="D392" s="533" t="str">
        <f>VLOOKUP(C392,'Base de Datos'!$E$7:$AR$390,2,0)</f>
        <v>M@ICROTEL LTDA</v>
      </c>
      <c r="E392" s="536">
        <f>VLOOKUP(C392,'Base de Datos'!$E$7:$AR$390,5,0)</f>
        <v>27235640</v>
      </c>
      <c r="F392" s="536">
        <f>VLOOKUP(C392,'Base de Datos'!$E$7:$AR$390,17,0)</f>
        <v>27235640</v>
      </c>
      <c r="G392" s="533"/>
      <c r="H392" s="533"/>
      <c r="I392" s="533"/>
      <c r="J392" s="536">
        <f>VLOOKUP(C392,'Base de Datos'!$E$7:$AR$390,18,0)</f>
        <v>27235640</v>
      </c>
      <c r="K392" s="600"/>
      <c r="L392" s="742">
        <f>VLOOKUP(C392,'Base de Datos'!$E$7:$AR$390,19,0)</f>
        <v>0</v>
      </c>
      <c r="M392" s="533"/>
      <c r="N392" s="536" t="str">
        <f ca="1">IF(OR(O392=Hoja1!$D$17,'Presupuesto - PAA 2017'!O392=Hoja1!$D$18),'Presupuesto - PAA 2017'!L392," ")</f>
        <v xml:space="preserve"> </v>
      </c>
      <c r="O392" s="678" t="str">
        <f ca="1">VLOOKUP(C392,'Base de Datos'!$E$7:$AR$390,33,0)</f>
        <v>TERMINO</v>
      </c>
      <c r="P392" s="737"/>
      <c r="Q392" s="533"/>
      <c r="R392" s="743">
        <f>VLOOKUP(C392,'Base de Datos'!$E$7:$AR$390,9,0)</f>
        <v>41969</v>
      </c>
      <c r="S392" s="743">
        <f>VLOOKUP(C392,'Base de Datos'!$E$7:$AR$390,16,0)</f>
        <v>42334</v>
      </c>
      <c r="T392" s="678" t="str">
        <f>VLOOKUP(C392,'Base de Datos'!$E$7:$AR$390,40,0)</f>
        <v>Adriana Payares</v>
      </c>
      <c r="U392" s="535"/>
    </row>
    <row r="393" spans="2:21" ht="24" hidden="1" x14ac:dyDescent="0.25">
      <c r="B393" s="533"/>
      <c r="C393" s="533" t="s">
        <v>1366</v>
      </c>
      <c r="D393" s="533" t="str">
        <f>VLOOKUP(C393,'Base de Datos'!$E$7:$AR$390,2,0)</f>
        <v>CARLOS ALBERTO CASTELLANOS MEDINA</v>
      </c>
      <c r="E393" s="536">
        <f>VLOOKUP(C393,'Base de Datos'!$E$7:$AR$390,5,0)</f>
        <v>39999999</v>
      </c>
      <c r="F393" s="536">
        <f>VLOOKUP(C393,'Base de Datos'!$E$7:$AR$390,17,0)</f>
        <v>39999999</v>
      </c>
      <c r="G393" s="533"/>
      <c r="H393" s="533"/>
      <c r="I393" s="533"/>
      <c r="J393" s="536">
        <f>VLOOKUP(C393,'Base de Datos'!$E$7:$AR$390,18,0)</f>
        <v>39999998</v>
      </c>
      <c r="K393" s="600"/>
      <c r="L393" s="742">
        <f>VLOOKUP(C393,'Base de Datos'!$E$7:$AR$390,19,0)</f>
        <v>1</v>
      </c>
      <c r="M393" s="533"/>
      <c r="N393" s="536" t="str">
        <f ca="1">IF(OR(O393=Hoja1!$D$17,'Presupuesto - PAA 2017'!O393=Hoja1!$D$18),'Presupuesto - PAA 2017'!L393," ")</f>
        <v xml:space="preserve"> </v>
      </c>
      <c r="O393" s="678" t="str">
        <f ca="1">VLOOKUP(C393,'Base de Datos'!$E$7:$AR$390,33,0)</f>
        <v>TERMINO</v>
      </c>
      <c r="P393" s="737"/>
      <c r="Q393" s="533"/>
      <c r="R393" s="743">
        <f>VLOOKUP(C393,'Base de Datos'!$E$7:$AR$390,9,0)</f>
        <v>41957</v>
      </c>
      <c r="S393" s="743">
        <f>VLOOKUP(C393,'Base de Datos'!$E$7:$AR$390,16,0)</f>
        <v>42504</v>
      </c>
      <c r="T393" s="678" t="str">
        <f>VLOOKUP(C393,'Base de Datos'!$E$7:$AR$390,40,0)</f>
        <v>Alexander Avendaño</v>
      </c>
      <c r="U393" s="535"/>
    </row>
    <row r="394" spans="2:21" hidden="1" x14ac:dyDescent="0.25">
      <c r="B394" s="533"/>
      <c r="C394" s="533" t="s">
        <v>291</v>
      </c>
      <c r="D394" s="533" t="str">
        <f>VLOOKUP(C394,'Base de Datos'!$E$7:$AR$390,2,0)</f>
        <v>UNIDAD NACIONAL DE PROTECCIÓN</v>
      </c>
      <c r="E394" s="536">
        <f>VLOOKUP(C394,'Base de Datos'!$E$7:$AR$390,5,0)</f>
        <v>2447846100</v>
      </c>
      <c r="F394" s="536">
        <f>VLOOKUP(C394,'Base de Datos'!$E$7:$AR$390,17,0)</f>
        <v>3463454100</v>
      </c>
      <c r="G394" s="533"/>
      <c r="H394" s="533"/>
      <c r="I394" s="533"/>
      <c r="J394" s="536">
        <f>VLOOKUP(C394,'Base de Datos'!$E$7:$AR$390,18,0)</f>
        <v>3320263630</v>
      </c>
      <c r="K394" s="600"/>
      <c r="L394" s="742">
        <f>VLOOKUP(C394,'Base de Datos'!$E$7:$AR$390,19,0)</f>
        <v>143190470</v>
      </c>
      <c r="M394" s="533"/>
      <c r="N394" s="536" t="str">
        <f ca="1">IF(OR(O394=Hoja1!$D$17,'Presupuesto - PAA 2017'!O394=Hoja1!$D$18),'Presupuesto - PAA 2017'!L394," ")</f>
        <v xml:space="preserve"> </v>
      </c>
      <c r="O394" s="678" t="str">
        <f ca="1">VLOOKUP(C394,'Base de Datos'!$E$7:$AR$390,33,0)</f>
        <v>TERMINO</v>
      </c>
      <c r="P394" s="737"/>
      <c r="Q394" s="533"/>
      <c r="R394" s="743">
        <f>VLOOKUP(C394,'Base de Datos'!$E$7:$AR$390,9,0)</f>
        <v>41808</v>
      </c>
      <c r="S394" s="743">
        <f>VLOOKUP(C394,'Base de Datos'!$E$7:$AR$390,16,0)</f>
        <v>42116</v>
      </c>
      <c r="T394" s="678" t="str">
        <f>VLOOKUP(C394,'Base de Datos'!$E$7:$AR$390,40,0)</f>
        <v>Ricardo Rojas</v>
      </c>
      <c r="U394" s="535"/>
    </row>
    <row r="395" spans="2:21" ht="24" hidden="1" x14ac:dyDescent="0.25">
      <c r="B395" s="533"/>
      <c r="C395" s="533" t="s">
        <v>1516</v>
      </c>
      <c r="D395" s="533" t="str">
        <f>VLOOKUP(C395,'Base de Datos'!$E$7:$AR$390,2,0)</f>
        <v>KAWAK SAS</v>
      </c>
      <c r="E395" s="536">
        <f>VLOOKUP(C395,'Base de Datos'!$E$7:$AR$390,5,0)</f>
        <v>64621280</v>
      </c>
      <c r="F395" s="536">
        <f>VLOOKUP(C395,'Base de Datos'!$E$7:$AR$390,17,0)</f>
        <v>64621280</v>
      </c>
      <c r="G395" s="533"/>
      <c r="H395" s="533"/>
      <c r="I395" s="533"/>
      <c r="J395" s="536">
        <f>VLOOKUP(C395,'Base de Datos'!$E$7:$AR$390,18,0)</f>
        <v>64621280</v>
      </c>
      <c r="K395" s="600"/>
      <c r="L395" s="742">
        <f>VLOOKUP(C395,'Base de Datos'!$E$7:$AR$390,19,0)</f>
        <v>0</v>
      </c>
      <c r="M395" s="533"/>
      <c r="N395" s="536" t="str">
        <f ca="1">IF(OR(O395=Hoja1!$D$17,'Presupuesto - PAA 2017'!O395=Hoja1!$D$18),'Presupuesto - PAA 2017'!L395," ")</f>
        <v xml:space="preserve"> </v>
      </c>
      <c r="O395" s="678" t="str">
        <f ca="1">VLOOKUP(C395,'Base de Datos'!$E$7:$AR$390,33,0)</f>
        <v>TERMINO</v>
      </c>
      <c r="P395" s="737"/>
      <c r="Q395" s="533"/>
      <c r="R395" s="743">
        <f>VLOOKUP(C395,'Base de Datos'!$E$7:$AR$390,9,0)</f>
        <v>42045</v>
      </c>
      <c r="S395" s="743">
        <f>VLOOKUP(C395,'Base de Datos'!$E$7:$AR$390,16,0)</f>
        <v>42348</v>
      </c>
      <c r="T395" s="678" t="str">
        <f>VLOOKUP(C395,'Base de Datos'!$E$7:$AR$390,40,0)</f>
        <v>Alexander Avendaño</v>
      </c>
      <c r="U395" s="535"/>
    </row>
    <row r="396" spans="2:21" hidden="1" x14ac:dyDescent="0.25">
      <c r="B396" s="533"/>
      <c r="C396" s="533" t="s">
        <v>1497</v>
      </c>
      <c r="D396" s="533" t="str">
        <f>VLOOKUP(C396,'Base de Datos'!$E$7:$AR$390,2,0)</f>
        <v>GAMMA INGENIEROS S A</v>
      </c>
      <c r="E396" s="536">
        <f>VLOOKUP(C396,'Base de Datos'!$E$7:$AR$390,5,0)</f>
        <v>187940000</v>
      </c>
      <c r="F396" s="536">
        <f>VLOOKUP(C396,'Base de Datos'!$E$7:$AR$390,17,0)</f>
        <v>187940000</v>
      </c>
      <c r="G396" s="533"/>
      <c r="H396" s="533"/>
      <c r="I396" s="533"/>
      <c r="J396" s="536">
        <f>VLOOKUP(C396,'Base de Datos'!$E$7:$AR$390,18,0)</f>
        <v>187940000</v>
      </c>
      <c r="K396" s="600"/>
      <c r="L396" s="742">
        <f>VLOOKUP(C396,'Base de Datos'!$E$7:$AR$390,19,0)</f>
        <v>0</v>
      </c>
      <c r="M396" s="533"/>
      <c r="N396" s="536" t="str">
        <f ca="1">IF(OR(O396=Hoja1!$D$17,'Presupuesto - PAA 2017'!O396=Hoja1!$D$18),'Presupuesto - PAA 2017'!L396," ")</f>
        <v xml:space="preserve"> </v>
      </c>
      <c r="O396" s="678" t="str">
        <f ca="1">VLOOKUP(C396,'Base de Datos'!$E$7:$AR$390,33,0)</f>
        <v>TERMINO</v>
      </c>
      <c r="P396" s="737"/>
      <c r="Q396" s="533"/>
      <c r="R396" s="743">
        <f>VLOOKUP(C396,'Base de Datos'!$E$7:$AR$390,9,0)</f>
        <v>42023</v>
      </c>
      <c r="S396" s="743">
        <f>VLOOKUP(C396,'Base de Datos'!$E$7:$AR$390,16,0)</f>
        <v>42102</v>
      </c>
      <c r="T396" s="678" t="str">
        <f>VLOOKUP(C396,'Base de Datos'!$E$7:$AR$390,40,0)</f>
        <v>Adriana Payares</v>
      </c>
      <c r="U396" s="535"/>
    </row>
    <row r="397" spans="2:21" hidden="1" x14ac:dyDescent="0.25">
      <c r="B397" s="533"/>
      <c r="C397" s="533" t="s">
        <v>1351</v>
      </c>
      <c r="D397" s="533" t="str">
        <f>VLOOKUP(C397,'Base de Datos'!$E$7:$AR$390,2,0)</f>
        <v>PROSEGUR TECNOLOGÍA S.A.S.</v>
      </c>
      <c r="E397" s="536">
        <f>VLOOKUP(C397,'Base de Datos'!$E$7:$AR$390,5,0)</f>
        <v>59383678</v>
      </c>
      <c r="F397" s="536">
        <f>VLOOKUP(C397,'Base de Datos'!$E$7:$AR$390,17,0)</f>
        <v>59383678</v>
      </c>
      <c r="G397" s="533"/>
      <c r="H397" s="533"/>
      <c r="I397" s="533"/>
      <c r="J397" s="536">
        <f>VLOOKUP(C397,'Base de Datos'!$E$7:$AR$390,18,0)</f>
        <v>27770152</v>
      </c>
      <c r="K397" s="600"/>
      <c r="L397" s="742">
        <f>VLOOKUP(C397,'Base de Datos'!$E$7:$AR$390,19,0)</f>
        <v>31613526</v>
      </c>
      <c r="M397" s="533"/>
      <c r="N397" s="536" t="str">
        <f ca="1">IF(OR(O397=Hoja1!$D$17,'Presupuesto - PAA 2017'!O397=Hoja1!$D$18),'Presupuesto - PAA 2017'!L397," ")</f>
        <v xml:space="preserve"> </v>
      </c>
      <c r="O397" s="678" t="str">
        <f ca="1">VLOOKUP(C397,'Base de Datos'!$E$7:$AR$390,33,0)</f>
        <v>TERMINO</v>
      </c>
      <c r="P397" s="737"/>
      <c r="Q397" s="533"/>
      <c r="R397" s="743">
        <f>VLOOKUP(C397,'Base de Datos'!$E$7:$AR$390,9,0)</f>
        <v>41941</v>
      </c>
      <c r="S397" s="743">
        <f>VLOOKUP(C397,'Base de Datos'!$E$7:$AR$390,16,0)</f>
        <v>42184</v>
      </c>
      <c r="T397" s="678" t="str">
        <f>VLOOKUP(C397,'Base de Datos'!$E$7:$AR$390,40,0)</f>
        <v>Adriana Payares</v>
      </c>
      <c r="U397" s="535"/>
    </row>
    <row r="398" spans="2:21" x14ac:dyDescent="0.25">
      <c r="R398" s="749"/>
      <c r="S398" s="749"/>
      <c r="U398" s="535"/>
    </row>
  </sheetData>
  <mergeCells count="95">
    <mergeCell ref="B6:D6"/>
    <mergeCell ref="B1:T1"/>
    <mergeCell ref="B2:D2"/>
    <mergeCell ref="B3:D3"/>
    <mergeCell ref="B4:D4"/>
    <mergeCell ref="B5:D5"/>
    <mergeCell ref="B74:D74"/>
    <mergeCell ref="B7:D7"/>
    <mergeCell ref="B8:D8"/>
    <mergeCell ref="B32:D32"/>
    <mergeCell ref="B33:D33"/>
    <mergeCell ref="B34:D34"/>
    <mergeCell ref="B37:D37"/>
    <mergeCell ref="B48:D48"/>
    <mergeCell ref="B49:D49"/>
    <mergeCell ref="B50:D50"/>
    <mergeCell ref="B51:D51"/>
    <mergeCell ref="B73:D73"/>
    <mergeCell ref="B158:D158"/>
    <mergeCell ref="B75:D75"/>
    <mergeCell ref="B82:D82"/>
    <mergeCell ref="B90:D90"/>
    <mergeCell ref="B91:D91"/>
    <mergeCell ref="B100:D100"/>
    <mergeCell ref="B116:D116"/>
    <mergeCell ref="B117:D117"/>
    <mergeCell ref="B139:D139"/>
    <mergeCell ref="B140:D140"/>
    <mergeCell ref="B147:D147"/>
    <mergeCell ref="B154:D154"/>
    <mergeCell ref="B209:D209"/>
    <mergeCell ref="B159:D159"/>
    <mergeCell ref="B163:D163"/>
    <mergeCell ref="B167:D167"/>
    <mergeCell ref="B171:D171"/>
    <mergeCell ref="B175:D175"/>
    <mergeCell ref="B176:D176"/>
    <mergeCell ref="B180:D180"/>
    <mergeCell ref="B188:D188"/>
    <mergeCell ref="B196:D196"/>
    <mergeCell ref="B204:D204"/>
    <mergeCell ref="B205:D205"/>
    <mergeCell ref="C241:D241"/>
    <mergeCell ref="B216:D216"/>
    <mergeCell ref="B217:D217"/>
    <mergeCell ref="B221:D221"/>
    <mergeCell ref="B226:D226"/>
    <mergeCell ref="B227:D227"/>
    <mergeCell ref="B228:D228"/>
    <mergeCell ref="B229:D229"/>
    <mergeCell ref="B230:D230"/>
    <mergeCell ref="B231:D231"/>
    <mergeCell ref="C233:D233"/>
    <mergeCell ref="C234:D234"/>
    <mergeCell ref="B276:D276"/>
    <mergeCell ref="C242:D242"/>
    <mergeCell ref="C244:D244"/>
    <mergeCell ref="C249:D249"/>
    <mergeCell ref="C251:D251"/>
    <mergeCell ref="C264:D264"/>
    <mergeCell ref="B270:D270"/>
    <mergeCell ref="B271:D271"/>
    <mergeCell ref="B272:D272"/>
    <mergeCell ref="B273:D273"/>
    <mergeCell ref="B274:D274"/>
    <mergeCell ref="B275:D275"/>
    <mergeCell ref="B327:D327"/>
    <mergeCell ref="B277:D277"/>
    <mergeCell ref="B285:D285"/>
    <mergeCell ref="B289:D289"/>
    <mergeCell ref="B290:D290"/>
    <mergeCell ref="B291:D291"/>
    <mergeCell ref="B300:D300"/>
    <mergeCell ref="B307:D307"/>
    <mergeCell ref="B312:D312"/>
    <mergeCell ref="B313:D313"/>
    <mergeCell ref="B317:D317"/>
    <mergeCell ref="B323:D323"/>
    <mergeCell ref="B383:D383"/>
    <mergeCell ref="B328:D328"/>
    <mergeCell ref="B347:D347"/>
    <mergeCell ref="B348:D348"/>
    <mergeCell ref="B353:D353"/>
    <mergeCell ref="B354:D354"/>
    <mergeCell ref="B359:D359"/>
    <mergeCell ref="B363:D363"/>
    <mergeCell ref="B368:D368"/>
    <mergeCell ref="B373:D373"/>
    <mergeCell ref="B378:D378"/>
    <mergeCell ref="B379:D379"/>
    <mergeCell ref="B384:D384"/>
    <mergeCell ref="B385:D385"/>
    <mergeCell ref="B386:D386"/>
    <mergeCell ref="B387:D387"/>
    <mergeCell ref="B388:D388"/>
  </mergeCells>
  <pageMargins left="0.7" right="0.7" top="0.75" bottom="0.75" header="0.3" footer="0.3"/>
  <pageSetup paperSize="14" scale="55"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A398"/>
  <sheetViews>
    <sheetView zoomScale="90" zoomScaleNormal="90" workbookViewId="0">
      <pane xSplit="5" ySplit="2" topLeftCell="F3" activePane="bottomRight" state="frozen"/>
      <selection activeCell="AT677" sqref="AT677"/>
      <selection pane="topRight" activeCell="AT677" sqref="AT677"/>
      <selection pane="bottomLeft" activeCell="AT677" sqref="AT677"/>
      <selection pane="bottomRight" activeCell="AT677" sqref="AT677"/>
    </sheetView>
  </sheetViews>
  <sheetFormatPr baseColWidth="10" defaultRowHeight="12" outlineLevelRow="1" x14ac:dyDescent="0.25"/>
  <cols>
    <col min="1" max="1" width="2.42578125" style="535" customWidth="1"/>
    <col min="2" max="2" width="10" style="535" customWidth="1"/>
    <col min="3" max="3" width="18" style="535" customWidth="1"/>
    <col min="4" max="4" width="46.140625" style="535" customWidth="1"/>
    <col min="5" max="5" width="18.42578125" style="535" customWidth="1"/>
    <col min="6" max="6" width="15.140625" style="535" customWidth="1"/>
    <col min="7" max="7" width="14.140625" style="535" hidden="1" customWidth="1"/>
    <col min="8" max="8" width="12.7109375" style="535" hidden="1" customWidth="1"/>
    <col min="9" max="9" width="15" style="535" hidden="1" customWidth="1"/>
    <col min="10" max="10" width="16.7109375" style="535" customWidth="1"/>
    <col min="11" max="11" width="9" style="611" customWidth="1"/>
    <col min="12" max="12" width="16.7109375" style="535" customWidth="1"/>
    <col min="13" max="13" width="12.85546875" style="535" hidden="1" customWidth="1"/>
    <col min="14" max="14" width="16.7109375" style="535" customWidth="1"/>
    <col min="15" max="15" width="16.7109375" style="697" customWidth="1"/>
    <col min="16" max="16" width="15.140625" style="547" customWidth="1"/>
    <col min="17" max="19" width="11.42578125" style="535" customWidth="1"/>
    <col min="20" max="20" width="16.7109375" style="535" customWidth="1"/>
    <col min="21" max="21" width="17.5703125" style="656" bestFit="1" customWidth="1"/>
    <col min="22" max="22" width="17.85546875" style="535" bestFit="1" customWidth="1"/>
    <col min="23" max="26" width="11.42578125" style="535"/>
    <col min="27" max="27" width="6.140625" style="535" customWidth="1"/>
    <col min="28" max="16384" width="11.42578125" style="535"/>
  </cols>
  <sheetData>
    <row r="1" spans="2:27" ht="23.25" customHeight="1" thickBot="1" x14ac:dyDescent="0.3">
      <c r="B1" s="1187" t="s">
        <v>1841</v>
      </c>
      <c r="C1" s="1188"/>
      <c r="D1" s="1188"/>
      <c r="E1" s="1188"/>
      <c r="F1" s="1188"/>
      <c r="G1" s="1188"/>
      <c r="H1" s="1188"/>
      <c r="I1" s="1188"/>
      <c r="J1" s="1188"/>
      <c r="K1" s="1188"/>
      <c r="L1" s="1188"/>
      <c r="M1" s="1188"/>
      <c r="N1" s="1188"/>
      <c r="O1" s="1188"/>
      <c r="P1" s="1188"/>
      <c r="Q1" s="1188"/>
      <c r="R1" s="1188"/>
      <c r="S1" s="1188"/>
      <c r="T1" s="1189"/>
      <c r="AA1" s="535" t="s">
        <v>1903</v>
      </c>
    </row>
    <row r="2" spans="2:27" ht="36" x14ac:dyDescent="0.25">
      <c r="B2" s="1185" t="s">
        <v>1783</v>
      </c>
      <c r="C2" s="1185"/>
      <c r="D2" s="1185"/>
      <c r="E2" s="971" t="s">
        <v>2265</v>
      </c>
      <c r="F2" s="971" t="s">
        <v>1842</v>
      </c>
      <c r="G2" s="971" t="s">
        <v>1897</v>
      </c>
      <c r="H2" s="971" t="s">
        <v>1898</v>
      </c>
      <c r="I2" s="971" t="s">
        <v>1840</v>
      </c>
      <c r="J2" s="971" t="s">
        <v>1899</v>
      </c>
      <c r="K2" s="716" t="s">
        <v>1900</v>
      </c>
      <c r="L2" s="971" t="s">
        <v>1901</v>
      </c>
      <c r="M2" s="971" t="s">
        <v>1902</v>
      </c>
      <c r="N2" s="971" t="s">
        <v>1904</v>
      </c>
      <c r="O2" s="717" t="s">
        <v>1122</v>
      </c>
      <c r="P2" s="718" t="s">
        <v>1847</v>
      </c>
      <c r="Q2" s="971" t="s">
        <v>1848</v>
      </c>
      <c r="R2" s="971" t="s">
        <v>1849</v>
      </c>
      <c r="S2" s="971" t="s">
        <v>375</v>
      </c>
      <c r="T2" s="971" t="s">
        <v>1850</v>
      </c>
    </row>
    <row r="3" spans="2:27" ht="15" customHeight="1" x14ac:dyDescent="0.25">
      <c r="B3" s="1183" t="s">
        <v>1686</v>
      </c>
      <c r="C3" s="1183"/>
      <c r="D3" s="1183"/>
      <c r="E3" s="541">
        <v>31035477000</v>
      </c>
      <c r="F3" s="541"/>
      <c r="G3" s="541"/>
      <c r="H3" s="541"/>
      <c r="I3" s="541">
        <f>+I4+I226</f>
        <v>8272977000</v>
      </c>
      <c r="J3" s="541">
        <f>+J4+J226</f>
        <v>30084445618.200001</v>
      </c>
      <c r="K3" s="646">
        <f t="shared" ref="K3:K8" si="0">+J3/E3</f>
        <v>0.96935663718653331</v>
      </c>
      <c r="L3" s="541" t="e">
        <f>+L4+L226</f>
        <v>#N/A</v>
      </c>
      <c r="M3" s="541" t="e">
        <f>+M4+M251</f>
        <v>#N/A</v>
      </c>
      <c r="N3" s="541" t="e">
        <f>+N4+N226</f>
        <v>#N/A</v>
      </c>
      <c r="O3" s="541"/>
      <c r="P3" s="651"/>
      <c r="Q3" s="571"/>
      <c r="R3" s="571"/>
      <c r="S3" s="571"/>
      <c r="T3" s="571"/>
    </row>
    <row r="4" spans="2:27" ht="15" customHeight="1" x14ac:dyDescent="0.25">
      <c r="B4" s="1183" t="s">
        <v>1684</v>
      </c>
      <c r="C4" s="1183"/>
      <c r="D4" s="1183"/>
      <c r="E4" s="541">
        <v>22793000000</v>
      </c>
      <c r="F4" s="542"/>
      <c r="G4" s="541">
        <f>+G5+G58</f>
        <v>858500000</v>
      </c>
      <c r="H4" s="541">
        <f>+H5+H58</f>
        <v>128000000</v>
      </c>
      <c r="I4" s="541">
        <f>+I5+I58</f>
        <v>730500000</v>
      </c>
      <c r="J4" s="541">
        <f>+J5+J49</f>
        <v>18432150043</v>
      </c>
      <c r="K4" s="646">
        <f t="shared" si="0"/>
        <v>0.80867591115693416</v>
      </c>
      <c r="L4" s="541" t="e">
        <f>+L5+L49</f>
        <v>#N/A</v>
      </c>
      <c r="M4" s="541" t="e">
        <f>+M5+M49</f>
        <v>#N/A</v>
      </c>
      <c r="N4" s="541" t="e">
        <f>+N5+N49</f>
        <v>#N/A</v>
      </c>
      <c r="O4" s="674"/>
      <c r="P4" s="572"/>
      <c r="Q4" s="571"/>
      <c r="R4" s="571"/>
      <c r="S4" s="571"/>
      <c r="T4" s="571"/>
    </row>
    <row r="5" spans="2:27" ht="15" customHeight="1" x14ac:dyDescent="0.25">
      <c r="B5" s="1182" t="s">
        <v>1683</v>
      </c>
      <c r="C5" s="1182"/>
      <c r="D5" s="1182"/>
      <c r="E5" s="539">
        <v>13641779000</v>
      </c>
      <c r="F5" s="540"/>
      <c r="G5" s="539">
        <f t="shared" ref="G5:N6" si="1">+G6</f>
        <v>858500000</v>
      </c>
      <c r="H5" s="539">
        <f t="shared" si="1"/>
        <v>128000000</v>
      </c>
      <c r="I5" s="539">
        <f t="shared" si="1"/>
        <v>730500000</v>
      </c>
      <c r="J5" s="539">
        <f t="shared" si="1"/>
        <v>11150082539</v>
      </c>
      <c r="K5" s="602">
        <f t="shared" si="0"/>
        <v>0.8173481287887745</v>
      </c>
      <c r="L5" s="539" t="e">
        <f t="shared" si="1"/>
        <v>#N/A</v>
      </c>
      <c r="M5" s="539">
        <f t="shared" si="1"/>
        <v>-94560993</v>
      </c>
      <c r="N5" s="539" t="e">
        <f t="shared" si="1"/>
        <v>#N/A</v>
      </c>
      <c r="O5" s="675"/>
      <c r="P5" s="570"/>
      <c r="Q5" s="569"/>
      <c r="R5" s="569"/>
      <c r="S5" s="569"/>
      <c r="T5" s="569"/>
    </row>
    <row r="6" spans="2:27" ht="15" customHeight="1" x14ac:dyDescent="0.25">
      <c r="B6" s="1182" t="s">
        <v>1682</v>
      </c>
      <c r="C6" s="1182"/>
      <c r="D6" s="1182"/>
      <c r="E6" s="539">
        <v>13641779000</v>
      </c>
      <c r="F6" s="540"/>
      <c r="G6" s="539">
        <f t="shared" si="1"/>
        <v>858500000</v>
      </c>
      <c r="H6" s="539">
        <f t="shared" si="1"/>
        <v>128000000</v>
      </c>
      <c r="I6" s="539">
        <f t="shared" si="1"/>
        <v>730500000</v>
      </c>
      <c r="J6" s="539">
        <f t="shared" si="1"/>
        <v>11150082539</v>
      </c>
      <c r="K6" s="602">
        <f t="shared" si="0"/>
        <v>0.8173481287887745</v>
      </c>
      <c r="L6" s="539" t="e">
        <f t="shared" si="1"/>
        <v>#N/A</v>
      </c>
      <c r="M6" s="539">
        <f t="shared" si="1"/>
        <v>-94560993</v>
      </c>
      <c r="N6" s="539" t="e">
        <f t="shared" si="1"/>
        <v>#N/A</v>
      </c>
      <c r="O6" s="675"/>
      <c r="P6" s="570"/>
      <c r="Q6" s="569"/>
      <c r="R6" s="569"/>
      <c r="S6" s="569"/>
      <c r="T6" s="569"/>
    </row>
    <row r="7" spans="2:27" ht="15" customHeight="1" x14ac:dyDescent="0.25">
      <c r="B7" s="1182" t="s">
        <v>1681</v>
      </c>
      <c r="C7" s="1182"/>
      <c r="D7" s="1182"/>
      <c r="E7" s="539">
        <v>13548179000</v>
      </c>
      <c r="F7" s="631"/>
      <c r="G7" s="539">
        <f>+G8+G49+G52</f>
        <v>858500000</v>
      </c>
      <c r="H7" s="539">
        <f>+H8+H49+H52</f>
        <v>128000000</v>
      </c>
      <c r="I7" s="539">
        <f>+I8+I49+I52</f>
        <v>730500000</v>
      </c>
      <c r="J7" s="539">
        <f>+J8+J34+J37</f>
        <v>11150082539</v>
      </c>
      <c r="K7" s="602">
        <f t="shared" si="0"/>
        <v>0.82299492345059799</v>
      </c>
      <c r="L7" s="539" t="e">
        <f>+L8+L34+L37</f>
        <v>#N/A</v>
      </c>
      <c r="M7" s="539">
        <f>+M8+M34+M37</f>
        <v>-94560993</v>
      </c>
      <c r="N7" s="539" t="e">
        <f>+N8+N34+N37</f>
        <v>#N/A</v>
      </c>
      <c r="O7" s="675"/>
      <c r="P7" s="570"/>
      <c r="Q7" s="569"/>
      <c r="R7" s="569"/>
      <c r="S7" s="569"/>
      <c r="T7" s="569"/>
    </row>
    <row r="8" spans="2:27" ht="15" customHeight="1" x14ac:dyDescent="0.25">
      <c r="B8" s="1181" t="s">
        <v>1643</v>
      </c>
      <c r="C8" s="1181"/>
      <c r="D8" s="1181"/>
      <c r="E8" s="581">
        <v>843179000</v>
      </c>
      <c r="F8" s="586">
        <v>19</v>
      </c>
      <c r="G8" s="581">
        <v>858500000</v>
      </c>
      <c r="H8" s="582">
        <v>128000000</v>
      </c>
      <c r="I8" s="581">
        <f>+G8-H8</f>
        <v>730500000</v>
      </c>
      <c r="J8" s="584">
        <f>SUM(J10:J31)</f>
        <v>639739993</v>
      </c>
      <c r="K8" s="603">
        <f t="shared" si="0"/>
        <v>0.75872382139498251</v>
      </c>
      <c r="L8" s="584">
        <f>SUM(L10:L31)</f>
        <v>298000000</v>
      </c>
      <c r="M8" s="585">
        <f>+E8-(J8+L8)</f>
        <v>-94560993</v>
      </c>
      <c r="N8" s="632">
        <f>+E8-J8-L8</f>
        <v>-94560993</v>
      </c>
      <c r="O8" s="676"/>
      <c r="P8" s="584"/>
      <c r="Q8" s="592"/>
      <c r="R8" s="592"/>
      <c r="S8" s="592"/>
      <c r="T8" s="592"/>
    </row>
    <row r="9" spans="2:27" ht="24" outlineLevel="1" x14ac:dyDescent="0.25">
      <c r="B9" s="537" t="s">
        <v>3811</v>
      </c>
      <c r="C9" s="537" t="s">
        <v>912</v>
      </c>
      <c r="D9" s="537" t="s">
        <v>1822</v>
      </c>
      <c r="E9" s="545" t="s">
        <v>1846</v>
      </c>
      <c r="F9" s="534" t="s">
        <v>1853</v>
      </c>
      <c r="G9" s="534"/>
      <c r="H9" s="534"/>
      <c r="I9" s="534"/>
      <c r="J9" s="537" t="s">
        <v>1845</v>
      </c>
      <c r="K9" s="652"/>
      <c r="L9" s="537" t="s">
        <v>1939</v>
      </c>
      <c r="M9" s="537"/>
      <c r="N9" s="537" t="s">
        <v>1940</v>
      </c>
      <c r="O9" s="677"/>
      <c r="P9" s="568" t="s">
        <v>1847</v>
      </c>
      <c r="Q9" s="537" t="s">
        <v>1848</v>
      </c>
      <c r="R9" s="537" t="s">
        <v>1849</v>
      </c>
      <c r="S9" s="537" t="s">
        <v>375</v>
      </c>
      <c r="T9" s="537" t="s">
        <v>1850</v>
      </c>
    </row>
    <row r="10" spans="2:27" ht="14.25" customHeight="1" outlineLevel="1" x14ac:dyDescent="0.25">
      <c r="B10" s="537">
        <v>69</v>
      </c>
      <c r="C10" s="533" t="str">
        <f>IF(ISERROR(VLOOKUP(B10,'Base de Datos'!$C$87:$F$4092,2,0))=TRUE,"",(VLOOKUP('Presupuesto - PAA 2018'!B10,'Base de Datos'!$C$7:$F$4092,3,0)))</f>
        <v>170115-0-2017</v>
      </c>
      <c r="D10" s="533" t="str">
        <f>IF(ISERROR(VLOOKUP(B10,'Base de Datos'!$C$487:$F$4092,3,0))=TRUE,"",(VLOOKUP('Presupuesto - PAA 2018'!B10,'Base de Datos'!$C$487:$F$4092,4,0)))</f>
        <v>WIESNER FABIÁN ROBAYO SALCEDO</v>
      </c>
      <c r="E10" s="536">
        <f>VLOOKUP(B10,[7]PAA2017!$C$65:$AA$255,20,0)</f>
        <v>39000000</v>
      </c>
      <c r="F10" s="534" t="str">
        <f>VLOOKUP(B10,[8]SOLICITUDES!$B$3:$H$278,2,0)</f>
        <v>SI</v>
      </c>
      <c r="G10" s="534"/>
      <c r="H10" s="534"/>
      <c r="I10" s="534"/>
      <c r="J10" s="536">
        <f>IF(ISERROR(VLOOKUP(B10,'Base de Datos'!$C$487:$N$4092,6,0))=TRUE,"Sin Celebrar",(VLOOKUP(B10,'Base de Datos'!$C$487:$N$4092,7,0)))</f>
        <v>38999997</v>
      </c>
      <c r="K10" s="600"/>
      <c r="L10" s="580" t="str">
        <f t="shared" ref="L10:L30" si="2">IF(J10=$AA$1,E10, " ")</f>
        <v xml:space="preserve"> </v>
      </c>
      <c r="M10" s="536"/>
      <c r="N10" s="536">
        <f t="shared" ref="N10:N30" si="3">IF(J10&lt;E10,(E10-J10)," ")</f>
        <v>3</v>
      </c>
      <c r="O10" s="719" t="str">
        <f>IF(ISERROR(VLOOKUP(B10,'Base de Datos'!$C$487:$K$1048576,7,0))=TRUE," ",(VLOOKUP(B10,'Base de Datos'!$C$487:$K$1048576,8,0)))</f>
        <v>170115-0-2017</v>
      </c>
      <c r="P10" s="551">
        <f>IF(ISERROR(VLOOKUP(B10,'Base de Datos'!$C$7:$N$4077,9,0))=TRUE," ",(VLOOKUP(B10,'Base de Datos'!$C$7:$N$4077,10,0)))</f>
        <v>42851</v>
      </c>
      <c r="Q10" s="737"/>
      <c r="R10" s="551">
        <f>IF(ISERROR(VLOOKUP(B10,'Base de Datos'!$C$7:$N$4077,10,0))=TRUE," ",(VLOOKUP(B10,'Base de Datos'!$C$7:$N$4077,11,0)))</f>
        <v>42858</v>
      </c>
      <c r="S10" s="551">
        <f>IF(ISERROR(VLOOKUP(B10,'Base de Datos'!$C$7:$N$4077,11,0))=TRUE," ",(VLOOKUP(B10,'Base de Datos'!$C$7:$N$4077,12,0)))</f>
        <v>43134</v>
      </c>
      <c r="T10" s="533" t="str">
        <f ca="1">VLOOKUP(B10,'Base de Datos'!$C$487:$AR$4129,41,0)</f>
        <v>SI</v>
      </c>
      <c r="U10" s="722"/>
      <c r="V10" s="634"/>
    </row>
    <row r="11" spans="2:27" ht="14.25" customHeight="1" outlineLevel="1" x14ac:dyDescent="0.25">
      <c r="B11" s="537">
        <v>70</v>
      </c>
      <c r="C11" s="533" t="str">
        <f>IF(ISERROR(VLOOKUP(B11,'Base de Datos'!$C$487:$F$4092,2,0))=TRUE,"",(VLOOKUP('Presupuesto - PAA 2018'!B11,'Base de Datos'!$C$7:$F$4092,3,0)))</f>
        <v>150321-0-2015</v>
      </c>
      <c r="D11" s="533" t="str">
        <f>IF(ISERROR(VLOOKUP(B11,'Base de Datos'!$C$487:$F$4092,3,0))=TRUE,"",(VLOOKUP('Presupuesto - PAA 2018'!B11,'Base de Datos'!$C$487:$F$4092,4,0)))</f>
        <v>KHAANKO NORBERTO RUIZ RODRÍGUEZ</v>
      </c>
      <c r="E11" s="536">
        <f>VLOOKUP(B11,[7]PAA2017!$C$65:$AA$255,20,0)</f>
        <v>31000000</v>
      </c>
      <c r="F11" s="534" t="str">
        <f>VLOOKUP(B11,[8]SOLICITUDES!$B$3:$H$278,2,0)</f>
        <v>SI</v>
      </c>
      <c r="G11" s="534"/>
      <c r="H11" s="534"/>
      <c r="I11" s="534"/>
      <c r="J11" s="536">
        <f>IF(ISERROR(VLOOKUP(B11,'Base de Datos'!$C$487:$N$4092,6,0))=TRUE,"Sin Celebrar",(VLOOKUP(B11,'Base de Datos'!$C$487:$N$4092,7,0)))</f>
        <v>38999996</v>
      </c>
      <c r="K11" s="600"/>
      <c r="L11" s="580" t="str">
        <f t="shared" si="2"/>
        <v xml:space="preserve"> </v>
      </c>
      <c r="M11" s="536"/>
      <c r="N11" s="536" t="str">
        <f t="shared" si="3"/>
        <v xml:space="preserve"> </v>
      </c>
      <c r="O11" s="719" t="str">
        <f>IF(ISERROR(VLOOKUP(B11,'Base de Datos'!$C$487:$K$1048576,7,0))=TRUE," ",(VLOOKUP(B11,'Base de Datos'!$C$487:$K$1048576,8,0)))</f>
        <v>170114-0-2017</v>
      </c>
      <c r="P11" s="551">
        <f>IF(ISERROR(VLOOKUP(B11,'Base de Datos'!$C$487:$N$4077,9,0))=TRUE," ",(VLOOKUP(B11,'Base de Datos'!$C$487:$N$4077,10,0)))</f>
        <v>42850</v>
      </c>
      <c r="Q11" s="737"/>
      <c r="R11" s="551">
        <f>IF(ISERROR(VLOOKUP(B11,'Base de Datos'!$C$487:$N$4077,10,0))=TRUE," ",(VLOOKUP(B11,'Base de Datos'!$C$487:$N$4077,11,0)))</f>
        <v>42858</v>
      </c>
      <c r="S11" s="551">
        <f>IF(ISERROR(VLOOKUP(B11,'Base de Datos'!$C$487:$N$4077,11,0))=TRUE," ",(VLOOKUP(B11,'Base de Datos'!$C$487:$N$4077,12,0)))</f>
        <v>43134</v>
      </c>
      <c r="T11" s="533" t="str">
        <f ca="1">VLOOKUP(B11,'Base de Datos'!$C$487:$AR$4129,41,0)</f>
        <v>SI</v>
      </c>
      <c r="U11" s="722"/>
      <c r="V11" s="634"/>
    </row>
    <row r="12" spans="2:27" ht="14.25" customHeight="1" outlineLevel="1" x14ac:dyDescent="0.25">
      <c r="B12" s="537">
        <v>141</v>
      </c>
      <c r="C12" s="533" t="str">
        <f>IF(ISERROR(VLOOKUP(B12,'Base de Datos'!$C$487:$F$4092,2,0))=TRUE,"",(VLOOKUP('Presupuesto - PAA 2018'!B12,'Base de Datos'!$C$7:$F$4092,3,0)))</f>
        <v>150123-0-2015</v>
      </c>
      <c r="D12" s="533" t="str">
        <f>IF(ISERROR(VLOOKUP(B12,'Base de Datos'!$C$487:$F$4092,3,0))=TRUE,"",(VLOOKUP('Presupuesto - PAA 2018'!B12,'Base de Datos'!$C$487:$F$4092,4,0)))</f>
        <v>ANGELICA MARIA RUBIO POLANCO</v>
      </c>
      <c r="E12" s="536">
        <f>VLOOKUP(B12,[7]PAA2017!$C$65:$AA$255,20,0)</f>
        <v>57000000</v>
      </c>
      <c r="F12" s="534" t="str">
        <f>VLOOKUP(B12,[8]SOLICITUDES!$B$3:$H$278,2,0)</f>
        <v>SI</v>
      </c>
      <c r="G12" s="534"/>
      <c r="H12" s="534"/>
      <c r="I12" s="534"/>
      <c r="J12" s="536">
        <f>IF(ISERROR(VLOOKUP(B12,'Base de Datos'!$C$487:$N$4092,6,0))=TRUE,"Sin Celebrar",(VLOOKUP(B12,'Base de Datos'!$C$487:$N$4092,7,0)))</f>
        <v>5700000</v>
      </c>
      <c r="K12" s="600"/>
      <c r="L12" s="580" t="str">
        <f t="shared" si="2"/>
        <v xml:space="preserve"> </v>
      </c>
      <c r="M12" s="536"/>
      <c r="N12" s="536">
        <f t="shared" si="3"/>
        <v>51300000</v>
      </c>
      <c r="O12" s="719" t="str">
        <f>IF(ISERROR(VLOOKUP(B12,'Base de Datos'!$C$487:$K$1048576,7,0))=TRUE," ",(VLOOKUP(B12,'Base de Datos'!$C$487:$K$1048576,8,0)))</f>
        <v>170021-0-2017</v>
      </c>
      <c r="P12" s="551">
        <f>IF(ISERROR(VLOOKUP(B12,'Base de Datos'!$C$487:$N$4077,9,0))=TRUE," ",(VLOOKUP(B12,'Base de Datos'!$C$487:$N$4077,10,0)))</f>
        <v>42776</v>
      </c>
      <c r="Q12" s="737"/>
      <c r="R12" s="551">
        <f>IF(ISERROR(VLOOKUP(B12,'Base de Datos'!$C$487:$N$4077,10,0))=TRUE," ",(VLOOKUP(B12,'Base de Datos'!$C$487:$N$4077,11,0)))</f>
        <v>42781</v>
      </c>
      <c r="S12" s="551">
        <f>IF(ISERROR(VLOOKUP(B12,'Base de Datos'!$C$487:$N$4077,11,0))=TRUE," ",(VLOOKUP(B12,'Base de Datos'!$C$487:$N$4077,12,0)))</f>
        <v>42809</v>
      </c>
      <c r="T12" s="533" t="str">
        <f>VLOOKUP(B12,'Base de Datos'!$C$487:$AR$4129,41,0)</f>
        <v>SI</v>
      </c>
      <c r="U12" s="722"/>
      <c r="V12" s="634"/>
    </row>
    <row r="13" spans="2:27" ht="14.25" customHeight="1" outlineLevel="1" x14ac:dyDescent="0.25">
      <c r="B13" s="537">
        <v>142</v>
      </c>
      <c r="C13" s="533" t="str">
        <f>IF(ISERROR(VLOOKUP(B13,'Base de Datos'!$C$487:$F$4092,2,0))=TRUE,"",(VLOOKUP('Presupuesto - PAA 2018'!B13,'Base de Datos'!$C$7:$F$4092,3,0)))</f>
        <v>150228-0-2015</v>
      </c>
      <c r="D13" s="533" t="str">
        <f>IF(ISERROR(VLOOKUP(B13,'Base de Datos'!$C$487:$F$4092,3,0))=TRUE,"",(VLOOKUP('Presupuesto - PAA 2018'!B13,'Base de Datos'!$C$487:$F$4092,4,0)))</f>
        <v>FABIO ALEJANDRO GOMEZ CASTAÑO</v>
      </c>
      <c r="E13" s="536">
        <f>VLOOKUP(B13,[7]PAA2017!$C$65:$AA$255,20,0)</f>
        <v>45000000</v>
      </c>
      <c r="F13" s="534" t="str">
        <f>VLOOKUP(B13,[8]SOLICITUDES!$B$3:$H$278,2,0)</f>
        <v>SI</v>
      </c>
      <c r="G13" s="534"/>
      <c r="H13" s="534"/>
      <c r="I13" s="534"/>
      <c r="J13" s="536">
        <f>IF(ISERROR(VLOOKUP(B13,'Base de Datos'!$C$487:$N$4092,6,0))=TRUE,"Sin Celebrar",(VLOOKUP(B13,'Base de Datos'!$C$487:$N$4092,7,0)))</f>
        <v>51300000</v>
      </c>
      <c r="K13" s="600"/>
      <c r="L13" s="580" t="str">
        <f t="shared" si="2"/>
        <v xml:space="preserve"> </v>
      </c>
      <c r="M13" s="536"/>
      <c r="N13" s="536" t="str">
        <f t="shared" si="3"/>
        <v xml:space="preserve"> </v>
      </c>
      <c r="O13" s="719" t="str">
        <f>IF(ISERROR(VLOOKUP(B13,'Base de Datos'!$C$487:$K$1048576,7,0))=TRUE," ",(VLOOKUP(B13,'Base de Datos'!$C$487:$K$1048576,8,0)))</f>
        <v>170117-0-2017</v>
      </c>
      <c r="P13" s="551">
        <f>IF(ISERROR(VLOOKUP(B13,'Base de Datos'!$C$487:$N$4077,9,0))=TRUE," ",(VLOOKUP(B13,'Base de Datos'!$C$487:$N$4077,10,0)))</f>
        <v>42852</v>
      </c>
      <c r="Q13" s="737"/>
      <c r="R13" s="551">
        <f>IF(ISERROR(VLOOKUP(B13,'Base de Datos'!$C$487:$N$4077,10,0))=TRUE," ",(VLOOKUP(B13,'Base de Datos'!$C$487:$N$4077,11,0)))</f>
        <v>42863</v>
      </c>
      <c r="S13" s="551">
        <f>IF(ISERROR(VLOOKUP(B13,'Base de Datos'!$C$487:$N$4077,11,0))=TRUE," ",(VLOOKUP(B13,'Base de Datos'!$C$487:$N$4077,12,0)))</f>
        <v>43139</v>
      </c>
      <c r="T13" s="533" t="str">
        <f ca="1">VLOOKUP(B13,'Base de Datos'!$C$487:$AR$4129,41,0)</f>
        <v>SI</v>
      </c>
      <c r="U13" s="722"/>
      <c r="V13" s="634"/>
    </row>
    <row r="14" spans="2:27" ht="14.25" customHeight="1" outlineLevel="1" x14ac:dyDescent="0.25">
      <c r="B14" s="537">
        <v>143</v>
      </c>
      <c r="C14" s="533" t="str">
        <f>IF(ISERROR(VLOOKUP(B14,'Base de Datos'!$C$487:$F$4092,2,0))=TRUE,"",(VLOOKUP('Presupuesto - PAA 2018'!B14,'Base de Datos'!$C$7:$F$4092,3,0)))</f>
        <v/>
      </c>
      <c r="D14" s="533" t="str">
        <f>IF(ISERROR(VLOOKUP(B14,'Base de Datos'!$C$487:$F$4092,3,0))=TRUE,"",(VLOOKUP('Presupuesto - PAA 2018'!B14,'Base de Datos'!$C$487:$F$4092,4,0)))</f>
        <v/>
      </c>
      <c r="E14" s="536">
        <f>VLOOKUP(B14,[7]PAA2017!$C$65:$AA$255,20,0)</f>
        <v>30000000</v>
      </c>
      <c r="F14" s="534" t="e">
        <f>VLOOKUP(B14,[8]SOLICITUDES!$B$3:$H$278,2,0)</f>
        <v>#N/A</v>
      </c>
      <c r="G14" s="534"/>
      <c r="H14" s="534"/>
      <c r="I14" s="534"/>
      <c r="J14" s="536" t="str">
        <f>IF(ISERROR(VLOOKUP(B14,'Base de Datos'!$C$487:$N$4092,6,0))=TRUE,"Sin Celebrar",(VLOOKUP(B14,'Base de Datos'!$C$487:$N$4092,7,0)))</f>
        <v>Sin Celebrar</v>
      </c>
      <c r="K14" s="600"/>
      <c r="L14" s="580">
        <f t="shared" si="2"/>
        <v>30000000</v>
      </c>
      <c r="M14" s="536"/>
      <c r="N14" s="536" t="str">
        <f t="shared" si="3"/>
        <v xml:space="preserve"> </v>
      </c>
      <c r="O14" s="719" t="str">
        <f>IF(ISERROR(VLOOKUP(B14,'Base de Datos'!$C$487:$K$1048576,7,0))=TRUE," ",(VLOOKUP(B14,'Base de Datos'!$C$487:$K$1048576,8,0)))</f>
        <v xml:space="preserve"> </v>
      </c>
      <c r="P14" s="551" t="str">
        <f>IF(ISERROR(VLOOKUP(B14,'Base de Datos'!$C$487:$N$4077,9,0))=TRUE," ",(VLOOKUP(B14,'Base de Datos'!$C$487:$N$4077,10,0)))</f>
        <v xml:space="preserve"> </v>
      </c>
      <c r="Q14" s="737"/>
      <c r="R14" s="551" t="str">
        <f>IF(ISERROR(VLOOKUP(B14,'Base de Datos'!$C$487:$N$4077,10,0))=TRUE," ",(VLOOKUP(B14,'Base de Datos'!$C$487:$N$4077,11,0)))</f>
        <v xml:space="preserve"> </v>
      </c>
      <c r="S14" s="551" t="str">
        <f>IF(ISERROR(VLOOKUP(B14,'Base de Datos'!$C$487:$N$4077,11,0))=TRUE," ",(VLOOKUP(B14,'Base de Datos'!$C$487:$N$4077,12,0)))</f>
        <v xml:space="preserve"> </v>
      </c>
      <c r="T14" s="533" t="e">
        <f>VLOOKUP(B14,'Base de Datos'!$C$487:$AR$4129,41,0)</f>
        <v>#N/A</v>
      </c>
      <c r="U14" s="722"/>
      <c r="V14" s="634"/>
    </row>
    <row r="15" spans="2:27" ht="14.25" customHeight="1" outlineLevel="1" x14ac:dyDescent="0.25">
      <c r="B15" s="537">
        <v>144</v>
      </c>
      <c r="C15" s="533" t="str">
        <f>IF(ISERROR(VLOOKUP(B15,'Base de Datos'!$C$487:$F$4092,2,0))=TRUE,"",(VLOOKUP('Presupuesto - PAA 2018'!B15,'Base de Datos'!$C$7:$F$4092,3,0)))</f>
        <v>150330-0-2015</v>
      </c>
      <c r="D15" s="533" t="str">
        <f>IF(ISERROR(VLOOKUP(B15,'Base de Datos'!$C$487:$F$4092,3,0))=TRUE,"",(VLOOKUP('Presupuesto - PAA 2018'!B15,'Base de Datos'!$C$487:$F$4092,4,0)))</f>
        <v>ANABIA JULLIETH ANGARITA GALINDO</v>
      </c>
      <c r="E15" s="536">
        <f>VLOOKUP(B15,[7]PAA2017!$C$65:$AA$255,20,0)</f>
        <v>25000000</v>
      </c>
      <c r="F15" s="534" t="str">
        <f>VLOOKUP(B15,[8]SOLICITUDES!$B$3:$H$278,2,0)</f>
        <v>SI</v>
      </c>
      <c r="G15" s="534"/>
      <c r="H15" s="534"/>
      <c r="I15" s="534"/>
      <c r="J15" s="536">
        <f>IF(ISERROR(VLOOKUP(B15,'Base de Datos'!$C$487:$N$4092,6,0))=TRUE,"Sin Celebrar",(VLOOKUP(B15,'Base de Datos'!$C$487:$N$4092,7,0)))</f>
        <v>22500000</v>
      </c>
      <c r="K15" s="600"/>
      <c r="L15" s="580" t="str">
        <f t="shared" si="2"/>
        <v xml:space="preserve"> </v>
      </c>
      <c r="M15" s="536"/>
      <c r="N15" s="536">
        <f t="shared" si="3"/>
        <v>2500000</v>
      </c>
      <c r="O15" s="719" t="str">
        <f>IF(ISERROR(VLOOKUP(B15,'Base de Datos'!$C$487:$K$1048576,7,0))=TRUE," ",(VLOOKUP(B15,'Base de Datos'!$C$487:$K$1048576,8,0)))</f>
        <v>170119-0-2017</v>
      </c>
      <c r="P15" s="551">
        <f>IF(ISERROR(VLOOKUP(B15,'Base de Datos'!$C$487:$N$4077,9,0))=TRUE," ",(VLOOKUP(B15,'Base de Datos'!$C$487:$N$4077,10,0)))</f>
        <v>42853</v>
      </c>
      <c r="Q15" s="737"/>
      <c r="R15" s="551">
        <f>IF(ISERROR(VLOOKUP(B15,'Base de Datos'!$C$487:$N$4077,10,0))=TRUE," ",(VLOOKUP(B15,'Base de Datos'!$C$487:$N$4077,11,0)))</f>
        <v>42863</v>
      </c>
      <c r="S15" s="551">
        <f>IF(ISERROR(VLOOKUP(B15,'Base de Datos'!$C$487:$N$4077,11,0))=TRUE," ",(VLOOKUP(B15,'Base de Datos'!$C$487:$N$4077,12,0)))</f>
        <v>43139</v>
      </c>
      <c r="T15" s="533" t="str">
        <f>VLOOKUP(B15,'Base de Datos'!$C$487:$AR$4129,41,0)</f>
        <v>SI</v>
      </c>
      <c r="U15" s="722"/>
      <c r="V15" s="634"/>
    </row>
    <row r="16" spans="2:27" ht="14.25" customHeight="1" outlineLevel="1" x14ac:dyDescent="0.25">
      <c r="B16" s="537">
        <v>145</v>
      </c>
      <c r="C16" s="533" t="str">
        <f>IF(ISERROR(VLOOKUP(B16,'Base de Datos'!$C$487:$F$4092,2,0))=TRUE,"",(VLOOKUP('Presupuesto - PAA 2018'!B16,'Base de Datos'!$C$7:$F$4092,3,0)))</f>
        <v/>
      </c>
      <c r="D16" s="533" t="str">
        <f>IF(ISERROR(VLOOKUP(B16,'Base de Datos'!$C$487:$F$4092,3,0))=TRUE,"",(VLOOKUP('Presupuesto - PAA 2018'!B16,'Base de Datos'!$C$487:$F$4092,4,0)))</f>
        <v/>
      </c>
      <c r="E16" s="536">
        <f>VLOOKUP(B16,[7]PAA2017!$C$65:$AA$255,20,0)</f>
        <v>57000000</v>
      </c>
      <c r="F16" s="534" t="e">
        <f>VLOOKUP(B16,[8]SOLICITUDES!$B$3:$H$278,2,0)</f>
        <v>#N/A</v>
      </c>
      <c r="G16" s="534"/>
      <c r="H16" s="534"/>
      <c r="I16" s="534"/>
      <c r="J16" s="536" t="str">
        <f>IF(ISERROR(VLOOKUP(B16,'Base de Datos'!$C$487:$N$4092,6,0))=TRUE,"Sin Celebrar",(VLOOKUP(B16,'Base de Datos'!$C$487:$N$4092,7,0)))</f>
        <v>Sin Celebrar</v>
      </c>
      <c r="K16" s="600"/>
      <c r="L16" s="580">
        <f t="shared" si="2"/>
        <v>57000000</v>
      </c>
      <c r="M16" s="536"/>
      <c r="N16" s="536" t="str">
        <f t="shared" si="3"/>
        <v xml:space="preserve"> </v>
      </c>
      <c r="O16" s="719" t="str">
        <f>IF(ISERROR(VLOOKUP(B16,'Base de Datos'!$C$487:$K$1048576,7,0))=TRUE," ",(VLOOKUP(B16,'Base de Datos'!$C$487:$K$1048576,8,0)))</f>
        <v xml:space="preserve"> </v>
      </c>
      <c r="P16" s="551" t="str">
        <f>IF(ISERROR(VLOOKUP(B16,'Base de Datos'!$C$487:$N$4077,9,0))=TRUE," ",(VLOOKUP(B16,'Base de Datos'!$C$487:$N$4077,10,0)))</f>
        <v xml:space="preserve"> </v>
      </c>
      <c r="Q16" s="737"/>
      <c r="R16" s="551" t="str">
        <f>IF(ISERROR(VLOOKUP(B16,'Base de Datos'!$C$487:$N$4077,10,0))=TRUE," ",(VLOOKUP(B16,'Base de Datos'!$C$487:$N$4077,11,0)))</f>
        <v xml:space="preserve"> </v>
      </c>
      <c r="S16" s="551" t="str">
        <f>IF(ISERROR(VLOOKUP(B16,'Base de Datos'!$C$487:$N$4077,11,0))=TRUE," ",(VLOOKUP(B16,'Base de Datos'!$C$487:$N$4077,12,0)))</f>
        <v xml:space="preserve"> </v>
      </c>
      <c r="T16" s="533" t="e">
        <f>VLOOKUP(B16,'Base de Datos'!$C$487:$AR$4129,41,0)</f>
        <v>#N/A</v>
      </c>
      <c r="U16" s="722"/>
      <c r="V16" s="634"/>
    </row>
    <row r="17" spans="2:22" ht="14.25" customHeight="1" outlineLevel="1" x14ac:dyDescent="0.25">
      <c r="B17" s="537">
        <v>146</v>
      </c>
      <c r="C17" s="533" t="str">
        <f>IF(ISERROR(VLOOKUP(B17,'Base de Datos'!$C$487:$F$4092,2,0))=TRUE,"",(VLOOKUP('Presupuesto - PAA 2018'!B17,'Base de Datos'!$C$7:$F$4092,3,0)))</f>
        <v>150342-0-2015</v>
      </c>
      <c r="D17" s="533" t="str">
        <f>IF(ISERROR(VLOOKUP(B17,'Base de Datos'!$C$487:$F$4092,3,0))=TRUE,"",(VLOOKUP('Presupuesto - PAA 2018'!B17,'Base de Datos'!$C$487:$F$4092,4,0)))</f>
        <v>JESUS RAFAEL AGUAS CUELLO</v>
      </c>
      <c r="E17" s="536">
        <f>VLOOKUP(B17,[7]PAA2017!$C$65:$AA$255,20,0)</f>
        <v>57000000</v>
      </c>
      <c r="F17" s="534" t="e">
        <f>VLOOKUP(B17,[8]SOLICITUDES!$B$3:$H$278,2,0)</f>
        <v>#N/A</v>
      </c>
      <c r="G17" s="534"/>
      <c r="H17" s="534"/>
      <c r="I17" s="534"/>
      <c r="J17" s="536">
        <f>IF(ISERROR(VLOOKUP(B17,'Base de Datos'!$C$487:$N$4092,6,0))=TRUE,"Sin Celebrar",(VLOOKUP(B17,'Base de Datos'!$C$487:$N$4092,7,0)))</f>
        <v>39900000</v>
      </c>
      <c r="K17" s="600"/>
      <c r="L17" s="580" t="str">
        <f t="shared" si="2"/>
        <v xml:space="preserve"> </v>
      </c>
      <c r="M17" s="536"/>
      <c r="N17" s="536">
        <f t="shared" si="3"/>
        <v>17100000</v>
      </c>
      <c r="O17" s="719" t="str">
        <f>IF(ISERROR(VLOOKUP(B17,'Base de Datos'!$C$487:$K$1048576,7,0))=TRUE," ",(VLOOKUP(B17,'Base de Datos'!$C$487:$K$1048576,8,0)))</f>
        <v>170204-0-2017</v>
      </c>
      <c r="P17" s="551">
        <f>IF(ISERROR(VLOOKUP(B17,'Base de Datos'!$C$487:$N$4077,9,0))=TRUE," ",(VLOOKUP(B17,'Base de Datos'!$C$487:$N$4077,10,0)))</f>
        <v>42961</v>
      </c>
      <c r="Q17" s="737"/>
      <c r="R17" s="551">
        <f>IF(ISERROR(VLOOKUP(B17,'Base de Datos'!$C$487:$N$4077,10,0))=TRUE," ",(VLOOKUP(B17,'Base de Datos'!$C$487:$N$4077,11,0)))</f>
        <v>42969</v>
      </c>
      <c r="S17" s="551">
        <f>IF(ISERROR(VLOOKUP(B17,'Base de Datos'!$C$487:$N$4077,11,0))=TRUE," ",(VLOOKUP(B17,'Base de Datos'!$C$487:$N$4077,12,0)))</f>
        <v>43181</v>
      </c>
      <c r="T17" s="533" t="str">
        <f>VLOOKUP(B17,'Base de Datos'!$C$487:$AR$4129,41,0)</f>
        <v>SI</v>
      </c>
      <c r="U17" s="722"/>
      <c r="V17" s="634"/>
    </row>
    <row r="18" spans="2:22" ht="14.25" customHeight="1" outlineLevel="1" x14ac:dyDescent="0.25">
      <c r="B18" s="537">
        <v>147</v>
      </c>
      <c r="C18" s="533" t="str">
        <f>IF(ISERROR(VLOOKUP(B18,'Base de Datos'!$C$487:$F$4092,2,0))=TRUE,"",(VLOOKUP('Presupuesto - PAA 2018'!B18,'Base de Datos'!$C$7:$F$4092,3,0)))</f>
        <v>160156-0-2016</v>
      </c>
      <c r="D18" s="533" t="str">
        <f>IF(ISERROR(VLOOKUP(B18,'Base de Datos'!$C$487:$F$4092,3,0))=TRUE,"",(VLOOKUP('Presupuesto - PAA 2018'!B18,'Base de Datos'!$C$487:$F$4092,4,0)))</f>
        <v>JAVIER IGNACIO JATIVA GARCIA</v>
      </c>
      <c r="E18" s="536">
        <f>VLOOKUP(B18,[7]PAA2017!$C$65:$AA$255,20,0)</f>
        <v>42000000</v>
      </c>
      <c r="F18" s="534" t="str">
        <f>VLOOKUP(B18,[8]SOLICITUDES!$B$3:$H$278,2,0)</f>
        <v>SI</v>
      </c>
      <c r="G18" s="534"/>
      <c r="H18" s="534"/>
      <c r="I18" s="534"/>
      <c r="J18" s="536">
        <f>IF(ISERROR(VLOOKUP(B18,'Base de Datos'!$C$487:$N$4092,6,0))=TRUE,"Sin Celebrar",(VLOOKUP(B18,'Base de Datos'!$C$487:$N$4092,7,0)))</f>
        <v>3860000</v>
      </c>
      <c r="K18" s="600"/>
      <c r="L18" s="580" t="str">
        <f t="shared" si="2"/>
        <v xml:space="preserve"> </v>
      </c>
      <c r="M18" s="536"/>
      <c r="N18" s="536">
        <f t="shared" si="3"/>
        <v>38140000</v>
      </c>
      <c r="O18" s="719" t="str">
        <f>IF(ISERROR(VLOOKUP(B18,'Base de Datos'!$C$487:$K$1048576,7,0))=TRUE," ",(VLOOKUP(B18,'Base de Datos'!$C$487:$K$1048576,8,0)))</f>
        <v>170014-0-2017</v>
      </c>
      <c r="P18" s="551">
        <f>IF(ISERROR(VLOOKUP(B18,'Base de Datos'!$C$487:$N$4077,9,0))=TRUE," ",(VLOOKUP(B18,'Base de Datos'!$C$487:$N$4077,10,0)))</f>
        <v>42772</v>
      </c>
      <c r="Q18" s="737"/>
      <c r="R18" s="551">
        <f>IF(ISERROR(VLOOKUP(B18,'Base de Datos'!$C$487:$N$4077,10,0))=TRUE," ",(VLOOKUP(B18,'Base de Datos'!$C$487:$N$4077,11,0)))</f>
        <v>42772</v>
      </c>
      <c r="S18" s="551">
        <f>IF(ISERROR(VLOOKUP(B18,'Base de Datos'!$C$487:$N$4077,11,0))=TRUE," ",(VLOOKUP(B18,'Base de Datos'!$C$487:$N$4077,12,0)))</f>
        <v>42800</v>
      </c>
      <c r="T18" s="533" t="str">
        <f>VLOOKUP(B18,'Base de Datos'!$C$487:$AR$4129,41,0)</f>
        <v>SI</v>
      </c>
      <c r="U18" s="722"/>
      <c r="V18" s="634"/>
    </row>
    <row r="19" spans="2:22" ht="14.25" customHeight="1" outlineLevel="1" x14ac:dyDescent="0.25">
      <c r="B19" s="537">
        <v>148</v>
      </c>
      <c r="C19" s="533" t="str">
        <f>IF(ISERROR(VLOOKUP(B19,'Base de Datos'!$C$487:$F$4092,2,0))=TRUE,"",(VLOOKUP('Presupuesto - PAA 2018'!B19,'Base de Datos'!$C$7:$F$4092,3,0)))</f>
        <v>150338-0-2015</v>
      </c>
      <c r="D19" s="533" t="str">
        <f>IF(ISERROR(VLOOKUP(B19,'Base de Datos'!$C$487:$F$4092,3,0))=TRUE,"",(VLOOKUP('Presupuesto - PAA 2018'!B19,'Base de Datos'!$C$487:$F$4092,4,0)))</f>
        <v>CLARA INES VARGAS MALAGON</v>
      </c>
      <c r="E19" s="536">
        <f>VLOOKUP(B19,[7]PAA2017!$C$65:$AA$255,20,0)</f>
        <v>63000000</v>
      </c>
      <c r="F19" s="534" t="str">
        <f>VLOOKUP(B19,[8]SOLICITUDES!$B$3:$H$278,2,0)</f>
        <v>SI</v>
      </c>
      <c r="G19" s="534"/>
      <c r="H19" s="534"/>
      <c r="I19" s="534"/>
      <c r="J19" s="536">
        <f>IF(ISERROR(VLOOKUP(B19,'Base de Datos'!$C$487:$N$4092,6,0))=TRUE,"Sin Celebrar",(VLOOKUP(B19,'Base de Datos'!$C$487:$N$4092,7,0)))</f>
        <v>51300000</v>
      </c>
      <c r="K19" s="600"/>
      <c r="L19" s="580" t="str">
        <f t="shared" si="2"/>
        <v xml:space="preserve"> </v>
      </c>
      <c r="M19" s="536"/>
      <c r="N19" s="536">
        <f t="shared" si="3"/>
        <v>11700000</v>
      </c>
      <c r="O19" s="719" t="str">
        <f>IF(ISERROR(VLOOKUP(B19,'Base de Datos'!$C$487:$K$1048576,7,0))=TRUE," ",(VLOOKUP(B19,'Base de Datos'!$C$487:$K$1048576,8,0)))</f>
        <v>170102-0-2017</v>
      </c>
      <c r="P19" s="551">
        <f>IF(ISERROR(VLOOKUP(B19,'Base de Datos'!$C$487:$N$4077,9,0))=TRUE," ",(VLOOKUP(B19,'Base de Datos'!$C$487:$N$4077,10,0)))</f>
        <v>42846</v>
      </c>
      <c r="Q19" s="737"/>
      <c r="R19" s="551">
        <f>IF(ISERROR(VLOOKUP(B19,'Base de Datos'!$C$487:$N$4077,10,0))=TRUE," ",(VLOOKUP(B19,'Base de Datos'!$C$487:$N$4077,11,0)))</f>
        <v>42850</v>
      </c>
      <c r="S19" s="551">
        <f>IF(ISERROR(VLOOKUP(B19,'Base de Datos'!$C$487:$N$4077,11,0))=TRUE," ",(VLOOKUP(B19,'Base de Datos'!$C$487:$N$4077,12,0)))</f>
        <v>43125</v>
      </c>
      <c r="T19" s="533" t="str">
        <f ca="1">VLOOKUP(B19,'Base de Datos'!$C$487:$AR$4129,41,0)</f>
        <v>SI</v>
      </c>
      <c r="U19" s="722"/>
      <c r="V19" s="634"/>
    </row>
    <row r="20" spans="2:22" ht="14.25" customHeight="1" outlineLevel="1" x14ac:dyDescent="0.25">
      <c r="B20" s="537">
        <v>149</v>
      </c>
      <c r="C20" s="533" t="str">
        <f>IF(ISERROR(VLOOKUP(B20,'Base de Datos'!$C$487:$F$4092,2,0))=TRUE,"",(VLOOKUP('Presupuesto - PAA 2018'!B20,'Base de Datos'!$C$7:$F$4092,3,0)))</f>
        <v>150223-0-2015</v>
      </c>
      <c r="D20" s="533" t="str">
        <f>IF(ISERROR(VLOOKUP(B20,'Base de Datos'!$C$487:$F$4092,3,0))=TRUE,"",(VLOOKUP('Presupuesto - PAA 2018'!B20,'Base de Datos'!$C$487:$F$4092,4,0)))</f>
        <v>JOANNA PATRICIA GONZALEZ PAIPA</v>
      </c>
      <c r="E20" s="536">
        <f>VLOOKUP(B20,[7]PAA2017!$C$65:$AA$255,20,0)</f>
        <v>57000000</v>
      </c>
      <c r="F20" s="534" t="str">
        <f>VLOOKUP(B20,[8]SOLICITUDES!$B$3:$H$278,2,0)</f>
        <v>SI</v>
      </c>
      <c r="G20" s="534"/>
      <c r="H20" s="534"/>
      <c r="I20" s="534"/>
      <c r="J20" s="536">
        <f>IF(ISERROR(VLOOKUP(B20,'Base de Datos'!$C$487:$N$4092,6,0))=TRUE,"Sin Celebrar",(VLOOKUP(B20,'Base de Datos'!$C$487:$N$4092,7,0)))</f>
        <v>51300000</v>
      </c>
      <c r="K20" s="600"/>
      <c r="L20" s="580" t="str">
        <f t="shared" si="2"/>
        <v xml:space="preserve"> </v>
      </c>
      <c r="M20" s="536"/>
      <c r="N20" s="536">
        <f t="shared" si="3"/>
        <v>5700000</v>
      </c>
      <c r="O20" s="719" t="str">
        <f>IF(ISERROR(VLOOKUP(B20,'Base de Datos'!$C$487:$K$1048576,7,0))=TRUE," ",(VLOOKUP(B20,'Base de Datos'!$C$487:$K$1048576,8,0)))</f>
        <v>170137-0-2017</v>
      </c>
      <c r="P20" s="551">
        <f>IF(ISERROR(VLOOKUP(B20,'Base de Datos'!$C$487:$N$4077,9,0))=TRUE," ",(VLOOKUP(B20,'Base de Datos'!$C$487:$N$4077,10,0)))</f>
        <v>42871</v>
      </c>
      <c r="Q20" s="737"/>
      <c r="R20" s="551">
        <f>IF(ISERROR(VLOOKUP(B20,'Base de Datos'!$C$487:$N$4077,10,0))=TRUE," ",(VLOOKUP(B20,'Base de Datos'!$C$487:$N$4077,11,0)))</f>
        <v>42873</v>
      </c>
      <c r="S20" s="551">
        <f>IF(ISERROR(VLOOKUP(B20,'Base de Datos'!$C$487:$N$4077,11,0))=TRUE," ",(VLOOKUP(B20,'Base de Datos'!$C$487:$N$4077,12,0)))</f>
        <v>43149</v>
      </c>
      <c r="T20" s="533" t="str">
        <f>VLOOKUP(B20,'Base de Datos'!$C$487:$AR$4129,41,0)</f>
        <v>SI</v>
      </c>
      <c r="U20" s="722"/>
      <c r="V20" s="634"/>
    </row>
    <row r="21" spans="2:22" ht="14.25" customHeight="1" outlineLevel="1" x14ac:dyDescent="0.25">
      <c r="B21" s="537">
        <v>150</v>
      </c>
      <c r="C21" s="533" t="str">
        <f>IF(ISERROR(VLOOKUP(B21,'Base de Datos'!$C$487:$F$4092,2,0))=TRUE,"",(VLOOKUP('Presupuesto - PAA 2018'!B21,'Base de Datos'!$C$7:$F$4092,3,0)))</f>
        <v>150168-0-2015</v>
      </c>
      <c r="D21" s="533" t="str">
        <f>IF(ISERROR(VLOOKUP(B21,'Base de Datos'!$C$487:$F$4092,3,0))=TRUE,"",(VLOOKUP('Presupuesto - PAA 2018'!B21,'Base de Datos'!$C$487:$F$4092,4,0)))</f>
        <v>DIANA PILAR DELGADO BARRERO</v>
      </c>
      <c r="E21" s="536">
        <f>VLOOKUP(B21,[7]PAA2017!$C$65:$AA$255,20,0)</f>
        <v>57000000</v>
      </c>
      <c r="F21" s="534" t="str">
        <f>VLOOKUP(B21,[8]SOLICITUDES!$B$3:$H$278,2,0)</f>
        <v>SI</v>
      </c>
      <c r="G21" s="534"/>
      <c r="H21" s="534"/>
      <c r="I21" s="534"/>
      <c r="J21" s="536">
        <f>IF(ISERROR(VLOOKUP(B21,'Base de Datos'!$C$487:$N$4092,6,0))=TRUE,"Sin Celebrar",(VLOOKUP(B21,'Base de Datos'!$C$487:$N$4092,7,0)))</f>
        <v>51300000</v>
      </c>
      <c r="K21" s="600"/>
      <c r="L21" s="580" t="str">
        <f t="shared" si="2"/>
        <v xml:space="preserve"> </v>
      </c>
      <c r="M21" s="536"/>
      <c r="N21" s="536">
        <f t="shared" si="3"/>
        <v>5700000</v>
      </c>
      <c r="O21" s="719" t="str">
        <f>IF(ISERROR(VLOOKUP(B21,'Base de Datos'!$C$487:$K$1048576,7,0))=TRUE," ",(VLOOKUP(B21,'Base de Datos'!$C$487:$K$1048576,8,0)))</f>
        <v>170113-0-2017</v>
      </c>
      <c r="P21" s="551">
        <f>IF(ISERROR(VLOOKUP(B21,'Base de Datos'!$C$487:$N$4077,9,0))=TRUE," ",(VLOOKUP(B21,'Base de Datos'!$C$487:$N$4077,10,0)))</f>
        <v>42850</v>
      </c>
      <c r="Q21" s="737"/>
      <c r="R21" s="551">
        <f>IF(ISERROR(VLOOKUP(B21,'Base de Datos'!$C$487:$N$4077,10,0))=TRUE," ",(VLOOKUP(B21,'Base de Datos'!$C$487:$N$4077,11,0)))</f>
        <v>42857</v>
      </c>
      <c r="S21" s="551">
        <f>IF(ISERROR(VLOOKUP(B21,'Base de Datos'!$C$487:$N$4077,11,0))=TRUE," ",(VLOOKUP(B21,'Base de Datos'!$C$487:$N$4077,12,0)))</f>
        <v>43133</v>
      </c>
      <c r="T21" s="533" t="str">
        <f ca="1">VLOOKUP(B21,'Base de Datos'!$C$487:$AR$4129,41,0)</f>
        <v>SI</v>
      </c>
      <c r="U21" s="722"/>
      <c r="V21" s="634"/>
    </row>
    <row r="22" spans="2:22" ht="14.25" customHeight="1" outlineLevel="1" x14ac:dyDescent="0.25">
      <c r="B22" s="537">
        <v>152</v>
      </c>
      <c r="C22" s="533" t="str">
        <f>IF(ISERROR(VLOOKUP(B22,'Base de Datos'!$C$487:$F$4092,2,0))=TRUE,"",(VLOOKUP('Presupuesto - PAA 2018'!B22,'Base de Datos'!$C$7:$F$4092,3,0)))</f>
        <v>150129-0-2015</v>
      </c>
      <c r="D22" s="533" t="str">
        <f>IF(ISERROR(VLOOKUP(B22,'Base de Datos'!$C$487:$F$4092,3,0))=TRUE,"",(VLOOKUP('Presupuesto - PAA 2018'!B22,'Base de Datos'!$C$487:$F$4092,4,0)))</f>
        <v>ANDRES MAURICIO BARRERA HERNANDEZ</v>
      </c>
      <c r="E22" s="536">
        <f>VLOOKUP(B22,[7]PAA2017!$C$65:$AA$255,20,0)</f>
        <v>48000000</v>
      </c>
      <c r="F22" s="534" t="str">
        <f>VLOOKUP(B22,[8]SOLICITUDES!$B$3:$H$278,2,0)</f>
        <v>SI</v>
      </c>
      <c r="G22" s="534"/>
      <c r="H22" s="534"/>
      <c r="I22" s="534"/>
      <c r="J22" s="536">
        <f>IF(ISERROR(VLOOKUP(B22,'Base de Datos'!$C$487:$N$4092,6,0))=TRUE,"Sin Celebrar",(VLOOKUP(B22,'Base de Datos'!$C$487:$N$4092,7,0)))</f>
        <v>54000000</v>
      </c>
      <c r="K22" s="600"/>
      <c r="L22" s="580" t="str">
        <f t="shared" si="2"/>
        <v xml:space="preserve"> </v>
      </c>
      <c r="M22" s="536"/>
      <c r="N22" s="536" t="str">
        <f t="shared" si="3"/>
        <v xml:space="preserve"> </v>
      </c>
      <c r="O22" s="719" t="str">
        <f>IF(ISERROR(VLOOKUP(B22,'Base de Datos'!$C$487:$K$1048576,7,0))=TRUE," ",(VLOOKUP(B22,'Base de Datos'!$C$487:$K$1048576,8,0)))</f>
        <v>170101-0-2017</v>
      </c>
      <c r="P22" s="551">
        <f>IF(ISERROR(VLOOKUP(B22,'Base de Datos'!$C$487:$N$4077,9,0))=TRUE," ",(VLOOKUP(B22,'Base de Datos'!$C$487:$N$4077,10,0)))</f>
        <v>42846</v>
      </c>
      <c r="Q22" s="737"/>
      <c r="R22" s="551">
        <f>IF(ISERROR(VLOOKUP(B22,'Base de Datos'!$C$487:$N$4077,10,0))=TRUE," ",(VLOOKUP(B22,'Base de Datos'!$C$487:$N$4077,11,0)))</f>
        <v>42849</v>
      </c>
      <c r="S22" s="551">
        <f>IF(ISERROR(VLOOKUP(B22,'Base de Datos'!$C$487:$N$4077,11,0))=TRUE," ",(VLOOKUP(B22,'Base de Datos'!$C$487:$N$4077,12,0)))</f>
        <v>43155</v>
      </c>
      <c r="T22" s="533" t="str">
        <f>VLOOKUP(B22,'Base de Datos'!$C$487:$AR$4129,41,0)</f>
        <v>SI</v>
      </c>
      <c r="U22" s="722"/>
      <c r="V22" s="634"/>
    </row>
    <row r="23" spans="2:22" ht="27" customHeight="1" outlineLevel="1" x14ac:dyDescent="0.25">
      <c r="B23" s="537">
        <v>153</v>
      </c>
      <c r="C23" s="533" t="str">
        <f>IF(ISERROR(VLOOKUP(B23,'Base de Datos'!$C$487:$F$4092,2,0))=TRUE,"",(VLOOKUP('Presupuesto - PAA 2018'!B23,'Base de Datos'!$C$7:$F$4092,3,0)))</f>
        <v/>
      </c>
      <c r="D23" s="533" t="str">
        <f>IF(ISERROR(VLOOKUP(B23,'Base de Datos'!$C$487:$F$4092,3,0))=TRUE,"",(VLOOKUP('Presupuesto - PAA 2018'!B23,'Base de Datos'!$C$487:$F$4092,4,0)))</f>
        <v/>
      </c>
      <c r="E23" s="536">
        <f>VLOOKUP(B23,[7]PAA2017!$C$65:$AA$255,20,0)</f>
        <v>97000000</v>
      </c>
      <c r="F23" s="534" t="e">
        <f>VLOOKUP(B23,[8]SOLICITUDES!$B$3:$H$278,2,0)</f>
        <v>#N/A</v>
      </c>
      <c r="G23" s="534"/>
      <c r="H23" s="534"/>
      <c r="I23" s="534"/>
      <c r="J23" s="536" t="str">
        <f>IF(ISERROR(VLOOKUP(B23,'Base de Datos'!$C$487:$N$4092,6,0))=TRUE,"Sin Celebrar",(VLOOKUP(B23,'Base de Datos'!$C$487:$N$4092,7,0)))</f>
        <v>Sin Celebrar</v>
      </c>
      <c r="K23" s="600"/>
      <c r="L23" s="580">
        <f t="shared" si="2"/>
        <v>97000000</v>
      </c>
      <c r="M23" s="536"/>
      <c r="N23" s="536" t="str">
        <f t="shared" si="3"/>
        <v xml:space="preserve"> </v>
      </c>
      <c r="O23" s="719" t="str">
        <f>IF(ISERROR(VLOOKUP(B23,'Base de Datos'!$C$487:$K$1048576,7,0))=TRUE," ",(VLOOKUP(B23,'Base de Datos'!$C$487:$K$1048576,8,0)))</f>
        <v xml:space="preserve"> </v>
      </c>
      <c r="P23" s="551" t="str">
        <f>IF(ISERROR(VLOOKUP(B23,'Base de Datos'!$C$487:$N$4077,9,0))=TRUE," ",(VLOOKUP(B23,'Base de Datos'!$C$487:$N$4077,10,0)))</f>
        <v xml:space="preserve"> </v>
      </c>
      <c r="Q23" s="737"/>
      <c r="R23" s="551" t="str">
        <f>IF(ISERROR(VLOOKUP(B23,'Base de Datos'!$C$487:$N$4077,10,0))=TRUE," ",(VLOOKUP(B23,'Base de Datos'!$C$487:$N$4077,11,0)))</f>
        <v xml:space="preserve"> </v>
      </c>
      <c r="S23" s="551" t="str">
        <f>IF(ISERROR(VLOOKUP(B23,'Base de Datos'!$C$487:$N$4077,11,0))=TRUE," ",(VLOOKUP(B23,'Base de Datos'!$C$487:$N$4077,12,0)))</f>
        <v xml:space="preserve"> </v>
      </c>
      <c r="T23" s="533" t="e">
        <f>VLOOKUP(B23,'Base de Datos'!$C$487:$AR$4129,41,0)</f>
        <v>#N/A</v>
      </c>
      <c r="U23" s="722"/>
      <c r="V23" s="634"/>
    </row>
    <row r="24" spans="2:22" ht="14.25" customHeight="1" outlineLevel="1" x14ac:dyDescent="0.25">
      <c r="B24" s="537">
        <v>154</v>
      </c>
      <c r="C24" s="533" t="str">
        <f>IF(ISERROR(VLOOKUP(B24,'Base de Datos'!$C$487:$F$4092,2,0))=TRUE,"",(VLOOKUP('Presupuesto - PAA 2018'!B24,'Base de Datos'!$C$7:$F$4092,3,0)))</f>
        <v>150229-0-2015</v>
      </c>
      <c r="D24" s="533" t="str">
        <f>IF(ISERROR(VLOOKUP(B24,'Base de Datos'!$C$487:$F$4092,3,0))=TRUE,"",(VLOOKUP('Presupuesto - PAA 2018'!B24,'Base de Datos'!$C$487:$F$4092,4,0)))</f>
        <v>MARTHA LILIANA SALAZAR GOMEZ</v>
      </c>
      <c r="E24" s="536">
        <f>VLOOKUP(B24,[7]PAA2017!$C$65:$AA$255,20,0)</f>
        <v>57000000</v>
      </c>
      <c r="F24" s="534" t="e">
        <f>VLOOKUP(B24,[8]SOLICITUDES!$B$3:$H$278,2,0)</f>
        <v>#N/A</v>
      </c>
      <c r="G24" s="534"/>
      <c r="H24" s="534"/>
      <c r="I24" s="534"/>
      <c r="J24" s="536">
        <f>IF(ISERROR(VLOOKUP(B24,'Base de Datos'!$C$487:$N$4092,6,0))=TRUE,"Sin Celebrar",(VLOOKUP(B24,'Base de Datos'!$C$487:$N$4092,7,0)))</f>
        <v>22800000</v>
      </c>
      <c r="K24" s="600"/>
      <c r="L24" s="580" t="str">
        <f t="shared" si="2"/>
        <v xml:space="preserve"> </v>
      </c>
      <c r="M24" s="536"/>
      <c r="N24" s="536">
        <f t="shared" si="3"/>
        <v>34200000</v>
      </c>
      <c r="O24" s="719" t="str">
        <f>IF(ISERROR(VLOOKUP(B24,'Base de Datos'!$C$487:$K$1048576,7,0))=TRUE," ",(VLOOKUP(B24,'Base de Datos'!$C$487:$K$1048576,8,0)))</f>
        <v>170232-0-2017</v>
      </c>
      <c r="P24" s="551">
        <f>IF(ISERROR(VLOOKUP(B24,'Base de Datos'!$C$487:$N$4077,9,0))=TRUE," ",(VLOOKUP(B24,'Base de Datos'!$C$487:$N$4077,10,0)))</f>
        <v>42984</v>
      </c>
      <c r="Q24" s="737"/>
      <c r="R24" s="551">
        <f>IF(ISERROR(VLOOKUP(B24,'Base de Datos'!$C$487:$N$4077,10,0))=TRUE," ",(VLOOKUP(B24,'Base de Datos'!$C$487:$N$4077,11,0)))</f>
        <v>42997</v>
      </c>
      <c r="S24" s="551">
        <f>IF(ISERROR(VLOOKUP(B24,'Base de Datos'!$C$487:$N$4077,11,0))=TRUE," ",(VLOOKUP(B24,'Base de Datos'!$C$487:$N$4077,12,0)))</f>
        <v>43119</v>
      </c>
      <c r="T24" s="533" t="str">
        <f>VLOOKUP(B24,'Base de Datos'!$C$487:$AR$4129,41,0)</f>
        <v>SI</v>
      </c>
      <c r="U24" s="722"/>
      <c r="V24" s="634"/>
    </row>
    <row r="25" spans="2:22" outlineLevel="1" x14ac:dyDescent="0.25">
      <c r="B25" s="552">
        <v>155</v>
      </c>
      <c r="C25" s="533" t="str">
        <f>IF(ISERROR(VLOOKUP(B25,'Base de Datos'!$C$487:$F$4092,2,0))=TRUE,"",(VLOOKUP('Presupuesto - PAA 2018'!B25,'Base de Datos'!$C$7:$F$4092,3,0)))</f>
        <v>150341-0-2015</v>
      </c>
      <c r="D25" s="533" t="str">
        <f>IF(ISERROR(VLOOKUP(B25,'Base de Datos'!$C$487:$F$4092,3,0))=TRUE,"",(VLOOKUP('Presupuesto - PAA 2018'!B25,'Base de Datos'!$C$487:$F$4092,4,0)))</f>
        <v>BLANCA LISBETH CAMARGO BARRERA</v>
      </c>
      <c r="E25" s="536">
        <f>VLOOKUP(B25,[7]PAA2017!$C$65:$AA$255,20,0)</f>
        <v>47000000</v>
      </c>
      <c r="F25" s="534" t="e">
        <f>VLOOKUP(B25,[8]SOLICITUDES!$B$3:$H$278,2,0)</f>
        <v>#N/A</v>
      </c>
      <c r="G25" s="534"/>
      <c r="H25" s="534"/>
      <c r="I25" s="534"/>
      <c r="J25" s="536">
        <f>IF(ISERROR(VLOOKUP(B25,'Base de Datos'!$C$487:$N$4092,6,0))=TRUE,"Sin Celebrar",(VLOOKUP(B25,'Base de Datos'!$C$487:$N$4092,7,0)))</f>
        <v>48180000</v>
      </c>
      <c r="K25" s="600"/>
      <c r="L25" s="580" t="str">
        <f t="shared" si="2"/>
        <v xml:space="preserve"> </v>
      </c>
      <c r="M25" s="536"/>
      <c r="N25" s="536" t="str">
        <f t="shared" si="3"/>
        <v xml:space="preserve"> </v>
      </c>
      <c r="O25" s="719" t="str">
        <f>IF(ISERROR(VLOOKUP(B25,'Base de Datos'!$C$487:$K$1048576,7,0))=TRUE," ",(VLOOKUP(B25,'Base de Datos'!$C$487:$K$1048576,8,0)))</f>
        <v>SDH-CD-28-2019</v>
      </c>
      <c r="P25" s="551">
        <f>IF(ISERROR(VLOOKUP(B25,'Base de Datos'!$C$487:$N$4077,9,0))=TRUE," ",(VLOOKUP(B25,'Base de Datos'!$C$487:$N$4077,10,0)))</f>
        <v>43500</v>
      </c>
      <c r="Q25" s="737"/>
      <c r="R25" s="551">
        <f>IF(ISERROR(VLOOKUP(B25,'Base de Datos'!$C$487:$N$4077,10,0))=TRUE," ",(VLOOKUP(B25,'Base de Datos'!$C$487:$N$4077,11,0)))</f>
        <v>43500</v>
      </c>
      <c r="S25" s="551">
        <f>IF(ISERROR(VLOOKUP(B25,'Base de Datos'!$C$487:$N$4077,11,0))=TRUE," ",(VLOOKUP(B25,'Base de Datos'!$C$487:$N$4077,12,0)))</f>
        <v>43641</v>
      </c>
      <c r="T25" s="533" t="str">
        <f>VLOOKUP(B25,'Base de Datos'!$C$487:$AR$4129,41,0)</f>
        <v>SI</v>
      </c>
      <c r="U25" s="722"/>
      <c r="V25" s="634"/>
    </row>
    <row r="26" spans="2:22" outlineLevel="1" x14ac:dyDescent="0.25">
      <c r="B26" s="552">
        <v>156</v>
      </c>
      <c r="C26" s="533" t="str">
        <f>IF(ISERROR(VLOOKUP(B26,'Base de Datos'!$C$487:$F$4092,2,0))=TRUE,"",(VLOOKUP('Presupuesto - PAA 2018'!B26,'Base de Datos'!$C$7:$F$4092,3,0)))</f>
        <v>170111-0-2017</v>
      </c>
      <c r="D26" s="533" t="str">
        <f>IF(ISERROR(VLOOKUP(B26,'Base de Datos'!$C$487:$F$4092,3,0))=TRUE,"",(VLOOKUP('Presupuesto - PAA 2018'!B26,'Base de Datos'!$C$487:$F$4092,4,0)))</f>
        <v>WILSON GUERRERO VERA</v>
      </c>
      <c r="E26" s="536">
        <f>VLOOKUP(B26,[7]PAA2017!$C$65:$AA$255,20,0)</f>
        <v>57000000</v>
      </c>
      <c r="F26" s="534" t="str">
        <f>VLOOKUP(B26,[8]SOLICITUDES!$B$3:$H$278,2,0)</f>
        <v>SI</v>
      </c>
      <c r="G26" s="534"/>
      <c r="H26" s="534"/>
      <c r="I26" s="534"/>
      <c r="J26" s="536">
        <f>IF(ISERROR(VLOOKUP(B26,'Base de Datos'!$C$487:$N$4092,6,0))=TRUE,"Sin Celebrar",(VLOOKUP(B26,'Base de Datos'!$C$487:$N$4092,7,0)))</f>
        <v>57000000</v>
      </c>
      <c r="K26" s="600"/>
      <c r="L26" s="580" t="str">
        <f t="shared" si="2"/>
        <v xml:space="preserve"> </v>
      </c>
      <c r="M26" s="536"/>
      <c r="N26" s="536" t="str">
        <f t="shared" si="3"/>
        <v xml:space="preserve"> </v>
      </c>
      <c r="O26" s="719" t="str">
        <f>IF(ISERROR(VLOOKUP(B26,'Base de Datos'!$C$487:$K$1048576,7,0))=TRUE," ",(VLOOKUP(B26,'Base de Datos'!$C$487:$K$1048576,8,0)))</f>
        <v>170111-0-2017</v>
      </c>
      <c r="P26" s="551">
        <f>IF(ISERROR(VLOOKUP(B26,'Base de Datos'!$C$487:$N$4077,9,0))=TRUE," ",(VLOOKUP(B26,'Base de Datos'!$C$487:$N$4077,10,0)))</f>
        <v>42850</v>
      </c>
      <c r="Q26" s="737"/>
      <c r="R26" s="551">
        <f>IF(ISERROR(VLOOKUP(B26,'Base de Datos'!$C$487:$N$4077,10,0))=TRUE," ",(VLOOKUP(B26,'Base de Datos'!$C$487:$N$4077,11,0)))</f>
        <v>42857</v>
      </c>
      <c r="S26" s="551">
        <f>IF(ISERROR(VLOOKUP(B26,'Base de Datos'!$C$487:$N$4077,11,0))=TRUE," ",(VLOOKUP(B26,'Base de Datos'!$C$487:$N$4077,12,0)))</f>
        <v>43161</v>
      </c>
      <c r="T26" s="533" t="str">
        <f ca="1">VLOOKUP(B26,'Base de Datos'!$C$487:$AR$4129,41,0)</f>
        <v>SI</v>
      </c>
      <c r="U26" s="722"/>
      <c r="V26" s="634"/>
    </row>
    <row r="27" spans="2:22" ht="24" outlineLevel="1" x14ac:dyDescent="0.25">
      <c r="B27" s="552">
        <v>157</v>
      </c>
      <c r="C27" s="533" t="str">
        <f>IF(ISERROR(VLOOKUP(B27,'Base de Datos'!$C$487:$F$4092,2,0))=TRUE,"",(VLOOKUP('Presupuesto - PAA 2018'!B27,'Base de Datos'!$C$7:$F$4092,3,0)))</f>
        <v>150255-0-2015</v>
      </c>
      <c r="D27" s="533" t="str">
        <f>IF(ISERROR(VLOOKUP(B27,'Base de Datos'!$C$487:$F$4092,3,0))=TRUE,"",(VLOOKUP('Presupuesto - PAA 2018'!B27,'Base de Datos'!$C$487:$F$4092,4,0)))</f>
        <v>LUZ ANGELA CARDENAS MORENO (Cesionaria) / IVON ADRIANA JIMENEZ ZAPATA (Antes)</v>
      </c>
      <c r="E27" s="536">
        <f>VLOOKUP(B27,[7]PAA2017!$C$65:$AA$255,20,0)</f>
        <v>57000000</v>
      </c>
      <c r="F27" s="534" t="str">
        <f>VLOOKUP(B27,[8]SOLICITUDES!$B$3:$H$278,2,0)</f>
        <v>SI</v>
      </c>
      <c r="G27" s="534"/>
      <c r="H27" s="534"/>
      <c r="I27" s="534"/>
      <c r="J27" s="536">
        <f>IF(ISERROR(VLOOKUP(B27,'Base de Datos'!$C$487:$N$4092,6,0))=TRUE,"Sin Celebrar",(VLOOKUP(B27,'Base de Datos'!$C$487:$N$4092,7,0)))</f>
        <v>51300000</v>
      </c>
      <c r="K27" s="600"/>
      <c r="L27" s="580" t="str">
        <f t="shared" si="2"/>
        <v xml:space="preserve"> </v>
      </c>
      <c r="M27" s="536"/>
      <c r="N27" s="536">
        <f t="shared" si="3"/>
        <v>5700000</v>
      </c>
      <c r="O27" s="719" t="str">
        <f>IF(ISERROR(VLOOKUP(B27,'Base de Datos'!$C$487:$K$1048576,7,0))=TRUE," ",(VLOOKUP(B27,'Base de Datos'!$C$487:$K$1048576,8,0)))</f>
        <v>170109-0-2017</v>
      </c>
      <c r="P27" s="551">
        <f>IF(ISERROR(VLOOKUP(B27,'Base de Datos'!$C$487:$N$4077,9,0))=TRUE," ",(VLOOKUP(B27,'Base de Datos'!$C$487:$N$4077,10,0)))</f>
        <v>42849</v>
      </c>
      <c r="Q27" s="737"/>
      <c r="R27" s="551">
        <f>IF(ISERROR(VLOOKUP(B27,'Base de Datos'!$C$487:$N$4077,10,0))=TRUE," ",(VLOOKUP(B27,'Base de Datos'!$C$487:$N$4077,11,0)))</f>
        <v>42851</v>
      </c>
      <c r="S27" s="551">
        <f>IF(ISERROR(VLOOKUP(B27,'Base de Datos'!$C$487:$N$4077,11,0))=TRUE," ",(VLOOKUP(B27,'Base de Datos'!$C$487:$N$4077,12,0)))</f>
        <v>43126</v>
      </c>
      <c r="T27" s="533" t="str">
        <f ca="1">VLOOKUP(B27,'Base de Datos'!$C$487:$AR$4129,41,0)</f>
        <v>SI</v>
      </c>
      <c r="U27" s="722"/>
      <c r="V27" s="634"/>
    </row>
    <row r="28" spans="2:22" outlineLevel="1" x14ac:dyDescent="0.25">
      <c r="B28" s="552">
        <v>158</v>
      </c>
      <c r="C28" s="533" t="str">
        <f>IF(ISERROR(VLOOKUP(B28,'Base de Datos'!$C$487:$F$4092,2,0))=TRUE,"",(VLOOKUP('Presupuesto - PAA 2018'!B28,'Base de Datos'!$C$7:$F$4092,3,0)))</f>
        <v>150271-0-2015</v>
      </c>
      <c r="D28" s="533" t="str">
        <f>IF(ISERROR(VLOOKUP(B28,'Base de Datos'!$C$487:$F$4092,3,0))=TRUE,"",(VLOOKUP('Presupuesto - PAA 2018'!B28,'Base de Datos'!$C$487:$F$4092,4,0)))</f>
        <v>CLAUDIA ELVIRA RODRIGUEZ POVEDA</v>
      </c>
      <c r="E28" s="536">
        <f>VLOOKUP(B28,[7]PAA2017!$C$65:$AA$255,20,0)</f>
        <v>57000000</v>
      </c>
      <c r="F28" s="534" t="str">
        <f>VLOOKUP(B28,[8]SOLICITUDES!$B$3:$H$278,2,0)</f>
        <v>SI</v>
      </c>
      <c r="G28" s="534"/>
      <c r="H28" s="534"/>
      <c r="I28" s="534"/>
      <c r="J28" s="536">
        <f>IF(ISERROR(VLOOKUP(B28,'Base de Datos'!$C$487:$N$4092,6,0))=TRUE,"Sin Celebrar",(VLOOKUP(B28,'Base de Datos'!$C$487:$N$4092,7,0)))</f>
        <v>51300000</v>
      </c>
      <c r="K28" s="600"/>
      <c r="L28" s="580" t="str">
        <f t="shared" si="2"/>
        <v xml:space="preserve"> </v>
      </c>
      <c r="M28" s="536"/>
      <c r="N28" s="536">
        <f t="shared" si="3"/>
        <v>5700000</v>
      </c>
      <c r="O28" s="719" t="str">
        <f>IF(ISERROR(VLOOKUP(B28,'Base de Datos'!$C$487:$K$1048576,7,0))=TRUE," ",(VLOOKUP(B28,'Base de Datos'!$C$487:$K$1048576,8,0)))</f>
        <v>170105-0-2017</v>
      </c>
      <c r="P28" s="551">
        <f>IF(ISERROR(VLOOKUP(B28,'Base de Datos'!$C$487:$N$4077,9,0))=TRUE," ",(VLOOKUP(B28,'Base de Datos'!$C$487:$N$4077,10,0)))</f>
        <v>42849</v>
      </c>
      <c r="Q28" s="737"/>
      <c r="R28" s="551">
        <f>IF(ISERROR(VLOOKUP(B28,'Base de Datos'!$C$487:$N$4077,10,0))=TRUE," ",(VLOOKUP(B28,'Base de Datos'!$C$487:$N$4077,11,0)))</f>
        <v>42850</v>
      </c>
      <c r="S28" s="551">
        <f>IF(ISERROR(VLOOKUP(B28,'Base de Datos'!$C$487:$N$4077,11,0))=TRUE," ",(VLOOKUP(B28,'Base de Datos'!$C$487:$N$4077,12,0)))</f>
        <v>43125</v>
      </c>
      <c r="T28" s="533" t="str">
        <f>VLOOKUP(B28,'Base de Datos'!$C$487:$AR$4129,41,0)</f>
        <v>SI</v>
      </c>
      <c r="U28" s="722"/>
      <c r="V28" s="634"/>
    </row>
    <row r="29" spans="2:22" outlineLevel="1" x14ac:dyDescent="0.25">
      <c r="B29" s="552">
        <v>159</v>
      </c>
      <c r="C29" s="533" t="str">
        <f>IF(ISERROR(VLOOKUP(B29,'Base de Datos'!$C$487:$F$4092,2,0))=TRUE,"",(VLOOKUP('Presupuesto - PAA 2018'!B29,'Base de Datos'!$C$7:$F$4092,3,0)))</f>
        <v/>
      </c>
      <c r="D29" s="533" t="str">
        <f>IF(ISERROR(VLOOKUP(B29,'Base de Datos'!$C$487:$F$4092,3,0))=TRUE,"",(VLOOKUP('Presupuesto - PAA 2018'!B29,'Base de Datos'!$C$487:$F$4092,4,0)))</f>
        <v/>
      </c>
      <c r="E29" s="536">
        <f>VLOOKUP(B29,[7]PAA2017!$C$65:$AA$255,20,0)</f>
        <v>57000000</v>
      </c>
      <c r="F29" s="534" t="str">
        <f>VLOOKUP(B29,[8]SOLICITUDES!$B$3:$H$278,2,0)</f>
        <v>SI</v>
      </c>
      <c r="G29" s="534"/>
      <c r="H29" s="534"/>
      <c r="I29" s="534"/>
      <c r="J29" s="536" t="str">
        <f>IF(ISERROR(VLOOKUP(B29,'Base de Datos'!$C$487:$N$4092,6,0))=TRUE,"Sin Celebrar",(VLOOKUP(B29,'Base de Datos'!$C$487:$N$4092,7,0)))</f>
        <v>Sin Celebrar</v>
      </c>
      <c r="K29" s="600"/>
      <c r="L29" s="580">
        <f t="shared" si="2"/>
        <v>57000000</v>
      </c>
      <c r="M29" s="536"/>
      <c r="N29" s="536" t="str">
        <f t="shared" si="3"/>
        <v xml:space="preserve"> </v>
      </c>
      <c r="O29" s="719" t="str">
        <f>IF(ISERROR(VLOOKUP(B29,'Base de Datos'!$C$487:$K$1048576,7,0))=TRUE," ",(VLOOKUP(B29,'Base de Datos'!$C$487:$K$1048576,8,0)))</f>
        <v xml:space="preserve"> </v>
      </c>
      <c r="P29" s="551" t="str">
        <f>IF(ISERROR(VLOOKUP(B29,'Base de Datos'!$C$487:$N$4077,9,0))=TRUE," ",(VLOOKUP(B29,'Base de Datos'!$C$487:$N$4077,10,0)))</f>
        <v xml:space="preserve"> </v>
      </c>
      <c r="Q29" s="737"/>
      <c r="R29" s="551" t="str">
        <f>IF(ISERROR(VLOOKUP(B29,'Base de Datos'!$C$487:$N$4077,10,0))=TRUE," ",(VLOOKUP(B29,'Base de Datos'!$C$487:$N$4077,11,0)))</f>
        <v xml:space="preserve"> </v>
      </c>
      <c r="S29" s="551" t="str">
        <f>IF(ISERROR(VLOOKUP(B29,'Base de Datos'!$C$487:$N$4077,11,0))=TRUE," ",(VLOOKUP(B29,'Base de Datos'!$C$487:$N$4077,12,0)))</f>
        <v xml:space="preserve"> </v>
      </c>
      <c r="T29" s="533" t="e">
        <f>VLOOKUP(B29,'Base de Datos'!$C$487:$AR$4129,41,0)</f>
        <v>#N/A</v>
      </c>
      <c r="U29" s="722"/>
      <c r="V29" s="634"/>
    </row>
    <row r="30" spans="2:22" outlineLevel="1" x14ac:dyDescent="0.25">
      <c r="B30" s="552">
        <v>160</v>
      </c>
      <c r="C30" s="533" t="str">
        <f>IF(ISERROR(VLOOKUP(B30,'Base de Datos'!$C$487:$F$4092,2,0))=TRUE,"",(VLOOKUP('Presupuesto - PAA 2018'!B30,'Base de Datos'!$C$7:$F$4092,3,0)))</f>
        <v/>
      </c>
      <c r="D30" s="533" t="str">
        <f>IF(ISERROR(VLOOKUP(B30,'Base de Datos'!$C$487:$F$4092,3,0))=TRUE,"",(VLOOKUP('Presupuesto - PAA 2018'!B30,'Base de Datos'!$C$487:$F$4092,4,0)))</f>
        <v/>
      </c>
      <c r="E30" s="536">
        <f>VLOOKUP(B30,[7]PAA2017!$C$65:$AA$255,20,0)</f>
        <v>57000000</v>
      </c>
      <c r="F30" s="534" t="e">
        <f>VLOOKUP(B30,[8]SOLICITUDES!$B$3:$H$278,2,0)</f>
        <v>#N/A</v>
      </c>
      <c r="G30" s="534"/>
      <c r="H30" s="534"/>
      <c r="I30" s="534"/>
      <c r="J30" s="536" t="str">
        <f>IF(ISERROR(VLOOKUP(B30,'Base de Datos'!$C$487:$N$4092,6,0))=TRUE,"Sin Celebrar",(VLOOKUP(B30,'Base de Datos'!$C$487:$N$4092,7,0)))</f>
        <v>Sin Celebrar</v>
      </c>
      <c r="K30" s="600"/>
      <c r="L30" s="580">
        <f t="shared" si="2"/>
        <v>57000000</v>
      </c>
      <c r="M30" s="536"/>
      <c r="N30" s="536" t="str">
        <f t="shared" si="3"/>
        <v xml:space="preserve"> </v>
      </c>
      <c r="O30" s="719" t="str">
        <f>IF(ISERROR(VLOOKUP(B30,'Base de Datos'!$C$487:$K$1048576,7,0))=TRUE," ",(VLOOKUP(B30,'Base de Datos'!$C$487:$K$1048576,8,0)))</f>
        <v xml:space="preserve"> </v>
      </c>
      <c r="P30" s="551" t="str">
        <f>IF(ISERROR(VLOOKUP(B30,'Base de Datos'!$C$487:$N$4077,9,0))=TRUE," ",(VLOOKUP(B30,'Base de Datos'!$C$487:$N$4077,10,0)))</f>
        <v xml:space="preserve"> </v>
      </c>
      <c r="Q30" s="737"/>
      <c r="R30" s="551" t="str">
        <f>IF(ISERROR(VLOOKUP(B30,'Base de Datos'!$C$487:$N$4077,10,0))=TRUE," ",(VLOOKUP(B30,'Base de Datos'!$C$487:$N$4077,11,0)))</f>
        <v xml:space="preserve"> </v>
      </c>
      <c r="S30" s="551" t="str">
        <f>IF(ISERROR(VLOOKUP(B30,'Base de Datos'!$C$487:$N$4077,11,0))=TRUE," ",(VLOOKUP(B30,'Base de Datos'!$C$487:$N$4077,12,0)))</f>
        <v xml:space="preserve"> </v>
      </c>
      <c r="T30" s="533" t="e">
        <f>VLOOKUP(B30,'Base de Datos'!$C$487:$AR$4129,41,0)</f>
        <v>#N/A</v>
      </c>
      <c r="U30" s="722"/>
      <c r="V30" s="634"/>
    </row>
    <row r="31" spans="2:22" ht="12.75" outlineLevel="1" thickBot="1" x14ac:dyDescent="0.3">
      <c r="B31" s="552"/>
      <c r="C31" s="553"/>
      <c r="D31" s="553"/>
      <c r="E31" s="554"/>
      <c r="F31" s="555"/>
      <c r="G31" s="555"/>
      <c r="H31" s="555"/>
      <c r="I31" s="555"/>
      <c r="J31" s="536"/>
      <c r="K31" s="604"/>
      <c r="L31" s="554" t="str">
        <f>IF(J31=$AA$1,E31, " ")</f>
        <v xml:space="preserve"> </v>
      </c>
      <c r="M31" s="554"/>
      <c r="N31" s="554" t="str">
        <f>IF(J31&lt;E31,(E31-J31)," ")</f>
        <v xml:space="preserve"> </v>
      </c>
      <c r="O31" s="679"/>
      <c r="P31" s="556" t="str">
        <f>IF(ISERROR(VLOOKUP(B31,'Base de Datos'!$C$7:$N$315,9,0))=TRUE," ",(VLOOKUP(B31,'Base de Datos'!$C$7:$N$315,9,0)))</f>
        <v xml:space="preserve"> </v>
      </c>
      <c r="Q31" s="553"/>
      <c r="R31" s="556" t="str">
        <f>IF(ISERROR(VLOOKUP(B31,'Base de Datos'!$C$7:$N$315,10,0))=TRUE," ",(VLOOKUP(B31,'Base de Datos'!$C$7:$N$315,10,0)))</f>
        <v xml:space="preserve"> </v>
      </c>
      <c r="S31" s="556" t="str">
        <f>IF(ISERROR(VLOOKUP(B31,'Base de Datos'!$C$7:$N$315,11,0))=TRUE," ",(VLOOKUP(B31,'Base de Datos'!$C$7:$N$315,11,0)))</f>
        <v xml:space="preserve"> </v>
      </c>
      <c r="T31" s="553"/>
      <c r="U31" s="722"/>
      <c r="V31" s="634"/>
    </row>
    <row r="32" spans="2:22" outlineLevel="1" x14ac:dyDescent="0.25">
      <c r="B32" s="1191"/>
      <c r="C32" s="1192"/>
      <c r="D32" s="1192"/>
      <c r="E32" s="559"/>
      <c r="F32" s="559"/>
      <c r="G32" s="559"/>
      <c r="H32" s="559"/>
      <c r="I32" s="559"/>
      <c r="J32" s="559"/>
      <c r="K32" s="605"/>
      <c r="L32" s="559"/>
      <c r="M32" s="559"/>
      <c r="N32" s="559"/>
      <c r="O32" s="680"/>
      <c r="P32" s="560"/>
      <c r="Q32" s="561"/>
      <c r="R32" s="560"/>
      <c r="S32" s="560"/>
      <c r="T32" s="562"/>
      <c r="U32" s="722"/>
      <c r="V32" s="634"/>
    </row>
    <row r="33" spans="2:22" ht="12.75" outlineLevel="1" thickBot="1" x14ac:dyDescent="0.3">
      <c r="B33" s="1193"/>
      <c r="C33" s="1194"/>
      <c r="D33" s="1194"/>
      <c r="E33" s="563"/>
      <c r="F33" s="579"/>
      <c r="G33" s="579"/>
      <c r="H33" s="579"/>
      <c r="I33" s="579"/>
      <c r="J33" s="563"/>
      <c r="K33" s="606"/>
      <c r="L33" s="563"/>
      <c r="M33" s="563"/>
      <c r="N33" s="563"/>
      <c r="O33" s="681"/>
      <c r="P33" s="564"/>
      <c r="Q33" s="565"/>
      <c r="R33" s="564"/>
      <c r="S33" s="564"/>
      <c r="T33" s="566"/>
      <c r="U33" s="722"/>
      <c r="V33" s="634"/>
    </row>
    <row r="34" spans="2:22" ht="15" customHeight="1" x14ac:dyDescent="0.25">
      <c r="B34" s="1195" t="s">
        <v>1644</v>
      </c>
      <c r="C34" s="1195"/>
      <c r="D34" s="1195"/>
      <c r="E34" s="587">
        <v>12705000000</v>
      </c>
      <c r="F34" s="588">
        <f>COUNTIF('Actualizada - presupuesto'!$E$7:$E$111,B34)</f>
        <v>0</v>
      </c>
      <c r="G34" s="588"/>
      <c r="H34" s="588"/>
      <c r="I34" s="581">
        <v>12745000000</v>
      </c>
      <c r="J34" s="587">
        <f>+J35</f>
        <v>10479835080</v>
      </c>
      <c r="K34" s="607">
        <f>J35/I34</f>
        <v>0.82227030835621817</v>
      </c>
      <c r="L34" s="587">
        <f>E34-J34</f>
        <v>2225164920</v>
      </c>
      <c r="M34" s="632">
        <f>+E34-(J34+L34)</f>
        <v>0</v>
      </c>
      <c r="N34" s="587">
        <f>+E34-J34-L34</f>
        <v>0</v>
      </c>
      <c r="O34" s="682"/>
      <c r="P34" s="589" t="str">
        <f>IF(ISERROR(VLOOKUP(B34,'Base de Datos'!$C$7:$N$315,8,0))=TRUE," ",(VLOOKUP(B34,'Base de Datos'!$C$7:$N$315,8,0)))</f>
        <v xml:space="preserve"> </v>
      </c>
      <c r="Q34" s="590"/>
      <c r="R34" s="589" t="str">
        <f>IF(ISERROR(VLOOKUP(B34,'Base de Datos'!$C$7:$N$315,9,0))=TRUE," ",(VLOOKUP(B34,'Base de Datos'!$C$7:$N$315,9,0)))</f>
        <v xml:space="preserve"> </v>
      </c>
      <c r="S34" s="589" t="str">
        <f>IF(ISERROR(VLOOKUP(B34,'Base de Datos'!$C$7:$N$315,10,0))=TRUE," ",(VLOOKUP(B34,'Base de Datos'!$C$7:$N$315,10,0)))</f>
        <v xml:space="preserve"> </v>
      </c>
      <c r="T34" s="714"/>
      <c r="U34" s="722"/>
      <c r="V34" s="634"/>
    </row>
    <row r="35" spans="2:22" s="598" customFormat="1" ht="15" customHeight="1" outlineLevel="1" x14ac:dyDescent="0.25">
      <c r="B35" s="593"/>
      <c r="C35" s="593"/>
      <c r="D35" s="972" t="s">
        <v>2264</v>
      </c>
      <c r="E35" s="594"/>
      <c r="F35" s="595"/>
      <c r="G35" s="595"/>
      <c r="H35" s="595"/>
      <c r="I35" s="595"/>
      <c r="J35" s="580">
        <v>10479835080</v>
      </c>
      <c r="K35" s="608"/>
      <c r="L35" s="594"/>
      <c r="M35" s="594"/>
      <c r="N35" s="594"/>
      <c r="O35" s="683"/>
      <c r="P35" s="596"/>
      <c r="Q35" s="597"/>
      <c r="R35" s="596"/>
      <c r="S35" s="596"/>
      <c r="T35" s="715"/>
      <c r="U35" s="722"/>
      <c r="V35" s="634"/>
    </row>
    <row r="36" spans="2:22" s="598" customFormat="1" ht="15" customHeight="1" outlineLevel="1" x14ac:dyDescent="0.25">
      <c r="B36" s="593"/>
      <c r="C36" s="593"/>
      <c r="D36" s="593"/>
      <c r="E36" s="594"/>
      <c r="F36" s="595"/>
      <c r="G36" s="595"/>
      <c r="H36" s="595"/>
      <c r="I36" s="595"/>
      <c r="J36" s="594"/>
      <c r="K36" s="608"/>
      <c r="L36" s="594"/>
      <c r="M36" s="594"/>
      <c r="N36" s="594"/>
      <c r="O36" s="683"/>
      <c r="P36" s="596"/>
      <c r="Q36" s="597"/>
      <c r="R36" s="596"/>
      <c r="S36" s="596"/>
      <c r="T36" s="715"/>
      <c r="U36" s="722"/>
      <c r="V36" s="634"/>
    </row>
    <row r="37" spans="2:22" ht="15" customHeight="1" x14ac:dyDescent="0.25">
      <c r="B37" s="1181" t="s">
        <v>1645</v>
      </c>
      <c r="C37" s="1181"/>
      <c r="D37" s="1181"/>
      <c r="E37" s="581">
        <v>93600000</v>
      </c>
      <c r="F37" s="586">
        <v>3</v>
      </c>
      <c r="G37" s="586"/>
      <c r="H37" s="586"/>
      <c r="I37" s="586"/>
      <c r="J37" s="581">
        <f>SUM(J39:J47)</f>
        <v>30507466</v>
      </c>
      <c r="K37" s="603">
        <f>J37/E37</f>
        <v>0.32593446581196583</v>
      </c>
      <c r="L37" s="581" t="e">
        <f>SUM(L39:L47)</f>
        <v>#N/A</v>
      </c>
      <c r="M37" s="632">
        <v>0</v>
      </c>
      <c r="N37" s="581" t="e">
        <f>+E37-J37-L37</f>
        <v>#N/A</v>
      </c>
      <c r="O37" s="684"/>
      <c r="P37" s="591" t="str">
        <f>IF(ISERROR(VLOOKUP(B37,'Base de Datos'!$C$7:$N$315,8,0))=TRUE," ",(VLOOKUP(B37,'Base de Datos'!$C$7:$N$315,8,0)))</f>
        <v xml:space="preserve"> </v>
      </c>
      <c r="Q37" s="592"/>
      <c r="R37" s="591" t="str">
        <f>IF(ISERROR(VLOOKUP(B37,'Base de Datos'!$C$7:$N$315,9,0))=TRUE," ",(VLOOKUP(B37,'Base de Datos'!$C$7:$N$315,9,0)))</f>
        <v xml:space="preserve"> </v>
      </c>
      <c r="S37" s="591" t="str">
        <f>IF(ISERROR(VLOOKUP(B37,'Base de Datos'!$C$7:$N$315,10,0))=TRUE," ",(VLOOKUP(B37,'Base de Datos'!$C$7:$N$315,10,0)))</f>
        <v xml:space="preserve"> </v>
      </c>
      <c r="T37" s="592"/>
      <c r="U37" s="722"/>
      <c r="V37" s="634"/>
    </row>
    <row r="38" spans="2:22" ht="24" outlineLevel="1" x14ac:dyDescent="0.25">
      <c r="B38" s="537" t="s">
        <v>1693</v>
      </c>
      <c r="C38" s="537" t="s">
        <v>912</v>
      </c>
      <c r="D38" s="537" t="s">
        <v>1822</v>
      </c>
      <c r="E38" s="545" t="s">
        <v>1846</v>
      </c>
      <c r="F38" s="534" t="s">
        <v>1853</v>
      </c>
      <c r="G38" s="534"/>
      <c r="H38" s="534"/>
      <c r="I38" s="534"/>
      <c r="J38" s="537" t="s">
        <v>1845</v>
      </c>
      <c r="K38" s="652"/>
      <c r="L38" s="537" t="s">
        <v>1939</v>
      </c>
      <c r="M38" s="537"/>
      <c r="N38" s="537" t="s">
        <v>1940</v>
      </c>
      <c r="O38" s="677"/>
      <c r="P38" s="568" t="s">
        <v>1847</v>
      </c>
      <c r="Q38" s="537" t="s">
        <v>1848</v>
      </c>
      <c r="R38" s="537" t="s">
        <v>1849</v>
      </c>
      <c r="S38" s="537" t="s">
        <v>375</v>
      </c>
      <c r="T38" s="537" t="s">
        <v>1850</v>
      </c>
      <c r="U38" s="722"/>
      <c r="V38" s="634"/>
    </row>
    <row r="39" spans="2:22" outlineLevel="1" x14ac:dyDescent="0.25">
      <c r="B39" s="552">
        <v>161</v>
      </c>
      <c r="C39" s="533" t="str">
        <f>IF(ISERROR(VLOOKUP(B39,'Base de Datos'!$C$487:$F$4092,2,0))=TRUE,"",(VLOOKUP('Presupuesto - PAA 2018'!B39,'Base de Datos'!$C$7:$F$4092,3,0)))</f>
        <v/>
      </c>
      <c r="D39" s="533" t="str">
        <f>IF(ISERROR(VLOOKUP(B39,'Base de Datos'!$C$487:$F$4092,3,0))=TRUE,"",(VLOOKUP('Presupuesto - PAA 2018'!B39,'Base de Datos'!$C$487:$F$4092,4,0)))</f>
        <v/>
      </c>
      <c r="E39" s="536">
        <f>VLOOKUP(B39,[7]PAA2017!$C$65:$AA$255,20,0)</f>
        <v>22500000</v>
      </c>
      <c r="F39" s="534" t="str">
        <f>VLOOKUP(B39,[8]SOLICITUDES!$B$3:$H$278,2,0)</f>
        <v>SI</v>
      </c>
      <c r="G39" s="555"/>
      <c r="H39" s="555"/>
      <c r="I39" s="555"/>
      <c r="J39" s="536" t="str">
        <f>IF(ISERROR(VLOOKUP(B39,'Base de Datos'!$C$487:$N$4092,6,0))=TRUE,"Sin Celebrar",(VLOOKUP(B39,'Base de Datos'!$C$487:$N$4092,7,0)))</f>
        <v>Sin Celebrar</v>
      </c>
      <c r="K39" s="604"/>
      <c r="L39" s="580">
        <f t="shared" ref="L39:L46" si="4">IF(J39=$AA$1,E39, " ")</f>
        <v>22500000</v>
      </c>
      <c r="M39" s="554"/>
      <c r="N39" s="536" t="str">
        <f t="shared" ref="N39:N47" si="5">IF(J39&lt;E39,(E39-J39)," ")</f>
        <v xml:space="preserve"> </v>
      </c>
      <c r="O39" s="719" t="str">
        <f>IF(ISERROR(VLOOKUP(B39,'Base de Datos'!$C$487:$K$1048576,7,0))=TRUE," ",(VLOOKUP(B39,'Base de Datos'!$C$487:$K$1048576,8,0)))</f>
        <v xml:space="preserve"> </v>
      </c>
      <c r="P39" s="551" t="str">
        <f>IF(ISERROR(VLOOKUP(B39,'Base de Datos'!$C$487:$N$4077,9,0))=TRUE," ",(VLOOKUP(B39,'Base de Datos'!$C$487:$N$4077,10,0)))</f>
        <v xml:space="preserve"> </v>
      </c>
      <c r="Q39" s="737"/>
      <c r="R39" s="551" t="str">
        <f>IF(ISERROR(VLOOKUP(B39,'Base de Datos'!$C$487:$N$4077,10,0))=TRUE," ",(VLOOKUP(B39,'Base de Datos'!$C$487:$N$4077,11,0)))</f>
        <v xml:space="preserve"> </v>
      </c>
      <c r="S39" s="551" t="str">
        <f>IF(ISERROR(VLOOKUP(B39,'Base de Datos'!$C$487:$N$4077,11,0))=TRUE," ",(VLOOKUP(B39,'Base de Datos'!$C$487:$N$4077,12,0)))</f>
        <v xml:space="preserve"> </v>
      </c>
      <c r="T39" s="533" t="e">
        <f>VLOOKUP(B39,'Base de Datos'!$C$487:$AR$4129,41,0)</f>
        <v>#N/A</v>
      </c>
      <c r="U39" s="722"/>
      <c r="V39" s="634"/>
    </row>
    <row r="40" spans="2:22" outlineLevel="1" x14ac:dyDescent="0.25">
      <c r="B40" s="552">
        <v>162</v>
      </c>
      <c r="C40" s="533" t="str">
        <f>IF(ISERROR(VLOOKUP(B40,'Base de Datos'!$C$487:$F$4092,2,0))=TRUE,"",(VLOOKUP('Presupuesto - PAA 2018'!B40,'Base de Datos'!$C$7:$F$4092,3,0)))</f>
        <v/>
      </c>
      <c r="D40" s="533" t="str">
        <f>IF(ISERROR(VLOOKUP(B40,'Base de Datos'!$C$487:$F$4092,3,0))=TRUE,"",(VLOOKUP('Presupuesto - PAA 2018'!B40,'Base de Datos'!$C$487:$F$4092,4,0)))</f>
        <v/>
      </c>
      <c r="E40" s="536">
        <f>VLOOKUP(B40,[7]PAA2017!$C$65:$AA$255,20,0)</f>
        <v>22500000</v>
      </c>
      <c r="F40" s="534" t="e">
        <f>VLOOKUP(B40,[8]SOLICITUDES!$B$3:$H$278,2,0)</f>
        <v>#N/A</v>
      </c>
      <c r="G40" s="555"/>
      <c r="H40" s="555"/>
      <c r="I40" s="555"/>
      <c r="J40" s="536" t="str">
        <f>IF(ISERROR(VLOOKUP(B40,'Base de Datos'!$C$487:$N$4092,6,0))=TRUE,"Sin Celebrar",(VLOOKUP(B40,'Base de Datos'!$C$487:$N$4092,7,0)))</f>
        <v>Sin Celebrar</v>
      </c>
      <c r="K40" s="604"/>
      <c r="L40" s="580">
        <f t="shared" si="4"/>
        <v>22500000</v>
      </c>
      <c r="M40" s="554"/>
      <c r="N40" s="536" t="str">
        <f t="shared" si="5"/>
        <v xml:space="preserve"> </v>
      </c>
      <c r="O40" s="719" t="str">
        <f>IF(ISERROR(VLOOKUP(B40,'Base de Datos'!$C$487:$K$1048576,7,0))=TRUE," ",(VLOOKUP(B40,'Base de Datos'!$C$487:$K$1048576,8,0)))</f>
        <v xml:space="preserve"> </v>
      </c>
      <c r="P40" s="551" t="str">
        <f>IF(ISERROR(VLOOKUP(B40,'Base de Datos'!$C$487:$N$4077,9,0))=TRUE," ",(VLOOKUP(B40,'Base de Datos'!$C$487:$N$4077,10,0)))</f>
        <v xml:space="preserve"> </v>
      </c>
      <c r="Q40" s="737"/>
      <c r="R40" s="551" t="str">
        <f>IF(ISERROR(VLOOKUP(B40,'Base de Datos'!$C$487:$N$4077,10,0))=TRUE," ",(VLOOKUP(B40,'Base de Datos'!$C$487:$N$4077,11,0)))</f>
        <v xml:space="preserve"> </v>
      </c>
      <c r="S40" s="551" t="str">
        <f>IF(ISERROR(VLOOKUP(B40,'Base de Datos'!$C$487:$N$4077,11,0))=TRUE," ",(VLOOKUP(B40,'Base de Datos'!$C$487:$N$4077,12,0)))</f>
        <v xml:space="preserve"> </v>
      </c>
      <c r="T40" s="533" t="e">
        <f>VLOOKUP(B40,'Base de Datos'!$C$487:$AR$4129,41,0)</f>
        <v>#N/A</v>
      </c>
      <c r="U40" s="722"/>
      <c r="V40" s="634"/>
    </row>
    <row r="41" spans="2:22" outlineLevel="1" x14ac:dyDescent="0.25">
      <c r="B41" s="552">
        <v>163</v>
      </c>
      <c r="C41" s="533" t="str">
        <f>IF(ISERROR(VLOOKUP(B41,'Base de Datos'!$C$487:$F$4092,2,0))=TRUE,"",(VLOOKUP('Presupuesto - PAA 2018'!B41,'Base de Datos'!$C$7:$F$4092,3,0)))</f>
        <v>170139-0-2017</v>
      </c>
      <c r="D41" s="533" t="str">
        <f>IF(ISERROR(VLOOKUP(B41,'Base de Datos'!$C$487:$F$4092,3,0))=TRUE,"",(VLOOKUP('Presupuesto - PAA 2018'!B41,'Base de Datos'!$C$487:$F$4092,4,0)))</f>
        <v>BRAYAN JEFERSON VARON AGUIRRE</v>
      </c>
      <c r="E41" s="536">
        <f>VLOOKUP(B41,[7]PAA2017!$C$65:$AA$255,20,0)</f>
        <v>22500000</v>
      </c>
      <c r="F41" s="534" t="str">
        <f>VLOOKUP(B41,[8]SOLICITUDES!$B$3:$H$278,2,0)</f>
        <v>SI</v>
      </c>
      <c r="G41" s="555"/>
      <c r="H41" s="555"/>
      <c r="I41" s="555"/>
      <c r="J41" s="536">
        <f>IF(ISERROR(VLOOKUP(B41,'Base de Datos'!$C$487:$N$4092,6,0))=TRUE,"Sin Celebrar",(VLOOKUP(B41,'Base de Datos'!$C$487:$N$4092,7,0)))</f>
        <v>13500000</v>
      </c>
      <c r="K41" s="604"/>
      <c r="L41" s="580" t="str">
        <f t="shared" si="4"/>
        <v xml:space="preserve"> </v>
      </c>
      <c r="M41" s="554"/>
      <c r="N41" s="536">
        <f t="shared" si="5"/>
        <v>9000000</v>
      </c>
      <c r="O41" s="719" t="str">
        <f>IF(ISERROR(VLOOKUP(B41,'Base de Datos'!$C$487:$K$1048576,7,0))=TRUE," ",(VLOOKUP(B41,'Base de Datos'!$C$487:$K$1048576,8,0)))</f>
        <v>170139-0-2017</v>
      </c>
      <c r="P41" s="551">
        <f>IF(ISERROR(VLOOKUP(B41,'Base de Datos'!$C$487:$N$4077,9,0))=TRUE," ",(VLOOKUP(B41,'Base de Datos'!$C$487:$N$4077,10,0)))</f>
        <v>42872</v>
      </c>
      <c r="Q41" s="737"/>
      <c r="R41" s="551">
        <f>IF(ISERROR(VLOOKUP(B41,'Base de Datos'!$C$487:$N$4077,10,0))=TRUE," ",(VLOOKUP(B41,'Base de Datos'!$C$487:$N$4077,11,0)))</f>
        <v>42887</v>
      </c>
      <c r="S41" s="551">
        <f>IF(ISERROR(VLOOKUP(B41,'Base de Datos'!$C$487:$N$4077,11,0))=TRUE," ",(VLOOKUP(B41,'Base de Datos'!$C$487:$N$4077,12,0)))</f>
        <v>43160</v>
      </c>
      <c r="T41" s="533" t="str">
        <f>VLOOKUP(B41,'Base de Datos'!$C$487:$AR$4129,41,0)</f>
        <v>SI</v>
      </c>
      <c r="U41" s="722"/>
      <c r="V41" s="634"/>
    </row>
    <row r="42" spans="2:22" outlineLevel="1" x14ac:dyDescent="0.25">
      <c r="B42" s="552">
        <v>164</v>
      </c>
      <c r="C42" s="533" t="str">
        <f>IF(ISERROR(VLOOKUP(B42,'Base de Datos'!$C$487:$F$4092,2,0))=TRUE,"",(VLOOKUP('Presupuesto - PAA 2018'!B42,'Base de Datos'!$C$7:$F$4092,3,0)))</f>
        <v>150358-0-2015</v>
      </c>
      <c r="D42" s="533" t="str">
        <f>IF(ISERROR(VLOOKUP(B42,'Base de Datos'!$C$487:$F$4092,3,0))=TRUE,"",(VLOOKUP('Presupuesto - PAA 2018'!B42,'Base de Datos'!$C$487:$F$4092,4,0)))</f>
        <v>MANUEL FELIPE VEGA NOVOA</v>
      </c>
      <c r="E42" s="536">
        <f>VLOOKUP(B42,[7]PAA2017!$C$65:$AA$255,20,0)</f>
        <v>22500000</v>
      </c>
      <c r="F42" s="534" t="e">
        <f>VLOOKUP(B42,[8]SOLICITUDES!$B$3:$H$278,2,0)</f>
        <v>#N/A</v>
      </c>
      <c r="G42" s="555"/>
      <c r="H42" s="555"/>
      <c r="I42" s="555"/>
      <c r="J42" s="536">
        <f>IF(ISERROR(VLOOKUP(B42,'Base de Datos'!$C$487:$N$4092,6,0))=TRUE,"Sin Celebrar",(VLOOKUP(B42,'Base de Datos'!$C$487:$N$4092,7,0)))</f>
        <v>17007466</v>
      </c>
      <c r="K42" s="604"/>
      <c r="L42" s="580" t="str">
        <f t="shared" si="4"/>
        <v xml:space="preserve"> </v>
      </c>
      <c r="M42" s="554"/>
      <c r="N42" s="536">
        <f t="shared" si="5"/>
        <v>5492534</v>
      </c>
      <c r="O42" s="719" t="str">
        <f>IF(ISERROR(VLOOKUP(B42,'Base de Datos'!$C$487:$K$1048576,7,0))=TRUE," ",(VLOOKUP(B42,'Base de Datos'!$C$487:$K$1048576,8,0)))</f>
        <v>SDH-CD-45-2019</v>
      </c>
      <c r="P42" s="551">
        <f>IF(ISERROR(VLOOKUP(B42,'Base de Datos'!$C$487:$N$4077,9,0))=TRUE," ",(VLOOKUP(B42,'Base de Datos'!$C$487:$N$4077,10,0)))</f>
        <v>43501</v>
      </c>
      <c r="Q42" s="737"/>
      <c r="R42" s="551">
        <f>IF(ISERROR(VLOOKUP(B42,'Base de Datos'!$C$487:$N$4077,10,0))=TRUE," ",(VLOOKUP(B42,'Base de Datos'!$C$487:$N$4077,11,0)))</f>
        <v>43504</v>
      </c>
      <c r="S42" s="551">
        <f>IF(ISERROR(VLOOKUP(B42,'Base de Datos'!$C$487:$N$4077,11,0))=TRUE," ",(VLOOKUP(B42,'Base de Datos'!$C$487:$N$4077,12,0)))</f>
        <v>43641</v>
      </c>
      <c r="T42" s="533" t="str">
        <f>VLOOKUP(B42,'Base de Datos'!$C$487:$AR$4129,41,0)</f>
        <v>SI</v>
      </c>
      <c r="U42" s="722"/>
      <c r="V42" s="634"/>
    </row>
    <row r="43" spans="2:22" outlineLevel="1" x14ac:dyDescent="0.25">
      <c r="B43" s="552"/>
      <c r="C43" s="533" t="str">
        <f>IF(ISERROR(VLOOKUP(B43,'Base de Datos'!$C$487:$F$4092,2,0))=TRUE,"",(VLOOKUP('Presupuesto - PAA 2018'!B43,'Base de Datos'!$C$7:$F$4092,3,0)))</f>
        <v/>
      </c>
      <c r="D43" s="533" t="str">
        <f>IF(ISERROR(VLOOKUP(B43,'Base de Datos'!$C$487:$F$4092,3,0))=TRUE,"",(VLOOKUP('Presupuesto - PAA 2018'!B43,'Base de Datos'!$C$487:$F$4092,4,0)))</f>
        <v/>
      </c>
      <c r="E43" s="536" t="e">
        <f>VLOOKUP(B43,[7]PAA2017!$C$65:$AA$255,20,0)</f>
        <v>#N/A</v>
      </c>
      <c r="F43" s="534" t="e">
        <f>VLOOKUP(B43,[8]SOLICITUDES!$B$3:$H$278,2,0)</f>
        <v>#N/A</v>
      </c>
      <c r="G43" s="555"/>
      <c r="H43" s="555"/>
      <c r="I43" s="555"/>
      <c r="J43" s="536" t="str">
        <f>IF(ISERROR(VLOOKUP(B43,'Base de Datos'!$C$487:$N$4092,6,0))=TRUE,"Sin Celebrar",(VLOOKUP(B43,'Base de Datos'!$C$487:$N$4092,7,0)))</f>
        <v>Sin Celebrar</v>
      </c>
      <c r="K43" s="604"/>
      <c r="L43" s="580" t="e">
        <f t="shared" si="4"/>
        <v>#N/A</v>
      </c>
      <c r="M43" s="554"/>
      <c r="N43" s="536" t="e">
        <f t="shared" si="5"/>
        <v>#N/A</v>
      </c>
      <c r="O43" s="719" t="str">
        <f>IF(ISERROR(VLOOKUP(B43,'Base de Datos'!$C$487:$K$1048576,7,0))=TRUE," ",(VLOOKUP(B43,'Base de Datos'!$C$487:$K$1048576,8,0)))</f>
        <v xml:space="preserve"> </v>
      </c>
      <c r="P43" s="551" t="str">
        <f>IF(ISERROR(VLOOKUP(B43,'Base de Datos'!$C$487:$N$4077,9,0))=TRUE," ",(VLOOKUP(B43,'Base de Datos'!$C$487:$N$4077,10,0)))</f>
        <v xml:space="preserve"> </v>
      </c>
      <c r="Q43" s="737"/>
      <c r="R43" s="551" t="str">
        <f>IF(ISERROR(VLOOKUP(B43,'Base de Datos'!$C$487:$N$4077,10,0))=TRUE," ",(VLOOKUP(B43,'Base de Datos'!$C$487:$N$4077,11,0)))</f>
        <v xml:space="preserve"> </v>
      </c>
      <c r="S43" s="551" t="str">
        <f>IF(ISERROR(VLOOKUP(B43,'Base de Datos'!$C$487:$N$4077,11,0))=TRUE," ",(VLOOKUP(B43,'Base de Datos'!$C$487:$N$4077,12,0)))</f>
        <v xml:space="preserve"> </v>
      </c>
      <c r="T43" s="533" t="e">
        <f>VLOOKUP(B43,'Base de Datos'!$C$487:$AR$4129,41,0)</f>
        <v>#N/A</v>
      </c>
      <c r="U43" s="722"/>
      <c r="V43" s="634"/>
    </row>
    <row r="44" spans="2:22" outlineLevel="1" x14ac:dyDescent="0.25">
      <c r="B44" s="552"/>
      <c r="C44" s="533" t="str">
        <f>IF(ISERROR(VLOOKUP(B44,'Base de Datos'!$C$487:$F$4092,2,0))=TRUE,"",(VLOOKUP('Presupuesto - PAA 2018'!B44,'Base de Datos'!$C$7:$F$4092,3,0)))</f>
        <v/>
      </c>
      <c r="D44" s="533" t="str">
        <f>IF(ISERROR(VLOOKUP(B44,'Base de Datos'!$C$487:$F$4092,3,0))=TRUE,"",(VLOOKUP('Presupuesto - PAA 2018'!B44,'Base de Datos'!$C$487:$F$4092,4,0)))</f>
        <v/>
      </c>
      <c r="E44" s="536" t="e">
        <f>VLOOKUP(B44,[7]PAA2017!$C$65:$AA$255,20,0)</f>
        <v>#N/A</v>
      </c>
      <c r="F44" s="534" t="e">
        <f>VLOOKUP(B44,[8]SOLICITUDES!$B$3:$H$278,2,0)</f>
        <v>#N/A</v>
      </c>
      <c r="G44" s="555"/>
      <c r="H44" s="555"/>
      <c r="I44" s="555"/>
      <c r="J44" s="536" t="str">
        <f>IF(ISERROR(VLOOKUP(B44,'Base de Datos'!$C$487:$N$4092,6,0))=TRUE,"Sin Celebrar",(VLOOKUP(B44,'Base de Datos'!$C$487:$N$4092,7,0)))</f>
        <v>Sin Celebrar</v>
      </c>
      <c r="K44" s="604"/>
      <c r="L44" s="580" t="e">
        <f t="shared" si="4"/>
        <v>#N/A</v>
      </c>
      <c r="M44" s="554"/>
      <c r="N44" s="536" t="e">
        <f t="shared" si="5"/>
        <v>#N/A</v>
      </c>
      <c r="O44" s="719" t="str">
        <f>IF(ISERROR(VLOOKUP(B44,'Base de Datos'!$C$487:$K$1048576,7,0))=TRUE," ",(VLOOKUP(B44,'Base de Datos'!$C$487:$K$1048576,8,0)))</f>
        <v xml:space="preserve"> </v>
      </c>
      <c r="P44" s="551" t="str">
        <f>IF(ISERROR(VLOOKUP(B44,'Base de Datos'!$C$487:$N$4077,9,0))=TRUE," ",(VLOOKUP(B44,'Base de Datos'!$C$487:$N$4077,10,0)))</f>
        <v xml:space="preserve"> </v>
      </c>
      <c r="Q44" s="737"/>
      <c r="R44" s="551" t="str">
        <f>IF(ISERROR(VLOOKUP(B44,'Base de Datos'!$C$487:$N$4077,10,0))=TRUE," ",(VLOOKUP(B44,'Base de Datos'!$C$487:$N$4077,11,0)))</f>
        <v xml:space="preserve"> </v>
      </c>
      <c r="S44" s="551" t="str">
        <f>IF(ISERROR(VLOOKUP(B44,'Base de Datos'!$C$487:$N$4077,11,0))=TRUE," ",(VLOOKUP(B44,'Base de Datos'!$C$487:$N$4077,12,0)))</f>
        <v xml:space="preserve"> </v>
      </c>
      <c r="T44" s="533" t="e">
        <f>VLOOKUP(B44,'Base de Datos'!$C$487:$AR$4129,41,0)</f>
        <v>#N/A</v>
      </c>
      <c r="U44" s="722"/>
      <c r="V44" s="634"/>
    </row>
    <row r="45" spans="2:22" outlineLevel="1" x14ac:dyDescent="0.25">
      <c r="B45" s="552"/>
      <c r="C45" s="533" t="str">
        <f>IF(ISERROR(VLOOKUP(B45,'Base de Datos'!$C$487:$F$4092,2,0))=TRUE,"",(VLOOKUP('Presupuesto - PAA 2018'!B45,'Base de Datos'!$C$7:$F$4092,3,0)))</f>
        <v/>
      </c>
      <c r="D45" s="533" t="str">
        <f>IF(ISERROR(VLOOKUP(B45,'Base de Datos'!$C$487:$F$4092,3,0))=TRUE,"",(VLOOKUP('Presupuesto - PAA 2018'!B45,'Base de Datos'!$C$487:$F$4092,4,0)))</f>
        <v/>
      </c>
      <c r="E45" s="536" t="e">
        <f>VLOOKUP(B45,[7]PAA2017!$C$65:$AA$255,20,0)</f>
        <v>#N/A</v>
      </c>
      <c r="F45" s="534" t="e">
        <f>VLOOKUP(B45,[8]SOLICITUDES!$B$3:$H$278,2,0)</f>
        <v>#N/A</v>
      </c>
      <c r="G45" s="555"/>
      <c r="H45" s="555"/>
      <c r="I45" s="555"/>
      <c r="J45" s="536" t="str">
        <f>IF(ISERROR(VLOOKUP(B45,'Base de Datos'!$C$487:$N$4092,6,0))=TRUE,"Sin Celebrar",(VLOOKUP(B45,'Base de Datos'!$C$487:$N$4092,7,0)))</f>
        <v>Sin Celebrar</v>
      </c>
      <c r="K45" s="604"/>
      <c r="L45" s="580" t="e">
        <f t="shared" si="4"/>
        <v>#N/A</v>
      </c>
      <c r="M45" s="554"/>
      <c r="N45" s="536" t="e">
        <f t="shared" si="5"/>
        <v>#N/A</v>
      </c>
      <c r="O45" s="719" t="str">
        <f>IF(ISERROR(VLOOKUP(B45,'Base de Datos'!$C$487:$K$1048576,7,0))=TRUE," ",(VLOOKUP(B45,'Base de Datos'!$C$487:$K$1048576,8,0)))</f>
        <v xml:space="preserve"> </v>
      </c>
      <c r="P45" s="551" t="str">
        <f>IF(ISERROR(VLOOKUP(B45,'Base de Datos'!$C$487:$N$4077,9,0))=TRUE," ",(VLOOKUP(B45,'Base de Datos'!$C$487:$N$4077,10,0)))</f>
        <v xml:space="preserve"> </v>
      </c>
      <c r="Q45" s="737"/>
      <c r="R45" s="551" t="str">
        <f>IF(ISERROR(VLOOKUP(B45,'Base de Datos'!$C$487:$N$4077,10,0))=TRUE," ",(VLOOKUP(B45,'Base de Datos'!$C$487:$N$4077,11,0)))</f>
        <v xml:space="preserve"> </v>
      </c>
      <c r="S45" s="551" t="str">
        <f>IF(ISERROR(VLOOKUP(B45,'Base de Datos'!$C$487:$N$4077,11,0))=TRUE," ",(VLOOKUP(B45,'Base de Datos'!$C$487:$N$4077,12,0)))</f>
        <v xml:space="preserve"> </v>
      </c>
      <c r="T45" s="533" t="e">
        <f>VLOOKUP(B45,'Base de Datos'!$C$487:$AR$4129,41,0)</f>
        <v>#N/A</v>
      </c>
      <c r="U45" s="722"/>
      <c r="V45" s="634"/>
    </row>
    <row r="46" spans="2:22" outlineLevel="1" x14ac:dyDescent="0.25">
      <c r="B46" s="552"/>
      <c r="C46" s="533" t="str">
        <f>IF(ISERROR(VLOOKUP(B46,'Base de Datos'!$C$487:$F$4092,2,0))=TRUE,"",(VLOOKUP('Presupuesto - PAA 2018'!B46,'Base de Datos'!$C$7:$F$4092,3,0)))</f>
        <v/>
      </c>
      <c r="D46" s="533" t="str">
        <f>IF(ISERROR(VLOOKUP(B46,'Base de Datos'!$C$487:$F$4092,3,0))=TRUE,"",(VLOOKUP('Presupuesto - PAA 2018'!B46,'Base de Datos'!$C$487:$F$4092,4,0)))</f>
        <v/>
      </c>
      <c r="E46" s="536" t="e">
        <f>VLOOKUP(B46,[7]PAA2017!$C$65:$AA$255,20,0)</f>
        <v>#N/A</v>
      </c>
      <c r="F46" s="534" t="e">
        <f>VLOOKUP(B46,[8]SOLICITUDES!$B$3:$H$278,2,0)</f>
        <v>#N/A</v>
      </c>
      <c r="G46" s="555"/>
      <c r="H46" s="555"/>
      <c r="I46" s="555"/>
      <c r="J46" s="536" t="str">
        <f>IF(ISERROR(VLOOKUP(B46,'Base de Datos'!$C$487:$N$4092,6,0))=TRUE,"Sin Celebrar",(VLOOKUP(B46,'Base de Datos'!$C$487:$N$4092,7,0)))</f>
        <v>Sin Celebrar</v>
      </c>
      <c r="K46" s="604"/>
      <c r="L46" s="580" t="e">
        <f t="shared" si="4"/>
        <v>#N/A</v>
      </c>
      <c r="M46" s="554"/>
      <c r="N46" s="536" t="e">
        <f t="shared" si="5"/>
        <v>#N/A</v>
      </c>
      <c r="O46" s="719" t="str">
        <f>IF(ISERROR(VLOOKUP(B46,'Base de Datos'!$C$487:$K$1048576,7,0))=TRUE," ",(VLOOKUP(B46,'Base de Datos'!$C$487:$K$1048576,8,0)))</f>
        <v xml:space="preserve"> </v>
      </c>
      <c r="P46" s="551" t="str">
        <f>IF(ISERROR(VLOOKUP(B46,'Base de Datos'!$C$487:$N$4077,9,0))=TRUE," ",(VLOOKUP(B46,'Base de Datos'!$C$487:$N$4077,10,0)))</f>
        <v xml:space="preserve"> </v>
      </c>
      <c r="Q46" s="737"/>
      <c r="R46" s="551" t="str">
        <f>IF(ISERROR(VLOOKUP(B46,'Base de Datos'!$C$487:$N$4077,10,0))=TRUE," ",(VLOOKUP(B46,'Base de Datos'!$C$487:$N$4077,11,0)))</f>
        <v xml:space="preserve"> </v>
      </c>
      <c r="S46" s="551" t="str">
        <f>IF(ISERROR(VLOOKUP(B46,'Base de Datos'!$C$487:$N$4077,11,0))=TRUE," ",(VLOOKUP(B46,'Base de Datos'!$C$487:$N$4077,12,0)))</f>
        <v xml:space="preserve"> </v>
      </c>
      <c r="T46" s="533" t="e">
        <f>VLOOKUP(B46,'Base de Datos'!$C$487:$AR$4129,41,0)</f>
        <v>#N/A</v>
      </c>
      <c r="U46" s="722"/>
      <c r="V46" s="634"/>
    </row>
    <row r="47" spans="2:22" outlineLevel="1" x14ac:dyDescent="0.25">
      <c r="B47" s="552"/>
      <c r="C47" s="553"/>
      <c r="D47" s="553" t="s">
        <v>1935</v>
      </c>
      <c r="E47" s="536" t="e">
        <f>E37-SUM(E39:E46)</f>
        <v>#N/A</v>
      </c>
      <c r="F47" s="555"/>
      <c r="G47" s="555"/>
      <c r="H47" s="555"/>
      <c r="I47" s="555"/>
      <c r="J47" s="536"/>
      <c r="K47" s="604"/>
      <c r="L47" s="554"/>
      <c r="M47" s="554"/>
      <c r="N47" s="554" t="e">
        <f t="shared" si="5"/>
        <v>#N/A</v>
      </c>
      <c r="O47" s="679"/>
      <c r="P47" s="556"/>
      <c r="Q47" s="553"/>
      <c r="R47" s="556"/>
      <c r="S47" s="556"/>
      <c r="T47" s="533"/>
      <c r="U47" s="722"/>
      <c r="V47" s="634"/>
    </row>
    <row r="48" spans="2:22" outlineLevel="1" x14ac:dyDescent="0.25">
      <c r="B48" s="1190"/>
      <c r="C48" s="1190"/>
      <c r="D48" s="1190"/>
      <c r="E48" s="536"/>
      <c r="F48" s="534"/>
      <c r="G48" s="534"/>
      <c r="H48" s="534"/>
      <c r="I48" s="534"/>
      <c r="J48" s="536"/>
      <c r="K48" s="600"/>
      <c r="L48" s="536"/>
      <c r="M48" s="536"/>
      <c r="N48" s="536"/>
      <c r="O48" s="678"/>
      <c r="P48" s="551"/>
      <c r="Q48" s="533"/>
      <c r="R48" s="551"/>
      <c r="S48" s="551"/>
      <c r="T48" s="533"/>
      <c r="U48" s="722"/>
      <c r="V48" s="634"/>
    </row>
    <row r="49" spans="2:22" ht="15" customHeight="1" x14ac:dyDescent="0.25">
      <c r="B49" s="1196" t="s">
        <v>1793</v>
      </c>
      <c r="C49" s="1196"/>
      <c r="D49" s="1196"/>
      <c r="E49" s="557">
        <v>9151221000</v>
      </c>
      <c r="F49" s="633"/>
      <c r="G49" s="558"/>
      <c r="H49" s="558"/>
      <c r="I49" s="558"/>
      <c r="J49" s="567">
        <f>J50+J90+J216</f>
        <v>7282067504</v>
      </c>
      <c r="K49" s="609">
        <f>J49/E49</f>
        <v>0.79574818529680358</v>
      </c>
      <c r="L49" s="567" t="e">
        <f>L50+L90+L216</f>
        <v>#N/A</v>
      </c>
      <c r="M49" s="567" t="e">
        <f>M50+M90+M216</f>
        <v>#N/A</v>
      </c>
      <c r="N49" s="567" t="e">
        <f>N50+N90+N216</f>
        <v>#N/A</v>
      </c>
      <c r="O49" s="685"/>
      <c r="P49" s="567"/>
      <c r="Q49" s="574"/>
      <c r="R49" s="573" t="str">
        <f>IF(ISERROR(VLOOKUP(B49,'Base de Datos'!$C$7:$N$315,9,0))=TRUE," ",(VLOOKUP(B49,'Base de Datos'!$C$7:$N$315,9,0)))</f>
        <v xml:space="preserve"> </v>
      </c>
      <c r="S49" s="573" t="str">
        <f>IF(ISERROR(VLOOKUP(B49,'Base de Datos'!$C$7:$N$315,10,0))=TRUE," ",(VLOOKUP(B49,'Base de Datos'!$C$7:$N$315,10,0)))</f>
        <v xml:space="preserve"> </v>
      </c>
      <c r="T49" s="569"/>
      <c r="U49" s="722"/>
      <c r="V49" s="634"/>
    </row>
    <row r="50" spans="2:22" ht="15" customHeight="1" x14ac:dyDescent="0.25">
      <c r="B50" s="1182" t="s">
        <v>1647</v>
      </c>
      <c r="C50" s="1182"/>
      <c r="D50" s="1182"/>
      <c r="E50" s="539">
        <v>2089000000</v>
      </c>
      <c r="F50" s="631"/>
      <c r="G50" s="540"/>
      <c r="H50" s="540"/>
      <c r="I50" s="540"/>
      <c r="J50" s="631">
        <f>+J51+J75+J82</f>
        <v>1484914187</v>
      </c>
      <c r="K50" s="631"/>
      <c r="L50" s="631" t="e">
        <f>+L51+L75+L82</f>
        <v>#N/A</v>
      </c>
      <c r="M50" s="631" t="e">
        <f>+M51+M75+M82</f>
        <v>#N/A</v>
      </c>
      <c r="N50" s="631" t="e">
        <f>+N51+N75+N82</f>
        <v>#N/A</v>
      </c>
      <c r="O50" s="686"/>
      <c r="P50" s="575" t="str">
        <f>IF(ISERROR(VLOOKUP(B50,'Base de Datos'!$C$7:$N$315,8,0))=TRUE," ",(VLOOKUP(B50,'Base de Datos'!$C$7:$N$315,8,0)))</f>
        <v xml:space="preserve"> </v>
      </c>
      <c r="Q50" s="569"/>
      <c r="R50" s="575" t="str">
        <f>IF(ISERROR(VLOOKUP(B50,'Base de Datos'!$C$7:$N$315,9,0))=TRUE," ",(VLOOKUP(B50,'Base de Datos'!$C$7:$N$315,9,0)))</f>
        <v xml:space="preserve"> </v>
      </c>
      <c r="S50" s="575" t="str">
        <f>IF(ISERROR(VLOOKUP(B50,'Base de Datos'!$C$7:$N$315,10,0))=TRUE," ",(VLOOKUP(B50,'Base de Datos'!$C$7:$N$315,10,0)))</f>
        <v xml:space="preserve"> </v>
      </c>
      <c r="T50" s="569"/>
      <c r="U50" s="722"/>
      <c r="V50" s="634"/>
    </row>
    <row r="51" spans="2:22" ht="15" customHeight="1" x14ac:dyDescent="0.25">
      <c r="B51" s="1181" t="s">
        <v>1648</v>
      </c>
      <c r="C51" s="1181"/>
      <c r="D51" s="1181"/>
      <c r="E51" s="581">
        <v>1414000000</v>
      </c>
      <c r="F51" s="586">
        <f>COUNTIF('Actualizada - presupuesto'!$E$7:$E$111,B51)</f>
        <v>15</v>
      </c>
      <c r="G51" s="586"/>
      <c r="H51" s="586"/>
      <c r="I51" s="586"/>
      <c r="J51" s="581">
        <f>SUM(J54:J72)</f>
        <v>655548587</v>
      </c>
      <c r="K51" s="603">
        <f>J51/E51</f>
        <v>0.46361286209335217</v>
      </c>
      <c r="L51" s="581" t="e">
        <f>SUM(L54:L72)</f>
        <v>#N/A</v>
      </c>
      <c r="M51" s="585" t="e">
        <f>+E51-(J51+L51)</f>
        <v>#N/A</v>
      </c>
      <c r="N51" s="581" t="e">
        <f>+E51-J51-L51</f>
        <v>#N/A</v>
      </c>
      <c r="O51" s="684"/>
      <c r="P51" s="591" t="str">
        <f>IF(ISERROR(VLOOKUP(B51,'Base de Datos'!$C$7:$N$315,8,0))=TRUE," ",(VLOOKUP(B51,'Base de Datos'!$C$7:$N$315,8,0)))</f>
        <v xml:space="preserve"> </v>
      </c>
      <c r="Q51" s="592"/>
      <c r="R51" s="591" t="str">
        <f>IF(ISERROR(VLOOKUP(B51,'Base de Datos'!$C$7:$N$315,9,0))=TRUE," ",(VLOOKUP(B51,'Base de Datos'!$C$7:$N$315,9,0)))</f>
        <v xml:space="preserve"> </v>
      </c>
      <c r="S51" s="591" t="str">
        <f>IF(ISERROR(VLOOKUP(B51,'Base de Datos'!$C$7:$N$315,10,0))=TRUE," ",(VLOOKUP(B51,'Base de Datos'!$C$7:$N$315,10,0)))</f>
        <v xml:space="preserve"> </v>
      </c>
      <c r="T51" s="592"/>
      <c r="U51" s="722"/>
      <c r="V51" s="634"/>
    </row>
    <row r="52" spans="2:22" ht="24" outlineLevel="1" x14ac:dyDescent="0.25">
      <c r="B52" s="537" t="s">
        <v>1693</v>
      </c>
      <c r="C52" s="537" t="s">
        <v>912</v>
      </c>
      <c r="D52" s="537" t="s">
        <v>1822</v>
      </c>
      <c r="E52" s="545" t="s">
        <v>1846</v>
      </c>
      <c r="F52" s="534" t="s">
        <v>1853</v>
      </c>
      <c r="G52" s="534"/>
      <c r="H52" s="534"/>
      <c r="I52" s="534"/>
      <c r="J52" s="537" t="s">
        <v>1845</v>
      </c>
      <c r="K52" s="652"/>
      <c r="L52" s="537" t="s">
        <v>1939</v>
      </c>
      <c r="M52" s="537"/>
      <c r="N52" s="537" t="s">
        <v>1940</v>
      </c>
      <c r="O52" s="677"/>
      <c r="P52" s="568" t="s">
        <v>1847</v>
      </c>
      <c r="Q52" s="537" t="s">
        <v>1848</v>
      </c>
      <c r="R52" s="537" t="s">
        <v>1849</v>
      </c>
      <c r="S52" s="537" t="s">
        <v>375</v>
      </c>
      <c r="T52" s="537" t="s">
        <v>1850</v>
      </c>
      <c r="U52" s="722"/>
      <c r="V52" s="634"/>
    </row>
    <row r="53" spans="2:22" ht="24" outlineLevel="1" x14ac:dyDescent="0.25">
      <c r="B53" s="537">
        <v>63</v>
      </c>
      <c r="C53" s="533" t="str">
        <f>IF(ISERROR(VLOOKUP(B53,'Base de Datos'!$C$487:$F$4092,2,0))=TRUE,"",(VLOOKUP('Presupuesto - PAA 2018'!B53,'Base de Datos'!$C$7:$F$4092,3,0)))</f>
        <v>150249-0-2015</v>
      </c>
      <c r="D53" s="533" t="str">
        <f>IF(ISERROR(VLOOKUP(B53,'Base de Datos'!$C$487:$F$4092,3,0))=TRUE,"",(VLOOKUP('Presupuesto - PAA 2018'!B53,'Base de Datos'!$C$487:$F$4092,4,0)))</f>
        <v>MONRAK INGENIERIA LTDA</v>
      </c>
      <c r="E53" s="536">
        <f>VLOOKUP(B53,[7]PAA2017!$C$65:$AA$255,20,0)</f>
        <v>8638000</v>
      </c>
      <c r="F53" s="534" t="e">
        <f>VLOOKUP(B53,[8]SOLICITUDES!$B$3:$H$278,2,0)</f>
        <v>#N/A</v>
      </c>
      <c r="G53" s="534"/>
      <c r="H53" s="534"/>
      <c r="I53" s="534"/>
      <c r="J53" s="536">
        <f>IF(ISERROR(VLOOKUP(B53,'Base de Datos'!$C$487:$N$4092,6,0))=TRUE,"Sin Celebrar",(VLOOKUP(B53,'Base de Datos'!$C$487:$N$4092,7,0)))</f>
        <v>1800000</v>
      </c>
      <c r="K53" s="600"/>
      <c r="L53" s="580" t="str">
        <f t="shared" ref="L53:L67" si="6">IF(J53=$AA$1,E53, " ")</f>
        <v xml:space="preserve"> </v>
      </c>
      <c r="M53" s="536"/>
      <c r="N53" s="536">
        <f t="shared" ref="N53:N67" si="7">IF(J53&lt;E53,(E53-J53)," ")</f>
        <v>6838000</v>
      </c>
      <c r="O53" s="719" t="str">
        <f>IF(ISERROR(VLOOKUP(B53,'Base de Datos'!$C$487:$K$1048576,7,0))=TRUE," ",(VLOOKUP(B53,'Base de Datos'!$C$487:$K$1048576,8,0)))</f>
        <v>SDH-SMINC-44-2018</v>
      </c>
      <c r="P53" s="551">
        <f>IF(ISERROR(VLOOKUP(B53,'Base de Datos'!$C$487:$N$4077,9,0))=TRUE," ",(VLOOKUP(B53,'Base de Datos'!$C$487:$N$4077,10,0)))</f>
        <v>43390</v>
      </c>
      <c r="Q53" s="737"/>
      <c r="R53" s="551">
        <f>IF(ISERROR(VLOOKUP(B53,'Base de Datos'!$C$487:$N$4077,10,0))=TRUE," ",(VLOOKUP(B53,'Base de Datos'!$C$487:$N$4077,11,0)))</f>
        <v>43397</v>
      </c>
      <c r="S53" s="551">
        <f>IF(ISERROR(VLOOKUP(B53,'Base de Datos'!$C$487:$N$4077,11,0))=TRUE," ",(VLOOKUP(B53,'Base de Datos'!$C$487:$N$4077,12,0)))</f>
        <v>43761</v>
      </c>
      <c r="T53" s="533" t="str">
        <f>VLOOKUP(B53,'Base de Datos'!$C$487:$AR$4129,41,0)</f>
        <v>SI</v>
      </c>
      <c r="U53" s="722"/>
      <c r="V53" s="634"/>
    </row>
    <row r="54" spans="2:22" ht="12" customHeight="1" outlineLevel="1" x14ac:dyDescent="0.25">
      <c r="B54" s="537">
        <v>73</v>
      </c>
      <c r="C54" s="533" t="str">
        <f>IF(ISERROR(VLOOKUP(B54,'Base de Datos'!$C$487:$F$4092,2,0))=TRUE,"",(VLOOKUP('Presupuesto - PAA 2018'!B54,'Base de Datos'!$C$7:$F$4092,3,0)))</f>
        <v>170186-0-2017</v>
      </c>
      <c r="D54" s="533" t="str">
        <f>IF(ISERROR(VLOOKUP(B54,'Base de Datos'!$C$487:$F$4092,3,0))=TRUE,"",(VLOOKUP('Presupuesto - PAA 2018'!B54,'Base de Datos'!$C$487:$F$4092,4,0)))</f>
        <v xml:space="preserve">INFORMATICA DOCUMENTAL SAS </v>
      </c>
      <c r="E54" s="536">
        <f>VLOOKUP(B54,[7]PAA2017!$C$65:$AA$255,20,0)</f>
        <v>8320000</v>
      </c>
      <c r="F54" s="534" t="e">
        <f>VLOOKUP(B54,[8]SOLICITUDES!$B$3:$H$278,2,0)</f>
        <v>#N/A</v>
      </c>
      <c r="G54" s="534"/>
      <c r="H54" s="534"/>
      <c r="I54" s="534"/>
      <c r="J54" s="536">
        <f>IF(ISERROR(VLOOKUP(B54,'Base de Datos'!$C$487:$N$4092,6,0))=TRUE,"Sin Celebrar",(VLOOKUP(B54,'Base de Datos'!$C$487:$N$4092,7,0)))</f>
        <v>8320000</v>
      </c>
      <c r="K54" s="600"/>
      <c r="L54" s="580" t="str">
        <f t="shared" si="6"/>
        <v xml:space="preserve"> </v>
      </c>
      <c r="M54" s="536"/>
      <c r="N54" s="536" t="str">
        <f t="shared" si="7"/>
        <v xml:space="preserve"> </v>
      </c>
      <c r="O54" s="719" t="str">
        <f>IF(ISERROR(VLOOKUP(B54,'Base de Datos'!$C$487:$K$1048576,7,0))=TRUE," ",(VLOOKUP(B54,'Base de Datos'!$C$487:$K$1048576,8,0)))</f>
        <v>170186-0-2017</v>
      </c>
      <c r="P54" s="551">
        <f>IF(ISERROR(VLOOKUP(B54,'Base de Datos'!$C$487:$N$4077,9,0))=TRUE," ",(VLOOKUP(B54,'Base de Datos'!$C$487:$N$4077,10,0)))</f>
        <v>42934</v>
      </c>
      <c r="Q54" s="737"/>
      <c r="R54" s="551">
        <f>IF(ISERROR(VLOOKUP(B54,'Base de Datos'!$C$487:$N$4077,10,0))=TRUE," ",(VLOOKUP(B54,'Base de Datos'!$C$487:$N$4077,11,0)))</f>
        <v>42941</v>
      </c>
      <c r="S54" s="551">
        <f>IF(ISERROR(VLOOKUP(B54,'Base de Datos'!$C$487:$N$4077,11,0))=TRUE," ",(VLOOKUP(B54,'Base de Datos'!$C$487:$N$4077,12,0)))</f>
        <v>43215</v>
      </c>
      <c r="T54" s="533" t="str">
        <f>VLOOKUP(B54,'Base de Datos'!$C$487:$AR$4129,41,0)</f>
        <v>SI</v>
      </c>
      <c r="U54" s="722"/>
      <c r="V54" s="634"/>
    </row>
    <row r="55" spans="2:22" ht="15" customHeight="1" outlineLevel="1" x14ac:dyDescent="0.25">
      <c r="B55" s="537">
        <v>74</v>
      </c>
      <c r="C55" s="533" t="str">
        <f>IF(ISERROR(VLOOKUP(B55,'Base de Datos'!$C$487:$F$4092,2,0))=TRUE,"",(VLOOKUP('Presupuesto - PAA 2018'!B55,'Base de Datos'!$C$7:$F$4092,3,0)))</f>
        <v/>
      </c>
      <c r="D55" s="533" t="str">
        <f>IF(ISERROR(VLOOKUP(B55,'Base de Datos'!$C$487:$F$4092,3,0))=TRUE,"",(VLOOKUP('Presupuesto - PAA 2018'!B55,'Base de Datos'!$C$487:$F$4092,4,0)))</f>
        <v/>
      </c>
      <c r="E55" s="536">
        <f>VLOOKUP(B55,[7]PAA2017!$C$65:$AA$255,20,0)</f>
        <v>20000000</v>
      </c>
      <c r="F55" s="534" t="e">
        <f>VLOOKUP(B55,[8]SOLICITUDES!$B$3:$H$278,2,0)</f>
        <v>#N/A</v>
      </c>
      <c r="G55" s="534"/>
      <c r="H55" s="534"/>
      <c r="I55" s="534"/>
      <c r="J55" s="536" t="str">
        <f>IF(ISERROR(VLOOKUP(B55,'Base de Datos'!$C$487:$N$4092,6,0))=TRUE,"Sin Celebrar",(VLOOKUP(B55,'Base de Datos'!$C$487:$N$4092,7,0)))</f>
        <v>Sin Celebrar</v>
      </c>
      <c r="K55" s="600"/>
      <c r="L55" s="580">
        <f t="shared" si="6"/>
        <v>20000000</v>
      </c>
      <c r="M55" s="536"/>
      <c r="N55" s="536" t="str">
        <f t="shared" si="7"/>
        <v xml:space="preserve"> </v>
      </c>
      <c r="O55" s="719" t="str">
        <f>IF(ISERROR(VLOOKUP(B55,'Base de Datos'!$C$487:$K$1048576,7,0))=TRUE," ",(VLOOKUP(B55,'Base de Datos'!$C$487:$K$1048576,8,0)))</f>
        <v xml:space="preserve"> </v>
      </c>
      <c r="P55" s="551" t="str">
        <f>IF(ISERROR(VLOOKUP(B55,'Base de Datos'!$C$487:$N$4077,9,0))=TRUE," ",(VLOOKUP(B55,'Base de Datos'!$C$487:$N$4077,10,0)))</f>
        <v xml:space="preserve"> </v>
      </c>
      <c r="Q55" s="737"/>
      <c r="R55" s="551" t="str">
        <f>IF(ISERROR(VLOOKUP(B55,'Base de Datos'!$C$487:$N$4077,10,0))=TRUE," ",(VLOOKUP(B55,'Base de Datos'!$C$487:$N$4077,11,0)))</f>
        <v xml:space="preserve"> </v>
      </c>
      <c r="S55" s="551" t="str">
        <f>IF(ISERROR(VLOOKUP(B55,'Base de Datos'!$C$487:$N$4077,11,0))=TRUE," ",(VLOOKUP(B55,'Base de Datos'!$C$487:$N$4077,12,0)))</f>
        <v xml:space="preserve"> </v>
      </c>
      <c r="T55" s="533" t="e">
        <f>VLOOKUP(B55,'Base de Datos'!$C$487:$AR$4129,41,0)</f>
        <v>#N/A</v>
      </c>
      <c r="U55" s="722"/>
      <c r="V55" s="634"/>
    </row>
    <row r="56" spans="2:22" ht="15" customHeight="1" outlineLevel="1" x14ac:dyDescent="0.25">
      <c r="B56" s="537">
        <v>75</v>
      </c>
      <c r="C56" s="533" t="str">
        <f>IF(ISERROR(VLOOKUP(B56,'Base de Datos'!$C$487:$F$4092,2,0))=TRUE,"",(VLOOKUP('Presupuesto - PAA 2018'!B56,'Base de Datos'!$C$7:$F$4092,3,0)))</f>
        <v>150236-0-2015</v>
      </c>
      <c r="D56" s="533" t="str">
        <f>IF(ISERROR(VLOOKUP(B56,'Base de Datos'!$C$487:$F$4092,3,0))=TRUE,"",(VLOOKUP('Presupuesto - PAA 2018'!B56,'Base de Datos'!$C$487:$F$4092,4,0)))</f>
        <v xml:space="preserve">ARANDA SOFTWARE ANDINA SAS  </v>
      </c>
      <c r="E56" s="536">
        <f>VLOOKUP(B56,[7]PAA2017!$C$65:$AA$255,20,0)</f>
        <v>80000000</v>
      </c>
      <c r="F56" s="534" t="e">
        <f>VLOOKUP(B56,[8]SOLICITUDES!$B$3:$H$278,2,0)</f>
        <v>#N/A</v>
      </c>
      <c r="G56" s="534"/>
      <c r="H56" s="534"/>
      <c r="I56" s="534"/>
      <c r="J56" s="536">
        <f>IF(ISERROR(VLOOKUP(B56,'Base de Datos'!$C$487:$N$4092,6,0))=TRUE,"Sin Celebrar",(VLOOKUP(B56,'Base de Datos'!$C$487:$N$4092,7,0)))</f>
        <v>63846922</v>
      </c>
      <c r="K56" s="600"/>
      <c r="L56" s="580" t="str">
        <f t="shared" si="6"/>
        <v xml:space="preserve"> </v>
      </c>
      <c r="M56" s="536"/>
      <c r="N56" s="536">
        <f t="shared" si="7"/>
        <v>16153078</v>
      </c>
      <c r="O56" s="719" t="str">
        <f>IF(ISERROR(VLOOKUP(B56,'Base de Datos'!$C$487:$K$1048576,7,0))=TRUE," ",(VLOOKUP(B56,'Base de Datos'!$C$487:$K$1048576,8,0)))</f>
        <v>170148-0-2017</v>
      </c>
      <c r="P56" s="551">
        <f>IF(ISERROR(VLOOKUP(B56,'Base de Datos'!$C$487:$N$4077,9,0))=TRUE," ",(VLOOKUP(B56,'Base de Datos'!$C$487:$N$4077,10,0)))</f>
        <v>42887</v>
      </c>
      <c r="Q56" s="737"/>
      <c r="R56" s="551">
        <f>IF(ISERROR(VLOOKUP(B56,'Base de Datos'!$C$487:$N$4077,10,0))=TRUE," ",(VLOOKUP(B56,'Base de Datos'!$C$487:$N$4077,11,0)))</f>
        <v>42898</v>
      </c>
      <c r="S56" s="551">
        <f>IF(ISERROR(VLOOKUP(B56,'Base de Datos'!$C$487:$N$4077,11,0))=TRUE," ",(VLOOKUP(B56,'Base de Datos'!$C$487:$N$4077,12,0)))</f>
        <v>43202</v>
      </c>
      <c r="T56" s="533" t="str">
        <f>VLOOKUP(B56,'Base de Datos'!$C$487:$AR$4129,41,0)</f>
        <v>SI</v>
      </c>
      <c r="U56" s="722"/>
      <c r="V56" s="634"/>
    </row>
    <row r="57" spans="2:22" ht="15" customHeight="1" outlineLevel="1" x14ac:dyDescent="0.25">
      <c r="B57" s="537">
        <v>76</v>
      </c>
      <c r="C57" s="533" t="str">
        <f>IF(ISERROR(VLOOKUP(B57,'Base de Datos'!$C$487:$F$4092,2,0))=TRUE,"",(VLOOKUP('Presupuesto - PAA 2018'!B57,'Base de Datos'!$C$7:$F$4092,3,0)))</f>
        <v>170309-0-2017</v>
      </c>
      <c r="D57" s="533" t="str">
        <f>IF(ISERROR(VLOOKUP(B57,'Base de Datos'!$C$487:$F$4092,3,0))=TRUE,"",(VLOOKUP('Presupuesto - PAA 2018'!B57,'Base de Datos'!$C$487:$F$4092,4,0)))</f>
        <v>BRANCH OF MICROSOFT COLOMBIA INC</v>
      </c>
      <c r="E57" s="536">
        <f>VLOOKUP(B57,[7]PAA2017!$C$65:$AA$255,20,0)</f>
        <v>228488000</v>
      </c>
      <c r="F57" s="534" t="e">
        <f>VLOOKUP(B57,[8]SOLICITUDES!$B$3:$H$278,2,0)</f>
        <v>#N/A</v>
      </c>
      <c r="G57" s="534"/>
      <c r="H57" s="534"/>
      <c r="I57" s="534"/>
      <c r="J57" s="536">
        <f>IF(ISERROR(VLOOKUP(B57,'Base de Datos'!$C$487:$N$4092,6,0))=TRUE,"Sin Celebrar",(VLOOKUP(B57,'Base de Datos'!$C$487:$N$4092,7,0)))</f>
        <v>228000000</v>
      </c>
      <c r="K57" s="600"/>
      <c r="L57" s="580" t="str">
        <f t="shared" si="6"/>
        <v xml:space="preserve"> </v>
      </c>
      <c r="M57" s="536"/>
      <c r="N57" s="536">
        <f t="shared" si="7"/>
        <v>488000</v>
      </c>
      <c r="O57" s="719" t="str">
        <f>IF(ISERROR(VLOOKUP(B57,'Base de Datos'!$C$487:$K$1048576,7,0))=TRUE," ",(VLOOKUP(B57,'Base de Datos'!$C$487:$K$1048576,8,0)))</f>
        <v>170309-0-2017</v>
      </c>
      <c r="P57" s="551">
        <f>IF(ISERROR(VLOOKUP(B57,'Base de Datos'!$C$487:$N$4077,9,0))=TRUE," ",(VLOOKUP(B57,'Base de Datos'!$C$487:$N$4077,10,0)))</f>
        <v>43042</v>
      </c>
      <c r="Q57" s="737"/>
      <c r="R57" s="551">
        <f>IF(ISERROR(VLOOKUP(B57,'Base de Datos'!$C$487:$N$4077,10,0))=TRUE," ",(VLOOKUP(B57,'Base de Datos'!$C$487:$N$4077,11,0)))</f>
        <v>43075</v>
      </c>
      <c r="S57" s="551">
        <f>IF(ISERROR(VLOOKUP(B57,'Base de Datos'!$C$487:$N$4077,11,0))=TRUE," ",(VLOOKUP(B57,'Base de Datos'!$C$487:$N$4077,12,0)))</f>
        <v>43439</v>
      </c>
      <c r="T57" s="533" t="str">
        <f>VLOOKUP(B57,'Base de Datos'!$C$487:$AR$4129,41,0)</f>
        <v>SI</v>
      </c>
      <c r="U57" s="722"/>
      <c r="V57" s="634"/>
    </row>
    <row r="58" spans="2:22" ht="15" customHeight="1" outlineLevel="1" x14ac:dyDescent="0.25">
      <c r="B58" s="537">
        <v>77</v>
      </c>
      <c r="C58" s="533" t="str">
        <f>IF(ISERROR(VLOOKUP(B58,'Base de Datos'!$C$487:$F$4092,2,0))=TRUE,"",(VLOOKUP('Presupuesto - PAA 2018'!B58,'Base de Datos'!$C$7:$F$4092,3,0)))</f>
        <v>170154-0-2017</v>
      </c>
      <c r="D58" s="533" t="str">
        <f>IF(ISERROR(VLOOKUP(B58,'Base de Datos'!$C$487:$F$4092,3,0))=TRUE,"",(VLOOKUP('Presupuesto - PAA 2018'!B58,'Base de Datos'!$C$487:$F$4092,4,0)))</f>
        <v>BUSINESSMIND COLOMBIA S.A.</v>
      </c>
      <c r="E58" s="536">
        <f>VLOOKUP(B58,[7]PAA2017!$C$65:$AA$255,20,0)</f>
        <v>91000000</v>
      </c>
      <c r="F58" s="534" t="e">
        <f>VLOOKUP(B58,[8]SOLICITUDES!$B$3:$H$278,2,0)</f>
        <v>#N/A</v>
      </c>
      <c r="G58" s="534"/>
      <c r="H58" s="534"/>
      <c r="I58" s="534"/>
      <c r="J58" s="536">
        <f>IF(ISERROR(VLOOKUP(B58,'Base de Datos'!$C$487:$N$4092,6,0))=TRUE,"Sin Celebrar",(VLOOKUP(B58,'Base de Datos'!$C$487:$N$4092,7,0)))</f>
        <v>110600000</v>
      </c>
      <c r="K58" s="600"/>
      <c r="L58" s="580" t="str">
        <f t="shared" si="6"/>
        <v xml:space="preserve"> </v>
      </c>
      <c r="M58" s="536"/>
      <c r="N58" s="536" t="str">
        <f t="shared" si="7"/>
        <v xml:space="preserve"> </v>
      </c>
      <c r="O58" s="719" t="str">
        <f>IF(ISERROR(VLOOKUP(B58,'Base de Datos'!$C$487:$K$1048576,7,0))=TRUE," ",(VLOOKUP(B58,'Base de Datos'!$C$487:$K$1048576,8,0)))</f>
        <v>SDH-SAMC-04-2017</v>
      </c>
      <c r="P58" s="551">
        <f>IF(ISERROR(VLOOKUP(B58,'Base de Datos'!$C$487:$N$4077,9,0))=TRUE," ",(VLOOKUP(B58,'Base de Datos'!$C$487:$N$4077,10,0)))</f>
        <v>42891</v>
      </c>
      <c r="Q58" s="737"/>
      <c r="R58" s="551">
        <f>IF(ISERROR(VLOOKUP(B58,'Base de Datos'!$C$487:$N$4077,10,0))=TRUE," ",(VLOOKUP(B58,'Base de Datos'!$C$487:$N$4077,11,0)))</f>
        <v>42906</v>
      </c>
      <c r="S58" s="551">
        <f>IF(ISERROR(VLOOKUP(B58,'Base de Datos'!$C$487:$N$4077,11,0))=TRUE," ",(VLOOKUP(B58,'Base de Datos'!$C$487:$N$4077,12,0)))</f>
        <v>43210</v>
      </c>
      <c r="T58" s="533" t="str">
        <f ca="1">VLOOKUP(B58,'Base de Datos'!$C$487:$AR$4129,41,0)</f>
        <v>SI</v>
      </c>
      <c r="U58" s="722"/>
      <c r="V58" s="634"/>
    </row>
    <row r="59" spans="2:22" ht="15" customHeight="1" outlineLevel="1" x14ac:dyDescent="0.25">
      <c r="B59" s="537">
        <v>78</v>
      </c>
      <c r="C59" s="533" t="str">
        <f>IF(ISERROR(VLOOKUP(B59,'Base de Datos'!$C$487:$F$4092,2,0))=TRUE,"",(VLOOKUP('Presupuesto - PAA 2018'!B59,'Base de Datos'!$C$7:$F$4092,3,0)))</f>
        <v>170345-0-2017</v>
      </c>
      <c r="D59" s="533" t="str">
        <f>IF(ISERROR(VLOOKUP(B59,'Base de Datos'!$C$487:$F$4092,3,0))=TRUE,"",(VLOOKUP('Presupuesto - PAA 2018'!B59,'Base de Datos'!$C$487:$F$4092,4,0)))</f>
        <v>GRUPO EMPRESARIAL SOLUCIONES CUATRO EN UNO SAS</v>
      </c>
      <c r="E59" s="536">
        <f>VLOOKUP(B59,[7]PAA2017!$C$65:$AA$255,20,0)</f>
        <v>18000000</v>
      </c>
      <c r="F59" s="534" t="e">
        <f>VLOOKUP(B59,[8]SOLICITUDES!$B$3:$H$278,2,0)</f>
        <v>#N/A</v>
      </c>
      <c r="G59" s="534"/>
      <c r="H59" s="534"/>
      <c r="I59" s="534"/>
      <c r="J59" s="536">
        <f>IF(ISERROR(VLOOKUP(B59,'Base de Datos'!$C$487:$N$4092,6,0))=TRUE,"Sin Celebrar",(VLOOKUP(B59,'Base de Datos'!$C$487:$N$4092,7,0)))</f>
        <v>11637012</v>
      </c>
      <c r="K59" s="600"/>
      <c r="L59" s="580" t="str">
        <f t="shared" si="6"/>
        <v xml:space="preserve"> </v>
      </c>
      <c r="M59" s="536"/>
      <c r="N59" s="536">
        <f t="shared" si="7"/>
        <v>6362988</v>
      </c>
      <c r="O59" s="719" t="str">
        <f>IF(ISERROR(VLOOKUP(B59,'Base de Datos'!$C$487:$K$1048576,7,0))=TRUE," ",(VLOOKUP(B59,'Base de Datos'!$C$487:$K$1048576,8,0)))</f>
        <v>SDH-SMINC-046-2017</v>
      </c>
      <c r="P59" s="551">
        <f>IF(ISERROR(VLOOKUP(B59,'Base de Datos'!$C$487:$N$4077,9,0))=TRUE," ",(VLOOKUP(B59,'Base de Datos'!$C$487:$N$4077,10,0)))</f>
        <v>43075</v>
      </c>
      <c r="Q59" s="737"/>
      <c r="R59" s="551">
        <f>IF(ISERROR(VLOOKUP(B59,'Base de Datos'!$C$487:$N$4077,10,0))=TRUE," ",(VLOOKUP(B59,'Base de Datos'!$C$487:$N$4077,11,0)))</f>
        <v>43096</v>
      </c>
      <c r="S59" s="551">
        <f>IF(ISERROR(VLOOKUP(B59,'Base de Datos'!$C$487:$N$4077,11,0))=TRUE," ",(VLOOKUP(B59,'Base de Datos'!$C$487:$N$4077,12,0)))</f>
        <v>43369</v>
      </c>
      <c r="T59" s="533" t="str">
        <f>VLOOKUP(B59,'Base de Datos'!$C$487:$AR$4129,41,0)</f>
        <v>SI</v>
      </c>
      <c r="U59" s="722"/>
      <c r="V59" s="634"/>
    </row>
    <row r="60" spans="2:22" ht="15" customHeight="1" outlineLevel="1" x14ac:dyDescent="0.25">
      <c r="B60" s="537">
        <v>79</v>
      </c>
      <c r="C60" s="533" t="str">
        <f>IF(ISERROR(VLOOKUP(B60,'Base de Datos'!$C$487:$F$4092,2,0))=TRUE,"",(VLOOKUP('Presupuesto - PAA 2018'!B60,'Base de Datos'!$C$7:$F$4092,3,0)))</f>
        <v>170329-0-2017</v>
      </c>
      <c r="D60" s="533" t="str">
        <f>IF(ISERROR(VLOOKUP(B60,'Base de Datos'!$C$487:$F$4092,3,0))=TRUE,"",(VLOOKUP('Presupuesto - PAA 2018'!B60,'Base de Datos'!$C$487:$F$4092,4,0)))</f>
        <v>CARLOS ALBERTO CASTELLANOS MEDINA</v>
      </c>
      <c r="E60" s="536">
        <f>VLOOKUP(B60,[7]PAA2017!$C$65:$AA$255,20,0)</f>
        <v>12500000</v>
      </c>
      <c r="F60" s="534" t="e">
        <f>VLOOKUP(B60,[8]SOLICITUDES!$B$3:$H$278,2,0)</f>
        <v>#N/A</v>
      </c>
      <c r="G60" s="534"/>
      <c r="H60" s="534"/>
      <c r="I60" s="534"/>
      <c r="J60" s="536">
        <f>IF(ISERROR(VLOOKUP(B60,'Base de Datos'!$C$487:$N$4092,6,0))=TRUE,"Sin Celebrar",(VLOOKUP(B60,'Base de Datos'!$C$487:$N$4092,7,0)))</f>
        <v>12500004</v>
      </c>
      <c r="K60" s="600"/>
      <c r="L60" s="580" t="str">
        <f t="shared" si="6"/>
        <v xml:space="preserve"> </v>
      </c>
      <c r="M60" s="536"/>
      <c r="N60" s="536" t="str">
        <f t="shared" si="7"/>
        <v xml:space="preserve"> </v>
      </c>
      <c r="O60" s="719" t="str">
        <f>IF(ISERROR(VLOOKUP(B60,'Base de Datos'!$C$487:$K$1048576,7,0))=TRUE," ",(VLOOKUP(B60,'Base de Datos'!$C$487:$K$1048576,8,0)))</f>
        <v>SDH-SMINC-47-2017</v>
      </c>
      <c r="P60" s="551">
        <f>IF(ISERROR(VLOOKUP(B60,'Base de Datos'!$C$487:$N$4077,9,0))=TRUE," ",(VLOOKUP(B60,'Base de Datos'!$C$487:$N$4077,10,0)))</f>
        <v>43060</v>
      </c>
      <c r="Q60" s="737"/>
      <c r="R60" s="551">
        <f>IF(ISERROR(VLOOKUP(B60,'Base de Datos'!$C$487:$N$4077,10,0))=TRUE," ",(VLOOKUP(B60,'Base de Datos'!$C$487:$N$4077,11,0)))</f>
        <v>43096</v>
      </c>
      <c r="S60" s="551">
        <f>IF(ISERROR(VLOOKUP(B60,'Base de Datos'!$C$487:$N$4077,11,0))=TRUE," ",(VLOOKUP(B60,'Base de Datos'!$C$487:$N$4077,12,0)))</f>
        <v>43460</v>
      </c>
      <c r="T60" s="533" t="str">
        <f>VLOOKUP(B60,'Base de Datos'!$C$487:$AR$4129,41,0)</f>
        <v>SI</v>
      </c>
      <c r="U60" s="722"/>
      <c r="V60" s="634"/>
    </row>
    <row r="61" spans="2:22" ht="15" customHeight="1" outlineLevel="1" x14ac:dyDescent="0.25">
      <c r="B61" s="537">
        <v>80</v>
      </c>
      <c r="C61" s="533" t="str">
        <f>IF(ISERROR(VLOOKUP(B61,'Base de Datos'!$C$487:$F$4092,2,0))=TRUE,"",(VLOOKUP('Presupuesto - PAA 2018'!B61,'Base de Datos'!$C$7:$F$4092,3,0)))</f>
        <v/>
      </c>
      <c r="D61" s="533" t="str">
        <f>IF(ISERROR(VLOOKUP(B61,'Base de Datos'!$C$487:$F$4092,3,0))=TRUE,"",(VLOOKUP('Presupuesto - PAA 2018'!B61,'Base de Datos'!$C$487:$F$4092,4,0)))</f>
        <v/>
      </c>
      <c r="E61" s="536">
        <f>VLOOKUP(B61,[7]PAA2017!$C$65:$AA$255,20,0)</f>
        <v>86500000</v>
      </c>
      <c r="F61" s="534" t="e">
        <f>VLOOKUP(B61,[8]SOLICITUDES!$B$3:$H$278,2,0)</f>
        <v>#N/A</v>
      </c>
      <c r="G61" s="534"/>
      <c r="H61" s="534"/>
      <c r="I61" s="534"/>
      <c r="J61" s="536" t="str">
        <f>IF(ISERROR(VLOOKUP(B61,'Base de Datos'!$C$487:$N$4092,6,0))=TRUE,"Sin Celebrar",(VLOOKUP(B61,'Base de Datos'!$C$487:$N$4092,7,0)))</f>
        <v>Sin Celebrar</v>
      </c>
      <c r="K61" s="600"/>
      <c r="L61" s="580">
        <f t="shared" si="6"/>
        <v>86500000</v>
      </c>
      <c r="M61" s="536"/>
      <c r="N61" s="536" t="str">
        <f t="shared" si="7"/>
        <v xml:space="preserve"> </v>
      </c>
      <c r="O61" s="719" t="str">
        <f>IF(ISERROR(VLOOKUP(B61,'Base de Datos'!$C$487:$K$1048576,7,0))=TRUE," ",(VLOOKUP(B61,'Base de Datos'!$C$487:$K$1048576,8,0)))</f>
        <v xml:space="preserve"> </v>
      </c>
      <c r="P61" s="551" t="str">
        <f>IF(ISERROR(VLOOKUP(B61,'Base de Datos'!$C$487:$N$4077,9,0))=TRUE," ",(VLOOKUP(B61,'Base de Datos'!$C$487:$N$4077,10,0)))</f>
        <v xml:space="preserve"> </v>
      </c>
      <c r="Q61" s="737"/>
      <c r="R61" s="551" t="str">
        <f>IF(ISERROR(VLOOKUP(B61,'Base de Datos'!$C$487:$N$4077,10,0))=TRUE," ",(VLOOKUP(B61,'Base de Datos'!$C$487:$N$4077,11,0)))</f>
        <v xml:space="preserve"> </v>
      </c>
      <c r="S61" s="551" t="str">
        <f>IF(ISERROR(VLOOKUP(B61,'Base de Datos'!$C$487:$N$4077,11,0))=TRUE," ",(VLOOKUP(B61,'Base de Datos'!$C$487:$N$4077,12,0)))</f>
        <v xml:space="preserve"> </v>
      </c>
      <c r="T61" s="533" t="e">
        <f>VLOOKUP(B61,'Base de Datos'!$C$487:$AR$4129,41,0)</f>
        <v>#N/A</v>
      </c>
      <c r="U61" s="722"/>
      <c r="V61" s="634"/>
    </row>
    <row r="62" spans="2:22" ht="15" customHeight="1" outlineLevel="1" x14ac:dyDescent="0.25">
      <c r="B62" s="537">
        <v>81</v>
      </c>
      <c r="C62" s="533" t="str">
        <f>IF(ISERROR(VLOOKUP(B62,'Base de Datos'!$C$487:$F$4092,2,0))=TRUE,"",(VLOOKUP('Presupuesto - PAA 2018'!B62,'Base de Datos'!$C$7:$F$4092,3,0)))</f>
        <v>170041-0-2017</v>
      </c>
      <c r="D62" s="533" t="str">
        <f>IF(ISERROR(VLOOKUP(B62,'Base de Datos'!$C$487:$F$4092,3,0))=TRUE,"",(VLOOKUP('Presupuesto - PAA 2018'!B62,'Base de Datos'!$C$487:$F$4092,4,0)))</f>
        <v>SOLUCIONES ICG SAS</v>
      </c>
      <c r="E62" s="536">
        <f>VLOOKUP(B62,[7]PAA2017!$C$65:$AA$255,20,0)</f>
        <v>50000000</v>
      </c>
      <c r="F62" s="534" t="e">
        <f>VLOOKUP(B62,[8]SOLICITUDES!$B$3:$H$278,2,0)</f>
        <v>#N/A</v>
      </c>
      <c r="G62" s="534"/>
      <c r="H62" s="534"/>
      <c r="I62" s="534"/>
      <c r="J62" s="536">
        <f>IF(ISERROR(VLOOKUP(B62,'Base de Datos'!$C$487:$N$4092,6,0))=TRUE,"Sin Celebrar",(VLOOKUP(B62,'Base de Datos'!$C$487:$N$4092,7,0)))</f>
        <v>65851149</v>
      </c>
      <c r="K62" s="600"/>
      <c r="L62" s="580" t="str">
        <f t="shared" si="6"/>
        <v xml:space="preserve"> </v>
      </c>
      <c r="M62" s="536"/>
      <c r="N62" s="536" t="str">
        <f t="shared" si="7"/>
        <v xml:space="preserve"> </v>
      </c>
      <c r="O62" s="719" t="str">
        <f>IF(ISERROR(VLOOKUP(B62,'Base de Datos'!$C$487:$K$1048576,7,0))=TRUE," ",(VLOOKUP(B62,'Base de Datos'!$C$487:$K$1048576,8,0)))</f>
        <v>SDH-SMINC-01-2017</v>
      </c>
      <c r="P62" s="551">
        <f>IF(ISERROR(VLOOKUP(B62,'Base de Datos'!$C$487:$N$4077,9,0))=TRUE," ",(VLOOKUP(B62,'Base de Datos'!$C$487:$N$4077,10,0)))</f>
        <v>42795</v>
      </c>
      <c r="Q62" s="737"/>
      <c r="R62" s="551">
        <f>IF(ISERROR(VLOOKUP(B62,'Base de Datos'!$C$487:$N$4077,10,0))=TRUE," ",(VLOOKUP(B62,'Base de Datos'!$C$487:$N$4077,11,0)))</f>
        <v>42815</v>
      </c>
      <c r="S62" s="551">
        <f>IF(ISERROR(VLOOKUP(B62,'Base de Datos'!$C$487:$N$4077,11,0))=TRUE," ",(VLOOKUP(B62,'Base de Datos'!$C$487:$N$4077,12,0)))</f>
        <v>43180</v>
      </c>
      <c r="T62" s="533" t="str">
        <f>VLOOKUP(B62,'Base de Datos'!$C$487:$AR$4129,41,0)</f>
        <v>SI</v>
      </c>
      <c r="U62" s="722"/>
      <c r="V62" s="634"/>
    </row>
    <row r="63" spans="2:22" ht="15" customHeight="1" outlineLevel="1" x14ac:dyDescent="0.25">
      <c r="B63" s="537">
        <v>82</v>
      </c>
      <c r="C63" s="533" t="str">
        <f>IF(ISERROR(VLOOKUP(B63,'Base de Datos'!$C$487:$F$4092,2,0))=TRUE,"",(VLOOKUP('Presupuesto - PAA 2018'!B63,'Base de Datos'!$C$7:$F$4092,3,0)))</f>
        <v>160112-0-2016</v>
      </c>
      <c r="D63" s="533" t="str">
        <f>IF(ISERROR(VLOOKUP(B63,'Base de Datos'!$C$487:$F$4092,3,0))=TRUE,"",(VLOOKUP('Presupuesto - PAA 2018'!B63,'Base de Datos'!$C$487:$F$4092,4,0)))</f>
        <v>FACTOR VISUAL EAT</v>
      </c>
      <c r="E63" s="536">
        <f>VLOOKUP(B63,[7]PAA2017!$C$65:$AA$255,20,0)</f>
        <v>50000000</v>
      </c>
      <c r="F63" s="534" t="e">
        <f>VLOOKUP(B63,[8]SOLICITUDES!$B$3:$H$278,2,0)</f>
        <v>#N/A</v>
      </c>
      <c r="G63" s="534"/>
      <c r="H63" s="534"/>
      <c r="I63" s="534"/>
      <c r="J63" s="536">
        <f>IF(ISERROR(VLOOKUP(B63,'Base de Datos'!$C$487:$N$4092,6,0))=TRUE,"Sin Celebrar",(VLOOKUP(B63,'Base de Datos'!$C$487:$N$4092,7,0)))</f>
        <v>49980000</v>
      </c>
      <c r="K63" s="600"/>
      <c r="L63" s="580" t="str">
        <f t="shared" si="6"/>
        <v xml:space="preserve"> </v>
      </c>
      <c r="M63" s="536"/>
      <c r="N63" s="536">
        <f t="shared" si="7"/>
        <v>20000</v>
      </c>
      <c r="O63" s="719" t="str">
        <f>IF(ISERROR(VLOOKUP(B63,'Base de Datos'!$C$487:$K$1048576,7,0))=TRUE," ",(VLOOKUP(B63,'Base de Datos'!$C$487:$K$1048576,8,0)))</f>
        <v>170136-0-2017</v>
      </c>
      <c r="P63" s="551">
        <f>IF(ISERROR(VLOOKUP(B63,'Base de Datos'!$C$487:$N$4077,9,0))=TRUE," ",(VLOOKUP(B63,'Base de Datos'!$C$487:$N$4077,10,0)))</f>
        <v>42871</v>
      </c>
      <c r="Q63" s="737"/>
      <c r="R63" s="551">
        <f>IF(ISERROR(VLOOKUP(B63,'Base de Datos'!$C$487:$N$4077,10,0))=TRUE," ",(VLOOKUP(B63,'Base de Datos'!$C$487:$N$4077,11,0)))</f>
        <v>42874</v>
      </c>
      <c r="S63" s="551">
        <f>IF(ISERROR(VLOOKUP(B63,'Base de Datos'!$C$487:$N$4077,11,0))=TRUE," ",(VLOOKUP(B63,'Base de Datos'!$C$487:$N$4077,12,0)))</f>
        <v>43239</v>
      </c>
      <c r="T63" s="533" t="str">
        <f>VLOOKUP(B63,'Base de Datos'!$C$487:$AR$4129,41,0)</f>
        <v>SI</v>
      </c>
      <c r="U63" s="722"/>
      <c r="V63" s="634"/>
    </row>
    <row r="64" spans="2:22" ht="15" customHeight="1" outlineLevel="1" x14ac:dyDescent="0.25">
      <c r="B64" s="537">
        <v>83</v>
      </c>
      <c r="C64" s="533" t="str">
        <f>IF(ISERROR(VLOOKUP(B64,'Base de Datos'!$C$487:$F$4092,2,0))=TRUE,"",(VLOOKUP('Presupuesto - PAA 2018'!B64,'Base de Datos'!$C$7:$F$4092,3,0)))</f>
        <v/>
      </c>
      <c r="D64" s="533" t="str">
        <f>IF(ISERROR(VLOOKUP(B64,'Base de Datos'!$C$487:$F$4092,3,0))=TRUE,"",(VLOOKUP('Presupuesto - PAA 2018'!B64,'Base de Datos'!$C$487:$F$4092,4,0)))</f>
        <v/>
      </c>
      <c r="E64" s="536">
        <f>VLOOKUP(B64,[7]PAA2017!$C$65:$AA$255,20,0)</f>
        <v>900000</v>
      </c>
      <c r="F64" s="534" t="e">
        <f>VLOOKUP(B64,[8]SOLICITUDES!$B$3:$H$278,2,0)</f>
        <v>#N/A</v>
      </c>
      <c r="G64" s="534"/>
      <c r="H64" s="534"/>
      <c r="I64" s="534"/>
      <c r="J64" s="536" t="str">
        <f>IF(ISERROR(VLOOKUP(B64,'Base de Datos'!$C$487:$N$4092,6,0))=TRUE,"Sin Celebrar",(VLOOKUP(B64,'Base de Datos'!$C$487:$N$4092,7,0)))</f>
        <v>Sin Celebrar</v>
      </c>
      <c r="K64" s="600"/>
      <c r="L64" s="580">
        <f t="shared" si="6"/>
        <v>900000</v>
      </c>
      <c r="M64" s="536"/>
      <c r="N64" s="536" t="str">
        <f t="shared" si="7"/>
        <v xml:space="preserve"> </v>
      </c>
      <c r="O64" s="719" t="str">
        <f>IF(ISERROR(VLOOKUP(B64,'Base de Datos'!$C$487:$K$1048576,7,0))=TRUE," ",(VLOOKUP(B64,'Base de Datos'!$C$487:$K$1048576,8,0)))</f>
        <v xml:space="preserve"> </v>
      </c>
      <c r="P64" s="551" t="str">
        <f>IF(ISERROR(VLOOKUP(B64,'Base de Datos'!$C$487:$N$4077,9,0))=TRUE," ",(VLOOKUP(B64,'Base de Datos'!$C$487:$N$4077,10,0)))</f>
        <v xml:space="preserve"> </v>
      </c>
      <c r="Q64" s="737"/>
      <c r="R64" s="551" t="str">
        <f>IF(ISERROR(VLOOKUP(B64,'Base de Datos'!$C$487:$N$4077,10,0))=TRUE," ",(VLOOKUP(B64,'Base de Datos'!$C$487:$N$4077,11,0)))</f>
        <v xml:space="preserve"> </v>
      </c>
      <c r="S64" s="551" t="str">
        <f>IF(ISERROR(VLOOKUP(B64,'Base de Datos'!$C$487:$N$4077,11,0))=TRUE," ",(VLOOKUP(B64,'Base de Datos'!$C$487:$N$4077,12,0)))</f>
        <v xml:space="preserve"> </v>
      </c>
      <c r="T64" s="533" t="e">
        <f>VLOOKUP(B64,'Base de Datos'!$C$487:$AR$4129,41,0)</f>
        <v>#N/A</v>
      </c>
      <c r="U64" s="722"/>
      <c r="V64" s="634"/>
    </row>
    <row r="65" spans="2:22" ht="15" customHeight="1" outlineLevel="1" x14ac:dyDescent="0.25">
      <c r="B65" s="537">
        <v>85</v>
      </c>
      <c r="C65" s="533" t="str">
        <f>IF(ISERROR(VLOOKUP(B65,'Base de Datos'!$C$487:$F$4092,2,0))=TRUE,"",(VLOOKUP('Presupuesto - PAA 2018'!B65,'Base de Datos'!$C$7:$F$4092,3,0)))</f>
        <v>180099-0-2018</v>
      </c>
      <c r="D65" s="533" t="str">
        <f>IF(ISERROR(VLOOKUP(B65,'Base de Datos'!$C$487:$F$4092,3,0))=TRUE,"",(VLOOKUP('Presupuesto - PAA 2018'!B65,'Base de Datos'!$C$487:$F$4092,4,0)))</f>
        <v>JUAN DIEGO ESPÍTIA ROA</v>
      </c>
      <c r="E65" s="536">
        <f>VLOOKUP(B65,[7]PAA2017!$C$65:$AA$255,20,0)</f>
        <v>1913332000</v>
      </c>
      <c r="F65" s="534" t="e">
        <f>VLOOKUP(B65,[8]SOLICITUDES!$B$3:$H$278,2,0)</f>
        <v>#N/A</v>
      </c>
      <c r="G65" s="534"/>
      <c r="H65" s="534"/>
      <c r="I65" s="534"/>
      <c r="J65" s="536">
        <f>IF(ISERROR(VLOOKUP(B65,'Base de Datos'!$C$487:$N$4092,6,0))=TRUE,"Sin Celebrar",(VLOOKUP(B65,'Base de Datos'!$C$487:$N$4092,7,0)))</f>
        <v>70452000</v>
      </c>
      <c r="K65" s="600"/>
      <c r="L65" s="580" t="str">
        <f t="shared" si="6"/>
        <v xml:space="preserve"> </v>
      </c>
      <c r="M65" s="536"/>
      <c r="N65" s="536">
        <f t="shared" si="7"/>
        <v>1842880000</v>
      </c>
      <c r="O65" s="719" t="str">
        <f>IF(ISERROR(VLOOKUP(B65,'Base de Datos'!$C$487:$K$1048576,7,0))=TRUE," ",(VLOOKUP(B65,'Base de Datos'!$C$487:$K$1048576,8,0)))</f>
        <v>180099-0-2018</v>
      </c>
      <c r="P65" s="551">
        <f>IF(ISERROR(VLOOKUP(B65,'Base de Datos'!$C$487:$N$4077,9,0))=TRUE," ",(VLOOKUP(B65,'Base de Datos'!$C$487:$N$4077,10,0)))</f>
        <v>43126</v>
      </c>
      <c r="Q65" s="737"/>
      <c r="R65" s="551">
        <f>IF(ISERROR(VLOOKUP(B65,'Base de Datos'!$C$487:$N$4077,10,0))=TRUE," ",(VLOOKUP(B65,'Base de Datos'!$C$487:$N$4077,11,0)))</f>
        <v>43132</v>
      </c>
      <c r="S65" s="551">
        <f>IF(ISERROR(VLOOKUP(B65,'Base de Datos'!$C$487:$N$4077,11,0))=TRUE," ",(VLOOKUP(B65,'Base de Datos'!$C$487:$N$4077,12,0)))</f>
        <v>43496</v>
      </c>
      <c r="T65" s="533" t="str">
        <f>VLOOKUP(B65,'Base de Datos'!$C$487:$AR$4129,41,0)</f>
        <v>SI</v>
      </c>
      <c r="U65" s="722"/>
      <c r="V65" s="634"/>
    </row>
    <row r="66" spans="2:22" ht="19.5" customHeight="1" outlineLevel="1" x14ac:dyDescent="0.25">
      <c r="B66" s="537">
        <v>86</v>
      </c>
      <c r="C66" s="533" t="str">
        <f>IF(ISERROR(VLOOKUP(B66,'Base de Datos'!$C$487:$F$4092,2,0))=TRUE,"",(VLOOKUP('Presupuesto - PAA 2018'!B66,'Base de Datos'!$C$7:$F$4092,3,0)))</f>
        <v>160214-0-2016</v>
      </c>
      <c r="D66" s="533" t="str">
        <f>IF(ISERROR(VLOOKUP(B66,'Base de Datos'!$C$487:$F$4092,3,0))=TRUE,"",(VLOOKUP('Presupuesto - PAA 2018'!B66,'Base de Datos'!$C$487:$F$4092,4,0)))</f>
        <v>SEAN ELECTRONICA LIMITADA</v>
      </c>
      <c r="E66" s="536">
        <f>VLOOKUP(B66,[7]PAA2017!$C$65:$AA$255,20,0)</f>
        <v>160000000</v>
      </c>
      <c r="F66" s="534" t="e">
        <f>VLOOKUP(B66,[8]SOLICITUDES!$B$3:$H$278,2,0)</f>
        <v>#N/A</v>
      </c>
      <c r="G66" s="534"/>
      <c r="H66" s="534"/>
      <c r="I66" s="534"/>
      <c r="J66" s="536">
        <f>IF(ISERROR(VLOOKUP(B66,'Base de Datos'!$C$487:$N$4092,6,0))=TRUE,"Sin Celebrar",(VLOOKUP(B66,'Base de Datos'!$C$487:$N$4092,7,0)))</f>
        <v>30000000</v>
      </c>
      <c r="K66" s="600"/>
      <c r="L66" s="580" t="str">
        <f t="shared" si="6"/>
        <v xml:space="preserve"> </v>
      </c>
      <c r="M66" s="536"/>
      <c r="N66" s="536">
        <f t="shared" si="7"/>
        <v>130000000</v>
      </c>
      <c r="O66" s="719" t="str">
        <f>IF(ISERROR(VLOOKUP(B66,'Base de Datos'!$C$487:$K$1048576,7,0))=TRUE," ",(VLOOKUP(B66,'Base de Datos'!$C$487:$K$1048576,8,0)))</f>
        <v>SDH-SMINC-30-2017</v>
      </c>
      <c r="P66" s="551">
        <f>IF(ISERROR(VLOOKUP(B66,'Base de Datos'!$C$487:$N$4077,9,0))=TRUE," ",(VLOOKUP(B66,'Base de Datos'!$C$487:$N$4077,10,0)))</f>
        <v>42993</v>
      </c>
      <c r="Q66" s="737"/>
      <c r="R66" s="551">
        <f>IF(ISERROR(VLOOKUP(B66,'Base de Datos'!$C$487:$N$4077,10,0))=TRUE," ",(VLOOKUP(B66,'Base de Datos'!$C$487:$N$4077,11,0)))</f>
        <v>43020</v>
      </c>
      <c r="S66" s="551">
        <f>IF(ISERROR(VLOOKUP(B66,'Base de Datos'!$C$487:$N$4077,11,0))=TRUE," ",(VLOOKUP(B66,'Base de Datos'!$C$487:$N$4077,12,0)))</f>
        <v>43202</v>
      </c>
      <c r="T66" s="533" t="str">
        <f>VLOOKUP(B66,'Base de Datos'!$C$487:$AR$4129,41,0)</f>
        <v>SI</v>
      </c>
      <c r="U66" s="722"/>
      <c r="V66" s="634"/>
    </row>
    <row r="67" spans="2:22" ht="15" customHeight="1" outlineLevel="1" x14ac:dyDescent="0.25">
      <c r="B67" s="879">
        <v>87</v>
      </c>
      <c r="C67" s="533" t="str">
        <f>IF(ISERROR(VLOOKUP(B67,'Base de Datos'!$C$487:$F$4092,2,0))=TRUE,"",(VLOOKUP('Presupuesto - PAA 2018'!B67,'Base de Datos'!$C$7:$F$4092,3,0)))</f>
        <v/>
      </c>
      <c r="D67" s="533" t="str">
        <f>IF(ISERROR(VLOOKUP(B67,'Base de Datos'!$C$487:$F$4092,3,0))=TRUE,"",(VLOOKUP('Presupuesto - PAA 2018'!B67,'Base de Datos'!$C$487:$F$4092,4,0)))</f>
        <v/>
      </c>
      <c r="E67" s="536">
        <f>VLOOKUP(B67,[7]PAA2017!$C$65:$AA$255,20,0)</f>
        <v>7047070000</v>
      </c>
      <c r="F67" s="534" t="e">
        <f>VLOOKUP(B67,[8]SOLICITUDES!$B$3:$H$278,2,0)</f>
        <v>#N/A</v>
      </c>
      <c r="G67" s="534"/>
      <c r="H67" s="534"/>
      <c r="I67" s="534"/>
      <c r="J67" s="536" t="str">
        <f>IF(ISERROR(VLOOKUP(B67,'Base de Datos'!$C$487:$N$4092,6,0))=TRUE,"Sin Celebrar",(VLOOKUP(B67,'Base de Datos'!$C$487:$N$4092,7,0)))</f>
        <v>Sin Celebrar</v>
      </c>
      <c r="K67" s="600"/>
      <c r="L67" s="580">
        <f t="shared" si="6"/>
        <v>7047070000</v>
      </c>
      <c r="M67" s="536"/>
      <c r="N67" s="536" t="str">
        <f t="shared" si="7"/>
        <v xml:space="preserve"> </v>
      </c>
      <c r="O67" s="719" t="str">
        <f>IF(ISERROR(VLOOKUP(B67,'Base de Datos'!$C$487:$K$1048576,7,0))=TRUE," ",(VLOOKUP(B67,'Base de Datos'!$C$487:$K$1048576,8,0)))</f>
        <v xml:space="preserve"> </v>
      </c>
      <c r="P67" s="551" t="str">
        <f>IF(ISERROR(VLOOKUP(B67,'Base de Datos'!$C$487:$N$4077,9,0))=TRUE," ",(VLOOKUP(B67,'Base de Datos'!$C$487:$N$4077,10,0)))</f>
        <v xml:space="preserve"> </v>
      </c>
      <c r="Q67" s="737"/>
      <c r="R67" s="551" t="str">
        <f>IF(ISERROR(VLOOKUP(B67,'Base de Datos'!$C$487:$N$4077,10,0))=TRUE," ",(VLOOKUP(B67,'Base de Datos'!$C$487:$N$4077,11,0)))</f>
        <v xml:space="preserve"> </v>
      </c>
      <c r="S67" s="551" t="str">
        <f>IF(ISERROR(VLOOKUP(B67,'Base de Datos'!$C$487:$N$4077,11,0))=TRUE," ",(VLOOKUP(B67,'Base de Datos'!$C$487:$N$4077,12,0)))</f>
        <v xml:space="preserve"> </v>
      </c>
      <c r="T67" s="533" t="e">
        <f>VLOOKUP(B67,'Base de Datos'!$C$487:$AR$4129,41,0)</f>
        <v>#N/A</v>
      </c>
      <c r="U67" s="722"/>
      <c r="V67" s="634"/>
    </row>
    <row r="68" spans="2:22" ht="21" customHeight="1" outlineLevel="1" x14ac:dyDescent="0.25">
      <c r="B68" s="552">
        <v>88</v>
      </c>
      <c r="C68" s="533" t="str">
        <f>IF(ISERROR(VLOOKUP(B68,'Base de Datos'!$C$487:$F$4092,2,0))=TRUE,"",(VLOOKUP('Presupuesto - PAA 2018'!B68,'Base de Datos'!$C$7:$F$4092,3,0)))</f>
        <v>160314-0-2016</v>
      </c>
      <c r="D68" s="533" t="str">
        <f>IF(ISERROR(VLOOKUP(B68,'Base de Datos'!$C$487:$F$4092,3,0))=TRUE,"",(VLOOKUP('Presupuesto - PAA 2018'!B68,'Base de Datos'!$C$487:$F$4092,4,0)))</f>
        <v>COMPAÑÍA COMERCIAL CURACAO DE COLOMBIA SA</v>
      </c>
      <c r="E68" s="536">
        <f>VLOOKUP(B68,[7]PAA2017!$C$65:$AA$255,20,0)</f>
        <v>22000000</v>
      </c>
      <c r="F68" s="534" t="str">
        <f>VLOOKUP(B68,[8]SOLICITUDES!$B$3:$H$278,2,0)</f>
        <v>SI</v>
      </c>
      <c r="G68" s="534"/>
      <c r="H68" s="534"/>
      <c r="I68" s="534"/>
      <c r="J68" s="536">
        <f>IF(ISERROR(VLOOKUP(B68,'Base de Datos'!$C$487:$N$4092,6,0))=TRUE,"Sin Celebrar",(VLOOKUP(B68,'Base de Datos'!$C$487:$N$4092,7,0)))</f>
        <v>4361500</v>
      </c>
      <c r="K68" s="600"/>
      <c r="L68" s="580" t="str">
        <f>IF(J68=$AA$1,E68, " ")</f>
        <v xml:space="preserve"> </v>
      </c>
      <c r="M68" s="536"/>
      <c r="N68" s="536">
        <f>IF(J68&lt;E68,(E68-J68)," ")</f>
        <v>17638500</v>
      </c>
      <c r="O68" s="719" t="str">
        <f>IF(ISERROR(VLOOKUP(B68,'Base de Datos'!$C$487:$K$1048576,7,0))=TRUE," ",(VLOOKUP(B68,'Base de Datos'!$C$487:$K$1048576,8,0)))</f>
        <v>SDH-SMINC-16-2017</v>
      </c>
      <c r="P68" s="551">
        <f>IF(ISERROR(VLOOKUP(B68,'Base de Datos'!$C$487:$N$4077,9,0))=TRUE," ",(VLOOKUP(B68,'Base de Datos'!$C$487:$N$4077,10,0)))</f>
        <v>42909</v>
      </c>
      <c r="Q68" s="737"/>
      <c r="R68" s="551">
        <f>IF(ISERROR(VLOOKUP(B68,'Base de Datos'!$C$487:$N$4077,10,0))=TRUE," ",(VLOOKUP(B68,'Base de Datos'!$C$487:$N$4077,11,0)))</f>
        <v>42922</v>
      </c>
      <c r="S68" s="551">
        <f>IF(ISERROR(VLOOKUP(B68,'Base de Datos'!$C$487:$N$4077,11,0))=TRUE," ",(VLOOKUP(B68,'Base de Datos'!$C$487:$N$4077,12,0)))</f>
        <v>42984</v>
      </c>
      <c r="T68" s="533" t="str">
        <f>VLOOKUP(B68,'Base de Datos'!$C$487:$AR$4129,41,0)</f>
        <v>SI</v>
      </c>
      <c r="U68" s="722"/>
      <c r="V68" s="634"/>
    </row>
    <row r="69" spans="2:22" ht="21" customHeight="1" outlineLevel="1" x14ac:dyDescent="0.25">
      <c r="B69" s="552"/>
      <c r="C69" s="533" t="str">
        <f>IF(ISERROR(VLOOKUP(B69,'Base de Datos'!$C$487:$F$4092,2,0))=TRUE,"",(VLOOKUP('Presupuesto - PAA 2018'!B69,'Base de Datos'!$C$7:$F$4092,3,0)))</f>
        <v/>
      </c>
      <c r="D69" s="533" t="str">
        <f>IF(ISERROR(VLOOKUP(B69,'Base de Datos'!$C$487:$F$4092,3,0))=TRUE,"",(VLOOKUP('Presupuesto - PAA 2018'!B69,'Base de Datos'!$C$487:$F$4092,4,0)))</f>
        <v/>
      </c>
      <c r="E69" s="536" t="e">
        <f>VLOOKUP(B69,[7]PAA2017!$C$65:$AA$255,20,0)</f>
        <v>#N/A</v>
      </c>
      <c r="F69" s="534" t="e">
        <f>VLOOKUP(B69,[8]SOLICITUDES!$B$3:$H$278,2,0)</f>
        <v>#N/A</v>
      </c>
      <c r="G69" s="534"/>
      <c r="H69" s="534"/>
      <c r="I69" s="534"/>
      <c r="J69" s="536" t="str">
        <f>IF(ISERROR(VLOOKUP(B69,'Base de Datos'!$C$487:$N$4092,6,0))=TRUE,"Sin Celebrar",(VLOOKUP(B69,'Base de Datos'!$C$487:$N$4092,7,0)))</f>
        <v>Sin Celebrar</v>
      </c>
      <c r="K69" s="600"/>
      <c r="L69" s="580" t="e">
        <f>IF(J69=$AA$1,E69, " ")</f>
        <v>#N/A</v>
      </c>
      <c r="M69" s="536"/>
      <c r="N69" s="536" t="e">
        <f>IF(J69&lt;E69,(E69-J69)," ")</f>
        <v>#N/A</v>
      </c>
      <c r="O69" s="719" t="str">
        <f>IF(ISERROR(VLOOKUP(B69,'Base de Datos'!$C$487:$K$1048576,7,0))=TRUE," ",(VLOOKUP(B69,'Base de Datos'!$C$487:$K$1048576,8,0)))</f>
        <v xml:space="preserve"> </v>
      </c>
      <c r="P69" s="551" t="str">
        <f>IF(ISERROR(VLOOKUP(B69,'Base de Datos'!$C$487:$N$4077,9,0))=TRUE," ",(VLOOKUP(B69,'Base de Datos'!$C$487:$N$4077,10,0)))</f>
        <v xml:space="preserve"> </v>
      </c>
      <c r="Q69" s="737"/>
      <c r="R69" s="551" t="str">
        <f>IF(ISERROR(VLOOKUP(B69,'Base de Datos'!$C$487:$N$4077,10,0))=TRUE," ",(VLOOKUP(B69,'Base de Datos'!$C$487:$N$4077,11,0)))</f>
        <v xml:space="preserve"> </v>
      </c>
      <c r="S69" s="551" t="str">
        <f>IF(ISERROR(VLOOKUP(B69,'Base de Datos'!$C$487:$N$4077,11,0))=TRUE," ",(VLOOKUP(B69,'Base de Datos'!$C$487:$N$4077,12,0)))</f>
        <v xml:space="preserve"> </v>
      </c>
      <c r="T69" s="533" t="e">
        <f>VLOOKUP(B69,'Base de Datos'!$C$487:$AR$4129,41,0)</f>
        <v>#N/A</v>
      </c>
      <c r="U69" s="722"/>
      <c r="V69" s="634"/>
    </row>
    <row r="70" spans="2:22" ht="21" customHeight="1" outlineLevel="1" x14ac:dyDescent="0.25">
      <c r="B70" s="552"/>
      <c r="C70" s="533" t="str">
        <f>IF(ISERROR(VLOOKUP(B70,'Base de Datos'!$C$487:$F$4092,2,0))=TRUE,"",(VLOOKUP('Presupuesto - PAA 2018'!B70,'Base de Datos'!$C$7:$F$4092,3,0)))</f>
        <v/>
      </c>
      <c r="D70" s="533" t="str">
        <f>IF(ISERROR(VLOOKUP(B70,'Base de Datos'!$C$487:$F$4092,3,0))=TRUE,"",(VLOOKUP('Presupuesto - PAA 2018'!B70,'Base de Datos'!$C$487:$F$4092,4,0)))</f>
        <v/>
      </c>
      <c r="E70" s="536" t="e">
        <f>VLOOKUP(B70,[7]PAA2017!$C$65:$AA$255,20,0)</f>
        <v>#N/A</v>
      </c>
      <c r="F70" s="534" t="e">
        <f>VLOOKUP(B70,[8]SOLICITUDES!$B$3:$H$278,2,0)</f>
        <v>#N/A</v>
      </c>
      <c r="G70" s="534"/>
      <c r="H70" s="534"/>
      <c r="I70" s="534"/>
      <c r="J70" s="536" t="str">
        <f>IF(ISERROR(VLOOKUP(B70,'Base de Datos'!$C$487:$N$4092,6,0))=TRUE,"Sin Celebrar",(VLOOKUP(B70,'Base de Datos'!$C$487:$N$4092,7,0)))</f>
        <v>Sin Celebrar</v>
      </c>
      <c r="K70" s="600"/>
      <c r="L70" s="580" t="e">
        <f>IF(J70=$AA$1,E70, " ")</f>
        <v>#N/A</v>
      </c>
      <c r="M70" s="536"/>
      <c r="N70" s="536" t="e">
        <f>IF(J70&lt;E70,(E70-J70)," ")</f>
        <v>#N/A</v>
      </c>
      <c r="O70" s="719" t="str">
        <f>IF(ISERROR(VLOOKUP(B70,'Base de Datos'!$C$487:$K$1048576,7,0))=TRUE," ",(VLOOKUP(B70,'Base de Datos'!$C$487:$K$1048576,8,0)))</f>
        <v xml:space="preserve"> </v>
      </c>
      <c r="P70" s="551" t="str">
        <f>IF(ISERROR(VLOOKUP(B70,'Base de Datos'!$C$487:$N$4077,9,0))=TRUE," ",(VLOOKUP(B70,'Base de Datos'!$C$487:$N$4077,10,0)))</f>
        <v xml:space="preserve"> </v>
      </c>
      <c r="Q70" s="737"/>
      <c r="R70" s="551" t="str">
        <f>IF(ISERROR(VLOOKUP(B70,'Base de Datos'!$C$487:$N$4077,10,0))=TRUE," ",(VLOOKUP(B70,'Base de Datos'!$C$487:$N$4077,11,0)))</f>
        <v xml:space="preserve"> </v>
      </c>
      <c r="S70" s="551" t="str">
        <f>IF(ISERROR(VLOOKUP(B70,'Base de Datos'!$C$487:$N$4077,11,0))=TRUE," ",(VLOOKUP(B70,'Base de Datos'!$C$487:$N$4077,12,0)))</f>
        <v xml:space="preserve"> </v>
      </c>
      <c r="T70" s="533" t="e">
        <f>VLOOKUP(B70,'Base de Datos'!$C$487:$AR$4129,41,0)</f>
        <v>#N/A</v>
      </c>
      <c r="U70" s="722"/>
      <c r="V70" s="634"/>
    </row>
    <row r="71" spans="2:22" outlineLevel="1" x14ac:dyDescent="0.25">
      <c r="B71" s="552"/>
      <c r="C71" s="533" t="str">
        <f>IF(ISERROR(VLOOKUP(B71,'Base de Datos'!$C$487:$F$4092,2,0))=TRUE,"",(VLOOKUP('Presupuesto - PAA 2018'!B71,'Base de Datos'!$C$7:$F$4092,3,0)))</f>
        <v/>
      </c>
      <c r="D71" s="533" t="str">
        <f>IF(ISERROR(VLOOKUP(B71,'Base de Datos'!$C$487:$F$4092,3,0))=TRUE,"",(VLOOKUP('Presupuesto - PAA 2018'!B71,'Base de Datos'!$C$487:$F$4092,4,0)))</f>
        <v/>
      </c>
      <c r="E71" s="536" t="e">
        <f>VLOOKUP(B71,[7]PAA2017!$C$65:$AA$255,20,0)</f>
        <v>#N/A</v>
      </c>
      <c r="F71" s="534" t="e">
        <f>VLOOKUP(B71,[8]SOLICITUDES!$B$3:$H$278,2,0)</f>
        <v>#N/A</v>
      </c>
      <c r="G71" s="534"/>
      <c r="H71" s="534"/>
      <c r="I71" s="534"/>
      <c r="J71" s="536" t="str">
        <f>IF(ISERROR(VLOOKUP(B71,'Base de Datos'!$C$487:$N$4092,6,0))=TRUE,"Sin Celebrar",(VLOOKUP(B71,'Base de Datos'!$C$487:$N$4092,7,0)))</f>
        <v>Sin Celebrar</v>
      </c>
      <c r="K71" s="600"/>
      <c r="L71" s="580" t="e">
        <f>IF(J71=$AA$1,E71, " ")</f>
        <v>#N/A</v>
      </c>
      <c r="M71" s="536"/>
      <c r="N71" s="536" t="e">
        <f>IF(J71&lt;E71,(E71-J71)," ")</f>
        <v>#N/A</v>
      </c>
      <c r="O71" s="719" t="str">
        <f>IF(ISERROR(VLOOKUP(B71,'Base de Datos'!$C$487:$K$1048576,7,0))=TRUE," ",(VLOOKUP(B71,'Base de Datos'!$C$487:$K$1048576,8,0)))</f>
        <v xml:space="preserve"> </v>
      </c>
      <c r="P71" s="551" t="str">
        <f>IF(ISERROR(VLOOKUP(B71,'Base de Datos'!$C$487:$N$4077,9,0))=TRUE," ",(VLOOKUP(B71,'Base de Datos'!$C$487:$N$4077,10,0)))</f>
        <v xml:space="preserve"> </v>
      </c>
      <c r="Q71" s="737"/>
      <c r="R71" s="551" t="str">
        <f>IF(ISERROR(VLOOKUP(B71,'Base de Datos'!$C$487:$N$4077,10,0))=TRUE," ",(VLOOKUP(B71,'Base de Datos'!$C$487:$N$4077,11,0)))</f>
        <v xml:space="preserve"> </v>
      </c>
      <c r="S71" s="551" t="str">
        <f>IF(ISERROR(VLOOKUP(B71,'Base de Datos'!$C$487:$N$4077,11,0))=TRUE," ",(VLOOKUP(B71,'Base de Datos'!$C$487:$N$4077,12,0)))</f>
        <v xml:space="preserve"> </v>
      </c>
      <c r="T71" s="533" t="e">
        <f>VLOOKUP(B71,'Base de Datos'!$C$487:$AR$4129,41,0)</f>
        <v>#N/A</v>
      </c>
      <c r="U71" s="722"/>
      <c r="V71" s="634"/>
    </row>
    <row r="72" spans="2:22" outlineLevel="1" x14ac:dyDescent="0.25">
      <c r="B72" s="552"/>
      <c r="C72" s="553"/>
      <c r="D72" s="553" t="s">
        <v>1935</v>
      </c>
      <c r="E72" s="701" t="e">
        <f>E51-SUM(E53:E70)</f>
        <v>#N/A</v>
      </c>
      <c r="F72" s="555"/>
      <c r="G72" s="555"/>
      <c r="H72" s="555"/>
      <c r="I72" s="555"/>
      <c r="J72" s="536"/>
      <c r="K72" s="604"/>
      <c r="L72" s="536"/>
      <c r="M72" s="554"/>
      <c r="N72" s="536" t="e">
        <f>IF(J72&lt;E72,(E72-J72)," ")</f>
        <v>#N/A</v>
      </c>
      <c r="O72" s="719" t="str">
        <f>IF(ISERROR(VLOOKUP(B72,'Base de Datos'!$C$7:$K$1048576,7,0))=TRUE," ",(VLOOKUP(B72,'Base de Datos'!$C$7:$K$1048576,7,0)))</f>
        <v xml:space="preserve"> </v>
      </c>
      <c r="P72" s="551" t="str">
        <f>IF(ISERROR(VLOOKUP(B72,'Base de Datos'!$C$7:$N$4077,9,0))=TRUE," ",(VLOOKUP(B72,'Base de Datos'!$C$7:$N$4077,9,0)))</f>
        <v xml:space="preserve"> </v>
      </c>
      <c r="Q72" s="553"/>
      <c r="R72" s="556" t="str">
        <f>IF(ISERROR(VLOOKUP(B72,'Base de Datos'!$C$7:$N$315,10,0))=TRUE," ",(VLOOKUP(B72,'Base de Datos'!$C$7:$N$315,10,0)))</f>
        <v xml:space="preserve"> </v>
      </c>
      <c r="S72" s="556" t="str">
        <f>IF(ISERROR(VLOOKUP(B72,'Base de Datos'!$C$7:$N$315,11,0))=TRUE," ",(VLOOKUP(B72,'Base de Datos'!$C$7:$N$315,11,0)))</f>
        <v xml:space="preserve"> </v>
      </c>
      <c r="T72" s="533"/>
      <c r="U72" s="722"/>
      <c r="V72" s="634"/>
    </row>
    <row r="73" spans="2:22" outlineLevel="1" x14ac:dyDescent="0.25">
      <c r="B73" s="1190"/>
      <c r="C73" s="1190"/>
      <c r="D73" s="1190"/>
      <c r="E73" s="536"/>
      <c r="F73" s="534"/>
      <c r="G73" s="534"/>
      <c r="H73" s="534"/>
      <c r="I73" s="534"/>
      <c r="J73" s="536"/>
      <c r="K73" s="600"/>
      <c r="L73" s="536"/>
      <c r="M73" s="536"/>
      <c r="N73" s="536"/>
      <c r="O73" s="678"/>
      <c r="P73" s="551"/>
      <c r="Q73" s="533"/>
      <c r="R73" s="551"/>
      <c r="S73" s="551"/>
      <c r="T73" s="533"/>
      <c r="U73" s="722"/>
      <c r="V73" s="634"/>
    </row>
    <row r="74" spans="2:22" outlineLevel="1" x14ac:dyDescent="0.25">
      <c r="B74" s="1190"/>
      <c r="C74" s="1190"/>
      <c r="D74" s="1190"/>
      <c r="E74" s="536"/>
      <c r="F74" s="534"/>
      <c r="G74" s="534"/>
      <c r="H74" s="534"/>
      <c r="I74" s="534"/>
      <c r="J74" s="536"/>
      <c r="K74" s="600"/>
      <c r="L74" s="536"/>
      <c r="M74" s="536"/>
      <c r="N74" s="536"/>
      <c r="O74" s="678"/>
      <c r="P74" s="551"/>
      <c r="Q74" s="533"/>
      <c r="R74" s="551"/>
      <c r="S74" s="551"/>
      <c r="T74" s="533"/>
      <c r="U74" s="722"/>
      <c r="V74" s="634"/>
    </row>
    <row r="75" spans="2:22" ht="15" customHeight="1" x14ac:dyDescent="0.25">
      <c r="B75" s="1195" t="s">
        <v>1649</v>
      </c>
      <c r="C75" s="1195"/>
      <c r="D75" s="1195"/>
      <c r="E75" s="587">
        <v>452000000</v>
      </c>
      <c r="F75" s="588">
        <f>COUNTIF('Actualizada - presupuesto'!$E$7:$E$111,B75)</f>
        <v>3</v>
      </c>
      <c r="G75" s="588"/>
      <c r="H75" s="588"/>
      <c r="I75" s="588"/>
      <c r="J75" s="587">
        <f>SUM(J77:J80)</f>
        <v>472000000</v>
      </c>
      <c r="K75" s="607">
        <f>J75/E75</f>
        <v>1.0442477876106195</v>
      </c>
      <c r="L75" s="587">
        <f>SUM(L77:L80)</f>
        <v>0</v>
      </c>
      <c r="M75" s="632">
        <v>0</v>
      </c>
      <c r="N75" s="587">
        <f>+E75-J75-L75</f>
        <v>-20000000</v>
      </c>
      <c r="O75" s="682"/>
      <c r="P75" s="589" t="str">
        <f>IF(ISERROR(VLOOKUP(B75,'Base de Datos'!$C$7:$N$315,8,0))=TRUE," ",(VLOOKUP(B75,'Base de Datos'!$C$7:$N$315,8,0)))</f>
        <v xml:space="preserve"> </v>
      </c>
      <c r="Q75" s="590"/>
      <c r="R75" s="589" t="str">
        <f>IF(ISERROR(VLOOKUP(B75,'Base de Datos'!$C$7:$N$315,9,0))=TRUE," ",(VLOOKUP(B75,'Base de Datos'!$C$7:$N$315,9,0)))</f>
        <v xml:space="preserve"> </v>
      </c>
      <c r="S75" s="589" t="str">
        <f>IF(ISERROR(VLOOKUP(B75,'Base de Datos'!$C$7:$N$315,10,0))=TRUE," ",(VLOOKUP(B75,'Base de Datos'!$C$7:$N$315,10,0)))</f>
        <v xml:space="preserve"> </v>
      </c>
      <c r="T75" s="592"/>
      <c r="U75" s="722"/>
      <c r="V75" s="634"/>
    </row>
    <row r="76" spans="2:22" ht="24" outlineLevel="1" x14ac:dyDescent="0.25">
      <c r="B76" s="537" t="s">
        <v>1693</v>
      </c>
      <c r="C76" s="537" t="s">
        <v>912</v>
      </c>
      <c r="D76" s="537" t="s">
        <v>1822</v>
      </c>
      <c r="E76" s="545" t="s">
        <v>1846</v>
      </c>
      <c r="F76" s="534" t="s">
        <v>1853</v>
      </c>
      <c r="G76" s="534"/>
      <c r="H76" s="534"/>
      <c r="I76" s="534"/>
      <c r="J76" s="537" t="s">
        <v>1845</v>
      </c>
      <c r="K76" s="652"/>
      <c r="L76" s="537" t="s">
        <v>1939</v>
      </c>
      <c r="M76" s="537"/>
      <c r="N76" s="537" t="s">
        <v>1940</v>
      </c>
      <c r="O76" s="677"/>
      <c r="P76" s="568" t="s">
        <v>1847</v>
      </c>
      <c r="Q76" s="537" t="s">
        <v>1848</v>
      </c>
      <c r="R76" s="537" t="s">
        <v>1849</v>
      </c>
      <c r="S76" s="537" t="s">
        <v>375</v>
      </c>
      <c r="T76" s="552" t="s">
        <v>1850</v>
      </c>
      <c r="U76" s="722"/>
      <c r="V76" s="634"/>
    </row>
    <row r="77" spans="2:22" ht="24" outlineLevel="1" x14ac:dyDescent="0.25">
      <c r="B77" s="537">
        <v>184</v>
      </c>
      <c r="C77" s="533" t="str">
        <f>IF(ISERROR(VLOOKUP(B77,'Base de Datos'!$C$487:$F$4092,2,0))=TRUE,"",(VLOOKUP('Presupuesto - PAA 2018'!B77,'Base de Datos'!$C$7:$F$4092,3,0)))</f>
        <v>150386-0-2015</v>
      </c>
      <c r="D77" s="533" t="str">
        <f>IF(ISERROR(VLOOKUP(B77,'Base de Datos'!$C$487:$F$4092,3,0))=TRUE,"",(VLOOKUP('Presupuesto - PAA 2018'!B77,'Base de Datos'!$C$487:$F$4092,4,0)))</f>
        <v>ESTACION DE SERVIICIO CARRERA 50 S.A.S</v>
      </c>
      <c r="E77" s="536">
        <f>VLOOKUP(B77,[7]PAA2017!$C$65:$AA$255,20,0)</f>
        <v>59000000</v>
      </c>
      <c r="F77" s="534" t="str">
        <f>VLOOKUP(B77,[8]SOLICITUDES!$B$3:$H$278,2,0)</f>
        <v>SI</v>
      </c>
      <c r="G77" s="534"/>
      <c r="H77" s="534"/>
      <c r="I77" s="534"/>
      <c r="J77" s="536">
        <f>IF(ISERROR(VLOOKUP(B77,'Base de Datos'!$C$487:$N$4092,6,0))=TRUE,"Sin Celebrar",(VLOOKUP(B77,'Base de Datos'!$C$487:$N$4092,7,0)))</f>
        <v>39000000</v>
      </c>
      <c r="K77" s="600"/>
      <c r="L77" s="580" t="str">
        <f>IF(J77=$AA$1,E77, " ")</f>
        <v xml:space="preserve"> </v>
      </c>
      <c r="M77" s="536"/>
      <c r="N77" s="536">
        <f>IF(J77&lt;E77,(E77-J77)," ")</f>
        <v>20000000</v>
      </c>
      <c r="O77" s="719" t="str">
        <f>IF(ISERROR(VLOOKUP(B77,'Base de Datos'!$C$487:$K$1048576,7,0))=TRUE," ",(VLOOKUP(B77,'Base de Datos'!$C$487:$K$1048576,8,0)))</f>
        <v>SDH-SMINC-08-2017</v>
      </c>
      <c r="P77" s="551">
        <f>IF(ISERROR(VLOOKUP(B77,'Base de Datos'!$C$487:$N$4077,9,0))=TRUE," ",(VLOOKUP(B77,'Base de Datos'!$C$487:$N$4077,10,0)))</f>
        <v>42823</v>
      </c>
      <c r="Q77" s="737"/>
      <c r="R77" s="551">
        <f>IF(ISERROR(VLOOKUP(B77,'Base de Datos'!$C$487:$N$4077,10,0))=TRUE," ",(VLOOKUP(B77,'Base de Datos'!$C$487:$N$4077,11,0)))</f>
        <v>42846</v>
      </c>
      <c r="S77" s="551">
        <f>IF(ISERROR(VLOOKUP(B77,'Base de Datos'!$C$487:$N$4077,11,0))=TRUE," ",(VLOOKUP(B77,'Base de Datos'!$C$487:$N$4077,12,0)))</f>
        <v>43186</v>
      </c>
      <c r="T77" s="533" t="str">
        <f ca="1">VLOOKUP(B77,'Base de Datos'!$C$487:$AR$4129,41,0)</f>
        <v>SI</v>
      </c>
      <c r="U77" s="722"/>
      <c r="V77" s="634"/>
    </row>
    <row r="78" spans="2:22" ht="24" outlineLevel="1" x14ac:dyDescent="0.25">
      <c r="B78" s="537">
        <v>183</v>
      </c>
      <c r="C78" s="533" t="str">
        <f>IF(ISERROR(VLOOKUP(B78,'Base de Datos'!$C$487:$F$4092,2,0))=TRUE,"",(VLOOKUP('Presupuesto - PAA 2018'!B78,'Base de Datos'!$C$7:$F$4092,3,0)))</f>
        <v>170004-0-2017</v>
      </c>
      <c r="D78" s="533" t="str">
        <f>IF(ISERROR(VLOOKUP(B78,'Base de Datos'!$C$487:$F$4092,3,0))=TRUE,"",(VLOOKUP('Presupuesto - PAA 2018'!B78,'Base de Datos'!$C$487:$F$4092,4,0)))</f>
        <v>UT AUTOGAS GRUPO EDS</v>
      </c>
      <c r="E78" s="536">
        <f>VLOOKUP(B78,[7]PAA2017!$C$65:$AA$255,20,0)</f>
        <v>493000000</v>
      </c>
      <c r="F78" s="534" t="str">
        <f>VLOOKUP(B78,[8]SOLICITUDES!$B$3:$H$278,2,0)</f>
        <v>SI</v>
      </c>
      <c r="G78" s="534"/>
      <c r="H78" s="534"/>
      <c r="I78" s="534"/>
      <c r="J78" s="536">
        <f>IF(ISERROR(VLOOKUP(B78,'Base de Datos'!$C$487:$N$4092,6,0))=TRUE,"Sin Celebrar",(VLOOKUP(B78,'Base de Datos'!$C$487:$N$4092,7,0)))</f>
        <v>433000000</v>
      </c>
      <c r="K78" s="600"/>
      <c r="L78" s="580" t="str">
        <f>IF(J78=$AA$1,E78, " ")</f>
        <v xml:space="preserve"> </v>
      </c>
      <c r="M78" s="536"/>
      <c r="N78" s="536">
        <f>IF(J78&lt;E78,(E78-J78)," ")</f>
        <v>60000000</v>
      </c>
      <c r="O78" s="719" t="str">
        <f>IF(ISERROR(VLOOKUP(B78,'Base de Datos'!$C$487:$K$1048576,7,0))=TRUE," ",(VLOOKUP(B78,'Base de Datos'!$C$487:$K$1048576,8,0)))</f>
        <v>Orden de compra 13628</v>
      </c>
      <c r="P78" s="551">
        <f>IF(ISERROR(VLOOKUP(B78,'Base de Datos'!$C$487:$N$4077,9,0))=TRUE," ",(VLOOKUP(B78,'Base de Datos'!$C$487:$N$4077,10,0)))</f>
        <v>42754</v>
      </c>
      <c r="Q78" s="737" t="s">
        <v>1854</v>
      </c>
      <c r="R78" s="551">
        <f>IF(ISERROR(VLOOKUP(B78,'Base de Datos'!$C$487:$N$4077,10,0))=TRUE," ",(VLOOKUP(B78,'Base de Datos'!$C$487:$N$4077,11,0)))</f>
        <v>42767</v>
      </c>
      <c r="S78" s="551">
        <f>IF(ISERROR(VLOOKUP(B78,'Base de Datos'!$C$487:$N$4077,11,0))=TRUE," ",(VLOOKUP(B78,'Base de Datos'!$C$487:$N$4077,12,0)))</f>
        <v>43100</v>
      </c>
      <c r="T78" s="533" t="str">
        <f>VLOOKUP(B78,'Base de Datos'!$C$487:$AR$4129,41,0)</f>
        <v>SI</v>
      </c>
      <c r="U78" s="722"/>
      <c r="V78" s="634"/>
    </row>
    <row r="79" spans="2:22" outlineLevel="1" x14ac:dyDescent="0.25">
      <c r="B79" s="552"/>
      <c r="C79" s="533" t="str">
        <f>IF(ISERROR(VLOOKUP(B79,'Base de Datos'!$C$7:$F$4092,2,0))=TRUE,"",(VLOOKUP('Presupuesto - PAA 2018'!B79,'Base de Datos'!$C$7:$F$4092,3,0)))</f>
        <v/>
      </c>
      <c r="D79" s="533" t="str">
        <f>IF(ISERROR(VLOOKUP(B79,'Base de Datos'!$C$7:$F$4092,3,0))=TRUE,"",(VLOOKUP('Presupuesto - PAA 2018'!B79,'Base de Datos'!$C$7:$F$4092,4,0)))</f>
        <v/>
      </c>
      <c r="E79" s="554"/>
      <c r="F79" s="534" t="e">
        <f>VLOOKUP(B79,'Actualizada - presupuesto'!$D$7:$L$111,9,0)</f>
        <v>#N/A</v>
      </c>
      <c r="G79" s="555"/>
      <c r="H79" s="555"/>
      <c r="I79" s="555"/>
      <c r="J79" s="536" t="str">
        <f>IF(ISERROR(VLOOKUP(B79,'Base de Datos'!$C$7:$N$4092,6,0))=TRUE,"Sin Celebrar",(VLOOKUP(B79,'Base de Datos'!$C$7:$N$4092,7,0)))</f>
        <v>Sin Celebrar</v>
      </c>
      <c r="K79" s="604"/>
      <c r="L79" s="580">
        <f>IF(J79=$AA$1,E79, " ")</f>
        <v>0</v>
      </c>
      <c r="M79" s="554"/>
      <c r="N79" s="554" t="str">
        <f>IF(J79&lt;E79,(E79-J79)," ")</f>
        <v xml:space="preserve"> </v>
      </c>
      <c r="O79" s="719" t="str">
        <f>IF(ISERROR(VLOOKUP(B79,'Base de Datos'!$C$7:$K$1048576,7,0))=TRUE," ",(VLOOKUP(B79,'Base de Datos'!$C$7:$K$1048576,8,0)))</f>
        <v xml:space="preserve"> </v>
      </c>
      <c r="P79" s="551" t="str">
        <f>IF(ISERROR(VLOOKUP(B79,'Base de Datos'!$C$7:$N$4077,9,0))=TRUE," ",(VLOOKUP(B79,'Base de Datos'!$C$7:$N$4077,10,0)))</f>
        <v xml:space="preserve"> </v>
      </c>
      <c r="Q79" s="553"/>
      <c r="R79" s="551" t="str">
        <f>IF(ISERROR(VLOOKUP(B79,'Base de Datos'!$C$7:$N$4077,10,0))=TRUE," ",(VLOOKUP(B79,'Base de Datos'!$C$7:$N$4077,11,0)))</f>
        <v xml:space="preserve"> </v>
      </c>
      <c r="S79" s="551" t="str">
        <f>IF(ISERROR(VLOOKUP(B79,'Base de Datos'!$C$7:$N$4077,11,0))=TRUE," ",(VLOOKUP(B79,'Base de Datos'!$C$7:$N$4077,12,0)))</f>
        <v xml:space="preserve"> </v>
      </c>
      <c r="T79" s="533" t="e">
        <f>VLOOKUP(C79,'Base de Datos'!$E$7:$AR$382,39,0)</f>
        <v>#N/A</v>
      </c>
      <c r="U79" s="722"/>
      <c r="V79" s="634"/>
    </row>
    <row r="80" spans="2:22" outlineLevel="1" x14ac:dyDescent="0.25">
      <c r="B80" s="648"/>
      <c r="C80" s="648"/>
      <c r="D80" s="533" t="s">
        <v>1938</v>
      </c>
      <c r="E80" s="536">
        <f>E75-(SUM(E77:E79))</f>
        <v>-100000000</v>
      </c>
      <c r="F80" s="647"/>
      <c r="G80" s="534"/>
      <c r="H80" s="534"/>
      <c r="I80" s="534"/>
      <c r="J80" s="554"/>
      <c r="K80" s="600"/>
      <c r="L80" s="554"/>
      <c r="M80" s="536"/>
      <c r="N80" s="554" t="str">
        <f>IF(J80&lt;E80,(E80-J80)," ")</f>
        <v xml:space="preserve"> </v>
      </c>
      <c r="O80" s="679"/>
      <c r="P80" s="551" t="str">
        <f>IF(ISERROR(VLOOKUP(B80,'Base de Datos'!$C$7:$N$315,9,0))=TRUE," ",(VLOOKUP(B80,'Base de Datos'!$C$7:$N$315,9,0)))</f>
        <v xml:space="preserve"> </v>
      </c>
      <c r="Q80" s="533"/>
      <c r="R80" s="556" t="str">
        <f>IF(ISERROR(VLOOKUP(B80,'Base de Datos'!$C$7:$N$315,10,0))=TRUE," ",(VLOOKUP(B80,'Base de Datos'!$C$7:$N$315,10,0)))</f>
        <v xml:space="preserve"> </v>
      </c>
      <c r="S80" s="556" t="str">
        <f>IF(ISERROR(VLOOKUP(B80,'Base de Datos'!$C$7:$N$315,11,0))=TRUE," ",(VLOOKUP(B80,'Base de Datos'!$C$7:$N$315,11,0)))</f>
        <v xml:space="preserve"> </v>
      </c>
      <c r="T80" s="721"/>
      <c r="U80" s="722"/>
      <c r="V80" s="634"/>
    </row>
    <row r="81" spans="2:22" outlineLevel="1" x14ac:dyDescent="0.25">
      <c r="B81" s="648"/>
      <c r="C81" s="648"/>
      <c r="D81" s="648"/>
      <c r="E81" s="536"/>
      <c r="F81" s="647"/>
      <c r="G81" s="647"/>
      <c r="H81" s="647"/>
      <c r="I81" s="647"/>
      <c r="J81" s="536"/>
      <c r="K81" s="600"/>
      <c r="L81" s="536"/>
      <c r="M81" s="536"/>
      <c r="N81" s="536"/>
      <c r="O81" s="678"/>
      <c r="P81" s="551"/>
      <c r="Q81" s="533"/>
      <c r="R81" s="551"/>
      <c r="S81" s="551"/>
      <c r="T81" s="533"/>
      <c r="U81" s="722"/>
      <c r="V81" s="634"/>
    </row>
    <row r="82" spans="2:22" ht="15" customHeight="1" x14ac:dyDescent="0.25">
      <c r="B82" s="1195" t="s">
        <v>1650</v>
      </c>
      <c r="C82" s="1195"/>
      <c r="D82" s="1195"/>
      <c r="E82" s="587">
        <v>223000000</v>
      </c>
      <c r="F82" s="588">
        <f>COUNTIF('Actualizada - presupuesto'!$E$7:$E$111,B82)</f>
        <v>4</v>
      </c>
      <c r="G82" s="588"/>
      <c r="H82" s="588"/>
      <c r="I82" s="588"/>
      <c r="J82" s="587">
        <f>SUM(J84:J88)</f>
        <v>357365600</v>
      </c>
      <c r="K82" s="607">
        <f>J82/E82</f>
        <v>1.6025363228699552</v>
      </c>
      <c r="L82" s="587" t="e">
        <f>SUM(L84:L88)</f>
        <v>#N/A</v>
      </c>
      <c r="M82" s="632" t="e">
        <f>+E82-(J82+L82)</f>
        <v>#N/A</v>
      </c>
      <c r="N82" s="587" t="e">
        <f>+E82-J82-L82</f>
        <v>#N/A</v>
      </c>
      <c r="O82" s="682"/>
      <c r="P82" s="589" t="str">
        <f>IF(ISERROR(VLOOKUP(B82,'Base de Datos'!$C$7:$N$315,8,0))=TRUE," ",(VLOOKUP(B82,'Base de Datos'!$C$7:$N$315,8,0)))</f>
        <v xml:space="preserve"> </v>
      </c>
      <c r="Q82" s="590"/>
      <c r="R82" s="589" t="str">
        <f>IF(ISERROR(VLOOKUP(B82,'Base de Datos'!$C$7:$N$315,9,0))=TRUE," ",(VLOOKUP(B82,'Base de Datos'!$C$7:$N$315,9,0)))</f>
        <v xml:space="preserve"> </v>
      </c>
      <c r="S82" s="589" t="str">
        <f>IF(ISERROR(VLOOKUP(B82,'Base de Datos'!$C$7:$N$315,10,0))=TRUE," ",(VLOOKUP(B82,'Base de Datos'!$C$7:$N$315,10,0)))</f>
        <v xml:space="preserve"> </v>
      </c>
      <c r="T82" s="592"/>
      <c r="U82" s="722"/>
      <c r="V82" s="634"/>
    </row>
    <row r="83" spans="2:22" ht="24" outlineLevel="1" x14ac:dyDescent="0.25">
      <c r="B83" s="537" t="s">
        <v>1693</v>
      </c>
      <c r="C83" s="537" t="s">
        <v>912</v>
      </c>
      <c r="D83" s="537" t="s">
        <v>1822</v>
      </c>
      <c r="E83" s="545" t="s">
        <v>1846</v>
      </c>
      <c r="F83" s="534" t="s">
        <v>1853</v>
      </c>
      <c r="G83" s="534"/>
      <c r="H83" s="534"/>
      <c r="I83" s="534"/>
      <c r="J83" s="537" t="s">
        <v>1845</v>
      </c>
      <c r="K83" s="652"/>
      <c r="L83" s="537" t="s">
        <v>1939</v>
      </c>
      <c r="M83" s="537"/>
      <c r="N83" s="537" t="s">
        <v>1940</v>
      </c>
      <c r="O83" s="677"/>
      <c r="P83" s="568" t="s">
        <v>1847</v>
      </c>
      <c r="Q83" s="537" t="s">
        <v>1848</v>
      </c>
      <c r="R83" s="537" t="s">
        <v>1849</v>
      </c>
      <c r="S83" s="537" t="s">
        <v>375</v>
      </c>
      <c r="T83" s="537" t="s">
        <v>1850</v>
      </c>
      <c r="U83" s="722"/>
      <c r="V83" s="634"/>
    </row>
    <row r="84" spans="2:22" ht="24" outlineLevel="1" x14ac:dyDescent="0.25">
      <c r="B84" s="537">
        <v>187</v>
      </c>
      <c r="C84" s="533" t="str">
        <f>IF(ISERROR(VLOOKUP(B84,'Base de Datos'!$C$487:$F$4092,2,0))=TRUE,"",(VLOOKUP('Presupuesto - PAA 2018'!B84,'Base de Datos'!$C$7:$F$4092,3,0)))</f>
        <v>150348-0-2015</v>
      </c>
      <c r="D84" s="533" t="str">
        <f>IF(ISERROR(VLOOKUP(B84,'Base de Datos'!$C$487:$F$4092,3,0))=TRUE,"",(VLOOKUP('Presupuesto - PAA 2018'!B84,'Base de Datos'!$C$487:$F$4092,4,0)))</f>
        <v>COMERCIALIZADORA VIMEL LTDA</v>
      </c>
      <c r="E84" s="536">
        <f>VLOOKUP(B84,[7]PAA2017!$C$65:$AA$255,20,0)</f>
        <v>49000000</v>
      </c>
      <c r="F84" s="534" t="str">
        <f>VLOOKUP(B84,[8]SOLICITUDES!$B$3:$H$278,2,0)</f>
        <v>SI</v>
      </c>
      <c r="G84" s="534"/>
      <c r="H84" s="534"/>
      <c r="I84" s="534"/>
      <c r="J84" s="536">
        <f>IF(ISERROR(VLOOKUP(B84,'Base de Datos'!$C$487:$N$4092,6,0))=TRUE,"Sin Celebrar",(VLOOKUP(B84,'Base de Datos'!$C$487:$N$4092,7,0)))</f>
        <v>6711600</v>
      </c>
      <c r="K84" s="600"/>
      <c r="L84" s="580" t="str">
        <f>IF(J84=$AA$1,E84, " ")</f>
        <v xml:space="preserve"> </v>
      </c>
      <c r="M84" s="536"/>
      <c r="N84" s="536">
        <f>IF(J84&lt;E84,(E84-J84)," ")</f>
        <v>42288400</v>
      </c>
      <c r="O84" s="719" t="str">
        <f>IF(ISERROR(VLOOKUP(B84,'Base de Datos'!$C$487:$K$1048576,7,0))=TRUE," ",(VLOOKUP(B84,'Base de Datos'!$C$487:$K$1048576,8,0)))</f>
        <v>SDH-SMINC-31-2017</v>
      </c>
      <c r="P84" s="551">
        <f>IF(ISERROR(VLOOKUP(B84,'Base de Datos'!$C$487:$N$4077,9,0))=TRUE," ",(VLOOKUP(B84,'Base de Datos'!$C$487:$N$4077,10,0)))</f>
        <v>42996</v>
      </c>
      <c r="Q84" s="737"/>
      <c r="R84" s="551">
        <f>IF(ISERROR(VLOOKUP(B84,'Base de Datos'!$C$487:$N$4077,10,0))=TRUE," ",(VLOOKUP(B84,'Base de Datos'!$C$487:$N$4077,11,0)))</f>
        <v>43004</v>
      </c>
      <c r="S84" s="551">
        <f>IF(ISERROR(VLOOKUP(B84,'Base de Datos'!$C$487:$N$4077,11,0))=TRUE," ",(VLOOKUP(B84,'Base de Datos'!$C$487:$N$4077,12,0)))</f>
        <v>43185</v>
      </c>
      <c r="T84" s="533" t="str">
        <f>VLOOKUP(B84,'Base de Datos'!$C$487:$AR$4129,41,0)</f>
        <v>SI</v>
      </c>
      <c r="U84" s="722"/>
      <c r="V84" s="634"/>
    </row>
    <row r="85" spans="2:22" ht="17.25" customHeight="1" outlineLevel="1" x14ac:dyDescent="0.25">
      <c r="B85" s="537">
        <v>188</v>
      </c>
      <c r="C85" s="533" t="str">
        <f>IF(ISERROR(VLOOKUP(B85,'Base de Datos'!$C$487:$F$4092,2,0))=TRUE,"",(VLOOKUP('Presupuesto - PAA 2018'!B85,'Base de Datos'!$C$7:$F$4092,3,0)))</f>
        <v>150300-0-2015</v>
      </c>
      <c r="D85" s="533" t="str">
        <f>IF(ISERROR(VLOOKUP(B85,'Base de Datos'!$C$487:$F$4092,3,0))=TRUE,"",(VLOOKUP('Presupuesto - PAA 2018'!B85,'Base de Datos'!$C$487:$F$4092,4,0)))</f>
        <v>INSTITUCIONAL STAR SERVICES Ltda.</v>
      </c>
      <c r="E85" s="536">
        <f>VLOOKUP(B85,[7]PAA2017!$C$65:$AA$255,20,0)</f>
        <v>128000000</v>
      </c>
      <c r="F85" s="534" t="e">
        <f>VLOOKUP(B85,[8]SOLICITUDES!$B$3:$H$278,2,0)</f>
        <v>#N/A</v>
      </c>
      <c r="G85" s="534"/>
      <c r="H85" s="534"/>
      <c r="I85" s="534"/>
      <c r="J85" s="536">
        <f>IF(ISERROR(VLOOKUP(B85,'Base de Datos'!$C$487:$N$4092,6,0))=TRUE,"Sin Celebrar",(VLOOKUP(B85,'Base de Datos'!$C$487:$N$4092,7,0)))</f>
        <v>79741000</v>
      </c>
      <c r="K85" s="600"/>
      <c r="L85" s="580" t="str">
        <f>IF(J85=$AA$1,E85, " ")</f>
        <v xml:space="preserve"> </v>
      </c>
      <c r="M85" s="536"/>
      <c r="N85" s="536">
        <f>IF(J85&lt;E85,(E85-J85)," ")</f>
        <v>48259000</v>
      </c>
      <c r="O85" s="719" t="str">
        <f>IF(ISERROR(VLOOKUP(B85,'Base de Datos'!$C$487:$K$1048576,7,0))=TRUE," ",(VLOOKUP(B85,'Base de Datos'!$C$487:$K$1048576,8,0)))</f>
        <v>SDH-SIE-09-2017</v>
      </c>
      <c r="P85" s="551" t="str">
        <f>IF(ISERROR(VLOOKUP(B85,'Base de Datos'!$C$487:$N$4077,9,0))=TRUE," ",(VLOOKUP(B85,'Base de Datos'!$C$487:$N$4077,10,0)))</f>
        <v>03/112017</v>
      </c>
      <c r="Q85" s="737"/>
      <c r="R85" s="551">
        <f>IF(ISERROR(VLOOKUP(B85,'Base de Datos'!$C$487:$N$4077,10,0))=TRUE," ",(VLOOKUP(B85,'Base de Datos'!$C$487:$N$4077,11,0)))</f>
        <v>43059</v>
      </c>
      <c r="S85" s="551">
        <f>IF(ISERROR(VLOOKUP(B85,'Base de Datos'!$C$487:$N$4077,11,0))=TRUE," ",(VLOOKUP(B85,'Base de Datos'!$C$487:$N$4077,12,0)))</f>
        <v>43286</v>
      </c>
      <c r="T85" s="533" t="str">
        <f>VLOOKUP(B85,'Base de Datos'!$C$487:$AR$4129,41,0)</f>
        <v>SI</v>
      </c>
      <c r="U85" s="722"/>
      <c r="V85" s="634"/>
    </row>
    <row r="86" spans="2:22" outlineLevel="1" x14ac:dyDescent="0.25">
      <c r="B86" s="537">
        <v>189</v>
      </c>
      <c r="C86" s="533" t="str">
        <f>IF(ISERROR(VLOOKUP(B86,'Base de Datos'!$C$487:$F$4092,2,0))=TRUE,"",(VLOOKUP('Presupuesto - PAA 2018'!B86,'Base de Datos'!$C$7:$F$4092,3,0)))</f>
        <v>150316-0-2015</v>
      </c>
      <c r="D86" s="533" t="str">
        <f>IF(ISERROR(VLOOKUP(B86,'Base de Datos'!$C$487:$F$4092,3,0))=TRUE,"",(VLOOKUP('Presupuesto - PAA 2018'!B86,'Base de Datos'!$C$487:$F$4092,4,0)))</f>
        <v>SERVIASEO S.A.</v>
      </c>
      <c r="E86" s="536">
        <f>VLOOKUP(B86,[7]PAA2017!$C$65:$AA$255,20,0)</f>
        <v>1708200000</v>
      </c>
      <c r="F86" s="534" t="str">
        <f>VLOOKUP(B86,[8]SOLICITUDES!$B$3:$H$278,2,0)</f>
        <v>SI</v>
      </c>
      <c r="G86" s="534"/>
      <c r="H86" s="534"/>
      <c r="I86" s="534"/>
      <c r="J86" s="536">
        <f>IF(ISERROR(VLOOKUP(B86,'Base de Datos'!$C$487:$N$4092,6,0))=TRUE,"Sin Celebrar",(VLOOKUP(B86,'Base de Datos'!$C$487:$N$4092,7,0)))</f>
        <v>270913000</v>
      </c>
      <c r="K86" s="600"/>
      <c r="L86" s="580" t="str">
        <f>IF(J86=$AA$1,E86, " ")</f>
        <v xml:space="preserve"> </v>
      </c>
      <c r="M86" s="536"/>
      <c r="N86" s="536">
        <f>IF(J86&lt;E86,(E86-J86)," ")</f>
        <v>1437287000</v>
      </c>
      <c r="O86" s="719" t="str">
        <f>IF(ISERROR(VLOOKUP(B86,'Base de Datos'!$C$487:$K$1048576,7,0))=TRUE," ",(VLOOKUP(B86,'Base de Datos'!$C$487:$K$1048576,8,0)))</f>
        <v xml:space="preserve"> SDH-LP-01-2017</v>
      </c>
      <c r="P86" s="551">
        <f>IF(ISERROR(VLOOKUP(B86,'Base de Datos'!$C$487:$N$4077,9,0))=TRUE," ",(VLOOKUP(B86,'Base de Datos'!$C$487:$N$4077,10,0)))</f>
        <v>42825</v>
      </c>
      <c r="Q86" s="737"/>
      <c r="R86" s="551">
        <f>IF(ISERROR(VLOOKUP(B86,'Base de Datos'!$C$487:$N$4077,10,0))=TRUE," ",(VLOOKUP(B86,'Base de Datos'!$C$487:$N$4077,11,0)))</f>
        <v>42829</v>
      </c>
      <c r="S86" s="551">
        <f>IF(ISERROR(VLOOKUP(B86,'Base de Datos'!$C$487:$N$4077,11,0))=TRUE," ",(VLOOKUP(B86,'Base de Datos'!$C$487:$N$4077,12,0)))</f>
        <v>43073</v>
      </c>
      <c r="T86" s="533" t="str">
        <f>VLOOKUP(B86,'Base de Datos'!$C$487:$AR$4129,41,0)</f>
        <v>SI</v>
      </c>
      <c r="U86" s="722"/>
      <c r="V86" s="634"/>
    </row>
    <row r="87" spans="2:22" ht="16.5" customHeight="1" outlineLevel="1" x14ac:dyDescent="0.25">
      <c r="B87" s="552"/>
      <c r="C87" s="533" t="str">
        <f>IF(ISERROR(VLOOKUP(B87,'Base de Datos'!$C$487:$F$4092,2,0))=TRUE,"",(VLOOKUP('Presupuesto - PAA 2018'!B87,'Base de Datos'!$C$7:$F$4092,3,0)))</f>
        <v/>
      </c>
      <c r="D87" s="533" t="str">
        <f>IF(ISERROR(VLOOKUP(B87,'Base de Datos'!$C$487:$F$4092,3,0))=TRUE,"",(VLOOKUP('Presupuesto - PAA 2018'!B87,'Base de Datos'!$C$487:$F$4092,4,0)))</f>
        <v/>
      </c>
      <c r="E87" s="536" t="e">
        <f>VLOOKUP(B87,[7]PAA2017!$C$65:$AA$255,20,0)</f>
        <v>#N/A</v>
      </c>
      <c r="F87" s="534" t="e">
        <f>VLOOKUP(B87,[8]SOLICITUDES!$B$3:$H$278,2,0)</f>
        <v>#N/A</v>
      </c>
      <c r="G87" s="534"/>
      <c r="H87" s="534"/>
      <c r="I87" s="534"/>
      <c r="J87" s="536" t="str">
        <f>IF(ISERROR(VLOOKUP(B87,'Base de Datos'!$C$487:$N$4092,6,0))=TRUE,"Sin Celebrar",(VLOOKUP(B87,'Base de Datos'!$C$487:$N$4092,7,0)))</f>
        <v>Sin Celebrar</v>
      </c>
      <c r="K87" s="600"/>
      <c r="L87" s="580" t="e">
        <f>IF(J87=$AA$1,E87, " ")</f>
        <v>#N/A</v>
      </c>
      <c r="M87" s="536"/>
      <c r="N87" s="536" t="e">
        <f>IF(J87&lt;E87,(E87-J87)," ")</f>
        <v>#N/A</v>
      </c>
      <c r="O87" s="719" t="str">
        <f>IF(ISERROR(VLOOKUP(B87,'Base de Datos'!$C$487:$K$1048576,7,0))=TRUE," ",(VLOOKUP(B87,'Base de Datos'!$C$487:$K$1048576,8,0)))</f>
        <v xml:space="preserve"> </v>
      </c>
      <c r="P87" s="551" t="str">
        <f>IF(ISERROR(VLOOKUP(B87,'Base de Datos'!$C$487:$N$4077,9,0))=TRUE," ",(VLOOKUP(B87,'Base de Datos'!$C$487:$N$4077,10,0)))</f>
        <v xml:space="preserve"> </v>
      </c>
      <c r="Q87" s="737"/>
      <c r="R87" s="551" t="str">
        <f>IF(ISERROR(VLOOKUP(B87,'Base de Datos'!$C$487:$N$4077,10,0))=TRUE," ",(VLOOKUP(B87,'Base de Datos'!$C$487:$N$4077,11,0)))</f>
        <v xml:space="preserve"> </v>
      </c>
      <c r="S87" s="551" t="str">
        <f>IF(ISERROR(VLOOKUP(B87,'Base de Datos'!$C$487:$N$4077,11,0))=TRUE," ",(VLOOKUP(B87,'Base de Datos'!$C$487:$N$4077,12,0)))</f>
        <v xml:space="preserve"> </v>
      </c>
      <c r="T87" s="533" t="e">
        <f>VLOOKUP(B87,'Base de Datos'!$C$487:$AR$4129,41,0)</f>
        <v>#N/A</v>
      </c>
      <c r="U87" s="722"/>
      <c r="V87" s="634"/>
    </row>
    <row r="88" spans="2:22" outlineLevel="1" x14ac:dyDescent="0.25">
      <c r="B88" s="648"/>
      <c r="C88" s="648"/>
      <c r="D88" s="533" t="s">
        <v>1935</v>
      </c>
      <c r="E88" s="536" t="e">
        <f>E82-SUM(E84:E87)</f>
        <v>#N/A</v>
      </c>
      <c r="F88" s="534"/>
      <c r="G88" s="534"/>
      <c r="H88" s="534"/>
      <c r="I88" s="534"/>
      <c r="J88" s="536"/>
      <c r="K88" s="600"/>
      <c r="L88" s="554"/>
      <c r="M88" s="536"/>
      <c r="N88" s="554" t="e">
        <f>IF(J88&lt;E88,(E88-J88)," ")</f>
        <v>#N/A</v>
      </c>
      <c r="O88" s="679"/>
      <c r="P88" s="551" t="str">
        <f>IF(ISERROR(VLOOKUP(B88,'Base de Datos'!$C$7:$N$315,9,0))=TRUE," ",(VLOOKUP(B88,'Base de Datos'!$C$7:$N$315,9,0)))</f>
        <v xml:space="preserve"> </v>
      </c>
      <c r="Q88" s="533"/>
      <c r="R88" s="556" t="str">
        <f>IF(ISERROR(VLOOKUP(B88,'Base de Datos'!$C$7:$N$315,10,0))=TRUE," ",(VLOOKUP(B88,'Base de Datos'!$C$7:$N$315,10,0)))</f>
        <v xml:space="preserve"> </v>
      </c>
      <c r="S88" s="556" t="str">
        <f>IF(ISERROR(VLOOKUP(B88,'Base de Datos'!$C$7:$N$315,11,0))=TRUE," ",(VLOOKUP(B88,'Base de Datos'!$C$7:$N$315,11,0)))</f>
        <v xml:space="preserve"> </v>
      </c>
      <c r="T88" s="533"/>
      <c r="U88" s="722"/>
      <c r="V88" s="634"/>
    </row>
    <row r="89" spans="2:22" outlineLevel="1" x14ac:dyDescent="0.25">
      <c r="B89" s="648"/>
      <c r="C89" s="648"/>
      <c r="D89" s="648"/>
      <c r="E89" s="536"/>
      <c r="F89" s="534"/>
      <c r="G89" s="534"/>
      <c r="H89" s="534"/>
      <c r="I89" s="534"/>
      <c r="J89" s="536"/>
      <c r="K89" s="600"/>
      <c r="L89" s="536"/>
      <c r="M89" s="536"/>
      <c r="N89" s="536"/>
      <c r="O89" s="678"/>
      <c r="P89" s="551"/>
      <c r="Q89" s="533"/>
      <c r="R89" s="551"/>
      <c r="S89" s="551"/>
      <c r="T89" s="533"/>
      <c r="U89" s="722"/>
      <c r="V89" s="634"/>
    </row>
    <row r="90" spans="2:22" ht="15" customHeight="1" x14ac:dyDescent="0.25">
      <c r="B90" s="1196" t="s">
        <v>1651</v>
      </c>
      <c r="C90" s="1196"/>
      <c r="D90" s="1196"/>
      <c r="E90" s="557">
        <v>7026221000</v>
      </c>
      <c r="F90" s="558">
        <f>COUNTIF('Actualizada - presupuesto'!$E$7:$E$111,B90)</f>
        <v>0</v>
      </c>
      <c r="G90" s="558"/>
      <c r="H90" s="558"/>
      <c r="I90" s="558"/>
      <c r="J90" s="567">
        <f>+J91+J100+J116+J139+J158+J175+J180+J188+J196+J204+J209</f>
        <v>5796244783</v>
      </c>
      <c r="K90" s="610">
        <f>J90/E90</f>
        <v>0.82494484346564101</v>
      </c>
      <c r="L90" s="567" t="e">
        <f>+L91+L100+L116+L139+L158+L175+L180+L188+L196+L204+L209</f>
        <v>#N/A</v>
      </c>
      <c r="M90" s="653">
        <v>0</v>
      </c>
      <c r="N90" s="567" t="e">
        <f>+N91+N100+N116+N139+N158+N175+N180+N188+N196+N204+N209</f>
        <v>#N/A</v>
      </c>
      <c r="O90" s="685"/>
      <c r="P90" s="567"/>
      <c r="Q90" s="574"/>
      <c r="R90" s="573" t="str">
        <f>IF(ISERROR(VLOOKUP(B90,'Base de Datos'!$C$7:$N$315,9,0))=TRUE," ",(VLOOKUP(B90,'Base de Datos'!$C$7:$N$315,9,0)))</f>
        <v xml:space="preserve"> </v>
      </c>
      <c r="S90" s="573" t="str">
        <f>IF(ISERROR(VLOOKUP(B90,'Base de Datos'!$C$7:$N$315,10,0))=TRUE," ",(VLOOKUP(B90,'Base de Datos'!$C$7:$N$315,10,0)))</f>
        <v xml:space="preserve"> </v>
      </c>
      <c r="T90" s="569"/>
      <c r="U90" s="722"/>
      <c r="V90" s="634"/>
    </row>
    <row r="91" spans="2:22" ht="15" customHeight="1" x14ac:dyDescent="0.25">
      <c r="B91" s="1181" t="s">
        <v>1652</v>
      </c>
      <c r="C91" s="1181"/>
      <c r="D91" s="1181"/>
      <c r="E91" s="581">
        <v>229000000</v>
      </c>
      <c r="F91" s="586">
        <f>COUNTIF('Actualizada - presupuesto'!$E$7:$E$111,B91)</f>
        <v>5</v>
      </c>
      <c r="G91" s="586"/>
      <c r="H91" s="586"/>
      <c r="I91" s="586"/>
      <c r="J91" s="581">
        <f>SUM(J93:J98)</f>
        <v>239202165</v>
      </c>
      <c r="K91" s="603">
        <f>J91/E91</f>
        <v>1.0445509388646288</v>
      </c>
      <c r="L91" s="581">
        <f>SUM(L93:L98)</f>
        <v>40420000</v>
      </c>
      <c r="M91" s="632">
        <v>0</v>
      </c>
      <c r="N91" s="581">
        <f>+E91-J91-L91</f>
        <v>-50622165</v>
      </c>
      <c r="O91" s="684"/>
      <c r="P91" s="591" t="str">
        <f>IF(ISERROR(VLOOKUP(B91,'Base de Datos'!$C$7:$N$315,8,0))=TRUE," ",(VLOOKUP(B91,'Base de Datos'!$C$7:$N$315,8,0)))</f>
        <v xml:space="preserve"> </v>
      </c>
      <c r="Q91" s="592"/>
      <c r="R91" s="591" t="str">
        <f>IF(ISERROR(VLOOKUP(B91,'Base de Datos'!$C$7:$N$315,9,0))=TRUE," ",(VLOOKUP(B91,'Base de Datos'!$C$7:$N$315,9,0)))</f>
        <v xml:space="preserve"> </v>
      </c>
      <c r="S91" s="591" t="str">
        <f>IF(ISERROR(VLOOKUP(B91,'Base de Datos'!$C$7:$N$315,10,0))=TRUE," ",(VLOOKUP(B91,'Base de Datos'!$C$7:$N$315,10,0)))</f>
        <v xml:space="preserve"> </v>
      </c>
      <c r="T91" s="592"/>
      <c r="U91" s="722"/>
      <c r="V91" s="634"/>
    </row>
    <row r="92" spans="2:22" ht="24" outlineLevel="1" x14ac:dyDescent="0.25">
      <c r="B92" s="537" t="s">
        <v>1693</v>
      </c>
      <c r="C92" s="537" t="s">
        <v>912</v>
      </c>
      <c r="D92" s="537" t="s">
        <v>1822</v>
      </c>
      <c r="E92" s="545" t="s">
        <v>1846</v>
      </c>
      <c r="F92" s="534" t="s">
        <v>1853</v>
      </c>
      <c r="G92" s="534"/>
      <c r="H92" s="534"/>
      <c r="I92" s="534"/>
      <c r="J92" s="537" t="s">
        <v>1845</v>
      </c>
      <c r="K92" s="652"/>
      <c r="L92" s="537" t="s">
        <v>1939</v>
      </c>
      <c r="M92" s="537"/>
      <c r="N92" s="537" t="s">
        <v>1940</v>
      </c>
      <c r="O92" s="677"/>
      <c r="P92" s="568" t="s">
        <v>1847</v>
      </c>
      <c r="Q92" s="537" t="s">
        <v>1848</v>
      </c>
      <c r="R92" s="537" t="s">
        <v>1849</v>
      </c>
      <c r="S92" s="537" t="s">
        <v>375</v>
      </c>
      <c r="T92" s="537" t="s">
        <v>1850</v>
      </c>
      <c r="U92" s="722"/>
      <c r="V92" s="634"/>
    </row>
    <row r="93" spans="2:22" ht="24" customHeight="1" outlineLevel="1" x14ac:dyDescent="0.25">
      <c r="B93" s="537">
        <v>71</v>
      </c>
      <c r="C93" s="533" t="str">
        <f>IF(ISERROR(VLOOKUP(B93,'Base de Datos'!$C$487:$F$4092,2,0))=TRUE,"",(VLOOKUP('Presupuesto - PAA 2018'!B93,'Base de Datos'!$C$7:$F$4092,3,0)))</f>
        <v/>
      </c>
      <c r="D93" s="533" t="str">
        <f>IF(ISERROR(VLOOKUP(B93,'Base de Datos'!$C$487:$F$4092,3,0))=TRUE,"",(VLOOKUP('Presupuesto - PAA 2018'!B93,'Base de Datos'!$C$487:$F$4092,4,0)))</f>
        <v/>
      </c>
      <c r="E93" s="536">
        <f>VLOOKUP(B93,[7]PAA2017!$C$65:$AA$255,20,0)</f>
        <v>40420000</v>
      </c>
      <c r="F93" s="534" t="e">
        <f>VLOOKUP(B93,[8]SOLICITUDES!$B$3:$H$278,2,0)</f>
        <v>#N/A</v>
      </c>
      <c r="G93" s="534"/>
      <c r="H93" s="534"/>
      <c r="I93" s="534"/>
      <c r="J93" s="536" t="str">
        <f>IF(ISERROR(VLOOKUP(B93,'Base de Datos'!$C$487:$N$4092,6,0))=TRUE,"Sin Celebrar",(VLOOKUP(B93,'Base de Datos'!$C$487:$N$4092,7,0)))</f>
        <v>Sin Celebrar</v>
      </c>
      <c r="K93" s="600"/>
      <c r="L93" s="580">
        <f>IF(J93=$AA$1,E93, " ")</f>
        <v>40420000</v>
      </c>
      <c r="M93" s="536"/>
      <c r="N93" s="536" t="str">
        <f t="shared" ref="N93:N98" si="8">IF(J93&lt;E93,(E93-J93)," ")</f>
        <v xml:space="preserve"> </v>
      </c>
      <c r="O93" s="719" t="str">
        <f>IF(ISERROR(VLOOKUP(B93,'Base de Datos'!$C$487:$K$1048576,7,0))=TRUE," ",(VLOOKUP(B93,'Base de Datos'!$C$487:$K$1048576,8,0)))</f>
        <v xml:space="preserve"> </v>
      </c>
      <c r="P93" s="551" t="str">
        <f>IF(ISERROR(VLOOKUP(B93,'Base de Datos'!$C$487:$N$4077,9,0))=TRUE," ",(VLOOKUP(B93,'Base de Datos'!$C$487:$N$4077,10,0)))</f>
        <v xml:space="preserve"> </v>
      </c>
      <c r="Q93" s="737"/>
      <c r="R93" s="551" t="str">
        <f>IF(ISERROR(VLOOKUP(B93,'Base de Datos'!$C$487:$N$4077,10,0))=TRUE," ",(VLOOKUP(B93,'Base de Datos'!$C$487:$N$4077,11,0)))</f>
        <v xml:space="preserve"> </v>
      </c>
      <c r="S93" s="551" t="str">
        <f>IF(ISERROR(VLOOKUP(B93,'Base de Datos'!$C$487:$N$4077,11,0))=TRUE," ",(VLOOKUP(B93,'Base de Datos'!$C$487:$N$4077,12,0)))</f>
        <v xml:space="preserve"> </v>
      </c>
      <c r="T93" s="533" t="e">
        <f>VLOOKUP(B93,'Base de Datos'!$C$487:$AR$4129,41,0)</f>
        <v>#N/A</v>
      </c>
      <c r="U93" s="722"/>
      <c r="V93" s="634"/>
    </row>
    <row r="94" spans="2:22" ht="24" outlineLevel="1" x14ac:dyDescent="0.25">
      <c r="B94" s="537">
        <v>84</v>
      </c>
      <c r="C94" s="533" t="str">
        <f>IF(ISERROR(VLOOKUP(B94,'Base de Datos'!$C$487:$F$4092,2,0))=TRUE,"",(VLOOKUP('Presupuesto - PAA 2018'!B94,'Base de Datos'!$C$7:$F$4092,3,0)))</f>
        <v>160152-0-2016</v>
      </c>
      <c r="D94" s="533" t="str">
        <f>IF(ISERROR(VLOOKUP(B94,'Base de Datos'!$C$487:$F$4092,3,0))=TRUE,"",(VLOOKUP('Presupuesto - PAA 2018'!B94,'Base de Datos'!$C$487:$F$4092,4,0)))</f>
        <v>EMPRESA DE TELECOMUNICACIONES DE BOGOTA S.A.   ESP</v>
      </c>
      <c r="E94" s="536">
        <f>VLOOKUP(B94,[7]PAA2017!$C$65:$AA$255,20,0)</f>
        <v>900419000</v>
      </c>
      <c r="F94" s="534" t="e">
        <f>VLOOKUP(B94,[8]SOLICITUDES!$B$3:$H$278,2,0)</f>
        <v>#N/A</v>
      </c>
      <c r="G94" s="534"/>
      <c r="H94" s="534"/>
      <c r="I94" s="534"/>
      <c r="J94" s="536">
        <f>IF(ISERROR(VLOOKUP(B94,'Base de Datos'!$C$487:$N$4092,6,0))=TRUE,"Sin Celebrar",(VLOOKUP(B94,'Base de Datos'!$C$487:$N$4092,7,0)))</f>
        <v>195049000</v>
      </c>
      <c r="K94" s="600"/>
      <c r="L94" s="580" t="str">
        <f>IF(J94=$AA$1,E94, " ")</f>
        <v xml:space="preserve"> </v>
      </c>
      <c r="M94" s="536"/>
      <c r="N94" s="536">
        <f t="shared" si="8"/>
        <v>705370000</v>
      </c>
      <c r="O94" s="719" t="str">
        <f>IF(ISERROR(VLOOKUP(B94,'Base de Datos'!$C$487:$K$1048576,7,0))=TRUE," ",(VLOOKUP(B94,'Base de Datos'!$C$487:$K$1048576,8,0)))</f>
        <v>170045-0-2017</v>
      </c>
      <c r="P94" s="551">
        <f>IF(ISERROR(VLOOKUP(B94,'Base de Datos'!$C$487:$N$4077,9,0))=TRUE," ",(VLOOKUP(B94,'Base de Datos'!$C$487:$N$4077,10,0)))</f>
        <v>42800</v>
      </c>
      <c r="Q94" s="737"/>
      <c r="R94" s="551">
        <f>IF(ISERROR(VLOOKUP(B94,'Base de Datos'!$C$487:$N$4077,10,0))=TRUE," ",(VLOOKUP(B94,'Base de Datos'!$C$487:$N$4077,11,0)))</f>
        <v>42801</v>
      </c>
      <c r="S94" s="551">
        <f>IF(ISERROR(VLOOKUP(B94,'Base de Datos'!$C$487:$N$4077,11,0))=TRUE," ",(VLOOKUP(B94,'Base de Datos'!$C$487:$N$4077,12,0)))</f>
        <v>43046</v>
      </c>
      <c r="T94" s="533" t="str">
        <f>VLOOKUP(B94,'Base de Datos'!$C$487:$AR$4129,41,0)</f>
        <v>SI</v>
      </c>
      <c r="U94" s="722"/>
      <c r="V94" s="634"/>
    </row>
    <row r="95" spans="2:22" ht="15" customHeight="1" outlineLevel="1" x14ac:dyDescent="0.25">
      <c r="B95" s="537">
        <v>165</v>
      </c>
      <c r="C95" s="533" t="str">
        <f>IF(ISERROR(VLOOKUP(B95,'Base de Datos'!$C$487:$F$4092,2,0))=TRUE,"",(VLOOKUP('Presupuesto - PAA 2018'!B95,'Base de Datos'!$C$7:$F$4092,3,0)))</f>
        <v>150265-0-2015</v>
      </c>
      <c r="D95" s="533" t="str">
        <f>IF(ISERROR(VLOOKUP(B95,'Base de Datos'!$C$487:$F$4092,3,0))=TRUE,"",(VLOOKUP('Presupuesto - PAA 2018'!B95,'Base de Datos'!$C$487:$F$4092,4,0)))</f>
        <v>DIRECTV COLOMBIA LTDA</v>
      </c>
      <c r="E95" s="536">
        <f>VLOOKUP(B95,[7]PAA2017!$C$65:$AA$255,20,0)</f>
        <v>1800000</v>
      </c>
      <c r="F95" s="534" t="e">
        <f>VLOOKUP(B95,[8]SOLICITUDES!$B$3:$H$278,2,0)</f>
        <v>#N/A</v>
      </c>
      <c r="G95" s="534"/>
      <c r="H95" s="534"/>
      <c r="I95" s="534"/>
      <c r="J95" s="536">
        <f>IF(ISERROR(VLOOKUP(B95,'Base de Datos'!$C$487:$N$4092,6,0))=TRUE,"Sin Celebrar",(VLOOKUP(B95,'Base de Datos'!$C$487:$N$4092,7,0)))</f>
        <v>1878120</v>
      </c>
      <c r="K95" s="600"/>
      <c r="L95" s="580" t="str">
        <f>IF(J95=$AA$1,E95, " ")</f>
        <v xml:space="preserve"> </v>
      </c>
      <c r="M95" s="536"/>
      <c r="N95" s="536" t="str">
        <f t="shared" si="8"/>
        <v xml:space="preserve"> </v>
      </c>
      <c r="O95" s="719" t="str">
        <f>IF(ISERROR(VLOOKUP(B95,'Base de Datos'!$C$487:$K$1048576,7,0))=TRUE," ",(VLOOKUP(B95,'Base de Datos'!$C$487:$K$1048576,8,0)))</f>
        <v>SHD-SMINC-29-2017</v>
      </c>
      <c r="P95" s="551">
        <f>IF(ISERROR(VLOOKUP(B95,'Base de Datos'!$C$487:$N$4077,9,0))=TRUE," ",(VLOOKUP(B95,'Base de Datos'!$C$487:$N$4077,10,0)))</f>
        <v>42961</v>
      </c>
      <c r="Q95" s="737"/>
      <c r="R95" s="551">
        <f>IF(ISERROR(VLOOKUP(B95,'Base de Datos'!$C$487:$N$4077,10,0))=TRUE," ",(VLOOKUP(B95,'Base de Datos'!$C$487:$N$4077,11,0)))</f>
        <v>42963</v>
      </c>
      <c r="S95" s="551">
        <f>IF(ISERROR(VLOOKUP(B95,'Base de Datos'!$C$487:$N$4077,11,0))=TRUE," ",(VLOOKUP(B95,'Base de Datos'!$C$487:$N$4077,12,0)))</f>
        <v>43327</v>
      </c>
      <c r="T95" s="533" t="str">
        <f>VLOOKUP(B95,'Base de Datos'!$C$487:$AR$4129,41,0)</f>
        <v>SI</v>
      </c>
      <c r="U95" s="722"/>
      <c r="V95" s="634"/>
    </row>
    <row r="96" spans="2:22" ht="13.5" customHeight="1" outlineLevel="1" x14ac:dyDescent="0.25">
      <c r="B96" s="537">
        <v>190</v>
      </c>
      <c r="C96" s="533" t="str">
        <f>IF(ISERROR(VLOOKUP(B96,'Base de Datos'!$C$487:$F$4092,2,0))=TRUE,"",(VLOOKUP('Presupuesto - PAA 2018'!B96,'Base de Datos'!$C$7:$F$4092,3,0)))</f>
        <v>170326-0-2017</v>
      </c>
      <c r="D96" s="533" t="str">
        <f>IF(ISERROR(VLOOKUP(B96,'Base de Datos'!$C$487:$F$4092,3,0))=TRUE,"",(VLOOKUP('Presupuesto - PAA 2018'!B96,'Base de Datos'!$C$487:$F$4092,4,0)))</f>
        <v>USA POSTAL S.A.</v>
      </c>
      <c r="E96" s="536">
        <f>VLOOKUP(B96,[7]PAA2017!$C$65:$AA$255,20,0)</f>
        <v>28000000</v>
      </c>
      <c r="F96" s="534" t="e">
        <f>VLOOKUP(B96,[8]SOLICITUDES!$B$3:$H$278,2,0)</f>
        <v>#N/A</v>
      </c>
      <c r="G96" s="534"/>
      <c r="H96" s="534"/>
      <c r="I96" s="534"/>
      <c r="J96" s="536">
        <f>IF(ISERROR(VLOOKUP(B96,'Base de Datos'!$C$487:$N$4092,6,0))=TRUE,"Sin Celebrar",(VLOOKUP(B96,'Base de Datos'!$C$487:$N$4092,7,0)))</f>
        <v>6512000</v>
      </c>
      <c r="K96" s="600"/>
      <c r="L96" s="580" t="str">
        <f>IF(J96=$AA$1,E96, " ")</f>
        <v xml:space="preserve"> </v>
      </c>
      <c r="M96" s="536"/>
      <c r="N96" s="536">
        <f t="shared" si="8"/>
        <v>21488000</v>
      </c>
      <c r="O96" s="719" t="str">
        <f>IF(ISERROR(VLOOKUP(B96,'Base de Datos'!$C$487:$K$1048576,7,0))=TRUE," ",(VLOOKUP(B96,'Base de Datos'!$C$487:$K$1048576,8,0)))</f>
        <v>SDH-SMINC-45-2017</v>
      </c>
      <c r="P96" s="551">
        <f>IF(ISERROR(VLOOKUP(B96,'Base de Datos'!$C$487:$N$4077,9,0))=TRUE," ",(VLOOKUP(B96,'Base de Datos'!$C$487:$N$4077,10,0)))</f>
        <v>43053</v>
      </c>
      <c r="Q96" s="737"/>
      <c r="R96" s="551">
        <f>IF(ISERROR(VLOOKUP(B96,'Base de Datos'!$C$487:$N$4077,10,0))=TRUE," ",(VLOOKUP(B96,'Base de Datos'!$C$487:$N$4077,11,0)))</f>
        <v>43070</v>
      </c>
      <c r="S96" s="551">
        <f>IF(ISERROR(VLOOKUP(B96,'Base de Datos'!$C$487:$N$4077,11,0))=TRUE," ",(VLOOKUP(B96,'Base de Datos'!$C$487:$N$4077,12,0)))</f>
        <v>43190</v>
      </c>
      <c r="T96" s="533" t="str">
        <f>VLOOKUP(B96,'Base de Datos'!$C$487:$AR$4129,41,0)</f>
        <v>SI</v>
      </c>
      <c r="U96" s="722"/>
      <c r="V96" s="634"/>
    </row>
    <row r="97" spans="2:22" outlineLevel="1" x14ac:dyDescent="0.25">
      <c r="B97" s="537">
        <v>191</v>
      </c>
      <c r="C97" s="533" t="str">
        <f>IF(ISERROR(VLOOKUP(B97,'Base de Datos'!$C$487:$F$4092,2,0))=TRUE,"",(VLOOKUP('Presupuesto - PAA 2018'!B97,'Base de Datos'!$C$7:$F$4092,3,0)))</f>
        <v>170147-0-2017</v>
      </c>
      <c r="D97" s="533" t="str">
        <f>IF(ISERROR(VLOOKUP(B97,'Base de Datos'!$C$487:$F$4092,3,0))=TRUE,"",(VLOOKUP('Presupuesto - PAA 2018'!B97,'Base de Datos'!$C$487:$F$4092,4,0)))</f>
        <v>SERVICIOS POSTALES NACIONALES S.A.</v>
      </c>
      <c r="E97" s="536">
        <f>VLOOKUP(B97,[7]PAA2017!$C$65:$AA$255,20,0)</f>
        <v>3462000000</v>
      </c>
      <c r="F97" s="534" t="str">
        <f>VLOOKUP(B97,[8]SOLICITUDES!$B$3:$H$278,2,0)</f>
        <v>SI</v>
      </c>
      <c r="G97" s="534"/>
      <c r="H97" s="534"/>
      <c r="I97" s="534"/>
      <c r="J97" s="536">
        <f>IF(ISERROR(VLOOKUP(B97,'Base de Datos'!$C$487:$N$4092,6,0))=TRUE,"Sin Celebrar",(VLOOKUP(B97,'Base de Datos'!$C$487:$N$4092,7,0)))</f>
        <v>35763045</v>
      </c>
      <c r="K97" s="600"/>
      <c r="L97" s="580" t="str">
        <f>IF(J97=$AA$1,E97, " ")</f>
        <v xml:space="preserve"> </v>
      </c>
      <c r="M97" s="536"/>
      <c r="N97" s="536">
        <f t="shared" si="8"/>
        <v>3426236955</v>
      </c>
      <c r="O97" s="719" t="str">
        <f>IF(ISERROR(VLOOKUP(B97,'Base de Datos'!$C$487:$K$1048576,7,0))=TRUE," ",(VLOOKUP(B97,'Base de Datos'!$C$487:$K$1048576,8,0)))</f>
        <v>170147-0-2017</v>
      </c>
      <c r="P97" s="551">
        <f>IF(ISERROR(VLOOKUP(B97,'Base de Datos'!$C$487:$N$4077,9,0))=TRUE," ",(VLOOKUP(B97,'Base de Datos'!$C$487:$N$4077,10,0)))</f>
        <v>42887</v>
      </c>
      <c r="Q97" s="737"/>
      <c r="R97" s="551">
        <f>IF(ISERROR(VLOOKUP(B97,'Base de Datos'!$C$487:$N$4077,10,0))=TRUE," ",(VLOOKUP(B97,'Base de Datos'!$C$487:$N$4077,11,0)))</f>
        <v>42899</v>
      </c>
      <c r="S97" s="551">
        <f>IF(ISERROR(VLOOKUP(B97,'Base de Datos'!$C$487:$N$4077,11,0))=TRUE," ",(VLOOKUP(B97,'Base de Datos'!$C$487:$N$4077,12,0)))</f>
        <v>43186</v>
      </c>
      <c r="T97" s="533" t="str">
        <f>VLOOKUP(B97,'Base de Datos'!$C$487:$AR$4129,41,0)</f>
        <v>SI</v>
      </c>
      <c r="U97" s="722"/>
      <c r="V97" s="634"/>
    </row>
    <row r="98" spans="2:22" outlineLevel="1" x14ac:dyDescent="0.25">
      <c r="B98" s="533"/>
      <c r="C98" s="533"/>
      <c r="D98" s="533" t="s">
        <v>1935</v>
      </c>
      <c r="E98" s="536">
        <f>E91-SUM(E93:E97)</f>
        <v>-4203639000</v>
      </c>
      <c r="F98" s="534"/>
      <c r="G98" s="534"/>
      <c r="H98" s="534"/>
      <c r="I98" s="534"/>
      <c r="J98" s="536"/>
      <c r="K98" s="600"/>
      <c r="L98" s="554"/>
      <c r="M98" s="536"/>
      <c r="N98" s="554" t="str">
        <f t="shared" si="8"/>
        <v xml:space="preserve"> </v>
      </c>
      <c r="O98" s="679"/>
      <c r="P98" s="551" t="str">
        <f>IF(ISERROR(VLOOKUP(B98,'Base de Datos'!$C$7:$N$315,9,0))=TRUE," ",(VLOOKUP(B98,'Base de Datos'!$C$7:$N$315,9,0)))</f>
        <v xml:space="preserve"> </v>
      </c>
      <c r="Q98" s="533"/>
      <c r="R98" s="556" t="str">
        <f>IF(ISERROR(VLOOKUP(B98,'Base de Datos'!$C$7:$N$315,10,0))=TRUE," ",(VLOOKUP(B98,'Base de Datos'!$C$7:$N$315,10,0)))</f>
        <v xml:space="preserve"> </v>
      </c>
      <c r="S98" s="556" t="str">
        <f>IF(ISERROR(VLOOKUP(B98,'Base de Datos'!$C$7:$N$315,11,0))=TRUE," ",(VLOOKUP(B98,'Base de Datos'!$C$7:$N$315,11,0)))</f>
        <v xml:space="preserve"> </v>
      </c>
      <c r="T98" s="533"/>
      <c r="U98" s="722"/>
      <c r="V98" s="634"/>
    </row>
    <row r="99" spans="2:22" outlineLevel="1" x14ac:dyDescent="0.25">
      <c r="B99" s="533"/>
      <c r="C99" s="533"/>
      <c r="D99" s="533"/>
      <c r="E99" s="536"/>
      <c r="F99" s="534"/>
      <c r="G99" s="534"/>
      <c r="H99" s="534"/>
      <c r="I99" s="534"/>
      <c r="J99" s="536"/>
      <c r="K99" s="600"/>
      <c r="L99" s="536"/>
      <c r="M99" s="536"/>
      <c r="N99" s="536"/>
      <c r="O99" s="678"/>
      <c r="P99" s="551"/>
      <c r="Q99" s="533"/>
      <c r="R99" s="551"/>
      <c r="S99" s="551"/>
      <c r="T99" s="533"/>
      <c r="U99" s="722"/>
      <c r="V99" s="634"/>
    </row>
    <row r="100" spans="2:22" ht="15" customHeight="1" x14ac:dyDescent="0.25">
      <c r="B100" s="1195" t="s">
        <v>1653</v>
      </c>
      <c r="C100" s="1195"/>
      <c r="D100" s="1195"/>
      <c r="E100" s="587">
        <v>54000000</v>
      </c>
      <c r="F100" s="588">
        <f>COUNTIF('Actualizada - presupuesto'!$E$7:$E$111,B100)</f>
        <v>11</v>
      </c>
      <c r="G100" s="588"/>
      <c r="H100" s="588"/>
      <c r="I100" s="588"/>
      <c r="J100" s="587">
        <f>SUM(J102:J114)</f>
        <v>56576000</v>
      </c>
      <c r="K100" s="607">
        <f>J100/E100</f>
        <v>1.0477037037037038</v>
      </c>
      <c r="L100" s="587" t="e">
        <f>SUM(L102:L114)</f>
        <v>#N/A</v>
      </c>
      <c r="M100" s="632">
        <v>0</v>
      </c>
      <c r="N100" s="587" t="e">
        <f>+E100-J100-L100</f>
        <v>#N/A</v>
      </c>
      <c r="O100" s="682"/>
      <c r="P100" s="589" t="str">
        <f>IF(ISERROR(VLOOKUP(B100,'Base de Datos'!$C$7:$N$315,8,0))=TRUE," ",(VLOOKUP(B100,'Base de Datos'!$C$7:$N$315,8,0)))</f>
        <v xml:space="preserve"> </v>
      </c>
      <c r="Q100" s="590"/>
      <c r="R100" s="589" t="str">
        <f>IF(ISERROR(VLOOKUP(B100,'Base de Datos'!$C$7:$N$315,9,0))=TRUE," ",(VLOOKUP(B100,'Base de Datos'!$C$7:$N$315,9,0)))</f>
        <v xml:space="preserve"> </v>
      </c>
      <c r="S100" s="589" t="str">
        <f>IF(ISERROR(VLOOKUP(B100,'Base de Datos'!$C$7:$N$315,10,0))=TRUE," ",(VLOOKUP(B100,'Base de Datos'!$C$7:$N$315,10,0)))</f>
        <v xml:space="preserve"> </v>
      </c>
      <c r="T100" s="592"/>
      <c r="U100" s="722"/>
      <c r="V100" s="634"/>
    </row>
    <row r="101" spans="2:22" ht="24" outlineLevel="1" x14ac:dyDescent="0.25">
      <c r="B101" s="537" t="s">
        <v>1693</v>
      </c>
      <c r="C101" s="537" t="s">
        <v>912</v>
      </c>
      <c r="D101" s="537" t="s">
        <v>1822</v>
      </c>
      <c r="E101" s="545" t="s">
        <v>1846</v>
      </c>
      <c r="F101" s="534" t="s">
        <v>1853</v>
      </c>
      <c r="G101" s="534"/>
      <c r="H101" s="534"/>
      <c r="I101" s="534"/>
      <c r="J101" s="537" t="s">
        <v>1845</v>
      </c>
      <c r="K101" s="652"/>
      <c r="L101" s="537" t="s">
        <v>1939</v>
      </c>
      <c r="M101" s="537"/>
      <c r="N101" s="537" t="s">
        <v>1940</v>
      </c>
      <c r="O101" s="677"/>
      <c r="P101" s="568" t="s">
        <v>1847</v>
      </c>
      <c r="Q101" s="537" t="s">
        <v>1848</v>
      </c>
      <c r="R101" s="537" t="s">
        <v>1849</v>
      </c>
      <c r="S101" s="537" t="s">
        <v>375</v>
      </c>
      <c r="T101" s="537" t="s">
        <v>1850</v>
      </c>
      <c r="U101" s="722"/>
      <c r="V101" s="634"/>
    </row>
    <row r="102" spans="2:22" ht="15" customHeight="1" outlineLevel="1" x14ac:dyDescent="0.25">
      <c r="B102" s="537">
        <v>166</v>
      </c>
      <c r="C102" s="533" t="str">
        <f>IF(ISERROR(VLOOKUP(B102,'Base de Datos'!$C$487:$F$4092,2,0))=TRUE,"",(VLOOKUP('Presupuesto - PAA 2018'!B102,'Base de Datos'!$C$7:$F$4092,3,0)))</f>
        <v>150232-0-2015</v>
      </c>
      <c r="D102" s="533" t="str">
        <f>IF(ISERROR(VLOOKUP(B102,'Base de Datos'!$C$487:$F$4092,3,0))=TRUE,"",(VLOOKUP('Presupuesto - PAA 2018'!B102,'Base de Datos'!$C$487:$F$4092,4,0)))</f>
        <v>POLITICAS &amp; MEDIOS INVESTIGACIONES LTDA</v>
      </c>
      <c r="E102" s="536">
        <f>VLOOKUP(B102,[7]PAA2017!$C$65:$AA$255,20,0)</f>
        <v>1150000</v>
      </c>
      <c r="F102" s="534" t="e">
        <f>VLOOKUP(B102,[8]SOLICITUDES!$B$3:$H$278,2,0)</f>
        <v>#N/A</v>
      </c>
      <c r="G102" s="534"/>
      <c r="H102" s="534"/>
      <c r="I102" s="534"/>
      <c r="J102" s="536">
        <f>IF(ISERROR(VLOOKUP(B102,'Base de Datos'!$C$487:$N$4092,6,0))=TRUE,"Sin Celebrar",(VLOOKUP(B102,'Base de Datos'!$C$487:$N$4092,7,0)))</f>
        <v>975000</v>
      </c>
      <c r="K102" s="600"/>
      <c r="L102" s="580" t="str">
        <f t="shared" ref="L102:L113" si="9">IF(J102=$AA$1,E102, " ")</f>
        <v xml:space="preserve"> </v>
      </c>
      <c r="M102" s="536"/>
      <c r="N102" s="536">
        <f t="shared" ref="N102:N113" si="10">IF(J102&lt;E102,(E102-J102)," ")</f>
        <v>175000</v>
      </c>
      <c r="O102" s="719" t="str">
        <f>IF(ISERROR(VLOOKUP(B102,'Base de Datos'!$C$487:$K$1048576,7,0))=TRUE," ",(VLOOKUP(B102,'Base de Datos'!$C$487:$K$1048576,8,0)))</f>
        <v>SDH-SMINC-34-2017</v>
      </c>
      <c r="P102" s="551">
        <f>IF(ISERROR(VLOOKUP(B102,'Base de Datos'!$C$487:$N$4077,9,0))=TRUE," ",(VLOOKUP(B102,'Base de Datos'!$C$487:$N$4077,10,0)))</f>
        <v>43003</v>
      </c>
      <c r="Q102" s="737"/>
      <c r="R102" s="551">
        <f>IF(ISERROR(VLOOKUP(B102,'Base de Datos'!$C$487:$N$4077,10,0))=TRUE," ",(VLOOKUP(B102,'Base de Datos'!$C$487:$N$4077,11,0)))</f>
        <v>43034</v>
      </c>
      <c r="S102" s="551">
        <f>IF(ISERROR(VLOOKUP(B102,'Base de Datos'!$C$487:$N$4077,11,0))=TRUE," ",(VLOOKUP(B102,'Base de Datos'!$C$487:$N$4077,12,0)))</f>
        <v>43399</v>
      </c>
      <c r="T102" s="533" t="str">
        <f>VLOOKUP(B102,'Base de Datos'!$C$487:$AR$4129,41,0)</f>
        <v>SI</v>
      </c>
      <c r="U102" s="722"/>
      <c r="V102" s="634"/>
    </row>
    <row r="103" spans="2:22" ht="15" customHeight="1" outlineLevel="1" x14ac:dyDescent="0.25">
      <c r="B103" s="537">
        <v>167</v>
      </c>
      <c r="C103" s="533" t="str">
        <f>IF(ISERROR(VLOOKUP(B103,'Base de Datos'!$C$487:$F$4092,2,0))=TRUE,"",(VLOOKUP('Presupuesto - PAA 2018'!B103,'Base de Datos'!$C$7:$F$4092,3,0)))</f>
        <v>150252-0-2015</v>
      </c>
      <c r="D103" s="533" t="str">
        <f>IF(ISERROR(VLOOKUP(B103,'Base de Datos'!$C$487:$F$4092,3,0))=TRUE,"",(VLOOKUP('Presupuesto - PAA 2018'!B103,'Base de Datos'!$C$487:$F$4092,4,0)))</f>
        <v>CASA EDITORIAL EL TIEMPO SA</v>
      </c>
      <c r="E103" s="536">
        <f>VLOOKUP(B103,[7]PAA2017!$C$65:$AA$255,20,0)</f>
        <v>1250000</v>
      </c>
      <c r="F103" s="534" t="str">
        <f>VLOOKUP(B103,[8]SOLICITUDES!$B$3:$H$278,2,0)</f>
        <v>SI</v>
      </c>
      <c r="G103" s="534"/>
      <c r="H103" s="534"/>
      <c r="I103" s="534"/>
      <c r="J103" s="536">
        <f>IF(ISERROR(VLOOKUP(B103,'Base de Datos'!$C$487:$N$4092,6,0))=TRUE,"Sin Celebrar",(VLOOKUP(B103,'Base de Datos'!$C$487:$N$4092,7,0)))</f>
        <v>1317000</v>
      </c>
      <c r="K103" s="600"/>
      <c r="L103" s="580" t="str">
        <f t="shared" si="9"/>
        <v xml:space="preserve"> </v>
      </c>
      <c r="M103" s="536"/>
      <c r="N103" s="536" t="str">
        <f t="shared" si="10"/>
        <v xml:space="preserve"> </v>
      </c>
      <c r="O103" s="719" t="str">
        <f>IF(ISERROR(VLOOKUP(B103,'Base de Datos'!$C$487:$K$1048576,7,0))=TRUE," ",(VLOOKUP(B103,'Base de Datos'!$C$487:$K$1048576,8,0)))</f>
        <v>170064-0-2017</v>
      </c>
      <c r="P103" s="551">
        <f>IF(ISERROR(VLOOKUP(B103,'Base de Datos'!$C$487:$N$4077,9,0))=TRUE," ",(VLOOKUP(B103,'Base de Datos'!$C$487:$N$4077,10,0)))</f>
        <v>42816</v>
      </c>
      <c r="Q103" s="737"/>
      <c r="R103" s="551">
        <f>IF(ISERROR(VLOOKUP(B103,'Base de Datos'!$C$487:$N$4077,10,0))=TRUE," ",(VLOOKUP(B103,'Base de Datos'!$C$487:$N$4077,11,0)))</f>
        <v>42817</v>
      </c>
      <c r="S103" s="551">
        <f>IF(ISERROR(VLOOKUP(B103,'Base de Datos'!$C$487:$N$4077,11,0))=TRUE," ",(VLOOKUP(B103,'Base de Datos'!$C$487:$N$4077,12,0)))</f>
        <v>43182</v>
      </c>
      <c r="T103" s="533" t="str">
        <f>VLOOKUP(B103,'Base de Datos'!$C$487:$AR$4129,41,0)</f>
        <v>SI</v>
      </c>
      <c r="U103" s="722"/>
      <c r="V103" s="634"/>
    </row>
    <row r="104" spans="2:22" ht="15" customHeight="1" outlineLevel="1" x14ac:dyDescent="0.25">
      <c r="B104" s="537">
        <v>168</v>
      </c>
      <c r="C104" s="533" t="str">
        <f>IF(ISERROR(VLOOKUP(B104,'Base de Datos'!$C$487:$F$4092,2,0))=TRUE,"",(VLOOKUP('Presupuesto - PAA 2018'!B104,'Base de Datos'!$C$7:$F$4092,3,0)))</f>
        <v>150209-0-2015</v>
      </c>
      <c r="D104" s="533" t="str">
        <f>IF(ISERROR(VLOOKUP(B104,'Base de Datos'!$C$487:$F$4092,3,0))=TRUE,"",(VLOOKUP('Presupuesto - PAA 2018'!B104,'Base de Datos'!$C$487:$F$4092,4,0)))</f>
        <v>REVISTA EL CONGRESO SIGLO XXI LTDA</v>
      </c>
      <c r="E104" s="536">
        <f>VLOOKUP(B104,[7]PAA2017!$C$65:$AA$255,20,0)</f>
        <v>10000000</v>
      </c>
      <c r="F104" s="534" t="e">
        <f>VLOOKUP(B104,[8]SOLICITUDES!$B$3:$H$278,2,0)</f>
        <v>#N/A</v>
      </c>
      <c r="G104" s="534"/>
      <c r="H104" s="534"/>
      <c r="I104" s="534"/>
      <c r="J104" s="536">
        <f>IF(ISERROR(VLOOKUP(B104,'Base de Datos'!$C$487:$N$4092,6,0))=TRUE,"Sin Celebrar",(VLOOKUP(B104,'Base de Datos'!$C$487:$N$4092,7,0)))</f>
        <v>8010000</v>
      </c>
      <c r="K104" s="600"/>
      <c r="L104" s="580" t="str">
        <f t="shared" si="9"/>
        <v xml:space="preserve"> </v>
      </c>
      <c r="M104" s="536"/>
      <c r="N104" s="536">
        <f t="shared" si="10"/>
        <v>1990000</v>
      </c>
      <c r="O104" s="719" t="str">
        <f>IF(ISERROR(VLOOKUP(B104,'Base de Datos'!$C$487:$K$1048576,7,0))=TRUE," ",(VLOOKUP(B104,'Base de Datos'!$C$487:$K$1048576,8,0)))</f>
        <v>170206-0-2017</v>
      </c>
      <c r="P104" s="551">
        <f>IF(ISERROR(VLOOKUP(B104,'Base de Datos'!$C$487:$N$4077,9,0))=TRUE," ",(VLOOKUP(B104,'Base de Datos'!$C$487:$N$4077,10,0)))</f>
        <v>42962</v>
      </c>
      <c r="Q104" s="737"/>
      <c r="R104" s="551">
        <f>IF(ISERROR(VLOOKUP(B104,'Base de Datos'!$C$487:$N$4077,10,0))=TRUE," ",(VLOOKUP(B104,'Base de Datos'!$C$487:$N$4077,11,0)))</f>
        <v>42965</v>
      </c>
      <c r="S104" s="551">
        <f>IF(ISERROR(VLOOKUP(B104,'Base de Datos'!$C$487:$N$4077,11,0))=TRUE," ",(VLOOKUP(B104,'Base de Datos'!$C$487:$N$4077,12,0)))</f>
        <v>43330</v>
      </c>
      <c r="T104" s="533" t="str">
        <f>VLOOKUP(B104,'Base de Datos'!$C$487:$AR$4129,41,0)</f>
        <v>SI</v>
      </c>
      <c r="U104" s="722"/>
      <c r="V104" s="634"/>
    </row>
    <row r="105" spans="2:22" ht="24.75" customHeight="1" outlineLevel="1" x14ac:dyDescent="0.25">
      <c r="B105" s="537">
        <v>169</v>
      </c>
      <c r="C105" s="533" t="str">
        <f>IF(ISERROR(VLOOKUP(B105,'Base de Datos'!$C$487:$F$4092,2,0))=TRUE,"",(VLOOKUP('Presupuesto - PAA 2018'!B105,'Base de Datos'!$C$7:$F$4092,3,0)))</f>
        <v>170095-0-2017</v>
      </c>
      <c r="D105" s="533" t="str">
        <f>IF(ISERROR(VLOOKUP(B105,'Base de Datos'!$C$487:$F$4092,3,0))=TRUE,"",(VLOOKUP('Presupuesto - PAA 2018'!B105,'Base de Datos'!$C$487:$F$4092,4,0)))</f>
        <v>D P C LTDA DESPACHOS PUBLICOS DE COLOMBIA LTDA</v>
      </c>
      <c r="E105" s="536">
        <f>VLOOKUP(B105,[7]PAA2017!$C$65:$AA$255,20,0)</f>
        <v>5000000</v>
      </c>
      <c r="F105" s="534" t="e">
        <f>VLOOKUP(B105,[8]SOLICITUDES!$B$3:$H$278,2,0)</f>
        <v>#N/A</v>
      </c>
      <c r="G105" s="534"/>
      <c r="H105" s="534"/>
      <c r="I105" s="534"/>
      <c r="J105" s="536">
        <f>IF(ISERROR(VLOOKUP(B105,'Base de Datos'!$C$487:$N$4092,6,0))=TRUE,"Sin Celebrar",(VLOOKUP(B105,'Base de Datos'!$C$487:$N$4092,7,0)))</f>
        <v>4300000</v>
      </c>
      <c r="K105" s="600"/>
      <c r="L105" s="580" t="str">
        <f t="shared" si="9"/>
        <v xml:space="preserve"> </v>
      </c>
      <c r="M105" s="536"/>
      <c r="N105" s="536">
        <f t="shared" si="10"/>
        <v>700000</v>
      </c>
      <c r="O105" s="719" t="str">
        <f>IF(ISERROR(VLOOKUP(B105,'Base de Datos'!$C$487:$K$1048576,7,0))=TRUE," ",(VLOOKUP(B105,'Base de Datos'!$C$487:$K$1048576,8,0)))</f>
        <v>170095-0-2017</v>
      </c>
      <c r="P105" s="551">
        <f>IF(ISERROR(VLOOKUP(B105,'Base de Datos'!$C$487:$N$4077,9,0))=TRUE," ",(VLOOKUP(B105,'Base de Datos'!$C$487:$N$4077,10,0)))</f>
        <v>42837</v>
      </c>
      <c r="Q105" s="737"/>
      <c r="R105" s="551">
        <f>IF(ISERROR(VLOOKUP(B105,'Base de Datos'!$C$487:$N$4077,10,0))=TRUE," ",(VLOOKUP(B105,'Base de Datos'!$C$487:$N$4077,11,0)))</f>
        <v>42849</v>
      </c>
      <c r="S105" s="551">
        <f>IF(ISERROR(VLOOKUP(B105,'Base de Datos'!$C$487:$N$4077,11,0))=TRUE," ",(VLOOKUP(B105,'Base de Datos'!$C$487:$N$4077,12,0)))</f>
        <v>43002</v>
      </c>
      <c r="T105" s="533" t="str">
        <f>VLOOKUP(B105,'Base de Datos'!$C$487:$AR$4129,41,0)</f>
        <v>SI</v>
      </c>
      <c r="U105" s="722"/>
      <c r="V105" s="634"/>
    </row>
    <row r="106" spans="2:22" ht="14.25" customHeight="1" outlineLevel="1" x14ac:dyDescent="0.25">
      <c r="B106" s="537">
        <v>170</v>
      </c>
      <c r="C106" s="533" t="str">
        <f>IF(ISERROR(VLOOKUP(B106,'Base de Datos'!$C$487:$F$4092,2,0))=TRUE,"",(VLOOKUP('Presupuesto - PAA 2018'!B106,'Base de Datos'!$C$7:$F$4092,3,0)))</f>
        <v>150241-0-2015</v>
      </c>
      <c r="D106" s="533" t="str">
        <f>IF(ISERROR(VLOOKUP(B106,'Base de Datos'!$C$487:$F$4092,3,0))=TRUE,"",(VLOOKUP('Presupuesto - PAA 2018'!B106,'Base de Datos'!$C$487:$F$4092,4,0)))</f>
        <v>EDITORIAL LA REPUBLICA SAS</v>
      </c>
      <c r="E106" s="536">
        <f>VLOOKUP(B106,[7]PAA2017!$C$65:$AA$255,20,0)</f>
        <v>1000000</v>
      </c>
      <c r="F106" s="534" t="e">
        <f>VLOOKUP(B106,[8]SOLICITUDES!$B$3:$H$278,2,0)</f>
        <v>#N/A</v>
      </c>
      <c r="G106" s="534"/>
      <c r="H106" s="534"/>
      <c r="I106" s="534"/>
      <c r="J106" s="536">
        <f>IF(ISERROR(VLOOKUP(B106,'Base de Datos'!$C$487:$N$4092,6,0))=TRUE,"Sin Celebrar",(VLOOKUP(B106,'Base de Datos'!$C$487:$N$4092,7,0)))</f>
        <v>840000</v>
      </c>
      <c r="K106" s="600"/>
      <c r="L106" s="580" t="str">
        <f t="shared" si="9"/>
        <v xml:space="preserve"> </v>
      </c>
      <c r="M106" s="536"/>
      <c r="N106" s="536">
        <f t="shared" si="10"/>
        <v>160000</v>
      </c>
      <c r="O106" s="719" t="str">
        <f>IF(ISERROR(VLOOKUP(B106,'Base de Datos'!$C$487:$K$1048576,7,0))=TRUE," ",(VLOOKUP(B106,'Base de Datos'!$C$487:$K$1048576,8,0)))</f>
        <v>170228-0-2017</v>
      </c>
      <c r="P106" s="551">
        <f>IF(ISERROR(VLOOKUP(B106,'Base de Datos'!$C$487:$N$4077,9,0))=TRUE," ",(VLOOKUP(B106,'Base de Datos'!$C$487:$N$4077,10,0)))</f>
        <v>42983</v>
      </c>
      <c r="Q106" s="737"/>
      <c r="R106" s="551">
        <f>IF(ISERROR(VLOOKUP(B106,'Base de Datos'!$C$487:$N$4077,10,0))=TRUE," ",(VLOOKUP(B106,'Base de Datos'!$C$487:$N$4077,11,0)))</f>
        <v>43069</v>
      </c>
      <c r="S106" s="551">
        <f>IF(ISERROR(VLOOKUP(B106,'Base de Datos'!$C$487:$N$4077,11,0))=TRUE," ",(VLOOKUP(B106,'Base de Datos'!$C$487:$N$4077,12,0)))</f>
        <v>43434</v>
      </c>
      <c r="T106" s="533" t="str">
        <f>VLOOKUP(B106,'Base de Datos'!$C$487:$AR$4129,41,0)</f>
        <v>SI</v>
      </c>
      <c r="U106" s="722"/>
      <c r="V106" s="634"/>
    </row>
    <row r="107" spans="2:22" ht="14.25" customHeight="1" outlineLevel="1" x14ac:dyDescent="0.25">
      <c r="B107" s="537">
        <v>171</v>
      </c>
      <c r="C107" s="533" t="str">
        <f>IF(ISERROR(VLOOKUP(B107,'Base de Datos'!$C$487:$F$4092,2,0))=TRUE,"",(VLOOKUP('Presupuesto - PAA 2018'!B107,'Base de Datos'!$C$7:$F$4092,3,0)))</f>
        <v>150219-0-2015</v>
      </c>
      <c r="D107" s="533" t="str">
        <f>IF(ISERROR(VLOOKUP(B107,'Base de Datos'!$C$487:$F$4092,3,0))=TRUE,"",(VLOOKUP('Presupuesto - PAA 2018'!B107,'Base de Datos'!$C$487:$F$4092,4,0)))</f>
        <v xml:space="preserve">COMUNICAN SA </v>
      </c>
      <c r="E107" s="536">
        <f>VLOOKUP(B107,[7]PAA2017!$C$65:$AA$255,20,0)</f>
        <v>1000000</v>
      </c>
      <c r="F107" s="534" t="e">
        <f>VLOOKUP(B107,[8]SOLICITUDES!$B$3:$H$278,2,0)</f>
        <v>#N/A</v>
      </c>
      <c r="G107" s="534"/>
      <c r="H107" s="534"/>
      <c r="I107" s="534"/>
      <c r="J107" s="536">
        <f>IF(ISERROR(VLOOKUP(B107,'Base de Datos'!$C$487:$N$4092,6,0))=TRUE,"Sin Celebrar",(VLOOKUP(B107,'Base de Datos'!$C$487:$N$4092,7,0)))</f>
        <v>1185000</v>
      </c>
      <c r="K107" s="600"/>
      <c r="L107" s="580" t="str">
        <f t="shared" si="9"/>
        <v xml:space="preserve"> </v>
      </c>
      <c r="M107" s="536"/>
      <c r="N107" s="536" t="str">
        <f t="shared" si="10"/>
        <v xml:space="preserve"> </v>
      </c>
      <c r="O107" s="719" t="str">
        <f>IF(ISERROR(VLOOKUP(B107,'Base de Datos'!$C$487:$K$1048576,7,0))=TRUE," ",(VLOOKUP(B107,'Base de Datos'!$C$487:$K$1048576,8,0)))</f>
        <v>170249-0-2017</v>
      </c>
      <c r="P107" s="551">
        <f>IF(ISERROR(VLOOKUP(B107,'Base de Datos'!$C$487:$N$4077,9,0))=TRUE," ",(VLOOKUP(B107,'Base de Datos'!$C$487:$N$4077,10,0)))</f>
        <v>42998</v>
      </c>
      <c r="Q107" s="737"/>
      <c r="R107" s="551">
        <f>IF(ISERROR(VLOOKUP(B107,'Base de Datos'!$C$487:$N$4077,10,0))=TRUE," ",(VLOOKUP(B107,'Base de Datos'!$C$487:$N$4077,11,0)))</f>
        <v>43010</v>
      </c>
      <c r="S107" s="551">
        <f>IF(ISERROR(VLOOKUP(B107,'Base de Datos'!$C$487:$N$4077,11,0))=TRUE," ",(VLOOKUP(B107,'Base de Datos'!$C$487:$N$4077,12,0)))</f>
        <v>43375</v>
      </c>
      <c r="T107" s="533" t="str">
        <f>VLOOKUP(B107,'Base de Datos'!$C$487:$AR$4129,41,0)</f>
        <v>SI</v>
      </c>
      <c r="U107" s="722"/>
      <c r="V107" s="634"/>
    </row>
    <row r="108" spans="2:22" ht="14.25" customHeight="1" outlineLevel="1" x14ac:dyDescent="0.25">
      <c r="B108" s="537">
        <v>172</v>
      </c>
      <c r="C108" s="533" t="str">
        <f>IF(ISERROR(VLOOKUP(B108,'Base de Datos'!$C$487:$F$4092,2,0))=TRUE,"",(VLOOKUP('Presupuesto - PAA 2018'!B108,'Base de Datos'!$C$7:$F$4092,3,0)))</f>
        <v>150215-0-2015</v>
      </c>
      <c r="D108" s="533" t="str">
        <f>IF(ISERROR(VLOOKUP(B108,'Base de Datos'!$C$487:$F$4092,3,0))=TRUE,"",(VLOOKUP('Presupuesto - PAA 2018'!B108,'Base de Datos'!$C$487:$F$4092,4,0)))</f>
        <v>EDITORIAL LA UNIDAD S.A EN EJECUCIÓN DEL ACUERDO DE REESTRUCTURACIÓN</v>
      </c>
      <c r="E108" s="536">
        <f>VLOOKUP(B108,[7]PAA2017!$C$65:$AA$255,20,0)</f>
        <v>1000000</v>
      </c>
      <c r="F108" s="534" t="e">
        <f>VLOOKUP(B108,[8]SOLICITUDES!$B$3:$H$278,2,0)</f>
        <v>#N/A</v>
      </c>
      <c r="G108" s="534"/>
      <c r="H108" s="534"/>
      <c r="I108" s="534"/>
      <c r="J108" s="536">
        <f>IF(ISERROR(VLOOKUP(B108,'Base de Datos'!$C$487:$N$4092,6,0))=TRUE,"Sin Celebrar",(VLOOKUP(B108,'Base de Datos'!$C$487:$N$4092,7,0)))</f>
        <v>960000</v>
      </c>
      <c r="K108" s="600"/>
      <c r="L108" s="580" t="str">
        <f t="shared" si="9"/>
        <v xml:space="preserve"> </v>
      </c>
      <c r="M108" s="536"/>
      <c r="N108" s="536">
        <f t="shared" si="10"/>
        <v>40000</v>
      </c>
      <c r="O108" s="719" t="str">
        <f>IF(ISERROR(VLOOKUP(B108,'Base de Datos'!$C$487:$K$1048576,7,0))=TRUE," ",(VLOOKUP(B108,'Base de Datos'!$C$487:$K$1048576,8,0)))</f>
        <v>170233-0-2017</v>
      </c>
      <c r="P108" s="551">
        <f>IF(ISERROR(VLOOKUP(B108,'Base de Datos'!$C$487:$N$4077,9,0))=TRUE," ",(VLOOKUP(B108,'Base de Datos'!$C$487:$N$4077,10,0)))</f>
        <v>42986</v>
      </c>
      <c r="Q108" s="737"/>
      <c r="R108" s="551">
        <f>IF(ISERROR(VLOOKUP(B108,'Base de Datos'!$C$487:$N$4077,10,0))=TRUE," ",(VLOOKUP(B108,'Base de Datos'!$C$487:$N$4077,11,0)))</f>
        <v>43013</v>
      </c>
      <c r="S108" s="551">
        <f>IF(ISERROR(VLOOKUP(B108,'Base de Datos'!$C$487:$N$4077,11,0))=TRUE," ",(VLOOKUP(B108,'Base de Datos'!$C$487:$N$4077,12,0)))</f>
        <v>43378</v>
      </c>
      <c r="T108" s="533" t="str">
        <f>VLOOKUP(B108,'Base de Datos'!$C$487:$AR$4129,41,0)</f>
        <v>SI</v>
      </c>
      <c r="U108" s="722"/>
      <c r="V108" s="634"/>
    </row>
    <row r="109" spans="2:22" ht="14.25" customHeight="1" outlineLevel="1" x14ac:dyDescent="0.25">
      <c r="B109" s="537">
        <v>173</v>
      </c>
      <c r="C109" s="533" t="str">
        <f>IF(ISERROR(VLOOKUP(B109,'Base de Datos'!$C$487:$F$4092,2,0))=TRUE,"",(VLOOKUP('Presupuesto - PAA 2018'!B109,'Base de Datos'!$C$7:$F$4092,3,0)))</f>
        <v/>
      </c>
      <c r="D109" s="533" t="str">
        <f>IF(ISERROR(VLOOKUP(B109,'Base de Datos'!$C$487:$F$4092,3,0))=TRUE,"",(VLOOKUP('Presupuesto - PAA 2018'!B109,'Base de Datos'!$C$487:$F$4092,4,0)))</f>
        <v/>
      </c>
      <c r="E109" s="536">
        <f>VLOOKUP(B109,[7]PAA2017!$C$65:$AA$255,20,0)</f>
        <v>1000000</v>
      </c>
      <c r="F109" s="534" t="e">
        <f>VLOOKUP(B109,[8]SOLICITUDES!$B$3:$H$278,2,0)</f>
        <v>#N/A</v>
      </c>
      <c r="G109" s="534"/>
      <c r="H109" s="534"/>
      <c r="I109" s="534"/>
      <c r="J109" s="536" t="str">
        <f>IF(ISERROR(VLOOKUP(B109,'Base de Datos'!$C$487:$N$4092,6,0))=TRUE,"Sin Celebrar",(VLOOKUP(B109,'Base de Datos'!$C$487:$N$4092,7,0)))</f>
        <v>Sin Celebrar</v>
      </c>
      <c r="K109" s="600"/>
      <c r="L109" s="580">
        <f t="shared" si="9"/>
        <v>1000000</v>
      </c>
      <c r="M109" s="536"/>
      <c r="N109" s="536" t="str">
        <f t="shared" si="10"/>
        <v xml:space="preserve"> </v>
      </c>
      <c r="O109" s="719" t="str">
        <f>IF(ISERROR(VLOOKUP(B109,'Base de Datos'!$C$487:$K$1048576,7,0))=TRUE," ",(VLOOKUP(B109,'Base de Datos'!$C$487:$K$1048576,8,0)))</f>
        <v xml:space="preserve"> </v>
      </c>
      <c r="P109" s="551" t="str">
        <f>IF(ISERROR(VLOOKUP(B109,'Base de Datos'!$C$487:$N$4077,9,0))=TRUE," ",(VLOOKUP(B109,'Base de Datos'!$C$487:$N$4077,10,0)))</f>
        <v xml:space="preserve"> </v>
      </c>
      <c r="Q109" s="737"/>
      <c r="R109" s="551" t="str">
        <f>IF(ISERROR(VLOOKUP(B109,'Base de Datos'!$C$487:$N$4077,10,0))=TRUE," ",(VLOOKUP(B109,'Base de Datos'!$C$487:$N$4077,11,0)))</f>
        <v xml:space="preserve"> </v>
      </c>
      <c r="S109" s="551" t="str">
        <f>IF(ISERROR(VLOOKUP(B109,'Base de Datos'!$C$487:$N$4077,11,0))=TRUE," ",(VLOOKUP(B109,'Base de Datos'!$C$487:$N$4077,12,0)))</f>
        <v xml:space="preserve"> </v>
      </c>
      <c r="T109" s="533" t="e">
        <f>VLOOKUP(B109,'Base de Datos'!$C$487:$AR$4129,41,0)</f>
        <v>#N/A</v>
      </c>
      <c r="U109" s="722"/>
      <c r="V109" s="634"/>
    </row>
    <row r="110" spans="2:22" ht="28.5" customHeight="1" outlineLevel="1" x14ac:dyDescent="0.25">
      <c r="B110" s="537">
        <v>192</v>
      </c>
      <c r="C110" s="533" t="str">
        <f>IF(ISERROR(VLOOKUP(B110,'Base de Datos'!$C$487:$F$4092,2,0))=TRUE,"",(VLOOKUP('Presupuesto - PAA 2018'!B110,'Base de Datos'!$C$7:$F$4092,3,0)))</f>
        <v>170304-0-2017</v>
      </c>
      <c r="D110" s="533" t="str">
        <f>IF(ISERROR(VLOOKUP(B110,'Base de Datos'!$C$487:$F$4092,3,0))=TRUE,"",(VLOOKUP('Presupuesto - PAA 2018'!B110,'Base de Datos'!$C$487:$F$4092,4,0)))</f>
        <v>SOLUTION COPY LTDA</v>
      </c>
      <c r="E110" s="536">
        <f>VLOOKUP(B110,[7]PAA2017!$C$65:$AA$255,20,0)</f>
        <v>233000000</v>
      </c>
      <c r="F110" s="534" t="str">
        <f>VLOOKUP(B110,[8]SOLICITUDES!$B$3:$H$278,2,0)</f>
        <v>SI</v>
      </c>
      <c r="G110" s="534"/>
      <c r="H110" s="534"/>
      <c r="I110" s="534"/>
      <c r="J110" s="536">
        <f>IF(ISERROR(VLOOKUP(B110,'Base de Datos'!$C$487:$N$4092,6,0))=TRUE,"Sin Celebrar",(VLOOKUP(B110,'Base de Datos'!$C$487:$N$4092,7,0)))</f>
        <v>38989000</v>
      </c>
      <c r="K110" s="600"/>
      <c r="L110" s="580" t="str">
        <f t="shared" si="9"/>
        <v xml:space="preserve"> </v>
      </c>
      <c r="M110" s="536"/>
      <c r="N110" s="536">
        <f t="shared" si="10"/>
        <v>194011000</v>
      </c>
      <c r="O110" s="719" t="str">
        <f>IF(ISERROR(VLOOKUP(B110,'Base de Datos'!$C$487:$K$1048576,7,0))=TRUE," ",(VLOOKUP(B110,'Base de Datos'!$C$487:$K$1048576,8,0)))</f>
        <v>SDH-SIE-10-2017</v>
      </c>
      <c r="P110" s="551">
        <f>IF(ISERROR(VLOOKUP(B110,'Base de Datos'!$C$487:$N$4077,9,0))=TRUE," ",(VLOOKUP(B110,'Base de Datos'!$C$487:$N$4077,10,0)))</f>
        <v>43040</v>
      </c>
      <c r="Q110" s="737"/>
      <c r="R110" s="551">
        <f>IF(ISERROR(VLOOKUP(B110,'Base de Datos'!$C$487:$N$4077,10,0))=TRUE," ",(VLOOKUP(B110,'Base de Datos'!$C$487:$N$4077,11,0)))</f>
        <v>43048</v>
      </c>
      <c r="S110" s="551">
        <f>IF(ISERROR(VLOOKUP(B110,'Base de Datos'!$C$487:$N$4077,11,0))=TRUE," ",(VLOOKUP(B110,'Base de Datos'!$C$487:$N$4077,12,0)))</f>
        <v>43259</v>
      </c>
      <c r="T110" s="533" t="str">
        <f>VLOOKUP(B110,'Base de Datos'!$C$487:$AR$4129,41,0)</f>
        <v>SI</v>
      </c>
      <c r="U110" s="722"/>
      <c r="V110" s="634"/>
    </row>
    <row r="111" spans="2:22" ht="14.25" customHeight="1" outlineLevel="1" x14ac:dyDescent="0.25">
      <c r="B111" s="537"/>
      <c r="C111" s="533" t="str">
        <f>IF(ISERROR(VLOOKUP(B111,'Base de Datos'!$C$487:$F$4092,2,0))=TRUE,"",(VLOOKUP('Presupuesto - PAA 2018'!B111,'Base de Datos'!$C$7:$F$4092,3,0)))</f>
        <v/>
      </c>
      <c r="D111" s="533" t="str">
        <f>IF(ISERROR(VLOOKUP(B111,'Base de Datos'!$C$487:$F$4092,3,0))=TRUE,"",(VLOOKUP('Presupuesto - PAA 2018'!B111,'Base de Datos'!$C$487:$F$4092,4,0)))</f>
        <v/>
      </c>
      <c r="E111" s="536" t="e">
        <f>VLOOKUP(B111,[7]PAA2017!$C$65:$AA$255,20,0)</f>
        <v>#N/A</v>
      </c>
      <c r="F111" s="534" t="e">
        <f>VLOOKUP(B111,[8]SOLICITUDES!$B$3:$H$278,2,0)</f>
        <v>#N/A</v>
      </c>
      <c r="G111" s="534"/>
      <c r="H111" s="534"/>
      <c r="I111" s="534"/>
      <c r="J111" s="536" t="str">
        <f>IF(ISERROR(VLOOKUP(B111,'Base de Datos'!$C$487:$N$4092,6,0))=TRUE,"Sin Celebrar",(VLOOKUP(B111,'Base de Datos'!$C$487:$N$4092,7,0)))</f>
        <v>Sin Celebrar</v>
      </c>
      <c r="K111" s="600"/>
      <c r="L111" s="580" t="e">
        <f t="shared" si="9"/>
        <v>#N/A</v>
      </c>
      <c r="M111" s="536"/>
      <c r="N111" s="536" t="e">
        <f t="shared" si="10"/>
        <v>#N/A</v>
      </c>
      <c r="O111" s="719" t="str">
        <f>IF(ISERROR(VLOOKUP(B111,'Base de Datos'!$C$487:$K$1048576,7,0))=TRUE," ",(VLOOKUP(B111,'Base de Datos'!$C$487:$K$1048576,8,0)))</f>
        <v xml:space="preserve"> </v>
      </c>
      <c r="P111" s="551" t="str">
        <f>IF(ISERROR(VLOOKUP(B111,'Base de Datos'!$C$487:$N$4077,9,0))=TRUE," ",(VLOOKUP(B111,'Base de Datos'!$C$487:$N$4077,10,0)))</f>
        <v xml:space="preserve"> </v>
      </c>
      <c r="Q111" s="737"/>
      <c r="R111" s="551" t="str">
        <f>IF(ISERROR(VLOOKUP(B111,'Base de Datos'!$C$487:$N$4077,10,0))=TRUE," ",(VLOOKUP(B111,'Base de Datos'!$C$487:$N$4077,11,0)))</f>
        <v xml:space="preserve"> </v>
      </c>
      <c r="S111" s="551" t="str">
        <f>IF(ISERROR(VLOOKUP(B111,'Base de Datos'!$C$487:$N$4077,11,0))=TRUE," ",(VLOOKUP(B111,'Base de Datos'!$C$487:$N$4077,12,0)))</f>
        <v xml:space="preserve"> </v>
      </c>
      <c r="T111" s="533" t="e">
        <f>VLOOKUP(B111,'Base de Datos'!$C$487:$AR$4129,41,0)</f>
        <v>#N/A</v>
      </c>
      <c r="U111" s="722"/>
      <c r="V111" s="634"/>
    </row>
    <row r="112" spans="2:22" ht="14.25" customHeight="1" outlineLevel="1" x14ac:dyDescent="0.25">
      <c r="B112" s="552"/>
      <c r="C112" s="533" t="str">
        <f>IF(ISERROR(VLOOKUP(B112,'Base de Datos'!$C$487:$F$4092,2,0))=TRUE,"",(VLOOKUP('Presupuesto - PAA 2018'!B112,'Base de Datos'!$C$7:$F$4092,3,0)))</f>
        <v/>
      </c>
      <c r="D112" s="533" t="str">
        <f>IF(ISERROR(VLOOKUP(B112,'Base de Datos'!$C$487:$F$4092,3,0))=TRUE,"",(VLOOKUP('Presupuesto - PAA 2018'!B112,'Base de Datos'!$C$487:$F$4092,4,0)))</f>
        <v/>
      </c>
      <c r="E112" s="536" t="e">
        <f>VLOOKUP(B112,[7]PAA2017!$C$65:$AA$255,20,0)</f>
        <v>#N/A</v>
      </c>
      <c r="F112" s="534" t="e">
        <f>VLOOKUP(B112,[8]SOLICITUDES!$B$3:$H$278,2,0)</f>
        <v>#N/A</v>
      </c>
      <c r="G112" s="534"/>
      <c r="H112" s="534"/>
      <c r="I112" s="534"/>
      <c r="J112" s="536" t="str">
        <f>IF(ISERROR(VLOOKUP(B112,'Base de Datos'!$C$487:$N$4092,6,0))=TRUE,"Sin Celebrar",(VLOOKUP(B112,'Base de Datos'!$C$487:$N$4092,7,0)))</f>
        <v>Sin Celebrar</v>
      </c>
      <c r="K112" s="600"/>
      <c r="L112" s="580" t="e">
        <f t="shared" si="9"/>
        <v>#N/A</v>
      </c>
      <c r="M112" s="536"/>
      <c r="N112" s="536" t="e">
        <f t="shared" si="10"/>
        <v>#N/A</v>
      </c>
      <c r="O112" s="719" t="str">
        <f>IF(ISERROR(VLOOKUP(B112,'Base de Datos'!$C$487:$K$1048576,7,0))=TRUE," ",(VLOOKUP(B112,'Base de Datos'!$C$487:$K$1048576,8,0)))</f>
        <v xml:space="preserve"> </v>
      </c>
      <c r="P112" s="551" t="str">
        <f>IF(ISERROR(VLOOKUP(B112,'Base de Datos'!$C$487:$N$4077,9,0))=TRUE," ",(VLOOKUP(B112,'Base de Datos'!$C$487:$N$4077,10,0)))</f>
        <v xml:space="preserve"> </v>
      </c>
      <c r="Q112" s="737"/>
      <c r="R112" s="551" t="str">
        <f>IF(ISERROR(VLOOKUP(B112,'Base de Datos'!$C$487:$N$4077,10,0))=TRUE," ",(VLOOKUP(B112,'Base de Datos'!$C$487:$N$4077,11,0)))</f>
        <v xml:space="preserve"> </v>
      </c>
      <c r="S112" s="551" t="str">
        <f>IF(ISERROR(VLOOKUP(B112,'Base de Datos'!$C$487:$N$4077,11,0))=TRUE," ",(VLOOKUP(B112,'Base de Datos'!$C$487:$N$4077,12,0)))</f>
        <v xml:space="preserve"> </v>
      </c>
      <c r="T112" s="533" t="e">
        <f>VLOOKUP(B112,'Base de Datos'!$C$487:$AR$4129,41,0)</f>
        <v>#N/A</v>
      </c>
      <c r="U112" s="722"/>
      <c r="V112" s="634"/>
    </row>
    <row r="113" spans="2:22" ht="24.75" customHeight="1" outlineLevel="1" x14ac:dyDescent="0.25">
      <c r="B113" s="552"/>
      <c r="C113" s="533" t="str">
        <f>IF(ISERROR(VLOOKUP(B113,'Base de Datos'!$C$487:$F$4092,2,0))=TRUE,"",(VLOOKUP('Presupuesto - PAA 2018'!B113,'Base de Datos'!$C$7:$F$4092,3,0)))</f>
        <v/>
      </c>
      <c r="D113" s="533" t="str">
        <f>IF(ISERROR(VLOOKUP(B113,'Base de Datos'!$C$487:$F$4092,3,0))=TRUE,"",(VLOOKUP('Presupuesto - PAA 2018'!B113,'Base de Datos'!$C$487:$F$4092,4,0)))</f>
        <v/>
      </c>
      <c r="E113" s="536" t="e">
        <f>VLOOKUP(B113,[7]PAA2017!$C$65:$AA$255,20,0)</f>
        <v>#N/A</v>
      </c>
      <c r="F113" s="534" t="e">
        <f>VLOOKUP(B113,[8]SOLICITUDES!$B$3:$H$278,2,0)</f>
        <v>#N/A</v>
      </c>
      <c r="G113" s="534"/>
      <c r="H113" s="534"/>
      <c r="I113" s="534"/>
      <c r="J113" s="536" t="str">
        <f>IF(ISERROR(VLOOKUP(B113,'Base de Datos'!$C$487:$N$4092,6,0))=TRUE,"Sin Celebrar",(VLOOKUP(B113,'Base de Datos'!$C$487:$N$4092,7,0)))</f>
        <v>Sin Celebrar</v>
      </c>
      <c r="K113" s="600"/>
      <c r="L113" s="580" t="e">
        <f t="shared" si="9"/>
        <v>#N/A</v>
      </c>
      <c r="M113" s="536"/>
      <c r="N113" s="536" t="e">
        <f t="shared" si="10"/>
        <v>#N/A</v>
      </c>
      <c r="O113" s="719" t="str">
        <f>IF(ISERROR(VLOOKUP(B113,'Base de Datos'!$C$487:$K$1048576,7,0))=TRUE," ",(VLOOKUP(B113,'Base de Datos'!$C$487:$K$1048576,8,0)))</f>
        <v xml:space="preserve"> </v>
      </c>
      <c r="P113" s="551" t="str">
        <f>IF(ISERROR(VLOOKUP(B113,'Base de Datos'!$C$487:$N$4077,9,0))=TRUE," ",(VLOOKUP(B113,'Base de Datos'!$C$487:$N$4077,10,0)))</f>
        <v xml:space="preserve"> </v>
      </c>
      <c r="Q113" s="737"/>
      <c r="R113" s="551" t="str">
        <f>IF(ISERROR(VLOOKUP(B113,'Base de Datos'!$C$487:$N$4077,10,0))=TRUE," ",(VLOOKUP(B113,'Base de Datos'!$C$487:$N$4077,11,0)))</f>
        <v xml:space="preserve"> </v>
      </c>
      <c r="S113" s="551" t="str">
        <f>IF(ISERROR(VLOOKUP(B113,'Base de Datos'!$C$487:$N$4077,11,0))=TRUE," ",(VLOOKUP(B113,'Base de Datos'!$C$487:$N$4077,12,0)))</f>
        <v xml:space="preserve"> </v>
      </c>
      <c r="T113" s="533" t="e">
        <f>VLOOKUP(B113,'Base de Datos'!$C$487:$AR$4129,41,0)</f>
        <v>#N/A</v>
      </c>
      <c r="U113" s="722"/>
      <c r="V113" s="634"/>
    </row>
    <row r="114" spans="2:22" outlineLevel="1" x14ac:dyDescent="0.25">
      <c r="B114" s="533"/>
      <c r="C114" s="533"/>
      <c r="D114" s="533" t="s">
        <v>1935</v>
      </c>
      <c r="E114" s="536" t="e">
        <f>E100-SUM(E102:E113)</f>
        <v>#N/A</v>
      </c>
      <c r="F114" s="534"/>
      <c r="G114" s="534"/>
      <c r="H114" s="534"/>
      <c r="I114" s="534"/>
      <c r="J114" s="536"/>
      <c r="K114" s="600"/>
      <c r="L114" s="536"/>
      <c r="M114" s="536"/>
      <c r="N114" s="554" t="e">
        <f>IF(J114&lt;E114,(E114-J114)," ")</f>
        <v>#N/A</v>
      </c>
      <c r="O114" s="679"/>
      <c r="P114" s="551" t="str">
        <f>IF(ISERROR(VLOOKUP(B114,'Base de Datos'!$C$7:$N$4077,9,0))=TRUE," ",(VLOOKUP(B114,'Base de Datos'!$C$7:$N$4077,9,0)))</f>
        <v xml:space="preserve"> </v>
      </c>
      <c r="Q114" s="533"/>
      <c r="R114" s="556" t="str">
        <f>IF(ISERROR(VLOOKUP(B114,'Base de Datos'!$C$7:$N$4077,10,0))=TRUE," ",(VLOOKUP(B114,'Base de Datos'!$C$7:$N$4077,10,0)))</f>
        <v xml:space="preserve"> </v>
      </c>
      <c r="S114" s="556" t="str">
        <f>IF(ISERROR(VLOOKUP(B114,'Base de Datos'!$C$7:$N$4077,11,0))=TRUE," ",(VLOOKUP(B114,'Base de Datos'!$C$7:$N$4077,11,0)))</f>
        <v xml:space="preserve"> </v>
      </c>
      <c r="T114" s="533"/>
      <c r="U114" s="722"/>
      <c r="V114" s="634"/>
    </row>
    <row r="115" spans="2:22" outlineLevel="1" x14ac:dyDescent="0.25">
      <c r="B115" s="533"/>
      <c r="C115" s="533"/>
      <c r="D115" s="533"/>
      <c r="E115" s="536"/>
      <c r="F115" s="534"/>
      <c r="G115" s="534"/>
      <c r="H115" s="534"/>
      <c r="I115" s="534"/>
      <c r="J115" s="536"/>
      <c r="K115" s="600"/>
      <c r="L115" s="536"/>
      <c r="M115" s="536"/>
      <c r="N115" s="536"/>
      <c r="O115" s="678"/>
      <c r="P115" s="551"/>
      <c r="Q115" s="533"/>
      <c r="R115" s="551"/>
      <c r="S115" s="551"/>
      <c r="T115" s="533"/>
      <c r="U115" s="722"/>
      <c r="V115" s="634"/>
    </row>
    <row r="116" spans="2:22" ht="15" customHeight="1" x14ac:dyDescent="0.25">
      <c r="B116" s="1196" t="s">
        <v>1654</v>
      </c>
      <c r="C116" s="1196"/>
      <c r="D116" s="1196"/>
      <c r="E116" s="557">
        <v>1188000000</v>
      </c>
      <c r="F116" s="558">
        <f>COUNTIF('Actualizada - presupuesto'!$E$7:$E$111,B116)</f>
        <v>0</v>
      </c>
      <c r="G116" s="558"/>
      <c r="H116" s="558"/>
      <c r="I116" s="558"/>
      <c r="J116" s="567">
        <f>+J117</f>
        <v>1048340161</v>
      </c>
      <c r="K116" s="609">
        <f>J116/E116</f>
        <v>0.88244121296296296</v>
      </c>
      <c r="L116" s="567" t="e">
        <f>+L117</f>
        <v>#N/A</v>
      </c>
      <c r="M116" s="567"/>
      <c r="N116" s="567" t="e">
        <f>+N117</f>
        <v>#N/A</v>
      </c>
      <c r="O116" s="685"/>
      <c r="P116" s="573" t="str">
        <f>IF(ISERROR(VLOOKUP(B116,'Base de Datos'!$C$7:$N$315,8,0))=TRUE," ",(VLOOKUP(B116,'Base de Datos'!$C$7:$N$315,8,0)))</f>
        <v xml:space="preserve"> </v>
      </c>
      <c r="Q116" s="574"/>
      <c r="R116" s="573" t="str">
        <f>IF(ISERROR(VLOOKUP(B116,'Base de Datos'!$C$7:$N$315,9,0))=TRUE," ",(VLOOKUP(B116,'Base de Datos'!$C$7:$N$315,9,0)))</f>
        <v xml:space="preserve"> </v>
      </c>
      <c r="S116" s="573" t="str">
        <f>IF(ISERROR(VLOOKUP(B116,'Base de Datos'!$C$7:$N$315,10,0))=TRUE," ",(VLOOKUP(B116,'Base de Datos'!$C$7:$N$315,10,0)))</f>
        <v xml:space="preserve"> </v>
      </c>
      <c r="T116" s="569"/>
      <c r="U116" s="722"/>
      <c r="V116" s="634"/>
    </row>
    <row r="117" spans="2:22" ht="15" customHeight="1" x14ac:dyDescent="0.25">
      <c r="B117" s="1181" t="s">
        <v>1655</v>
      </c>
      <c r="C117" s="1181"/>
      <c r="D117" s="1181"/>
      <c r="E117" s="581">
        <v>1188000000</v>
      </c>
      <c r="F117" s="586">
        <f>COUNTIF('Actualizada - presupuesto'!$E$7:$E$111,B117)</f>
        <v>17</v>
      </c>
      <c r="G117" s="586"/>
      <c r="H117" s="586"/>
      <c r="I117" s="586"/>
      <c r="J117" s="581">
        <f>SUM(J119:J136)</f>
        <v>1048340161</v>
      </c>
      <c r="K117" s="603">
        <f>J117/E117</f>
        <v>0.88244121296296296</v>
      </c>
      <c r="L117" s="581" t="e">
        <f>SUM(L119:L136)</f>
        <v>#N/A</v>
      </c>
      <c r="M117" s="581"/>
      <c r="N117" s="581" t="e">
        <f>+E117-J117-L117</f>
        <v>#N/A</v>
      </c>
      <c r="O117" s="684"/>
      <c r="P117" s="591" t="str">
        <f>IF(ISERROR(VLOOKUP(B117,'Base de Datos'!$C$7:$N$315,8,0))=TRUE," ",(VLOOKUP(B117,'Base de Datos'!$C$7:$N$315,8,0)))</f>
        <v xml:space="preserve"> </v>
      </c>
      <c r="Q117" s="592"/>
      <c r="R117" s="591" t="str">
        <f>IF(ISERROR(VLOOKUP(B117,'Base de Datos'!$C$7:$N$315,9,0))=TRUE," ",(VLOOKUP(B117,'Base de Datos'!$C$7:$N$315,9,0)))</f>
        <v xml:space="preserve"> </v>
      </c>
      <c r="S117" s="591" t="str">
        <f>IF(ISERROR(VLOOKUP(B117,'Base de Datos'!$C$7:$N$315,10,0))=TRUE," ",(VLOOKUP(B117,'Base de Datos'!$C$7:$N$315,10,0)))</f>
        <v xml:space="preserve"> </v>
      </c>
      <c r="T117" s="592"/>
      <c r="U117" s="722"/>
      <c r="V117" s="634"/>
    </row>
    <row r="118" spans="2:22" ht="24" outlineLevel="1" x14ac:dyDescent="0.25">
      <c r="B118" s="537" t="s">
        <v>1693</v>
      </c>
      <c r="C118" s="537" t="s">
        <v>912</v>
      </c>
      <c r="D118" s="537" t="s">
        <v>1822</v>
      </c>
      <c r="E118" s="545" t="s">
        <v>1846</v>
      </c>
      <c r="F118" s="534" t="s">
        <v>1853</v>
      </c>
      <c r="G118" s="534"/>
      <c r="H118" s="534"/>
      <c r="I118" s="534"/>
      <c r="J118" s="537" t="s">
        <v>1845</v>
      </c>
      <c r="K118" s="652"/>
      <c r="L118" s="537" t="s">
        <v>1939</v>
      </c>
      <c r="M118" s="537"/>
      <c r="N118" s="537" t="s">
        <v>1940</v>
      </c>
      <c r="O118" s="677"/>
      <c r="P118" s="568" t="s">
        <v>1847</v>
      </c>
      <c r="Q118" s="537" t="s">
        <v>1848</v>
      </c>
      <c r="R118" s="537" t="s">
        <v>1849</v>
      </c>
      <c r="S118" s="537" t="s">
        <v>375</v>
      </c>
      <c r="T118" s="537" t="s">
        <v>1850</v>
      </c>
      <c r="U118" s="722"/>
      <c r="V118" s="634"/>
    </row>
    <row r="119" spans="2:22" outlineLevel="1" x14ac:dyDescent="0.25">
      <c r="B119" s="537">
        <v>174</v>
      </c>
      <c r="C119" s="533" t="str">
        <f>IF(ISERROR(VLOOKUP(B119,'Base de Datos'!$C$487:$F$4092,2,0))=TRUE,"",(VLOOKUP('Presupuesto - PAA 2018'!B119,'Base de Datos'!$C$7:$F$4092,3,0)))</f>
        <v/>
      </c>
      <c r="D119" s="533" t="str">
        <f>IF(ISERROR(VLOOKUP(B119,'Base de Datos'!$C$487:$F$4092,3,0))=TRUE,"",(VLOOKUP('Presupuesto - PAA 2018'!B119,'Base de Datos'!$C$487:$F$4092,4,0)))</f>
        <v/>
      </c>
      <c r="E119" s="536">
        <f>VLOOKUP(B119,[7]PAA2017!$C$65:$AA$255,20,0)</f>
        <v>11000000</v>
      </c>
      <c r="F119" s="534" t="e">
        <f>VLOOKUP(B119,[8]SOLICITUDES!$B$3:$H$278,2,0)</f>
        <v>#N/A</v>
      </c>
      <c r="G119" s="534"/>
      <c r="H119" s="534"/>
      <c r="I119" s="534"/>
      <c r="J119" s="536" t="str">
        <f>IF(ISERROR(VLOOKUP(B119,'Base de Datos'!$C$487:$N$4092,6,0))=TRUE,"Sin Celebrar",(VLOOKUP(B119,'Base de Datos'!$C$487:$N$4092,7,0)))</f>
        <v>Sin Celebrar</v>
      </c>
      <c r="K119" s="600"/>
      <c r="L119" s="580">
        <f t="shared" ref="L119:L135" si="11">IF(J119=$AA$1,E119, " ")</f>
        <v>11000000</v>
      </c>
      <c r="M119" s="536"/>
      <c r="N119" s="536" t="str">
        <f t="shared" ref="N119:N135" si="12">IF(J119&lt;E119,(E119-J119)," ")</f>
        <v xml:space="preserve"> </v>
      </c>
      <c r="O119" s="719" t="str">
        <f>IF(ISERROR(VLOOKUP(B119,'Base de Datos'!$C$487:$K$1048576,7,0))=TRUE," ",(VLOOKUP(B119,'Base de Datos'!$C$487:$K$1048576,8,0)))</f>
        <v xml:space="preserve"> </v>
      </c>
      <c r="P119" s="551" t="str">
        <f>IF(ISERROR(VLOOKUP(B119,'Base de Datos'!$C$487:$N$4077,9,0))=TRUE," ",(VLOOKUP(B119,'Base de Datos'!$C$487:$N$4077,10,0)))</f>
        <v xml:space="preserve"> </v>
      </c>
      <c r="Q119" s="737"/>
      <c r="R119" s="551" t="str">
        <f>IF(ISERROR(VLOOKUP(B119,'Base de Datos'!$C$487:$N$4077,10,0))=TRUE," ",(VLOOKUP(B119,'Base de Datos'!$C$487:$N$4077,11,0)))</f>
        <v xml:space="preserve"> </v>
      </c>
      <c r="S119" s="551" t="str">
        <f>IF(ISERROR(VLOOKUP(B119,'Base de Datos'!$C$487:$N$4077,11,0))=TRUE," ",(VLOOKUP(B119,'Base de Datos'!$C$487:$N$4077,12,0)))</f>
        <v xml:space="preserve"> </v>
      </c>
      <c r="T119" s="533" t="e">
        <f>VLOOKUP(B119,'Base de Datos'!$C$487:$AR$4129,41,0)</f>
        <v>#N/A</v>
      </c>
      <c r="U119" s="722"/>
      <c r="V119" s="634"/>
    </row>
    <row r="120" spans="2:22" ht="12" customHeight="1" outlineLevel="1" x14ac:dyDescent="0.25">
      <c r="B120" s="537">
        <v>175</v>
      </c>
      <c r="C120" s="533" t="str">
        <f>IF(ISERROR(VLOOKUP(B120,'Base de Datos'!$C$487:$F$4092,2,0))=TRUE,"",(VLOOKUP('Presupuesto - PAA 2018'!B120,'Base de Datos'!$C$7:$F$4092,3,0)))</f>
        <v>150191-0-2015</v>
      </c>
      <c r="D120" s="533" t="str">
        <f>IF(ISERROR(VLOOKUP(B120,'Base de Datos'!$C$487:$F$4092,3,0))=TRUE,"",(VLOOKUP('Presupuesto - PAA 2018'!B120,'Base de Datos'!$C$487:$F$4092,4,0)))</f>
        <v>CONTRONET LTDA</v>
      </c>
      <c r="E120" s="536">
        <f>VLOOKUP(B120,[7]PAA2017!$C$65:$AA$255,20,0)</f>
        <v>7000000</v>
      </c>
      <c r="F120" s="534" t="e">
        <f>VLOOKUP(B120,[8]SOLICITUDES!$B$3:$H$278,2,0)</f>
        <v>#N/A</v>
      </c>
      <c r="G120" s="534"/>
      <c r="H120" s="534"/>
      <c r="I120" s="534"/>
      <c r="J120" s="536">
        <f>IF(ISERROR(VLOOKUP(B120,'Base de Datos'!$C$487:$N$4092,6,0))=TRUE,"Sin Celebrar",(VLOOKUP(B120,'Base de Datos'!$C$487:$N$4092,7,0)))</f>
        <v>30000000</v>
      </c>
      <c r="K120" s="600"/>
      <c r="L120" s="580" t="str">
        <f t="shared" si="11"/>
        <v xml:space="preserve"> </v>
      </c>
      <c r="M120" s="536"/>
      <c r="N120" s="536" t="str">
        <f t="shared" si="12"/>
        <v xml:space="preserve"> </v>
      </c>
      <c r="O120" s="719" t="str">
        <f>IF(ISERROR(VLOOKUP(B120,'Base de Datos'!$C$487:$K$1048576,7,0))=TRUE," ",(VLOOKUP(B120,'Base de Datos'!$C$487:$K$1048576,8,0)))</f>
        <v>SDH-SMINC-40-2018</v>
      </c>
      <c r="P120" s="551">
        <f>IF(ISERROR(VLOOKUP(B120,'Base de Datos'!$C$487:$N$4077,9,0))=TRUE," ",(VLOOKUP(B120,'Base de Datos'!$C$487:$N$4077,10,0)))</f>
        <v>43340</v>
      </c>
      <c r="Q120" s="737"/>
      <c r="R120" s="551">
        <f>IF(ISERROR(VLOOKUP(B120,'Base de Datos'!$C$487:$N$4077,10,0))=TRUE," ",(VLOOKUP(B120,'Base de Datos'!$C$487:$N$4077,11,0)))</f>
        <v>43355</v>
      </c>
      <c r="S120" s="551">
        <f>IF(ISERROR(VLOOKUP(B120,'Base de Datos'!$C$487:$N$4077,11,0))=TRUE," ",(VLOOKUP(B120,'Base de Datos'!$C$487:$N$4077,12,0)))</f>
        <v>43535</v>
      </c>
      <c r="T120" s="533" t="str">
        <f>VLOOKUP(B120,'Base de Datos'!$C$487:$AR$4129,41,0)</f>
        <v>SI</v>
      </c>
      <c r="U120" s="722"/>
      <c r="V120" s="634"/>
    </row>
    <row r="121" spans="2:22" ht="24" outlineLevel="1" x14ac:dyDescent="0.25">
      <c r="B121" s="537">
        <v>182</v>
      </c>
      <c r="C121" s="533" t="str">
        <f>IF(ISERROR(VLOOKUP(B121,'Base de Datos'!$C$487:$F$4092,2,0))=TRUE,"",(VLOOKUP('Presupuesto - PAA 2018'!B121,'Base de Datos'!$C$7:$F$4092,3,0)))</f>
        <v>150260-0-2015</v>
      </c>
      <c r="D121" s="533" t="str">
        <f>IF(ISERROR(VLOOKUP(B121,'Base de Datos'!$C$487:$F$4092,3,0))=TRUE,"",(VLOOKUP('Presupuesto - PAA 2018'!B121,'Base de Datos'!$C$487:$F$4092,4,0)))</f>
        <v>SOLUCIONES H &amp; S S.A.S</v>
      </c>
      <c r="E121" s="536">
        <f>VLOOKUP(B121,[7]PAA2017!$C$65:$AA$255,20,0)</f>
        <v>3000000</v>
      </c>
      <c r="F121" s="534" t="str">
        <f>VLOOKUP(B121,[8]SOLICITUDES!$B$3:$H$278,2,0)</f>
        <v>SI</v>
      </c>
      <c r="G121" s="534"/>
      <c r="H121" s="534"/>
      <c r="I121" s="534"/>
      <c r="J121" s="536">
        <f>IF(ISERROR(VLOOKUP(B121,'Base de Datos'!$C$487:$N$4092,6,0))=TRUE,"Sin Celebrar",(VLOOKUP(B121,'Base de Datos'!$C$487:$N$4092,7,0)))</f>
        <v>2585000</v>
      </c>
      <c r="K121" s="600"/>
      <c r="L121" s="580" t="str">
        <f t="shared" si="11"/>
        <v xml:space="preserve"> </v>
      </c>
      <c r="M121" s="536"/>
      <c r="N121" s="536">
        <f t="shared" si="12"/>
        <v>415000</v>
      </c>
      <c r="O121" s="719" t="str">
        <f>IF(ISERROR(VLOOKUP(B121,'Base de Datos'!$C$487:$K$1048576,7,0))=TRUE," ",(VLOOKUP(B121,'Base de Datos'!$C$487:$K$1048576,8,0)))</f>
        <v xml:space="preserve"> SDH-SMINC-05-2017</v>
      </c>
      <c r="P121" s="551">
        <f>IF(ISERROR(VLOOKUP(B121,'Base de Datos'!$C$487:$N$4077,9,0))=TRUE," ",(VLOOKUP(B121,'Base de Datos'!$C$487:$N$4077,10,0)))</f>
        <v>42811</v>
      </c>
      <c r="Q121" s="737"/>
      <c r="R121" s="551">
        <f>IF(ISERROR(VLOOKUP(B121,'Base de Datos'!$C$487:$N$4077,10,0))=TRUE," ",(VLOOKUP(B121,'Base de Datos'!$C$487:$N$4077,11,0)))</f>
        <v>42846</v>
      </c>
      <c r="S121" s="551">
        <f>IF(ISERROR(VLOOKUP(B121,'Base de Datos'!$C$487:$N$4077,11,0))=TRUE," ",(VLOOKUP(B121,'Base de Datos'!$C$487:$N$4077,12,0)))</f>
        <v>43211</v>
      </c>
      <c r="T121" s="533" t="str">
        <f>VLOOKUP(B121,'Base de Datos'!$C$487:$AR$4129,41,0)</f>
        <v>SI</v>
      </c>
      <c r="U121" s="722"/>
      <c r="V121" s="634"/>
    </row>
    <row r="122" spans="2:22" ht="13.5" customHeight="1" outlineLevel="1" x14ac:dyDescent="0.25">
      <c r="B122" s="537">
        <v>184</v>
      </c>
      <c r="C122" s="533" t="str">
        <f>IF(ISERROR(VLOOKUP(B122,'Base de Datos'!$C$487:$F$4092,2,0))=TRUE,"",(VLOOKUP('Presupuesto - PAA 2018'!B122,'Base de Datos'!$C$7:$F$4092,3,0)))</f>
        <v>150386-0-2015</v>
      </c>
      <c r="D122" s="533" t="str">
        <f>IF(ISERROR(VLOOKUP(B122,'Base de Datos'!$C$487:$F$4092,3,0))=TRUE,"",(VLOOKUP('Presupuesto - PAA 2018'!B122,'Base de Datos'!$C$487:$F$4092,4,0)))</f>
        <v>ESTACION DE SERVIICIO CARRERA 50 S.A.S</v>
      </c>
      <c r="E122" s="536">
        <f>VLOOKUP(B122,[7]PAA2017!$C$65:$AA$255,20,0)</f>
        <v>59000000</v>
      </c>
      <c r="F122" s="534" t="str">
        <f>VLOOKUP(B122,[8]SOLICITUDES!$B$3:$H$278,2,0)</f>
        <v>SI</v>
      </c>
      <c r="G122" s="534"/>
      <c r="H122" s="534"/>
      <c r="I122" s="534"/>
      <c r="J122" s="536">
        <f>IF(ISERROR(VLOOKUP(B122,'Base de Datos'!$C$487:$N$4092,6,0))=TRUE,"Sin Celebrar",(VLOOKUP(B122,'Base de Datos'!$C$487:$N$4092,7,0)))</f>
        <v>39000000</v>
      </c>
      <c r="K122" s="600"/>
      <c r="L122" s="580" t="str">
        <f t="shared" si="11"/>
        <v xml:space="preserve"> </v>
      </c>
      <c r="M122" s="536"/>
      <c r="N122" s="536">
        <f t="shared" si="12"/>
        <v>20000000</v>
      </c>
      <c r="O122" s="719" t="str">
        <f>IF(ISERROR(VLOOKUP(B122,'Base de Datos'!$C$487:$K$1048576,7,0))=TRUE," ",(VLOOKUP(B122,'Base de Datos'!$C$487:$K$1048576,8,0)))</f>
        <v>SDH-SMINC-08-2017</v>
      </c>
      <c r="P122" s="551">
        <f>IF(ISERROR(VLOOKUP(B122,'Base de Datos'!$C$487:$N$4077,9,0))=TRUE," ",(VLOOKUP(B122,'Base de Datos'!$C$487:$N$4077,10,0)))</f>
        <v>42823</v>
      </c>
      <c r="Q122" s="737"/>
      <c r="R122" s="551">
        <f>IF(ISERROR(VLOOKUP(B122,'Base de Datos'!$C$487:$N$4077,10,0))=TRUE," ",(VLOOKUP(B122,'Base de Datos'!$C$487:$N$4077,11,0)))</f>
        <v>42846</v>
      </c>
      <c r="S122" s="551">
        <f>IF(ISERROR(VLOOKUP(B122,'Base de Datos'!$C$487:$N$4077,11,0))=TRUE," ",(VLOOKUP(B122,'Base de Datos'!$C$487:$N$4077,12,0)))</f>
        <v>43186</v>
      </c>
      <c r="T122" s="533" t="str">
        <f ca="1">VLOOKUP(B122,'Base de Datos'!$C$487:$AR$4129,41,0)</f>
        <v>SI</v>
      </c>
      <c r="U122" s="722"/>
      <c r="V122" s="634"/>
    </row>
    <row r="123" spans="2:22" ht="10.5" customHeight="1" outlineLevel="1" x14ac:dyDescent="0.25">
      <c r="B123" s="627">
        <v>185</v>
      </c>
      <c r="C123" s="533" t="str">
        <f>IF(ISERROR(VLOOKUP(B123,'Base de Datos'!$C$487:$F$4092,2,0))=TRUE,"",(VLOOKUP('Presupuesto - PAA 2018'!B123,'Base de Datos'!$C$7:$F$4092,3,0)))</f>
        <v>150377-0-2015</v>
      </c>
      <c r="D123" s="533" t="str">
        <f>IF(ISERROR(VLOOKUP(B123,'Base de Datos'!$C$487:$F$4092,3,0))=TRUE,"",(VLOOKUP('Presupuesto - PAA 2018'!B123,'Base de Datos'!$C$487:$F$4092,4,0)))</f>
        <v>INGENIERIA Y SOLUCIONES EN CONTROL AUTOMATIZACION Y DISEÑO SAS</v>
      </c>
      <c r="E123" s="536">
        <f>VLOOKUP(B123,[7]PAA2017!$C$65:$AA$255,20,0)</f>
        <v>5000000</v>
      </c>
      <c r="F123" s="534" t="str">
        <f>VLOOKUP(B123,[8]SOLICITUDES!$B$3:$H$278,2,0)</f>
        <v>SI</v>
      </c>
      <c r="G123" s="534"/>
      <c r="H123" s="534"/>
      <c r="I123" s="534"/>
      <c r="J123" s="536">
        <f>IF(ISERROR(VLOOKUP(B123,'Base de Datos'!$C$487:$N$4092,6,0))=TRUE,"Sin Celebrar",(VLOOKUP(B123,'Base de Datos'!$C$487:$N$4092,7,0)))</f>
        <v>1802850</v>
      </c>
      <c r="K123" s="600"/>
      <c r="L123" s="580" t="str">
        <f t="shared" si="11"/>
        <v xml:space="preserve"> </v>
      </c>
      <c r="M123" s="536"/>
      <c r="N123" s="536">
        <f t="shared" si="12"/>
        <v>3197150</v>
      </c>
      <c r="O123" s="719" t="str">
        <f>IF(ISERROR(VLOOKUP(B123,'Base de Datos'!$C$487:$K$1048576,7,0))=TRUE," ",(VLOOKUP(B123,'Base de Datos'!$C$487:$K$1048576,8,0)))</f>
        <v>SDH-SMINC-13-2017</v>
      </c>
      <c r="P123" s="551">
        <f>IF(ISERROR(VLOOKUP(B123,'Base de Datos'!$C$487:$N$4077,9,0))=TRUE," ",(VLOOKUP(B123,'Base de Datos'!$C$487:$N$4077,10,0)))</f>
        <v>42877</v>
      </c>
      <c r="Q123" s="737"/>
      <c r="R123" s="551">
        <f>IF(ISERROR(VLOOKUP(B123,'Base de Datos'!$C$487:$N$4077,10,0))=TRUE," ",(VLOOKUP(B123,'Base de Datos'!$C$487:$N$4077,11,0)))</f>
        <v>42887</v>
      </c>
      <c r="S123" s="551">
        <f>IF(ISERROR(VLOOKUP(B123,'Base de Datos'!$C$487:$N$4077,11,0))=TRUE," ",(VLOOKUP(B123,'Base de Datos'!$C$487:$N$4077,12,0)))</f>
        <v>43191</v>
      </c>
      <c r="T123" s="533" t="str">
        <f>VLOOKUP(B123,'Base de Datos'!$C$487:$AR$4129,41,0)</f>
        <v>SI</v>
      </c>
      <c r="U123" s="722"/>
      <c r="V123" s="634"/>
    </row>
    <row r="124" spans="2:22" outlineLevel="1" x14ac:dyDescent="0.25">
      <c r="B124" s="537">
        <v>186</v>
      </c>
      <c r="C124" s="533" t="str">
        <f>IF(ISERROR(VLOOKUP(B124,'Base de Datos'!$C$487:$F$4092,2,0))=TRUE,"",(VLOOKUP('Presupuesto - PAA 2018'!B124,'Base de Datos'!$C$7:$F$4092,3,0)))</f>
        <v>150353-0-2015</v>
      </c>
      <c r="D124" s="533" t="str">
        <f>IF(ISERROR(VLOOKUP(B124,'Base de Datos'!$C$487:$F$4092,3,0))=TRUE,"",(VLOOKUP('Presupuesto - PAA 2018'!B124,'Base de Datos'!$C$487:$F$4092,4,0)))</f>
        <v xml:space="preserve">MOTORES Y MAQUINAS S.A. MOTORYSA </v>
      </c>
      <c r="E124" s="536">
        <f>VLOOKUP(B124,[7]PAA2017!$C$65:$AA$255,20,0)</f>
        <v>33000000</v>
      </c>
      <c r="F124" s="534" t="e">
        <f>VLOOKUP(B124,[8]SOLICITUDES!$B$3:$H$278,2,0)</f>
        <v>#N/A</v>
      </c>
      <c r="G124" s="534"/>
      <c r="H124" s="534"/>
      <c r="I124" s="534"/>
      <c r="J124" s="536">
        <f>IF(ISERROR(VLOOKUP(B124,'Base de Datos'!$C$487:$N$4092,6,0))=TRUE,"Sin Celebrar",(VLOOKUP(B124,'Base de Datos'!$C$487:$N$4092,7,0)))</f>
        <v>28800000</v>
      </c>
      <c r="K124" s="600"/>
      <c r="L124" s="580" t="str">
        <f t="shared" si="11"/>
        <v xml:space="preserve"> </v>
      </c>
      <c r="M124" s="536"/>
      <c r="N124" s="536">
        <f t="shared" si="12"/>
        <v>4200000</v>
      </c>
      <c r="O124" s="719">
        <f>IF(ISERROR(VLOOKUP(B124,'Base de Datos'!$C$487:$K$1048576,7,0))=TRUE," ",(VLOOKUP(B124,'Base de Datos'!$C$487:$K$1048576,8,0)))</f>
        <v>0</v>
      </c>
      <c r="P124" s="551">
        <f>IF(ISERROR(VLOOKUP(B124,'Base de Datos'!$C$487:$N$4077,9,0))=TRUE," ",(VLOOKUP(B124,'Base de Datos'!$C$487:$N$4077,10,0)))</f>
        <v>42803</v>
      </c>
      <c r="Q124" s="737"/>
      <c r="R124" s="551">
        <f>IF(ISERROR(VLOOKUP(B124,'Base de Datos'!$C$487:$N$4077,10,0))=TRUE," ",(VLOOKUP(B124,'Base de Datos'!$C$487:$N$4077,11,0)))</f>
        <v>42810</v>
      </c>
      <c r="S124" s="551">
        <f>IF(ISERROR(VLOOKUP(B124,'Base de Datos'!$C$487:$N$4077,11,0))=TRUE," ",(VLOOKUP(B124,'Base de Datos'!$C$487:$N$4077,12,0)))</f>
        <v>43175</v>
      </c>
      <c r="T124" s="533" t="str">
        <f>VLOOKUP(B124,'Base de Datos'!$C$487:$AR$4129,41,0)</f>
        <v>SI</v>
      </c>
      <c r="U124" s="722"/>
      <c r="V124" s="634"/>
    </row>
    <row r="125" spans="2:22" outlineLevel="1" x14ac:dyDescent="0.25">
      <c r="B125" s="537">
        <v>189</v>
      </c>
      <c r="C125" s="533" t="str">
        <f>IF(ISERROR(VLOOKUP(B125,'Base de Datos'!$C$487:$F$4092,2,0))=TRUE,"",(VLOOKUP('Presupuesto - PAA 2018'!B125,'Base de Datos'!$C$7:$F$4092,3,0)))</f>
        <v>150316-0-2015</v>
      </c>
      <c r="D125" s="533" t="str">
        <f>IF(ISERROR(VLOOKUP(B125,'Base de Datos'!$C$487:$F$4092,3,0))=TRUE,"",(VLOOKUP('Presupuesto - PAA 2018'!B125,'Base de Datos'!$C$487:$F$4092,4,0)))</f>
        <v>SERVIASEO S.A.</v>
      </c>
      <c r="E125" s="536">
        <f>VLOOKUP(B125,[7]PAA2017!$C$65:$AA$255,20,0)</f>
        <v>1708200000</v>
      </c>
      <c r="F125" s="534" t="str">
        <f>VLOOKUP(B125,[8]SOLICITUDES!$B$3:$H$278,2,0)</f>
        <v>SI</v>
      </c>
      <c r="G125" s="534"/>
      <c r="H125" s="534"/>
      <c r="I125" s="534"/>
      <c r="J125" s="536">
        <f>IF(ISERROR(VLOOKUP(B125,'Base de Datos'!$C$487:$N$4092,6,0))=TRUE,"Sin Celebrar",(VLOOKUP(B125,'Base de Datos'!$C$487:$N$4092,7,0)))</f>
        <v>270913000</v>
      </c>
      <c r="K125" s="600"/>
      <c r="L125" s="580" t="str">
        <f t="shared" si="11"/>
        <v xml:space="preserve"> </v>
      </c>
      <c r="M125" s="536"/>
      <c r="N125" s="536">
        <f t="shared" si="12"/>
        <v>1437287000</v>
      </c>
      <c r="O125" s="719" t="str">
        <f>IF(ISERROR(VLOOKUP(B125,'Base de Datos'!$C$487:$K$1048576,7,0))=TRUE," ",(VLOOKUP(B125,'Base de Datos'!$C$487:$K$1048576,8,0)))</f>
        <v xml:space="preserve"> SDH-LP-01-2017</v>
      </c>
      <c r="P125" s="551">
        <f>IF(ISERROR(VLOOKUP(B125,'Base de Datos'!$C$487:$N$4077,9,0))=TRUE," ",(VLOOKUP(B125,'Base de Datos'!$C$487:$N$4077,10,0)))</f>
        <v>42825</v>
      </c>
      <c r="Q125" s="737"/>
      <c r="R125" s="551">
        <f>IF(ISERROR(VLOOKUP(B125,'Base de Datos'!$C$487:$N$4077,10,0))=TRUE," ",(VLOOKUP(B125,'Base de Datos'!$C$487:$N$4077,11,0)))</f>
        <v>42829</v>
      </c>
      <c r="S125" s="551">
        <f>IF(ISERROR(VLOOKUP(B125,'Base de Datos'!$C$487:$N$4077,11,0))=TRUE," ",(VLOOKUP(B125,'Base de Datos'!$C$487:$N$4077,12,0)))</f>
        <v>43073</v>
      </c>
      <c r="T125" s="533" t="str">
        <f>VLOOKUP(B125,'Base de Datos'!$C$487:$AR$4129,41,0)</f>
        <v>SI</v>
      </c>
      <c r="U125" s="722"/>
      <c r="V125" s="634"/>
    </row>
    <row r="126" spans="2:22" ht="15" customHeight="1" outlineLevel="1" x14ac:dyDescent="0.25">
      <c r="B126" s="537">
        <v>193</v>
      </c>
      <c r="C126" s="533" t="str">
        <f>IF(ISERROR(VLOOKUP(B126,'Base de Datos'!$C$487:$F$4092,2,0))=TRUE,"",(VLOOKUP('Presupuesto - PAA 2018'!B126,'Base de Datos'!$C$7:$F$4092,3,0)))</f>
        <v>170157-0-2017</v>
      </c>
      <c r="D126" s="533" t="str">
        <f>IF(ISERROR(VLOOKUP(B126,'Base de Datos'!$C$487:$F$4092,3,0))=TRUE,"",(VLOOKUP('Presupuesto - PAA 2018'!B126,'Base de Datos'!$C$487:$F$4092,4,0)))</f>
        <v>ALL IN SERVICE SAS</v>
      </c>
      <c r="E126" s="536">
        <f>VLOOKUP(B126,[7]PAA2017!$C$65:$AA$255,20,0)</f>
        <v>149553000</v>
      </c>
      <c r="F126" s="534" t="str">
        <f>VLOOKUP(B126,[8]SOLICITUDES!$B$3:$H$278,2,0)</f>
        <v>SI</v>
      </c>
      <c r="G126" s="534"/>
      <c r="H126" s="534"/>
      <c r="I126" s="534"/>
      <c r="J126" s="536">
        <f>IF(ISERROR(VLOOKUP(B126,'Base de Datos'!$C$487:$N$4092,6,0))=TRUE,"Sin Celebrar",(VLOOKUP(B126,'Base de Datos'!$C$487:$N$4092,7,0)))</f>
        <v>29000000</v>
      </c>
      <c r="K126" s="600"/>
      <c r="L126" s="580" t="str">
        <f t="shared" si="11"/>
        <v xml:space="preserve"> </v>
      </c>
      <c r="M126" s="536"/>
      <c r="N126" s="536">
        <f t="shared" si="12"/>
        <v>120553000</v>
      </c>
      <c r="O126" s="719" t="str">
        <f>IF(ISERROR(VLOOKUP(B126,'Base de Datos'!$C$487:$K$1048576,7,0))=TRUE," ",(VLOOKUP(B126,'Base de Datos'!$C$487:$K$1048576,8,0)))</f>
        <v>SDH-SAMC-01-2017</v>
      </c>
      <c r="P126" s="551">
        <f>IF(ISERROR(VLOOKUP(B126,'Base de Datos'!$C$487:$N$4077,9,0))=TRUE," ",(VLOOKUP(B126,'Base de Datos'!$C$487:$N$4077,10,0)))</f>
        <v>42893</v>
      </c>
      <c r="Q126" s="737"/>
      <c r="R126" s="551">
        <f>IF(ISERROR(VLOOKUP(B126,'Base de Datos'!$C$487:$N$4077,10,0))=TRUE," ",(VLOOKUP(B126,'Base de Datos'!$C$487:$N$4077,11,0)))</f>
        <v>42920</v>
      </c>
      <c r="S126" s="551">
        <f>IF(ISERROR(VLOOKUP(B126,'Base de Datos'!$C$487:$N$4077,11,0))=TRUE," ",(VLOOKUP(B126,'Base de Datos'!$C$487:$N$4077,12,0)))</f>
        <v>43194</v>
      </c>
      <c r="T126" s="533" t="str">
        <f>VLOOKUP(B126,'Base de Datos'!$C$487:$AR$4129,41,0)</f>
        <v>SI</v>
      </c>
      <c r="U126" s="722"/>
      <c r="V126" s="634"/>
    </row>
    <row r="127" spans="2:22" ht="24" outlineLevel="1" x14ac:dyDescent="0.25">
      <c r="B127" s="537">
        <v>194</v>
      </c>
      <c r="C127" s="533" t="str">
        <f>IF(ISERROR(VLOOKUP(B127,'Base de Datos'!$C$487:$F$4092,2,0))=TRUE,"",(VLOOKUP('Presupuesto - PAA 2018'!B127,'Base de Datos'!$C$7:$F$4092,3,0)))</f>
        <v>170079-0-2017</v>
      </c>
      <c r="D127" s="533" t="str">
        <f>IF(ISERROR(VLOOKUP(B127,'Base de Datos'!$C$487:$F$4092,3,0))=TRUE,"",(VLOOKUP('Presupuesto - PAA 2018'!B127,'Base de Datos'!$C$487:$F$4092,4,0)))</f>
        <v>AGR SOLUCIONES SAS</v>
      </c>
      <c r="E127" s="536">
        <f>VLOOKUP(B127,[7]PAA2017!$C$65:$AA$255,20,0)</f>
        <v>13000000</v>
      </c>
      <c r="F127" s="534" t="e">
        <f>VLOOKUP(B127,[8]SOLICITUDES!$B$3:$H$278,2,0)</f>
        <v>#N/A</v>
      </c>
      <c r="G127" s="534"/>
      <c r="H127" s="534"/>
      <c r="I127" s="534"/>
      <c r="J127" s="536">
        <f>IF(ISERROR(VLOOKUP(B127,'Base de Datos'!$C$487:$N$4092,6,0))=TRUE,"Sin Celebrar",(VLOOKUP(B127,'Base de Datos'!$C$487:$N$4092,7,0)))</f>
        <v>3725711</v>
      </c>
      <c r="K127" s="600"/>
      <c r="L127" s="580" t="str">
        <f t="shared" si="11"/>
        <v xml:space="preserve"> </v>
      </c>
      <c r="M127" s="536"/>
      <c r="N127" s="536">
        <f t="shared" si="12"/>
        <v>9274289</v>
      </c>
      <c r="O127" s="719" t="str">
        <f>IF(ISERROR(VLOOKUP(B127,'Base de Datos'!$C$487:$K$1048576,7,0))=TRUE," ",(VLOOKUP(B127,'Base de Datos'!$C$487:$K$1048576,8,0)))</f>
        <v>SDH-SMINC-09-2017</v>
      </c>
      <c r="P127" s="551">
        <f>IF(ISERROR(VLOOKUP(B127,'Base de Datos'!$C$487:$N$4077,9,0))=TRUE," ",(VLOOKUP(B127,'Base de Datos'!$C$487:$N$4077,10,0)))</f>
        <v>42823</v>
      </c>
      <c r="Q127" s="737"/>
      <c r="R127" s="551">
        <f>IF(ISERROR(VLOOKUP(B127,'Base de Datos'!$C$487:$N$4077,10,0))=TRUE," ",(VLOOKUP(B127,'Base de Datos'!$C$487:$N$4077,11,0)))</f>
        <v>42831</v>
      </c>
      <c r="S127" s="551">
        <f>IF(ISERROR(VLOOKUP(B127,'Base de Datos'!$C$487:$N$4077,11,0))=TRUE," ",(VLOOKUP(B127,'Base de Datos'!$C$487:$N$4077,12,0)))</f>
        <v>43196</v>
      </c>
      <c r="T127" s="533" t="str">
        <f>VLOOKUP(B127,'Base de Datos'!$C$487:$AR$4129,41,0)</f>
        <v>SI</v>
      </c>
      <c r="U127" s="722"/>
      <c r="V127" s="634"/>
    </row>
    <row r="128" spans="2:22" ht="12" customHeight="1" outlineLevel="1" x14ac:dyDescent="0.25">
      <c r="B128" s="537">
        <v>195</v>
      </c>
      <c r="C128" s="533" t="str">
        <f>IF(ISERROR(VLOOKUP(B128,'Base de Datos'!$C$487:$F$4092,2,0))=TRUE,"",(VLOOKUP('Presupuesto - PAA 2018'!B128,'Base de Datos'!$C$7:$F$4092,3,0)))</f>
        <v>170059-0-2017</v>
      </c>
      <c r="D128" s="533" t="str">
        <f>IF(ISERROR(VLOOKUP(B128,'Base de Datos'!$C$487:$F$4092,3,0))=TRUE,"",(VLOOKUP('Presupuesto - PAA 2018'!B128,'Base de Datos'!$C$487:$F$4092,4,0)))</f>
        <v>HERNANDO BULLA ORJUELA</v>
      </c>
      <c r="E128" s="536">
        <f>VLOOKUP(B128,[7]PAA2017!$C$65:$AA$255,20,0)</f>
        <v>62000000</v>
      </c>
      <c r="F128" s="534" t="str">
        <f>VLOOKUP(B128,[8]SOLICITUDES!$B$3:$H$278,2,0)</f>
        <v>SI</v>
      </c>
      <c r="G128" s="534"/>
      <c r="H128" s="534"/>
      <c r="I128" s="534"/>
      <c r="J128" s="536">
        <f>IF(ISERROR(VLOOKUP(B128,'Base de Datos'!$C$487:$N$4092,6,0))=TRUE,"Sin Celebrar",(VLOOKUP(B128,'Base de Datos'!$C$487:$N$4092,7,0)))</f>
        <v>34535000</v>
      </c>
      <c r="K128" s="600"/>
      <c r="L128" s="580" t="str">
        <f t="shared" si="11"/>
        <v xml:space="preserve"> </v>
      </c>
      <c r="M128" s="536"/>
      <c r="N128" s="536">
        <f t="shared" si="12"/>
        <v>27465000</v>
      </c>
      <c r="O128" s="719" t="str">
        <f>IF(ISERROR(VLOOKUP(B128,'Base de Datos'!$C$487:$K$1048576,7,0))=TRUE," ",(VLOOKUP(B128,'Base de Datos'!$C$487:$K$1048576,8,0)))</f>
        <v>SDH-SMINC-07-2017</v>
      </c>
      <c r="P128" s="551">
        <f>IF(ISERROR(VLOOKUP(B128,'Base de Datos'!$C$487:$N$4077,9,0))=TRUE," ",(VLOOKUP(B128,'Base de Datos'!$C$487:$N$4077,10,0)))</f>
        <v>42811</v>
      </c>
      <c r="Q128" s="737"/>
      <c r="R128" s="551">
        <f>IF(ISERROR(VLOOKUP(B128,'Base de Datos'!$C$487:$N$4077,10,0))=TRUE," ",(VLOOKUP(B128,'Base de Datos'!$C$487:$N$4077,11,0)))</f>
        <v>42831</v>
      </c>
      <c r="S128" s="551">
        <f>IF(ISERROR(VLOOKUP(B128,'Base de Datos'!$C$487:$N$4077,11,0))=TRUE," ",(VLOOKUP(B128,'Base de Datos'!$C$487:$N$4077,12,0)))</f>
        <v>43196</v>
      </c>
      <c r="T128" s="533" t="str">
        <f>VLOOKUP(B128,'Base de Datos'!$C$487:$AR$4129,41,0)</f>
        <v>SI</v>
      </c>
      <c r="U128" s="722"/>
      <c r="V128" s="634"/>
    </row>
    <row r="129" spans="2:22" outlineLevel="1" x14ac:dyDescent="0.25">
      <c r="B129" s="537">
        <v>196</v>
      </c>
      <c r="C129" s="533" t="str">
        <f>IF(ISERROR(VLOOKUP(B129,'Base de Datos'!$C$487:$F$4092,2,0))=TRUE,"",(VLOOKUP('Presupuesto - PAA 2018'!B129,'Base de Datos'!$C$7:$F$4092,3,0)))</f>
        <v>160150-0-2016</v>
      </c>
      <c r="D129" s="533" t="str">
        <f>IF(ISERROR(VLOOKUP(B129,'Base de Datos'!$C$487:$F$4092,3,0))=TRUE,"",(VLOOKUP('Presupuesto - PAA 2018'!B129,'Base de Datos'!$C$487:$F$4092,4,0)))</f>
        <v>UNION TEMPORAL GRANADINA SERACIS</v>
      </c>
      <c r="E129" s="536">
        <f>VLOOKUP(B129,[7]PAA2017!$C$65:$AA$255,20,0)</f>
        <v>7711363000</v>
      </c>
      <c r="F129" s="534" t="str">
        <f>VLOOKUP(B129,[8]SOLICITUDES!$B$3:$H$278,2,0)</f>
        <v>SI</v>
      </c>
      <c r="G129" s="534"/>
      <c r="H129" s="534"/>
      <c r="I129" s="534"/>
      <c r="J129" s="536">
        <f>IF(ISERROR(VLOOKUP(B129,'Base de Datos'!$C$487:$N$4092,6,0))=TRUE,"Sin Celebrar",(VLOOKUP(B129,'Base de Datos'!$C$487:$N$4092,7,0)))</f>
        <v>578014000</v>
      </c>
      <c r="K129" s="600"/>
      <c r="L129" s="580" t="str">
        <f t="shared" si="11"/>
        <v xml:space="preserve"> </v>
      </c>
      <c r="M129" s="536"/>
      <c r="N129" s="536">
        <f t="shared" si="12"/>
        <v>7133349000</v>
      </c>
      <c r="O129" s="719" t="str">
        <f>IF(ISERROR(VLOOKUP(B129,'Base de Datos'!$C$487:$K$1048576,7,0))=TRUE," ",(VLOOKUP(B129,'Base de Datos'!$C$487:$K$1048576,8,0)))</f>
        <v>SDH-LP-02-2017</v>
      </c>
      <c r="P129" s="551">
        <f>IF(ISERROR(VLOOKUP(B129,'Base de Datos'!$C$487:$N$4077,9,0))=TRUE," ",(VLOOKUP(B129,'Base de Datos'!$C$487:$N$4077,10,0)))</f>
        <v>42929</v>
      </c>
      <c r="Q129" s="737"/>
      <c r="R129" s="551">
        <f>IF(ISERROR(VLOOKUP(B129,'Base de Datos'!$C$487:$N$4077,10,0))=TRUE," ",(VLOOKUP(B129,'Base de Datos'!$C$487:$N$4077,11,0)))</f>
        <v>42933</v>
      </c>
      <c r="S129" s="551">
        <f>IF(ISERROR(VLOOKUP(B129,'Base de Datos'!$C$487:$N$4077,11,0))=TRUE," ",(VLOOKUP(B129,'Base de Datos'!$C$487:$N$4077,12,0)))</f>
        <v>43117</v>
      </c>
      <c r="T129" s="533" t="str">
        <f>VLOOKUP(B129,'Base de Datos'!$C$487:$AR$4129,41,0)</f>
        <v>SI</v>
      </c>
      <c r="U129" s="722"/>
      <c r="V129" s="634"/>
    </row>
    <row r="130" spans="2:22" ht="24" outlineLevel="1" x14ac:dyDescent="0.25">
      <c r="B130" s="537">
        <v>198</v>
      </c>
      <c r="C130" s="533" t="str">
        <f>IF(ISERROR(VLOOKUP(B130,'Base de Datos'!$C$487:$F$4092,2,0))=TRUE,"",(VLOOKUP('Presupuesto - PAA 2018'!B130,'Base de Datos'!$C$7:$F$4092,3,0)))</f>
        <v>160161-0-2016</v>
      </c>
      <c r="D130" s="533" t="str">
        <f>IF(ISERROR(VLOOKUP(B130,'Base de Datos'!$C$487:$F$4092,3,0))=TRUE,"",(VLOOKUP('Presupuesto - PAA 2018'!B130,'Base de Datos'!$C$487:$F$4092,4,0)))</f>
        <v>SOLUCIONES Y DIAGNÓSTICOS EN INGENIERÍA ELÉCTRICA LTDA</v>
      </c>
      <c r="E130" s="536">
        <f>VLOOKUP(B130,[7]PAA2017!$C$65:$AA$255,20,0)</f>
        <v>71000000</v>
      </c>
      <c r="F130" s="534" t="str">
        <f>VLOOKUP(B130,[8]SOLICITUDES!$B$3:$H$278,2,0)</f>
        <v>SI</v>
      </c>
      <c r="G130" s="534"/>
      <c r="H130" s="534"/>
      <c r="I130" s="534"/>
      <c r="J130" s="536">
        <f>IF(ISERROR(VLOOKUP(B130,'Base de Datos'!$C$487:$N$4092,6,0))=TRUE,"Sin Celebrar",(VLOOKUP(B130,'Base de Datos'!$C$487:$N$4092,7,0)))</f>
        <v>10473600</v>
      </c>
      <c r="K130" s="600"/>
      <c r="L130" s="580" t="str">
        <f t="shared" si="11"/>
        <v xml:space="preserve"> </v>
      </c>
      <c r="M130" s="536"/>
      <c r="N130" s="536">
        <f t="shared" si="12"/>
        <v>60526400</v>
      </c>
      <c r="O130" s="719" t="str">
        <f>IF(ISERROR(VLOOKUP(B130,'Base de Datos'!$C$487:$K$1048576,7,0))=TRUE," ",(VLOOKUP(B130,'Base de Datos'!$C$487:$K$1048576,8,0)))</f>
        <v>SDH-SMINC-10-2017</v>
      </c>
      <c r="P130" s="551">
        <f>IF(ISERROR(VLOOKUP(B130,'Base de Datos'!$C$487:$N$4077,9,0))=TRUE," ",(VLOOKUP(B130,'Base de Datos'!$C$487:$N$4077,10,0)))</f>
        <v>42823</v>
      </c>
      <c r="Q130" s="737"/>
      <c r="R130" s="551">
        <f>IF(ISERROR(VLOOKUP(B130,'Base de Datos'!$C$487:$N$4077,10,0))=TRUE," ",(VLOOKUP(B130,'Base de Datos'!$C$487:$N$4077,11,0)))</f>
        <v>42857</v>
      </c>
      <c r="S130" s="551">
        <f>IF(ISERROR(VLOOKUP(B130,'Base de Datos'!$C$487:$N$4077,11,0))=TRUE," ",(VLOOKUP(B130,'Base de Datos'!$C$487:$N$4077,12,0)))</f>
        <v>43161</v>
      </c>
      <c r="T130" s="533" t="str">
        <f>VLOOKUP(B130,'Base de Datos'!$C$487:$AR$4129,41,0)</f>
        <v>SI</v>
      </c>
      <c r="U130" s="722"/>
      <c r="V130" s="634"/>
    </row>
    <row r="131" spans="2:22" ht="9.75" customHeight="1" outlineLevel="1" x14ac:dyDescent="0.25">
      <c r="B131" s="537">
        <v>199</v>
      </c>
      <c r="C131" s="533" t="str">
        <f>IF(ISERROR(VLOOKUP(B131,'Base de Datos'!$C$487:$F$4092,2,0))=TRUE,"",(VLOOKUP('Presupuesto - PAA 2018'!B131,'Base de Datos'!$C$7:$F$4092,3,0)))</f>
        <v>160228-0-2016</v>
      </c>
      <c r="D131" s="533" t="str">
        <f>IF(ISERROR(VLOOKUP(B131,'Base de Datos'!$C$487:$F$4092,3,0))=TRUE,"",(VLOOKUP('Presupuesto - PAA 2018'!B131,'Base de Datos'!$C$487:$F$4092,4,0)))</f>
        <v>MITSUBISHI ELECTRIC DE COLOMBIA LTDA</v>
      </c>
      <c r="E131" s="536">
        <f>VLOOKUP(B131,[7]PAA2017!$C$65:$AA$255,20,0)</f>
        <v>52000000</v>
      </c>
      <c r="F131" s="534" t="e">
        <f>VLOOKUP(B131,[8]SOLICITUDES!$B$3:$H$278,2,0)</f>
        <v>#N/A</v>
      </c>
      <c r="G131" s="534"/>
      <c r="H131" s="534"/>
      <c r="I131" s="534"/>
      <c r="J131" s="536">
        <f>IF(ISERROR(VLOOKUP(B131,'Base de Datos'!$C$487:$N$4092,6,0))=TRUE,"Sin Celebrar",(VLOOKUP(B131,'Base de Datos'!$C$487:$N$4092,7,0)))</f>
        <v>15000000</v>
      </c>
      <c r="K131" s="600"/>
      <c r="L131" s="580" t="str">
        <f t="shared" si="11"/>
        <v xml:space="preserve"> </v>
      </c>
      <c r="M131" s="536"/>
      <c r="N131" s="536">
        <f t="shared" si="12"/>
        <v>37000000</v>
      </c>
      <c r="O131" s="719" t="str">
        <f>IF(ISERROR(VLOOKUP(B131,'Base de Datos'!$C$487:$K$1048576,7,0))=TRUE," ",(VLOOKUP(B131,'Base de Datos'!$C$487:$K$1048576,8,0)))</f>
        <v>170164-0-2017</v>
      </c>
      <c r="P131" s="551">
        <f>IF(ISERROR(VLOOKUP(B131,'Base de Datos'!$C$487:$N$4077,9,0))=TRUE," ",(VLOOKUP(B131,'Base de Datos'!$C$487:$N$4077,10,0)))</f>
        <v>42906</v>
      </c>
      <c r="Q131" s="737"/>
      <c r="R131" s="551">
        <f>IF(ISERROR(VLOOKUP(B131,'Base de Datos'!$C$487:$N$4077,10,0))=TRUE," ",(VLOOKUP(B131,'Base de Datos'!$C$487:$N$4077,11,0)))</f>
        <v>42948</v>
      </c>
      <c r="S131" s="551">
        <f>IF(ISERROR(VLOOKUP(B131,'Base de Datos'!$C$487:$N$4077,11,0))=TRUE," ",(VLOOKUP(B131,'Base de Datos'!$C$487:$N$4077,12,0)))</f>
        <v>43236</v>
      </c>
      <c r="T131" s="533" t="str">
        <f>VLOOKUP(B131,'Base de Datos'!$C$487:$AR$4129,41,0)</f>
        <v>SI</v>
      </c>
      <c r="U131" s="722"/>
      <c r="V131" s="634"/>
    </row>
    <row r="132" spans="2:22" ht="14.25" customHeight="1" outlineLevel="1" x14ac:dyDescent="0.25">
      <c r="B132" s="537">
        <v>200</v>
      </c>
      <c r="C132" s="533" t="str">
        <f>IF(ISERROR(VLOOKUP(B132,'Base de Datos'!$C$487:$F$4092,2,0))=TRUE,"",(VLOOKUP('Presupuesto - PAA 2018'!B132,'Base de Datos'!$C$7:$F$4092,3,0)))</f>
        <v>170161-0-2017</v>
      </c>
      <c r="D132" s="533" t="str">
        <f>IF(ISERROR(VLOOKUP(B132,'Base de Datos'!$C$487:$F$4092,3,0))=TRUE,"",(VLOOKUP('Presupuesto - PAA 2018'!B132,'Base de Datos'!$C$487:$F$4092,4,0)))</f>
        <v>INGENIERIA DE BOMBAS Y PLANTAS LIMITADA</v>
      </c>
      <c r="E132" s="536">
        <f>VLOOKUP(B132,[7]PAA2017!$C$65:$AA$255,20,0)</f>
        <v>71000000</v>
      </c>
      <c r="F132" s="534" t="e">
        <f>VLOOKUP(B132,[8]SOLICITUDES!$B$3:$H$278,2,0)</f>
        <v>#N/A</v>
      </c>
      <c r="G132" s="534"/>
      <c r="H132" s="534"/>
      <c r="I132" s="534"/>
      <c r="J132" s="536">
        <f>IF(ISERROR(VLOOKUP(B132,'Base de Datos'!$C$487:$N$4092,6,0))=TRUE,"Sin Celebrar",(VLOOKUP(B132,'Base de Datos'!$C$487:$N$4092,7,0)))</f>
        <v>4491000</v>
      </c>
      <c r="K132" s="600"/>
      <c r="L132" s="580" t="str">
        <f t="shared" si="11"/>
        <v xml:space="preserve"> </v>
      </c>
      <c r="M132" s="536"/>
      <c r="N132" s="536">
        <f t="shared" si="12"/>
        <v>66509000</v>
      </c>
      <c r="O132" s="719" t="str">
        <f>IF(ISERROR(VLOOKUP(B132,'Base de Datos'!$C$487:$K$1048576,7,0))=TRUE," ",(VLOOKUP(B132,'Base de Datos'!$C$487:$K$1048576,8,0)))</f>
        <v>SDH-SMINC-17-2017</v>
      </c>
      <c r="P132" s="551">
        <f>IF(ISERROR(VLOOKUP(B132,'Base de Datos'!$C$487:$N$4077,9,0))=TRUE," ",(VLOOKUP(B132,'Base de Datos'!$C$487:$N$4077,10,0)))</f>
        <v>42894</v>
      </c>
      <c r="Q132" s="737"/>
      <c r="R132" s="551">
        <f>IF(ISERROR(VLOOKUP(B132,'Base de Datos'!$C$487:$N$4077,10,0))=TRUE," ",(VLOOKUP(B132,'Base de Datos'!$C$487:$N$4077,11,0)))</f>
        <v>42920</v>
      </c>
      <c r="S132" s="551">
        <f>IF(ISERROR(VLOOKUP(B132,'Base de Datos'!$C$487:$N$4077,11,0))=TRUE," ",(VLOOKUP(B132,'Base de Datos'!$C$487:$N$4077,12,0)))</f>
        <v>43255</v>
      </c>
      <c r="T132" s="533" t="str">
        <f>VLOOKUP(B132,'Base de Datos'!$C$487:$AR$4129,41,0)</f>
        <v>SI</v>
      </c>
      <c r="U132" s="722"/>
      <c r="V132" s="634"/>
    </row>
    <row r="133" spans="2:22" outlineLevel="1" x14ac:dyDescent="0.25">
      <c r="B133" s="537"/>
      <c r="C133" s="533" t="str">
        <f>IF(ISERROR(VLOOKUP(B133,'Base de Datos'!$C$487:$F$4092,2,0))=TRUE,"",(VLOOKUP('Presupuesto - PAA 2018'!B133,'Base de Datos'!$C$7:$F$4092,3,0)))</f>
        <v/>
      </c>
      <c r="D133" s="533" t="str">
        <f>IF(ISERROR(VLOOKUP(B133,'Base de Datos'!$C$487:$F$4092,3,0))=TRUE,"",(VLOOKUP('Presupuesto - PAA 2018'!B133,'Base de Datos'!$C$487:$F$4092,4,0)))</f>
        <v/>
      </c>
      <c r="E133" s="536" t="e">
        <f>VLOOKUP(B133,[7]PAA2017!$C$65:$AA$255,20,0)</f>
        <v>#N/A</v>
      </c>
      <c r="F133" s="534" t="e">
        <f>VLOOKUP(B133,[8]SOLICITUDES!$B$3:$H$278,2,0)</f>
        <v>#N/A</v>
      </c>
      <c r="G133" s="534"/>
      <c r="H133" s="534"/>
      <c r="I133" s="534"/>
      <c r="J133" s="536" t="str">
        <f>IF(ISERROR(VLOOKUP(B133,'Base de Datos'!$C$487:$N$4092,6,0))=TRUE,"Sin Celebrar",(VLOOKUP(B133,'Base de Datos'!$C$487:$N$4092,7,0)))</f>
        <v>Sin Celebrar</v>
      </c>
      <c r="K133" s="600"/>
      <c r="L133" s="580" t="e">
        <f t="shared" si="11"/>
        <v>#N/A</v>
      </c>
      <c r="M133" s="536"/>
      <c r="N133" s="536" t="e">
        <f t="shared" si="12"/>
        <v>#N/A</v>
      </c>
      <c r="O133" s="719" t="str">
        <f>IF(ISERROR(VLOOKUP(B133,'Base de Datos'!$C$487:$K$1048576,7,0))=TRUE," ",(VLOOKUP(B133,'Base de Datos'!$C$487:$K$1048576,8,0)))</f>
        <v xml:space="preserve"> </v>
      </c>
      <c r="P133" s="551" t="str">
        <f>IF(ISERROR(VLOOKUP(B133,'Base de Datos'!$C$487:$N$4077,9,0))=TRUE," ",(VLOOKUP(B133,'Base de Datos'!$C$487:$N$4077,10,0)))</f>
        <v xml:space="preserve"> </v>
      </c>
      <c r="Q133" s="737"/>
      <c r="R133" s="551" t="str">
        <f>IF(ISERROR(VLOOKUP(B133,'Base de Datos'!$C$487:$N$4077,10,0))=TRUE," ",(VLOOKUP(B133,'Base de Datos'!$C$487:$N$4077,11,0)))</f>
        <v xml:space="preserve"> </v>
      </c>
      <c r="S133" s="551" t="str">
        <f>IF(ISERROR(VLOOKUP(B133,'Base de Datos'!$C$487:$N$4077,11,0))=TRUE," ",(VLOOKUP(B133,'Base de Datos'!$C$487:$N$4077,12,0)))</f>
        <v xml:space="preserve"> </v>
      </c>
      <c r="T133" s="533" t="e">
        <f>VLOOKUP(B133,'Base de Datos'!$C$487:$AR$4129,41,0)</f>
        <v>#N/A</v>
      </c>
      <c r="U133" s="722"/>
      <c r="V133" s="634"/>
    </row>
    <row r="134" spans="2:22" outlineLevel="1" x14ac:dyDescent="0.25">
      <c r="B134" s="552"/>
      <c r="C134" s="533" t="str">
        <f>IF(ISERROR(VLOOKUP(B134,'Base de Datos'!$C$487:$F$4092,2,0))=TRUE,"",(VLOOKUP('Presupuesto - PAA 2018'!B134,'Base de Datos'!$C$7:$F$4092,3,0)))</f>
        <v/>
      </c>
      <c r="D134" s="533" t="str">
        <f>IF(ISERROR(VLOOKUP(B134,'Base de Datos'!$C$487:$F$4092,3,0))=TRUE,"",(VLOOKUP('Presupuesto - PAA 2018'!B134,'Base de Datos'!$C$487:$F$4092,4,0)))</f>
        <v/>
      </c>
      <c r="E134" s="536" t="e">
        <f>VLOOKUP(B134,[7]PAA2017!$C$65:$AA$255,20,0)</f>
        <v>#N/A</v>
      </c>
      <c r="F134" s="534" t="e">
        <f>VLOOKUP(B134,[8]SOLICITUDES!$B$3:$H$278,2,0)</f>
        <v>#N/A</v>
      </c>
      <c r="G134" s="534"/>
      <c r="H134" s="534"/>
      <c r="I134" s="534"/>
      <c r="J134" s="536" t="str">
        <f>IF(ISERROR(VLOOKUP(B134,'Base de Datos'!$C$487:$N$4092,6,0))=TRUE,"Sin Celebrar",(VLOOKUP(B134,'Base de Datos'!$C$487:$N$4092,7,0)))</f>
        <v>Sin Celebrar</v>
      </c>
      <c r="K134" s="600"/>
      <c r="L134" s="580" t="e">
        <f t="shared" si="11"/>
        <v>#N/A</v>
      </c>
      <c r="M134" s="536"/>
      <c r="N134" s="536" t="e">
        <f t="shared" si="12"/>
        <v>#N/A</v>
      </c>
      <c r="O134" s="719" t="str">
        <f>IF(ISERROR(VLOOKUP(B134,'Base de Datos'!$C$487:$K$1048576,7,0))=TRUE," ",(VLOOKUP(B134,'Base de Datos'!$C$487:$K$1048576,8,0)))</f>
        <v xml:space="preserve"> </v>
      </c>
      <c r="P134" s="551" t="str">
        <f>IF(ISERROR(VLOOKUP(B134,'Base de Datos'!$C$487:$N$4077,9,0))=TRUE," ",(VLOOKUP(B134,'Base de Datos'!$C$487:$N$4077,10,0)))</f>
        <v xml:space="preserve"> </v>
      </c>
      <c r="Q134" s="737"/>
      <c r="R134" s="551" t="str">
        <f>IF(ISERROR(VLOOKUP(B134,'Base de Datos'!$C$487:$N$4077,10,0))=TRUE," ",(VLOOKUP(B134,'Base de Datos'!$C$487:$N$4077,11,0)))</f>
        <v xml:space="preserve"> </v>
      </c>
      <c r="S134" s="551" t="str">
        <f>IF(ISERROR(VLOOKUP(B134,'Base de Datos'!$C$487:$N$4077,11,0))=TRUE," ",(VLOOKUP(B134,'Base de Datos'!$C$487:$N$4077,12,0)))</f>
        <v xml:space="preserve"> </v>
      </c>
      <c r="T134" s="533" t="e">
        <f>VLOOKUP(B134,'Base de Datos'!$C$487:$AR$4129,41,0)</f>
        <v>#N/A</v>
      </c>
      <c r="U134" s="722"/>
      <c r="V134" s="634"/>
    </row>
    <row r="135" spans="2:22" outlineLevel="1" x14ac:dyDescent="0.25">
      <c r="B135" s="552"/>
      <c r="C135" s="533" t="str">
        <f>IF(ISERROR(VLOOKUP(B135,'Base de Datos'!$C$487:$F$4092,2,0))=TRUE,"",(VLOOKUP('Presupuesto - PAA 2018'!B135,'Base de Datos'!$C$7:$F$4092,3,0)))</f>
        <v/>
      </c>
      <c r="D135" s="533" t="str">
        <f>IF(ISERROR(VLOOKUP(B135,'Base de Datos'!$C$487:$F$4092,3,0))=TRUE,"",(VLOOKUP('Presupuesto - PAA 2018'!B135,'Base de Datos'!$C$487:$F$4092,4,0)))</f>
        <v/>
      </c>
      <c r="E135" s="536" t="e">
        <f>VLOOKUP(B135,[7]PAA2017!$C$65:$AA$255,20,0)</f>
        <v>#N/A</v>
      </c>
      <c r="F135" s="534" t="e">
        <f>VLOOKUP(B135,[8]SOLICITUDES!$B$3:$H$278,2,0)</f>
        <v>#N/A</v>
      </c>
      <c r="G135" s="534"/>
      <c r="H135" s="534"/>
      <c r="I135" s="534"/>
      <c r="J135" s="536" t="str">
        <f>IF(ISERROR(VLOOKUP(B135,'Base de Datos'!$C$487:$N$4092,6,0))=TRUE,"Sin Celebrar",(VLOOKUP(B135,'Base de Datos'!$C$487:$N$4092,7,0)))</f>
        <v>Sin Celebrar</v>
      </c>
      <c r="K135" s="600"/>
      <c r="L135" s="580" t="e">
        <f t="shared" si="11"/>
        <v>#N/A</v>
      </c>
      <c r="M135" s="536"/>
      <c r="N135" s="536" t="e">
        <f t="shared" si="12"/>
        <v>#N/A</v>
      </c>
      <c r="O135" s="719" t="str">
        <f>IF(ISERROR(VLOOKUP(B135,'Base de Datos'!$C$487:$K$1048576,7,0))=TRUE," ",(VLOOKUP(B135,'Base de Datos'!$C$487:$K$1048576,8,0)))</f>
        <v xml:space="preserve"> </v>
      </c>
      <c r="P135" s="551" t="str">
        <f>IF(ISERROR(VLOOKUP(B135,'Base de Datos'!$C$487:$N$4077,9,0))=TRUE," ",(VLOOKUP(B135,'Base de Datos'!$C$487:$N$4077,10,0)))</f>
        <v xml:space="preserve"> </v>
      </c>
      <c r="Q135" s="737"/>
      <c r="R135" s="551" t="str">
        <f>IF(ISERROR(VLOOKUP(B135,'Base de Datos'!$C$487:$N$4077,10,0))=TRUE," ",(VLOOKUP(B135,'Base de Datos'!$C$487:$N$4077,11,0)))</f>
        <v xml:space="preserve"> </v>
      </c>
      <c r="S135" s="551" t="str">
        <f>IF(ISERROR(VLOOKUP(B135,'Base de Datos'!$C$487:$N$4077,11,0))=TRUE," ",(VLOOKUP(B135,'Base de Datos'!$C$487:$N$4077,12,0)))</f>
        <v xml:space="preserve"> </v>
      </c>
      <c r="T135" s="533" t="e">
        <f>VLOOKUP(B135,'Base de Datos'!$C$487:$AR$4129,41,0)</f>
        <v>#N/A</v>
      </c>
      <c r="U135" s="722"/>
      <c r="V135" s="634"/>
    </row>
    <row r="136" spans="2:22" outlineLevel="1" x14ac:dyDescent="0.25">
      <c r="B136" s="552"/>
      <c r="C136" s="553"/>
      <c r="D136" s="553" t="s">
        <v>1935</v>
      </c>
      <c r="E136" s="536" t="e">
        <f>E117-SUM(E119:E135)</f>
        <v>#N/A</v>
      </c>
      <c r="F136" s="555"/>
      <c r="G136" s="555"/>
      <c r="H136" s="555"/>
      <c r="I136" s="555"/>
      <c r="J136" s="554"/>
      <c r="K136" s="604"/>
      <c r="L136" s="554"/>
      <c r="M136" s="554"/>
      <c r="N136" s="554" t="e">
        <f>IF(J136&lt;E136,(E136-J136)," ")</f>
        <v>#N/A</v>
      </c>
      <c r="O136" s="679"/>
      <c r="P136" s="551" t="str">
        <f>IF(ISERROR(VLOOKUP(B136,'Base de Datos'!$C$7:$N$315,9,0))=TRUE," ",(VLOOKUP(B136,'Base de Datos'!$C$7:$N$315,9,0)))</f>
        <v xml:space="preserve"> </v>
      </c>
      <c r="Q136" s="553"/>
      <c r="R136" s="556" t="str">
        <f>IF(ISERROR(VLOOKUP(B136,'Base de Datos'!$C$7:$N$4077,10,0))=TRUE," ",(VLOOKUP(B136,'Base de Datos'!$C$7:$N$4077,10,0)))</f>
        <v xml:space="preserve"> </v>
      </c>
      <c r="S136" s="556" t="str">
        <f>IF(ISERROR(VLOOKUP(B136,'Base de Datos'!$C$7:$N$4077,11,0))=TRUE," ",(VLOOKUP(B136,'Base de Datos'!$C$7:$N$4077,11,0)))</f>
        <v xml:space="preserve"> </v>
      </c>
      <c r="T136" s="533"/>
      <c r="U136" s="722"/>
      <c r="V136" s="634"/>
    </row>
    <row r="137" spans="2:22" outlineLevel="1" x14ac:dyDescent="0.25">
      <c r="B137" s="648"/>
      <c r="C137" s="648"/>
      <c r="D137" s="648"/>
      <c r="E137" s="536"/>
      <c r="F137" s="534"/>
      <c r="G137" s="534"/>
      <c r="H137" s="534"/>
      <c r="I137" s="534"/>
      <c r="J137" s="536"/>
      <c r="K137" s="600"/>
      <c r="L137" s="536"/>
      <c r="M137" s="536"/>
      <c r="N137" s="536"/>
      <c r="O137" s="678"/>
      <c r="P137" s="551"/>
      <c r="Q137" s="533"/>
      <c r="R137" s="551"/>
      <c r="S137" s="551"/>
      <c r="T137" s="533"/>
      <c r="U137" s="722"/>
      <c r="V137" s="634"/>
    </row>
    <row r="138" spans="2:22" outlineLevel="1" x14ac:dyDescent="0.25">
      <c r="B138" s="648"/>
      <c r="C138" s="648"/>
      <c r="D138" s="648"/>
      <c r="E138" s="536"/>
      <c r="F138" s="534"/>
      <c r="G138" s="534"/>
      <c r="H138" s="534"/>
      <c r="I138" s="534"/>
      <c r="J138" s="536"/>
      <c r="K138" s="600"/>
      <c r="L138" s="536"/>
      <c r="M138" s="536"/>
      <c r="N138" s="536"/>
      <c r="O138" s="678"/>
      <c r="P138" s="551"/>
      <c r="Q138" s="533"/>
      <c r="R138" s="551"/>
      <c r="S138" s="551"/>
      <c r="T138" s="533"/>
      <c r="U138" s="722"/>
      <c r="V138" s="634"/>
    </row>
    <row r="139" spans="2:22" ht="15" customHeight="1" x14ac:dyDescent="0.25">
      <c r="B139" s="1196" t="s">
        <v>1656</v>
      </c>
      <c r="C139" s="1196"/>
      <c r="D139" s="1196"/>
      <c r="E139" s="557">
        <v>1513500000</v>
      </c>
      <c r="F139" s="558">
        <f>COUNTIF('Actualizada - presupuesto'!$E$7:$E$111,B139)</f>
        <v>0</v>
      </c>
      <c r="G139" s="558"/>
      <c r="H139" s="558"/>
      <c r="I139" s="558"/>
      <c r="J139" s="567">
        <v>1306122735</v>
      </c>
      <c r="K139" s="609">
        <f>J139/E139</f>
        <v>0.86298165510406344</v>
      </c>
      <c r="L139" s="567">
        <f>+L140+L147+L154</f>
        <v>190346405</v>
      </c>
      <c r="M139" s="567"/>
      <c r="N139" s="567">
        <f>+N140+N147+N154</f>
        <v>205289766</v>
      </c>
      <c r="O139" s="685"/>
      <c r="P139" s="573" t="str">
        <f>IF(ISERROR(VLOOKUP(B139,'Base de Datos'!$C$7:$N$315,8,0))=TRUE," ",(VLOOKUP(B139,'Base de Datos'!$C$7:$N$315,8,0)))</f>
        <v xml:space="preserve"> </v>
      </c>
      <c r="Q139" s="574"/>
      <c r="R139" s="573" t="str">
        <f>IF(ISERROR(VLOOKUP(B139,'Base de Datos'!$C$7:$N$315,9,0))=TRUE," ",(VLOOKUP(B139,'Base de Datos'!$C$7:$N$315,9,0)))</f>
        <v xml:space="preserve"> </v>
      </c>
      <c r="S139" s="573" t="str">
        <f>IF(ISERROR(VLOOKUP(B139,'Base de Datos'!$C$7:$N$315,10,0))=TRUE," ",(VLOOKUP(B139,'Base de Datos'!$C$7:$N$315,10,0)))</f>
        <v xml:space="preserve"> </v>
      </c>
      <c r="T139" s="569"/>
      <c r="U139" s="722"/>
      <c r="V139" s="634"/>
    </row>
    <row r="140" spans="2:22" ht="15" customHeight="1" x14ac:dyDescent="0.25">
      <c r="B140" s="1181" t="s">
        <v>1657</v>
      </c>
      <c r="C140" s="1181"/>
      <c r="D140" s="1181"/>
      <c r="E140" s="581">
        <v>205193000</v>
      </c>
      <c r="F140" s="586">
        <f>COUNTIF('Actualizada - presupuesto'!$E$7:$E$111,B140)</f>
        <v>2</v>
      </c>
      <c r="G140" s="586"/>
      <c r="H140" s="586"/>
      <c r="I140" s="586"/>
      <c r="J140" s="733">
        <v>188702234</v>
      </c>
      <c r="K140" s="603">
        <f>J140/E140</f>
        <v>0.91963290170717327</v>
      </c>
      <c r="L140" s="581">
        <f>SUM(L142:L145)</f>
        <v>0</v>
      </c>
      <c r="M140" s="581"/>
      <c r="N140" s="581">
        <f>+E140-J140-L140</f>
        <v>16490766</v>
      </c>
      <c r="O140" s="684"/>
      <c r="P140" s="591" t="str">
        <f>IF(ISERROR(VLOOKUP(B140,'Base de Datos'!$C$7:$N$315,8,0))=TRUE," ",(VLOOKUP(B140,'Base de Datos'!$C$7:$N$315,8,0)))</f>
        <v xml:space="preserve"> </v>
      </c>
      <c r="Q140" s="592"/>
      <c r="R140" s="591" t="str">
        <f>IF(ISERROR(VLOOKUP(B140,'Base de Datos'!$C$7:$N$315,9,0))=TRUE," ",(VLOOKUP(B140,'Base de Datos'!$C$7:$N$315,9,0)))</f>
        <v xml:space="preserve"> </v>
      </c>
      <c r="S140" s="591" t="str">
        <f>IF(ISERROR(VLOOKUP(B140,'Base de Datos'!$C$7:$N$315,10,0))=TRUE," ",(VLOOKUP(B140,'Base de Datos'!$C$7:$N$315,10,0)))</f>
        <v xml:space="preserve"> </v>
      </c>
      <c r="T140" s="592"/>
      <c r="U140" s="722"/>
      <c r="V140" s="634"/>
    </row>
    <row r="141" spans="2:22" ht="24" outlineLevel="1" x14ac:dyDescent="0.25">
      <c r="B141" s="537" t="s">
        <v>1693</v>
      </c>
      <c r="C141" s="537" t="s">
        <v>912</v>
      </c>
      <c r="D141" s="537" t="s">
        <v>1822</v>
      </c>
      <c r="E141" s="545" t="s">
        <v>1846</v>
      </c>
      <c r="F141" s="534" t="s">
        <v>1853</v>
      </c>
      <c r="G141" s="534"/>
      <c r="H141" s="534"/>
      <c r="I141" s="534"/>
      <c r="J141" s="537" t="s">
        <v>1845</v>
      </c>
      <c r="K141" s="652"/>
      <c r="L141" s="537" t="s">
        <v>1939</v>
      </c>
      <c r="M141" s="537"/>
      <c r="N141" s="537" t="s">
        <v>1940</v>
      </c>
      <c r="O141" s="677"/>
      <c r="P141" s="568" t="s">
        <v>1847</v>
      </c>
      <c r="Q141" s="537" t="s">
        <v>1848</v>
      </c>
      <c r="R141" s="537" t="s">
        <v>1849</v>
      </c>
      <c r="S141" s="537" t="s">
        <v>375</v>
      </c>
      <c r="T141" s="537" t="s">
        <v>1850</v>
      </c>
      <c r="U141" s="722"/>
      <c r="V141" s="634"/>
    </row>
    <row r="142" spans="2:22" ht="20.25" customHeight="1" outlineLevel="1" x14ac:dyDescent="0.25">
      <c r="B142" s="537">
        <v>203</v>
      </c>
      <c r="C142" s="533" t="str">
        <f>IF(ISERROR(VLOOKUP(B142,'Base de Datos'!$C$487:$F$4092,2,0))=TRUE,"",(VLOOKUP('Presupuesto - PAA 2018'!B142,'Base de Datos'!$C$7:$F$4092,3,0)))</f>
        <v>160269-0-2016</v>
      </c>
      <c r="D142" s="533" t="str">
        <f>IF(ISERROR(VLOOKUP(B142,'Base de Datos'!$C$487:$F$4092,3,0))=TRUE,"",(VLOOKUP('Presupuesto - PAA 2018'!B142,'Base de Datos'!$C$487:$F$4092,4,0)))</f>
        <v>PATRICIA VILLEGAS RODRIGUEZ</v>
      </c>
      <c r="E142" s="536">
        <f>VLOOKUP(B142,[7]PAA2017!$C$65:$AA$255,20,0)</f>
        <v>10000000</v>
      </c>
      <c r="F142" s="534" t="e">
        <f>VLOOKUP(B142,[8]SOLICITUDES!$B$3:$H$278,2,0)</f>
        <v>#N/A</v>
      </c>
      <c r="G142" s="534"/>
      <c r="H142" s="534"/>
      <c r="I142" s="534"/>
      <c r="J142" s="536">
        <f>IF(ISERROR(VLOOKUP(B142,'Base de Datos'!$C$487:$N$4092,6,0))=TRUE,"Sin Celebrar",(VLOOKUP(B142,'Base de Datos'!$C$487:$N$4092,7,0)))</f>
        <v>24273392</v>
      </c>
      <c r="K142" s="600"/>
      <c r="L142" s="580" t="str">
        <f>IF(J142=$AA$1,E142, " ")</f>
        <v xml:space="preserve"> </v>
      </c>
      <c r="M142" s="536"/>
      <c r="N142" s="536" t="str">
        <f>IF(J142&lt;E142,(E142-J142)," ")</f>
        <v xml:space="preserve"> </v>
      </c>
      <c r="O142" s="719" t="str">
        <f>IF(ISERROR(VLOOKUP(B142,'Base de Datos'!$C$487:$K$1048576,7,0))=TRUE," ",(VLOOKUP(B142,'Base de Datos'!$C$487:$K$1048576,8,0)))</f>
        <v>SDH-CD-74-2018</v>
      </c>
      <c r="P142" s="551">
        <f>IF(ISERROR(VLOOKUP(B142,'Base de Datos'!$C$487:$N$4077,9,0))=TRUE," ",(VLOOKUP(B142,'Base de Datos'!$C$487:$N$4077,10,0)))</f>
        <v>43381</v>
      </c>
      <c r="Q142" s="737"/>
      <c r="R142" s="551">
        <f>IF(ISERROR(VLOOKUP(B142,'Base de Datos'!$C$487:$N$4077,10,0))=TRUE," ",(VLOOKUP(B142,'Base de Datos'!$C$487:$N$4077,11,0)))</f>
        <v>43389</v>
      </c>
      <c r="S142" s="551">
        <f>IF(ISERROR(VLOOKUP(B142,'Base de Datos'!$C$487:$N$4077,11,0))=TRUE," ",(VLOOKUP(B142,'Base de Datos'!$C$487:$N$4077,12,0)))</f>
        <v>43496</v>
      </c>
      <c r="T142" s="533" t="str">
        <f>VLOOKUP(B142,'Base de Datos'!$C$487:$AR$4129,41,0)</f>
        <v>SI</v>
      </c>
      <c r="U142" s="722"/>
      <c r="V142" s="634"/>
    </row>
    <row r="143" spans="2:22" ht="11.25" customHeight="1" outlineLevel="1" x14ac:dyDescent="0.25">
      <c r="B143" s="552">
        <v>204</v>
      </c>
      <c r="C143" s="533" t="str">
        <f>IF(ISERROR(VLOOKUP(B143,'Base de Datos'!$C$487:$F$4092,2,0))=TRUE,"",(VLOOKUP('Presupuesto - PAA 2018'!B143,'Base de Datos'!$C$7:$F$4092,3,0)))</f>
        <v>190086-0-2019</v>
      </c>
      <c r="D143" s="533" t="str">
        <f>IF(ISERROR(VLOOKUP(B143,'Base de Datos'!$C$487:$F$4092,3,0))=TRUE,"",(VLOOKUP('Presupuesto - PAA 2018'!B143,'Base de Datos'!$C$487:$F$4092,4,0)))</f>
        <v xml:space="preserve">ANDREA PAOLA MELENDEZ PINEDA </v>
      </c>
      <c r="E143" s="536">
        <f>VLOOKUP(B143,[7]PAA2017!$C$65:$AA$255,20,0)</f>
        <v>8217738000</v>
      </c>
      <c r="F143" s="534" t="e">
        <f>VLOOKUP(B143,[8]SOLICITUDES!$B$3:$H$278,2,0)</f>
        <v>#N/A</v>
      </c>
      <c r="G143" s="534"/>
      <c r="H143" s="534"/>
      <c r="I143" s="534"/>
      <c r="J143" s="536">
        <f>IF(ISERROR(VLOOKUP(B143,'Base de Datos'!$C$487:$N$4092,6,0))=TRUE,"Sin Celebrar",(VLOOKUP(B143,'Base de Datos'!$C$487:$N$4092,7,0)))</f>
        <v>38508000</v>
      </c>
      <c r="K143" s="600"/>
      <c r="L143" s="580" t="str">
        <f>IF(J143=$AA$1,E143, " ")</f>
        <v xml:space="preserve"> </v>
      </c>
      <c r="M143" s="536"/>
      <c r="N143" s="536">
        <f>IF(J143&lt;E143,(E143-J143)," ")</f>
        <v>8179230000</v>
      </c>
      <c r="O143" s="719" t="str">
        <f>IF(ISERROR(VLOOKUP(B143,'Base de Datos'!$C$487:$K$1048576,7,0))=TRUE," ",(VLOOKUP(B143,'Base de Datos'!$C$487:$K$1048576,8,0)))</f>
        <v>SDH-CD-44-2019</v>
      </c>
      <c r="P143" s="551">
        <f>IF(ISERROR(VLOOKUP(B143,'Base de Datos'!$C$487:$N$4077,9,0))=TRUE," ",(VLOOKUP(B143,'Base de Datos'!$C$487:$N$4077,10,0)))</f>
        <v>43500</v>
      </c>
      <c r="Q143" s="737"/>
      <c r="R143" s="551">
        <f>IF(ISERROR(VLOOKUP(B143,'Base de Datos'!$C$487:$N$4077,10,0))=TRUE," ",(VLOOKUP(B143,'Base de Datos'!$C$487:$N$4077,11,0)))</f>
        <v>43504</v>
      </c>
      <c r="S143" s="551">
        <f>IF(ISERROR(VLOOKUP(B143,'Base de Datos'!$C$487:$N$4077,11,0))=TRUE," ",(VLOOKUP(B143,'Base de Datos'!$C$487:$N$4077,12,0)))</f>
        <v>43641</v>
      </c>
      <c r="T143" s="533" t="str">
        <f>VLOOKUP(B143,'Base de Datos'!$C$487:$AR$4129,41,0)</f>
        <v>SI</v>
      </c>
      <c r="U143" s="722"/>
      <c r="V143" s="634"/>
    </row>
    <row r="144" spans="2:22" ht="36" outlineLevel="1" x14ac:dyDescent="0.25">
      <c r="B144" s="552">
        <v>205</v>
      </c>
      <c r="C144" s="533" t="str">
        <f>IF(ISERROR(VLOOKUP(B144,'Base de Datos'!$C$487:$F$4092,2,0))=TRUE,"",(VLOOKUP('Presupuesto - PAA 2018'!B144,'Base de Datos'!$C$7:$F$4092,3,0)))</f>
        <v>190121-0-2019</v>
      </c>
      <c r="D144" s="533" t="str">
        <f>IF(ISERROR(VLOOKUP(B144,'Base de Datos'!$C$487:$F$4092,3,0))=TRUE,"",(VLOOKUP('Presupuesto - PAA 2018'!B144,'Base de Datos'!$C$487:$F$4092,4,0)))</f>
        <v xml:space="preserve">DIANA CAROLINA RIVEROS BEJARANO  (Cesionaria) / ANA MARIA MONROY MORA (Antes)
</v>
      </c>
      <c r="E144" s="536">
        <f>VLOOKUP(B144,[7]PAA2017!$C$65:$AA$255,20,0)</f>
        <v>0</v>
      </c>
      <c r="F144" s="534" t="e">
        <f>VLOOKUP(B144,[8]SOLICITUDES!$B$3:$H$278,2,0)</f>
        <v>#N/A</v>
      </c>
      <c r="G144" s="534"/>
      <c r="H144" s="534"/>
      <c r="I144" s="534"/>
      <c r="J144" s="536">
        <f>IF(ISERROR(VLOOKUP(B144,'Base de Datos'!$C$487:$N$4092,6,0))=TRUE,"Sin Celebrar",(VLOOKUP(B144,'Base de Datos'!$C$487:$N$4092,7,0)))</f>
        <v>33666233</v>
      </c>
      <c r="K144" s="600"/>
      <c r="L144" s="580" t="str">
        <f>IF(J144=$AA$1,E144, " ")</f>
        <v xml:space="preserve"> </v>
      </c>
      <c r="M144" s="536"/>
      <c r="N144" s="536" t="str">
        <f>IF(J144&lt;E144,(E144-J144)," ")</f>
        <v xml:space="preserve"> </v>
      </c>
      <c r="O144" s="719" t="str">
        <f>IF(ISERROR(VLOOKUP(B144,'Base de Datos'!$C$487:$K$1048576,7,0))=TRUE," ",(VLOOKUP(B144,'Base de Datos'!$C$487:$K$1048576,8,0)))</f>
        <v>SDH-CD-46-2019</v>
      </c>
      <c r="P144" s="551">
        <f>IF(ISERROR(VLOOKUP(B144,'Base de Datos'!$C$487:$N$4077,9,0))=TRUE," ",(VLOOKUP(B144,'Base de Datos'!$C$487:$N$4077,10,0)))</f>
        <v>43501</v>
      </c>
      <c r="Q144" s="737"/>
      <c r="R144" s="551">
        <f>IF(ISERROR(VLOOKUP(B144,'Base de Datos'!$C$487:$N$4077,10,0))=TRUE," ",(VLOOKUP(B144,'Base de Datos'!$C$487:$N$4077,11,0)))</f>
        <v>43504</v>
      </c>
      <c r="S144" s="551">
        <f>IF(ISERROR(VLOOKUP(B144,'Base de Datos'!$C$487:$N$4077,11,0))=TRUE," ",(VLOOKUP(B144,'Base de Datos'!$C$487:$N$4077,12,0)))</f>
        <v>43641</v>
      </c>
      <c r="T144" s="533" t="str">
        <f>VLOOKUP(B144,'Base de Datos'!$C$487:$AR$4129,41,0)</f>
        <v>SI</v>
      </c>
      <c r="U144" s="722"/>
      <c r="V144" s="634"/>
    </row>
    <row r="145" spans="2:22" outlineLevel="1" x14ac:dyDescent="0.25">
      <c r="B145" s="648"/>
      <c r="C145" s="648"/>
      <c r="D145" s="533" t="s">
        <v>1935</v>
      </c>
      <c r="E145" s="536">
        <f>E140-SUM(E142:E144)</f>
        <v>-8022545000</v>
      </c>
      <c r="F145" s="534"/>
      <c r="G145" s="534"/>
      <c r="H145" s="534"/>
      <c r="I145" s="534"/>
      <c r="J145" s="536"/>
      <c r="K145" s="600"/>
      <c r="L145" s="536"/>
      <c r="M145" s="536"/>
      <c r="N145" s="554" t="str">
        <f>IF(J145&lt;E145,(E145-J145)," ")</f>
        <v xml:space="preserve"> </v>
      </c>
      <c r="O145" s="678"/>
      <c r="P145" s="551" t="str">
        <f>IF(ISERROR(VLOOKUP(B145,'Base de Datos'!$C$7:$N$315,9,0))=TRUE," ",(VLOOKUP(B145,'Base de Datos'!$C$7:$N$315,9,0)))</f>
        <v xml:space="preserve"> </v>
      </c>
      <c r="Q145" s="533"/>
      <c r="R145" s="556" t="str">
        <f>IF(ISERROR(VLOOKUP(B145,'Base de Datos'!$C$7:$N$315,10,0))=TRUE," ",(VLOOKUP(B145,'Base de Datos'!$C$7:$N$315,10,0)))</f>
        <v xml:space="preserve"> </v>
      </c>
      <c r="S145" s="556" t="str">
        <f>IF(ISERROR(VLOOKUP(B145,'Base de Datos'!$C$7:$N$315,11,0))=TRUE," ",(VLOOKUP(B145,'Base de Datos'!$C$7:$N$315,11,0)))</f>
        <v xml:space="preserve"> </v>
      </c>
      <c r="T145" s="533"/>
      <c r="U145" s="722"/>
      <c r="V145" s="634"/>
    </row>
    <row r="146" spans="2:22" outlineLevel="1" x14ac:dyDescent="0.25">
      <c r="B146" s="533"/>
      <c r="C146" s="533"/>
      <c r="D146" s="533"/>
      <c r="E146" s="536"/>
      <c r="F146" s="534"/>
      <c r="G146" s="534"/>
      <c r="H146" s="534"/>
      <c r="I146" s="534"/>
      <c r="J146" s="536"/>
      <c r="K146" s="600"/>
      <c r="L146" s="536"/>
      <c r="M146" s="536"/>
      <c r="N146" s="536"/>
      <c r="O146" s="678"/>
      <c r="P146" s="551"/>
      <c r="Q146" s="533"/>
      <c r="R146" s="551"/>
      <c r="S146" s="551"/>
      <c r="T146" s="533"/>
      <c r="U146" s="722"/>
      <c r="V146" s="634"/>
    </row>
    <row r="147" spans="2:22" ht="15" customHeight="1" x14ac:dyDescent="0.25">
      <c r="B147" s="1195" t="s">
        <v>1658</v>
      </c>
      <c r="C147" s="1195"/>
      <c r="D147" s="1195"/>
      <c r="E147" s="587">
        <v>227307000</v>
      </c>
      <c r="F147" s="588">
        <f>COUNTIF('Actualizada - presupuesto'!$E$7:$E$111,B147)</f>
        <v>2</v>
      </c>
      <c r="G147" s="588"/>
      <c r="H147" s="588"/>
      <c r="I147" s="588"/>
      <c r="J147" s="587">
        <f>SUM(J149:J151)</f>
        <v>38508000</v>
      </c>
      <c r="K147" s="607">
        <f>J147/E147</f>
        <v>0.16940965302432393</v>
      </c>
      <c r="L147" s="587">
        <f>SUM(L149:L151)</f>
        <v>0</v>
      </c>
      <c r="M147" s="587"/>
      <c r="N147" s="587">
        <f>+E147-J147-L147</f>
        <v>188799000</v>
      </c>
      <c r="O147" s="682"/>
      <c r="P147" s="589" t="str">
        <f>IF(ISERROR(VLOOKUP(B147,'Base de Datos'!$C$7:$N$315,8,0))=TRUE," ",(VLOOKUP(B147,'Base de Datos'!$C$7:$N$315,8,0)))</f>
        <v xml:space="preserve"> </v>
      </c>
      <c r="Q147" s="590"/>
      <c r="R147" s="589" t="str">
        <f>IF(ISERROR(VLOOKUP(B147,'Base de Datos'!$C$7:$N$315,9,0))=TRUE," ",(VLOOKUP(B147,'Base de Datos'!$C$7:$N$315,9,0)))</f>
        <v xml:space="preserve"> </v>
      </c>
      <c r="S147" s="589" t="str">
        <f>IF(ISERROR(VLOOKUP(B147,'Base de Datos'!$C$7:$N$315,10,0))=TRUE," ",(VLOOKUP(B147,'Base de Datos'!$C$7:$N$315,10,0)))</f>
        <v xml:space="preserve"> </v>
      </c>
      <c r="T147" s="592"/>
      <c r="U147" s="722"/>
      <c r="V147" s="634"/>
    </row>
    <row r="148" spans="2:22" ht="24" outlineLevel="1" x14ac:dyDescent="0.25">
      <c r="B148" s="537" t="s">
        <v>1693</v>
      </c>
      <c r="C148" s="537" t="s">
        <v>912</v>
      </c>
      <c r="D148" s="537" t="s">
        <v>1822</v>
      </c>
      <c r="E148" s="545" t="s">
        <v>1846</v>
      </c>
      <c r="F148" s="534" t="s">
        <v>1853</v>
      </c>
      <c r="G148" s="534"/>
      <c r="H148" s="534"/>
      <c r="I148" s="534"/>
      <c r="J148" s="537" t="s">
        <v>1845</v>
      </c>
      <c r="K148" s="652"/>
      <c r="L148" s="537" t="s">
        <v>1939</v>
      </c>
      <c r="M148" s="537"/>
      <c r="N148" s="537" t="s">
        <v>1940</v>
      </c>
      <c r="O148" s="677"/>
      <c r="P148" s="568" t="s">
        <v>1847</v>
      </c>
      <c r="Q148" s="537" t="s">
        <v>1848</v>
      </c>
      <c r="R148" s="537" t="s">
        <v>1849</v>
      </c>
      <c r="S148" s="537" t="s">
        <v>375</v>
      </c>
      <c r="T148" s="537" t="s">
        <v>1850</v>
      </c>
      <c r="U148" s="722"/>
      <c r="V148" s="634"/>
    </row>
    <row r="149" spans="2:22" ht="13.5" customHeight="1" outlineLevel="1" x14ac:dyDescent="0.25">
      <c r="B149" s="537">
        <v>204</v>
      </c>
      <c r="C149" s="533" t="str">
        <f>IF(ISERROR(VLOOKUP(B149,'Base de Datos'!$C$487:$F$4092,2,0))=TRUE,"",(VLOOKUP('Presupuesto - PAA 2018'!B149,'Base de Datos'!$C$7:$F$4092,3,0)))</f>
        <v>190086-0-2019</v>
      </c>
      <c r="D149" s="533" t="str">
        <f>IF(ISERROR(VLOOKUP(B149,'Base de Datos'!$C$487:$F$4092,3,0))=TRUE,"",(VLOOKUP('Presupuesto - PAA 2018'!B149,'Base de Datos'!$C$487:$F$4092,4,0)))</f>
        <v xml:space="preserve">ANDREA PAOLA MELENDEZ PINEDA </v>
      </c>
      <c r="E149" s="536">
        <f>VLOOKUP(B149,[7]PAA2017!$C$65:$AA$255,20,0)</f>
        <v>8217738000</v>
      </c>
      <c r="F149" s="534" t="e">
        <f>VLOOKUP(B149,[8]SOLICITUDES!$B$3:$H$278,2,0)</f>
        <v>#N/A</v>
      </c>
      <c r="G149" s="534"/>
      <c r="H149" s="534"/>
      <c r="I149" s="534"/>
      <c r="J149" s="536">
        <f>IF(ISERROR(VLOOKUP(B149,'Base de Datos'!$C$487:$N$4092,6,0))=TRUE,"Sin Celebrar",(VLOOKUP(B149,'Base de Datos'!$C$487:$N$4092,7,0)))</f>
        <v>38508000</v>
      </c>
      <c r="K149" s="600"/>
      <c r="L149" s="580" t="str">
        <f>IF(J149=$AA$1,E149, " ")</f>
        <v xml:space="preserve"> </v>
      </c>
      <c r="M149" s="536"/>
      <c r="N149" s="536">
        <f>IF(J149&lt;E149,(E149-J149)," ")</f>
        <v>8179230000</v>
      </c>
      <c r="O149" s="719" t="str">
        <f>IF(ISERROR(VLOOKUP(B149,'Base de Datos'!$C$487:$K$1048576,7,0))=TRUE," ",(VLOOKUP(B149,'Base de Datos'!$C$487:$K$1048576,8,0)))</f>
        <v>SDH-CD-44-2019</v>
      </c>
      <c r="P149" s="551">
        <f>IF(ISERROR(VLOOKUP(B149,'Base de Datos'!$C$487:$N$4077,9,0))=TRUE," ",(VLOOKUP(B149,'Base de Datos'!$C$487:$N$4077,10,0)))</f>
        <v>43500</v>
      </c>
      <c r="Q149" s="737"/>
      <c r="R149" s="551">
        <f>IF(ISERROR(VLOOKUP(B149,'Base de Datos'!$C$487:$N$4077,10,0))=TRUE," ",(VLOOKUP(B149,'Base de Datos'!$C$487:$N$4077,11,0)))</f>
        <v>43504</v>
      </c>
      <c r="S149" s="551">
        <f>IF(ISERROR(VLOOKUP(B149,'Base de Datos'!$C$487:$N$4077,11,0))=TRUE," ",(VLOOKUP(B149,'Base de Datos'!$C$487:$N$4077,12,0)))</f>
        <v>43641</v>
      </c>
      <c r="T149" s="533" t="str">
        <f>VLOOKUP(B149,'Base de Datos'!$C$487:$AR$4129,41,0)</f>
        <v>SI</v>
      </c>
      <c r="U149" s="722"/>
      <c r="V149" s="634"/>
    </row>
    <row r="150" spans="2:22" ht="21" customHeight="1" outlineLevel="1" x14ac:dyDescent="0.25">
      <c r="B150" s="552"/>
      <c r="C150" s="533"/>
      <c r="D150" s="533"/>
      <c r="E150" s="554"/>
      <c r="F150" s="534"/>
      <c r="G150" s="555"/>
      <c r="H150" s="555"/>
      <c r="I150" s="555"/>
      <c r="J150" s="536"/>
      <c r="K150" s="604"/>
      <c r="L150" s="554"/>
      <c r="M150" s="554"/>
      <c r="N150" s="554"/>
      <c r="O150" s="719"/>
      <c r="P150" s="551"/>
      <c r="Q150" s="553"/>
      <c r="R150" s="551"/>
      <c r="S150" s="551"/>
      <c r="T150" s="533"/>
      <c r="U150" s="722"/>
      <c r="V150" s="634"/>
    </row>
    <row r="151" spans="2:22" outlineLevel="1" x14ac:dyDescent="0.25">
      <c r="B151" s="537"/>
      <c r="C151" s="533"/>
      <c r="D151" s="533"/>
      <c r="E151" s="536"/>
      <c r="F151" s="534"/>
      <c r="G151" s="534"/>
      <c r="H151" s="534"/>
      <c r="I151" s="534"/>
      <c r="J151" s="554"/>
      <c r="K151" s="600"/>
      <c r="L151" s="554"/>
      <c r="M151" s="536"/>
      <c r="N151" s="554"/>
      <c r="O151" s="719"/>
      <c r="P151" s="551"/>
      <c r="Q151" s="533"/>
      <c r="R151" s="556"/>
      <c r="S151" s="556"/>
      <c r="T151" s="533"/>
      <c r="U151" s="722"/>
      <c r="V151" s="634"/>
    </row>
    <row r="152" spans="2:22" outlineLevel="1" x14ac:dyDescent="0.25">
      <c r="B152" s="537"/>
      <c r="C152" s="533"/>
      <c r="D152" s="533" t="s">
        <v>1935</v>
      </c>
      <c r="E152" s="536">
        <f>+E147-SUM(E149:E151)</f>
        <v>-7990431000</v>
      </c>
      <c r="F152" s="534"/>
      <c r="G152" s="534"/>
      <c r="H152" s="534"/>
      <c r="I152" s="534"/>
      <c r="J152" s="554"/>
      <c r="K152" s="600"/>
      <c r="L152" s="554"/>
      <c r="M152" s="536"/>
      <c r="N152" s="554" t="str">
        <f>IF(J152&lt;E152,(E152-J152)," ")</f>
        <v xml:space="preserve"> </v>
      </c>
      <c r="O152" s="719"/>
      <c r="P152" s="551"/>
      <c r="Q152" s="533"/>
      <c r="R152" s="556"/>
      <c r="S152" s="556"/>
      <c r="T152" s="533"/>
      <c r="U152" s="722"/>
      <c r="V152" s="634"/>
    </row>
    <row r="153" spans="2:22" outlineLevel="1" x14ac:dyDescent="0.25">
      <c r="B153" s="648"/>
      <c r="C153" s="648"/>
      <c r="D153" s="648"/>
      <c r="E153" s="536"/>
      <c r="F153" s="534"/>
      <c r="G153" s="534"/>
      <c r="H153" s="534"/>
      <c r="I153" s="534"/>
      <c r="J153" s="536"/>
      <c r="K153" s="600"/>
      <c r="L153" s="536"/>
      <c r="M153" s="536"/>
      <c r="N153" s="536"/>
      <c r="O153" s="678"/>
      <c r="P153" s="551"/>
      <c r="Q153" s="533"/>
      <c r="R153" s="551"/>
      <c r="S153" s="551"/>
      <c r="T153" s="533"/>
      <c r="U153" s="722"/>
      <c r="V153" s="634"/>
    </row>
    <row r="154" spans="2:22" ht="15" customHeight="1" x14ac:dyDescent="0.25">
      <c r="B154" s="1195" t="s">
        <v>1659</v>
      </c>
      <c r="C154" s="1195"/>
      <c r="D154" s="1195"/>
      <c r="E154" s="587">
        <v>1081000000</v>
      </c>
      <c r="F154" s="588"/>
      <c r="G154" s="588"/>
      <c r="H154" s="588"/>
      <c r="I154" s="588"/>
      <c r="J154" s="587">
        <f>+J156</f>
        <v>890653595</v>
      </c>
      <c r="K154" s="607">
        <f>J154/E154</f>
        <v>0.82391636910268273</v>
      </c>
      <c r="L154" s="587">
        <f>+L156</f>
        <v>190346405</v>
      </c>
      <c r="M154" s="587"/>
      <c r="N154" s="587">
        <f>+E154-J154-L154</f>
        <v>0</v>
      </c>
      <c r="O154" s="682"/>
      <c r="P154" s="589" t="str">
        <f>IF(ISERROR(VLOOKUP(B154,'Base de Datos'!$C$7:$N$315,8,0))=TRUE," ",(VLOOKUP(B154,'Base de Datos'!$C$7:$N$315,8,0)))</f>
        <v xml:space="preserve"> </v>
      </c>
      <c r="Q154" s="590"/>
      <c r="R154" s="589" t="str">
        <f>IF(ISERROR(VLOOKUP(B154,'Base de Datos'!$C$7:$N$315,9,0))=TRUE," ",(VLOOKUP(B154,'Base de Datos'!$C$7:$N$315,9,0)))</f>
        <v xml:space="preserve"> </v>
      </c>
      <c r="S154" s="589" t="str">
        <f>IF(ISERROR(VLOOKUP(B154,'Base de Datos'!$C$7:$N$315,10,0))=TRUE," ",(VLOOKUP(B154,'Base de Datos'!$C$7:$N$315,10,0)))</f>
        <v xml:space="preserve"> </v>
      </c>
      <c r="T154" s="592"/>
      <c r="U154" s="722"/>
      <c r="V154" s="634"/>
    </row>
    <row r="155" spans="2:22" ht="24" customHeight="1" outlineLevel="1" x14ac:dyDescent="0.25">
      <c r="B155" s="537" t="s">
        <v>1693</v>
      </c>
      <c r="C155" s="537" t="s">
        <v>912</v>
      </c>
      <c r="D155" s="537" t="s">
        <v>1822</v>
      </c>
      <c r="E155" s="545" t="s">
        <v>1846</v>
      </c>
      <c r="F155" s="534" t="s">
        <v>1853</v>
      </c>
      <c r="G155" s="534"/>
      <c r="H155" s="534"/>
      <c r="I155" s="534"/>
      <c r="J155" s="537" t="s">
        <v>1845</v>
      </c>
      <c r="K155" s="652"/>
      <c r="L155" s="537" t="s">
        <v>1939</v>
      </c>
      <c r="M155" s="537"/>
      <c r="N155" s="537" t="s">
        <v>1940</v>
      </c>
      <c r="O155" s="677"/>
      <c r="P155" s="568" t="s">
        <v>1847</v>
      </c>
      <c r="Q155" s="537" t="s">
        <v>1848</v>
      </c>
      <c r="R155" s="537" t="s">
        <v>1849</v>
      </c>
      <c r="S155" s="537" t="s">
        <v>375</v>
      </c>
      <c r="T155" s="537" t="s">
        <v>1850</v>
      </c>
      <c r="U155" s="722"/>
      <c r="V155" s="634"/>
    </row>
    <row r="156" spans="2:22" ht="15" customHeight="1" outlineLevel="1" x14ac:dyDescent="0.25">
      <c r="B156" s="537"/>
      <c r="C156" s="533"/>
      <c r="D156" s="972" t="s">
        <v>2264</v>
      </c>
      <c r="E156" s="534"/>
      <c r="F156" s="536"/>
      <c r="G156" s="595"/>
      <c r="H156" s="595"/>
      <c r="I156" s="595"/>
      <c r="J156" s="580">
        <v>890653595</v>
      </c>
      <c r="K156" s="643"/>
      <c r="L156" s="580">
        <f>+E154-J156</f>
        <v>190346405</v>
      </c>
      <c r="M156" s="642"/>
      <c r="N156" s="536"/>
      <c r="O156" s="687"/>
      <c r="P156" s="644"/>
      <c r="Q156" s="645"/>
      <c r="R156" s="644"/>
      <c r="S156" s="644"/>
      <c r="T156" s="614"/>
      <c r="U156" s="722"/>
      <c r="V156" s="634"/>
    </row>
    <row r="157" spans="2:22" ht="15" customHeight="1" outlineLevel="1" x14ac:dyDescent="0.25">
      <c r="B157" s="537"/>
      <c r="C157" s="533"/>
      <c r="D157" s="533"/>
      <c r="E157" s="534"/>
      <c r="F157" s="536"/>
      <c r="G157" s="595"/>
      <c r="H157" s="595"/>
      <c r="I157" s="595"/>
      <c r="J157" s="642"/>
      <c r="K157" s="643"/>
      <c r="L157" s="642"/>
      <c r="M157" s="642"/>
      <c r="N157" s="642"/>
      <c r="O157" s="688"/>
      <c r="P157" s="644"/>
      <c r="Q157" s="645"/>
      <c r="R157" s="644"/>
      <c r="S157" s="644"/>
      <c r="T157" s="614"/>
      <c r="U157" s="722"/>
      <c r="V157" s="634"/>
    </row>
    <row r="158" spans="2:22" ht="15" customHeight="1" x14ac:dyDescent="0.25">
      <c r="B158" s="1182" t="s">
        <v>1660</v>
      </c>
      <c r="C158" s="1182"/>
      <c r="D158" s="1182"/>
      <c r="E158" s="539">
        <v>430000000</v>
      </c>
      <c r="F158" s="540"/>
      <c r="G158" s="540"/>
      <c r="H158" s="540"/>
      <c r="I158" s="540"/>
      <c r="J158" s="543">
        <f>+J159+J163+J167+J171</f>
        <v>242601380</v>
      </c>
      <c r="K158" s="609">
        <f>J158/E158</f>
        <v>0.56418925581395352</v>
      </c>
      <c r="L158" s="543">
        <f>+L159+L163+L167+L171</f>
        <v>187398620</v>
      </c>
      <c r="M158" s="543"/>
      <c r="N158" s="543">
        <f>+N159+N163+N167+N171</f>
        <v>0</v>
      </c>
      <c r="O158" s="689"/>
      <c r="P158" s="575" t="str">
        <f>IF(ISERROR(VLOOKUP(B158,'Base de Datos'!$C$7:$N$315,8,0))=TRUE," ",(VLOOKUP(B158,'Base de Datos'!$C$7:$N$315,8,0)))</f>
        <v xml:space="preserve"> </v>
      </c>
      <c r="Q158" s="569"/>
      <c r="R158" s="575" t="str">
        <f>IF(ISERROR(VLOOKUP(B158,'Base de Datos'!$C$7:$N$315,9,0))=TRUE," ",(VLOOKUP(B158,'Base de Datos'!$C$7:$N$315,9,0)))</f>
        <v xml:space="preserve"> </v>
      </c>
      <c r="S158" s="575" t="str">
        <f>IF(ISERROR(VLOOKUP(B158,'Base de Datos'!$C$7:$N$315,10,0))=TRUE," ",(VLOOKUP(B158,'Base de Datos'!$C$7:$N$315,10,0)))</f>
        <v xml:space="preserve"> </v>
      </c>
      <c r="T158" s="569"/>
      <c r="U158" s="722"/>
      <c r="V158" s="634"/>
    </row>
    <row r="159" spans="2:22" ht="15" customHeight="1" x14ac:dyDescent="0.25">
      <c r="B159" s="1180" t="s">
        <v>1661</v>
      </c>
      <c r="C159" s="1180"/>
      <c r="D159" s="1180"/>
      <c r="E159" s="543">
        <v>206250000</v>
      </c>
      <c r="F159" s="540"/>
      <c r="G159" s="540"/>
      <c r="H159" s="540"/>
      <c r="I159" s="540"/>
      <c r="J159" s="543">
        <f>+J161</f>
        <v>106215940</v>
      </c>
      <c r="K159" s="609">
        <f>J159/E159</f>
        <v>0.51498637575757578</v>
      </c>
      <c r="L159" s="543">
        <f>+E159-J159</f>
        <v>100034060</v>
      </c>
      <c r="M159" s="543"/>
      <c r="N159" s="543">
        <f>+N161</f>
        <v>0</v>
      </c>
      <c r="O159" s="689"/>
      <c r="P159" s="575" t="str">
        <f>IF(ISERROR(VLOOKUP(B159,'Base de Datos'!$C$7:$N$315,8,0))=TRUE," ",(VLOOKUP(B159,'Base de Datos'!$C$7:$N$315,8,0)))</f>
        <v xml:space="preserve"> </v>
      </c>
      <c r="Q159" s="569"/>
      <c r="R159" s="575" t="str">
        <f>IF(ISERROR(VLOOKUP(B159,'Base de Datos'!$C$7:$N$315,9,0))=TRUE," ",(VLOOKUP(B159,'Base de Datos'!$C$7:$N$315,9,0)))</f>
        <v xml:space="preserve"> </v>
      </c>
      <c r="S159" s="575" t="str">
        <f>IF(ISERROR(VLOOKUP(B159,'Base de Datos'!$C$7:$N$315,10,0))=TRUE," ",(VLOOKUP(B159,'Base de Datos'!$C$7:$N$315,10,0)))</f>
        <v xml:space="preserve"> </v>
      </c>
      <c r="T159" s="569"/>
      <c r="U159" s="722"/>
      <c r="V159" s="634"/>
    </row>
    <row r="160" spans="2:22" s="615" customFormat="1" ht="24" outlineLevel="1" x14ac:dyDescent="0.25">
      <c r="B160" s="537" t="s">
        <v>1693</v>
      </c>
      <c r="C160" s="537" t="s">
        <v>912</v>
      </c>
      <c r="D160" s="537" t="s">
        <v>1822</v>
      </c>
      <c r="E160" s="545" t="s">
        <v>1846</v>
      </c>
      <c r="F160" s="534" t="s">
        <v>1853</v>
      </c>
      <c r="G160" s="534"/>
      <c r="H160" s="534"/>
      <c r="I160" s="534"/>
      <c r="J160" s="537" t="s">
        <v>1845</v>
      </c>
      <c r="K160" s="652"/>
      <c r="L160" s="537" t="s">
        <v>1939</v>
      </c>
      <c r="M160" s="537"/>
      <c r="N160" s="537" t="s">
        <v>1940</v>
      </c>
      <c r="O160" s="677"/>
      <c r="P160" s="568" t="s">
        <v>1847</v>
      </c>
      <c r="Q160" s="537" t="s">
        <v>1848</v>
      </c>
      <c r="R160" s="537" t="s">
        <v>1849</v>
      </c>
      <c r="S160" s="537" t="s">
        <v>375</v>
      </c>
      <c r="T160" s="537" t="s">
        <v>1850</v>
      </c>
      <c r="U160" s="722"/>
      <c r="V160" s="634"/>
    </row>
    <row r="161" spans="2:22" s="615" customFormat="1" ht="15" customHeight="1" outlineLevel="1" x14ac:dyDescent="0.25">
      <c r="B161" s="537"/>
      <c r="C161" s="533"/>
      <c r="D161" s="972" t="s">
        <v>2264</v>
      </c>
      <c r="E161" s="534"/>
      <c r="F161" s="536"/>
      <c r="G161" s="536"/>
      <c r="H161" s="536"/>
      <c r="I161" s="536"/>
      <c r="J161" s="536">
        <v>106215940</v>
      </c>
      <c r="K161" s="536"/>
      <c r="L161" s="536">
        <f>9700000*8</f>
        <v>77600000</v>
      </c>
      <c r="M161" s="580"/>
      <c r="N161" s="580"/>
      <c r="O161" s="690"/>
      <c r="P161" s="613"/>
      <c r="Q161" s="614"/>
      <c r="R161" s="613"/>
      <c r="S161" s="613"/>
      <c r="T161" s="614"/>
      <c r="U161" s="722"/>
      <c r="V161" s="634"/>
    </row>
    <row r="162" spans="2:22" s="615" customFormat="1" ht="15" customHeight="1" outlineLevel="1" x14ac:dyDescent="0.25">
      <c r="B162" s="972"/>
      <c r="C162" s="972"/>
      <c r="D162" s="972"/>
      <c r="E162" s="580"/>
      <c r="F162" s="534"/>
      <c r="G162" s="534"/>
      <c r="H162" s="534"/>
      <c r="I162" s="534"/>
      <c r="J162" s="580"/>
      <c r="K162" s="612"/>
      <c r="L162" s="580"/>
      <c r="M162" s="580"/>
      <c r="N162" s="580"/>
      <c r="O162" s="690"/>
      <c r="P162" s="613"/>
      <c r="Q162" s="614"/>
      <c r="R162" s="613"/>
      <c r="S162" s="613"/>
      <c r="T162" s="614"/>
      <c r="U162" s="722"/>
      <c r="V162" s="634"/>
    </row>
    <row r="163" spans="2:22" ht="15" customHeight="1" x14ac:dyDescent="0.25">
      <c r="B163" s="1180" t="s">
        <v>1662</v>
      </c>
      <c r="C163" s="1180"/>
      <c r="D163" s="1180"/>
      <c r="E163" s="543">
        <v>36750000</v>
      </c>
      <c r="F163" s="540"/>
      <c r="G163" s="540"/>
      <c r="H163" s="540"/>
      <c r="I163" s="540"/>
      <c r="J163" s="543">
        <f>+J165</f>
        <v>12264940</v>
      </c>
      <c r="K163" s="609">
        <f>J163/E163</f>
        <v>0.33373986394557825</v>
      </c>
      <c r="L163" s="543">
        <f>+E163-J163</f>
        <v>24485060</v>
      </c>
      <c r="M163" s="543"/>
      <c r="N163" s="543">
        <f>+N165</f>
        <v>0</v>
      </c>
      <c r="O163" s="689"/>
      <c r="P163" s="575" t="str">
        <f>IF(ISERROR(VLOOKUP(B163,'Base de Datos'!$C$7:$N$315,8,0))=TRUE," ",(VLOOKUP(B163,'Base de Datos'!$C$7:$N$315,8,0)))</f>
        <v xml:space="preserve"> </v>
      </c>
      <c r="Q163" s="569"/>
      <c r="R163" s="575" t="str">
        <f>IF(ISERROR(VLOOKUP(B163,'Base de Datos'!$C$7:$N$315,9,0))=TRUE," ",(VLOOKUP(B163,'Base de Datos'!$C$7:$N$315,9,0)))</f>
        <v xml:space="preserve"> </v>
      </c>
      <c r="S163" s="575" t="str">
        <f>IF(ISERROR(VLOOKUP(B163,'Base de Datos'!$C$7:$N$315,10,0))=TRUE," ",(VLOOKUP(B163,'Base de Datos'!$C$7:$N$315,10,0)))</f>
        <v xml:space="preserve"> </v>
      </c>
      <c r="T163" s="569"/>
      <c r="U163" s="722"/>
      <c r="V163" s="634"/>
    </row>
    <row r="164" spans="2:22" ht="24.75" customHeight="1" outlineLevel="1" x14ac:dyDescent="0.25">
      <c r="B164" s="537" t="s">
        <v>1693</v>
      </c>
      <c r="C164" s="537" t="s">
        <v>912</v>
      </c>
      <c r="D164" s="537" t="s">
        <v>1822</v>
      </c>
      <c r="E164" s="545" t="s">
        <v>1846</v>
      </c>
      <c r="F164" s="534" t="s">
        <v>1853</v>
      </c>
      <c r="G164" s="534"/>
      <c r="H164" s="534"/>
      <c r="I164" s="534"/>
      <c r="J164" s="537" t="s">
        <v>1845</v>
      </c>
      <c r="K164" s="652"/>
      <c r="L164" s="537" t="s">
        <v>1939</v>
      </c>
      <c r="M164" s="537"/>
      <c r="N164" s="537" t="s">
        <v>1940</v>
      </c>
      <c r="O164" s="677"/>
      <c r="P164" s="568" t="s">
        <v>1847</v>
      </c>
      <c r="Q164" s="537" t="s">
        <v>1848</v>
      </c>
      <c r="R164" s="537" t="s">
        <v>1849</v>
      </c>
      <c r="S164" s="537" t="s">
        <v>375</v>
      </c>
      <c r="T164" s="537" t="s">
        <v>1850</v>
      </c>
      <c r="U164" s="722"/>
      <c r="V164" s="634"/>
    </row>
    <row r="165" spans="2:22" ht="15" customHeight="1" outlineLevel="1" x14ac:dyDescent="0.25">
      <c r="B165" s="537"/>
      <c r="C165" s="533"/>
      <c r="D165" s="972" t="s">
        <v>2264</v>
      </c>
      <c r="E165" s="534"/>
      <c r="F165" s="536"/>
      <c r="G165" s="536"/>
      <c r="H165" s="536"/>
      <c r="I165" s="536"/>
      <c r="J165" s="536">
        <v>12264940</v>
      </c>
      <c r="K165" s="536"/>
      <c r="L165" s="536">
        <f>3200000*4</f>
        <v>12800000</v>
      </c>
      <c r="M165" s="580"/>
      <c r="N165" s="580"/>
      <c r="O165" s="690"/>
      <c r="P165" s="613"/>
      <c r="Q165" s="614"/>
      <c r="R165" s="613"/>
      <c r="S165" s="613"/>
      <c r="T165" s="614"/>
      <c r="U165" s="722"/>
      <c r="V165" s="634"/>
    </row>
    <row r="166" spans="2:22" s="615" customFormat="1" ht="15" customHeight="1" outlineLevel="1" x14ac:dyDescent="0.25">
      <c r="B166" s="972"/>
      <c r="C166" s="972"/>
      <c r="D166" s="972"/>
      <c r="E166" s="580"/>
      <c r="F166" s="534"/>
      <c r="G166" s="534"/>
      <c r="H166" s="534"/>
      <c r="I166" s="534"/>
      <c r="J166" s="580"/>
      <c r="K166" s="612"/>
      <c r="L166" s="580"/>
      <c r="M166" s="580"/>
      <c r="N166" s="580"/>
      <c r="O166" s="690"/>
      <c r="P166" s="613"/>
      <c r="Q166" s="614"/>
      <c r="R166" s="613"/>
      <c r="S166" s="613"/>
      <c r="T166" s="614"/>
      <c r="U166" s="722"/>
      <c r="V166" s="634"/>
    </row>
    <row r="167" spans="2:22" ht="15" customHeight="1" x14ac:dyDescent="0.25">
      <c r="B167" s="1180" t="s">
        <v>1663</v>
      </c>
      <c r="C167" s="1180"/>
      <c r="D167" s="1180"/>
      <c r="E167" s="543">
        <v>58000000</v>
      </c>
      <c r="F167" s="540"/>
      <c r="G167" s="540"/>
      <c r="H167" s="540"/>
      <c r="I167" s="540"/>
      <c r="J167" s="543">
        <f>+J169</f>
        <v>5462970</v>
      </c>
      <c r="K167" s="609">
        <f>J167/E167</f>
        <v>9.4189137931034478E-2</v>
      </c>
      <c r="L167" s="543">
        <f>+E167-J167</f>
        <v>52537030</v>
      </c>
      <c r="M167" s="543"/>
      <c r="N167" s="543">
        <f>+N169</f>
        <v>0</v>
      </c>
      <c r="O167" s="689"/>
      <c r="P167" s="575" t="str">
        <f>IF(ISERROR(VLOOKUP(B167,'Base de Datos'!$C$7:$N$315,8,0))=TRUE," ",(VLOOKUP(B167,'Base de Datos'!$C$7:$N$315,8,0)))</f>
        <v xml:space="preserve"> </v>
      </c>
      <c r="Q167" s="569"/>
      <c r="R167" s="575" t="str">
        <f>IF(ISERROR(VLOOKUP(B167,'Base de Datos'!$C$7:$N$315,9,0))=TRUE," ",(VLOOKUP(B167,'Base de Datos'!$C$7:$N$315,9,0)))</f>
        <v xml:space="preserve"> </v>
      </c>
      <c r="S167" s="575" t="str">
        <f>IF(ISERROR(VLOOKUP(B167,'Base de Datos'!$C$7:$N$315,10,0))=TRUE," ",(VLOOKUP(B167,'Base de Datos'!$C$7:$N$315,10,0)))</f>
        <v xml:space="preserve"> </v>
      </c>
      <c r="T167" s="569"/>
      <c r="U167" s="722"/>
      <c r="V167" s="634"/>
    </row>
    <row r="168" spans="2:22" ht="23.25" customHeight="1" outlineLevel="1" x14ac:dyDescent="0.25">
      <c r="B168" s="537" t="s">
        <v>1693</v>
      </c>
      <c r="C168" s="537" t="s">
        <v>912</v>
      </c>
      <c r="D168" s="537" t="s">
        <v>1822</v>
      </c>
      <c r="E168" s="545" t="s">
        <v>1846</v>
      </c>
      <c r="F168" s="534" t="s">
        <v>1853</v>
      </c>
      <c r="G168" s="534"/>
      <c r="H168" s="534"/>
      <c r="I168" s="534"/>
      <c r="J168" s="537" t="s">
        <v>1845</v>
      </c>
      <c r="K168" s="652"/>
      <c r="L168" s="537" t="s">
        <v>1939</v>
      </c>
      <c r="M168" s="537"/>
      <c r="N168" s="537" t="s">
        <v>1940</v>
      </c>
      <c r="O168" s="677"/>
      <c r="P168" s="568" t="s">
        <v>1847</v>
      </c>
      <c r="Q168" s="537" t="s">
        <v>1848</v>
      </c>
      <c r="R168" s="537" t="s">
        <v>1849</v>
      </c>
      <c r="S168" s="537" t="s">
        <v>375</v>
      </c>
      <c r="T168" s="537" t="s">
        <v>1850</v>
      </c>
      <c r="U168" s="722"/>
      <c r="V168" s="634"/>
    </row>
    <row r="169" spans="2:22" ht="15" customHeight="1" outlineLevel="1" x14ac:dyDescent="0.25">
      <c r="B169" s="537"/>
      <c r="C169" s="533"/>
      <c r="D169" s="972" t="s">
        <v>2264</v>
      </c>
      <c r="E169" s="534"/>
      <c r="F169" s="536"/>
      <c r="G169" s="536"/>
      <c r="H169" s="536"/>
      <c r="I169" s="536"/>
      <c r="J169" s="536">
        <v>5462970</v>
      </c>
      <c r="K169" s="536"/>
      <c r="L169" s="536">
        <f>1200000*4</f>
        <v>4800000</v>
      </c>
      <c r="M169" s="580"/>
      <c r="N169" s="580"/>
      <c r="O169" s="690"/>
      <c r="P169" s="613"/>
      <c r="Q169" s="614"/>
      <c r="R169" s="613"/>
      <c r="S169" s="613"/>
      <c r="T169" s="614"/>
      <c r="U169" s="722"/>
      <c r="V169" s="634"/>
    </row>
    <row r="170" spans="2:22" s="615" customFormat="1" ht="15" customHeight="1" outlineLevel="1" x14ac:dyDescent="0.25">
      <c r="B170" s="972"/>
      <c r="C170" s="972"/>
      <c r="D170" s="972"/>
      <c r="E170" s="580"/>
      <c r="F170" s="534"/>
      <c r="G170" s="534"/>
      <c r="H170" s="534"/>
      <c r="I170" s="534"/>
      <c r="J170" s="580"/>
      <c r="K170" s="612"/>
      <c r="L170" s="580"/>
      <c r="M170" s="580"/>
      <c r="N170" s="580"/>
      <c r="O170" s="690"/>
      <c r="P170" s="613"/>
      <c r="Q170" s="614"/>
      <c r="R170" s="613"/>
      <c r="S170" s="613"/>
      <c r="T170" s="614"/>
      <c r="U170" s="722"/>
      <c r="V170" s="634"/>
    </row>
    <row r="171" spans="2:22" ht="15" customHeight="1" x14ac:dyDescent="0.25">
      <c r="B171" s="1180" t="s">
        <v>1664</v>
      </c>
      <c r="C171" s="1180"/>
      <c r="D171" s="1180"/>
      <c r="E171" s="543">
        <v>129000000</v>
      </c>
      <c r="F171" s="540"/>
      <c r="G171" s="540"/>
      <c r="H171" s="540"/>
      <c r="I171" s="540"/>
      <c r="J171" s="543">
        <f>+J173</f>
        <v>118657530</v>
      </c>
      <c r="K171" s="609">
        <f>J171/E171</f>
        <v>0.91982581395348839</v>
      </c>
      <c r="L171" s="543">
        <f>+L173</f>
        <v>10342470</v>
      </c>
      <c r="M171" s="543"/>
      <c r="N171" s="543">
        <f>+N173</f>
        <v>0</v>
      </c>
      <c r="O171" s="689"/>
      <c r="P171" s="575" t="str">
        <f>IF(ISERROR(VLOOKUP(B171,'Base de Datos'!$C$7:$N$315,8,0))=TRUE," ",(VLOOKUP(B171,'Base de Datos'!$C$7:$N$315,8,0)))</f>
        <v xml:space="preserve"> </v>
      </c>
      <c r="Q171" s="569"/>
      <c r="R171" s="575" t="str">
        <f>IF(ISERROR(VLOOKUP(B171,'Base de Datos'!$C$7:$N$315,9,0))=TRUE," ",(VLOOKUP(B171,'Base de Datos'!$C$7:$N$315,9,0)))</f>
        <v xml:space="preserve"> </v>
      </c>
      <c r="S171" s="575" t="str">
        <f>IF(ISERROR(VLOOKUP(B171,'Base de Datos'!$C$7:$N$315,10,0))=TRUE," ",(VLOOKUP(B171,'Base de Datos'!$C$7:$N$315,10,0)))</f>
        <v xml:space="preserve"> </v>
      </c>
      <c r="T171" s="569"/>
      <c r="U171" s="722"/>
      <c r="V171" s="634"/>
    </row>
    <row r="172" spans="2:22" s="615" customFormat="1" ht="21.75" customHeight="1" outlineLevel="1" x14ac:dyDescent="0.25">
      <c r="B172" s="537" t="s">
        <v>1693</v>
      </c>
      <c r="C172" s="537" t="s">
        <v>912</v>
      </c>
      <c r="D172" s="537" t="s">
        <v>1822</v>
      </c>
      <c r="E172" s="545" t="s">
        <v>1846</v>
      </c>
      <c r="F172" s="534" t="s">
        <v>1853</v>
      </c>
      <c r="G172" s="534"/>
      <c r="H172" s="534"/>
      <c r="I172" s="534"/>
      <c r="J172" s="537" t="s">
        <v>1845</v>
      </c>
      <c r="K172" s="652"/>
      <c r="L172" s="537" t="s">
        <v>1939</v>
      </c>
      <c r="M172" s="537"/>
      <c r="N172" s="537" t="s">
        <v>1940</v>
      </c>
      <c r="O172" s="677"/>
      <c r="P172" s="568" t="s">
        <v>1847</v>
      </c>
      <c r="Q172" s="537" t="s">
        <v>1848</v>
      </c>
      <c r="R172" s="537" t="s">
        <v>1849</v>
      </c>
      <c r="S172" s="537" t="s">
        <v>375</v>
      </c>
      <c r="T172" s="537" t="s">
        <v>1850</v>
      </c>
      <c r="U172" s="722"/>
      <c r="V172" s="634"/>
    </row>
    <row r="173" spans="2:22" s="615" customFormat="1" ht="15" customHeight="1" outlineLevel="1" x14ac:dyDescent="0.25">
      <c r="B173" s="627"/>
      <c r="C173" s="614"/>
      <c r="D173" s="972" t="s">
        <v>2264</v>
      </c>
      <c r="E173" s="534"/>
      <c r="F173" s="580"/>
      <c r="G173" s="580"/>
      <c r="H173" s="580"/>
      <c r="I173" s="580"/>
      <c r="J173" s="580">
        <v>118657530</v>
      </c>
      <c r="K173" s="580"/>
      <c r="L173" s="580">
        <f>+E171-J173</f>
        <v>10342470</v>
      </c>
      <c r="M173" s="580"/>
      <c r="N173" s="580"/>
      <c r="O173" s="690"/>
      <c r="P173" s="613"/>
      <c r="Q173" s="614"/>
      <c r="R173" s="613"/>
      <c r="S173" s="613"/>
      <c r="T173" s="614"/>
      <c r="U173" s="722"/>
      <c r="V173" s="634"/>
    </row>
    <row r="174" spans="2:22" s="615" customFormat="1" ht="15" customHeight="1" outlineLevel="1" x14ac:dyDescent="0.25">
      <c r="B174" s="972"/>
      <c r="C174" s="972"/>
      <c r="D174" s="972"/>
      <c r="E174" s="580"/>
      <c r="F174" s="534"/>
      <c r="G174" s="534"/>
      <c r="H174" s="534"/>
      <c r="I174" s="534"/>
      <c r="J174" s="580"/>
      <c r="K174" s="612"/>
      <c r="L174" s="580"/>
      <c r="M174" s="580"/>
      <c r="N174" s="580"/>
      <c r="O174" s="690"/>
      <c r="P174" s="613"/>
      <c r="Q174" s="614"/>
      <c r="R174" s="613"/>
      <c r="S174" s="613"/>
      <c r="T174" s="614"/>
      <c r="U174" s="722"/>
      <c r="V174" s="634"/>
    </row>
    <row r="175" spans="2:22" ht="15" customHeight="1" x14ac:dyDescent="0.25">
      <c r="B175" s="1182" t="s">
        <v>1665</v>
      </c>
      <c r="C175" s="1182"/>
      <c r="D175" s="1182"/>
      <c r="E175" s="539">
        <v>478000000</v>
      </c>
      <c r="F175" s="540"/>
      <c r="G175" s="540"/>
      <c r="H175" s="540"/>
      <c r="I175" s="540"/>
      <c r="J175" s="543">
        <f>+J176</f>
        <v>405331000</v>
      </c>
      <c r="K175" s="610"/>
      <c r="L175" s="543">
        <f>+L176</f>
        <v>0</v>
      </c>
      <c r="M175" s="543"/>
      <c r="N175" s="543">
        <f>+N176</f>
        <v>72669000</v>
      </c>
      <c r="O175" s="689"/>
      <c r="P175" s="575" t="str">
        <f>IF(ISERROR(VLOOKUP(B175,'Base de Datos'!$C$7:$N$315,8,0))=TRUE," ",(VLOOKUP(B175,'Base de Datos'!$C$7:$N$315,8,0)))</f>
        <v xml:space="preserve"> </v>
      </c>
      <c r="Q175" s="569"/>
      <c r="R175" s="575" t="str">
        <f>IF(ISERROR(VLOOKUP(B175,'Base de Datos'!$C$7:$N$315,9,0))=TRUE," ",(VLOOKUP(B175,'Base de Datos'!$C$7:$N$315,9,0)))</f>
        <v xml:space="preserve"> </v>
      </c>
      <c r="S175" s="575" t="str">
        <f>IF(ISERROR(VLOOKUP(B175,'Base de Datos'!$C$7:$N$315,10,0))=TRUE," ",(VLOOKUP(B175,'Base de Datos'!$C$7:$N$315,10,0)))</f>
        <v xml:space="preserve"> </v>
      </c>
      <c r="T175" s="569"/>
      <c r="U175" s="722"/>
      <c r="V175" s="634"/>
    </row>
    <row r="176" spans="2:22" ht="15" customHeight="1" x14ac:dyDescent="0.25">
      <c r="B176" s="1181" t="s">
        <v>1666</v>
      </c>
      <c r="C176" s="1181"/>
      <c r="D176" s="1181"/>
      <c r="E176" s="581">
        <v>478000000</v>
      </c>
      <c r="F176" s="586">
        <f>COUNTIF('Actualizada - presupuesto'!$E$7:$E$111,B176)</f>
        <v>1</v>
      </c>
      <c r="G176" s="586"/>
      <c r="H176" s="586"/>
      <c r="I176" s="586"/>
      <c r="J176" s="581">
        <f>SUM(J178)</f>
        <v>405331000</v>
      </c>
      <c r="K176" s="603">
        <f>J176/E176</f>
        <v>0.84797280334728031</v>
      </c>
      <c r="L176" s="581">
        <f>SUM(L178)</f>
        <v>0</v>
      </c>
      <c r="M176" s="581"/>
      <c r="N176" s="581">
        <f>+E176-J176-L176</f>
        <v>72669000</v>
      </c>
      <c r="O176" s="684"/>
      <c r="P176" s="591" t="str">
        <f>IF(ISERROR(VLOOKUP(B176,'Base de Datos'!$C$7:$N$315,8,0))=TRUE," ",(VLOOKUP(B176,'Base de Datos'!$C$7:$N$315,8,0)))</f>
        <v xml:space="preserve"> </v>
      </c>
      <c r="Q176" s="592"/>
      <c r="R176" s="591" t="str">
        <f>IF(ISERROR(VLOOKUP(B176,'Base de Datos'!$C$7:$N$315,9,0))=TRUE," ",(VLOOKUP(B176,'Base de Datos'!$C$7:$N$315,9,0)))</f>
        <v xml:space="preserve"> </v>
      </c>
      <c r="S176" s="591" t="str">
        <f>IF(ISERROR(VLOOKUP(B176,'Base de Datos'!$C$7:$N$315,10,0))=TRUE," ",(VLOOKUP(B176,'Base de Datos'!$C$7:$N$315,10,0)))</f>
        <v xml:space="preserve"> </v>
      </c>
      <c r="T176" s="592"/>
      <c r="U176" s="722"/>
      <c r="V176" s="634"/>
    </row>
    <row r="177" spans="2:22" ht="24" outlineLevel="1" x14ac:dyDescent="0.25">
      <c r="B177" s="537" t="s">
        <v>1693</v>
      </c>
      <c r="C177" s="537" t="s">
        <v>912</v>
      </c>
      <c r="D177" s="537" t="s">
        <v>1822</v>
      </c>
      <c r="E177" s="545" t="s">
        <v>1846</v>
      </c>
      <c r="F177" s="534" t="s">
        <v>1853</v>
      </c>
      <c r="G177" s="534"/>
      <c r="H177" s="534"/>
      <c r="I177" s="534"/>
      <c r="J177" s="537" t="s">
        <v>1845</v>
      </c>
      <c r="K177" s="652"/>
      <c r="L177" s="537" t="s">
        <v>1939</v>
      </c>
      <c r="M177" s="537"/>
      <c r="N177" s="537" t="s">
        <v>1940</v>
      </c>
      <c r="O177" s="677"/>
      <c r="P177" s="568" t="s">
        <v>1847</v>
      </c>
      <c r="Q177" s="537" t="s">
        <v>1848</v>
      </c>
      <c r="R177" s="537" t="s">
        <v>1849</v>
      </c>
      <c r="S177" s="537" t="s">
        <v>375</v>
      </c>
      <c r="T177" s="537" t="s">
        <v>1850</v>
      </c>
      <c r="U177" s="722"/>
      <c r="V177" s="634"/>
    </row>
    <row r="178" spans="2:22" s="615" customFormat="1" ht="24" customHeight="1" outlineLevel="1" x14ac:dyDescent="0.25">
      <c r="B178" s="706">
        <v>202</v>
      </c>
      <c r="C178" s="533" t="str">
        <f>IF(ISERROR(VLOOKUP(B178,'Base de Datos'!$C$487:$F$4092,2,0))=TRUE,"",(VLOOKUP('Presupuesto - PAA 2018'!B178,'Base de Datos'!$C$7:$F$4092,3,0)))</f>
        <v>170331-0-2017</v>
      </c>
      <c r="D178" s="533" t="str">
        <f>IF(ISERROR(VLOOKUP(B178,'Base de Datos'!$C$487:$F$4092,3,0))=TRUE,"",(VLOOKUP('Presupuesto - PAA 2018'!B178,'Base de Datos'!$C$487:$F$4092,4,0)))</f>
        <v>POLITECNICO GRANCOLOMBIANO</v>
      </c>
      <c r="E178" s="536">
        <f>VLOOKUP(B178,[7]PAA2017!$C$65:$AA$255,20,0)</f>
        <v>852000000</v>
      </c>
      <c r="F178" s="534" t="e">
        <f>VLOOKUP(B178,[8]SOLICITUDES!$B$3:$H$278,2,0)</f>
        <v>#N/A</v>
      </c>
      <c r="G178" s="534"/>
      <c r="H178" s="534"/>
      <c r="I178" s="534"/>
      <c r="J178" s="536">
        <f>IF(ISERROR(VLOOKUP(B178,'Base de Datos'!$C$487:$N$4092,6,0))=TRUE,"Sin Celebrar",(VLOOKUP(B178,'Base de Datos'!$C$487:$N$4092,7,0)))</f>
        <v>405331000</v>
      </c>
      <c r="K178" s="600"/>
      <c r="L178" s="580" t="str">
        <f>IF(J178=$AA$1,E178, " ")</f>
        <v xml:space="preserve"> </v>
      </c>
      <c r="M178" s="536"/>
      <c r="N178" s="536">
        <f>IF(J178&lt;E178,(E178-J178)," ")</f>
        <v>446669000</v>
      </c>
      <c r="O178" s="719" t="str">
        <f>IF(ISERROR(VLOOKUP(B178,'Base de Datos'!$C$487:$K$1048576,7,0))=TRUE," ",(VLOOKUP(B178,'Base de Datos'!$C$487:$K$1048576,8,0)))</f>
        <v>SDH-SAMC-11-2017</v>
      </c>
      <c r="P178" s="551">
        <f>IF(ISERROR(VLOOKUP(B178,'Base de Datos'!$C$487:$N$4077,9,0))=TRUE," ",(VLOOKUP(B178,'Base de Datos'!$C$487:$N$4077,10,0)))</f>
        <v>43063</v>
      </c>
      <c r="Q178" s="737"/>
      <c r="R178" s="551">
        <f>IF(ISERROR(VLOOKUP(B178,'Base de Datos'!$C$487:$N$4077,10,0))=TRUE," ",(VLOOKUP(B178,'Base de Datos'!$C$487:$N$4077,11,0)))</f>
        <v>43070</v>
      </c>
      <c r="S178" s="551">
        <f>IF(ISERROR(VLOOKUP(B178,'Base de Datos'!$C$487:$N$4077,11,0))=TRUE," ",(VLOOKUP(B178,'Base de Datos'!$C$487:$N$4077,12,0)))</f>
        <v>43312</v>
      </c>
      <c r="T178" s="533" t="str">
        <f>VLOOKUP(B178,'Base de Datos'!$C$487:$AR$4129,41,0)</f>
        <v>SI</v>
      </c>
      <c r="U178" s="722"/>
      <c r="V178" s="634"/>
    </row>
    <row r="179" spans="2:22" outlineLevel="1" x14ac:dyDescent="0.25">
      <c r="B179" s="648"/>
      <c r="C179" s="648"/>
      <c r="D179" s="648"/>
      <c r="E179" s="536"/>
      <c r="F179" s="534"/>
      <c r="G179" s="534"/>
      <c r="H179" s="534"/>
      <c r="I179" s="534"/>
      <c r="J179" s="536"/>
      <c r="K179" s="600"/>
      <c r="L179" s="536"/>
      <c r="M179" s="536"/>
      <c r="N179" s="536"/>
      <c r="O179" s="678"/>
      <c r="P179" s="551"/>
      <c r="Q179" s="533"/>
      <c r="R179" s="551"/>
      <c r="S179" s="551"/>
      <c r="T179" s="533"/>
      <c r="U179" s="722"/>
      <c r="V179" s="634"/>
    </row>
    <row r="180" spans="2:22" ht="15" customHeight="1" x14ac:dyDescent="0.25">
      <c r="B180" s="1195" t="s">
        <v>1667</v>
      </c>
      <c r="C180" s="1195"/>
      <c r="D180" s="1195"/>
      <c r="E180" s="587">
        <v>834000000</v>
      </c>
      <c r="F180" s="588">
        <f>COUNTIF('Actualizada - presupuesto'!$E$7:$E$111,B180)</f>
        <v>3</v>
      </c>
      <c r="G180" s="588"/>
      <c r="H180" s="588"/>
      <c r="I180" s="588"/>
      <c r="J180" s="587">
        <f>SUM(J182:J186)</f>
        <v>890792320</v>
      </c>
      <c r="K180" s="607">
        <f>J180/E180</f>
        <v>1.0680963069544365</v>
      </c>
      <c r="L180" s="587" t="e">
        <f>SUM(L182:L186)</f>
        <v>#N/A</v>
      </c>
      <c r="M180" s="587"/>
      <c r="N180" s="587" t="e">
        <f>+E180-J180-L180</f>
        <v>#N/A</v>
      </c>
      <c r="O180" s="682"/>
      <c r="P180" s="589" t="str">
        <f>IF(ISERROR(VLOOKUP(B180,'Base de Datos'!$C$7:$N$315,8,0))=TRUE," ",(VLOOKUP(B180,'Base de Datos'!$C$7:$N$315,8,0)))</f>
        <v xml:space="preserve"> </v>
      </c>
      <c r="Q180" s="590"/>
      <c r="R180" s="589" t="str">
        <f>IF(ISERROR(VLOOKUP(B180,'Base de Datos'!$C$7:$N$315,9,0))=TRUE," ",(VLOOKUP(B180,'Base de Datos'!$C$7:$N$315,9,0)))</f>
        <v xml:space="preserve"> </v>
      </c>
      <c r="S180" s="589" t="str">
        <f>IF(ISERROR(VLOOKUP(B180,'Base de Datos'!$C$7:$N$315,10,0))=TRUE," ",(VLOOKUP(B180,'Base de Datos'!$C$7:$N$315,10,0)))</f>
        <v xml:space="preserve"> </v>
      </c>
      <c r="T180" s="592"/>
      <c r="U180" s="722"/>
      <c r="V180" s="634"/>
    </row>
    <row r="181" spans="2:22" ht="24" outlineLevel="1" x14ac:dyDescent="0.25">
      <c r="B181" s="537" t="s">
        <v>1693</v>
      </c>
      <c r="C181" s="537" t="s">
        <v>912</v>
      </c>
      <c r="D181" s="537" t="s">
        <v>1822</v>
      </c>
      <c r="E181" s="545" t="s">
        <v>1846</v>
      </c>
      <c r="F181" s="534" t="s">
        <v>1853</v>
      </c>
      <c r="G181" s="534"/>
      <c r="H181" s="534"/>
      <c r="I181" s="534"/>
      <c r="J181" s="537" t="s">
        <v>1845</v>
      </c>
      <c r="K181" s="652"/>
      <c r="L181" s="537" t="s">
        <v>1939</v>
      </c>
      <c r="M181" s="537"/>
      <c r="N181" s="537" t="s">
        <v>1940</v>
      </c>
      <c r="O181" s="677"/>
      <c r="P181" s="568" t="s">
        <v>1847</v>
      </c>
      <c r="Q181" s="537" t="s">
        <v>1848</v>
      </c>
      <c r="R181" s="537" t="s">
        <v>1849</v>
      </c>
      <c r="S181" s="537" t="s">
        <v>375</v>
      </c>
      <c r="T181" s="537" t="s">
        <v>1850</v>
      </c>
      <c r="U181" s="722"/>
      <c r="V181" s="634"/>
    </row>
    <row r="182" spans="2:22" ht="12.75" customHeight="1" outlineLevel="1" x14ac:dyDescent="0.25">
      <c r="B182" s="537">
        <v>206</v>
      </c>
      <c r="C182" s="533" t="str">
        <f>IF(ISERROR(VLOOKUP(B182,'Base de Datos'!$C$487:$F$4092,2,0))=TRUE,"",(VLOOKUP('Presupuesto - PAA 2018'!B182,'Base de Datos'!$C$7:$F$4092,3,0)))</f>
        <v>170231-0-2017</v>
      </c>
      <c r="D182" s="533" t="str">
        <f>IF(ISERROR(VLOOKUP(B182,'Base de Datos'!$C$487:$F$4092,3,0))=TRUE,"",(VLOOKUP('Presupuesto - PAA 2018'!B182,'Base de Datos'!$C$487:$F$4092,4,0)))</f>
        <v>ROYAL PARK LTDA</v>
      </c>
      <c r="E182" s="536">
        <f>VLOOKUP(B182,[7]PAA2017!$C$65:$AA$255,20,0)</f>
        <v>2196143000</v>
      </c>
      <c r="F182" s="534" t="str">
        <f>VLOOKUP(B182,[8]SOLICITUDES!$B$3:$H$278,2,0)</f>
        <v>SI</v>
      </c>
      <c r="G182" s="534"/>
      <c r="H182" s="534"/>
      <c r="I182" s="534"/>
      <c r="J182" s="536">
        <f>IF(ISERROR(VLOOKUP(B182,'Base de Datos'!$C$487:$N$4092,6,0))=TRUE,"Sin Celebrar",(VLOOKUP(B182,'Base de Datos'!$C$487:$N$4092,7,0)))</f>
        <v>855382000</v>
      </c>
      <c r="K182" s="600"/>
      <c r="L182" s="580" t="str">
        <f>IF(J182=$AA$1,E182, " ")</f>
        <v xml:space="preserve"> </v>
      </c>
      <c r="M182" s="536"/>
      <c r="N182" s="536">
        <f>IF(J182&lt;E182,(E182-J182)," ")</f>
        <v>1340761000</v>
      </c>
      <c r="O182" s="719" t="str">
        <f>IF(ISERROR(VLOOKUP(B182,'Base de Datos'!$C$487:$K$1048576,7,0))=TRUE," ",(VLOOKUP(B182,'Base de Datos'!$C$487:$K$1048576,8,0)))</f>
        <v>SDH-LP-03-2017</v>
      </c>
      <c r="P182" s="551">
        <f>IF(ISERROR(VLOOKUP(B182,'Base de Datos'!$C$487:$N$4077,9,0))=TRUE," ",(VLOOKUP(B182,'Base de Datos'!$C$487:$N$4077,10,0)))</f>
        <v>42984</v>
      </c>
      <c r="Q182" s="737"/>
      <c r="R182" s="551">
        <f>IF(ISERROR(VLOOKUP(B182,'Base de Datos'!$C$487:$N$4077,10,0))=TRUE," ",(VLOOKUP(B182,'Base de Datos'!$C$487:$N$4077,11,0)))</f>
        <v>42999</v>
      </c>
      <c r="S182" s="551">
        <f>IF(ISERROR(VLOOKUP(B182,'Base de Datos'!$C$487:$N$4077,11,0))=TRUE," ",(VLOOKUP(B182,'Base de Datos'!$C$487:$N$4077,12,0)))</f>
        <v>43241</v>
      </c>
      <c r="T182" s="533" t="str">
        <f>VLOOKUP(B182,'Base de Datos'!$C$487:$AR$4129,41,0)</f>
        <v>SI</v>
      </c>
      <c r="U182" s="722"/>
      <c r="V182" s="634"/>
    </row>
    <row r="183" spans="2:22" ht="24" outlineLevel="1" x14ac:dyDescent="0.25">
      <c r="B183" s="537">
        <v>207</v>
      </c>
      <c r="C183" s="533" t="str">
        <f>IF(ISERROR(VLOOKUP(B183,'Base de Datos'!$C$487:$F$4092,2,0))=TRUE,"",(VLOOKUP('Presupuesto - PAA 2018'!B183,'Base de Datos'!$C$7:$F$4092,3,0)))</f>
        <v>160307-0-2016</v>
      </c>
      <c r="D183" s="533" t="str">
        <f>IF(ISERROR(VLOOKUP(B183,'Base de Datos'!$C$487:$F$4092,3,0))=TRUE,"",(VLOOKUP('Presupuesto - PAA 2018'!B183,'Base de Datos'!$C$487:$F$4092,4,0)))</f>
        <v>ALMACNES ÉXITO SA</v>
      </c>
      <c r="E183" s="536">
        <f>VLOOKUP(B183,[7]PAA2017!$C$65:$AA$255,20,0)</f>
        <v>108848000</v>
      </c>
      <c r="F183" s="534" t="e">
        <f>VLOOKUP(B183,[8]SOLICITUDES!$B$3:$H$278,2,0)</f>
        <v>#N/A</v>
      </c>
      <c r="G183" s="534"/>
      <c r="H183" s="534"/>
      <c r="I183" s="534"/>
      <c r="J183" s="536">
        <f>IF(ISERROR(VLOOKUP(B183,'Base de Datos'!$C$487:$N$4092,6,0))=TRUE,"Sin Celebrar",(VLOOKUP(B183,'Base de Datos'!$C$487:$N$4092,7,0)))</f>
        <v>35410320</v>
      </c>
      <c r="K183" s="600"/>
      <c r="L183" s="580" t="str">
        <f>IF(J183=$AA$1,E183, " ")</f>
        <v xml:space="preserve"> </v>
      </c>
      <c r="M183" s="536"/>
      <c r="N183" s="536">
        <f>IF(J183&lt;E183,(E183-J183)," ")</f>
        <v>73437680</v>
      </c>
      <c r="O183" s="719" t="str">
        <f>IF(ISERROR(VLOOKUP(B183,'Base de Datos'!$C$487:$K$1048576,7,0))=TRUE," ",(VLOOKUP(B183,'Base de Datos'!$C$487:$K$1048576,8,0)))</f>
        <v>SDH-SAMC-10-2017</v>
      </c>
      <c r="P183" s="551">
        <f>IF(ISERROR(VLOOKUP(B183,'Base de Datos'!$C$487:$N$4077,9,0))=TRUE," ",(VLOOKUP(B183,'Base de Datos'!$C$487:$N$4077,10,0)))</f>
        <v>43076</v>
      </c>
      <c r="Q183" s="737"/>
      <c r="R183" s="551">
        <f>IF(ISERROR(VLOOKUP(B183,'Base de Datos'!$C$487:$N$4077,10,0))=TRUE," ",(VLOOKUP(B183,'Base de Datos'!$C$487:$N$4077,11,0)))</f>
        <v>43091</v>
      </c>
      <c r="S183" s="551">
        <f>IF(ISERROR(VLOOKUP(B183,'Base de Datos'!$C$487:$N$4077,11,0))=TRUE," ",(VLOOKUP(B183,'Base de Datos'!$C$487:$N$4077,12,0)))</f>
        <v>43211</v>
      </c>
      <c r="T183" s="533" t="str">
        <f>VLOOKUP(B183,'Base de Datos'!$C$487:$AR$4129,41,0)</f>
        <v>SI</v>
      </c>
      <c r="U183" s="722"/>
      <c r="V183" s="634"/>
    </row>
    <row r="184" spans="2:22" outlineLevel="1" x14ac:dyDescent="0.25">
      <c r="B184" s="552"/>
      <c r="C184" s="533" t="str">
        <f>IF(ISERROR(VLOOKUP(B184,'Base de Datos'!$C$487:$F$4092,2,0))=TRUE,"",(VLOOKUP('Presupuesto - PAA 2018'!B184,'Base de Datos'!$C$7:$F$4092,3,0)))</f>
        <v/>
      </c>
      <c r="D184" s="533" t="str">
        <f>IF(ISERROR(VLOOKUP(B184,'Base de Datos'!$C$487:$F$4092,3,0))=TRUE,"",(VLOOKUP('Presupuesto - PAA 2018'!B184,'Base de Datos'!$C$487:$F$4092,4,0)))</f>
        <v/>
      </c>
      <c r="E184" s="536" t="e">
        <f>VLOOKUP(B184,[7]PAA2017!$C$65:$AA$255,20,0)</f>
        <v>#N/A</v>
      </c>
      <c r="F184" s="534" t="e">
        <f>VLOOKUP(B184,[8]SOLICITUDES!$B$3:$H$278,2,0)</f>
        <v>#N/A</v>
      </c>
      <c r="G184" s="534"/>
      <c r="H184" s="534"/>
      <c r="I184" s="534"/>
      <c r="J184" s="536" t="str">
        <f>IF(ISERROR(VLOOKUP(B184,'Base de Datos'!$C$487:$N$4092,6,0))=TRUE,"Sin Celebrar",(VLOOKUP(B184,'Base de Datos'!$C$487:$N$4092,7,0)))</f>
        <v>Sin Celebrar</v>
      </c>
      <c r="K184" s="600"/>
      <c r="L184" s="580" t="e">
        <f>IF(J184=$AA$1,E184, " ")</f>
        <v>#N/A</v>
      </c>
      <c r="M184" s="536"/>
      <c r="N184" s="536" t="e">
        <f>IF(J184&lt;E184,(E184-J184)," ")</f>
        <v>#N/A</v>
      </c>
      <c r="O184" s="719" t="str">
        <f>IF(ISERROR(VLOOKUP(B184,'Base de Datos'!$C$487:$K$1048576,7,0))=TRUE," ",(VLOOKUP(B184,'Base de Datos'!$C$487:$K$1048576,8,0)))</f>
        <v xml:space="preserve"> </v>
      </c>
      <c r="P184" s="551" t="str">
        <f>IF(ISERROR(VLOOKUP(B184,'Base de Datos'!$C$487:$N$4077,9,0))=TRUE," ",(VLOOKUP(B184,'Base de Datos'!$C$487:$N$4077,10,0)))</f>
        <v xml:space="preserve"> </v>
      </c>
      <c r="Q184" s="737"/>
      <c r="R184" s="551" t="str">
        <f>IF(ISERROR(VLOOKUP(B184,'Base de Datos'!$C$487:$N$4077,10,0))=TRUE," ",(VLOOKUP(B184,'Base de Datos'!$C$487:$N$4077,11,0)))</f>
        <v xml:space="preserve"> </v>
      </c>
      <c r="S184" s="551" t="str">
        <f>IF(ISERROR(VLOOKUP(B184,'Base de Datos'!$C$487:$N$4077,11,0))=TRUE," ",(VLOOKUP(B184,'Base de Datos'!$C$487:$N$4077,12,0)))</f>
        <v xml:space="preserve"> </v>
      </c>
      <c r="T184" s="533" t="e">
        <f>VLOOKUP(B184,'Base de Datos'!$C$487:$AR$4129,41,0)</f>
        <v>#N/A</v>
      </c>
      <c r="U184" s="722"/>
      <c r="V184" s="634"/>
    </row>
    <row r="185" spans="2:22" outlineLevel="1" x14ac:dyDescent="0.25">
      <c r="B185" s="552"/>
      <c r="C185" s="533" t="str">
        <f>IF(ISERROR(VLOOKUP(B185,'Base de Datos'!$C$487:$F$4092,2,0))=TRUE,"",(VLOOKUP('Presupuesto - PAA 2018'!B185,'Base de Datos'!$C$7:$F$4092,3,0)))</f>
        <v/>
      </c>
      <c r="D185" s="533" t="str">
        <f>IF(ISERROR(VLOOKUP(B185,'Base de Datos'!$C$487:$F$4092,3,0))=TRUE,"",(VLOOKUP('Presupuesto - PAA 2018'!B185,'Base de Datos'!$C$487:$F$4092,4,0)))</f>
        <v/>
      </c>
      <c r="E185" s="536" t="e">
        <f>VLOOKUP(B185,[7]PAA2017!$C$65:$AA$255,20,0)</f>
        <v>#N/A</v>
      </c>
      <c r="F185" s="534" t="e">
        <f>VLOOKUP(B185,[8]SOLICITUDES!$B$3:$H$278,2,0)</f>
        <v>#N/A</v>
      </c>
      <c r="G185" s="534"/>
      <c r="H185" s="534"/>
      <c r="I185" s="534"/>
      <c r="J185" s="536" t="str">
        <f>IF(ISERROR(VLOOKUP(B185,'Base de Datos'!$C$487:$N$4092,6,0))=TRUE,"Sin Celebrar",(VLOOKUP(B185,'Base de Datos'!$C$487:$N$4092,7,0)))</f>
        <v>Sin Celebrar</v>
      </c>
      <c r="K185" s="600"/>
      <c r="L185" s="580" t="e">
        <f>IF(J185=$AA$1,E185, " ")</f>
        <v>#N/A</v>
      </c>
      <c r="M185" s="536"/>
      <c r="N185" s="536" t="e">
        <f>IF(J185&lt;E185,(E185-J185)," ")</f>
        <v>#N/A</v>
      </c>
      <c r="O185" s="719" t="str">
        <f>IF(ISERROR(VLOOKUP(B185,'Base de Datos'!$C$487:$K$1048576,7,0))=TRUE," ",(VLOOKUP(B185,'Base de Datos'!$C$487:$K$1048576,8,0)))</f>
        <v xml:space="preserve"> </v>
      </c>
      <c r="P185" s="551" t="str">
        <f>IF(ISERROR(VLOOKUP(B185,'Base de Datos'!$C$487:$N$4077,9,0))=TRUE," ",(VLOOKUP(B185,'Base de Datos'!$C$487:$N$4077,10,0)))</f>
        <v xml:space="preserve"> </v>
      </c>
      <c r="Q185" s="737"/>
      <c r="R185" s="551" t="str">
        <f>IF(ISERROR(VLOOKUP(B185,'Base de Datos'!$C$487:$N$4077,10,0))=TRUE," ",(VLOOKUP(B185,'Base de Datos'!$C$487:$N$4077,11,0)))</f>
        <v xml:space="preserve"> </v>
      </c>
      <c r="S185" s="551" t="str">
        <f>IF(ISERROR(VLOOKUP(B185,'Base de Datos'!$C$487:$N$4077,11,0))=TRUE," ",(VLOOKUP(B185,'Base de Datos'!$C$487:$N$4077,12,0)))</f>
        <v xml:space="preserve"> </v>
      </c>
      <c r="T185" s="533" t="e">
        <f>VLOOKUP(B185,'Base de Datos'!$C$487:$AR$4129,41,0)</f>
        <v>#N/A</v>
      </c>
      <c r="U185" s="722"/>
      <c r="V185" s="634"/>
    </row>
    <row r="186" spans="2:22" outlineLevel="1" x14ac:dyDescent="0.25">
      <c r="B186" s="533"/>
      <c r="C186" s="533"/>
      <c r="D186" s="533" t="s">
        <v>1935</v>
      </c>
      <c r="E186" s="536">
        <f>E180-SUM(E182:E183)</f>
        <v>-1470991000</v>
      </c>
      <c r="F186" s="534"/>
      <c r="G186" s="534"/>
      <c r="H186" s="534"/>
      <c r="I186" s="534"/>
      <c r="J186" s="536"/>
      <c r="K186" s="600"/>
      <c r="L186" s="554"/>
      <c r="M186" s="554"/>
      <c r="N186" s="536" t="str">
        <f>IF(J186&lt;E186,(E186-J186)," ")</f>
        <v xml:space="preserve"> </v>
      </c>
      <c r="O186" s="679"/>
      <c r="P186" s="551" t="str">
        <f>IF(ISERROR(VLOOKUP(B186,'Base de Datos'!$C$7:$N$315,9,0))=TRUE," ",(VLOOKUP(B186,'Base de Datos'!$C$7:$N$315,9,0)))</f>
        <v xml:space="preserve"> </v>
      </c>
      <c r="Q186" s="533"/>
      <c r="R186" s="710" t="str">
        <f>IF(ISERROR(VLOOKUP(B186,'Base de Datos'!$C$7:$N$4077,10,0))=TRUE," ",(VLOOKUP(B186,'Base de Datos'!$C$7:$N$4077,10,0)))</f>
        <v xml:space="preserve"> </v>
      </c>
      <c r="S186" s="710" t="str">
        <f>IF(ISERROR(VLOOKUP(B186,'Base de Datos'!$C$7:$N$4077,11,0))=TRUE," ",(VLOOKUP(B186,'Base de Datos'!$C$7:$N$4077,11,0)))</f>
        <v xml:space="preserve"> </v>
      </c>
      <c r="T186" s="533"/>
      <c r="U186" s="722"/>
      <c r="V186" s="634"/>
    </row>
    <row r="187" spans="2:22" outlineLevel="1" x14ac:dyDescent="0.25">
      <c r="B187" s="533"/>
      <c r="C187" s="533"/>
      <c r="D187" s="533"/>
      <c r="E187" s="536"/>
      <c r="F187" s="534"/>
      <c r="G187" s="534"/>
      <c r="H187" s="534"/>
      <c r="I187" s="534"/>
      <c r="J187" s="536"/>
      <c r="K187" s="600"/>
      <c r="L187" s="536"/>
      <c r="M187" s="536"/>
      <c r="N187" s="536"/>
      <c r="O187" s="678"/>
      <c r="P187" s="551"/>
      <c r="Q187" s="533"/>
      <c r="R187" s="551"/>
      <c r="S187" s="551"/>
      <c r="T187" s="533"/>
      <c r="U187" s="722"/>
      <c r="V187" s="634"/>
    </row>
    <row r="188" spans="2:22" ht="15" customHeight="1" x14ac:dyDescent="0.25">
      <c r="B188" s="1199" t="s">
        <v>1668</v>
      </c>
      <c r="C188" s="1199"/>
      <c r="D188" s="1199"/>
      <c r="E188" s="587">
        <v>351721000</v>
      </c>
      <c r="F188" s="588">
        <f>COUNTIF('Actualizada - presupuesto'!$E$7:$E$111,B188)</f>
        <v>4</v>
      </c>
      <c r="G188" s="588"/>
      <c r="H188" s="588"/>
      <c r="I188" s="588"/>
      <c r="J188" s="587">
        <f>SUM(J190:J194)</f>
        <v>169703000</v>
      </c>
      <c r="K188" s="607">
        <f>J188/E188</f>
        <v>0.48249322616505697</v>
      </c>
      <c r="L188" s="587" t="e">
        <f>SUM(L190:L194)</f>
        <v>#N/A</v>
      </c>
      <c r="M188" s="587"/>
      <c r="N188" s="587" t="e">
        <f>+E188-J188-L188</f>
        <v>#N/A</v>
      </c>
      <c r="O188" s="682"/>
      <c r="P188" s="589" t="str">
        <f>IF(ISERROR(VLOOKUP(B188,'Base de Datos'!$C$7:$N$315,8,0))=TRUE," ",(VLOOKUP(B188,'Base de Datos'!$C$7:$N$315,8,0)))</f>
        <v xml:space="preserve"> </v>
      </c>
      <c r="Q188" s="590"/>
      <c r="R188" s="589" t="str">
        <f>IF(ISERROR(VLOOKUP(B188,'Base de Datos'!$C$7:$N$315,9,0))=TRUE," ",(VLOOKUP(B188,'Base de Datos'!$C$7:$N$315,9,0)))</f>
        <v xml:space="preserve"> </v>
      </c>
      <c r="S188" s="589" t="str">
        <f>IF(ISERROR(VLOOKUP(B188,'Base de Datos'!$C$7:$N$315,10,0))=TRUE," ",(VLOOKUP(B188,'Base de Datos'!$C$7:$N$315,10,0)))</f>
        <v xml:space="preserve"> </v>
      </c>
      <c r="T188" s="592"/>
      <c r="U188" s="722"/>
      <c r="V188" s="634"/>
    </row>
    <row r="189" spans="2:22" ht="24" outlineLevel="1" x14ac:dyDescent="0.25">
      <c r="B189" s="537" t="s">
        <v>1693</v>
      </c>
      <c r="C189" s="537" t="s">
        <v>912</v>
      </c>
      <c r="D189" s="537" t="s">
        <v>1822</v>
      </c>
      <c r="E189" s="545" t="s">
        <v>1846</v>
      </c>
      <c r="F189" s="534" t="s">
        <v>1853</v>
      </c>
      <c r="G189" s="534"/>
      <c r="H189" s="534"/>
      <c r="I189" s="534"/>
      <c r="J189" s="537" t="s">
        <v>1845</v>
      </c>
      <c r="K189" s="652"/>
      <c r="L189" s="537" t="s">
        <v>1939</v>
      </c>
      <c r="M189" s="537"/>
      <c r="N189" s="537" t="s">
        <v>1940</v>
      </c>
      <c r="O189" s="677"/>
      <c r="P189" s="568" t="s">
        <v>1847</v>
      </c>
      <c r="Q189" s="537" t="s">
        <v>1848</v>
      </c>
      <c r="R189" s="537" t="s">
        <v>1849</v>
      </c>
      <c r="S189" s="537" t="s">
        <v>375</v>
      </c>
      <c r="T189" s="537" t="s">
        <v>1850</v>
      </c>
      <c r="U189" s="722"/>
      <c r="V189" s="634"/>
    </row>
    <row r="190" spans="2:22" ht="16.5" customHeight="1" outlineLevel="1" x14ac:dyDescent="0.25">
      <c r="B190" s="537">
        <v>176</v>
      </c>
      <c r="C190" s="533" t="str">
        <f>IF(ISERROR(VLOOKUP(B190,'Base de Datos'!$C$487:$F$4092,2,0))=TRUE,"",(VLOOKUP('Presupuesto - PAA 2018'!B190,'Base de Datos'!$C$7:$F$4092,3,0)))</f>
        <v>150141-0-2015</v>
      </c>
      <c r="D190" s="533" t="str">
        <f>IF(ISERROR(VLOOKUP(B190,'Base de Datos'!$C$487:$F$4092,3,0))=TRUE,"",(VLOOKUP('Presupuesto - PAA 2018'!B190,'Base de Datos'!$C$487:$F$4092,4,0)))</f>
        <v>GRANADOS Y CONDECORACIONES</v>
      </c>
      <c r="E190" s="536">
        <f>VLOOKUP(B190,[7]PAA2017!$C$65:$AA$255,20,0)</f>
        <v>72000000</v>
      </c>
      <c r="F190" s="534" t="str">
        <f>VLOOKUP(B190,[8]SOLICITUDES!$B$3:$H$278,2,0)</f>
        <v>SI</v>
      </c>
      <c r="G190" s="534"/>
      <c r="H190" s="534"/>
      <c r="I190" s="534"/>
      <c r="J190" s="536">
        <f>IF(ISERROR(VLOOKUP(B190,'Base de Datos'!$C$487:$N$4092,6,0))=TRUE,"Sin Celebrar",(VLOOKUP(B190,'Base de Datos'!$C$487:$N$4092,7,0)))</f>
        <v>50703000</v>
      </c>
      <c r="K190" s="600"/>
      <c r="L190" s="580" t="str">
        <f>IF(J190=$AA$1,E190, " ")</f>
        <v xml:space="preserve"> </v>
      </c>
      <c r="M190" s="536"/>
      <c r="N190" s="536">
        <f>IF(J190&lt;E190,(E190-J190)," ")</f>
        <v>21297000</v>
      </c>
      <c r="O190" s="719" t="str">
        <f>IF(ISERROR(VLOOKUP(B190,'Base de Datos'!$C$487:$K$1048576,7,0))=TRUE," ",(VLOOKUP(B190,'Base de Datos'!$C$487:$K$1048576,8,0)))</f>
        <v>SDH-SMINC-12-2017</v>
      </c>
      <c r="P190" s="551">
        <f>IF(ISERROR(VLOOKUP(B190,'Base de Datos'!$C$487:$N$4077,9,0))=TRUE," ",(VLOOKUP(B190,'Base de Datos'!$C$487:$N$4077,10,0)))</f>
        <v>42846</v>
      </c>
      <c r="Q190" s="737"/>
      <c r="R190" s="551">
        <f>IF(ISERROR(VLOOKUP(B190,'Base de Datos'!$C$487:$N$4077,10,0))=TRUE," ",(VLOOKUP(B190,'Base de Datos'!$C$487:$N$4077,11,0)))</f>
        <v>42874</v>
      </c>
      <c r="S190" s="551">
        <f>IF(ISERROR(VLOOKUP(B190,'Base de Datos'!$C$487:$N$4077,11,0))=TRUE," ",(VLOOKUP(B190,'Base de Datos'!$C$487:$N$4077,12,0)))</f>
        <v>43239</v>
      </c>
      <c r="T190" s="533" t="str">
        <f>VLOOKUP(B190,'Base de Datos'!$C$487:$AR$4129,41,0)</f>
        <v>SI</v>
      </c>
      <c r="U190" s="722"/>
      <c r="V190" s="634"/>
    </row>
    <row r="191" spans="2:22" ht="18" customHeight="1" outlineLevel="1" x14ac:dyDescent="0.25">
      <c r="B191" s="537">
        <v>201</v>
      </c>
      <c r="C191" s="533" t="str">
        <f>IF(ISERROR(VLOOKUP(B191,'Base de Datos'!$C$487:$F$4092,2,0))=TRUE,"",(VLOOKUP('Presupuesto - PAA 2018'!B191,'Base de Datos'!$C$7:$F$4092,3,0)))</f>
        <v>160250-0-2016</v>
      </c>
      <c r="D191" s="533" t="str">
        <f>IF(ISERROR(VLOOKUP(B191,'Base de Datos'!$C$487:$F$4092,3,0))=TRUE,"",(VLOOKUP('Presupuesto - PAA 2018'!B191,'Base de Datos'!$C$487:$F$4092,4,0)))</f>
        <v>DOUGLAS TRADE SAS</v>
      </c>
      <c r="E191" s="536">
        <f>VLOOKUP(B191,[7]PAA2017!$C$65:$AA$255,20,0)</f>
        <v>317000000</v>
      </c>
      <c r="F191" s="534" t="str">
        <f>VLOOKUP(B191,[8]SOLICITUDES!$B$3:$H$278,2,0)</f>
        <v>SI</v>
      </c>
      <c r="G191" s="534"/>
      <c r="H191" s="534"/>
      <c r="I191" s="534"/>
      <c r="J191" s="536">
        <f>IF(ISERROR(VLOOKUP(B191,'Base de Datos'!$C$487:$N$4092,6,0))=TRUE,"Sin Celebrar",(VLOOKUP(B191,'Base de Datos'!$C$487:$N$4092,7,0)))</f>
        <v>119000000</v>
      </c>
      <c r="K191" s="600"/>
      <c r="L191" s="580" t="str">
        <f>IF(J191=$AA$1,E191, " ")</f>
        <v xml:space="preserve"> </v>
      </c>
      <c r="M191" s="536"/>
      <c r="N191" s="536">
        <f>IF(J191&lt;E191,(E191-J191)," ")</f>
        <v>198000000</v>
      </c>
      <c r="O191" s="719" t="str">
        <f>IF(ISERROR(VLOOKUP(B191,'Base de Datos'!$C$487:$K$1048576,7,0))=TRUE," ",(VLOOKUP(B191,'Base de Datos'!$C$487:$K$1048576,8,0)))</f>
        <v>SDH-SAMC-02-2017</v>
      </c>
      <c r="P191" s="551">
        <f>IF(ISERROR(VLOOKUP(B191,'Base de Datos'!$C$487:$N$4077,9,0))=TRUE," ",(VLOOKUP(B191,'Base de Datos'!$C$487:$N$4077,10,0)))</f>
        <v>42863</v>
      </c>
      <c r="Q191" s="737"/>
      <c r="R191" s="551">
        <f>IF(ISERROR(VLOOKUP(B191,'Base de Datos'!$C$487:$N$4077,10,0))=TRUE," ",(VLOOKUP(B191,'Base de Datos'!$C$487:$N$4077,11,0)))</f>
        <v>42872</v>
      </c>
      <c r="S191" s="551">
        <f>IF(ISERROR(VLOOKUP(B191,'Base de Datos'!$C$487:$N$4077,11,0))=TRUE," ",(VLOOKUP(B191,'Base de Datos'!$C$487:$N$4077,12,0)))</f>
        <v>43176</v>
      </c>
      <c r="T191" s="533" t="str">
        <f>VLOOKUP(B191,'Base de Datos'!$C$487:$AR$4129,41,0)</f>
        <v>SI</v>
      </c>
      <c r="U191" s="722"/>
      <c r="V191" s="634"/>
    </row>
    <row r="192" spans="2:22" ht="15" customHeight="1" outlineLevel="1" x14ac:dyDescent="0.25">
      <c r="B192" s="537"/>
      <c r="C192" s="533" t="str">
        <f>IF(ISERROR(VLOOKUP(B192,'Base de Datos'!$C$487:$F$4092,2,0))=TRUE,"",(VLOOKUP('Presupuesto - PAA 2018'!B192,'Base de Datos'!$C$7:$F$4092,3,0)))</f>
        <v/>
      </c>
      <c r="D192" s="533" t="str">
        <f>IF(ISERROR(VLOOKUP(B192,'Base de Datos'!$C$487:$F$4092,3,0))=TRUE,"",(VLOOKUP('Presupuesto - PAA 2018'!B192,'Base de Datos'!$C$487:$F$4092,4,0)))</f>
        <v/>
      </c>
      <c r="E192" s="536" t="e">
        <f>VLOOKUP(B192,[7]PAA2017!$C$65:$AA$255,20,0)</f>
        <v>#N/A</v>
      </c>
      <c r="F192" s="534" t="e">
        <f>VLOOKUP(B192,[8]SOLICITUDES!$B$3:$H$278,2,0)</f>
        <v>#N/A</v>
      </c>
      <c r="G192" s="534"/>
      <c r="H192" s="534"/>
      <c r="I192" s="534"/>
      <c r="J192" s="536" t="str">
        <f>IF(ISERROR(VLOOKUP(B192,'Base de Datos'!$C$487:$N$4092,6,0))=TRUE,"Sin Celebrar",(VLOOKUP(B192,'Base de Datos'!$C$487:$N$4092,7,0)))</f>
        <v>Sin Celebrar</v>
      </c>
      <c r="K192" s="600"/>
      <c r="L192" s="580" t="e">
        <f>IF(J192=$AA$1,E192, " ")</f>
        <v>#N/A</v>
      </c>
      <c r="M192" s="536"/>
      <c r="N192" s="536" t="e">
        <f>IF(J192&lt;E192,(E192-J192)," ")</f>
        <v>#N/A</v>
      </c>
      <c r="O192" s="719" t="str">
        <f>IF(ISERROR(VLOOKUP(B192,'Base de Datos'!$C$487:$K$1048576,7,0))=TRUE," ",(VLOOKUP(B192,'Base de Datos'!$C$487:$K$1048576,8,0)))</f>
        <v xml:space="preserve"> </v>
      </c>
      <c r="P192" s="551" t="str">
        <f>IF(ISERROR(VLOOKUP(B192,'Base de Datos'!$C$487:$N$4077,9,0))=TRUE," ",(VLOOKUP(B192,'Base de Datos'!$C$487:$N$4077,10,0)))</f>
        <v xml:space="preserve"> </v>
      </c>
      <c r="Q192" s="737"/>
      <c r="R192" s="551" t="str">
        <f>IF(ISERROR(VLOOKUP(B192,'Base de Datos'!$C$487:$N$4077,10,0))=TRUE," ",(VLOOKUP(B192,'Base de Datos'!$C$487:$N$4077,11,0)))</f>
        <v xml:space="preserve"> </v>
      </c>
      <c r="S192" s="551" t="str">
        <f>IF(ISERROR(VLOOKUP(B192,'Base de Datos'!$C$487:$N$4077,11,0))=TRUE," ",(VLOOKUP(B192,'Base de Datos'!$C$487:$N$4077,12,0)))</f>
        <v xml:space="preserve"> </v>
      </c>
      <c r="T192" s="533" t="e">
        <f>VLOOKUP(B192,'Base de Datos'!$C$487:$AR$4129,41,0)</f>
        <v>#N/A</v>
      </c>
      <c r="U192" s="722"/>
      <c r="V192" s="634"/>
    </row>
    <row r="193" spans="2:22" outlineLevel="1" x14ac:dyDescent="0.25">
      <c r="B193" s="552"/>
      <c r="C193" s="533" t="str">
        <f>IF(ISERROR(VLOOKUP(B193,'Base de Datos'!$C$487:$F$4092,2,0))=TRUE,"",(VLOOKUP('Presupuesto - PAA 2018'!B193,'Base de Datos'!$C$7:$F$4092,3,0)))</f>
        <v/>
      </c>
      <c r="D193" s="533" t="str">
        <f>IF(ISERROR(VLOOKUP(B193,'Base de Datos'!$C$487:$F$4092,3,0))=TRUE,"",(VLOOKUP('Presupuesto - PAA 2018'!B193,'Base de Datos'!$C$487:$F$4092,4,0)))</f>
        <v/>
      </c>
      <c r="E193" s="536" t="e">
        <f>VLOOKUP(B193,[7]PAA2017!$C$65:$AA$255,20,0)</f>
        <v>#N/A</v>
      </c>
      <c r="F193" s="534" t="e">
        <f>VLOOKUP(B193,[8]SOLICITUDES!$B$3:$H$278,2,0)</f>
        <v>#N/A</v>
      </c>
      <c r="G193" s="534"/>
      <c r="H193" s="534"/>
      <c r="I193" s="534"/>
      <c r="J193" s="536" t="str">
        <f>IF(ISERROR(VLOOKUP(B193,'Base de Datos'!$C$487:$N$4092,6,0))=TRUE,"Sin Celebrar",(VLOOKUP(B193,'Base de Datos'!$C$487:$N$4092,7,0)))</f>
        <v>Sin Celebrar</v>
      </c>
      <c r="K193" s="600"/>
      <c r="L193" s="580" t="e">
        <f>IF(J193=$AA$1,E193, " ")</f>
        <v>#N/A</v>
      </c>
      <c r="M193" s="536"/>
      <c r="N193" s="536" t="e">
        <f>IF(J193&lt;E193,(E193-J193)," ")</f>
        <v>#N/A</v>
      </c>
      <c r="O193" s="719" t="str">
        <f>IF(ISERROR(VLOOKUP(B193,'Base de Datos'!$C$487:$K$1048576,7,0))=TRUE," ",(VLOOKUP(B193,'Base de Datos'!$C$487:$K$1048576,8,0)))</f>
        <v xml:space="preserve"> </v>
      </c>
      <c r="P193" s="551" t="str">
        <f>IF(ISERROR(VLOOKUP(B193,'Base de Datos'!$C$487:$N$4077,9,0))=TRUE," ",(VLOOKUP(B193,'Base de Datos'!$C$487:$N$4077,10,0)))</f>
        <v xml:space="preserve"> </v>
      </c>
      <c r="Q193" s="737"/>
      <c r="R193" s="551" t="str">
        <f>IF(ISERROR(VLOOKUP(B193,'Base de Datos'!$C$487:$N$4077,10,0))=TRUE," ",(VLOOKUP(B193,'Base de Datos'!$C$487:$N$4077,11,0)))</f>
        <v xml:space="preserve"> </v>
      </c>
      <c r="S193" s="551" t="str">
        <f>IF(ISERROR(VLOOKUP(B193,'Base de Datos'!$C$487:$N$4077,11,0))=TRUE," ",(VLOOKUP(B193,'Base de Datos'!$C$487:$N$4077,12,0)))</f>
        <v xml:space="preserve"> </v>
      </c>
      <c r="T193" s="533" t="e">
        <f>VLOOKUP(B193,'Base de Datos'!$C$487:$AR$4129,41,0)</f>
        <v>#N/A</v>
      </c>
      <c r="U193" s="722"/>
      <c r="V193" s="634"/>
    </row>
    <row r="194" spans="2:22" outlineLevel="1" x14ac:dyDescent="0.25">
      <c r="B194" s="533"/>
      <c r="C194" s="533"/>
      <c r="D194" s="533" t="s">
        <v>1935</v>
      </c>
      <c r="E194" s="536" t="e">
        <f>+E188-SUM(E190:E193)</f>
        <v>#N/A</v>
      </c>
      <c r="F194" s="534"/>
      <c r="G194" s="534"/>
      <c r="H194" s="534"/>
      <c r="I194" s="534"/>
      <c r="J194" s="536"/>
      <c r="K194" s="600"/>
      <c r="L194" s="554"/>
      <c r="M194" s="554"/>
      <c r="N194" s="554" t="e">
        <f>IF(J194&lt;E194,(E194-J194)," ")</f>
        <v>#N/A</v>
      </c>
      <c r="O194" s="679"/>
      <c r="P194" s="551" t="str">
        <f>IF(ISERROR(VLOOKUP(B194,'Base de Datos'!$C$7:$N$315,9,0))=TRUE," ",(VLOOKUP(B194,'Base de Datos'!$C$7:$N$315,9,0)))</f>
        <v xml:space="preserve"> </v>
      </c>
      <c r="Q194" s="533"/>
      <c r="R194" s="556" t="str">
        <f>IF(ISERROR(VLOOKUP(B194,'Base de Datos'!$C$7:$N$315,10,0))=TRUE," ",(VLOOKUP(B194,'Base de Datos'!$C$7:$N$315,10,0)))</f>
        <v xml:space="preserve"> </v>
      </c>
      <c r="S194" s="556" t="str">
        <f>IF(ISERROR(VLOOKUP(B194,'Base de Datos'!$C$7:$N$315,11,0))=TRUE," ",(VLOOKUP(B194,'Base de Datos'!$C$7:$N$315,11,0)))</f>
        <v xml:space="preserve"> </v>
      </c>
      <c r="T194" s="533"/>
      <c r="U194" s="722"/>
      <c r="V194" s="634"/>
    </row>
    <row r="195" spans="2:22" outlineLevel="1" x14ac:dyDescent="0.25">
      <c r="B195" s="533"/>
      <c r="C195" s="533"/>
      <c r="D195" s="533"/>
      <c r="E195" s="536"/>
      <c r="F195" s="534"/>
      <c r="G195" s="534"/>
      <c r="H195" s="534"/>
      <c r="I195" s="534"/>
      <c r="J195" s="536"/>
      <c r="K195" s="600"/>
      <c r="L195" s="536"/>
      <c r="M195" s="536"/>
      <c r="N195" s="536"/>
      <c r="O195" s="678"/>
      <c r="P195" s="551"/>
      <c r="Q195" s="533"/>
      <c r="R195" s="551"/>
      <c r="S195" s="551"/>
      <c r="T195" s="533"/>
      <c r="U195" s="722"/>
      <c r="V195" s="634"/>
    </row>
    <row r="196" spans="2:22" ht="15" customHeight="1" x14ac:dyDescent="0.25">
      <c r="B196" s="1195" t="s">
        <v>1669</v>
      </c>
      <c r="C196" s="1195"/>
      <c r="D196" s="1195"/>
      <c r="E196" s="587">
        <v>108000000</v>
      </c>
      <c r="F196" s="588">
        <f>COUNTIF('Actualizada - presupuesto'!$E$7:$E$111,B196)</f>
        <v>3</v>
      </c>
      <c r="G196" s="588"/>
      <c r="H196" s="588"/>
      <c r="I196" s="588"/>
      <c r="J196" s="587">
        <f>SUM(J198:J202)</f>
        <v>87576032</v>
      </c>
      <c r="K196" s="607">
        <f>J196/E196</f>
        <v>0.81088918518518516</v>
      </c>
      <c r="L196" s="587">
        <f>SUM(L198:L202)</f>
        <v>0</v>
      </c>
      <c r="M196" s="587"/>
      <c r="N196" s="587">
        <f>+E196-J196-L196</f>
        <v>20423968</v>
      </c>
      <c r="O196" s="682"/>
      <c r="P196" s="589" t="str">
        <f>IF(ISERROR(VLOOKUP(B196,'Base de Datos'!$C$7:$N$315,8,0))=TRUE," ",(VLOOKUP(B196,'Base de Datos'!$C$7:$N$315,8,0)))</f>
        <v xml:space="preserve"> </v>
      </c>
      <c r="Q196" s="590"/>
      <c r="R196" s="589" t="str">
        <f>IF(ISERROR(VLOOKUP(B196,'Base de Datos'!$C$7:$N$315,9,0))=TRUE," ",(VLOOKUP(B196,'Base de Datos'!$C$7:$N$315,9,0)))</f>
        <v xml:space="preserve"> </v>
      </c>
      <c r="S196" s="589" t="str">
        <f>IF(ISERROR(VLOOKUP(B196,'Base de Datos'!$C$7:$N$315,10,0))=TRUE," ",(VLOOKUP(B196,'Base de Datos'!$C$7:$N$315,10,0)))</f>
        <v xml:space="preserve"> </v>
      </c>
      <c r="T196" s="592"/>
      <c r="U196" s="722"/>
      <c r="V196" s="634"/>
    </row>
    <row r="197" spans="2:22" ht="24" outlineLevel="1" x14ac:dyDescent="0.25">
      <c r="B197" s="537" t="s">
        <v>1693</v>
      </c>
      <c r="C197" s="537" t="s">
        <v>912</v>
      </c>
      <c r="D197" s="537" t="s">
        <v>1822</v>
      </c>
      <c r="E197" s="545" t="s">
        <v>1846</v>
      </c>
      <c r="F197" s="534" t="s">
        <v>1853</v>
      </c>
      <c r="G197" s="534"/>
      <c r="H197" s="534"/>
      <c r="I197" s="534"/>
      <c r="J197" s="537" t="s">
        <v>1845</v>
      </c>
      <c r="K197" s="652"/>
      <c r="L197" s="537" t="s">
        <v>1939</v>
      </c>
      <c r="M197" s="537"/>
      <c r="N197" s="537" t="s">
        <v>1940</v>
      </c>
      <c r="O197" s="677"/>
      <c r="P197" s="568" t="s">
        <v>1847</v>
      </c>
      <c r="Q197" s="537" t="s">
        <v>1848</v>
      </c>
      <c r="R197" s="537" t="s">
        <v>1849</v>
      </c>
      <c r="S197" s="537" t="s">
        <v>375</v>
      </c>
      <c r="T197" s="537" t="s">
        <v>1850</v>
      </c>
      <c r="U197" s="722"/>
      <c r="V197" s="634"/>
    </row>
    <row r="198" spans="2:22" ht="24" outlineLevel="1" x14ac:dyDescent="0.25">
      <c r="B198" s="537">
        <v>208</v>
      </c>
      <c r="C198" s="533" t="str">
        <f>IF(ISERROR(VLOOKUP(B198,'Base de Datos'!$C$487:$F$4092,2,0))=TRUE,"",(VLOOKUP('Presupuesto - PAA 2018'!B198,'Base de Datos'!$C$7:$F$4092,3,0)))</f>
        <v>150192-0-2015</v>
      </c>
      <c r="D198" s="533" t="str">
        <f>IF(ISERROR(VLOOKUP(B198,'Base de Datos'!$C$487:$F$4092,3,0))=TRUE,"",(VLOOKUP('Presupuesto - PAA 2018'!B198,'Base de Datos'!$C$487:$F$4092,4,0)))</f>
        <v>MAGIQ ALL SAS</v>
      </c>
      <c r="E198" s="536">
        <f>VLOOKUP(B198,[7]PAA2017!$C$65:$AA$255,20,0)</f>
        <v>53048000</v>
      </c>
      <c r="F198" s="534" t="str">
        <f>VLOOKUP(B198,[8]SOLICITUDES!$B$3:$H$278,2,0)</f>
        <v>NO</v>
      </c>
      <c r="G198" s="534"/>
      <c r="H198" s="534"/>
      <c r="I198" s="534"/>
      <c r="J198" s="536">
        <f>IF(ISERROR(VLOOKUP(B198,'Base de Datos'!$C$487:$N$4092,6,0))=TRUE,"Sin Celebrar",(VLOOKUP(B198,'Base de Datos'!$C$487:$N$4092,7,0)))</f>
        <v>23058000</v>
      </c>
      <c r="K198" s="600"/>
      <c r="L198" s="580" t="str">
        <f>IF(J198=$AA$1,E198, " ")</f>
        <v xml:space="preserve"> </v>
      </c>
      <c r="M198" s="536"/>
      <c r="N198" s="536">
        <f>IF(J198&lt;E198,(E198-J198)," ")</f>
        <v>29990000</v>
      </c>
      <c r="O198" s="719" t="str">
        <f>IF(ISERROR(VLOOKUP(B198,'Base de Datos'!$C$487:$K$1048576,7,0))=TRUE," ",(VLOOKUP(B198,'Base de Datos'!$C$487:$K$1048576,8,0)))</f>
        <v>SDH-SMINC-26-2017</v>
      </c>
      <c r="P198" s="551">
        <f>IF(ISERROR(VLOOKUP(B198,'Base de Datos'!$C$487:$N$4077,9,0))=TRUE," ",(VLOOKUP(B198,'Base de Datos'!$C$487:$N$4077,10,0)))</f>
        <v>43013</v>
      </c>
      <c r="Q198" s="737"/>
      <c r="R198" s="551">
        <f>IF(ISERROR(VLOOKUP(B198,'Base de Datos'!$C$487:$N$4077,10,0))=TRUE," ",(VLOOKUP(B198,'Base de Datos'!$C$487:$N$4077,11,0)))</f>
        <v>43033</v>
      </c>
      <c r="S198" s="551">
        <f>IF(ISERROR(VLOOKUP(B198,'Base de Datos'!$C$487:$N$4077,11,0))=TRUE," ",(VLOOKUP(B198,'Base de Datos'!$C$487:$N$4077,12,0)))</f>
        <v>43156</v>
      </c>
      <c r="T198" s="533" t="str">
        <f>VLOOKUP(B198,'Base de Datos'!$C$487:$AR$4129,41,0)</f>
        <v>SI</v>
      </c>
      <c r="U198" s="722"/>
      <c r="V198" s="634"/>
    </row>
    <row r="199" spans="2:22" ht="24" outlineLevel="1" x14ac:dyDescent="0.25">
      <c r="B199" s="537">
        <v>209</v>
      </c>
      <c r="C199" s="533" t="str">
        <f>IF(ISERROR(VLOOKUP(B199,'Base de Datos'!$C$487:$F$4092,2,0))=TRUE,"",(VLOOKUP('Presupuesto - PAA 2018'!B199,'Base de Datos'!$C$7:$F$4092,3,0)))</f>
        <v>160284-0-2016</v>
      </c>
      <c r="D199" s="533" t="str">
        <f>IF(ISERROR(VLOOKUP(B199,'Base de Datos'!$C$487:$F$4092,3,0))=TRUE,"",(VLOOKUP('Presupuesto - PAA 2018'!B199,'Base de Datos'!$C$487:$F$4092,4,0)))</f>
        <v>EDER GIOVANNY CASTIBLANCO ORJUELA</v>
      </c>
      <c r="E199" s="536">
        <f>VLOOKUP(B199,[7]PAA2017!$C$65:$AA$255,20,0)</f>
        <v>21606000</v>
      </c>
      <c r="F199" s="534" t="str">
        <f>VLOOKUP(B199,[8]SOLICITUDES!$B$3:$H$278,2,0)</f>
        <v>NO</v>
      </c>
      <c r="G199" s="534"/>
      <c r="H199" s="534"/>
      <c r="I199" s="534"/>
      <c r="J199" s="536">
        <f>IF(ISERROR(VLOOKUP(B199,'Base de Datos'!$C$487:$N$4092,6,0))=TRUE,"Sin Celebrar",(VLOOKUP(B199,'Base de Datos'!$C$487:$N$4092,7,0)))</f>
        <v>4606000</v>
      </c>
      <c r="K199" s="600"/>
      <c r="L199" s="580" t="str">
        <f>IF(J199=$AA$1,E199, " ")</f>
        <v xml:space="preserve"> </v>
      </c>
      <c r="M199" s="536"/>
      <c r="N199" s="536">
        <f>IF(J199&lt;E199,(E199-J199)," ")</f>
        <v>17000000</v>
      </c>
      <c r="O199" s="719" t="str">
        <f>IF(ISERROR(VLOOKUP(B199,'Base de Datos'!$C$487:$K$1048576,7,0))=TRUE," ",(VLOOKUP(B199,'Base de Datos'!$C$487:$K$1048576,8,0)))</f>
        <v>SDH-SMINC-37-2017</v>
      </c>
      <c r="P199" s="551">
        <f>IF(ISERROR(VLOOKUP(B199,'Base de Datos'!$C$487:$N$4077,9,0))=TRUE," ",(VLOOKUP(B199,'Base de Datos'!$C$487:$N$4077,10,0)))</f>
        <v>43026</v>
      </c>
      <c r="Q199" s="737"/>
      <c r="R199" s="551">
        <f>IF(ISERROR(VLOOKUP(B199,'Base de Datos'!$C$487:$N$4077,10,0))=TRUE," ",(VLOOKUP(B199,'Base de Datos'!$C$487:$N$4077,11,0)))</f>
        <v>43041</v>
      </c>
      <c r="S199" s="551">
        <f>IF(ISERROR(VLOOKUP(B199,'Base de Datos'!$C$487:$N$4077,11,0))=TRUE," ",(VLOOKUP(B199,'Base de Datos'!$C$487:$N$4077,12,0)))</f>
        <v>43133</v>
      </c>
      <c r="T199" s="533" t="str">
        <f>VLOOKUP(B199,'Base de Datos'!$C$487:$AR$4129,41,0)</f>
        <v>SI</v>
      </c>
      <c r="U199" s="722"/>
      <c r="V199" s="634"/>
    </row>
    <row r="200" spans="2:22" ht="24" outlineLevel="1" x14ac:dyDescent="0.25">
      <c r="B200" s="552">
        <v>210</v>
      </c>
      <c r="C200" s="533" t="str">
        <f>IF(ISERROR(VLOOKUP(B200,'Base de Datos'!$C$487:$F$4092,2,0))=TRUE,"",(VLOOKUP('Presupuesto - PAA 2018'!B200,'Base de Datos'!$C$7:$F$4092,3,0)))</f>
        <v>150198-0-2015</v>
      </c>
      <c r="D200" s="533" t="str">
        <f>IF(ISERROR(VLOOKUP(B200,'Base de Datos'!$C$487:$F$4092,3,0))=TRUE,"",(VLOOKUP('Presupuesto - PAA 2018'!B200,'Base de Datos'!$C$487:$F$4092,4,0)))</f>
        <v>TECNOLOGIA BIOMEDICA Y SUMINISTROS LTDA</v>
      </c>
      <c r="E200" s="536">
        <f>VLOOKUP(B200,[7]PAA2017!$C$65:$AA$255,20,0)</f>
        <v>12427000</v>
      </c>
      <c r="F200" s="534" t="str">
        <f>VLOOKUP(B200,[8]SOLICITUDES!$B$3:$H$278,2,0)</f>
        <v>NO</v>
      </c>
      <c r="G200" s="534"/>
      <c r="H200" s="534"/>
      <c r="I200" s="534"/>
      <c r="J200" s="536">
        <f>IF(ISERROR(VLOOKUP(B200,'Base de Datos'!$C$487:$N$4092,6,0))=TRUE,"Sin Celebrar",(VLOOKUP(B200,'Base de Datos'!$C$487:$N$4092,7,0)))</f>
        <v>3790032</v>
      </c>
      <c r="K200" s="600"/>
      <c r="L200" s="580" t="str">
        <f>IF(J200=$AA$1,E200, " ")</f>
        <v xml:space="preserve"> </v>
      </c>
      <c r="M200" s="536"/>
      <c r="N200" s="536">
        <f>IF(J200&lt;E200,(E200-J200)," ")</f>
        <v>8636968</v>
      </c>
      <c r="O200" s="719" t="str">
        <f>IF(ISERROR(VLOOKUP(B200,'Base de Datos'!$C$487:$K$1048576,7,0))=TRUE," ",(VLOOKUP(B200,'Base de Datos'!$C$487:$K$1048576,8,0)))</f>
        <v>SDH- SMINC-24-2017</v>
      </c>
      <c r="P200" s="551">
        <f>IF(ISERROR(VLOOKUP(B200,'Base de Datos'!$C$487:$N$4077,9,0))=TRUE," ",(VLOOKUP(B200,'Base de Datos'!$C$487:$N$4077,10,0)))</f>
        <v>42971</v>
      </c>
      <c r="Q200" s="737"/>
      <c r="R200" s="551">
        <f>IF(ISERROR(VLOOKUP(B200,'Base de Datos'!$C$487:$N$4077,10,0))=TRUE," ",(VLOOKUP(B200,'Base de Datos'!$C$487:$N$4077,11,0)))</f>
        <v>42982</v>
      </c>
      <c r="S200" s="551">
        <f>IF(ISERROR(VLOOKUP(B200,'Base de Datos'!$C$487:$N$4077,11,0))=TRUE," ",(VLOOKUP(B200,'Base de Datos'!$C$487:$N$4077,12,0)))</f>
        <v>43073</v>
      </c>
      <c r="T200" s="533" t="str">
        <f>VLOOKUP(B200,'Base de Datos'!$C$487:$AR$4129,41,0)</f>
        <v>SI</v>
      </c>
      <c r="U200" s="722"/>
      <c r="V200" s="634"/>
    </row>
    <row r="201" spans="2:22" ht="14.25" customHeight="1" outlineLevel="1" x14ac:dyDescent="0.25">
      <c r="B201" s="552">
        <v>211</v>
      </c>
      <c r="C201" s="533" t="str">
        <f>IF(ISERROR(VLOOKUP(B201,'Base de Datos'!$C$487:$F$4092,2,0))=TRUE,"",(VLOOKUP('Presupuesto - PAA 2018'!B201,'Base de Datos'!$C$7:$F$4092,3,0)))</f>
        <v>160165-0-2016</v>
      </c>
      <c r="D201" s="533" t="str">
        <f>IF(ISERROR(VLOOKUP(B201,'Base de Datos'!$C$487:$F$4092,3,0))=TRUE,"",(VLOOKUP('Presupuesto - PAA 2018'!B201,'Base de Datos'!$C$487:$F$4092,4,0)))</f>
        <v>MEDICAL PROTECTION LTDA. SALUD OCUPACIONAL</v>
      </c>
      <c r="E201" s="536">
        <f>VLOOKUP(B201,[7]PAA2017!$C$65:$AA$255,20,0)</f>
        <v>165122000</v>
      </c>
      <c r="F201" s="534" t="str">
        <f>VLOOKUP(B201,[8]SOLICITUDES!$B$3:$H$278,2,0)</f>
        <v>SI</v>
      </c>
      <c r="G201" s="534"/>
      <c r="H201" s="534"/>
      <c r="I201" s="534"/>
      <c r="J201" s="536">
        <f>IF(ISERROR(VLOOKUP(B201,'Base de Datos'!$C$487:$N$4092,6,0))=TRUE,"Sin Celebrar",(VLOOKUP(B201,'Base de Datos'!$C$487:$N$4092,7,0)))</f>
        <v>56122000</v>
      </c>
      <c r="K201" s="600"/>
      <c r="L201" s="580" t="str">
        <f>IF(J201=$AA$1,E201, " ")</f>
        <v xml:space="preserve"> </v>
      </c>
      <c r="M201" s="536"/>
      <c r="N201" s="536">
        <f>IF(J201&lt;E201,(E201-J201)," ")</f>
        <v>109000000</v>
      </c>
      <c r="O201" s="719" t="str">
        <f>IF(ISERROR(VLOOKUP(B201,'Base de Datos'!$C$487:$K$1048576,7,0))=TRUE," ",(VLOOKUP(B201,'Base de Datos'!$C$487:$K$1048576,8,0)))</f>
        <v>SDH-SAMC-03-2017</v>
      </c>
      <c r="P201" s="551">
        <f>IF(ISERROR(VLOOKUP(B201,'Base de Datos'!$C$487:$N$4077,9,0))=TRUE," ",(VLOOKUP(B201,'Base de Datos'!$C$487:$N$4077,10,0)))</f>
        <v>42888</v>
      </c>
      <c r="Q201" s="737"/>
      <c r="R201" s="551">
        <f>IF(ISERROR(VLOOKUP(B201,'Base de Datos'!$C$487:$N$4077,10,0))=TRUE," ",(VLOOKUP(B201,'Base de Datos'!$C$487:$N$4077,11,0)))</f>
        <v>42898</v>
      </c>
      <c r="S201" s="551">
        <f>IF(ISERROR(VLOOKUP(B201,'Base de Datos'!$C$487:$N$4077,11,0))=TRUE," ",(VLOOKUP(B201,'Base de Datos'!$C$487:$N$4077,12,0)))</f>
        <v>43263</v>
      </c>
      <c r="T201" s="533" t="str">
        <f>VLOOKUP(B201,'Base de Datos'!$C$487:$AR$4129,41,0)</f>
        <v>SI</v>
      </c>
      <c r="U201" s="722"/>
      <c r="V201" s="634"/>
    </row>
    <row r="202" spans="2:22" outlineLevel="1" x14ac:dyDescent="0.25">
      <c r="B202" s="648"/>
      <c r="C202" s="648"/>
      <c r="D202" s="533" t="s">
        <v>1935</v>
      </c>
      <c r="E202" s="536">
        <f>+E196-SUM(E198:E201)</f>
        <v>-144203000</v>
      </c>
      <c r="F202" s="534"/>
      <c r="G202" s="534"/>
      <c r="H202" s="534"/>
      <c r="I202" s="534"/>
      <c r="J202" s="554"/>
      <c r="K202" s="600"/>
      <c r="L202" s="554"/>
      <c r="M202" s="554"/>
      <c r="N202" s="554" t="str">
        <f>IF(J202&lt;E202,(E202-J202)," ")</f>
        <v xml:space="preserve"> </v>
      </c>
      <c r="O202" s="719" t="str">
        <f>IF(ISERROR(VLOOKUP(B202,'Base de Datos'!$C$7:$K$1048576,7,0))=TRUE," ",(VLOOKUP(B202,'Base de Datos'!$C$7:$K$1048576,7,0)))</f>
        <v xml:space="preserve"> </v>
      </c>
      <c r="P202" s="551" t="str">
        <f>IF(ISERROR(VLOOKUP(B202,'Base de Datos'!$C$7:$N$315,9,0))=TRUE," ",(VLOOKUP(B202,'Base de Datos'!$C$7:$N$315,9,0)))</f>
        <v xml:space="preserve"> </v>
      </c>
      <c r="Q202" s="533"/>
      <c r="R202" s="556" t="str">
        <f>IF(ISERROR(VLOOKUP(B202,'Base de Datos'!$C$7:$N$315,10,0))=TRUE," ",(VLOOKUP(B202,'Base de Datos'!$C$7:$N$315,10,0)))</f>
        <v xml:space="preserve"> </v>
      </c>
      <c r="S202" s="556" t="str">
        <f>IF(ISERROR(VLOOKUP(B202,'Base de Datos'!$C$7:$N$315,11,0))=TRUE," ",(VLOOKUP(B202,'Base de Datos'!$C$7:$N$315,11,0)))</f>
        <v xml:space="preserve"> </v>
      </c>
      <c r="T202" s="533"/>
      <c r="U202" s="722"/>
      <c r="V202" s="634"/>
    </row>
    <row r="203" spans="2:22" outlineLevel="1" x14ac:dyDescent="0.25">
      <c r="B203" s="648"/>
      <c r="C203" s="648"/>
      <c r="D203" s="648"/>
      <c r="E203" s="536"/>
      <c r="F203" s="534"/>
      <c r="G203" s="534"/>
      <c r="H203" s="534"/>
      <c r="I203" s="534"/>
      <c r="J203" s="536"/>
      <c r="K203" s="600"/>
      <c r="L203" s="536"/>
      <c r="M203" s="536"/>
      <c r="N203" s="536"/>
      <c r="O203" s="678"/>
      <c r="P203" s="551"/>
      <c r="Q203" s="533"/>
      <c r="R203" s="551"/>
      <c r="S203" s="551"/>
      <c r="T203" s="533"/>
      <c r="U203" s="722"/>
      <c r="V203" s="634"/>
    </row>
    <row r="204" spans="2:22" ht="15" customHeight="1" x14ac:dyDescent="0.25">
      <c r="B204" s="1196" t="s">
        <v>1670</v>
      </c>
      <c r="C204" s="1196"/>
      <c r="D204" s="1196"/>
      <c r="E204" s="557">
        <v>40000000</v>
      </c>
      <c r="F204" s="558">
        <f>COUNTIF('Actualizada - presupuesto'!$E$7:$E$111,B204)</f>
        <v>0</v>
      </c>
      <c r="G204" s="558"/>
      <c r="H204" s="558"/>
      <c r="I204" s="558"/>
      <c r="J204" s="567">
        <f>+J205</f>
        <v>40000000</v>
      </c>
      <c r="K204" s="609">
        <f>J204/E204</f>
        <v>1</v>
      </c>
      <c r="L204" s="567"/>
      <c r="M204" s="567"/>
      <c r="N204" s="567">
        <f>SUM(N205)</f>
        <v>0</v>
      </c>
      <c r="O204" s="685"/>
      <c r="P204" s="573" t="str">
        <f>IF(ISERROR(VLOOKUP(B204,'Base de Datos'!$C$7:$N$315,8,0))=TRUE," ",(VLOOKUP(B204,'Base de Datos'!$C$7:$N$315,8,0)))</f>
        <v xml:space="preserve"> </v>
      </c>
      <c r="Q204" s="574"/>
      <c r="R204" s="573" t="str">
        <f>IF(ISERROR(VLOOKUP(B204,'Base de Datos'!$C$7:$N$315,9,0))=TRUE," ",(VLOOKUP(B204,'Base de Datos'!$C$7:$N$315,9,0)))</f>
        <v xml:space="preserve"> </v>
      </c>
      <c r="S204" s="573" t="str">
        <f>IF(ISERROR(VLOOKUP(B204,'Base de Datos'!$C$7:$N$315,10,0))=TRUE," ",(VLOOKUP(B204,'Base de Datos'!$C$7:$N$315,10,0)))</f>
        <v xml:space="preserve"> </v>
      </c>
      <c r="T204" s="569"/>
      <c r="U204" s="722"/>
      <c r="V204" s="634"/>
    </row>
    <row r="205" spans="2:22" ht="15" customHeight="1" x14ac:dyDescent="0.25">
      <c r="B205" s="1180" t="s">
        <v>1839</v>
      </c>
      <c r="C205" s="1180"/>
      <c r="D205" s="1180"/>
      <c r="E205" s="543">
        <v>40000000</v>
      </c>
      <c r="F205" s="540">
        <f>COUNTIF('Actualizada - presupuesto'!$E$7:$E$111,B205)</f>
        <v>0</v>
      </c>
      <c r="G205" s="540"/>
      <c r="H205" s="540"/>
      <c r="I205" s="540"/>
      <c r="J205" s="543">
        <f>+J207</f>
        <v>40000000</v>
      </c>
      <c r="K205" s="610"/>
      <c r="L205" s="543"/>
      <c r="M205" s="543"/>
      <c r="N205" s="543"/>
      <c r="O205" s="689"/>
      <c r="P205" s="575" t="str">
        <f>IF(ISERROR(VLOOKUP(B205,'Base de Datos'!$C$7:$N$315,8,0))=TRUE," ",(VLOOKUP(B205,'Base de Datos'!$C$7:$N$315,8,0)))</f>
        <v xml:space="preserve"> </v>
      </c>
      <c r="Q205" s="569"/>
      <c r="R205" s="575" t="str">
        <f>IF(ISERROR(VLOOKUP(B205,'Base de Datos'!$C$7:$N$315,9,0))=TRUE," ",(VLOOKUP(B205,'Base de Datos'!$C$7:$N$315,9,0)))</f>
        <v xml:space="preserve"> </v>
      </c>
      <c r="S205" s="575" t="str">
        <f>IF(ISERROR(VLOOKUP(B205,'Base de Datos'!$C$7:$N$315,10,0))=TRUE," ",(VLOOKUP(B205,'Base de Datos'!$C$7:$N$315,10,0)))</f>
        <v xml:space="preserve"> </v>
      </c>
      <c r="T205" s="569"/>
      <c r="U205" s="722"/>
      <c r="V205" s="634"/>
    </row>
    <row r="206" spans="2:22" s="615" customFormat="1" ht="23.25" customHeight="1" outlineLevel="1" x14ac:dyDescent="0.25">
      <c r="B206" s="537" t="s">
        <v>1823</v>
      </c>
      <c r="C206" s="537" t="s">
        <v>912</v>
      </c>
      <c r="D206" s="537" t="s">
        <v>1822</v>
      </c>
      <c r="E206" s="534" t="s">
        <v>1853</v>
      </c>
      <c r="F206" s="545" t="s">
        <v>1846</v>
      </c>
      <c r="G206" s="545"/>
      <c r="H206" s="545"/>
      <c r="I206" s="545"/>
      <c r="J206" s="533" t="s">
        <v>1845</v>
      </c>
      <c r="K206" s="612"/>
      <c r="L206" s="580"/>
      <c r="M206" s="580"/>
      <c r="N206" s="580"/>
      <c r="O206" s="690"/>
      <c r="P206" s="613"/>
      <c r="Q206" s="614"/>
      <c r="R206" s="613"/>
      <c r="S206" s="613"/>
      <c r="T206" s="614"/>
      <c r="U206" s="722"/>
      <c r="V206" s="634"/>
    </row>
    <row r="207" spans="2:22" s="615" customFormat="1" ht="15" customHeight="1" outlineLevel="1" x14ac:dyDescent="0.25">
      <c r="B207" s="537"/>
      <c r="C207" s="533"/>
      <c r="D207" s="533"/>
      <c r="E207" s="534"/>
      <c r="F207" s="536">
        <v>40000000</v>
      </c>
      <c r="G207" s="536"/>
      <c r="H207" s="536"/>
      <c r="I207" s="536"/>
      <c r="J207" s="536">
        <v>40000000</v>
      </c>
      <c r="K207" s="612"/>
      <c r="L207" s="580"/>
      <c r="M207" s="580"/>
      <c r="N207" s="580"/>
      <c r="O207" s="690"/>
      <c r="P207" s="613"/>
      <c r="Q207" s="614"/>
      <c r="R207" s="613"/>
      <c r="S207" s="613"/>
      <c r="T207" s="614"/>
      <c r="U207" s="722"/>
      <c r="V207" s="634"/>
    </row>
    <row r="208" spans="2:22" s="615" customFormat="1" ht="15" customHeight="1" outlineLevel="1" x14ac:dyDescent="0.25">
      <c r="B208" s="972"/>
      <c r="C208" s="972"/>
      <c r="D208" s="972"/>
      <c r="E208" s="580"/>
      <c r="F208" s="534"/>
      <c r="G208" s="534"/>
      <c r="H208" s="534"/>
      <c r="I208" s="534"/>
      <c r="J208" s="580"/>
      <c r="K208" s="612"/>
      <c r="L208" s="580"/>
      <c r="M208" s="580"/>
      <c r="N208" s="580"/>
      <c r="O208" s="690"/>
      <c r="P208" s="613"/>
      <c r="Q208" s="614"/>
      <c r="R208" s="613"/>
      <c r="S208" s="613"/>
      <c r="T208" s="614"/>
      <c r="U208" s="722"/>
      <c r="V208" s="634"/>
    </row>
    <row r="209" spans="2:22" ht="15" customHeight="1" x14ac:dyDescent="0.25">
      <c r="B209" s="1181" t="s">
        <v>1672</v>
      </c>
      <c r="C209" s="1181"/>
      <c r="D209" s="1181"/>
      <c r="E209" s="581">
        <v>1800000000</v>
      </c>
      <c r="F209" s="586">
        <f>COUNTIF('Actualizada - presupuesto'!$E$7:$E$111,B209)</f>
        <v>2</v>
      </c>
      <c r="G209" s="586"/>
      <c r="H209" s="586"/>
      <c r="I209" s="586"/>
      <c r="J209" s="581">
        <f>SUM(J211:J213)</f>
        <v>1309999990</v>
      </c>
      <c r="K209" s="603">
        <f>J209/E209</f>
        <v>0.72777777222222217</v>
      </c>
      <c r="L209" s="581" t="e">
        <f>SUM(L211:L213)</f>
        <v>#N/A</v>
      </c>
      <c r="M209" s="581"/>
      <c r="N209" s="581" t="e">
        <f>+E209-J209-L209</f>
        <v>#N/A</v>
      </c>
      <c r="O209" s="684"/>
      <c r="P209" s="591" t="str">
        <f>IF(ISERROR(VLOOKUP(B209,'Base de Datos'!$C$7:$N$315,8,0))=TRUE," ",(VLOOKUP(B209,'Base de Datos'!$C$7:$N$315,8,0)))</f>
        <v xml:space="preserve"> </v>
      </c>
      <c r="Q209" s="592"/>
      <c r="R209" s="591" t="str">
        <f>IF(ISERROR(VLOOKUP(B209,'Base de Datos'!$C$7:$N$315,9,0))=TRUE," ",(VLOOKUP(B209,'Base de Datos'!$C$7:$N$315,9,0)))</f>
        <v xml:space="preserve"> </v>
      </c>
      <c r="S209" s="591" t="str">
        <f>IF(ISERROR(VLOOKUP(B209,'Base de Datos'!$C$7:$N$315,10,0))=TRUE," ",(VLOOKUP(B209,'Base de Datos'!$C$7:$N$315,10,0)))</f>
        <v xml:space="preserve"> </v>
      </c>
      <c r="T209" s="592"/>
      <c r="U209" s="722"/>
      <c r="V209" s="634"/>
    </row>
    <row r="210" spans="2:22" ht="24" outlineLevel="1" x14ac:dyDescent="0.25">
      <c r="B210" s="537" t="s">
        <v>1693</v>
      </c>
      <c r="C210" s="537" t="s">
        <v>912</v>
      </c>
      <c r="D210" s="537" t="s">
        <v>1822</v>
      </c>
      <c r="E210" s="545" t="s">
        <v>1846</v>
      </c>
      <c r="F210" s="534" t="s">
        <v>1853</v>
      </c>
      <c r="G210" s="534"/>
      <c r="H210" s="534"/>
      <c r="I210" s="534"/>
      <c r="J210" s="537" t="s">
        <v>1845</v>
      </c>
      <c r="K210" s="652"/>
      <c r="L210" s="537" t="s">
        <v>1939</v>
      </c>
      <c r="M210" s="537"/>
      <c r="N210" s="537" t="s">
        <v>1940</v>
      </c>
      <c r="O210" s="677"/>
      <c r="P210" s="568" t="s">
        <v>1847</v>
      </c>
      <c r="Q210" s="537" t="s">
        <v>1848</v>
      </c>
      <c r="R210" s="537" t="s">
        <v>1849</v>
      </c>
      <c r="S210" s="537" t="s">
        <v>375</v>
      </c>
      <c r="T210" s="537" t="s">
        <v>1850</v>
      </c>
      <c r="U210" s="722"/>
      <c r="V210" s="634"/>
    </row>
    <row r="211" spans="2:22" outlineLevel="1" x14ac:dyDescent="0.25">
      <c r="B211" s="537">
        <v>177</v>
      </c>
      <c r="C211" s="533" t="str">
        <f>IF(ISERROR(VLOOKUP(B211,'Base de Datos'!$C$487:$F$4092,2,0))=TRUE,"",(VLOOKUP('Presupuesto - PAA 2018'!B211,'Base de Datos'!$C$7:$F$4092,3,0)))</f>
        <v>150193-0-2015</v>
      </c>
      <c r="D211" s="533" t="str">
        <f>IF(ISERROR(VLOOKUP(B211,'Base de Datos'!$C$487:$F$4092,3,0))=TRUE,"",(VLOOKUP('Presupuesto - PAA 2018'!B211,'Base de Datos'!$C$487:$F$4092,4,0)))</f>
        <v>PERIODICOS Y PUBLICACIONES SA</v>
      </c>
      <c r="E211" s="536">
        <f>VLOOKUP(B211,[7]PAA2017!$C$65:$AA$255,20,0)</f>
        <v>155000000</v>
      </c>
      <c r="F211" s="534" t="e">
        <f>VLOOKUP(B211,[8]SOLICITUDES!$B$3:$H$278,2,0)</f>
        <v>#N/A</v>
      </c>
      <c r="G211" s="534"/>
      <c r="H211" s="534"/>
      <c r="I211" s="534"/>
      <c r="J211" s="536">
        <f>IF(ISERROR(VLOOKUP(B211,'Base de Datos'!$C$487:$N$4092,6,0))=TRUE,"Sin Celebrar",(VLOOKUP(B211,'Base de Datos'!$C$487:$N$4092,7,0)))</f>
        <v>400000000</v>
      </c>
      <c r="K211" s="600"/>
      <c r="L211" s="580" t="str">
        <f>IF(J211=$AA$1,E211, " ")</f>
        <v xml:space="preserve"> </v>
      </c>
      <c r="M211" s="536"/>
      <c r="N211" s="536" t="str">
        <f>IF(J211&lt;E211,(E211-J211)," ")</f>
        <v xml:space="preserve"> </v>
      </c>
      <c r="O211" s="719" t="str">
        <f>IF(ISERROR(VLOOKUP(B211,'Base de Datos'!$C$487:$K$1048576,7,0))=TRUE," ",(VLOOKUP(B211,'Base de Datos'!$C$487:$K$1048576,8,0)))</f>
        <v>SDH-SIE-24-2016</v>
      </c>
      <c r="P211" s="551">
        <f>IF(ISERROR(VLOOKUP(B211,'Base de Datos'!$C$487:$N$4077,9,0))=TRUE," ",(VLOOKUP(B211,'Base de Datos'!$C$487:$N$4077,10,0)))</f>
        <v>42746</v>
      </c>
      <c r="Q211" s="737"/>
      <c r="R211" s="551">
        <f>IF(ISERROR(VLOOKUP(B211,'Base de Datos'!$C$487:$N$4077,10,0))=TRUE," ",(VLOOKUP(B211,'Base de Datos'!$C$487:$N$4077,11,0)))</f>
        <v>42773</v>
      </c>
      <c r="S211" s="551">
        <f>IF(ISERROR(VLOOKUP(B211,'Base de Datos'!$C$487:$N$4077,11,0))=TRUE," ",(VLOOKUP(B211,'Base de Datos'!$C$487:$N$4077,12,0)))</f>
        <v>43046</v>
      </c>
      <c r="T211" s="533" t="str">
        <f>VLOOKUP(B211,'Base de Datos'!$C$487:$AR$4129,41,0)</f>
        <v>SI</v>
      </c>
      <c r="U211" s="722"/>
      <c r="V211" s="634"/>
    </row>
    <row r="212" spans="2:22" ht="25.5" customHeight="1" outlineLevel="1" x14ac:dyDescent="0.25">
      <c r="B212" s="552">
        <v>178</v>
      </c>
      <c r="C212" s="533" t="str">
        <f>IF(ISERROR(VLOOKUP(B212,'Base de Datos'!$C$487:$F$4092,2,0))=TRUE,"",(VLOOKUP('Presupuesto - PAA 2018'!B212,'Base de Datos'!$C$7:$F$4092,3,0)))</f>
        <v>150152-0-2015</v>
      </c>
      <c r="D212" s="533" t="str">
        <f>IF(ISERROR(VLOOKUP(B212,'Base de Datos'!$C$487:$F$4092,3,0))=TRUE,"",(VLOOKUP('Presupuesto - PAA 2018'!B212,'Base de Datos'!$C$487:$F$4092,4,0)))</f>
        <v>CANAL CAPITAL</v>
      </c>
      <c r="E212" s="536">
        <f>VLOOKUP(B212,[7]PAA2017!$C$65:$AA$255,20,0)</f>
        <v>1314000000</v>
      </c>
      <c r="F212" s="534" t="e">
        <f>VLOOKUP(B212,[8]SOLICITUDES!$B$3:$H$278,2,0)</f>
        <v>#N/A</v>
      </c>
      <c r="G212" s="534"/>
      <c r="H212" s="534"/>
      <c r="I212" s="534"/>
      <c r="J212" s="536">
        <f>IF(ISERROR(VLOOKUP(B212,'Base de Datos'!$C$487:$N$4092,6,0))=TRUE,"Sin Celebrar",(VLOOKUP(B212,'Base de Datos'!$C$487:$N$4092,7,0)))</f>
        <v>909999990</v>
      </c>
      <c r="K212" s="600"/>
      <c r="L212" s="580" t="str">
        <f>IF(J212=$AA$1,E212, " ")</f>
        <v xml:space="preserve"> </v>
      </c>
      <c r="M212" s="536"/>
      <c r="N212" s="536">
        <f>IF(J212&lt;E212,(E212-J212)," ")</f>
        <v>404000010</v>
      </c>
      <c r="O212" s="719" t="str">
        <f>IF(ISERROR(VLOOKUP(B212,'Base de Datos'!$C$487:$K$1048576,7,0))=TRUE," ",(VLOOKUP(B212,'Base de Datos'!$C$487:$K$1048576,8,0)))</f>
        <v>170185-0-2017</v>
      </c>
      <c r="P212" s="551">
        <f>IF(ISERROR(VLOOKUP(B212,'Base de Datos'!$C$487:$N$4077,9,0))=TRUE," ",(VLOOKUP(B212,'Base de Datos'!$C$487:$N$4077,10,0)))</f>
        <v>42933</v>
      </c>
      <c r="Q212" s="737"/>
      <c r="R212" s="551">
        <f>IF(ISERROR(VLOOKUP(B212,'Base de Datos'!$C$487:$N$4077,10,0))=TRUE," ",(VLOOKUP(B212,'Base de Datos'!$C$487:$N$4077,11,0)))</f>
        <v>42948</v>
      </c>
      <c r="S212" s="551">
        <f>IF(ISERROR(VLOOKUP(B212,'Base de Datos'!$C$487:$N$4077,11,0))=TRUE," ",(VLOOKUP(B212,'Base de Datos'!$C$487:$N$4077,12,0)))</f>
        <v>43221</v>
      </c>
      <c r="T212" s="533" t="str">
        <f>VLOOKUP(B212,'Base de Datos'!$C$487:$AR$4129,41,0)</f>
        <v>SI</v>
      </c>
      <c r="U212" s="722"/>
      <c r="V212" s="634"/>
    </row>
    <row r="213" spans="2:22" outlineLevel="1" x14ac:dyDescent="0.25">
      <c r="B213" s="537"/>
      <c r="C213" s="533" t="str">
        <f>IF(ISERROR(VLOOKUP(B213,'Base de Datos'!$C$487:$F$4092,2,0))=TRUE,"",(VLOOKUP('Presupuesto - PAA 2018'!B213,'Base de Datos'!$C$7:$F$4092,3,0)))</f>
        <v/>
      </c>
      <c r="D213" s="533" t="str">
        <f>IF(ISERROR(VLOOKUP(B213,'Base de Datos'!$C$487:$F$4092,3,0))=TRUE,"",(VLOOKUP('Presupuesto - PAA 2018'!B213,'Base de Datos'!$C$487:$F$4092,4,0)))</f>
        <v/>
      </c>
      <c r="E213" s="536" t="e">
        <f>VLOOKUP(B213,[7]PAA2017!$C$65:$AA$255,20,0)</f>
        <v>#N/A</v>
      </c>
      <c r="F213" s="534" t="e">
        <f>VLOOKUP(B213,[8]SOLICITUDES!$B$3:$H$278,2,0)</f>
        <v>#N/A</v>
      </c>
      <c r="G213" s="534"/>
      <c r="H213" s="534"/>
      <c r="I213" s="534"/>
      <c r="J213" s="536" t="str">
        <f>IF(ISERROR(VLOOKUP(B213,'Base de Datos'!$C$487:$N$4092,6,0))=TRUE,"Sin Celebrar",(VLOOKUP(B213,'Base de Datos'!$C$487:$N$4092,7,0)))</f>
        <v>Sin Celebrar</v>
      </c>
      <c r="K213" s="600"/>
      <c r="L213" s="580" t="e">
        <f>IF(J213=$AA$1,E213, " ")</f>
        <v>#N/A</v>
      </c>
      <c r="M213" s="536"/>
      <c r="N213" s="536" t="e">
        <f>IF(J213&lt;E213,(E213-J213)," ")</f>
        <v>#N/A</v>
      </c>
      <c r="O213" s="719" t="str">
        <f>IF(ISERROR(VLOOKUP(B213,'Base de Datos'!$C$487:$K$1048576,7,0))=TRUE," ",(VLOOKUP(B213,'Base de Datos'!$C$487:$K$1048576,8,0)))</f>
        <v xml:space="preserve"> </v>
      </c>
      <c r="P213" s="551" t="str">
        <f>IF(ISERROR(VLOOKUP(B213,'Base de Datos'!$C$487:$N$4077,9,0))=TRUE," ",(VLOOKUP(B213,'Base de Datos'!$C$487:$N$4077,10,0)))</f>
        <v xml:space="preserve"> </v>
      </c>
      <c r="Q213" s="737"/>
      <c r="R213" s="551" t="str">
        <f>IF(ISERROR(VLOOKUP(B213,'Base de Datos'!$C$487:$N$4077,10,0))=TRUE," ",(VLOOKUP(B213,'Base de Datos'!$C$487:$N$4077,11,0)))</f>
        <v xml:space="preserve"> </v>
      </c>
      <c r="S213" s="551" t="str">
        <f>IF(ISERROR(VLOOKUP(B213,'Base de Datos'!$C$487:$N$4077,11,0))=TRUE," ",(VLOOKUP(B213,'Base de Datos'!$C$487:$N$4077,12,0)))</f>
        <v xml:space="preserve"> </v>
      </c>
      <c r="T213" s="533" t="e">
        <f>VLOOKUP(B213,'Base de Datos'!$C$487:$AR$4129,41,0)</f>
        <v>#N/A</v>
      </c>
      <c r="U213" s="722"/>
      <c r="V213" s="634"/>
    </row>
    <row r="214" spans="2:22" outlineLevel="1" x14ac:dyDescent="0.25">
      <c r="B214" s="537"/>
      <c r="C214" s="648"/>
      <c r="D214" s="533" t="s">
        <v>1935</v>
      </c>
      <c r="E214" s="536" t="e">
        <f>+E209-(SUM(E211:E213))</f>
        <v>#N/A</v>
      </c>
      <c r="F214" s="534"/>
      <c r="G214" s="534"/>
      <c r="H214" s="534"/>
      <c r="I214" s="534"/>
      <c r="J214" s="536"/>
      <c r="K214" s="600"/>
      <c r="L214" s="554"/>
      <c r="M214" s="536"/>
      <c r="N214" s="536"/>
      <c r="O214" s="719" t="str">
        <f>IF(ISERROR(VLOOKUP(B214,'Base de Datos'!$C$7:$K$1048576,7,0))=TRUE," ",(VLOOKUP(B214,'Base de Datos'!$C$7:$K$1048576,7,0)))</f>
        <v xml:space="preserve"> </v>
      </c>
      <c r="P214" s="551"/>
      <c r="Q214" s="533"/>
      <c r="R214" s="556"/>
      <c r="S214" s="556"/>
      <c r="T214" s="533"/>
      <c r="U214" s="722"/>
      <c r="V214" s="634"/>
    </row>
    <row r="215" spans="2:22" outlineLevel="1" x14ac:dyDescent="0.25">
      <c r="B215" s="648"/>
      <c r="C215" s="648"/>
      <c r="D215" s="648"/>
      <c r="E215" s="536"/>
      <c r="F215" s="534"/>
      <c r="G215" s="534"/>
      <c r="H215" s="534"/>
      <c r="I215" s="534"/>
      <c r="J215" s="536"/>
      <c r="K215" s="600"/>
      <c r="L215" s="536"/>
      <c r="M215" s="536"/>
      <c r="N215" s="536"/>
      <c r="O215" s="678"/>
      <c r="P215" s="551"/>
      <c r="Q215" s="533"/>
      <c r="R215" s="551"/>
      <c r="S215" s="551"/>
      <c r="T215" s="533"/>
      <c r="U215" s="722"/>
      <c r="V215" s="634"/>
    </row>
    <row r="216" spans="2:22" ht="15" customHeight="1" x14ac:dyDescent="0.25">
      <c r="B216" s="1196" t="s">
        <v>1673</v>
      </c>
      <c r="C216" s="1196"/>
      <c r="D216" s="1196"/>
      <c r="E216" s="557">
        <v>36000000</v>
      </c>
      <c r="F216" s="558"/>
      <c r="G216" s="558"/>
      <c r="H216" s="558"/>
      <c r="I216" s="558"/>
      <c r="J216" s="567">
        <f>+J217</f>
        <v>908534</v>
      </c>
      <c r="K216" s="609">
        <f>J216/E216</f>
        <v>2.5237055555555554E-2</v>
      </c>
      <c r="L216" s="567">
        <f>+L217</f>
        <v>91466</v>
      </c>
      <c r="M216" s="567"/>
      <c r="N216" s="567">
        <f>SUM(N217)</f>
        <v>18203084</v>
      </c>
      <c r="O216" s="685"/>
      <c r="P216" s="573" t="str">
        <f>IF(ISERROR(VLOOKUP(B216,'Base de Datos'!$C$7:$N$315,8,0))=TRUE," ",(VLOOKUP(B216,'Base de Datos'!$C$7:$N$315,8,0)))</f>
        <v xml:space="preserve"> </v>
      </c>
      <c r="Q216" s="574"/>
      <c r="R216" s="573" t="str">
        <f>IF(ISERROR(VLOOKUP(B216,'Base de Datos'!$C$7:$N$315,9,0))=TRUE," ",(VLOOKUP(B216,'Base de Datos'!$C$7:$N$315,9,0)))</f>
        <v xml:space="preserve"> </v>
      </c>
      <c r="S216" s="573" t="str">
        <f>IF(ISERROR(VLOOKUP(B216,'Base de Datos'!$C$7:$N$315,10,0))=TRUE," ",(VLOOKUP(B216,'Base de Datos'!$C$7:$N$315,10,0)))</f>
        <v xml:space="preserve"> </v>
      </c>
      <c r="T216" s="569"/>
      <c r="U216" s="722"/>
      <c r="V216" s="634"/>
    </row>
    <row r="217" spans="2:22" ht="15" customHeight="1" x14ac:dyDescent="0.25">
      <c r="B217" s="1180" t="s">
        <v>1838</v>
      </c>
      <c r="C217" s="1180"/>
      <c r="D217" s="1180"/>
      <c r="E217" s="543">
        <v>1000000</v>
      </c>
      <c r="F217" s="540"/>
      <c r="G217" s="540"/>
      <c r="H217" s="540"/>
      <c r="I217" s="540"/>
      <c r="J217" s="543">
        <f>+J219</f>
        <v>908534</v>
      </c>
      <c r="K217" s="610">
        <f>J217/E217</f>
        <v>0.90853399999999995</v>
      </c>
      <c r="L217" s="543">
        <f>+L219</f>
        <v>91466</v>
      </c>
      <c r="M217" s="543"/>
      <c r="N217" s="543">
        <f>SUM(N219:N225)</f>
        <v>18203084</v>
      </c>
      <c r="O217" s="689"/>
      <c r="P217" s="575" t="str">
        <f>IF(ISERROR(VLOOKUP(B217,'Base de Datos'!$C$7:$N$315,8,0))=TRUE," ",(VLOOKUP(B217,'Base de Datos'!$C$7:$N$315,8,0)))</f>
        <v xml:space="preserve"> </v>
      </c>
      <c r="Q217" s="569"/>
      <c r="R217" s="575" t="str">
        <f>IF(ISERROR(VLOOKUP(B217,'Base de Datos'!$C$7:$N$315,9,0))=TRUE," ",(VLOOKUP(B217,'Base de Datos'!$C$7:$N$315,9,0)))</f>
        <v xml:space="preserve"> </v>
      </c>
      <c r="S217" s="575" t="str">
        <f>IF(ISERROR(VLOOKUP(B217,'Base de Datos'!$C$7:$N$315,10,0))=TRUE," ",(VLOOKUP(B217,'Base de Datos'!$C$7:$N$315,10,0)))</f>
        <v xml:space="preserve"> </v>
      </c>
      <c r="T217" s="569"/>
      <c r="U217" s="722"/>
      <c r="V217" s="634"/>
    </row>
    <row r="218" spans="2:22" s="615" customFormat="1" ht="21.75" customHeight="1" outlineLevel="1" x14ac:dyDescent="0.25">
      <c r="B218" s="537" t="s">
        <v>1693</v>
      </c>
      <c r="C218" s="537" t="s">
        <v>912</v>
      </c>
      <c r="D218" s="537" t="s">
        <v>1822</v>
      </c>
      <c r="E218" s="545" t="s">
        <v>1846</v>
      </c>
      <c r="F218" s="534" t="s">
        <v>1853</v>
      </c>
      <c r="G218" s="534"/>
      <c r="H218" s="534"/>
      <c r="I218" s="534"/>
      <c r="J218" s="537" t="s">
        <v>1845</v>
      </c>
      <c r="K218" s="652"/>
      <c r="L218" s="537" t="s">
        <v>1939</v>
      </c>
      <c r="M218" s="537"/>
      <c r="N218" s="537" t="s">
        <v>1940</v>
      </c>
      <c r="O218" s="677"/>
      <c r="P218" s="568" t="s">
        <v>1847</v>
      </c>
      <c r="Q218" s="537" t="s">
        <v>1848</v>
      </c>
      <c r="R218" s="537" t="s">
        <v>1849</v>
      </c>
      <c r="S218" s="537" t="s">
        <v>375</v>
      </c>
      <c r="T218" s="537" t="s">
        <v>1850</v>
      </c>
      <c r="U218" s="722"/>
      <c r="V218" s="634"/>
    </row>
    <row r="219" spans="2:22" s="615" customFormat="1" ht="15" customHeight="1" outlineLevel="1" x14ac:dyDescent="0.25">
      <c r="B219" s="537"/>
      <c r="C219" s="533"/>
      <c r="D219" s="533" t="s">
        <v>2266</v>
      </c>
      <c r="E219" s="580">
        <v>1000000</v>
      </c>
      <c r="F219" s="536"/>
      <c r="G219" s="536"/>
      <c r="H219" s="536"/>
      <c r="I219" s="536"/>
      <c r="J219" s="536">
        <v>908534</v>
      </c>
      <c r="K219" s="612"/>
      <c r="L219" s="536">
        <f>E219-J219</f>
        <v>91466</v>
      </c>
      <c r="M219" s="580"/>
      <c r="N219" s="533"/>
      <c r="O219" s="691"/>
      <c r="P219" s="613"/>
      <c r="Q219" s="614"/>
      <c r="R219" s="613"/>
      <c r="S219" s="613"/>
      <c r="T219" s="614"/>
      <c r="U219" s="722"/>
      <c r="V219" s="634"/>
    </row>
    <row r="220" spans="2:22" s="615" customFormat="1" ht="15" customHeight="1" outlineLevel="1" x14ac:dyDescent="0.25">
      <c r="B220" s="537"/>
      <c r="C220" s="533"/>
      <c r="D220" s="533"/>
      <c r="E220" s="580"/>
      <c r="F220" s="536"/>
      <c r="G220" s="536"/>
      <c r="H220" s="536"/>
      <c r="I220" s="536"/>
      <c r="J220" s="536"/>
      <c r="K220" s="612"/>
      <c r="L220" s="536"/>
      <c r="M220" s="580"/>
      <c r="N220" s="533"/>
      <c r="O220" s="691"/>
      <c r="P220" s="613"/>
      <c r="Q220" s="614"/>
      <c r="R220" s="613"/>
      <c r="S220" s="613"/>
      <c r="T220" s="614"/>
      <c r="U220" s="722"/>
      <c r="V220" s="634"/>
    </row>
    <row r="221" spans="2:22" s="615" customFormat="1" ht="15" customHeight="1" x14ac:dyDescent="0.25">
      <c r="B221" s="1180" t="s">
        <v>2127</v>
      </c>
      <c r="C221" s="1180"/>
      <c r="D221" s="1180"/>
      <c r="E221" s="543">
        <v>35000000</v>
      </c>
      <c r="F221" s="540"/>
      <c r="G221" s="540"/>
      <c r="H221" s="540"/>
      <c r="I221" s="540"/>
      <c r="J221" s="543">
        <f>SUM(J223:J224)</f>
        <v>25744458</v>
      </c>
      <c r="K221" s="610"/>
      <c r="L221" s="543">
        <f>SUM(L223:L224)</f>
        <v>0</v>
      </c>
      <c r="M221" s="543"/>
      <c r="N221" s="543">
        <f>+E221-J221-L221</f>
        <v>9255542</v>
      </c>
      <c r="O221" s="689"/>
      <c r="P221" s="575" t="str">
        <f>IF(ISERROR(VLOOKUP(B221,'Base de Datos'!$C$7:$N$315,8,0))=TRUE," ",(VLOOKUP(B221,'Base de Datos'!$C$7:$N$315,8,0)))</f>
        <v xml:space="preserve"> </v>
      </c>
      <c r="Q221" s="569"/>
      <c r="R221" s="575" t="str">
        <f>IF(ISERROR(VLOOKUP(B221,'Base de Datos'!$C$7:$N$315,9,0))=TRUE," ",(VLOOKUP(B221,'Base de Datos'!$C$7:$N$315,9,0)))</f>
        <v xml:space="preserve"> </v>
      </c>
      <c r="S221" s="575" t="str">
        <f>IF(ISERROR(VLOOKUP(B221,'Base de Datos'!$C$7:$N$315,10,0))=TRUE," ",(VLOOKUP(B221,'Base de Datos'!$C$7:$N$315,10,0)))</f>
        <v xml:space="preserve"> </v>
      </c>
      <c r="T221" s="569"/>
      <c r="U221" s="722"/>
      <c r="V221" s="634"/>
    </row>
    <row r="222" spans="2:22" s="615" customFormat="1" ht="24" customHeight="1" outlineLevel="1" x14ac:dyDescent="0.25">
      <c r="B222" s="537" t="s">
        <v>1693</v>
      </c>
      <c r="C222" s="537" t="s">
        <v>912</v>
      </c>
      <c r="D222" s="537" t="s">
        <v>1822</v>
      </c>
      <c r="E222" s="545" t="s">
        <v>1846</v>
      </c>
      <c r="F222" s="534" t="s">
        <v>1853</v>
      </c>
      <c r="G222" s="534"/>
      <c r="H222" s="534"/>
      <c r="I222" s="534"/>
      <c r="J222" s="537" t="s">
        <v>1845</v>
      </c>
      <c r="K222" s="652"/>
      <c r="L222" s="537" t="s">
        <v>1939</v>
      </c>
      <c r="M222" s="537"/>
      <c r="N222" s="537" t="s">
        <v>1940</v>
      </c>
      <c r="O222" s="677"/>
      <c r="P222" s="568" t="s">
        <v>1847</v>
      </c>
      <c r="Q222" s="537" t="s">
        <v>1848</v>
      </c>
      <c r="R222" s="537" t="s">
        <v>1849</v>
      </c>
      <c r="S222" s="537" t="s">
        <v>375</v>
      </c>
      <c r="T222" s="537" t="s">
        <v>1850</v>
      </c>
      <c r="U222" s="722"/>
      <c r="V222" s="634"/>
    </row>
    <row r="223" spans="2:22" s="615" customFormat="1" ht="15" customHeight="1" outlineLevel="1" x14ac:dyDescent="0.25">
      <c r="B223" s="627">
        <v>367</v>
      </c>
      <c r="C223" s="533" t="str">
        <f>IF(ISERROR(VLOOKUP(B223,'Base de Datos'!$C$7:$F$4092,2,0))=TRUE,"",(VLOOKUP('Presupuesto - PAA 2018'!B223,'Base de Datos'!$C$7:$F$4092,3,0)))</f>
        <v>150394-0-2015</v>
      </c>
      <c r="D223" s="533" t="str">
        <f>IF(ISERROR(VLOOKUP(B223,'Base de Datos'!$C$7:$F$4092,3,0))=TRUE,"",(VLOOKUP('Presupuesto - PAA 2018'!B223,'Base de Datos'!$C$7:$F$4092,4,0)))</f>
        <v>SOLUCIONES H&amp;S SAS</v>
      </c>
      <c r="E223" s="580">
        <v>23860000</v>
      </c>
      <c r="F223" s="545" t="s">
        <v>390</v>
      </c>
      <c r="G223" s="536"/>
      <c r="H223" s="536"/>
      <c r="I223" s="536"/>
      <c r="J223" s="536">
        <f>IF(ISERROR(VLOOKUP(B223,'Base de Datos'!$C$7:$N$4092,6,0))=TRUE,"Sin Celebrar",(VLOOKUP(B223,'Base de Datos'!$C$7:$N$4092,7,0)))</f>
        <v>17340258</v>
      </c>
      <c r="K223" s="612"/>
      <c r="L223" s="554" t="str">
        <f>IF(J223=$AA$1,E223, " ")</f>
        <v xml:space="preserve"> </v>
      </c>
      <c r="M223" s="554"/>
      <c r="N223" s="554">
        <f>IF(J223&lt;E223,(E223-J223)," ")</f>
        <v>6519742</v>
      </c>
      <c r="O223" s="719" t="str">
        <f>IF(ISERROR(VLOOKUP(B223,'Base de Datos'!$C$7:$K$1048576,7,0))=TRUE," ",(VLOOKUP(B223,'Base de Datos'!$C$7:$K$1048576,8,0)))</f>
        <v>SDH-SMINC-063-2015</v>
      </c>
      <c r="P223" s="551">
        <f>IF(ISERROR(VLOOKUP(B223,'Base de Datos'!$C$7:$N$4077,9,0))=TRUE," ",(VLOOKUP(B223,'Base de Datos'!$C$7:$N$4077,10,0)))</f>
        <v>42332</v>
      </c>
      <c r="Q223" s="553" t="s">
        <v>378</v>
      </c>
      <c r="R223" s="551">
        <f>IF(ISERROR(VLOOKUP(B223,'Base de Datos'!$C$7:$N$4077,10,0))=TRUE," ",(VLOOKUP(B223,'Base de Datos'!$C$7:$N$4077,11,0)))</f>
        <v>42338</v>
      </c>
      <c r="S223" s="551">
        <f>IF(ISERROR(VLOOKUP(B223,'Base de Datos'!$C$7:$N$4077,11,0))=TRUE," ",(VLOOKUP(B223,'Base de Datos'!$C$7:$N$4077,12,0)))</f>
        <v>42399</v>
      </c>
      <c r="T223" s="533" t="s">
        <v>981</v>
      </c>
      <c r="U223" s="722"/>
      <c r="V223" s="634"/>
    </row>
    <row r="224" spans="2:22" s="615" customFormat="1" ht="15" customHeight="1" outlineLevel="1" x14ac:dyDescent="0.25">
      <c r="B224" s="627">
        <v>368</v>
      </c>
      <c r="C224" s="533" t="str">
        <f>IF(ISERROR(VLOOKUP(B224,'Base de Datos'!$C$7:$F$4092,2,0))=TRUE,"",(VLOOKUP('Presupuesto - PAA 2018'!B224,'Base de Datos'!$C$7:$F$4092,3,0)))</f>
        <v>150404-0-2015</v>
      </c>
      <c r="D224" s="533" t="str">
        <f>IF(ISERROR(VLOOKUP(B224,'Base de Datos'!$C$7:$F$4092,3,0))=TRUE,"",(VLOOKUP('Presupuesto - PAA 2018'!B224,'Base de Datos'!$C$7:$F$4092,4,0)))</f>
        <v>PUBLIDRUGS LTDA</v>
      </c>
      <c r="E224" s="580">
        <v>10832000</v>
      </c>
      <c r="F224" s="545" t="s">
        <v>390</v>
      </c>
      <c r="G224" s="536"/>
      <c r="H224" s="536"/>
      <c r="I224" s="536"/>
      <c r="J224" s="536">
        <f>IF(ISERROR(VLOOKUP(B224,'Base de Datos'!$C$7:$N$4092,6,0))=TRUE,"Sin Celebrar",(VLOOKUP(B224,'Base de Datos'!$C$7:$N$4092,7,0)))</f>
        <v>8404200</v>
      </c>
      <c r="K224" s="612"/>
      <c r="L224" s="554" t="str">
        <f>IF(J224=$AA$1,E224, " ")</f>
        <v xml:space="preserve"> </v>
      </c>
      <c r="M224" s="554"/>
      <c r="N224" s="554">
        <f>IF(J224&lt;E224,(E224-J224)," ")</f>
        <v>2427800</v>
      </c>
      <c r="O224" s="719" t="str">
        <f>IF(ISERROR(VLOOKUP(B224,'Base de Datos'!$C$7:$K$1048576,7,0))=TRUE," ",(VLOOKUP(B224,'Base de Datos'!$C$7:$K$1048576,8,0)))</f>
        <v>SDH-SMINC-064-2015</v>
      </c>
      <c r="P224" s="551">
        <f>IF(ISERROR(VLOOKUP(B224,'Base de Datos'!$C$7:$N$4077,9,0))=TRUE," ",(VLOOKUP(B224,'Base de Datos'!$C$7:$N$4077,10,0)))</f>
        <v>42352</v>
      </c>
      <c r="Q224" s="553" t="s">
        <v>378</v>
      </c>
      <c r="R224" s="551">
        <f>IF(ISERROR(VLOOKUP(B224,'Base de Datos'!$C$7:$N$4077,10,0))=TRUE," ",(VLOOKUP(B224,'Base de Datos'!$C$7:$N$4077,11,0)))</f>
        <v>42383</v>
      </c>
      <c r="S224" s="551">
        <f>IF(ISERROR(VLOOKUP(B224,'Base de Datos'!$C$7:$N$4077,11,0))=TRUE," ",(VLOOKUP(B224,'Base de Datos'!$C$7:$N$4077,12,0)))</f>
        <v>42443</v>
      </c>
      <c r="T224" s="533"/>
      <c r="U224" s="722"/>
      <c r="V224" s="634"/>
    </row>
    <row r="225" spans="2:22" s="615" customFormat="1" ht="15" customHeight="1" outlineLevel="1" x14ac:dyDescent="0.25">
      <c r="B225" s="972"/>
      <c r="C225" s="972"/>
      <c r="D225" s="972"/>
      <c r="E225" s="580"/>
      <c r="F225" s="534"/>
      <c r="G225" s="534"/>
      <c r="H225" s="534"/>
      <c r="I225" s="534"/>
      <c r="J225" s="580"/>
      <c r="K225" s="612"/>
      <c r="L225" s="580"/>
      <c r="M225" s="580"/>
      <c r="N225" s="580"/>
      <c r="O225" s="690"/>
      <c r="P225" s="613"/>
      <c r="Q225" s="614"/>
      <c r="R225" s="613"/>
      <c r="S225" s="613"/>
      <c r="T225" s="614"/>
      <c r="U225" s="722"/>
      <c r="V225" s="634"/>
    </row>
    <row r="226" spans="2:22" ht="15" customHeight="1" x14ac:dyDescent="0.25">
      <c r="B226" s="1183" t="s">
        <v>1688</v>
      </c>
      <c r="C226" s="1183"/>
      <c r="D226" s="1183"/>
      <c r="E226" s="541">
        <v>8242477000</v>
      </c>
      <c r="F226" s="542"/>
      <c r="G226" s="541">
        <f t="shared" ref="G226:N230" si="13">+G227</f>
        <v>7542477000</v>
      </c>
      <c r="H226" s="541">
        <f t="shared" si="13"/>
        <v>0</v>
      </c>
      <c r="I226" s="541">
        <f t="shared" si="13"/>
        <v>7542477000</v>
      </c>
      <c r="J226" s="541">
        <f t="shared" si="13"/>
        <v>11652295575.200001</v>
      </c>
      <c r="K226" s="583">
        <f t="shared" si="13"/>
        <v>1.4136885762859879</v>
      </c>
      <c r="L226" s="541" t="e">
        <f t="shared" si="13"/>
        <v>#N/A</v>
      </c>
      <c r="M226" s="576"/>
      <c r="N226" s="541" t="e">
        <f t="shared" si="13"/>
        <v>#N/A</v>
      </c>
      <c r="O226" s="674"/>
      <c r="P226" s="576"/>
      <c r="Q226" s="571"/>
      <c r="R226" s="577" t="str">
        <f>IF(ISERROR(VLOOKUP(B226,'Base de Datos'!$C$7:$N$315,9,0))=TRUE," ",(VLOOKUP(B226,'Base de Datos'!$C$7:$N$315,9,0)))</f>
        <v xml:space="preserve"> </v>
      </c>
      <c r="S226" s="577" t="str">
        <f>IF(ISERROR(VLOOKUP(B226,'Base de Datos'!$C$7:$N$315,10,0))=TRUE," ",(VLOOKUP(B226,'Base de Datos'!$C$7:$N$315,10,0)))</f>
        <v xml:space="preserve"> </v>
      </c>
      <c r="T226" s="571"/>
      <c r="U226" s="722"/>
      <c r="V226" s="634"/>
    </row>
    <row r="227" spans="2:22" ht="15" customHeight="1" x14ac:dyDescent="0.25">
      <c r="B227" s="1182" t="s">
        <v>1687</v>
      </c>
      <c r="C227" s="1182"/>
      <c r="D227" s="1182"/>
      <c r="E227" s="539">
        <v>8242477000</v>
      </c>
      <c r="F227" s="540"/>
      <c r="G227" s="543">
        <f t="shared" si="13"/>
        <v>7542477000</v>
      </c>
      <c r="H227" s="543">
        <f t="shared" si="13"/>
        <v>0</v>
      </c>
      <c r="I227" s="543">
        <f t="shared" si="13"/>
        <v>7542477000</v>
      </c>
      <c r="J227" s="543">
        <f t="shared" si="13"/>
        <v>11652295575.200001</v>
      </c>
      <c r="K227" s="601">
        <f t="shared" si="13"/>
        <v>1.4136885762859879</v>
      </c>
      <c r="L227" s="543" t="e">
        <f t="shared" si="13"/>
        <v>#N/A</v>
      </c>
      <c r="M227" s="543"/>
      <c r="N227" s="543" t="e">
        <f t="shared" si="13"/>
        <v>#N/A</v>
      </c>
      <c r="O227" s="689"/>
      <c r="P227" s="575" t="str">
        <f>IF(ISERROR(VLOOKUP(B227,'Base de Datos'!$C$7:$N$315,8,0))=TRUE," ",(VLOOKUP(B227,'Base de Datos'!$C$7:$N$315,8,0)))</f>
        <v xml:space="preserve"> </v>
      </c>
      <c r="Q227" s="569"/>
      <c r="R227" s="575" t="str">
        <f>IF(ISERROR(VLOOKUP(B227,'Base de Datos'!$C$7:$N$315,9,0))=TRUE," ",(VLOOKUP(B227,'Base de Datos'!$C$7:$N$315,9,0)))</f>
        <v xml:space="preserve"> </v>
      </c>
      <c r="S227" s="575" t="str">
        <f>IF(ISERROR(VLOOKUP(B227,'Base de Datos'!$C$7:$N$315,10,0))=TRUE," ",(VLOOKUP(B227,'Base de Datos'!$C$7:$N$315,10,0)))</f>
        <v xml:space="preserve"> </v>
      </c>
      <c r="T227" s="569"/>
      <c r="U227" s="722"/>
      <c r="V227" s="634"/>
    </row>
    <row r="228" spans="2:22" ht="15" customHeight="1" x14ac:dyDescent="0.25">
      <c r="B228" s="1180" t="s">
        <v>1676</v>
      </c>
      <c r="C228" s="1180"/>
      <c r="D228" s="1180"/>
      <c r="E228" s="543">
        <v>8242477000</v>
      </c>
      <c r="F228" s="540"/>
      <c r="G228" s="543">
        <f t="shared" si="13"/>
        <v>7542477000</v>
      </c>
      <c r="H228" s="543">
        <f t="shared" si="13"/>
        <v>0</v>
      </c>
      <c r="I228" s="543">
        <f t="shared" si="13"/>
        <v>7542477000</v>
      </c>
      <c r="J228" s="543">
        <f t="shared" si="13"/>
        <v>11652295575.200001</v>
      </c>
      <c r="K228" s="601">
        <f t="shared" si="13"/>
        <v>1.4136885762859879</v>
      </c>
      <c r="L228" s="543" t="e">
        <f t="shared" si="13"/>
        <v>#N/A</v>
      </c>
      <c r="M228" s="543"/>
      <c r="N228" s="543" t="e">
        <f t="shared" si="13"/>
        <v>#N/A</v>
      </c>
      <c r="O228" s="689"/>
      <c r="P228" s="575" t="str">
        <f>IF(ISERROR(VLOOKUP(B228,'Base de Datos'!$C$7:$N$315,8,0))=TRUE," ",(VLOOKUP(B228,'Base de Datos'!$C$7:$N$315,8,0)))</f>
        <v xml:space="preserve"> </v>
      </c>
      <c r="Q228" s="569"/>
      <c r="R228" s="575" t="str">
        <f>IF(ISERROR(VLOOKUP(B228,'Base de Datos'!$C$7:$N$315,9,0))=TRUE," ",(VLOOKUP(B228,'Base de Datos'!$C$7:$N$315,9,0)))</f>
        <v xml:space="preserve"> </v>
      </c>
      <c r="S228" s="575" t="str">
        <f>IF(ISERROR(VLOOKUP(B228,'Base de Datos'!$C$7:$N$315,10,0))=TRUE," ",(VLOOKUP(B228,'Base de Datos'!$C$7:$N$315,10,0)))</f>
        <v xml:space="preserve"> </v>
      </c>
      <c r="T228" s="569"/>
      <c r="U228" s="722"/>
      <c r="V228" s="634"/>
    </row>
    <row r="229" spans="2:22" ht="15" customHeight="1" x14ac:dyDescent="0.25">
      <c r="B229" s="1180" t="s">
        <v>1837</v>
      </c>
      <c r="C229" s="1180"/>
      <c r="D229" s="1180"/>
      <c r="E229" s="543">
        <v>8242477000</v>
      </c>
      <c r="F229" s="540"/>
      <c r="G229" s="543">
        <f t="shared" si="13"/>
        <v>7542477000</v>
      </c>
      <c r="H229" s="543">
        <f t="shared" si="13"/>
        <v>0</v>
      </c>
      <c r="I229" s="543">
        <f t="shared" si="13"/>
        <v>7542477000</v>
      </c>
      <c r="J229" s="543">
        <f t="shared" si="13"/>
        <v>11652295575.200001</v>
      </c>
      <c r="K229" s="601">
        <f t="shared" si="13"/>
        <v>1.4136885762859879</v>
      </c>
      <c r="L229" s="543" t="e">
        <f t="shared" si="13"/>
        <v>#N/A</v>
      </c>
      <c r="M229" s="543"/>
      <c r="N229" s="543" t="e">
        <f t="shared" si="13"/>
        <v>#N/A</v>
      </c>
      <c r="O229" s="689"/>
      <c r="P229" s="575" t="str">
        <f>IF(ISERROR(VLOOKUP(B229,'Base de Datos'!$C$7:$N$315,8,0))=TRUE," ",(VLOOKUP(B229,'Base de Datos'!$C$7:$N$315,8,0)))</f>
        <v xml:space="preserve"> </v>
      </c>
      <c r="Q229" s="569"/>
      <c r="R229" s="575" t="str">
        <f>IF(ISERROR(VLOOKUP(B229,'Base de Datos'!$C$7:$N$315,9,0))=TRUE," ",(VLOOKUP(B229,'Base de Datos'!$C$7:$N$315,9,0)))</f>
        <v xml:space="preserve"> </v>
      </c>
      <c r="S229" s="575" t="str">
        <f>IF(ISERROR(VLOOKUP(B229,'Base de Datos'!$C$7:$N$315,10,0))=TRUE," ",(VLOOKUP(B229,'Base de Datos'!$C$7:$N$315,10,0)))</f>
        <v xml:space="preserve"> </v>
      </c>
      <c r="T229" s="569"/>
      <c r="U229" s="722"/>
      <c r="V229" s="634"/>
    </row>
    <row r="230" spans="2:22" ht="15" customHeight="1" x14ac:dyDescent="0.25">
      <c r="B230" s="1180" t="s">
        <v>1836</v>
      </c>
      <c r="C230" s="1180"/>
      <c r="D230" s="1180"/>
      <c r="E230" s="543">
        <v>8242477000</v>
      </c>
      <c r="F230" s="540"/>
      <c r="G230" s="543">
        <f t="shared" si="13"/>
        <v>7542477000</v>
      </c>
      <c r="H230" s="543">
        <f t="shared" si="13"/>
        <v>0</v>
      </c>
      <c r="I230" s="543">
        <f t="shared" si="13"/>
        <v>7542477000</v>
      </c>
      <c r="J230" s="543">
        <f t="shared" si="13"/>
        <v>11652295575.200001</v>
      </c>
      <c r="K230" s="601">
        <f t="shared" si="13"/>
        <v>1.4136885762859879</v>
      </c>
      <c r="L230" s="543" t="e">
        <f t="shared" si="13"/>
        <v>#N/A</v>
      </c>
      <c r="M230" s="543"/>
      <c r="N230" s="543" t="e">
        <f t="shared" si="13"/>
        <v>#N/A</v>
      </c>
      <c r="O230" s="689"/>
      <c r="P230" s="575" t="str">
        <f>IF(ISERROR(VLOOKUP(B230,'Base de Datos'!$C$7:$N$315,8,0))=TRUE," ",(VLOOKUP(B230,'Base de Datos'!$C$7:$N$315,8,0)))</f>
        <v xml:space="preserve"> </v>
      </c>
      <c r="Q230" s="569"/>
      <c r="R230" s="575" t="str">
        <f>IF(ISERROR(VLOOKUP(B230,'Base de Datos'!$C$7:$N$315,9,0))=TRUE," ",(VLOOKUP(B230,'Base de Datos'!$C$7:$N$315,9,0)))</f>
        <v xml:space="preserve"> </v>
      </c>
      <c r="S230" s="575" t="str">
        <f>IF(ISERROR(VLOOKUP(B230,'Base de Datos'!$C$7:$N$315,10,0))=TRUE," ",(VLOOKUP(B230,'Base de Datos'!$C$7:$N$315,10,0)))</f>
        <v xml:space="preserve"> </v>
      </c>
      <c r="T230" s="569"/>
      <c r="U230" s="722"/>
      <c r="V230" s="634"/>
    </row>
    <row r="231" spans="2:22" ht="15" customHeight="1" x14ac:dyDescent="0.25">
      <c r="B231" s="1181" t="s">
        <v>1874</v>
      </c>
      <c r="C231" s="1181"/>
      <c r="D231" s="1181"/>
      <c r="E231" s="581">
        <v>8242477000</v>
      </c>
      <c r="F231" s="586">
        <f>COUNTIF('Actualizada - presupuesto'!$E$7:$E$111,B231)</f>
        <v>0</v>
      </c>
      <c r="G231" s="581">
        <v>7542477000</v>
      </c>
      <c r="H231" s="586"/>
      <c r="I231" s="581">
        <v>7542477000</v>
      </c>
      <c r="J231" s="581">
        <f>+J233+J241</f>
        <v>11652295575.200001</v>
      </c>
      <c r="K231" s="603">
        <f>J231/E231</f>
        <v>1.4136885762859879</v>
      </c>
      <c r="L231" s="581" t="e">
        <f>+L233+L241</f>
        <v>#N/A</v>
      </c>
      <c r="M231" s="581"/>
      <c r="N231" s="581" t="e">
        <f>+E231-J231-L231</f>
        <v>#N/A</v>
      </c>
      <c r="O231" s="684"/>
      <c r="P231" s="591" t="str">
        <f>IF(ISERROR(VLOOKUP(B231,'Base de Datos'!$C$7:$N$315,8,0))=TRUE," ",(VLOOKUP(B231,'Base de Datos'!$C$7:$N$315,8,0)))</f>
        <v xml:space="preserve"> </v>
      </c>
      <c r="Q231" s="592"/>
      <c r="R231" s="591" t="str">
        <f>IF(ISERROR(VLOOKUP(B231,'Base de Datos'!$C$7:$N$315,9,0))=TRUE," ",(VLOOKUP(B231,'Base de Datos'!$C$7:$N$315,9,0)))</f>
        <v xml:space="preserve"> </v>
      </c>
      <c r="S231" s="591" t="str">
        <f>IF(ISERROR(VLOOKUP(B231,'Base de Datos'!$C$7:$N$315,10,0))=TRUE," ",(VLOOKUP(B231,'Base de Datos'!$C$7:$N$315,10,0)))</f>
        <v xml:space="preserve"> </v>
      </c>
      <c r="T231" s="592"/>
      <c r="U231" s="722"/>
      <c r="V231" s="634"/>
    </row>
    <row r="232" spans="2:22" ht="24" outlineLevel="1" x14ac:dyDescent="0.25">
      <c r="B232" s="537" t="s">
        <v>1693</v>
      </c>
      <c r="C232" s="537" t="s">
        <v>912</v>
      </c>
      <c r="D232" s="537" t="s">
        <v>1822</v>
      </c>
      <c r="E232" s="545" t="s">
        <v>1846</v>
      </c>
      <c r="F232" s="534" t="s">
        <v>1853</v>
      </c>
      <c r="G232" s="534"/>
      <c r="H232" s="534"/>
      <c r="I232" s="534"/>
      <c r="J232" s="537" t="s">
        <v>1845</v>
      </c>
      <c r="K232" s="652"/>
      <c r="L232" s="537" t="s">
        <v>1939</v>
      </c>
      <c r="M232" s="537"/>
      <c r="N232" s="537" t="s">
        <v>1940</v>
      </c>
      <c r="O232" s="677"/>
      <c r="P232" s="568" t="s">
        <v>1847</v>
      </c>
      <c r="Q232" s="537" t="s">
        <v>1848</v>
      </c>
      <c r="R232" s="537" t="s">
        <v>1849</v>
      </c>
      <c r="S232" s="537" t="s">
        <v>375</v>
      </c>
      <c r="T232" s="537" t="s">
        <v>1850</v>
      </c>
      <c r="U232" s="722"/>
      <c r="V232" s="634"/>
    </row>
    <row r="233" spans="2:22" outlineLevel="1" x14ac:dyDescent="0.25">
      <c r="B233" s="616"/>
      <c r="C233" s="1182" t="s">
        <v>1910</v>
      </c>
      <c r="D233" s="1182"/>
      <c r="E233" s="618">
        <f>+E234</f>
        <v>400000000</v>
      </c>
      <c r="F233" s="540"/>
      <c r="G233" s="540"/>
      <c r="H233" s="540"/>
      <c r="I233" s="618">
        <v>400000000</v>
      </c>
      <c r="J233" s="622">
        <f>+J234</f>
        <v>4393265373</v>
      </c>
      <c r="K233" s="601">
        <f>+J233/I233</f>
        <v>10.9831634325</v>
      </c>
      <c r="L233" s="622" t="e">
        <f>+L234</f>
        <v>#N/A</v>
      </c>
      <c r="M233" s="543"/>
      <c r="N233" s="622" t="e">
        <f>+N234</f>
        <v>#N/A</v>
      </c>
      <c r="O233" s="692"/>
      <c r="P233" s="575" t="str">
        <f>IF(ISERROR(VLOOKUP(B233,'Base de Datos'!$C$7:$N$315,8,0))=TRUE," ",(VLOOKUP(B233,'Base de Datos'!$C$7:$N$315,8,0)))</f>
        <v xml:space="preserve"> </v>
      </c>
      <c r="Q233" s="569"/>
      <c r="R233" s="575" t="str">
        <f>IF(ISERROR(VLOOKUP(B233,'Base de Datos'!$C$7:$N$315,9,0))=TRUE," ",(VLOOKUP(B233,'Base de Datos'!$C$7:$N$315,9,0)))</f>
        <v xml:space="preserve"> </v>
      </c>
      <c r="S233" s="575" t="str">
        <f>IF(ISERROR(VLOOKUP(B233,'Base de Datos'!$C$7:$N$315,10,0))=TRUE," ",(VLOOKUP(B233,'Base de Datos'!$C$7:$N$315,10,0)))</f>
        <v xml:space="preserve"> </v>
      </c>
      <c r="T233" s="569"/>
      <c r="U233" s="722"/>
      <c r="V233" s="634"/>
    </row>
    <row r="234" spans="2:22" ht="31.5" customHeight="1" outlineLevel="1" x14ac:dyDescent="0.25">
      <c r="B234" s="537"/>
      <c r="C234" s="1197" t="s">
        <v>1911</v>
      </c>
      <c r="D234" s="1198"/>
      <c r="E234" s="637">
        <v>400000000</v>
      </c>
      <c r="F234" s="636"/>
      <c r="G234" s="636"/>
      <c r="H234" s="636"/>
      <c r="I234" s="636"/>
      <c r="J234" s="638">
        <f>SUM(J235:J239)</f>
        <v>4393265373</v>
      </c>
      <c r="K234" s="637"/>
      <c r="L234" s="638" t="e">
        <f>SUM(L235:L239)</f>
        <v>#N/A</v>
      </c>
      <c r="M234" s="639"/>
      <c r="N234" s="638" t="e">
        <f>+E234-J234-L234</f>
        <v>#N/A</v>
      </c>
      <c r="O234" s="693"/>
      <c r="P234" s="640" t="str">
        <f>IF(ISERROR(VLOOKUP(B234,'Base de Datos'!$C$7:$N$315,8,0))=TRUE," ",(VLOOKUP(B234,'Base de Datos'!$C$7:$N$315,8,0)))</f>
        <v xml:space="preserve"> </v>
      </c>
      <c r="Q234" s="641"/>
      <c r="R234" s="640" t="str">
        <f>IF(ISERROR(VLOOKUP(B234,'Base de Datos'!$C$7:$N$315,9,0))=TRUE," ",(VLOOKUP(B234,'Base de Datos'!$C$7:$N$315,9,0)))</f>
        <v xml:space="preserve"> </v>
      </c>
      <c r="S234" s="640" t="str">
        <f>IF(ISERROR(VLOOKUP(B234,'Base de Datos'!$C$7:$N$315,10,0))=TRUE," ",(VLOOKUP(B234,'Base de Datos'!$C$7:$N$315,10,0)))</f>
        <v xml:space="preserve"> </v>
      </c>
      <c r="T234" s="641"/>
      <c r="U234" s="722"/>
      <c r="V234" s="634"/>
    </row>
    <row r="235" spans="2:22" ht="13.5" customHeight="1" outlineLevel="1" x14ac:dyDescent="0.25">
      <c r="B235" s="627">
        <v>179</v>
      </c>
      <c r="C235" s="533" t="str">
        <f>IF(ISERROR(VLOOKUP(B235,'Base de Datos'!$C$487:$F$4092,2,0))=TRUE,"",(VLOOKUP('Presupuesto - PAA 2018'!B235,'Base de Datos'!$C$7:$F$4092,3,0)))</f>
        <v>150302-0-2015</v>
      </c>
      <c r="D235" s="533" t="str">
        <f>IF(ISERROR(VLOOKUP(B235,'Base de Datos'!$C$487:$F$4092,3,0))=TRUE,"",(VLOOKUP('Presupuesto - PAA 2018'!B235,'Base de Datos'!$C$487:$F$4092,4,0)))</f>
        <v>GRUPO TITANIUM SAS</v>
      </c>
      <c r="E235" s="536">
        <f>VLOOKUP(B235,[7]PAA2017!$C$65:$AA$255,20,0)</f>
        <v>300000000</v>
      </c>
      <c r="F235" s="534" t="str">
        <f>VLOOKUP(B235,[8]SOLICITUDES!$B$3:$H$278,2,0)</f>
        <v>SI</v>
      </c>
      <c r="G235" s="534"/>
      <c r="H235" s="534"/>
      <c r="I235" s="534"/>
      <c r="J235" s="536">
        <f>IF(ISERROR(VLOOKUP(B235,'Base de Datos'!$C$487:$N$4092,6,0))=TRUE,"Sin Celebrar",(VLOOKUP(B235,'Base de Datos'!$C$487:$N$4092,7,0)))</f>
        <v>241357373</v>
      </c>
      <c r="K235" s="600"/>
      <c r="L235" s="580" t="str">
        <f>IF(J235=$AA$1,E235, " ")</f>
        <v xml:space="preserve"> </v>
      </c>
      <c r="M235" s="536"/>
      <c r="N235" s="536">
        <f>IF(J235&lt;E235,(E235-J235)," ")</f>
        <v>58642627</v>
      </c>
      <c r="O235" s="719" t="str">
        <f>IF(ISERROR(VLOOKUP(B235,'Base de Datos'!$C$487:$K$1048576,7,0))=TRUE," ",(VLOOKUP(B235,'Base de Datos'!$C$487:$K$1048576,8,0)))</f>
        <v>SDH-SAMC-08-2017</v>
      </c>
      <c r="P235" s="551">
        <f>IF(ISERROR(VLOOKUP(B235,'Base de Datos'!$C$487:$N$4077,9,0))=TRUE," ",(VLOOKUP(B235,'Base de Datos'!$C$487:$N$4077,10,0)))</f>
        <v>42993</v>
      </c>
      <c r="Q235" s="737"/>
      <c r="R235" s="551">
        <f>IF(ISERROR(VLOOKUP(B235,'Base de Datos'!$C$487:$N$4077,10,0))=TRUE," ",(VLOOKUP(B235,'Base de Datos'!$C$487:$N$4077,11,0)))</f>
        <v>43053</v>
      </c>
      <c r="S235" s="551">
        <f>IF(ISERROR(VLOOKUP(B235,'Base de Datos'!$C$487:$N$4077,11,0))=TRUE," ",(VLOOKUP(B235,'Base de Datos'!$C$487:$N$4077,12,0)))</f>
        <v>43172</v>
      </c>
      <c r="T235" s="533" t="str">
        <f>VLOOKUP(B235,'Base de Datos'!$C$487:$AR$4129,41,0)</f>
        <v>SI</v>
      </c>
      <c r="U235" s="722"/>
      <c r="V235" s="634"/>
    </row>
    <row r="236" spans="2:22" ht="24" outlineLevel="1" x14ac:dyDescent="0.25">
      <c r="B236" s="627">
        <v>180</v>
      </c>
      <c r="C236" s="533" t="str">
        <f>IF(ISERROR(VLOOKUP(B236,'Base de Datos'!$C$487:$F$4092,2,0))=TRUE,"",(VLOOKUP('Presupuesto - PAA 2018'!B236,'Base de Datos'!$C$487:$F$4092,3,0)))</f>
        <v>180192-0-2018</v>
      </c>
      <c r="D236" s="533" t="str">
        <f>IF(ISERROR(VLOOKUP(B236,'Base de Datos'!$C$487:$F$4092,3,0))=TRUE,"",(VLOOKUP('Presupuesto - PAA 2018'!B236,'Base de Datos'!$C$487:$F$4092,4,0)))</f>
        <v>TEAM MANAGEMENT INFRASTRUCTURE SAS</v>
      </c>
      <c r="E236" s="536">
        <f>VLOOKUP(B236,[7]PAA2017!$C$65:$AA$255,20,0)</f>
        <v>450000000</v>
      </c>
      <c r="F236" s="534" t="e">
        <f>VLOOKUP(B236,[8]SOLICITUDES!$B$3:$H$278,2,0)</f>
        <v>#N/A</v>
      </c>
      <c r="G236" s="534"/>
      <c r="H236" s="534"/>
      <c r="I236" s="534"/>
      <c r="J236" s="536">
        <f>IF(ISERROR(VLOOKUP(B236,'Base de Datos'!$C$487:$N$4092,6,0))=TRUE,"Sin Celebrar",(VLOOKUP(B236,'Base de Datos'!$C$487:$N$4092,7,0)))</f>
        <v>43000000</v>
      </c>
      <c r="K236" s="600"/>
      <c r="L236" s="580" t="str">
        <f>IF(J236=$AA$1,E236, " ")</f>
        <v xml:space="preserve"> </v>
      </c>
      <c r="M236" s="536"/>
      <c r="N236" s="536">
        <f>IF(J236&lt;E236,(E236-J236)," ")</f>
        <v>407000000</v>
      </c>
      <c r="O236" s="719" t="str">
        <f>IF(ISERROR(VLOOKUP(B236,'Base de Datos'!$C$487:$K$1048576,7,0))=TRUE," ",(VLOOKUP(B236,'Base de Datos'!$C$487:$K$1048576,8,0)))</f>
        <v>SDH-SMINC-35-2018</v>
      </c>
      <c r="P236" s="551">
        <f>IF(ISERROR(VLOOKUP(B236,'Base de Datos'!$C$487:$N$4077,9,0))=TRUE," ",(VLOOKUP(B236,'Base de Datos'!$C$487:$N$4077,10,0)))</f>
        <v>43278</v>
      </c>
      <c r="Q236" s="737"/>
      <c r="R236" s="551">
        <f>IF(ISERROR(VLOOKUP(B236,'Base de Datos'!$C$487:$N$4077,10,0))=TRUE," ",(VLOOKUP(B236,'Base de Datos'!$C$487:$N$4077,11,0)))</f>
        <v>43286</v>
      </c>
      <c r="S236" s="551">
        <f>IF(ISERROR(VLOOKUP(B236,'Base de Datos'!$C$487:$N$4077,11,0))=TRUE," ",(VLOOKUP(B236,'Base de Datos'!$C$487:$N$4077,12,0)))</f>
        <v>43650</v>
      </c>
      <c r="T236" s="533" t="str">
        <f>VLOOKUP(B236,'Base de Datos'!$C$487:$AR$4129,41,0)</f>
        <v>SI</v>
      </c>
      <c r="U236" s="722"/>
      <c r="V236" s="634"/>
    </row>
    <row r="237" spans="2:22" outlineLevel="1" x14ac:dyDescent="0.25">
      <c r="B237" s="627">
        <v>181</v>
      </c>
      <c r="C237" s="533" t="str">
        <f>IF(ISERROR(VLOOKUP(B237,'Base de Datos'!$C$487:$F$4092,2,0))=TRUE,"",(VLOOKUP('Presupuesto - PAA 2018'!B237,'Base de Datos'!$C$487:$F$4092,3,0)))</f>
        <v>170002-0-2017</v>
      </c>
      <c r="D237" s="533" t="str">
        <f>IF(ISERROR(VLOOKUP(B237,'Base de Datos'!$C$487:$F$4092,3,0))=TRUE,"",(VLOOKUP('Presupuesto - PAA 2018'!B237,'Base de Datos'!$C$487:$F$4092,4,0)))</f>
        <v>UNIDAD NACIONAL DE PROTECCION - UNP</v>
      </c>
      <c r="E237" s="536">
        <f>VLOOKUP(B237,[7]PAA2017!$C$65:$AA$255,20,0)</f>
        <v>4250000000</v>
      </c>
      <c r="F237" s="534" t="str">
        <f>VLOOKUP(B237,[8]SOLICITUDES!$B$3:$H$278,2,0)</f>
        <v>SI</v>
      </c>
      <c r="G237" s="534"/>
      <c r="H237" s="534"/>
      <c r="I237" s="534"/>
      <c r="J237" s="536">
        <f>IF(ISERROR(VLOOKUP(B237,'Base de Datos'!$C$487:$N$4092,6,0))=TRUE,"Sin Celebrar",(VLOOKUP(B237,'Base de Datos'!$C$487:$N$4092,7,0)))</f>
        <v>4108908000</v>
      </c>
      <c r="K237" s="600"/>
      <c r="L237" s="580" t="str">
        <f>IF(J237=$AA$1,E237, " ")</f>
        <v xml:space="preserve"> </v>
      </c>
      <c r="M237" s="536"/>
      <c r="N237" s="536">
        <f>IF(J237&lt;E237,(E237-J237)," ")</f>
        <v>141092000</v>
      </c>
      <c r="O237" s="719" t="str">
        <f>IF(ISERROR(VLOOKUP(B237,'Base de Datos'!$C$487:$K$1048576,7,0))=TRUE," ",(VLOOKUP(B237,'Base de Datos'!$C$487:$K$1048576,8,0)))</f>
        <v>170002-0-2017</v>
      </c>
      <c r="P237" s="551">
        <f>IF(ISERROR(VLOOKUP(B237,'Base de Datos'!$C$487:$N$4077,9,0))=TRUE," ",(VLOOKUP(B237,'Base de Datos'!$C$487:$N$4077,10,0)))</f>
        <v>42748</v>
      </c>
      <c r="Q237" s="737"/>
      <c r="R237" s="551">
        <f>IF(ISERROR(VLOOKUP(B237,'Base de Datos'!$C$487:$N$4077,10,0))=TRUE," ",(VLOOKUP(B237,'Base de Datos'!$C$487:$N$4077,11,0)))</f>
        <v>42751</v>
      </c>
      <c r="S237" s="551">
        <f>IF(ISERROR(VLOOKUP(B237,'Base de Datos'!$C$487:$N$4077,11,0))=TRUE," ",(VLOOKUP(B237,'Base de Datos'!$C$487:$N$4077,12,0)))</f>
        <v>43070</v>
      </c>
      <c r="T237" s="533" t="str">
        <f>VLOOKUP(B237,'Base de Datos'!$C$487:$AR$4129,41,0)</f>
        <v>SI</v>
      </c>
      <c r="U237" s="722"/>
      <c r="V237" s="634"/>
    </row>
    <row r="238" spans="2:22" outlineLevel="1" x14ac:dyDescent="0.25">
      <c r="B238" s="537"/>
      <c r="C238" s="533" t="str">
        <f>IF(ISERROR(VLOOKUP(B238,'Base de Datos'!$C$487:$F$4092,2,0))=TRUE,"",(VLOOKUP('Presupuesto - PAA 2018'!B238,'Base de Datos'!$C$7:$F$4092,3,0)))</f>
        <v/>
      </c>
      <c r="D238" s="533" t="str">
        <f>IF(ISERROR(VLOOKUP(B238,'Base de Datos'!$C$487:$F$4092,3,0))=TRUE,"",(VLOOKUP('Presupuesto - PAA 2018'!B238,'Base de Datos'!$C$487:$F$4092,4,0)))</f>
        <v/>
      </c>
      <c r="E238" s="536" t="e">
        <f>VLOOKUP(B238,[7]PAA2017!$C$65:$AA$255,20,0)</f>
        <v>#N/A</v>
      </c>
      <c r="F238" s="534" t="e">
        <f>VLOOKUP(B238,[8]SOLICITUDES!$B$3:$H$278,2,0)</f>
        <v>#N/A</v>
      </c>
      <c r="G238" s="534"/>
      <c r="H238" s="534"/>
      <c r="I238" s="534"/>
      <c r="J238" s="536" t="str">
        <f>IF(ISERROR(VLOOKUP(B238,'Base de Datos'!$C$487:$N$4092,6,0))=TRUE,"Sin Celebrar",(VLOOKUP(B238,'Base de Datos'!$C$487:$N$4092,7,0)))</f>
        <v>Sin Celebrar</v>
      </c>
      <c r="K238" s="600"/>
      <c r="L238" s="580" t="e">
        <f>IF(J238=$AA$1,E238, " ")</f>
        <v>#N/A</v>
      </c>
      <c r="M238" s="536"/>
      <c r="N238" s="536" t="e">
        <f>IF(J238&lt;E238,(E238-J238)," ")</f>
        <v>#N/A</v>
      </c>
      <c r="O238" s="719" t="str">
        <f>IF(ISERROR(VLOOKUP(B238,'Base de Datos'!$C$487:$K$1048576,7,0))=TRUE," ",(VLOOKUP(B238,'Base de Datos'!$C$487:$K$1048576,8,0)))</f>
        <v xml:space="preserve"> </v>
      </c>
      <c r="P238" s="551" t="str">
        <f>IF(ISERROR(VLOOKUP(B238,'Base de Datos'!$C$487:$N$4077,9,0))=TRUE," ",(VLOOKUP(B238,'Base de Datos'!$C$487:$N$4077,10,0)))</f>
        <v xml:space="preserve"> </v>
      </c>
      <c r="Q238" s="737"/>
      <c r="R238" s="551" t="str">
        <f>IF(ISERROR(VLOOKUP(B238,'Base de Datos'!$C$487:$N$4077,10,0))=TRUE," ",(VLOOKUP(B238,'Base de Datos'!$C$487:$N$4077,11,0)))</f>
        <v xml:space="preserve"> </v>
      </c>
      <c r="S238" s="551" t="str">
        <f>IF(ISERROR(VLOOKUP(B238,'Base de Datos'!$C$487:$N$4077,11,0))=TRUE," ",(VLOOKUP(B238,'Base de Datos'!$C$487:$N$4077,12,0)))</f>
        <v xml:space="preserve"> </v>
      </c>
      <c r="T238" s="533" t="e">
        <f>VLOOKUP(B238,'Base de Datos'!$C$487:$AR$4129,41,0)</f>
        <v>#N/A</v>
      </c>
      <c r="U238" s="722"/>
      <c r="V238" s="634"/>
    </row>
    <row r="239" spans="2:22" outlineLevel="1" x14ac:dyDescent="0.25">
      <c r="B239" s="537"/>
      <c r="C239" s="533"/>
      <c r="D239" s="617" t="s">
        <v>1935</v>
      </c>
      <c r="E239" s="536" t="e">
        <f>+E234-SUM(E235:E238)</f>
        <v>#N/A</v>
      </c>
      <c r="F239" s="534"/>
      <c r="G239" s="534"/>
      <c r="H239" s="534"/>
      <c r="I239" s="534"/>
      <c r="J239" s="536"/>
      <c r="K239" s="536"/>
      <c r="L239" s="536"/>
      <c r="M239" s="536"/>
      <c r="N239" s="536" t="e">
        <f t="shared" ref="N239:N259" si="14">IF(J239&lt;E239,(E239-J239)," ")</f>
        <v>#N/A</v>
      </c>
      <c r="O239" s="678"/>
      <c r="P239" s="551" t="str">
        <f>IF(ISERROR(VLOOKUP(B239,'Base de Datos'!$C$7:$N$315,8,0))=TRUE," ",(VLOOKUP(B239,'Base de Datos'!$C$7:$N$315,8,0)))</f>
        <v xml:space="preserve"> </v>
      </c>
      <c r="Q239" s="533"/>
      <c r="R239" s="551" t="str">
        <f>IF(ISERROR(VLOOKUP(B239,'Base de Datos'!$C$7:$N$315,9,0))=TRUE," ",(VLOOKUP(B239,'Base de Datos'!$C$7:$N$315,9,0)))</f>
        <v xml:space="preserve"> </v>
      </c>
      <c r="S239" s="551" t="str">
        <f>IF(ISERROR(VLOOKUP(B239,'Base de Datos'!$C$7:$N$315,10,0))=TRUE," ",(VLOOKUP(B239,'Base de Datos'!$C$7:$N$315,10,0)))</f>
        <v xml:space="preserve"> </v>
      </c>
      <c r="T239" s="533"/>
      <c r="U239" s="722"/>
      <c r="V239" s="634"/>
    </row>
    <row r="240" spans="2:22" outlineLevel="1" x14ac:dyDescent="0.25">
      <c r="B240" s="537"/>
      <c r="C240" s="533"/>
      <c r="D240" s="617"/>
      <c r="E240" s="536"/>
      <c r="F240" s="534"/>
      <c r="G240" s="534"/>
      <c r="H240" s="534"/>
      <c r="I240" s="534"/>
      <c r="J240" s="536"/>
      <c r="K240" s="536"/>
      <c r="L240" s="536"/>
      <c r="M240" s="536"/>
      <c r="N240" s="536" t="str">
        <f t="shared" si="14"/>
        <v xml:space="preserve"> </v>
      </c>
      <c r="O240" s="678"/>
      <c r="P240" s="551" t="str">
        <f>IF(ISERROR(VLOOKUP(B240,'Base de Datos'!$C$7:$N$315,8,0))=TRUE," ",(VLOOKUP(B240,'Base de Datos'!$C$7:$N$315,8,0)))</f>
        <v xml:space="preserve"> </v>
      </c>
      <c r="Q240" s="533"/>
      <c r="R240" s="551" t="str">
        <f>IF(ISERROR(VLOOKUP(B240,'Base de Datos'!$C$7:$N$315,9,0))=TRUE," ",(VLOOKUP(B240,'Base de Datos'!$C$7:$N$315,9,0)))</f>
        <v xml:space="preserve"> </v>
      </c>
      <c r="S240" s="551" t="str">
        <f>IF(ISERROR(VLOOKUP(B240,'Base de Datos'!$C$7:$N$315,10,0))=TRUE," ",(VLOOKUP(B240,'Base de Datos'!$C$7:$N$315,10,0)))</f>
        <v xml:space="preserve"> </v>
      </c>
      <c r="T240" s="533"/>
      <c r="U240" s="722"/>
      <c r="V240" s="634"/>
    </row>
    <row r="241" spans="2:22" ht="24" customHeight="1" outlineLevel="1" x14ac:dyDescent="0.25">
      <c r="B241" s="616"/>
      <c r="C241" s="1182" t="s">
        <v>1914</v>
      </c>
      <c r="D241" s="1182"/>
      <c r="E241" s="543">
        <f>+E242+E244+E249+E251+E264</f>
        <v>7722182796</v>
      </c>
      <c r="F241" s="631"/>
      <c r="G241" s="540"/>
      <c r="H241" s="540"/>
      <c r="I241" s="540"/>
      <c r="J241" s="543">
        <f>+J242+J244+J249+J251+J264</f>
        <v>7259030202.1999998</v>
      </c>
      <c r="K241" s="601">
        <f>+J241/E241</f>
        <v>0.94002309890411972</v>
      </c>
      <c r="L241" s="543">
        <f>+L242+L244+L249+L251+L264</f>
        <v>450477000</v>
      </c>
      <c r="M241" s="536"/>
      <c r="N241" s="543">
        <f>+E241-J241-L241</f>
        <v>12675593.800000191</v>
      </c>
      <c r="O241" s="689"/>
      <c r="P241" s="575" t="str">
        <f>IF(ISERROR(VLOOKUP(B241,'Base de Datos'!$C$7:$N$315,8,0))=TRUE," ",(VLOOKUP(B241,'Base de Datos'!$C$7:$N$315,8,0)))</f>
        <v xml:space="preserve"> </v>
      </c>
      <c r="Q241" s="569"/>
      <c r="R241" s="575" t="str">
        <f>IF(ISERROR(VLOOKUP(B241,'Base de Datos'!$C$7:$N$315,9,0))=TRUE," ",(VLOOKUP(B241,'Base de Datos'!$C$7:$N$315,9,0)))</f>
        <v xml:space="preserve"> </v>
      </c>
      <c r="S241" s="575" t="str">
        <f>IF(ISERROR(VLOOKUP(B241,'Base de Datos'!$C$7:$N$315,10,0))=TRUE," ",(VLOOKUP(B241,'Base de Datos'!$C$7:$N$315,10,0)))</f>
        <v xml:space="preserve"> </v>
      </c>
      <c r="T241" s="569"/>
      <c r="U241" s="722"/>
      <c r="V241" s="634"/>
    </row>
    <row r="242" spans="2:22" ht="24.75" customHeight="1" outlineLevel="1" x14ac:dyDescent="0.25">
      <c r="B242" s="537"/>
      <c r="C242" s="1201" t="s">
        <v>1915</v>
      </c>
      <c r="D242" s="1201"/>
      <c r="E242" s="619">
        <v>450477000</v>
      </c>
      <c r="F242" s="970"/>
      <c r="G242" s="621"/>
      <c r="H242" s="621"/>
      <c r="I242" s="621"/>
      <c r="J242" s="620">
        <f>SUM(J243)</f>
        <v>0</v>
      </c>
      <c r="K242" s="623">
        <f>+J242/E242</f>
        <v>0</v>
      </c>
      <c r="L242" s="620">
        <f>SUM(L243)</f>
        <v>450477000</v>
      </c>
      <c r="M242" s="619"/>
      <c r="N242" s="649">
        <f>SUM(N243)</f>
        <v>0</v>
      </c>
      <c r="O242" s="694"/>
      <c r="P242" s="625" t="str">
        <f>IF(ISERROR(VLOOKUP(B242,'Base de Datos'!$C$7:$N$315,8,0))=TRUE," ",(VLOOKUP(B242,'Base de Datos'!$C$7:$N$315,8,0)))</f>
        <v xml:space="preserve"> </v>
      </c>
      <c r="Q242" s="970"/>
      <c r="R242" s="625" t="str">
        <f>IF(ISERROR(VLOOKUP(B242,'Base de Datos'!$C$7:$N$315,9,0))=TRUE," ",(VLOOKUP(B242,'Base de Datos'!$C$7:$N$315,9,0)))</f>
        <v xml:space="preserve"> </v>
      </c>
      <c r="S242" s="625" t="str">
        <f>IF(ISERROR(VLOOKUP(B242,'Base de Datos'!$C$7:$N$315,10,0))=TRUE," ",(VLOOKUP(B242,'Base de Datos'!$C$7:$N$315,10,0)))</f>
        <v xml:space="preserve"> </v>
      </c>
      <c r="T242" s="970"/>
      <c r="U242" s="722"/>
      <c r="V242" s="634"/>
    </row>
    <row r="243" spans="2:22" ht="15" customHeight="1" outlineLevel="1" x14ac:dyDescent="0.25">
      <c r="B243" s="537">
        <v>213</v>
      </c>
      <c r="C243" s="617"/>
      <c r="D243" s="617" t="s">
        <v>1916</v>
      </c>
      <c r="E243" s="580">
        <v>450477000</v>
      </c>
      <c r="F243" s="534" t="str">
        <f>VLOOKUP(B243,'Actualizada - presupuesto'!$D$7:$L$111,9,0)</f>
        <v>SI</v>
      </c>
      <c r="G243" s="534"/>
      <c r="H243" s="534"/>
      <c r="I243" s="534"/>
      <c r="J243" s="536" t="str">
        <f>IF(ISERROR(VLOOKUP(B243,'Base de Datos'!$C$7:$N$315,6,0))=TRUE,"Sin Celebrar",(VLOOKUP(B243,'Base de Datos'!$C$7:$N$315,6,0)))</f>
        <v>Sin Celebrar</v>
      </c>
      <c r="K243" s="536"/>
      <c r="L243" s="536">
        <f>IF(J243=$AA$1,E243, " ")</f>
        <v>450477000</v>
      </c>
      <c r="M243" s="536"/>
      <c r="N243" s="554" t="str">
        <f>IF(J243&lt;E243,(E243-J243)," ")</f>
        <v xml:space="preserve"> </v>
      </c>
      <c r="O243" s="679"/>
      <c r="P243" s="551" t="str">
        <f>IF(ISERROR(VLOOKUP(B243,'Base de Datos'!$C$7:$N$315,8,0))=TRUE," ",(VLOOKUP(B243,'Base de Datos'!$C$7:$N$315,8,0)))</f>
        <v xml:space="preserve"> </v>
      </c>
      <c r="Q243" s="533"/>
      <c r="R243" s="551" t="str">
        <f>IF(ISERROR(VLOOKUP(B243,'Base de Datos'!$C$7:$N$315,9,0))=TRUE," ",(VLOOKUP(B243,'Base de Datos'!$C$7:$N$315,9,0)))</f>
        <v xml:space="preserve"> </v>
      </c>
      <c r="S243" s="551" t="str">
        <f>IF(ISERROR(VLOOKUP(B243,'Base de Datos'!$C$7:$N$315,10,0))=TRUE," ",(VLOOKUP(B243,'Base de Datos'!$C$7:$N$315,10,0)))</f>
        <v xml:space="preserve"> </v>
      </c>
      <c r="T243" s="533" t="e">
        <f>VLOOKUP(C243,'Base de Datos'!$E$7:$AR$382,39,0)</f>
        <v>#N/A</v>
      </c>
      <c r="U243" s="722"/>
      <c r="V243" s="634"/>
    </row>
    <row r="244" spans="2:22" ht="27" customHeight="1" outlineLevel="1" x14ac:dyDescent="0.25">
      <c r="B244" s="537"/>
      <c r="C244" s="1201" t="s">
        <v>1917</v>
      </c>
      <c r="D244" s="1201"/>
      <c r="E244" s="619">
        <f>SUM(E245:E248)</f>
        <v>466869877</v>
      </c>
      <c r="F244" s="621"/>
      <c r="G244" s="621"/>
      <c r="H244" s="621"/>
      <c r="I244" s="621"/>
      <c r="J244" s="619">
        <f>SUM(J245:J248)</f>
        <v>466869877</v>
      </c>
      <c r="K244" s="623">
        <f>+J244/E244</f>
        <v>1</v>
      </c>
      <c r="L244" s="619">
        <f>SUM(L245:L248)</f>
        <v>0</v>
      </c>
      <c r="M244" s="619"/>
      <c r="N244" s="619">
        <f>+E244-J244-L244</f>
        <v>0</v>
      </c>
      <c r="O244" s="694"/>
      <c r="P244" s="625" t="str">
        <f>IF(ISERROR(VLOOKUP(B244,'Base de Datos'!$C$7:$N$315,8,0))=TRUE," ",(VLOOKUP(B244,'Base de Datos'!$C$7:$N$315,8,0)))</f>
        <v xml:space="preserve"> </v>
      </c>
      <c r="Q244" s="970"/>
      <c r="R244" s="625" t="str">
        <f>IF(ISERROR(VLOOKUP(B244,'Base de Datos'!$C$7:$N$315,9,0))=TRUE," ",(VLOOKUP(B244,'Base de Datos'!$C$7:$N$315,9,0)))</f>
        <v xml:space="preserve"> </v>
      </c>
      <c r="S244" s="625" t="str">
        <f>IF(ISERROR(VLOOKUP(B244,'Base de Datos'!$C$7:$N$315,10,0))=TRUE," ",(VLOOKUP(B244,'Base de Datos'!$C$7:$N$315,10,0)))</f>
        <v xml:space="preserve"> </v>
      </c>
      <c r="T244" s="970"/>
      <c r="U244" s="722"/>
      <c r="V244" s="634"/>
    </row>
    <row r="245" spans="2:22" outlineLevel="1" x14ac:dyDescent="0.25">
      <c r="B245" s="537">
        <v>208</v>
      </c>
      <c r="C245" s="533" t="str">
        <f>IF(ISERROR(VLOOKUP(B245,'Base de Datos'!$C$7:$F$4092,2,0))=TRUE,"",(VLOOKUP('Presupuesto - PAA 2018'!B245,'Base de Datos'!$C$7:$F$4092,3,0)))</f>
        <v>150192-0-2015</v>
      </c>
      <c r="D245" s="533" t="str">
        <f>IF(ISERROR(VLOOKUP(B245,'Base de Datos'!$C$7:$F$4092,3,0))=TRUE,"",(VLOOKUP('Presupuesto - PAA 2018'!B245,'Base de Datos'!$C$7:$F$4092,4,0)))</f>
        <v>INVERSIONES MATAY SAS</v>
      </c>
      <c r="E245" s="536">
        <v>379200000</v>
      </c>
      <c r="F245" s="534" t="str">
        <f>VLOOKUP(B245,'Actualizada - presupuesto'!$D$7:$L$111,9,0)</f>
        <v>SI</v>
      </c>
      <c r="G245" s="534"/>
      <c r="H245" s="534"/>
      <c r="I245" s="534"/>
      <c r="J245" s="536">
        <f>IF(ISERROR(VLOOKUP(B245,'Base de Datos'!$C$7:$N$4092,6,0))=TRUE,"Sin Celebrar",(VLOOKUP(B245,'Base de Datos'!$C$7:$N$4092,7,0)))</f>
        <v>379200000</v>
      </c>
      <c r="K245" s="536"/>
      <c r="L245" s="536" t="str">
        <f t="shared" ref="L245:L259" si="15">IF(J245=$AA$1,E245, " ")</f>
        <v xml:space="preserve"> </v>
      </c>
      <c r="M245" s="536"/>
      <c r="N245" s="536" t="str">
        <f t="shared" si="14"/>
        <v xml:space="preserve"> </v>
      </c>
      <c r="O245" s="719" t="str">
        <f>IF(ISERROR(VLOOKUP(B245,'Base de Datos'!$C$7:$K$1048576,7,0))=TRUE," ",(VLOOKUP(B245,'Base de Datos'!$C$7:$K$1048576,8,0)))</f>
        <v>150192-0-2015</v>
      </c>
      <c r="P245" s="551">
        <f>IF(ISERROR(VLOOKUP(B245,'Base de Datos'!$C$7:$N$4077,9,0))=TRUE," ",(VLOOKUP(B245,'Base de Datos'!$C$7:$N$4077,10,0)))</f>
        <v>42109</v>
      </c>
      <c r="Q245" s="533" t="s">
        <v>1854</v>
      </c>
      <c r="R245" s="551">
        <f>IF(ISERROR(VLOOKUP(B245,'Base de Datos'!$C$7:$N$4077,10,0))=TRUE," ",(VLOOKUP(B245,'Base de Datos'!$C$7:$N$4077,11,0)))</f>
        <v>42109</v>
      </c>
      <c r="S245" s="551">
        <f>IF(ISERROR(VLOOKUP(B245,'Base de Datos'!$C$7:$N$4077,11,0))=TRUE," ",(VLOOKUP(B245,'Base de Datos'!$C$7:$N$4077,12,0)))</f>
        <v>42429</v>
      </c>
      <c r="T245" s="533" t="str">
        <f ca="1">VLOOKUP(C245,'Base de Datos'!$E$7:$AR$382,39,0)</f>
        <v>NO</v>
      </c>
      <c r="U245" s="722"/>
      <c r="V245" s="634"/>
    </row>
    <row r="246" spans="2:22" outlineLevel="1" x14ac:dyDescent="0.25">
      <c r="B246" s="537">
        <v>263</v>
      </c>
      <c r="C246" s="533" t="s">
        <v>307</v>
      </c>
      <c r="D246" s="617" t="s">
        <v>1920</v>
      </c>
      <c r="E246" s="536">
        <v>87669877</v>
      </c>
      <c r="F246" s="534" t="str">
        <f>VLOOKUP(B246,'Actualizada - presupuesto'!$D$7:$L$111,9,0)</f>
        <v>SI</v>
      </c>
      <c r="G246" s="534"/>
      <c r="H246" s="534"/>
      <c r="I246" s="534"/>
      <c r="J246" s="536">
        <v>87669877</v>
      </c>
      <c r="K246" s="536"/>
      <c r="L246" s="536" t="str">
        <f t="shared" si="15"/>
        <v xml:space="preserve"> </v>
      </c>
      <c r="M246" s="536"/>
      <c r="N246" s="536" t="str">
        <f t="shared" si="14"/>
        <v xml:space="preserve"> </v>
      </c>
      <c r="O246" s="719">
        <f>IF(ISERROR(VLOOKUP(B246,'Base de Datos'!$C$7:$K$1048576,7,0))=TRUE," ",(VLOOKUP(B246,'Base de Datos'!$C$7:$K$1048576,7,0)))</f>
        <v>44000000</v>
      </c>
      <c r="P246" s="551" t="str">
        <f>IF(ISERROR(VLOOKUP(B246,'Base de Datos'!$C$7:$N$315,9,0))=TRUE," ",(VLOOKUP(B246,'Base de Datos'!$C$7:$N$315,9,0)))</f>
        <v xml:space="preserve"> </v>
      </c>
      <c r="Q246" s="533"/>
      <c r="R246" s="556" t="str">
        <f>IF(ISERROR(VLOOKUP(B246,'Base de Datos'!$C$7:$N$315,10,0))=TRUE," ",(VLOOKUP(B246,'Base de Datos'!$C$7:$N$315,10,0)))</f>
        <v xml:space="preserve"> </v>
      </c>
      <c r="S246" s="556" t="str">
        <f>IF(ISERROR(VLOOKUP(B246,'Base de Datos'!$C$7:$N$315,11,0))=TRUE," ",(VLOOKUP(B246,'Base de Datos'!$C$7:$N$315,11,0)))</f>
        <v xml:space="preserve"> </v>
      </c>
      <c r="T246" s="533" t="str">
        <f ca="1">VLOOKUP(C246,'Base de Datos'!$E$7:$AR$382,39,0)</f>
        <v>NO</v>
      </c>
      <c r="U246" s="722"/>
      <c r="V246" s="634"/>
    </row>
    <row r="247" spans="2:22" ht="24" outlineLevel="1" x14ac:dyDescent="0.25">
      <c r="B247" s="537">
        <v>209</v>
      </c>
      <c r="C247" s="553" t="str">
        <f>IF(ISERROR(VLOOKUP(B247,'Base de Datos'!$C$7:$F$4085,2,0))=TRUE,"",(VLOOKUP('Presupuesto - PAA 2018'!B247,'Base de Datos'!$C$7:$F$4085,2,0)))</f>
        <v>2016209</v>
      </c>
      <c r="D247" s="617" t="s">
        <v>1921</v>
      </c>
      <c r="E247" s="732"/>
      <c r="F247" s="534">
        <f>VLOOKUP(B247,'Actualizada - presupuesto'!$D$7:$L$111,9,0)</f>
        <v>0</v>
      </c>
      <c r="G247" s="534"/>
      <c r="H247" s="534"/>
      <c r="I247" s="534"/>
      <c r="J247" s="536" t="str">
        <f>IF(ISERROR(VLOOKUP(B247,'Base de Datos'!$C$7:$N$315,6,0))=TRUE,"Sin Celebrar",(VLOOKUP(B247,'Base de Datos'!$C$7:$N$315,6,0)))</f>
        <v>Sin Celebrar</v>
      </c>
      <c r="K247" s="536"/>
      <c r="L247" s="536"/>
      <c r="M247" s="536"/>
      <c r="N247" s="536" t="str">
        <f t="shared" si="14"/>
        <v xml:space="preserve"> </v>
      </c>
      <c r="O247" s="719">
        <f>IF(ISERROR(VLOOKUP(B247,'Base de Datos'!$C$7:$K$1048576,7,0))=TRUE," ",(VLOOKUP(B247,'Base de Datos'!$C$7:$K$1048576,7,0)))</f>
        <v>3000000</v>
      </c>
      <c r="P247" s="551" t="str">
        <f>IF(ISERROR(VLOOKUP(B247,'Base de Datos'!$C$7:$N$315,9,0))=TRUE," ",(VLOOKUP(B247,'Base de Datos'!$C$7:$N$315,9,0)))</f>
        <v xml:space="preserve"> </v>
      </c>
      <c r="Q247" s="533"/>
      <c r="R247" s="556" t="str">
        <f>IF(ISERROR(VLOOKUP(B247,'Base de Datos'!$C$7:$N$315,10,0))=TRUE," ",(VLOOKUP(B247,'Base de Datos'!$C$7:$N$315,10,0)))</f>
        <v xml:space="preserve"> </v>
      </c>
      <c r="S247" s="556" t="str">
        <f>IF(ISERROR(VLOOKUP(B247,'Base de Datos'!$C$7:$N$315,11,0))=TRUE," ",(VLOOKUP(B247,'Base de Datos'!$C$7:$N$315,11,0)))</f>
        <v xml:space="preserve"> </v>
      </c>
      <c r="T247" s="533" t="e">
        <f>VLOOKUP(C247,'Base de Datos'!$E$7:$AR$382,39,0)</f>
        <v>#N/A</v>
      </c>
      <c r="U247" s="722"/>
      <c r="V247" s="634"/>
    </row>
    <row r="248" spans="2:22" ht="24" outlineLevel="1" x14ac:dyDescent="0.25">
      <c r="B248" s="537">
        <v>211</v>
      </c>
      <c r="C248" s="553" t="str">
        <f>IF(ISERROR(VLOOKUP(B248,'Base de Datos'!$C$7:$F$4085,2,0))=TRUE,"",(VLOOKUP('Presupuesto - PAA 2018'!B248,'Base de Datos'!$C$7:$F$4085,2,0)))</f>
        <v>2016211</v>
      </c>
      <c r="D248" s="617" t="s">
        <v>1922</v>
      </c>
      <c r="E248" s="732"/>
      <c r="F248" s="534">
        <f>VLOOKUP(B248,'Actualizada - presupuesto'!$D$7:$L$111,9,0)</f>
        <v>0</v>
      </c>
      <c r="G248" s="534"/>
      <c r="H248" s="534"/>
      <c r="I248" s="534"/>
      <c r="J248" s="536" t="str">
        <f>IF(ISERROR(VLOOKUP(B248,'Base de Datos'!$C$7:$N$315,6,0))=TRUE,"Sin Celebrar",(VLOOKUP(B248,'Base de Datos'!$C$7:$N$315,6,0)))</f>
        <v>Sin Celebrar</v>
      </c>
      <c r="K248" s="536"/>
      <c r="L248" s="536"/>
      <c r="M248" s="536"/>
      <c r="N248" s="536" t="str">
        <f t="shared" si="14"/>
        <v xml:space="preserve"> </v>
      </c>
      <c r="O248" s="719">
        <f>IF(ISERROR(VLOOKUP(B248,'Base de Datos'!$C$7:$K$1048576,7,0))=TRUE," ",(VLOOKUP(B248,'Base de Datos'!$C$7:$K$1048576,7,0)))</f>
        <v>12928000</v>
      </c>
      <c r="P248" s="551" t="str">
        <f>IF(ISERROR(VLOOKUP(B248,'Base de Datos'!$C$7:$N$315,9,0))=TRUE," ",(VLOOKUP(B248,'Base de Datos'!$C$7:$N$315,9,0)))</f>
        <v xml:space="preserve"> </v>
      </c>
      <c r="Q248" s="533"/>
      <c r="R248" s="556" t="str">
        <f>IF(ISERROR(VLOOKUP(B248,'Base de Datos'!$C$7:$N$315,10,0))=TRUE," ",(VLOOKUP(B248,'Base de Datos'!$C$7:$N$315,10,0)))</f>
        <v xml:space="preserve"> </v>
      </c>
      <c r="S248" s="556" t="str">
        <f>IF(ISERROR(VLOOKUP(B248,'Base de Datos'!$C$7:$N$315,11,0))=TRUE," ",(VLOOKUP(B248,'Base de Datos'!$C$7:$N$315,11,0)))</f>
        <v xml:space="preserve"> </v>
      </c>
      <c r="T248" s="533" t="e">
        <f>VLOOKUP(C248,'Base de Datos'!$E$7:$AR$382,39,0)</f>
        <v>#N/A</v>
      </c>
      <c r="U248" s="722"/>
      <c r="V248" s="634"/>
    </row>
    <row r="249" spans="2:22" ht="24.75" customHeight="1" outlineLevel="1" x14ac:dyDescent="0.25">
      <c r="B249" s="537"/>
      <c r="C249" s="1201" t="s">
        <v>1923</v>
      </c>
      <c r="D249" s="1201"/>
      <c r="E249" s="619">
        <f>+E250</f>
        <v>0</v>
      </c>
      <c r="F249" s="621"/>
      <c r="G249" s="624"/>
      <c r="H249" s="624"/>
      <c r="I249" s="624"/>
      <c r="J249" s="619">
        <f>SUM(J250)</f>
        <v>0</v>
      </c>
      <c r="K249" s="623" t="e">
        <f>+J249/E249</f>
        <v>#DIV/0!</v>
      </c>
      <c r="L249" s="619">
        <f>SUM(L250)</f>
        <v>0</v>
      </c>
      <c r="M249" s="619"/>
      <c r="N249" s="619">
        <f>+E249-J249-L249</f>
        <v>0</v>
      </c>
      <c r="O249" s="694"/>
      <c r="P249" s="625" t="str">
        <f>IF(ISERROR(VLOOKUP(B249,'Base de Datos'!$C$7:$N$315,8,0))=TRUE," ",(VLOOKUP(B249,'Base de Datos'!$C$7:$N$315,8,0)))</f>
        <v xml:space="preserve"> </v>
      </c>
      <c r="Q249" s="970"/>
      <c r="R249" s="625" t="str">
        <f>IF(ISERROR(VLOOKUP(B249,'Base de Datos'!$C$7:$N$315,9,0))=TRUE," ",(VLOOKUP(B249,'Base de Datos'!$C$7:$N$315,9,0)))</f>
        <v xml:space="preserve"> </v>
      </c>
      <c r="S249" s="625" t="str">
        <f>IF(ISERROR(VLOOKUP(B249,'Base de Datos'!$C$7:$N$315,10,0))=TRUE," ",(VLOOKUP(B249,'Base de Datos'!$C$7:$N$315,10,0)))</f>
        <v xml:space="preserve"> </v>
      </c>
      <c r="T249" s="970"/>
      <c r="U249" s="722"/>
      <c r="V249" s="634"/>
    </row>
    <row r="250" spans="2:22" ht="36" outlineLevel="1" x14ac:dyDescent="0.25">
      <c r="B250" s="537">
        <v>212</v>
      </c>
      <c r="C250" s="553">
        <f>IF(ISERROR(VLOOKUP(B250,'Base de Datos'!$C$7:$F$4085,2,0))=TRUE,"",(VLOOKUP('Presupuesto - PAA 2018'!B250,'Base de Datos'!$C$7:$F$4085,2,0)))</f>
        <v>0</v>
      </c>
      <c r="D250" s="617" t="s">
        <v>1924</v>
      </c>
      <c r="E250" s="732"/>
      <c r="F250" s="534">
        <f>VLOOKUP(B250,'Actualizada - presupuesto'!$D$7:$L$111,9,0)</f>
        <v>0</v>
      </c>
      <c r="G250" s="534"/>
      <c r="H250" s="534"/>
      <c r="I250" s="534"/>
      <c r="J250" s="536" t="str">
        <f>IF(ISERROR(VLOOKUP(B250,'Base de Datos'!$C$7:$N$315,6,0))=TRUE,"Sin Celebrar",(VLOOKUP(B250,'Base de Datos'!$C$7:$N$315,6,0)))</f>
        <v>Sin Celebrar</v>
      </c>
      <c r="K250" s="536"/>
      <c r="L250" s="536"/>
      <c r="M250" s="536"/>
      <c r="N250" s="536" t="str">
        <f t="shared" si="14"/>
        <v xml:space="preserve"> </v>
      </c>
      <c r="O250" s="719">
        <f>IF(ISERROR(VLOOKUP(B250,'Base de Datos'!$C$7:$K$1048576,7,0))=TRUE," ",(VLOOKUP(B250,'Base de Datos'!$C$7:$K$1048576,7,0)))</f>
        <v>480000000</v>
      </c>
      <c r="P250" s="551" t="str">
        <f>IF(ISERROR(VLOOKUP(B250,'Base de Datos'!$C$7:$N$315,9,0))=TRUE," ",(VLOOKUP(B250,'Base de Datos'!$C$7:$N$315,9,0)))</f>
        <v xml:space="preserve"> </v>
      </c>
      <c r="Q250" s="533"/>
      <c r="R250" s="556" t="str">
        <f>IF(ISERROR(VLOOKUP(B250,'Base de Datos'!$C$7:$N$315,10,0))=TRUE," ",(VLOOKUP(B250,'Base de Datos'!$C$7:$N$315,10,0)))</f>
        <v xml:space="preserve"> </v>
      </c>
      <c r="S250" s="556" t="str">
        <f>IF(ISERROR(VLOOKUP(B250,'Base de Datos'!$C$7:$N$315,11,0))=TRUE," ",(VLOOKUP(B250,'Base de Datos'!$C$7:$N$315,11,0)))</f>
        <v xml:space="preserve"> </v>
      </c>
      <c r="T250" s="533" t="e">
        <f>VLOOKUP(C250,'Base de Datos'!$E$7:$AR$382,39,0)</f>
        <v>#N/A</v>
      </c>
      <c r="U250" s="722"/>
      <c r="V250" s="634"/>
    </row>
    <row r="251" spans="2:22" outlineLevel="1" x14ac:dyDescent="0.25">
      <c r="B251" s="537"/>
      <c r="C251" s="1200" t="s">
        <v>1925</v>
      </c>
      <c r="D251" s="1200"/>
      <c r="E251" s="619">
        <f>SUM(E252:E260)</f>
        <v>2630558934</v>
      </c>
      <c r="F251" s="621"/>
      <c r="G251" s="621"/>
      <c r="H251" s="621"/>
      <c r="I251" s="621"/>
      <c r="J251" s="619">
        <f>SUM(J252:J260)</f>
        <v>2617883340.1999998</v>
      </c>
      <c r="K251" s="623">
        <f>+J251/E251</f>
        <v>0.99518140664473698</v>
      </c>
      <c r="L251" s="619">
        <f>SUM(L252:L260)</f>
        <v>0</v>
      </c>
      <c r="M251" s="619"/>
      <c r="N251" s="619">
        <f>+E251-J251-L251</f>
        <v>12675593.800000191</v>
      </c>
      <c r="O251" s="694"/>
      <c r="P251" s="625" t="str">
        <f>IF(ISERROR(VLOOKUP(B251,'Base de Datos'!$C$7:$N$315,8,0))=TRUE," ",(VLOOKUP(B251,'Base de Datos'!$C$7:$N$315,8,0)))</f>
        <v xml:space="preserve"> </v>
      </c>
      <c r="Q251" s="970"/>
      <c r="R251" s="625" t="str">
        <f>IF(ISERROR(VLOOKUP(B251,'Base de Datos'!$C$7:$N$315,9,0))=TRUE," ",(VLOOKUP(B251,'Base de Datos'!$C$7:$N$315,9,0)))</f>
        <v xml:space="preserve"> </v>
      </c>
      <c r="S251" s="625" t="str">
        <f>IF(ISERROR(VLOOKUP(B251,'Base de Datos'!$C$7:$N$315,10,0))=TRUE," ",(VLOOKUP(B251,'Base de Datos'!$C$7:$N$315,10,0)))</f>
        <v xml:space="preserve"> </v>
      </c>
      <c r="T251" s="970"/>
      <c r="U251" s="722"/>
      <c r="V251" s="634"/>
    </row>
    <row r="252" spans="2:22" s="615" customFormat="1" ht="15" customHeight="1" outlineLevel="1" x14ac:dyDescent="0.25">
      <c r="B252" s="627">
        <v>70</v>
      </c>
      <c r="C252" s="533" t="str">
        <f>IF(ISERROR(VLOOKUP(B252,'Base de Datos'!$C$7:$F$4092,2,0))=TRUE,"",(VLOOKUP('Presupuesto - PAA 2018'!B252,'Base de Datos'!$C$7:$F$4092,3,0)))</f>
        <v>150321-0-2015</v>
      </c>
      <c r="D252" s="533" t="str">
        <f>IF(ISERROR(VLOOKUP(B252,'Base de Datos'!$C$7:$F$4092,3,0))=TRUE,"",(VLOOKUP('Presupuesto - PAA 2018'!B252,'Base de Datos'!$C$7:$F$4092,4,0)))</f>
        <v>BUSINESSMIND COLOMBIA SA</v>
      </c>
      <c r="E252" s="580">
        <v>31577404</v>
      </c>
      <c r="F252" s="534" t="str">
        <f>VLOOKUP(B252,'Actualizada - presupuesto'!$D$7:$L$111,9,0)</f>
        <v>SI</v>
      </c>
      <c r="G252" s="534"/>
      <c r="H252" s="534"/>
      <c r="I252" s="534"/>
      <c r="J252" s="536">
        <f>IF(ISERROR(VLOOKUP(B252,'Base de Datos'!$C$7:$N$4092,6,0))=TRUE,"Sin Celebrar",(VLOOKUP(B252,'Base de Datos'!$C$7:$N$4092,7,0)))</f>
        <v>31577404</v>
      </c>
      <c r="K252" s="580"/>
      <c r="L252" s="580" t="str">
        <f t="shared" si="15"/>
        <v xml:space="preserve"> </v>
      </c>
      <c r="M252" s="580"/>
      <c r="N252" s="580" t="str">
        <f t="shared" si="14"/>
        <v xml:space="preserve"> </v>
      </c>
      <c r="O252" s="719" t="str">
        <f>IF(ISERROR(VLOOKUP(B252,'Base de Datos'!$C$7:$K$1048576,7,0))=TRUE," ",(VLOOKUP(B252,'Base de Datos'!$C$7:$K$1048576,8,0)))</f>
        <v>SDH-SMINC-043-2015</v>
      </c>
      <c r="P252" s="551">
        <f>IF(ISERROR(VLOOKUP(B252,'Base de Datos'!$C$7:$N$4077,9,0))=TRUE," ",(VLOOKUP(B252,'Base de Datos'!$C$7:$N$4077,10,0)))</f>
        <v>42208</v>
      </c>
      <c r="Q252" s="614" t="s">
        <v>378</v>
      </c>
      <c r="R252" s="551">
        <f>IF(ISERROR(VLOOKUP(B252,'Base de Datos'!$C$7:$N$4077,10,0))=TRUE," ",(VLOOKUP(B252,'Base de Datos'!$C$7:$N$4077,11,0)))</f>
        <v>42221</v>
      </c>
      <c r="S252" s="551">
        <f>IF(ISERROR(VLOOKUP(B252,'Base de Datos'!$C$7:$N$4077,11,0))=TRUE," ",(VLOOKUP(B252,'Base de Datos'!$C$7:$N$4077,12,0)))</f>
        <v>42282</v>
      </c>
      <c r="T252" s="533" t="str">
        <f ca="1">VLOOKUP(C252,'Base de Datos'!$E$7:$AR$382,39,0)</f>
        <v>NO</v>
      </c>
      <c r="U252" s="722"/>
      <c r="V252" s="634"/>
    </row>
    <row r="253" spans="2:22" s="615" customFormat="1" ht="14.25" customHeight="1" outlineLevel="1" x14ac:dyDescent="0.25">
      <c r="B253" s="627">
        <v>71</v>
      </c>
      <c r="C253" s="533" t="str">
        <f>IF(ISERROR(VLOOKUP(B253,'Base de Datos'!$C$7:$F$4092,2,0))=TRUE,"",(VLOOKUP('Presupuesto - PAA 2018'!B253,'Base de Datos'!$C$7:$F$4092,3,0)))</f>
        <v>150254-0-2015</v>
      </c>
      <c r="D253" s="533" t="str">
        <f>IF(ISERROR(VLOOKUP(B253,'Base de Datos'!$C$7:$F$4092,3,0))=TRUE,"",(VLOOKUP('Presupuesto - PAA 2018'!B253,'Base de Datos'!$C$7:$F$4092,4,0)))</f>
        <v>OFICOMCO SAS</v>
      </c>
      <c r="E253" s="580">
        <v>11167296</v>
      </c>
      <c r="F253" s="534" t="str">
        <f>VLOOKUP(B253,'Actualizada - presupuesto'!$D$7:$L$111,9,0)</f>
        <v>SI</v>
      </c>
      <c r="G253" s="534"/>
      <c r="H253" s="534"/>
      <c r="I253" s="534"/>
      <c r="J253" s="536">
        <f>IF(ISERROR(VLOOKUP(B253,'Base de Datos'!$C$7:$N$4092,6,0))=TRUE,"Sin Celebrar",(VLOOKUP(B253,'Base de Datos'!$C$7:$N$4092,7,0)))</f>
        <v>11167296</v>
      </c>
      <c r="K253" s="580"/>
      <c r="L253" s="580" t="str">
        <f t="shared" si="15"/>
        <v xml:space="preserve"> </v>
      </c>
      <c r="M253" s="580"/>
      <c r="N253" s="580" t="str">
        <f t="shared" si="14"/>
        <v xml:space="preserve"> </v>
      </c>
      <c r="O253" s="719" t="str">
        <f>IF(ISERROR(VLOOKUP(B253,'Base de Datos'!$C$7:$K$1048576,7,0))=TRUE," ",(VLOOKUP(B253,'Base de Datos'!$C$7:$K$1048576,8,0)))</f>
        <v>SDH-SMINC-32-2015</v>
      </c>
      <c r="P253" s="551">
        <f>IF(ISERROR(VLOOKUP(B253,'Base de Datos'!$C$7:$N$4077,9,0))=TRUE," ",(VLOOKUP(B253,'Base de Datos'!$C$7:$N$4077,10,0)))</f>
        <v>42167</v>
      </c>
      <c r="Q253" s="614" t="s">
        <v>378</v>
      </c>
      <c r="R253" s="551">
        <f>IF(ISERROR(VLOOKUP(B253,'Base de Datos'!$C$7:$N$4077,10,0))=TRUE," ",(VLOOKUP(B253,'Base de Datos'!$C$7:$N$4077,11,0)))</f>
        <v>42188</v>
      </c>
      <c r="S253" s="551">
        <f>IF(ISERROR(VLOOKUP(B253,'Base de Datos'!$C$7:$N$4077,11,0))=TRUE," ",(VLOOKUP(B253,'Base de Datos'!$C$7:$N$4077,12,0)))</f>
        <v>42250</v>
      </c>
      <c r="T253" s="533" t="str">
        <f ca="1">VLOOKUP(C253,'Base de Datos'!$E$7:$AR$382,39,0)</f>
        <v>NO</v>
      </c>
      <c r="U253" s="722"/>
      <c r="V253" s="634"/>
    </row>
    <row r="254" spans="2:22" s="615" customFormat="1" ht="24" outlineLevel="1" x14ac:dyDescent="0.25">
      <c r="B254" s="627">
        <v>73</v>
      </c>
      <c r="C254" s="553">
        <f>IF(ISERROR(VLOOKUP(B254,'Base de Datos'!$C$7:$F$4085,2,0))=TRUE,"",(VLOOKUP('Presupuesto - PAA 2018'!B254,'Base de Datos'!$C$7:$F$4085,2,0)))</f>
        <v>0</v>
      </c>
      <c r="D254" s="628" t="s">
        <v>1928</v>
      </c>
      <c r="E254" s="732"/>
      <c r="F254" s="534" t="str">
        <f>VLOOKUP(B254,'Actualizada - presupuesto'!$D$7:$L$111,9,0)</f>
        <v>SI</v>
      </c>
      <c r="G254" s="614"/>
      <c r="H254" s="614"/>
      <c r="I254" s="614"/>
      <c r="J254" s="536">
        <f>IF(ISERROR(VLOOKUP(B254,'Base de Datos'!$C$7:$N$4092,6,0))=TRUE,"Sin Celebrar",(VLOOKUP(B254,'Base de Datos'!$C$7:$N$4092,7,0)))</f>
        <v>8320000</v>
      </c>
      <c r="K254" s="580"/>
      <c r="L254" s="580" t="str">
        <f t="shared" si="15"/>
        <v xml:space="preserve"> </v>
      </c>
      <c r="M254" s="614"/>
      <c r="N254" s="580" t="str">
        <f t="shared" si="14"/>
        <v xml:space="preserve"> </v>
      </c>
      <c r="O254" s="719" t="str">
        <f>IF(ISERROR(VLOOKUP(B254,'Base de Datos'!$C$7:$K$1048576,7,0))=TRUE," ",(VLOOKUP(B254,'Base de Datos'!$C$7:$K$1048576,8,0)))</f>
        <v>170186-0-2017</v>
      </c>
      <c r="P254" s="551">
        <f>IF(ISERROR(VLOOKUP(B254,'Base de Datos'!$C$7:$N$4077,9,0))=TRUE," ",(VLOOKUP(B254,'Base de Datos'!$C$7:$N$4077,10,0)))</f>
        <v>42934</v>
      </c>
      <c r="Q254" s="614"/>
      <c r="R254" s="551">
        <f>IF(ISERROR(VLOOKUP(B254,'Base de Datos'!$C$7:$N$4077,10,0))=TRUE," ",(VLOOKUP(B254,'Base de Datos'!$C$7:$N$4077,11,0)))</f>
        <v>42941</v>
      </c>
      <c r="S254" s="551">
        <f>IF(ISERROR(VLOOKUP(B254,'Base de Datos'!$C$7:$N$4077,11,0))=TRUE," ",(VLOOKUP(B254,'Base de Datos'!$C$7:$N$4077,12,0)))</f>
        <v>43215</v>
      </c>
      <c r="T254" s="533" t="e">
        <f>VLOOKUP(C254,'Base de Datos'!$E$7:$AR$382,39,0)</f>
        <v>#N/A</v>
      </c>
      <c r="U254" s="722"/>
      <c r="V254" s="634"/>
    </row>
    <row r="255" spans="2:22" s="615" customFormat="1" outlineLevel="1" x14ac:dyDescent="0.25">
      <c r="B255" s="627">
        <v>74</v>
      </c>
      <c r="C255" s="533" t="str">
        <f>IF(ISERROR(VLOOKUP(B255,'Base de Datos'!$C$7:$F$4092,2,0))=TRUE,"",(VLOOKUP('Presupuesto - PAA 2018'!B255,'Base de Datos'!$C$7:$F$4092,3,0)))</f>
        <v>150382-0-2015</v>
      </c>
      <c r="D255" s="533" t="str">
        <f>IF(ISERROR(VLOOKUP(B255,'Base de Datos'!$C$7:$F$4092,3,0))=TRUE,"",(VLOOKUP('Presupuesto - PAA 2018'!B255,'Base de Datos'!$C$7:$F$4092,4,0)))</f>
        <v>OPENLINK SISTEMAS DE REDES DE DATOS S A S</v>
      </c>
      <c r="E255" s="580">
        <v>1544000000</v>
      </c>
      <c r="F255" s="534" t="s">
        <v>390</v>
      </c>
      <c r="G255" s="614"/>
      <c r="H255" s="614"/>
      <c r="I255" s="614"/>
      <c r="J255" s="536">
        <f>IF(ISERROR(VLOOKUP(B255,'Base de Datos'!$C$7:$N$4092,6,0))=TRUE,"Sin Celebrar",(VLOOKUP(B255,'Base de Datos'!$C$7:$N$4092,7,0)))</f>
        <v>1512217703</v>
      </c>
      <c r="K255" s="580"/>
      <c r="L255" s="580" t="str">
        <f t="shared" si="15"/>
        <v xml:space="preserve"> </v>
      </c>
      <c r="M255" s="614"/>
      <c r="N255" s="580">
        <f t="shared" si="14"/>
        <v>31782297</v>
      </c>
      <c r="O255" s="719" t="str">
        <f>IF(ISERROR(VLOOKUP(B255,'Base de Datos'!$C$7:$K$1048576,7,0))=TRUE," ",(VLOOKUP(B255,'Base de Datos'!$C$7:$K$1048576,8,0)))</f>
        <v>SDH-SIE-14-2015</v>
      </c>
      <c r="P255" s="551">
        <f>IF(ISERROR(VLOOKUP(B255,'Base de Datos'!$C$7:$N$4077,9,0))=TRUE," ",(VLOOKUP(B255,'Base de Datos'!$C$7:$N$4077,10,0)))</f>
        <v>42311</v>
      </c>
      <c r="Q255" s="614"/>
      <c r="R255" s="551">
        <f>IF(ISERROR(VLOOKUP(B255,'Base de Datos'!$C$7:$N$4077,10,0))=TRUE," ",(VLOOKUP(B255,'Base de Datos'!$C$7:$N$4077,11,0)))</f>
        <v>42333</v>
      </c>
      <c r="S255" s="551">
        <f>IF(ISERROR(VLOOKUP(B255,'Base de Datos'!$C$7:$N$4077,11,0))=TRUE," ",(VLOOKUP(B255,'Base de Datos'!$C$7:$N$4077,12,0)))</f>
        <v>42515</v>
      </c>
      <c r="T255" s="533" t="str">
        <f ca="1">VLOOKUP(C255,'Base de Datos'!$E$7:$AR$382,39,0)</f>
        <v>NO</v>
      </c>
      <c r="U255" s="722"/>
      <c r="V255" s="634"/>
    </row>
    <row r="256" spans="2:22" s="615" customFormat="1" ht="17.25" customHeight="1" outlineLevel="1" x14ac:dyDescent="0.25">
      <c r="B256" s="627">
        <v>75</v>
      </c>
      <c r="C256" s="533" t="str">
        <f>IF(ISERROR(VLOOKUP(B256,'Base de Datos'!$C$7:$F$4092,2,0))=TRUE,"",(VLOOKUP('Presupuesto - PAA 2018'!B256,'Base de Datos'!$C$7:$F$4092,3,0)))</f>
        <v>150236-0-2015</v>
      </c>
      <c r="D256" s="533" t="str">
        <f>IF(ISERROR(VLOOKUP(B256,'Base de Datos'!$C$7:$F$4092,3,0))=TRUE,"",(VLOOKUP('Presupuesto - PAA 2018'!B256,'Base de Datos'!$C$7:$F$4092,4,0)))</f>
        <v>SISTEG SAS</v>
      </c>
      <c r="E256" s="580">
        <v>8086410</v>
      </c>
      <c r="F256" s="534" t="str">
        <f>VLOOKUP(B256,'Actualizada - presupuesto'!$D$7:$L$111,9,0)</f>
        <v>SI</v>
      </c>
      <c r="G256" s="614"/>
      <c r="H256" s="614"/>
      <c r="I256" s="614"/>
      <c r="J256" s="536">
        <f>IF(ISERROR(VLOOKUP(B256,'Base de Datos'!$C$7:$N$4092,6,0))=TRUE,"Sin Celebrar",(VLOOKUP(B256,'Base de Datos'!$C$7:$N$4092,7,0)))</f>
        <v>8086410</v>
      </c>
      <c r="K256" s="580"/>
      <c r="L256" s="580" t="str">
        <f t="shared" si="15"/>
        <v xml:space="preserve"> </v>
      </c>
      <c r="M256" s="614"/>
      <c r="N256" s="580" t="str">
        <f t="shared" si="14"/>
        <v xml:space="preserve"> </v>
      </c>
      <c r="O256" s="719" t="str">
        <f>IF(ISERROR(VLOOKUP(B256,'Base de Datos'!$C$7:$K$1048576,7,0))=TRUE," ",(VLOOKUP(B256,'Base de Datos'!$C$7:$K$1048576,8,0)))</f>
        <v>SDH-SMINC-30-2015</v>
      </c>
      <c r="P256" s="551">
        <f>IF(ISERROR(VLOOKUP(B256,'Base de Datos'!$C$7:$N$4077,9,0))=TRUE," ",(VLOOKUP(B256,'Base de Datos'!$C$7:$N$4077,10,0)))</f>
        <v>42152</v>
      </c>
      <c r="Q256" s="533" t="s">
        <v>378</v>
      </c>
      <c r="R256" s="551">
        <f>IF(ISERROR(VLOOKUP(B256,'Base de Datos'!$C$7:$N$4077,10,0))=TRUE," ",(VLOOKUP(B256,'Base de Datos'!$C$7:$N$4077,11,0)))</f>
        <v>42165</v>
      </c>
      <c r="S256" s="551">
        <f>IF(ISERROR(VLOOKUP(B256,'Base de Datos'!$C$7:$N$4077,11,0))=TRUE," ",(VLOOKUP(B256,'Base de Datos'!$C$7:$N$4077,12,0)))</f>
        <v>42226</v>
      </c>
      <c r="T256" s="533" t="str">
        <f ca="1">VLOOKUP(C256,'Base de Datos'!$E$7:$AR$382,39,0)</f>
        <v>NO</v>
      </c>
      <c r="U256" s="722"/>
      <c r="V256" s="634"/>
    </row>
    <row r="257" spans="2:22" s="615" customFormat="1" outlineLevel="1" x14ac:dyDescent="0.25">
      <c r="B257" s="627">
        <v>314</v>
      </c>
      <c r="C257" s="533" t="str">
        <f>IF(ISERROR(VLOOKUP(B257,'Base de Datos'!$C$7:$F$4092,2,0))=TRUE,"",(VLOOKUP('Presupuesto - PAA 2018'!B257,'Base de Datos'!$C$7:$F$4092,3,0)))</f>
        <v>150308-0-2015</v>
      </c>
      <c r="D257" s="533" t="str">
        <f>IF(ISERROR(VLOOKUP(B257,'Base de Datos'!$C$7:$F$4092,3,0))=TRUE,"",(VLOOKUP('Presupuesto - PAA 2018'!B257,'Base de Datos'!$C$7:$F$4092,4,0)))</f>
        <v xml:space="preserve">ARANDA SOFTWARE ANDINA SAS  </v>
      </c>
      <c r="E257" s="630">
        <v>30000000</v>
      </c>
      <c r="F257" s="534" t="s">
        <v>390</v>
      </c>
      <c r="G257" s="614"/>
      <c r="H257" s="614"/>
      <c r="I257" s="614"/>
      <c r="J257" s="580">
        <v>30000000</v>
      </c>
      <c r="K257" s="614"/>
      <c r="L257" s="580" t="str">
        <f t="shared" si="15"/>
        <v xml:space="preserve"> </v>
      </c>
      <c r="M257" s="614"/>
      <c r="N257" s="580" t="str">
        <f t="shared" si="14"/>
        <v xml:space="preserve"> </v>
      </c>
      <c r="O257" s="719" t="str">
        <f>IF(ISERROR(VLOOKUP(B257,'Base de Datos'!$C$7:$K$1048576,7,0))=TRUE," ",(VLOOKUP(B257,'Base de Datos'!$C$7:$K$1048576,8,0)))</f>
        <v>150308-0-2015</v>
      </c>
      <c r="P257" s="551">
        <f>IF(ISERROR(VLOOKUP(B257,'Base de Datos'!$C$7:$N$4077,9,0))=TRUE," ",(VLOOKUP(B257,'Base de Datos'!$C$7:$N$4077,10,0)))</f>
        <v>42193</v>
      </c>
      <c r="Q257" s="614"/>
      <c r="R257" s="551">
        <f>IF(ISERROR(VLOOKUP(B257,'Base de Datos'!$C$7:$N$4077,10,0))=TRUE," ",(VLOOKUP(B257,'Base de Datos'!$C$7:$N$4077,11,0)))</f>
        <v>42199</v>
      </c>
      <c r="S257" s="551">
        <f>IF(ISERROR(VLOOKUP(B257,'Base de Datos'!$C$7:$N$4077,11,0))=TRUE," ",(VLOOKUP(B257,'Base de Datos'!$C$7:$N$4077,12,0)))</f>
        <v>42565</v>
      </c>
      <c r="T257" s="533" t="str">
        <f ca="1">VLOOKUP(C257,'Base de Datos'!$E$7:$AR$382,39,0)</f>
        <v>NO</v>
      </c>
      <c r="U257" s="722"/>
      <c r="V257" s="634"/>
    </row>
    <row r="258" spans="2:22" s="615" customFormat="1" outlineLevel="1" x14ac:dyDescent="0.25">
      <c r="B258" s="627">
        <v>325</v>
      </c>
      <c r="C258" s="533" t="str">
        <f>IF(ISERROR(VLOOKUP(B258,'Base de Datos'!$C$7:$F$4092,2,0))=TRUE,"",(VLOOKUP('Presupuesto - PAA 2018'!B258,'Base de Datos'!$C$7:$F$4092,3,0)))</f>
        <v>150346-0-2015</v>
      </c>
      <c r="D258" s="533" t="str">
        <f>IF(ISERROR(VLOOKUP(B258,'Base de Datos'!$C$7:$F$4092,3,0))=TRUE,"",(VLOOKUP('Presupuesto - PAA 2018'!B258,'Base de Datos'!$C$7:$F$4092,4,0)))</f>
        <v>JOHN KENNEDY LEON CASTIBLANCO</v>
      </c>
      <c r="E258" s="630">
        <v>33000000</v>
      </c>
      <c r="F258" s="534" t="s">
        <v>390</v>
      </c>
      <c r="G258" s="614"/>
      <c r="H258" s="614"/>
      <c r="I258" s="614"/>
      <c r="J258" s="536">
        <f>IF(ISERROR(VLOOKUP(B258,'Base de Datos'!$C$7:$N$4092,6,0))=TRUE,"Sin Celebrar",(VLOOKUP(B258,'Base de Datos'!$C$7:$N$4092,7,0)))</f>
        <v>33000000</v>
      </c>
      <c r="K258" s="614"/>
      <c r="L258" s="580" t="str">
        <f t="shared" si="15"/>
        <v xml:space="preserve"> </v>
      </c>
      <c r="M258" s="614"/>
      <c r="N258" s="580" t="str">
        <f t="shared" si="14"/>
        <v xml:space="preserve"> </v>
      </c>
      <c r="O258" s="719" t="str">
        <f>IF(ISERROR(VLOOKUP(B258,'Base de Datos'!$C$7:$K$1048576,7,0))=TRUE," ",(VLOOKUP(B258,'Base de Datos'!$C$7:$K$1048576,8,0)))</f>
        <v>150346-0-2015</v>
      </c>
      <c r="P258" s="551">
        <f>IF(ISERROR(VLOOKUP(B258,'Base de Datos'!$C$7:$N$4077,9,0))=TRUE," ",(VLOOKUP(B258,'Base de Datos'!$C$7:$N$4077,10,0)))</f>
        <v>42244</v>
      </c>
      <c r="Q258" s="614"/>
      <c r="R258" s="551">
        <f>IF(ISERROR(VLOOKUP(B258,'Base de Datos'!$C$7:$N$4077,10,0))=TRUE," ",(VLOOKUP(B258,'Base de Datos'!$C$7:$N$4077,11,0)))</f>
        <v>42249</v>
      </c>
      <c r="S258" s="551">
        <f>IF(ISERROR(VLOOKUP(B258,'Base de Datos'!$C$7:$N$4077,11,0))=TRUE," ",(VLOOKUP(B258,'Base de Datos'!$C$7:$N$4077,12,0)))</f>
        <v>42431</v>
      </c>
      <c r="T258" s="533" t="str">
        <f ca="1">VLOOKUP(C258,'Base de Datos'!$E$7:$AR$382,39,0)</f>
        <v>NO</v>
      </c>
      <c r="U258" s="722"/>
      <c r="V258" s="634"/>
    </row>
    <row r="259" spans="2:22" s="615" customFormat="1" outlineLevel="1" x14ac:dyDescent="0.25">
      <c r="B259" s="627">
        <v>326</v>
      </c>
      <c r="C259" s="533" t="str">
        <f>IF(ISERROR(VLOOKUP(B259,'Base de Datos'!$C$7:$F$4092,2,0))=TRUE,"",(VLOOKUP('Presupuesto - PAA 2018'!B259,'Base de Datos'!$C$7:$F$4092,3,0)))</f>
        <v>150340-0-2015</v>
      </c>
      <c r="D259" s="533" t="str">
        <f>IF(ISERROR(VLOOKUP(B259,'Base de Datos'!$C$7:$F$4092,3,0))=TRUE,"",(VLOOKUP('Presupuesto - PAA 2018'!B259,'Base de Datos'!$C$7:$F$4092,4,0)))</f>
        <v>RICOH COLOMBIA S.A.</v>
      </c>
      <c r="E259" s="630">
        <v>72727824</v>
      </c>
      <c r="F259" s="534" t="s">
        <v>390</v>
      </c>
      <c r="G259" s="614"/>
      <c r="H259" s="614"/>
      <c r="I259" s="614"/>
      <c r="J259" s="536">
        <f>IF(ISERROR(VLOOKUP(B259,'Base de Datos'!$C$7:$N$4092,6,0))=TRUE,"Sin Celebrar",(VLOOKUP(B259,'Base de Datos'!$C$7:$N$4092,7,0)))</f>
        <v>72727824</v>
      </c>
      <c r="K259" s="614"/>
      <c r="L259" s="580" t="str">
        <f t="shared" si="15"/>
        <v xml:space="preserve"> </v>
      </c>
      <c r="M259" s="614"/>
      <c r="N259" s="580" t="str">
        <f t="shared" si="14"/>
        <v xml:space="preserve"> </v>
      </c>
      <c r="O259" s="719" t="str">
        <f>IF(ISERROR(VLOOKUP(B259,'Base de Datos'!$C$7:$K$1048576,7,0))=TRUE," ",(VLOOKUP(B259,'Base de Datos'!$C$7:$K$1048576,8,0)))</f>
        <v>150340-0-2015</v>
      </c>
      <c r="P259" s="551">
        <f>IF(ISERROR(VLOOKUP(B259,'Base de Datos'!$C$7:$N$4077,9,0))=TRUE," ",(VLOOKUP(B259,'Base de Datos'!$C$7:$N$4077,10,0)))</f>
        <v>42236</v>
      </c>
      <c r="Q259" s="614"/>
      <c r="R259" s="551">
        <f>IF(ISERROR(VLOOKUP(B259,'Base de Datos'!$C$7:$N$4077,10,0))=TRUE," ",(VLOOKUP(B259,'Base de Datos'!$C$7:$N$4077,11,0)))</f>
        <v>42244</v>
      </c>
      <c r="S259" s="551">
        <f>IF(ISERROR(VLOOKUP(B259,'Base de Datos'!$C$7:$N$4077,11,0))=TRUE," ",(VLOOKUP(B259,'Base de Datos'!$C$7:$N$4077,12,0)))</f>
        <v>42305</v>
      </c>
      <c r="T259" s="533" t="str">
        <f ca="1">VLOOKUP(C259,'Base de Datos'!$E$7:$AR$382,39,0)</f>
        <v>NO</v>
      </c>
      <c r="U259" s="722"/>
      <c r="V259" s="634"/>
    </row>
    <row r="260" spans="2:22" s="615" customFormat="1" outlineLevel="1" x14ac:dyDescent="0.25">
      <c r="B260" s="627">
        <v>365</v>
      </c>
      <c r="C260" s="533" t="str">
        <f>IF(ISERROR(VLOOKUP(B260,'Base de Datos'!$C$7:$F$4092,2,0))=TRUE,"",(VLOOKUP('Presupuesto - PAA 2018'!B260,'Base de Datos'!$C$7:$F$4092,3,0)))</f>
        <v>150397-0-2015</v>
      </c>
      <c r="D260" s="533" t="str">
        <f>IF(ISERROR(VLOOKUP(B260,'Base de Datos'!$C$7:$F$4092,3,0))=TRUE,"",(VLOOKUP('Presupuesto - PAA 2018'!B260,'Base de Datos'!$C$7:$F$4092,4,0)))</f>
        <v>ORACLE COLOMBIA LTDA</v>
      </c>
      <c r="E260" s="630">
        <v>900000000</v>
      </c>
      <c r="F260" s="534" t="s">
        <v>390</v>
      </c>
      <c r="G260" s="614"/>
      <c r="H260" s="614"/>
      <c r="I260" s="614"/>
      <c r="J260" s="536">
        <f>IF(ISERROR(VLOOKUP(B260,'Base de Datos'!$C$7:$N$4092,6,0))=TRUE,"Sin Celebrar",(VLOOKUP(B260,'Base de Datos'!$C$7:$N$4092,7,0)))</f>
        <v>910786703.20000005</v>
      </c>
      <c r="K260" s="614"/>
      <c r="L260" s="580" t="str">
        <f>IF(J260=$AA$1,E260, " ")</f>
        <v xml:space="preserve"> </v>
      </c>
      <c r="M260" s="614"/>
      <c r="N260" s="580" t="str">
        <f>IF(J260&lt;E260,(E260-J260)," ")</f>
        <v xml:space="preserve"> </v>
      </c>
      <c r="O260" s="719" t="str">
        <f>IF(ISERROR(VLOOKUP(B260,'Base de Datos'!$C$7:$K$1048576,7,0))=TRUE," ",(VLOOKUP(B260,'Base de Datos'!$C$7:$K$1048576,8,0)))</f>
        <v>CCE-211-AG-2015</v>
      </c>
      <c r="P260" s="551">
        <f>IF(ISERROR(VLOOKUP(B260,'Base de Datos'!$C$7:$N$4077,9,0))=TRUE," ",(VLOOKUP(B260,'Base de Datos'!$C$7:$N$4077,10,0)))</f>
        <v>42341</v>
      </c>
      <c r="Q260" s="614" t="s">
        <v>382</v>
      </c>
      <c r="R260" s="551">
        <f>IF(ISERROR(VLOOKUP(B260,'Base de Datos'!$C$7:$N$4077,10,0))=TRUE," ",(VLOOKUP(B260,'Base de Datos'!$C$7:$N$4077,11,0)))</f>
        <v>42341</v>
      </c>
      <c r="S260" s="551">
        <f>IF(ISERROR(VLOOKUP(B260,'Base de Datos'!$C$7:$N$4077,11,0))=TRUE," ",(VLOOKUP(B260,'Base de Datos'!$C$7:$N$4077,12,0)))</f>
        <v>42524</v>
      </c>
      <c r="T260" s="533" t="s">
        <v>1992</v>
      </c>
      <c r="U260" s="722"/>
      <c r="V260" s="634"/>
    </row>
    <row r="261" spans="2:22" s="615" customFormat="1" outlineLevel="1" x14ac:dyDescent="0.25">
      <c r="B261" s="627">
        <v>365</v>
      </c>
      <c r="C261" s="533" t="s">
        <v>2375</v>
      </c>
      <c r="D261" s="533" t="s">
        <v>2362</v>
      </c>
      <c r="E261" s="630"/>
      <c r="F261" s="534"/>
      <c r="G261" s="614"/>
      <c r="H261" s="614"/>
      <c r="I261" s="614"/>
      <c r="J261" s="536">
        <v>295840339</v>
      </c>
      <c r="K261" s="614"/>
      <c r="L261" s="580"/>
      <c r="M261" s="614"/>
      <c r="N261" s="580"/>
      <c r="O261" s="719" t="s">
        <v>2363</v>
      </c>
      <c r="P261" s="551">
        <v>42349</v>
      </c>
      <c r="Q261" s="614" t="s">
        <v>382</v>
      </c>
      <c r="R261" s="551"/>
      <c r="S261" s="551"/>
      <c r="T261" s="533"/>
      <c r="U261" s="722"/>
      <c r="V261" s="634"/>
    </row>
    <row r="262" spans="2:22" s="615" customFormat="1" outlineLevel="1" x14ac:dyDescent="0.25">
      <c r="B262" s="627">
        <v>365</v>
      </c>
      <c r="C262" s="533" t="s">
        <v>2373</v>
      </c>
      <c r="D262" s="533" t="s">
        <v>2362</v>
      </c>
      <c r="E262" s="630"/>
      <c r="F262" s="534"/>
      <c r="G262" s="614"/>
      <c r="H262" s="614"/>
      <c r="I262" s="614"/>
      <c r="J262" s="536">
        <v>188315358.83000001</v>
      </c>
      <c r="K262" s="614"/>
      <c r="L262" s="580"/>
      <c r="M262" s="614"/>
      <c r="N262" s="580"/>
      <c r="O262" s="719" t="s">
        <v>2363</v>
      </c>
      <c r="P262" s="551">
        <v>42349</v>
      </c>
      <c r="Q262" s="614" t="s">
        <v>382</v>
      </c>
      <c r="R262" s="551"/>
      <c r="S262" s="551"/>
      <c r="T262" s="533"/>
      <c r="U262" s="722"/>
      <c r="V262" s="634"/>
    </row>
    <row r="263" spans="2:22" s="615" customFormat="1" outlineLevel="1" x14ac:dyDescent="0.25">
      <c r="B263" s="614"/>
      <c r="C263" s="614"/>
      <c r="D263" s="614"/>
      <c r="E263" s="630"/>
      <c r="F263" s="614"/>
      <c r="G263" s="614"/>
      <c r="H263" s="614"/>
      <c r="I263" s="614"/>
      <c r="J263" s="614"/>
      <c r="K263" s="614"/>
      <c r="L263" s="614"/>
      <c r="M263" s="614"/>
      <c r="N263" s="630"/>
      <c r="O263" s="695"/>
      <c r="P263" s="629"/>
      <c r="Q263" s="614"/>
      <c r="R263" s="614"/>
      <c r="S263" s="614"/>
      <c r="T263" s="614"/>
      <c r="U263" s="722"/>
      <c r="V263" s="634"/>
    </row>
    <row r="264" spans="2:22" outlineLevel="1" x14ac:dyDescent="0.25">
      <c r="B264" s="533"/>
      <c r="C264" s="1200" t="s">
        <v>1933</v>
      </c>
      <c r="D264" s="1200"/>
      <c r="E264" s="620">
        <f>+E265</f>
        <v>4174276985</v>
      </c>
      <c r="F264" s="970"/>
      <c r="G264" s="970"/>
      <c r="H264" s="970"/>
      <c r="I264" s="970"/>
      <c r="J264" s="620">
        <f>SUM(J265)</f>
        <v>4174276985</v>
      </c>
      <c r="K264" s="623">
        <f>+J264/E264</f>
        <v>1</v>
      </c>
      <c r="L264" s="620">
        <f>SUM(L265)</f>
        <v>0</v>
      </c>
      <c r="M264" s="970"/>
      <c r="N264" s="620" t="str">
        <f>+N265</f>
        <v xml:space="preserve"> </v>
      </c>
      <c r="O264" s="696"/>
      <c r="P264" s="626"/>
      <c r="Q264" s="970"/>
      <c r="R264" s="970"/>
      <c r="S264" s="970"/>
      <c r="T264" s="970"/>
      <c r="U264" s="722"/>
      <c r="V264" s="634"/>
    </row>
    <row r="265" spans="2:22" ht="24" outlineLevel="1" x14ac:dyDescent="0.25">
      <c r="B265" s="537">
        <v>210</v>
      </c>
      <c r="C265" s="533" t="str">
        <f>IF(ISERROR(VLOOKUP(B265,'Base de Datos'!$C$7:$F$4092,2,0))=TRUE,"",(VLOOKUP('Presupuesto - PAA 2018'!B265,'Base de Datos'!$C$7:$F$4092,3,0)))</f>
        <v>150198-0-2015</v>
      </c>
      <c r="D265" s="533" t="str">
        <f>IF(ISERROR(VLOOKUP(B265,'Base de Datos'!$C$7:$F$4092,3,0))=TRUE,"",(VLOOKUP('Presupuesto - PAA 2018'!B265,'Base de Datos'!$C$7:$F$4092,4,0)))</f>
        <v>UNIDAD NACIONAL DE PROTECCIÓN UNP</v>
      </c>
      <c r="E265" s="536">
        <v>4174276985</v>
      </c>
      <c r="F265" s="534" t="str">
        <f>VLOOKUP(B265,'Actualizada - presupuesto'!$D$7:$L$111,9,0)</f>
        <v>SI</v>
      </c>
      <c r="G265" s="533"/>
      <c r="H265" s="533"/>
      <c r="I265" s="533"/>
      <c r="J265" s="536">
        <f>IF(ISERROR(VLOOKUP(B265,'Base de Datos'!$C$7:$N$4092,6,0))=TRUE,"Sin Celebrar",(VLOOKUP(B265,'Base de Datos'!$C$7:$N$4092,7,0)))</f>
        <v>4174276985</v>
      </c>
      <c r="K265" s="536"/>
      <c r="L265" s="536" t="str">
        <f>IF(J265=$AA$1,E265, " ")</f>
        <v xml:space="preserve"> </v>
      </c>
      <c r="M265" s="533"/>
      <c r="N265" s="536" t="str">
        <f>IF(J265&lt;E265,(E265-J265)," ")</f>
        <v xml:space="preserve"> </v>
      </c>
      <c r="O265" s="719" t="str">
        <f>IF(ISERROR(VLOOKUP(B265,'Base de Datos'!$C$7:$K$1048576,7,0))=TRUE," ",(VLOOKUP(B265,'Base de Datos'!$C$7:$K$1048576,8,0)))</f>
        <v>150198-0-2015</v>
      </c>
      <c r="P265" s="551">
        <f>IF(ISERROR(VLOOKUP(B265,'Base de Datos'!$C$7:$N$4077,9,0))=TRUE," ",(VLOOKUP(B265,'Base de Datos'!$C$7:$N$4077,10,0)))</f>
        <v>42117</v>
      </c>
      <c r="Q265" s="533" t="s">
        <v>2093</v>
      </c>
      <c r="R265" s="551">
        <f>IF(ISERROR(VLOOKUP(B265,'Base de Datos'!$C$7:$N$4077,10,0))=TRUE," ",(VLOOKUP(B265,'Base de Datos'!$C$7:$N$4077,11,0)))</f>
        <v>42117</v>
      </c>
      <c r="S265" s="551">
        <f>IF(ISERROR(VLOOKUP(B265,'Base de Datos'!$C$7:$N$4077,11,0))=TRUE," ",(VLOOKUP(B265,'Base de Datos'!$C$7:$N$4077,12,0)))</f>
        <v>42468</v>
      </c>
      <c r="T265" s="533" t="str">
        <f ca="1">VLOOKUP(C265,'Base de Datos'!$E$7:$AR$382,39,0)</f>
        <v>NO</v>
      </c>
      <c r="U265" s="722"/>
      <c r="V265" s="634"/>
    </row>
    <row r="266" spans="2:22" outlineLevel="1" x14ac:dyDescent="0.25">
      <c r="B266" s="762"/>
      <c r="C266" s="763"/>
      <c r="D266" s="763"/>
      <c r="E266" s="764"/>
      <c r="F266" s="765"/>
      <c r="G266" s="763"/>
      <c r="H266" s="763"/>
      <c r="I266" s="763"/>
      <c r="J266" s="764"/>
      <c r="K266" s="764"/>
      <c r="L266" s="764"/>
      <c r="M266" s="763"/>
      <c r="N266" s="764"/>
      <c r="O266" s="766"/>
      <c r="P266" s="767"/>
      <c r="Q266" s="763"/>
      <c r="R266" s="767"/>
      <c r="S266" s="767"/>
      <c r="T266" s="763"/>
      <c r="U266" s="722"/>
      <c r="V266" s="634"/>
    </row>
    <row r="267" spans="2:22" outlineLevel="1" x14ac:dyDescent="0.25">
      <c r="B267" s="762"/>
      <c r="C267" s="763"/>
      <c r="D267" s="763"/>
      <c r="E267" s="764"/>
      <c r="F267" s="765"/>
      <c r="G267" s="763"/>
      <c r="H267" s="763"/>
      <c r="I267" s="763"/>
      <c r="J267" s="764"/>
      <c r="K267" s="764"/>
      <c r="L267" s="764"/>
      <c r="M267" s="763"/>
      <c r="N267" s="764"/>
      <c r="O267" s="766"/>
      <c r="P267" s="767"/>
      <c r="Q267" s="763"/>
      <c r="R267" s="767"/>
      <c r="S267" s="767"/>
      <c r="T267" s="763"/>
      <c r="U267" s="722"/>
      <c r="V267" s="634"/>
    </row>
    <row r="268" spans="2:22" outlineLevel="1" x14ac:dyDescent="0.25">
      <c r="B268" s="762"/>
      <c r="C268" s="763"/>
      <c r="D268" s="763"/>
      <c r="E268" s="764"/>
      <c r="F268" s="765"/>
      <c r="G268" s="763"/>
      <c r="H268" s="763"/>
      <c r="I268" s="763"/>
      <c r="J268" s="764"/>
      <c r="K268" s="764"/>
      <c r="L268" s="764"/>
      <c r="M268" s="763"/>
      <c r="N268" s="764"/>
      <c r="O268" s="766"/>
      <c r="P268" s="767"/>
      <c r="Q268" s="763"/>
      <c r="R268" s="767"/>
      <c r="S268" s="767"/>
      <c r="T268" s="763"/>
      <c r="U268" s="722"/>
      <c r="V268" s="634"/>
    </row>
    <row r="269" spans="2:22" x14ac:dyDescent="0.25">
      <c r="R269" s="697"/>
    </row>
    <row r="270" spans="2:22" ht="36" hidden="1" x14ac:dyDescent="0.25">
      <c r="B270" s="1186" t="s">
        <v>2126</v>
      </c>
      <c r="C270" s="1186"/>
      <c r="D270" s="1186"/>
      <c r="E270" s="734"/>
      <c r="F270" s="738" t="str">
        <f>+F271</f>
        <v>Valor total con adiciones</v>
      </c>
      <c r="G270" s="734" t="str">
        <f t="shared" ref="G270:T270" si="16">+G271</f>
        <v>Presupuesto Inicial</v>
      </c>
      <c r="H270" s="734" t="str">
        <f t="shared" si="16"/>
        <v>Presupuesto Modificado</v>
      </c>
      <c r="I270" s="734" t="str">
        <f t="shared" si="16"/>
        <v>Presupuesto Disponible (04-05-15)</v>
      </c>
      <c r="J270" s="739" t="str">
        <f t="shared" si="16"/>
        <v>Valor con Autorización de Giro</v>
      </c>
      <c r="K270" s="735" t="str">
        <f t="shared" si="16"/>
        <v>% EJE</v>
      </c>
      <c r="L270" s="734" t="str">
        <f t="shared" si="16"/>
        <v xml:space="preserve">SALDOS  </v>
      </c>
      <c r="M270" s="736"/>
      <c r="N270" s="734" t="str">
        <f t="shared" si="16"/>
        <v>SALDOS A LIBERAR</v>
      </c>
      <c r="O270" s="734" t="str">
        <f t="shared" si="16"/>
        <v>Estado</v>
      </c>
      <c r="P270" s="734" t="str">
        <f t="shared" si="16"/>
        <v>Observaciones</v>
      </c>
      <c r="Q270" s="734" t="str">
        <f t="shared" si="16"/>
        <v>Plazo de ejecución</v>
      </c>
      <c r="R270" s="734" t="str">
        <f t="shared" si="16"/>
        <v>Fecha de Inicio</v>
      </c>
      <c r="S270" s="734" t="str">
        <f t="shared" si="16"/>
        <v>Fecha de terminación</v>
      </c>
      <c r="T270" s="734" t="str">
        <f t="shared" si="16"/>
        <v>Responsable FC</v>
      </c>
    </row>
    <row r="271" spans="2:22" ht="36" hidden="1" x14ac:dyDescent="0.25">
      <c r="B271" s="1185" t="s">
        <v>1783</v>
      </c>
      <c r="C271" s="1185"/>
      <c r="D271" s="1185"/>
      <c r="E271" s="971" t="s">
        <v>2129</v>
      </c>
      <c r="F271" s="971" t="s">
        <v>2130</v>
      </c>
      <c r="G271" s="971" t="s">
        <v>1897</v>
      </c>
      <c r="H271" s="971" t="s">
        <v>1898</v>
      </c>
      <c r="I271" s="971" t="s">
        <v>1840</v>
      </c>
      <c r="J271" s="971" t="s">
        <v>2131</v>
      </c>
      <c r="K271" s="716" t="s">
        <v>1900</v>
      </c>
      <c r="L271" s="971" t="s">
        <v>2135</v>
      </c>
      <c r="M271" s="971" t="s">
        <v>1902</v>
      </c>
      <c r="N271" s="971" t="s">
        <v>1904</v>
      </c>
      <c r="O271" s="717" t="s">
        <v>2134</v>
      </c>
      <c r="P271" s="718" t="s">
        <v>1818</v>
      </c>
      <c r="Q271" s="971" t="s">
        <v>1848</v>
      </c>
      <c r="R271" s="971" t="s">
        <v>1849</v>
      </c>
      <c r="S271" s="971" t="s">
        <v>375</v>
      </c>
      <c r="T271" s="971" t="s">
        <v>1850</v>
      </c>
    </row>
    <row r="272" spans="2:22" hidden="1" x14ac:dyDescent="0.25">
      <c r="B272" s="1183" t="s">
        <v>1686</v>
      </c>
      <c r="C272" s="1183"/>
      <c r="D272" s="1183"/>
      <c r="E272" s="541">
        <f>+E273+E383</f>
        <v>16001697633</v>
      </c>
      <c r="F272" s="541">
        <f>+F273+F383</f>
        <v>17754440578</v>
      </c>
      <c r="G272" s="541"/>
      <c r="H272" s="541"/>
      <c r="I272" s="541">
        <f>+I273+I496</f>
        <v>730500000</v>
      </c>
      <c r="J272" s="541">
        <f>+J273+J383</f>
        <v>16073453549.200001</v>
      </c>
      <c r="K272" s="646">
        <f>+J272/E272</f>
        <v>1.0044842689723132</v>
      </c>
      <c r="L272" s="541">
        <f>+L273+L383</f>
        <v>546451496</v>
      </c>
      <c r="M272" s="541">
        <f>+M273+M521</f>
        <v>-10300000</v>
      </c>
      <c r="N272" s="541">
        <f ca="1">+N273+N383</f>
        <v>0</v>
      </c>
      <c r="O272" s="674"/>
      <c r="P272" s="651"/>
      <c r="Q272" s="571"/>
      <c r="R272" s="571"/>
      <c r="S272" s="571"/>
      <c r="T272" s="571"/>
    </row>
    <row r="273" spans="2:20" hidden="1" x14ac:dyDescent="0.25">
      <c r="B273" s="1183" t="s">
        <v>1684</v>
      </c>
      <c r="C273" s="1183"/>
      <c r="D273" s="1183"/>
      <c r="E273" s="541">
        <f>+E274+E289</f>
        <v>12961700936</v>
      </c>
      <c r="F273" s="541">
        <f>+F274+F289</f>
        <v>13698835881</v>
      </c>
      <c r="G273" s="541">
        <f>+G274+G332</f>
        <v>858500000</v>
      </c>
      <c r="H273" s="541">
        <f>+H274+H332</f>
        <v>128000000</v>
      </c>
      <c r="I273" s="541">
        <f>+I274+I332</f>
        <v>730500000</v>
      </c>
      <c r="J273" s="541">
        <f>+J274+J289</f>
        <v>12192652851.200001</v>
      </c>
      <c r="K273" s="646">
        <f>+J273/E273</f>
        <v>0.9406676570770095</v>
      </c>
      <c r="L273" s="541">
        <f>+L274+L289</f>
        <v>371647497</v>
      </c>
      <c r="M273" s="541">
        <f>+M274+M325</f>
        <v>-10300000</v>
      </c>
      <c r="N273" s="541">
        <f ca="1">+N274+N289</f>
        <v>0</v>
      </c>
      <c r="O273" s="674"/>
      <c r="P273" s="572"/>
      <c r="Q273" s="571"/>
      <c r="R273" s="571"/>
      <c r="S273" s="571"/>
      <c r="T273" s="571"/>
    </row>
    <row r="274" spans="2:20" hidden="1" x14ac:dyDescent="0.25">
      <c r="B274" s="1182" t="s">
        <v>1683</v>
      </c>
      <c r="C274" s="1182"/>
      <c r="D274" s="1182"/>
      <c r="E274" s="539">
        <f>+E275</f>
        <v>256100000</v>
      </c>
      <c r="F274" s="631">
        <f>+F275</f>
        <v>266400000</v>
      </c>
      <c r="G274" s="539">
        <f t="shared" ref="G274:I275" si="17">+G275</f>
        <v>858500000</v>
      </c>
      <c r="H274" s="539">
        <f t="shared" si="17"/>
        <v>128000000</v>
      </c>
      <c r="I274" s="539">
        <f t="shared" si="17"/>
        <v>730500000</v>
      </c>
      <c r="J274" s="539">
        <f>+J275</f>
        <v>237453332</v>
      </c>
      <c r="K274" s="602">
        <f>+J274/E274</f>
        <v>0.92718989457243262</v>
      </c>
      <c r="L274" s="539">
        <f t="shared" ref="L274:N275" si="18">+L275</f>
        <v>28946668</v>
      </c>
      <c r="M274" s="539">
        <f t="shared" si="18"/>
        <v>-10300000</v>
      </c>
      <c r="N274" s="539">
        <f t="shared" ca="1" si="18"/>
        <v>0</v>
      </c>
      <c r="O274" s="675"/>
      <c r="P274" s="570"/>
      <c r="Q274" s="569"/>
      <c r="R274" s="569"/>
      <c r="S274" s="569"/>
      <c r="T274" s="569"/>
    </row>
    <row r="275" spans="2:20" hidden="1" x14ac:dyDescent="0.25">
      <c r="B275" s="1182" t="s">
        <v>1682</v>
      </c>
      <c r="C275" s="1182"/>
      <c r="D275" s="1182"/>
      <c r="E275" s="539">
        <f>+E276+E285</f>
        <v>256100000</v>
      </c>
      <c r="F275" s="539">
        <f>+F276+F285</f>
        <v>266400000</v>
      </c>
      <c r="G275" s="539">
        <f t="shared" si="17"/>
        <v>858500000</v>
      </c>
      <c r="H275" s="539">
        <f t="shared" si="17"/>
        <v>128000000</v>
      </c>
      <c r="I275" s="539">
        <f t="shared" si="17"/>
        <v>730500000</v>
      </c>
      <c r="J275" s="539">
        <f>+J276+J285</f>
        <v>237453332</v>
      </c>
      <c r="K275" s="602">
        <f>+J275/E275</f>
        <v>0.92718989457243262</v>
      </c>
      <c r="L275" s="539">
        <f>+L276+L285</f>
        <v>28946668</v>
      </c>
      <c r="M275" s="539">
        <f t="shared" si="18"/>
        <v>-10300000</v>
      </c>
      <c r="N275" s="539">
        <f ca="1">+N276+N285</f>
        <v>0</v>
      </c>
      <c r="O275" s="675"/>
      <c r="P275" s="570"/>
      <c r="Q275" s="569"/>
      <c r="R275" s="569"/>
      <c r="S275" s="569"/>
      <c r="T275" s="569"/>
    </row>
    <row r="276" spans="2:20" hidden="1" x14ac:dyDescent="0.25">
      <c r="B276" s="1182" t="s">
        <v>1681</v>
      </c>
      <c r="C276" s="1182"/>
      <c r="D276" s="1182"/>
      <c r="E276" s="539">
        <f>+E277</f>
        <v>239600000</v>
      </c>
      <c r="F276" s="631">
        <f>+F277</f>
        <v>249900000</v>
      </c>
      <c r="G276" s="539">
        <f>+G277+G325+G328</f>
        <v>858500000</v>
      </c>
      <c r="H276" s="539">
        <f>+H277+H325+H328</f>
        <v>128000000</v>
      </c>
      <c r="I276" s="539">
        <f>+I277+I325+I328</f>
        <v>730500000</v>
      </c>
      <c r="J276" s="539">
        <f>+J277</f>
        <v>227153332</v>
      </c>
      <c r="K276" s="602">
        <f>+J276/E276</f>
        <v>0.94805230383973293</v>
      </c>
      <c r="L276" s="539">
        <f>+L277</f>
        <v>22746668</v>
      </c>
      <c r="M276" s="539">
        <f>+M277+M305+M309</f>
        <v>-10300000</v>
      </c>
      <c r="N276" s="539">
        <f ca="1">+N277</f>
        <v>0</v>
      </c>
      <c r="O276" s="675"/>
      <c r="P276" s="570"/>
      <c r="Q276" s="569"/>
      <c r="R276" s="569"/>
      <c r="S276" s="569"/>
      <c r="T276" s="569"/>
    </row>
    <row r="277" spans="2:20" hidden="1" x14ac:dyDescent="0.25">
      <c r="B277" s="1181" t="s">
        <v>1643</v>
      </c>
      <c r="C277" s="1181"/>
      <c r="D277" s="1181"/>
      <c r="E277" s="584">
        <f>SUM(E279:E283)</f>
        <v>239600000</v>
      </c>
      <c r="F277" s="584">
        <f>SUM(F279:F283)</f>
        <v>249900000</v>
      </c>
      <c r="G277" s="581">
        <v>858500000</v>
      </c>
      <c r="H277" s="582">
        <v>128000000</v>
      </c>
      <c r="I277" s="581">
        <f>+G277-H277</f>
        <v>730500000</v>
      </c>
      <c r="J277" s="584">
        <f>SUM(J279:J283)</f>
        <v>227153332</v>
      </c>
      <c r="K277" s="603">
        <f>+J277/F277</f>
        <v>0.90897691876750697</v>
      </c>
      <c r="L277" s="584">
        <f>SUM(L279:L283)</f>
        <v>22746668</v>
      </c>
      <c r="M277" s="585">
        <f>+E277-(J277+L277)</f>
        <v>-10300000</v>
      </c>
      <c r="N277" s="584">
        <f ca="1">SUM(N279:N283)</f>
        <v>0</v>
      </c>
      <c r="O277" s="676"/>
      <c r="P277" s="584"/>
      <c r="Q277" s="592"/>
      <c r="R277" s="592"/>
      <c r="S277" s="592"/>
      <c r="T277" s="592"/>
    </row>
    <row r="278" spans="2:20" ht="24" hidden="1" x14ac:dyDescent="0.25">
      <c r="B278" s="537" t="s">
        <v>2128</v>
      </c>
      <c r="C278" s="537" t="s">
        <v>912</v>
      </c>
      <c r="D278" s="537" t="s">
        <v>1822</v>
      </c>
      <c r="E278" s="545" t="s">
        <v>1845</v>
      </c>
      <c r="F278" s="534" t="s">
        <v>2130</v>
      </c>
      <c r="G278" s="534"/>
      <c r="H278" s="534"/>
      <c r="I278" s="534"/>
      <c r="J278" s="537" t="s">
        <v>2131</v>
      </c>
      <c r="K278" s="652"/>
      <c r="L278" s="537" t="s">
        <v>1940</v>
      </c>
      <c r="M278" s="537"/>
      <c r="N278" s="537" t="s">
        <v>2137</v>
      </c>
      <c r="O278" s="677" t="s">
        <v>2134</v>
      </c>
      <c r="P278" s="568" t="s">
        <v>1818</v>
      </c>
      <c r="Q278" s="537" t="s">
        <v>1848</v>
      </c>
      <c r="R278" s="537" t="s">
        <v>1849</v>
      </c>
      <c r="S278" s="537" t="s">
        <v>375</v>
      </c>
      <c r="T278" s="537" t="s">
        <v>1850</v>
      </c>
    </row>
    <row r="279" spans="2:20" ht="22.5" hidden="1" customHeight="1" x14ac:dyDescent="0.25">
      <c r="B279" s="533"/>
      <c r="C279" s="533" t="s">
        <v>256</v>
      </c>
      <c r="D279" s="533" t="str">
        <f>VLOOKUP(C279,'Base de Datos'!$E$7:$AR$390,2,0)</f>
        <v>MATILDE NIETO CONTRERAS (Cesionaria) / antes ELIS ALEXANDER MORENO SALAMANCA</v>
      </c>
      <c r="E279" s="536">
        <f>VLOOKUP(C279,'Base de Datos'!$E$7:$AR$390,5,0)</f>
        <v>51500000</v>
      </c>
      <c r="F279" s="536">
        <f>VLOOKUP(C279,'Base de Datos'!$E$7:$AR$390,17,0)</f>
        <v>61800000</v>
      </c>
      <c r="G279" s="536" t="e">
        <f>VLOOKUP(D279,'Base de Datos'!$E$7:$AR$390,17,0)</f>
        <v>#N/A</v>
      </c>
      <c r="H279" s="536" t="e">
        <f>VLOOKUP(E279,'Base de Datos'!$E$7:$AR$390,17,0)</f>
        <v>#N/A</v>
      </c>
      <c r="I279" s="536" t="e">
        <f>VLOOKUP(F279,'Base de Datos'!$E$7:$AR$390,17,0)</f>
        <v>#N/A</v>
      </c>
      <c r="J279" s="536">
        <f>VLOOKUP(C279,'Base de Datos'!$E$7:$AR$390,18,0)</f>
        <v>54933333</v>
      </c>
      <c r="K279" s="600"/>
      <c r="L279" s="536">
        <f>VLOOKUP(C279,'Base de Datos'!$E$7:$AR$390,19,0)</f>
        <v>6866667</v>
      </c>
      <c r="M279" s="533"/>
      <c r="N279" s="536" t="str">
        <f ca="1">IF(OR(O279=Hoja1!$D$17,'Presupuesto - PAA 2018'!O279=Hoja1!$D$18),'Presupuesto - PAA 2018'!L279," ")</f>
        <v xml:space="preserve"> </v>
      </c>
      <c r="O279" s="678" t="str">
        <f ca="1">VLOOKUP(C279,'Base de Datos'!$E$7:$AR$390,33,0)</f>
        <v>TERMINO</v>
      </c>
      <c r="P279" s="737"/>
      <c r="Q279" s="533"/>
      <c r="R279" s="743">
        <f>VLOOKUP(C279,'Base de Datos'!$E$7:$AR$390,9,0)</f>
        <v>41677</v>
      </c>
      <c r="S279" s="743">
        <f>VLOOKUP(C279,'Base de Datos'!$E$7:$AR$390,16,0)</f>
        <v>42006</v>
      </c>
      <c r="T279" s="678" t="str">
        <f>VLOOKUP(C279,'Base de Datos'!$E$7:$AR$390,40,0)</f>
        <v>Andrea Casas</v>
      </c>
    </row>
    <row r="280" spans="2:20" ht="24" hidden="1" x14ac:dyDescent="0.25">
      <c r="B280" s="533"/>
      <c r="C280" s="533" t="s">
        <v>247</v>
      </c>
      <c r="D280" s="533" t="str">
        <f>VLOOKUP(C280,'Base de Datos'!$E$7:$AR$390,2,0)</f>
        <v>LORENZA SANTOS BARBOSA (Cesionaria) - Antes VICTOR MANUEL ARMELLA VELASQUEZ</v>
      </c>
      <c r="E280" s="536">
        <f>VLOOKUP(C280,'Base de Datos'!$E$7:$AR$390,5,0)</f>
        <v>55000000</v>
      </c>
      <c r="F280" s="536">
        <f>VLOOKUP(C280,'Base de Datos'!$E$7:$AR$390,17,0)</f>
        <v>55000000</v>
      </c>
      <c r="G280" s="533"/>
      <c r="H280" s="533"/>
      <c r="I280" s="533"/>
      <c r="J280" s="536">
        <f>VLOOKUP(C280,'Base de Datos'!$E$7:$AR$390,18,0)</f>
        <v>54666666</v>
      </c>
      <c r="K280" s="600"/>
      <c r="L280" s="536">
        <f>VLOOKUP(C280,'Base de Datos'!$E$7:$AR$390,19,0)</f>
        <v>333334</v>
      </c>
      <c r="M280" s="533"/>
      <c r="N280" s="536" t="str">
        <f ca="1">IF(OR(O280=Hoja1!$D$17,'Presupuesto - PAA 2018'!O280=Hoja1!$D$18),'Presupuesto - PAA 2018'!L280," ")</f>
        <v xml:space="preserve"> </v>
      </c>
      <c r="O280" s="751" t="str">
        <f ca="1">VLOOKUP(C280,'Base de Datos'!$E$7:$AR$390,33,0)</f>
        <v>TERMINO</v>
      </c>
      <c r="P280" s="737" t="s">
        <v>2136</v>
      </c>
      <c r="Q280" s="533"/>
      <c r="R280" s="743">
        <f>VLOOKUP(C280,'Base de Datos'!$E$7:$AR$390,9,0)</f>
        <v>41675</v>
      </c>
      <c r="S280" s="743">
        <f>VLOOKUP(C280,'Base de Datos'!$E$7:$AR$390,16,0)</f>
        <v>42008</v>
      </c>
      <c r="T280" s="678" t="str">
        <f>VLOOKUP(C280,'Base de Datos'!$E$7:$AR$390,40,0)</f>
        <v>Lizeth González</v>
      </c>
    </row>
    <row r="281" spans="2:20" hidden="1" x14ac:dyDescent="0.25">
      <c r="B281" s="533"/>
      <c r="C281" s="533" t="s">
        <v>249</v>
      </c>
      <c r="D281" s="533" t="str">
        <f>VLOOKUP(C281,'Base de Datos'!$E$7:$AR$390,2,0)</f>
        <v>NORMA CONSTANZA MEZA GÓMEZ</v>
      </c>
      <c r="E281" s="536">
        <f>VLOOKUP(C281,'Base de Datos'!$E$7:$AR$390,5,0)</f>
        <v>38500000</v>
      </c>
      <c r="F281" s="536">
        <f>VLOOKUP(C281,'Base de Datos'!$E$7:$AR$390,17,0)</f>
        <v>38500000</v>
      </c>
      <c r="G281" s="533"/>
      <c r="H281" s="533"/>
      <c r="I281" s="533"/>
      <c r="J281" s="536">
        <f>VLOOKUP(C281,'Base de Datos'!$E$7:$AR$390,18,0)</f>
        <v>38500000</v>
      </c>
      <c r="K281" s="600"/>
      <c r="L281" s="536">
        <f>VLOOKUP(C281,'Base de Datos'!$E$7:$AR$390,19,0)</f>
        <v>0</v>
      </c>
      <c r="M281" s="533"/>
      <c r="N281" s="536" t="str">
        <f ca="1">IF(OR(O281=Hoja1!$D$17,'Presupuesto - PAA 2018'!O281=Hoja1!$D$18),'Presupuesto - PAA 2018'!L281," ")</f>
        <v xml:space="preserve"> </v>
      </c>
      <c r="O281" s="678" t="str">
        <f ca="1">VLOOKUP(C281,'Base de Datos'!$E$7:$AR$390,33,0)</f>
        <v>TERMINO</v>
      </c>
      <c r="P281" s="737"/>
      <c r="Q281" s="533"/>
      <c r="R281" s="743">
        <f>VLOOKUP(C281,'Base de Datos'!$E$7:$AR$390,9,0)</f>
        <v>41675</v>
      </c>
      <c r="S281" s="743">
        <f>VLOOKUP(C281,'Base de Datos'!$E$7:$AR$390,16,0)</f>
        <v>42008</v>
      </c>
      <c r="T281" s="678" t="str">
        <f>VLOOKUP(C281,'Base de Datos'!$E$7:$AR$390,40,0)</f>
        <v>Lizeth González</v>
      </c>
    </row>
    <row r="282" spans="2:20" hidden="1" x14ac:dyDescent="0.25">
      <c r="B282" s="533"/>
      <c r="C282" s="533" t="s">
        <v>245</v>
      </c>
      <c r="D282" s="533" t="str">
        <f>VLOOKUP(C282,'Base de Datos'!$E$7:$AR$390,2,0)</f>
        <v>FERNANDO SOTOMONTE AMAYA</v>
      </c>
      <c r="E282" s="536">
        <f>VLOOKUP(C282,'Base de Datos'!$E$7:$AR$390,5,0)</f>
        <v>55000000</v>
      </c>
      <c r="F282" s="536">
        <f>VLOOKUP(C282,'Base de Datos'!$E$7:$AR$390,17,0)</f>
        <v>55000000</v>
      </c>
      <c r="G282" s="533"/>
      <c r="H282" s="533"/>
      <c r="I282" s="533"/>
      <c r="J282" s="536">
        <f>VLOOKUP(C282,'Base de Datos'!$E$7:$AR$390,18,0)</f>
        <v>54333333</v>
      </c>
      <c r="K282" s="600"/>
      <c r="L282" s="536">
        <f>VLOOKUP(C282,'Base de Datos'!$E$7:$AR$390,19,0)</f>
        <v>666667</v>
      </c>
      <c r="M282" s="533"/>
      <c r="N282" s="536" t="str">
        <f ca="1">IF(OR(O282=Hoja1!$D$17,'Presupuesto - PAA 2018'!O282=Hoja1!$D$18),'Presupuesto - PAA 2018'!L282," ")</f>
        <v xml:space="preserve"> </v>
      </c>
      <c r="O282" s="678" t="str">
        <f ca="1">VLOOKUP(C282,'Base de Datos'!$E$7:$AR$390,33,0)</f>
        <v>TERMINO</v>
      </c>
      <c r="P282" s="737"/>
      <c r="Q282" s="533"/>
      <c r="R282" s="743">
        <f>VLOOKUP(C282,'Base de Datos'!$E$7:$AR$390,9,0)</f>
        <v>41675</v>
      </c>
      <c r="S282" s="743">
        <f>VLOOKUP(C282,'Base de Datos'!$E$7:$AR$390,16,0)</f>
        <v>42008</v>
      </c>
      <c r="T282" s="678" t="str">
        <f>VLOOKUP(C282,'Base de Datos'!$E$7:$AR$390,40,0)</f>
        <v>Lizeth González</v>
      </c>
    </row>
    <row r="283" spans="2:20" hidden="1" x14ac:dyDescent="0.25">
      <c r="B283" s="533"/>
      <c r="C283" s="533" t="s">
        <v>253</v>
      </c>
      <c r="D283" s="533" t="str">
        <f>VLOOKUP(C283,'Base de Datos'!$E$7:$AR$390,2,0)</f>
        <v>EDELMIRA ATARA GIL</v>
      </c>
      <c r="E283" s="536">
        <f>VLOOKUP(C283,'Base de Datos'!$E$7:$AR$390,5,0)</f>
        <v>39600000</v>
      </c>
      <c r="F283" s="536">
        <f>VLOOKUP(C283,'Base de Datos'!$E$7:$AR$390,17,0)</f>
        <v>39600000</v>
      </c>
      <c r="G283" s="533"/>
      <c r="H283" s="533"/>
      <c r="I283" s="533"/>
      <c r="J283" s="536">
        <f>VLOOKUP(C283,'Base de Datos'!$E$7:$AR$390,18,0)</f>
        <v>24720000</v>
      </c>
      <c r="K283" s="600"/>
      <c r="L283" s="536">
        <f>VLOOKUP(C283,'Base de Datos'!$E$7:$AR$390,19,0)</f>
        <v>14880000</v>
      </c>
      <c r="M283" s="533"/>
      <c r="N283" s="536" t="str">
        <f ca="1">IF(OR(O283=Hoja1!$D$17,'Presupuesto - PAA 2018'!O283=Hoja1!$D$18),'Presupuesto - PAA 2018'!L283," ")</f>
        <v xml:space="preserve"> </v>
      </c>
      <c r="O283" s="678" t="str">
        <f ca="1">VLOOKUP(C283,'Base de Datos'!$E$7:$AR$390,33,0)</f>
        <v>TERMINO</v>
      </c>
      <c r="P283" s="737"/>
      <c r="Q283" s="533"/>
      <c r="R283" s="743">
        <f>VLOOKUP(C283,'Base de Datos'!$E$7:$AR$390,9,0)</f>
        <v>41675</v>
      </c>
      <c r="S283" s="743">
        <f>VLOOKUP(C283,'Base de Datos'!$E$7:$AR$390,16,0)</f>
        <v>42008</v>
      </c>
      <c r="T283" s="678" t="str">
        <f>VLOOKUP(C283,'Base de Datos'!$E$7:$AR$390,40,0)</f>
        <v>Matilde Nieto</v>
      </c>
    </row>
    <row r="284" spans="2:20" hidden="1" x14ac:dyDescent="0.25">
      <c r="B284" s="533"/>
      <c r="C284" s="533"/>
      <c r="D284" s="533"/>
      <c r="E284" s="533"/>
      <c r="F284" s="533"/>
      <c r="G284" s="533"/>
      <c r="H284" s="533"/>
      <c r="I284" s="533"/>
      <c r="J284" s="533"/>
      <c r="K284" s="600"/>
      <c r="L284" s="533"/>
      <c r="M284" s="533"/>
      <c r="N284" s="533"/>
      <c r="O284" s="691"/>
      <c r="P284" s="737"/>
      <c r="Q284" s="533"/>
      <c r="R284" s="744"/>
      <c r="S284" s="744"/>
      <c r="T284" s="533"/>
    </row>
    <row r="285" spans="2:20" hidden="1" x14ac:dyDescent="0.25">
      <c r="B285" s="1181" t="s">
        <v>1645</v>
      </c>
      <c r="C285" s="1181"/>
      <c r="D285" s="1181"/>
      <c r="E285" s="581">
        <f>+E287</f>
        <v>16500000</v>
      </c>
      <c r="F285" s="581">
        <f>+F287</f>
        <v>16500000</v>
      </c>
      <c r="G285" s="586"/>
      <c r="H285" s="586"/>
      <c r="I285" s="586"/>
      <c r="J285" s="581">
        <f>+J287</f>
        <v>10300000</v>
      </c>
      <c r="K285" s="603">
        <f>+J285/F285</f>
        <v>0.62424242424242427</v>
      </c>
      <c r="L285" s="581">
        <f>+L287</f>
        <v>6200000</v>
      </c>
      <c r="M285" s="632">
        <v>0</v>
      </c>
      <c r="N285" s="581">
        <f ca="1">SUM(N287)</f>
        <v>0</v>
      </c>
      <c r="O285" s="684"/>
      <c r="P285" s="591" t="str">
        <f>IF(ISERROR(VLOOKUP(B285,'Base de Datos'!$C$7:$N$315,8,0))=TRUE," ",(VLOOKUP(B285,'Base de Datos'!$C$7:$N$315,8,0)))</f>
        <v xml:space="preserve"> </v>
      </c>
      <c r="Q285" s="592"/>
      <c r="R285" s="745" t="str">
        <f>IF(ISERROR(VLOOKUP(B285,'Base de Datos'!$C$7:$N$315,9,0))=TRUE," ",(VLOOKUP(B285,'Base de Datos'!$C$7:$N$315,9,0)))</f>
        <v xml:space="preserve"> </v>
      </c>
      <c r="S285" s="745" t="str">
        <f>IF(ISERROR(VLOOKUP(B285,'Base de Datos'!$C$7:$N$315,10,0))=TRUE," ",(VLOOKUP(B285,'Base de Datos'!$C$7:$N$315,10,0)))</f>
        <v xml:space="preserve"> </v>
      </c>
      <c r="T285" s="592"/>
    </row>
    <row r="286" spans="2:20" ht="24" hidden="1" x14ac:dyDescent="0.25">
      <c r="B286" s="537" t="s">
        <v>2128</v>
      </c>
      <c r="C286" s="537" t="s">
        <v>912</v>
      </c>
      <c r="D286" s="537" t="s">
        <v>1822</v>
      </c>
      <c r="E286" s="545" t="s">
        <v>1845</v>
      </c>
      <c r="F286" s="534" t="s">
        <v>2130</v>
      </c>
      <c r="G286" s="534"/>
      <c r="H286" s="534"/>
      <c r="I286" s="534"/>
      <c r="J286" s="537" t="s">
        <v>2131</v>
      </c>
      <c r="K286" s="652"/>
      <c r="L286" s="537" t="s">
        <v>1940</v>
      </c>
      <c r="M286" s="537"/>
      <c r="N286" s="537" t="s">
        <v>2137</v>
      </c>
      <c r="O286" s="677" t="s">
        <v>2134</v>
      </c>
      <c r="P286" s="568" t="s">
        <v>1818</v>
      </c>
      <c r="Q286" s="537" t="s">
        <v>1848</v>
      </c>
      <c r="R286" s="746" t="s">
        <v>1849</v>
      </c>
      <c r="S286" s="746" t="s">
        <v>375</v>
      </c>
      <c r="T286" s="537" t="s">
        <v>1850</v>
      </c>
    </row>
    <row r="287" spans="2:20" hidden="1" x14ac:dyDescent="0.25">
      <c r="B287" s="533"/>
      <c r="C287" s="533" t="s">
        <v>250</v>
      </c>
      <c r="D287" s="533" t="str">
        <f>VLOOKUP(C287,'Base de Datos'!$E$7:$AR$390,2,0)</f>
        <v>JORGE LUIS TRUJILLO VERA</v>
      </c>
      <c r="E287" s="536">
        <f>VLOOKUP(C287,'Base de Datos'!$E$7:$AR$390,5,0)</f>
        <v>16500000</v>
      </c>
      <c r="F287" s="536">
        <f>VLOOKUP(C287,'Base de Datos'!$E$7:$AR$390,17,0)</f>
        <v>16500000</v>
      </c>
      <c r="G287" s="533"/>
      <c r="H287" s="533"/>
      <c r="I287" s="533"/>
      <c r="J287" s="536">
        <f>VLOOKUP(C287,'Base de Datos'!$E$7:$AR$390,18,0)</f>
        <v>10300000</v>
      </c>
      <c r="K287" s="600"/>
      <c r="L287" s="536">
        <f>VLOOKUP(C287,'Base de Datos'!$E$7:$AR$390,19,0)</f>
        <v>6200000</v>
      </c>
      <c r="M287" s="533"/>
      <c r="N287" s="536" t="str">
        <f ca="1">IF(OR(O287=Hoja1!$D$17,'Presupuesto - PAA 2018'!O287=Hoja1!$D$18),'Presupuesto - PAA 2018'!L287," ")</f>
        <v xml:space="preserve"> </v>
      </c>
      <c r="O287" s="678" t="str">
        <f ca="1">VLOOKUP(C287,'Base de Datos'!$E$7:$AR$390,33,0)</f>
        <v>TERMINO</v>
      </c>
      <c r="P287" s="737"/>
      <c r="Q287" s="533"/>
      <c r="R287" s="743">
        <f>VLOOKUP(C287,'Base de Datos'!$E$7:$AR$390,9,0)</f>
        <v>41675</v>
      </c>
      <c r="S287" s="743">
        <f>VLOOKUP(C287,'Base de Datos'!$E$7:$AR$390,16,0)</f>
        <v>42008</v>
      </c>
      <c r="T287" s="678" t="str">
        <f>VLOOKUP(C287,'Base de Datos'!$E$7:$AR$390,40,0)</f>
        <v>Javier Andrés Vidal</v>
      </c>
    </row>
    <row r="288" spans="2:20" hidden="1" x14ac:dyDescent="0.25">
      <c r="B288" s="533"/>
      <c r="C288" s="533"/>
      <c r="D288" s="533"/>
      <c r="E288" s="533"/>
      <c r="F288" s="533"/>
      <c r="G288" s="533"/>
      <c r="H288" s="533"/>
      <c r="I288" s="533"/>
      <c r="J288" s="533"/>
      <c r="K288" s="600"/>
      <c r="L288" s="533"/>
      <c r="M288" s="533"/>
      <c r="N288" s="533"/>
      <c r="O288" s="691"/>
      <c r="P288" s="737"/>
      <c r="Q288" s="533"/>
      <c r="R288" s="744"/>
      <c r="S288" s="744"/>
      <c r="T288" s="533"/>
    </row>
    <row r="289" spans="2:22" ht="15" hidden="1" customHeight="1" x14ac:dyDescent="0.25">
      <c r="B289" s="1182" t="s">
        <v>1793</v>
      </c>
      <c r="C289" s="1182"/>
      <c r="D289" s="1182"/>
      <c r="E289" s="539">
        <f>+E290+E312+E378</f>
        <v>12705600936</v>
      </c>
      <c r="F289" s="539">
        <f>+F290+F312+F378</f>
        <v>13432435881</v>
      </c>
      <c r="G289" s="540"/>
      <c r="H289" s="540"/>
      <c r="I289" s="540"/>
      <c r="J289" s="539">
        <f>+J290+J312+J378</f>
        <v>11955199519.200001</v>
      </c>
      <c r="K289" s="610">
        <f>+J289/F289</f>
        <v>0.89002468540426605</v>
      </c>
      <c r="L289" s="539">
        <f>+L290+L312+L378</f>
        <v>342700829</v>
      </c>
      <c r="M289" s="543">
        <f>M290+M334+M461</f>
        <v>-55855426.199999988</v>
      </c>
      <c r="N289" s="539">
        <f ca="1">+N290+N312+N378</f>
        <v>0</v>
      </c>
      <c r="O289" s="689"/>
      <c r="P289" s="543"/>
      <c r="Q289" s="569"/>
      <c r="R289" s="747" t="str">
        <f>IF(ISERROR(VLOOKUP(B289,'Base de Datos'!$C$7:$N$315,9,0))=TRUE," ",(VLOOKUP(B289,'Base de Datos'!$C$7:$N$315,9,0)))</f>
        <v xml:space="preserve"> </v>
      </c>
      <c r="S289" s="747" t="str">
        <f>IF(ISERROR(VLOOKUP(B289,'Base de Datos'!$C$7:$N$315,10,0))=TRUE," ",(VLOOKUP(B289,'Base de Datos'!$C$7:$N$315,10,0)))</f>
        <v xml:space="preserve"> </v>
      </c>
      <c r="T289" s="569"/>
      <c r="U289" s="722"/>
      <c r="V289" s="634"/>
    </row>
    <row r="290" spans="2:22" ht="15" hidden="1" customHeight="1" x14ac:dyDescent="0.25">
      <c r="B290" s="1182" t="s">
        <v>1647</v>
      </c>
      <c r="C290" s="1182"/>
      <c r="D290" s="1182"/>
      <c r="E290" s="539">
        <f>+E291+E300+E307</f>
        <v>1397807908</v>
      </c>
      <c r="F290" s="539">
        <f>+F291+F300+F307</f>
        <v>1638062734</v>
      </c>
      <c r="G290" s="540"/>
      <c r="H290" s="540"/>
      <c r="I290" s="540"/>
      <c r="J290" s="539">
        <f>+J291+J300+J307</f>
        <v>1433597964.2</v>
      </c>
      <c r="K290" s="631"/>
      <c r="L290" s="539">
        <f>+L291+L300+L307</f>
        <v>165372681</v>
      </c>
      <c r="M290" s="631">
        <f>+M291+M319+M326</f>
        <v>-55855426.199999988</v>
      </c>
      <c r="N290" s="539">
        <f ca="1">+N291+N300+N307</f>
        <v>0</v>
      </c>
      <c r="O290" s="686"/>
      <c r="P290" s="575" t="str">
        <f>IF(ISERROR(VLOOKUP(B290,'Base de Datos'!$C$7:$N$315,8,0))=TRUE," ",(VLOOKUP(B290,'Base de Datos'!$C$7:$N$315,8,0)))</f>
        <v xml:space="preserve"> </v>
      </c>
      <c r="Q290" s="569"/>
      <c r="R290" s="747" t="str">
        <f>IF(ISERROR(VLOOKUP(B290,'Base de Datos'!$C$7:$N$315,9,0))=TRUE," ",(VLOOKUP(B290,'Base de Datos'!$C$7:$N$315,9,0)))</f>
        <v xml:space="preserve"> </v>
      </c>
      <c r="S290" s="747" t="str">
        <f>IF(ISERROR(VLOOKUP(B290,'Base de Datos'!$C$7:$N$315,10,0))=TRUE," ",(VLOOKUP(B290,'Base de Datos'!$C$7:$N$315,10,0)))</f>
        <v xml:space="preserve"> </v>
      </c>
      <c r="T290" s="569"/>
      <c r="U290" s="722"/>
      <c r="V290" s="634"/>
    </row>
    <row r="291" spans="2:22" hidden="1" x14ac:dyDescent="0.25">
      <c r="B291" s="1181" t="s">
        <v>1648</v>
      </c>
      <c r="C291" s="1181"/>
      <c r="D291" s="1181"/>
      <c r="E291" s="581">
        <f>SUM(E293:E298)</f>
        <v>264468575</v>
      </c>
      <c r="F291" s="581">
        <f>SUM(F293:F298)</f>
        <v>374484341</v>
      </c>
      <c r="G291" s="586"/>
      <c r="H291" s="586"/>
      <c r="I291" s="586"/>
      <c r="J291" s="581">
        <f>SUM(J293:J298)</f>
        <v>290073532.19999999</v>
      </c>
      <c r="K291" s="603">
        <f>+J291/F291</f>
        <v>0.77459455694570678</v>
      </c>
      <c r="L291" s="581">
        <f>SUM(L293:L298)</f>
        <v>30250469</v>
      </c>
      <c r="M291" s="585">
        <f>+E291-(J291+L291)</f>
        <v>-55855426.199999988</v>
      </c>
      <c r="N291" s="581">
        <f ca="1">SUM(N293:N298)</f>
        <v>0</v>
      </c>
      <c r="O291" s="684"/>
      <c r="P291" s="591" t="str">
        <f>IF(ISERROR(VLOOKUP(B291,'Base de Datos'!$C$7:$N$315,8,0))=TRUE," ",(VLOOKUP(B291,'Base de Datos'!$C$7:$N$315,8,0)))</f>
        <v xml:space="preserve"> </v>
      </c>
      <c r="Q291" s="592"/>
      <c r="R291" s="745" t="str">
        <f>IF(ISERROR(VLOOKUP(B291,'Base de Datos'!$C$7:$N$315,9,0))=TRUE," ",(VLOOKUP(B291,'Base de Datos'!$C$7:$N$315,9,0)))</f>
        <v xml:space="preserve"> </v>
      </c>
      <c r="S291" s="745" t="str">
        <f>IF(ISERROR(VLOOKUP(B291,'Base de Datos'!$C$7:$N$315,10,0))=TRUE," ",(VLOOKUP(B291,'Base de Datos'!$C$7:$N$315,10,0)))</f>
        <v xml:space="preserve"> </v>
      </c>
      <c r="T291" s="592"/>
      <c r="U291" s="535"/>
    </row>
    <row r="292" spans="2:22" ht="24" hidden="1" x14ac:dyDescent="0.25">
      <c r="B292" s="537" t="s">
        <v>2128</v>
      </c>
      <c r="C292" s="537" t="s">
        <v>912</v>
      </c>
      <c r="D292" s="537" t="s">
        <v>1822</v>
      </c>
      <c r="E292" s="545" t="s">
        <v>1845</v>
      </c>
      <c r="F292" s="534" t="s">
        <v>2130</v>
      </c>
      <c r="G292" s="534"/>
      <c r="H292" s="534"/>
      <c r="I292" s="534"/>
      <c r="J292" s="537" t="s">
        <v>2131</v>
      </c>
      <c r="K292" s="652"/>
      <c r="L292" s="537" t="s">
        <v>1940</v>
      </c>
      <c r="M292" s="537"/>
      <c r="N292" s="537" t="s">
        <v>2137</v>
      </c>
      <c r="O292" s="677" t="s">
        <v>2134</v>
      </c>
      <c r="P292" s="568" t="s">
        <v>1818</v>
      </c>
      <c r="Q292" s="537" t="s">
        <v>1848</v>
      </c>
      <c r="R292" s="746" t="s">
        <v>1849</v>
      </c>
      <c r="S292" s="746" t="s">
        <v>375</v>
      </c>
      <c r="T292" s="537" t="s">
        <v>1850</v>
      </c>
      <c r="U292" s="535"/>
    </row>
    <row r="293" spans="2:22" hidden="1" x14ac:dyDescent="0.25">
      <c r="B293" s="533"/>
      <c r="C293" s="533" t="s">
        <v>1158</v>
      </c>
      <c r="D293" s="533" t="str">
        <f>VLOOKUP(C293,'Base de Datos'!$E$7:$AR$390,2,0)</f>
        <v>FACTOR VISUAL EAT</v>
      </c>
      <c r="E293" s="536">
        <f>VLOOKUP(C293,'Base de Datos'!$E$7:$AR$390,5,0)</f>
        <v>44544000</v>
      </c>
      <c r="F293" s="536">
        <f>VLOOKUP(C293,'Base de Datos'!$E$7:$AR$390,17,0)</f>
        <v>66816000</v>
      </c>
      <c r="G293" s="533"/>
      <c r="H293" s="533"/>
      <c r="I293" s="533"/>
      <c r="J293" s="740">
        <f>VLOOKUP(C293,'Base de Datos'!$E$7:$AR$390,18,0)</f>
        <v>66816000</v>
      </c>
      <c r="K293" s="600"/>
      <c r="L293" s="753">
        <v>26912000</v>
      </c>
      <c r="M293" s="533"/>
      <c r="N293" s="536" t="str">
        <f ca="1">IF(OR(O293=Hoja1!$D$17,'Presupuesto - PAA 2018'!O293=Hoja1!$D$18),'Presupuesto - PAA 2018'!L293," ")</f>
        <v xml:space="preserve"> </v>
      </c>
      <c r="O293" s="678" t="str">
        <f ca="1">VLOOKUP(C293,'Base de Datos'!$E$7:$AR$390,33,0)</f>
        <v>TERMINO</v>
      </c>
      <c r="P293" s="737"/>
      <c r="Q293" s="533"/>
      <c r="R293" s="743">
        <f>VLOOKUP(C293,'Base de Datos'!$E$7:$AR$390,9,0)</f>
        <v>41929</v>
      </c>
      <c r="S293" s="743">
        <f>VLOOKUP(C293,'Base de Datos'!$E$7:$AR$390,16,0)</f>
        <v>42477</v>
      </c>
      <c r="T293" s="678" t="str">
        <f>VLOOKUP(C293,'Base de Datos'!$E$7:$AR$390,40,0)</f>
        <v>Adriana Payares</v>
      </c>
      <c r="U293" s="535"/>
    </row>
    <row r="294" spans="2:22" hidden="1" x14ac:dyDescent="0.25">
      <c r="B294" s="533"/>
      <c r="C294" s="533" t="s">
        <v>289</v>
      </c>
      <c r="D294" s="533" t="str">
        <f>VLOOKUP(C294,'Base de Datos'!$E$7:$AR$390,2,0)</f>
        <v>UNIPLES S.A.</v>
      </c>
      <c r="E294" s="536">
        <f>VLOOKUP(C294,'Base de Datos'!$E$7:$AR$390,5,0)</f>
        <v>9998117</v>
      </c>
      <c r="F294" s="536">
        <f>VLOOKUP(C294,'Base de Datos'!$E$7:$AR$390,17,0)</f>
        <v>9998117</v>
      </c>
      <c r="G294" s="533"/>
      <c r="H294" s="533"/>
      <c r="I294" s="533"/>
      <c r="J294" s="536">
        <f>VLOOKUP(C294,'Base de Datos'!$E$7:$AR$390,18,0)</f>
        <v>9998097</v>
      </c>
      <c r="K294" s="600"/>
      <c r="L294" s="536">
        <f>VLOOKUP(C294,'Base de Datos'!$E$7:$AR$390,19,0)</f>
        <v>20</v>
      </c>
      <c r="M294" s="533"/>
      <c r="N294" s="536" t="str">
        <f ca="1">IF(OR(O294=Hoja1!$D$17,'Presupuesto - PAA 2018'!O294=Hoja1!$D$18),'Presupuesto - PAA 2018'!L294," ")</f>
        <v xml:space="preserve"> </v>
      </c>
      <c r="O294" s="678" t="str">
        <f ca="1">VLOOKUP(C294,'Base de Datos'!$E$7:$AR$390,33,0)</f>
        <v>TERMINO</v>
      </c>
      <c r="P294" s="737"/>
      <c r="Q294" s="533"/>
      <c r="R294" s="743">
        <f>VLOOKUP(C294,'Base de Datos'!$E$7:$AR$390,9,0)</f>
        <v>41794</v>
      </c>
      <c r="S294" s="743">
        <f>VLOOKUP(C294,'Base de Datos'!$E$7:$AR$390,16,0)</f>
        <v>41855</v>
      </c>
      <c r="T294" s="678" t="str">
        <f>VLOOKUP(C294,'Base de Datos'!$E$7:$AR$390,40,0)</f>
        <v>Andrea Casas</v>
      </c>
      <c r="U294" s="535"/>
    </row>
    <row r="295" spans="2:22" hidden="1" x14ac:dyDescent="0.25">
      <c r="B295" s="533"/>
      <c r="C295" s="533" t="s">
        <v>240</v>
      </c>
      <c r="D295" s="533" t="str">
        <f>VLOOKUP(C295,'Base de Datos'!$E$7:$AR$390,2,0)</f>
        <v>UNIPLES S.A.</v>
      </c>
      <c r="E295" s="536">
        <f>VLOOKUP(C295,'Base de Datos'!$E$7:$AR$390,5,0)</f>
        <v>60000000</v>
      </c>
      <c r="F295" s="536">
        <f>VLOOKUP(C295,'Base de Datos'!$E$7:$AR$390,17,0)</f>
        <v>90000000</v>
      </c>
      <c r="G295" s="533"/>
      <c r="H295" s="533"/>
      <c r="I295" s="533"/>
      <c r="J295" s="536">
        <f>VLOOKUP(C295,'Base de Datos'!$E$7:$AR$390,18,0)</f>
        <v>42574877.200000003</v>
      </c>
      <c r="K295" s="600"/>
      <c r="L295" s="753">
        <v>146147</v>
      </c>
      <c r="M295" s="533"/>
      <c r="N295" s="536" t="str">
        <f ca="1">IF(OR(O295=Hoja1!$D$17,'Presupuesto - PAA 2018'!O295=Hoja1!$D$18),'Presupuesto - PAA 2018'!L295," ")</f>
        <v xml:space="preserve"> </v>
      </c>
      <c r="O295" s="678" t="str">
        <f ca="1">VLOOKUP(C295,'Base de Datos'!$E$7:$AR$390,33,0)</f>
        <v>TERMINO</v>
      </c>
      <c r="P295" s="737"/>
      <c r="Q295" s="533"/>
      <c r="R295" s="743">
        <f>VLOOKUP(C295,'Base de Datos'!$E$7:$AR$390,9,0)</f>
        <v>41655</v>
      </c>
      <c r="S295" s="743">
        <f>VLOOKUP(C295,'Base de Datos'!$E$7:$AR$390,16,0)</f>
        <v>42019</v>
      </c>
      <c r="T295" s="678" t="str">
        <f>VLOOKUP(C295,'Base de Datos'!$E$7:$AR$390,40,0)</f>
        <v>Adriana Payares</v>
      </c>
      <c r="U295" s="535"/>
    </row>
    <row r="296" spans="2:22" hidden="1" x14ac:dyDescent="0.25">
      <c r="B296" s="533"/>
      <c r="C296" s="533" t="s">
        <v>183</v>
      </c>
      <c r="D296" s="533" t="str">
        <f>VLOOKUP(C296,'Base de Datos'!$E$7:$AR$390,2,0)</f>
        <v>CONTRONET LTDA</v>
      </c>
      <c r="E296" s="536">
        <f>VLOOKUP(C296,'Base de Datos'!$E$7:$AR$390,5,0)</f>
        <v>86923131</v>
      </c>
      <c r="F296" s="536">
        <f>VLOOKUP(C296,'Base de Datos'!$E$7:$AR$390,17,0)</f>
        <v>130384697</v>
      </c>
      <c r="G296" s="533"/>
      <c r="H296" s="533"/>
      <c r="I296" s="533"/>
      <c r="J296" s="536">
        <f>VLOOKUP(C296,'Base de Datos'!$E$7:$AR$390,18,0)</f>
        <v>96359635</v>
      </c>
      <c r="K296" s="600"/>
      <c r="L296" s="753">
        <v>231698</v>
      </c>
      <c r="M296" s="533"/>
      <c r="N296" s="536" t="str">
        <f ca="1">IF(OR(O296=Hoja1!$D$17,'Presupuesto - PAA 2018'!O296=Hoja1!$D$18),'Presupuesto - PAA 2018'!L296," ")</f>
        <v xml:space="preserve"> </v>
      </c>
      <c r="O296" s="678" t="str">
        <f ca="1">VLOOKUP(C296,'Base de Datos'!$E$7:$AR$390,33,0)</f>
        <v>TERMINO</v>
      </c>
      <c r="P296" s="737"/>
      <c r="Q296" s="533"/>
      <c r="R296" s="743">
        <f>VLOOKUP(C296,'Base de Datos'!$E$7:$AR$390,9,0)</f>
        <v>41506</v>
      </c>
      <c r="S296" s="743">
        <f>VLOOKUP(C296,'Base de Datos'!$E$7:$AR$390,16,0)</f>
        <v>42055</v>
      </c>
      <c r="T296" s="678" t="str">
        <f>VLOOKUP(C296,'Base de Datos'!$E$7:$AR$390,40,0)</f>
        <v>Adriana Payares</v>
      </c>
      <c r="U296" s="535"/>
    </row>
    <row r="297" spans="2:22" hidden="1" x14ac:dyDescent="0.25">
      <c r="B297" s="533"/>
      <c r="C297" s="533" t="s">
        <v>1162</v>
      </c>
      <c r="D297" s="533" t="str">
        <f>VLOOKUP(C297,'Base de Datos'!$E$7:$AR$390,2,0)</f>
        <v>LINALCA INFORMATICA</v>
      </c>
      <c r="E297" s="536">
        <f>VLOOKUP(C297,'Base de Datos'!$E$7:$AR$390,5,0)</f>
        <v>16592327</v>
      </c>
      <c r="F297" s="536">
        <f>VLOOKUP(C297,'Base de Datos'!$E$7:$AR$390,17,0)</f>
        <v>16592327</v>
      </c>
      <c r="G297" s="533"/>
      <c r="H297" s="533"/>
      <c r="I297" s="533"/>
      <c r="J297" s="536">
        <f>VLOOKUP(C297,'Base de Datos'!$E$7:$AR$390,18,0)</f>
        <v>14933095</v>
      </c>
      <c r="K297" s="600"/>
      <c r="L297" s="753">
        <v>1659232</v>
      </c>
      <c r="M297" s="533"/>
      <c r="N297" s="536" t="str">
        <f ca="1">IF(OR(O297=Hoja1!$D$17,'Presupuesto - PAA 2018'!O297=Hoja1!$D$18),'Presupuesto - PAA 2018'!L297," ")</f>
        <v xml:space="preserve"> </v>
      </c>
      <c r="O297" s="678" t="str">
        <f ca="1">VLOOKUP(C297,'Base de Datos'!$E$7:$AR$390,33,0)</f>
        <v>TERMINO</v>
      </c>
      <c r="P297" s="737"/>
      <c r="Q297" s="533"/>
      <c r="R297" s="743">
        <f>VLOOKUP(C297,'Base de Datos'!$E$7:$AR$390,9,0)</f>
        <v>41936</v>
      </c>
      <c r="S297" s="743">
        <f>VLOOKUP(C297,'Base de Datos'!$E$7:$AR$390,16,0)</f>
        <v>42301</v>
      </c>
      <c r="T297" s="678" t="str">
        <f>VLOOKUP(C297,'Base de Datos'!$E$7:$AR$390,40,0)</f>
        <v>Adriana Payares</v>
      </c>
      <c r="U297" s="535"/>
    </row>
    <row r="298" spans="2:22" ht="24" hidden="1" x14ac:dyDescent="0.25">
      <c r="B298" s="533"/>
      <c r="C298" s="533" t="s">
        <v>172</v>
      </c>
      <c r="D298" s="533" t="str">
        <f>VLOOKUP(C298,'Base de Datos'!$E$7:$AR$390,2,0)</f>
        <v>COLOMBIANA DE SOFTWARE Y HARDWARE COLSOF S.A.</v>
      </c>
      <c r="E298" s="536">
        <f>VLOOKUP(C298,'Base de Datos'!$E$7:$AR$390,5,0)</f>
        <v>46411000</v>
      </c>
      <c r="F298" s="536">
        <f>VLOOKUP(C298,'Base de Datos'!$E$7:$AR$390,17,0)</f>
        <v>60693200</v>
      </c>
      <c r="G298" s="533"/>
      <c r="H298" s="533"/>
      <c r="I298" s="533"/>
      <c r="J298" s="536">
        <f>VLOOKUP(C298,'Base de Datos'!$E$7:$AR$390,18,0)</f>
        <v>59391828</v>
      </c>
      <c r="K298" s="600"/>
      <c r="L298" s="536">
        <f>VLOOKUP(C298,'Base de Datos'!$E$7:$AR$390,19,0)</f>
        <v>1301372</v>
      </c>
      <c r="M298" s="533"/>
      <c r="N298" s="536" t="str">
        <f ca="1">IF(OR(O298=Hoja1!$D$17,'Presupuesto - PAA 2018'!O298=Hoja1!$D$18),'Presupuesto - PAA 2018'!L298," ")</f>
        <v xml:space="preserve"> </v>
      </c>
      <c r="O298" s="678" t="str">
        <f ca="1">VLOOKUP(C298,'Base de Datos'!$E$7:$AR$390,33,0)</f>
        <v>TERMINO</v>
      </c>
      <c r="P298" s="737"/>
      <c r="Q298" s="533"/>
      <c r="R298" s="743">
        <f>VLOOKUP(C298,'Base de Datos'!$E$7:$AR$390,9,0)</f>
        <v>41500</v>
      </c>
      <c r="S298" s="743">
        <f>VLOOKUP(C298,'Base de Datos'!$E$7:$AR$390,16,0)</f>
        <v>41864</v>
      </c>
      <c r="T298" s="678" t="str">
        <f>VLOOKUP(C298,'Base de Datos'!$E$7:$AR$390,40,0)</f>
        <v>Judith Hernández</v>
      </c>
      <c r="U298" s="535"/>
    </row>
    <row r="299" spans="2:22" hidden="1" x14ac:dyDescent="0.25">
      <c r="B299" s="533"/>
      <c r="C299" s="533"/>
      <c r="D299" s="533"/>
      <c r="E299" s="533"/>
      <c r="F299" s="533"/>
      <c r="G299" s="533"/>
      <c r="H299" s="533"/>
      <c r="I299" s="533"/>
      <c r="J299" s="533"/>
      <c r="K299" s="600"/>
      <c r="L299" s="533"/>
      <c r="M299" s="533"/>
      <c r="N299" s="533"/>
      <c r="O299" s="691"/>
      <c r="P299" s="737"/>
      <c r="Q299" s="533"/>
      <c r="R299" s="744"/>
      <c r="S299" s="744"/>
      <c r="T299" s="533"/>
      <c r="U299" s="535"/>
    </row>
    <row r="300" spans="2:22" hidden="1" x14ac:dyDescent="0.25">
      <c r="B300" s="1181" t="s">
        <v>1649</v>
      </c>
      <c r="C300" s="1181"/>
      <c r="D300" s="1181"/>
      <c r="E300" s="581">
        <f>SUM(E302:E305)</f>
        <v>791102333</v>
      </c>
      <c r="F300" s="581">
        <f>SUM(F302:F305)</f>
        <v>921341393</v>
      </c>
      <c r="G300" s="586"/>
      <c r="H300" s="586"/>
      <c r="I300" s="586"/>
      <c r="J300" s="581">
        <f>SUM(J302:J305)</f>
        <v>802058750</v>
      </c>
      <c r="K300" s="603">
        <f>+J300/F300</f>
        <v>0.87053371974138583</v>
      </c>
      <c r="L300" s="581">
        <f>SUM(L302:L305)</f>
        <v>119282643</v>
      </c>
      <c r="M300" s="632">
        <v>0</v>
      </c>
      <c r="N300" s="581">
        <f ca="1">SUM(N302:N305)</f>
        <v>0</v>
      </c>
      <c r="O300" s="684"/>
      <c r="P300" s="591" t="str">
        <f>IF(ISERROR(VLOOKUP(B300,'Base de Datos'!$C$7:$N$315,8,0))=TRUE," ",(VLOOKUP(B300,'Base de Datos'!$C$7:$N$315,8,0)))</f>
        <v xml:space="preserve"> </v>
      </c>
      <c r="Q300" s="592"/>
      <c r="R300" s="745" t="str">
        <f>IF(ISERROR(VLOOKUP(B300,'Base de Datos'!$C$7:$N$315,9,0))=TRUE," ",(VLOOKUP(B300,'Base de Datos'!$C$7:$N$315,9,0)))</f>
        <v xml:space="preserve"> </v>
      </c>
      <c r="S300" s="745" t="str">
        <f>IF(ISERROR(VLOOKUP(B300,'Base de Datos'!$C$7:$N$315,10,0))=TRUE," ",(VLOOKUP(B300,'Base de Datos'!$C$7:$N$315,10,0)))</f>
        <v xml:space="preserve"> </v>
      </c>
      <c r="T300" s="592"/>
      <c r="U300" s="535"/>
    </row>
    <row r="301" spans="2:22" ht="24" hidden="1" x14ac:dyDescent="0.25">
      <c r="B301" s="537" t="s">
        <v>2128</v>
      </c>
      <c r="C301" s="537" t="s">
        <v>912</v>
      </c>
      <c r="D301" s="537" t="s">
        <v>1822</v>
      </c>
      <c r="E301" s="545" t="s">
        <v>1845</v>
      </c>
      <c r="F301" s="534" t="s">
        <v>2130</v>
      </c>
      <c r="G301" s="534"/>
      <c r="H301" s="534"/>
      <c r="I301" s="534"/>
      <c r="J301" s="537" t="s">
        <v>2131</v>
      </c>
      <c r="K301" s="652"/>
      <c r="L301" s="537" t="s">
        <v>1940</v>
      </c>
      <c r="M301" s="537"/>
      <c r="N301" s="537" t="s">
        <v>2137</v>
      </c>
      <c r="O301" s="677" t="s">
        <v>2134</v>
      </c>
      <c r="P301" s="568" t="s">
        <v>1818</v>
      </c>
      <c r="Q301" s="537" t="s">
        <v>1848</v>
      </c>
      <c r="R301" s="746" t="s">
        <v>1849</v>
      </c>
      <c r="S301" s="746" t="s">
        <v>375</v>
      </c>
      <c r="T301" s="537" t="s">
        <v>1850</v>
      </c>
      <c r="U301" s="535"/>
    </row>
    <row r="302" spans="2:22" hidden="1" x14ac:dyDescent="0.25">
      <c r="B302" s="533"/>
      <c r="C302" s="533" t="s">
        <v>1477</v>
      </c>
      <c r="D302" s="533" t="str">
        <f>VLOOKUP(C302,'Base de Datos'!$E$7:$AR$390,2,0)</f>
        <v>ORGANIZACIÓN TERPEL S.A.</v>
      </c>
      <c r="E302" s="536">
        <f>VLOOKUP(C302,'Base de Datos'!$E$7:$AR$390,5,0)</f>
        <v>171253333</v>
      </c>
      <c r="F302" s="536">
        <f>VLOOKUP(C302,'Base de Datos'!$E$7:$AR$390,17,0)</f>
        <v>171253333</v>
      </c>
      <c r="G302" s="533"/>
      <c r="H302" s="533"/>
      <c r="I302" s="533"/>
      <c r="J302" s="536">
        <f>VLOOKUP(C302,'Base de Datos'!$E$7:$AR$390,18,0)</f>
        <v>123537109</v>
      </c>
      <c r="K302" s="741"/>
      <c r="L302" s="742">
        <f>VLOOKUP(C302,'Base de Datos'!$E$7:$AR$390,19,0)</f>
        <v>47716224</v>
      </c>
      <c r="M302" s="533"/>
      <c r="N302" s="536" t="str">
        <f ca="1">IF(OR(O302=Hoja1!$D$17,'Presupuesto - PAA 2018'!O302=Hoja1!$D$18),'Presupuesto - PAA 2018'!L302," ")</f>
        <v xml:space="preserve"> </v>
      </c>
      <c r="O302" s="678" t="str">
        <f ca="1">VLOOKUP(C302,'Base de Datos'!$E$7:$AR$390,33,0)</f>
        <v>TERMINO</v>
      </c>
      <c r="P302" s="737"/>
      <c r="Q302" s="533"/>
      <c r="R302" s="743">
        <f>VLOOKUP(C302,'Base de Datos'!$E$7:$AR$390,9,0)</f>
        <v>41961</v>
      </c>
      <c r="S302" s="743">
        <f>VLOOKUP(C302,'Base de Datos'!$E$7:$AR$390,16,0)</f>
        <v>42063</v>
      </c>
      <c r="T302" s="678" t="str">
        <f>VLOOKUP(C302,'Base de Datos'!$E$7:$AR$390,40,0)</f>
        <v>Judith Hernández</v>
      </c>
      <c r="U302" s="535"/>
    </row>
    <row r="303" spans="2:22" hidden="1" x14ac:dyDescent="0.25">
      <c r="B303" s="533"/>
      <c r="C303" s="533" t="s">
        <v>96</v>
      </c>
      <c r="D303" s="533" t="str">
        <f>VLOOKUP(C303,'Base de Datos'!$E$7:$AR$390,2,0)</f>
        <v>ORGANIZACIÓN TERPEL S.A.</v>
      </c>
      <c r="E303" s="536">
        <f>VLOOKUP(C303,'Base de Datos'!$E$7:$AR$390,5,0)</f>
        <v>351295000</v>
      </c>
      <c r="F303" s="536">
        <f>VLOOKUP(C303,'Base de Datos'!$E$7:$AR$390,17,0)</f>
        <v>473134060</v>
      </c>
      <c r="G303" s="533"/>
      <c r="H303" s="533"/>
      <c r="I303" s="533"/>
      <c r="J303" s="536">
        <f>VLOOKUP(C303,'Base de Datos'!$E$7:$AR$390,18,0)</f>
        <v>473133510</v>
      </c>
      <c r="K303" s="600"/>
      <c r="L303" s="742">
        <f>VLOOKUP(C303,'Base de Datos'!$E$7:$AR$390,19,0)</f>
        <v>550</v>
      </c>
      <c r="M303" s="533"/>
      <c r="N303" s="536" t="str">
        <f ca="1">IF(OR(O303=Hoja1!$D$17,'Presupuesto - PAA 2018'!O303=Hoja1!$D$18),'Presupuesto - PAA 2018'!L303," ")</f>
        <v xml:space="preserve"> </v>
      </c>
      <c r="O303" s="678" t="str">
        <f ca="1">VLOOKUP(C303,'Base de Datos'!$E$7:$AR$390,33,0)</f>
        <v>TERMINO</v>
      </c>
      <c r="P303" s="737"/>
      <c r="Q303" s="533"/>
      <c r="R303" s="743">
        <f>VLOOKUP(C303,'Base de Datos'!$E$7:$AR$390,9,0)</f>
        <v>41426</v>
      </c>
      <c r="S303" s="743">
        <f>VLOOKUP(C303,'Base de Datos'!$E$7:$AR$390,16,0)</f>
        <v>41820</v>
      </c>
      <c r="T303" s="678" t="str">
        <f>VLOOKUP(C303,'Base de Datos'!$E$7:$AR$390,40,0)</f>
        <v>Judith Hernández</v>
      </c>
      <c r="U303" s="535"/>
    </row>
    <row r="304" spans="2:22" ht="24" hidden="1" x14ac:dyDescent="0.25">
      <c r="B304" s="533"/>
      <c r="C304" s="533" t="s">
        <v>187</v>
      </c>
      <c r="D304" s="533" t="str">
        <f>VLOOKUP(C304,'Base de Datos'!$E$7:$AR$390,2,0)</f>
        <v>INVERSIONES LIGOL - INVERLIGOL LTD A</v>
      </c>
      <c r="E304" s="536">
        <f>VLOOKUP(C304,'Base de Datos'!$E$7:$AR$390,5,0)</f>
        <v>16804000</v>
      </c>
      <c r="F304" s="536">
        <f>VLOOKUP(C304,'Base de Datos'!$E$7:$AR$390,17,0)</f>
        <v>25204000</v>
      </c>
      <c r="G304" s="533"/>
      <c r="H304" s="533"/>
      <c r="I304" s="533"/>
      <c r="J304" s="536">
        <f>VLOOKUP(C304,'Base de Datos'!$E$7:$AR$390,18,0)</f>
        <v>25201450</v>
      </c>
      <c r="K304" s="600"/>
      <c r="L304" s="742">
        <f>VLOOKUP(C304,'Base de Datos'!$E$7:$AR$390,19,0)</f>
        <v>2550</v>
      </c>
      <c r="M304" s="533"/>
      <c r="N304" s="536" t="str">
        <f ca="1">IF(OR(O304=Hoja1!$D$17,'Presupuesto - PAA 2018'!O304=Hoja1!$D$18),'Presupuesto - PAA 2018'!L304," ")</f>
        <v xml:space="preserve"> </v>
      </c>
      <c r="O304" s="678" t="str">
        <f ca="1">VLOOKUP(C304,'Base de Datos'!$E$7:$AR$390,33,0)</f>
        <v>TERMINO</v>
      </c>
      <c r="P304" s="737"/>
      <c r="Q304" s="533"/>
      <c r="R304" s="743">
        <f>VLOOKUP(C304,'Base de Datos'!$E$7:$AR$390,9,0)</f>
        <v>41523</v>
      </c>
      <c r="S304" s="743">
        <f>VLOOKUP(C304,'Base de Datos'!$E$7:$AR$390,16,0)</f>
        <v>42099</v>
      </c>
      <c r="T304" s="678" t="str">
        <f>VLOOKUP(C304,'Base de Datos'!$E$7:$AR$390,40,0)</f>
        <v>Luisa Fernanda Gutiérrez</v>
      </c>
      <c r="U304" s="535"/>
    </row>
    <row r="305" spans="2:21" hidden="1" x14ac:dyDescent="0.25">
      <c r="B305" s="533"/>
      <c r="C305" s="533" t="s">
        <v>285</v>
      </c>
      <c r="D305" s="533" t="str">
        <f>VLOOKUP(C305,'Base de Datos'!$E$7:$AR$390,2,0)</f>
        <v>ORGANIZACIÓN TERPEL S.A.</v>
      </c>
      <c r="E305" s="536">
        <f>VLOOKUP(C305,'Base de Datos'!$E$7:$AR$390,5,0)</f>
        <v>251750000</v>
      </c>
      <c r="F305" s="536">
        <f>VLOOKUP(C305,'Base de Datos'!$E$7:$AR$390,17,0)</f>
        <v>251750000</v>
      </c>
      <c r="G305" s="533"/>
      <c r="H305" s="533"/>
      <c r="I305" s="533"/>
      <c r="J305" s="536">
        <f>VLOOKUP(C305,'Base de Datos'!$E$7:$AR$390,18,0)</f>
        <v>180186681</v>
      </c>
      <c r="K305" s="600"/>
      <c r="L305" s="742">
        <f>VLOOKUP(C305,'Base de Datos'!$E$7:$AR$390,19,0)</f>
        <v>71563319</v>
      </c>
      <c r="M305" s="533"/>
      <c r="N305" s="536" t="str">
        <f ca="1">IF(OR(O305=Hoja1!$D$17,'Presupuesto - PAA 2018'!O305=Hoja1!$D$18),'Presupuesto - PAA 2018'!L305," ")</f>
        <v xml:space="preserve"> </v>
      </c>
      <c r="O305" s="678" t="str">
        <f ca="1">VLOOKUP(C305,'Base de Datos'!$E$7:$AR$390,33,0)</f>
        <v>TERMINO</v>
      </c>
      <c r="P305" s="737"/>
      <c r="Q305" s="533"/>
      <c r="R305" s="743">
        <f>VLOOKUP(C305,'Base de Datos'!$E$7:$AR$390,9,0)</f>
        <v>41806</v>
      </c>
      <c r="S305" s="743">
        <f>VLOOKUP(C305,'Base de Datos'!$E$7:$AR$390,16,0)</f>
        <v>41959</v>
      </c>
      <c r="T305" s="678" t="str">
        <f>VLOOKUP(C305,'Base de Datos'!$E$7:$AR$390,40,0)</f>
        <v>Judith Hernández</v>
      </c>
      <c r="U305" s="535"/>
    </row>
    <row r="306" spans="2:21" hidden="1" x14ac:dyDescent="0.25">
      <c r="B306" s="533"/>
      <c r="C306" s="533"/>
      <c r="D306" s="533"/>
      <c r="E306" s="533"/>
      <c r="F306" s="533"/>
      <c r="G306" s="533"/>
      <c r="H306" s="533"/>
      <c r="I306" s="533"/>
      <c r="J306" s="533"/>
      <c r="K306" s="600"/>
      <c r="L306" s="533"/>
      <c r="M306" s="533"/>
      <c r="N306" s="533"/>
      <c r="O306" s="691"/>
      <c r="P306" s="737"/>
      <c r="Q306" s="533"/>
      <c r="R306" s="744"/>
      <c r="S306" s="744"/>
      <c r="T306" s="533"/>
      <c r="U306" s="535"/>
    </row>
    <row r="307" spans="2:21" hidden="1" x14ac:dyDescent="0.25">
      <c r="B307" s="1181" t="s">
        <v>1650</v>
      </c>
      <c r="C307" s="1181"/>
      <c r="D307" s="1181"/>
      <c r="E307" s="581">
        <f>SUM(E309:E310)</f>
        <v>342237000</v>
      </c>
      <c r="F307" s="581">
        <f>SUM(F309:F310)</f>
        <v>342237000</v>
      </c>
      <c r="G307" s="586"/>
      <c r="H307" s="586"/>
      <c r="I307" s="586"/>
      <c r="J307" s="581">
        <f>SUM(J309:J310)</f>
        <v>341465682</v>
      </c>
      <c r="K307" s="603">
        <f>+J307/F307</f>
        <v>0.99774624602249318</v>
      </c>
      <c r="L307" s="581">
        <f>SUM(L309:L310)</f>
        <v>15839569</v>
      </c>
      <c r="M307" s="632">
        <f>+E307-(J307+L307)</f>
        <v>-15068251</v>
      </c>
      <c r="N307" s="581">
        <f ca="1">SUM(N309:N310)</f>
        <v>0</v>
      </c>
      <c r="O307" s="684"/>
      <c r="P307" s="591" t="str">
        <f>IF(ISERROR(VLOOKUP(B307,'Base de Datos'!$C$7:$N$315,8,0))=TRUE," ",(VLOOKUP(B307,'Base de Datos'!$C$7:$N$315,8,0)))</f>
        <v xml:space="preserve"> </v>
      </c>
      <c r="Q307" s="592"/>
      <c r="R307" s="745" t="str">
        <f>IF(ISERROR(VLOOKUP(B307,'Base de Datos'!$C$7:$N$315,9,0))=TRUE," ",(VLOOKUP(B307,'Base de Datos'!$C$7:$N$315,9,0)))</f>
        <v xml:space="preserve"> </v>
      </c>
      <c r="S307" s="745" t="str">
        <f>IF(ISERROR(VLOOKUP(B307,'Base de Datos'!$C$7:$N$315,10,0))=TRUE," ",(VLOOKUP(B307,'Base de Datos'!$C$7:$N$315,10,0)))</f>
        <v xml:space="preserve"> </v>
      </c>
      <c r="T307" s="592"/>
    </row>
    <row r="308" spans="2:21" ht="24" hidden="1" x14ac:dyDescent="0.25">
      <c r="B308" s="537" t="s">
        <v>2128</v>
      </c>
      <c r="C308" s="537" t="s">
        <v>912</v>
      </c>
      <c r="D308" s="537" t="s">
        <v>1822</v>
      </c>
      <c r="E308" s="545" t="s">
        <v>1845</v>
      </c>
      <c r="F308" s="534" t="s">
        <v>2130</v>
      </c>
      <c r="G308" s="534"/>
      <c r="H308" s="534"/>
      <c r="I308" s="534"/>
      <c r="J308" s="537" t="s">
        <v>2131</v>
      </c>
      <c r="K308" s="652"/>
      <c r="L308" s="537" t="s">
        <v>1940</v>
      </c>
      <c r="M308" s="537"/>
      <c r="N308" s="537" t="s">
        <v>2137</v>
      </c>
      <c r="O308" s="677" t="s">
        <v>2134</v>
      </c>
      <c r="P308" s="568" t="s">
        <v>1818</v>
      </c>
      <c r="Q308" s="537" t="s">
        <v>1848</v>
      </c>
      <c r="R308" s="746" t="s">
        <v>1849</v>
      </c>
      <c r="S308" s="746" t="s">
        <v>375</v>
      </c>
      <c r="T308" s="537" t="s">
        <v>1850</v>
      </c>
    </row>
    <row r="309" spans="2:21" ht="21" hidden="1" customHeight="1" x14ac:dyDescent="0.25">
      <c r="B309" s="533"/>
      <c r="C309" s="533" t="s">
        <v>1419</v>
      </c>
      <c r="D309" s="533" t="str">
        <f>VLOOKUP(C309,'Base de Datos'!$E$7:$AR$390,2,0)</f>
        <v>S.O.S. SOLUCIONES DE OFICINA &amp; SUMINISTROS S.A.S.</v>
      </c>
      <c r="E309" s="536">
        <f>VLOOKUP(C309,'Base de Datos'!$E$7:$AR$390,5,0)</f>
        <v>4750000</v>
      </c>
      <c r="F309" s="536">
        <f>VLOOKUP(C309,'Base de Datos'!$E$7:$AR$390,17,0)</f>
        <v>4750000</v>
      </c>
      <c r="G309" s="533"/>
      <c r="H309" s="533"/>
      <c r="I309" s="533"/>
      <c r="J309" s="536">
        <f>VLOOKUP(C309,'Base de Datos'!$E$7:$AR$390,18,0)</f>
        <v>3978684</v>
      </c>
      <c r="K309" s="600"/>
      <c r="L309" s="742">
        <f>VLOOKUP(C309,'Base de Datos'!$E$7:$AR$390,19,0)</f>
        <v>771316</v>
      </c>
      <c r="M309" s="533"/>
      <c r="N309" s="536" t="str">
        <f ca="1">IF(OR(O309=Hoja1!$D$17,'Presupuesto - PAA 2018'!O309=Hoja1!$D$18),'Presupuesto - PAA 2018'!L309," ")</f>
        <v xml:space="preserve"> </v>
      </c>
      <c r="O309" s="678" t="str">
        <f ca="1">VLOOKUP(C309,'Base de Datos'!$E$7:$AR$390,33,0)</f>
        <v>TERMINO</v>
      </c>
      <c r="P309" s="737"/>
      <c r="Q309" s="533"/>
      <c r="R309" s="743">
        <f>VLOOKUP(C309,'Base de Datos'!$E$7:$AR$390,9,0)</f>
        <v>41968</v>
      </c>
      <c r="S309" s="743">
        <f>VLOOKUP(C309,'Base de Datos'!$E$7:$AR$390,16,0)</f>
        <v>42060</v>
      </c>
      <c r="T309" s="678" t="str">
        <f>VLOOKUP(C309,'Base de Datos'!$E$7:$AR$390,40,0)</f>
        <v>Luisa Fernanda Gutiérrez</v>
      </c>
    </row>
    <row r="310" spans="2:21" ht="24" hidden="1" x14ac:dyDescent="0.25">
      <c r="B310" s="533"/>
      <c r="C310" s="533" t="s">
        <v>287</v>
      </c>
      <c r="D310" s="533" t="str">
        <f>VLOOKUP(C310,'Base de Datos'!$E$7:$AR$390,2,0)</f>
        <v xml:space="preserve">UNIÓN TEMPORAL EMINSER-SOLOASEO </v>
      </c>
      <c r="E310" s="536">
        <f>VLOOKUP(C310,'Base de Datos'!$E$7:$AR$390,5,0)</f>
        <v>337487000</v>
      </c>
      <c r="F310" s="536">
        <f>VLOOKUP(C310,'Base de Datos'!$E$7:$AR$390,17,0)</f>
        <v>337487000</v>
      </c>
      <c r="G310" s="533"/>
      <c r="H310" s="533"/>
      <c r="I310" s="533"/>
      <c r="J310" s="536">
        <f>VLOOKUP(C310,'Base de Datos'!$E$7:$AR$390,18,0)</f>
        <v>337486998</v>
      </c>
      <c r="K310" s="600"/>
      <c r="L310" s="742">
        <v>15068253</v>
      </c>
      <c r="M310" s="533"/>
      <c r="N310" s="536" t="str">
        <f ca="1">IF(OR(O310=Hoja1!$D$17,'Presupuesto - PAA 2018'!O310=Hoja1!$D$18),'Presupuesto - PAA 2018'!L310," ")</f>
        <v xml:space="preserve"> </v>
      </c>
      <c r="O310" s="678" t="str">
        <f ca="1">VLOOKUP(C310,'Base de Datos'!$E$7:$AR$390,33,0)</f>
        <v>TERMINO</v>
      </c>
      <c r="P310" s="737"/>
      <c r="Q310" s="533"/>
      <c r="R310" s="743">
        <f>VLOOKUP(C310,'Base de Datos'!$E$7:$AR$390,9,0)</f>
        <v>41811</v>
      </c>
      <c r="S310" s="743">
        <f>VLOOKUP(C310,'Base de Datos'!$E$7:$AR$390,16,0)</f>
        <v>42186</v>
      </c>
      <c r="T310" s="678" t="str">
        <f>VLOOKUP(C310,'Base de Datos'!$E$7:$AR$390,40,0)</f>
        <v>Luisa Fernanda Gutiérrez</v>
      </c>
    </row>
    <row r="311" spans="2:21" hidden="1" x14ac:dyDescent="0.25">
      <c r="B311" s="533"/>
      <c r="C311" s="533"/>
      <c r="D311" s="533"/>
      <c r="E311" s="533"/>
      <c r="F311" s="533"/>
      <c r="G311" s="533"/>
      <c r="H311" s="533"/>
      <c r="I311" s="533"/>
      <c r="J311" s="533"/>
      <c r="K311" s="600"/>
      <c r="L311" s="533"/>
      <c r="M311" s="533"/>
      <c r="N311" s="533"/>
      <c r="O311" s="691"/>
      <c r="P311" s="737"/>
      <c r="Q311" s="533"/>
      <c r="R311" s="744"/>
      <c r="S311" s="744"/>
      <c r="T311" s="533"/>
    </row>
    <row r="312" spans="2:21" hidden="1" x14ac:dyDescent="0.25">
      <c r="B312" s="1182" t="s">
        <v>1651</v>
      </c>
      <c r="C312" s="1182"/>
      <c r="D312" s="1182"/>
      <c r="E312" s="539">
        <f>+E317+E323+E327+E347+E353+E359+E363+E368+E373+E313</f>
        <v>11295093028</v>
      </c>
      <c r="F312" s="539">
        <f>+F317+F323+F327+F347+F353+F359+F363+F368+F373+F313</f>
        <v>11781673147</v>
      </c>
      <c r="G312" s="540"/>
      <c r="H312" s="540"/>
      <c r="I312" s="540"/>
      <c r="J312" s="539">
        <f>+J317+J323+J327+J347+J353+J359+J363+J368+J373+J313</f>
        <v>10509143155</v>
      </c>
      <c r="K312" s="610">
        <f>+J312/F312</f>
        <v>0.89199072354812114</v>
      </c>
      <c r="L312" s="539">
        <f>+L317+L323+L327+L347+L353+L359+L363+L368+L373+L313</f>
        <v>177086548</v>
      </c>
      <c r="M312" s="653">
        <v>0</v>
      </c>
      <c r="N312" s="539">
        <f ca="1">+N317+N323+N327+N347+N353+N359+N363+N368+N373</f>
        <v>0</v>
      </c>
      <c r="O312" s="689"/>
      <c r="P312" s="543"/>
      <c r="Q312" s="569"/>
      <c r="R312" s="747" t="str">
        <f>IF(ISERROR(VLOOKUP(B312,'Base de Datos'!$C$7:$N$315,9,0))=TRUE," ",(VLOOKUP(B312,'Base de Datos'!$C$7:$N$315,9,0)))</f>
        <v xml:space="preserve"> </v>
      </c>
      <c r="S312" s="747" t="str">
        <f>IF(ISERROR(VLOOKUP(B312,'Base de Datos'!$C$7:$N$315,10,0))=TRUE," ",(VLOOKUP(B312,'Base de Datos'!$C$7:$N$315,10,0)))</f>
        <v xml:space="preserve"> </v>
      </c>
      <c r="T312" s="569"/>
    </row>
    <row r="313" spans="2:21" s="615" customFormat="1" hidden="1" x14ac:dyDescent="0.25">
      <c r="B313" s="1181" t="s">
        <v>2139</v>
      </c>
      <c r="C313" s="1181"/>
      <c r="D313" s="1181"/>
      <c r="E313" s="581">
        <f>SUM(E315:E317)</f>
        <v>7365169309</v>
      </c>
      <c r="F313" s="581">
        <f>SUM(F315:F317)</f>
        <v>7376274309</v>
      </c>
      <c r="G313" s="586"/>
      <c r="H313" s="586"/>
      <c r="I313" s="586"/>
      <c r="J313" s="581">
        <f>SUM(J315:J317)</f>
        <v>6263648676</v>
      </c>
      <c r="K313" s="603">
        <f>+J313/F313</f>
        <v>0.84916157040927098</v>
      </c>
      <c r="L313" s="581">
        <f>SUM(L315:L317)</f>
        <v>2165107</v>
      </c>
      <c r="M313" s="632">
        <v>0</v>
      </c>
      <c r="N313" s="581">
        <f ca="1">SUM(N315:N317)</f>
        <v>0</v>
      </c>
      <c r="O313" s="684"/>
      <c r="P313" s="591" t="str">
        <f>IF(ISERROR(VLOOKUP(B313,'Base de Datos'!$C$7:$N$315,8,0))=TRUE," ",(VLOOKUP(B313,'Base de Datos'!$C$7:$N$315,8,0)))</f>
        <v xml:space="preserve"> </v>
      </c>
      <c r="Q313" s="592"/>
      <c r="R313" s="745" t="str">
        <f>IF(ISERROR(VLOOKUP(B313,'Base de Datos'!$C$7:$N$315,9,0))=TRUE," ",(VLOOKUP(B313,'Base de Datos'!$C$7:$N$315,9,0)))</f>
        <v xml:space="preserve"> </v>
      </c>
      <c r="S313" s="745" t="str">
        <f>IF(ISERROR(VLOOKUP(B313,'Base de Datos'!$C$7:$N$315,10,0))=TRUE," ",(VLOOKUP(B313,'Base de Datos'!$C$7:$N$315,10,0)))</f>
        <v xml:space="preserve"> </v>
      </c>
      <c r="T313" s="592"/>
      <c r="U313" s="656"/>
    </row>
    <row r="314" spans="2:21" s="615" customFormat="1" ht="24" hidden="1" x14ac:dyDescent="0.25">
      <c r="B314" s="537" t="s">
        <v>2128</v>
      </c>
      <c r="C314" s="537" t="s">
        <v>912</v>
      </c>
      <c r="D314" s="537" t="s">
        <v>1822</v>
      </c>
      <c r="E314" s="545" t="s">
        <v>1845</v>
      </c>
      <c r="F314" s="534" t="s">
        <v>2130</v>
      </c>
      <c r="G314" s="534"/>
      <c r="H314" s="534"/>
      <c r="I314" s="534"/>
      <c r="J314" s="537" t="s">
        <v>2131</v>
      </c>
      <c r="K314" s="652"/>
      <c r="L314" s="537" t="s">
        <v>1940</v>
      </c>
      <c r="M314" s="537"/>
      <c r="N314" s="537" t="s">
        <v>2137</v>
      </c>
      <c r="O314" s="677" t="s">
        <v>2134</v>
      </c>
      <c r="P314" s="568" t="s">
        <v>1818</v>
      </c>
      <c r="Q314" s="537" t="s">
        <v>1848</v>
      </c>
      <c r="R314" s="746" t="s">
        <v>1849</v>
      </c>
      <c r="S314" s="746" t="s">
        <v>375</v>
      </c>
      <c r="T314" s="537" t="s">
        <v>1850</v>
      </c>
      <c r="U314" s="656"/>
    </row>
    <row r="315" spans="2:21" s="615" customFormat="1" hidden="1" x14ac:dyDescent="0.25">
      <c r="B315" s="533"/>
      <c r="C315" s="757" t="s">
        <v>92</v>
      </c>
      <c r="D315" s="533" t="str">
        <f>VLOOKUP(C315,'Base de Datos'!$E$7:$AR$390,2,0)</f>
        <v>FONDO DE VIGILANCIA Y SEGURIDAD DE BOGOTÁ</v>
      </c>
      <c r="E315" s="536">
        <f>VLOOKUP(C315,'Base de Datos'!$E$7:$AR$390,5,0)</f>
        <v>7329236109</v>
      </c>
      <c r="F315" s="536">
        <f>VLOOKUP(C315,'Base de Datos'!$E$7:$AR$390,17,0)</f>
        <v>7329236109</v>
      </c>
      <c r="G315" s="533"/>
      <c r="H315" s="533"/>
      <c r="I315" s="533"/>
      <c r="J315" s="536">
        <f>VLOOKUP(C315,'Base de Datos'!$E$7:$AR$390,18,0)</f>
        <v>6218260556</v>
      </c>
      <c r="K315" s="600"/>
      <c r="L315" s="754">
        <v>613019</v>
      </c>
      <c r="M315" s="533"/>
      <c r="N315" s="536" t="str">
        <f>IF(OR(O315=Hoja1!$D$17,'Presupuesto - PAA 2018'!O315=Hoja1!$D$18),'Presupuesto - PAA 2018'!L315," ")</f>
        <v xml:space="preserve"> </v>
      </c>
      <c r="O315" s="678">
        <f>VLOOKUP(C315,'Base de Datos'!$E$7:$AR$390,32,0)</f>
        <v>0</v>
      </c>
      <c r="P315" s="737"/>
      <c r="Q315" s="533"/>
      <c r="R315" s="743">
        <f>VLOOKUP(C315,'Base de Datos'!$E$7:$AR$390,9,0)</f>
        <v>39724</v>
      </c>
      <c r="S315" s="743">
        <f>VLOOKUP(C315,'Base de Datos'!$E$7:$AR$390,16,0)</f>
        <v>41673</v>
      </c>
      <c r="T315" s="678" t="str">
        <f>VLOOKUP(C315,'Base de Datos'!$E$7:$AR$390,40,0)</f>
        <v>Ricardo Rojas</v>
      </c>
      <c r="U315" s="656"/>
    </row>
    <row r="316" spans="2:21" s="615" customFormat="1" hidden="1" x14ac:dyDescent="0.25">
      <c r="B316" s="973"/>
      <c r="C316" s="973"/>
      <c r="D316" s="973"/>
      <c r="E316" s="666"/>
      <c r="F316" s="666"/>
      <c r="G316" s="534"/>
      <c r="H316" s="534"/>
      <c r="I316" s="534"/>
      <c r="J316" s="666"/>
      <c r="K316" s="612"/>
      <c r="L316" s="666"/>
      <c r="M316" s="755"/>
      <c r="N316" s="666"/>
      <c r="O316" s="690"/>
      <c r="P316" s="580"/>
      <c r="Q316" s="614"/>
      <c r="R316" s="756"/>
      <c r="S316" s="756"/>
      <c r="T316" s="614"/>
      <c r="U316" s="656"/>
    </row>
    <row r="317" spans="2:21" hidden="1" x14ac:dyDescent="0.25">
      <c r="B317" s="1181" t="s">
        <v>1652</v>
      </c>
      <c r="C317" s="1181"/>
      <c r="D317" s="1181"/>
      <c r="E317" s="581">
        <f>SUM(E319:E321)</f>
        <v>35933200</v>
      </c>
      <c r="F317" s="581">
        <f>SUM(F319:F321)</f>
        <v>47038200</v>
      </c>
      <c r="G317" s="586"/>
      <c r="H317" s="586"/>
      <c r="I317" s="586"/>
      <c r="J317" s="581">
        <f>SUM(J319:J321)</f>
        <v>45388120</v>
      </c>
      <c r="K317" s="603">
        <f>+J317/F317</f>
        <v>0.96492042637685971</v>
      </c>
      <c r="L317" s="581">
        <f>SUM(L319:L321)</f>
        <v>1552088</v>
      </c>
      <c r="M317" s="632">
        <v>0</v>
      </c>
      <c r="N317" s="581">
        <f ca="1">SUM(N319:N321)</f>
        <v>0</v>
      </c>
      <c r="O317" s="684"/>
      <c r="P317" s="591" t="str">
        <f>IF(ISERROR(VLOOKUP(B317,'Base de Datos'!$C$7:$N$315,8,0))=TRUE," ",(VLOOKUP(B317,'Base de Datos'!$C$7:$N$315,8,0)))</f>
        <v xml:space="preserve"> </v>
      </c>
      <c r="Q317" s="592"/>
      <c r="R317" s="745" t="str">
        <f>IF(ISERROR(VLOOKUP(B317,'Base de Datos'!$C$7:$N$315,9,0))=TRUE," ",(VLOOKUP(B317,'Base de Datos'!$C$7:$N$315,9,0)))</f>
        <v xml:space="preserve"> </v>
      </c>
      <c r="S317" s="745" t="str">
        <f>IF(ISERROR(VLOOKUP(B317,'Base de Datos'!$C$7:$N$315,10,0))=TRUE," ",(VLOOKUP(B317,'Base de Datos'!$C$7:$N$315,10,0)))</f>
        <v xml:space="preserve"> </v>
      </c>
      <c r="T317" s="592"/>
    </row>
    <row r="318" spans="2:21" ht="24" hidden="1" x14ac:dyDescent="0.25">
      <c r="B318" s="537" t="s">
        <v>2128</v>
      </c>
      <c r="C318" s="537" t="s">
        <v>912</v>
      </c>
      <c r="D318" s="537" t="s">
        <v>1822</v>
      </c>
      <c r="E318" s="545" t="s">
        <v>1845</v>
      </c>
      <c r="F318" s="534" t="s">
        <v>2130</v>
      </c>
      <c r="G318" s="534"/>
      <c r="H318" s="534"/>
      <c r="I318" s="534"/>
      <c r="J318" s="537" t="s">
        <v>2131</v>
      </c>
      <c r="K318" s="652"/>
      <c r="L318" s="537" t="s">
        <v>1940</v>
      </c>
      <c r="M318" s="537"/>
      <c r="N318" s="537" t="s">
        <v>2137</v>
      </c>
      <c r="O318" s="677" t="s">
        <v>2134</v>
      </c>
      <c r="P318" s="568" t="s">
        <v>1818</v>
      </c>
      <c r="Q318" s="537" t="s">
        <v>1848</v>
      </c>
      <c r="R318" s="746" t="s">
        <v>1849</v>
      </c>
      <c r="S318" s="746" t="s">
        <v>375</v>
      </c>
      <c r="T318" s="537" t="s">
        <v>1850</v>
      </c>
    </row>
    <row r="319" spans="2:21" hidden="1" x14ac:dyDescent="0.25">
      <c r="B319" s="533"/>
      <c r="C319" s="533" t="s">
        <v>11</v>
      </c>
      <c r="D319" s="533" t="str">
        <f>VLOOKUP(C319,'Base de Datos'!$E$7:$AR$390,2,0)</f>
        <v>DIRECTV COLOMBIA LTDA</v>
      </c>
      <c r="E319" s="536">
        <f>VLOOKUP(C319,'Base de Datos'!$E$7:$AR$390,5,0)</f>
        <v>1633200</v>
      </c>
      <c r="F319" s="536">
        <f>VLOOKUP(C319,'Base de Datos'!$E$7:$AR$390,17,0)</f>
        <v>1918200</v>
      </c>
      <c r="G319" s="533"/>
      <c r="H319" s="533"/>
      <c r="I319" s="533"/>
      <c r="J319" s="536">
        <f>VLOOKUP(C319,'Base de Datos'!$E$7:$AR$390,18,0)</f>
        <v>1755170</v>
      </c>
      <c r="K319" s="600"/>
      <c r="L319" s="754">
        <v>65038</v>
      </c>
      <c r="M319" s="533"/>
      <c r="N319" s="536" t="str">
        <f ca="1">IF(OR(O319=Hoja1!$D$17,'Presupuesto - PAA 2018'!O319=Hoja1!$D$18),'Presupuesto - PAA 2018'!L319," ")</f>
        <v xml:space="preserve"> </v>
      </c>
      <c r="O319" s="678" t="str">
        <f ca="1">VLOOKUP(C319,'Base de Datos'!$E$7:$AR$390,33,0)</f>
        <v>TERMINO</v>
      </c>
      <c r="P319" s="737"/>
      <c r="Q319" s="533"/>
      <c r="R319" s="743">
        <f>VLOOKUP(C319,'Base de Datos'!$E$7:$AR$390,9,0)</f>
        <v>41288</v>
      </c>
      <c r="S319" s="743">
        <f>VLOOKUP(C319,'Base de Datos'!$E$7:$AR$390,16,0)</f>
        <v>41711</v>
      </c>
      <c r="T319" s="678" t="str">
        <f>VLOOKUP(C319,'Base de Datos'!$E$7:$AR$390,40,0)</f>
        <v>Judith Hernández</v>
      </c>
    </row>
    <row r="320" spans="2:21" hidden="1" x14ac:dyDescent="0.25">
      <c r="B320" s="533"/>
      <c r="C320" s="533" t="s">
        <v>129</v>
      </c>
      <c r="D320" s="533" t="str">
        <f>VLOOKUP(C320,'Base de Datos'!$E$7:$AR$390,2,0)</f>
        <v>UNIÓN TEMPORAL INTERPOSTAL URBANEX</v>
      </c>
      <c r="E320" s="536">
        <f>VLOOKUP(C320,'Base de Datos'!$E$7:$AR$390,5,0)</f>
        <v>22300000</v>
      </c>
      <c r="F320" s="536">
        <f>VLOOKUP(C320,'Base de Datos'!$E$7:$AR$390,17,0)</f>
        <v>33120000</v>
      </c>
      <c r="G320" s="533"/>
      <c r="H320" s="533"/>
      <c r="I320" s="533"/>
      <c r="J320" s="536">
        <f>VLOOKUP(C320,'Base de Datos'!$E$7:$AR$390,18,0)</f>
        <v>32832950</v>
      </c>
      <c r="K320" s="600"/>
      <c r="L320" s="742">
        <f>VLOOKUP(C320,'Base de Datos'!$E$7:$AR$390,19,0)</f>
        <v>287050</v>
      </c>
      <c r="M320" s="533"/>
      <c r="N320" s="536" t="str">
        <f>IF(OR(O320=Hoja1!$D$17,'Presupuesto - PAA 2018'!O320=Hoja1!$D$18),'Presupuesto - PAA 2018'!L320," ")</f>
        <v xml:space="preserve"> </v>
      </c>
      <c r="O320" s="751" t="s">
        <v>2133</v>
      </c>
      <c r="P320" s="737" t="s">
        <v>2136</v>
      </c>
      <c r="Q320" s="533"/>
      <c r="R320" s="743">
        <f>VLOOKUP(C320,'Base de Datos'!$E$7:$AR$390,9,0)</f>
        <v>41410</v>
      </c>
      <c r="S320" s="743">
        <f>VLOOKUP(C320,'Base de Datos'!$E$7:$AR$390,16,0)</f>
        <v>41806</v>
      </c>
      <c r="T320" s="678" t="str">
        <f>VLOOKUP(C320,'Base de Datos'!$E$7:$AR$390,40,0)</f>
        <v>Judith Hernández</v>
      </c>
    </row>
    <row r="321" spans="2:21" hidden="1" x14ac:dyDescent="0.25">
      <c r="B321" s="533"/>
      <c r="C321" s="533" t="s">
        <v>300</v>
      </c>
      <c r="D321" s="533" t="str">
        <f>VLOOKUP(C321,'Base de Datos'!$E$7:$AR$390,2,0)</f>
        <v>MUDANZAS EL NOGAL SAS</v>
      </c>
      <c r="E321" s="536">
        <f>VLOOKUP(C321,'Base de Datos'!$E$7:$AR$390,5,0)</f>
        <v>12000000</v>
      </c>
      <c r="F321" s="536">
        <f>VLOOKUP(C321,'Base de Datos'!$E$7:$AR$390,17,0)</f>
        <v>12000000</v>
      </c>
      <c r="G321" s="533"/>
      <c r="H321" s="533"/>
      <c r="I321" s="533"/>
      <c r="J321" s="536">
        <f>VLOOKUP(C321,'Base de Datos'!$E$7:$AR$390,18,0)</f>
        <v>10800000</v>
      </c>
      <c r="K321" s="600"/>
      <c r="L321" s="742">
        <f>VLOOKUP(C321,'Base de Datos'!$E$7:$AR$390,19,0)</f>
        <v>1200000</v>
      </c>
      <c r="M321" s="533"/>
      <c r="N321" s="536" t="str">
        <f ca="1">IF(OR(O321=Hoja1!$D$17,'Presupuesto - PAA 2018'!O321=Hoja1!$D$18),'Presupuesto - PAA 2018'!L321," ")</f>
        <v xml:space="preserve"> </v>
      </c>
      <c r="O321" s="678" t="str">
        <f ca="1">VLOOKUP(C321,'Base de Datos'!$E$7:$AR$390,33,0)</f>
        <v>TERMINO</v>
      </c>
      <c r="P321" s="737"/>
      <c r="Q321" s="533"/>
      <c r="R321" s="743">
        <f>VLOOKUP(C321,'Base de Datos'!$E$7:$AR$390,9,0)</f>
        <v>41824</v>
      </c>
      <c r="S321" s="743">
        <f>VLOOKUP(C321,'Base de Datos'!$E$7:$AR$390,16,0)</f>
        <v>42312</v>
      </c>
      <c r="T321" s="678" t="str">
        <f>VLOOKUP(C321,'Base de Datos'!$E$7:$AR$390,40,0)</f>
        <v>Andrea Casas</v>
      </c>
    </row>
    <row r="322" spans="2:21" hidden="1" x14ac:dyDescent="0.25">
      <c r="B322" s="533"/>
      <c r="C322" s="533"/>
      <c r="D322" s="533"/>
      <c r="E322" s="533"/>
      <c r="F322" s="533"/>
      <c r="G322" s="533"/>
      <c r="H322" s="533"/>
      <c r="I322" s="533"/>
      <c r="J322" s="533"/>
      <c r="K322" s="600"/>
      <c r="L322" s="533"/>
      <c r="M322" s="533"/>
      <c r="N322" s="533"/>
      <c r="O322" s="691"/>
      <c r="P322" s="737"/>
      <c r="Q322" s="533"/>
      <c r="R322" s="744"/>
      <c r="S322" s="744"/>
      <c r="T322" s="533"/>
    </row>
    <row r="323" spans="2:21" hidden="1" x14ac:dyDescent="0.25">
      <c r="B323" s="1181" t="s">
        <v>1653</v>
      </c>
      <c r="C323" s="1181"/>
      <c r="D323" s="1181"/>
      <c r="E323" s="581">
        <f>+E325</f>
        <v>36581760</v>
      </c>
      <c r="F323" s="581">
        <f>+F325</f>
        <v>36581760</v>
      </c>
      <c r="G323" s="586"/>
      <c r="H323" s="586"/>
      <c r="I323" s="586"/>
      <c r="J323" s="581">
        <f>+J325</f>
        <v>34363318</v>
      </c>
      <c r="K323" s="603">
        <f>+J323/F323</f>
        <v>0.93935660832064938</v>
      </c>
      <c r="L323" s="581">
        <f>+L325</f>
        <v>2218442</v>
      </c>
      <c r="M323" s="632">
        <v>0</v>
      </c>
      <c r="N323" s="752">
        <f ca="1">SUM(N325:N326)</f>
        <v>0</v>
      </c>
      <c r="O323" s="684"/>
      <c r="P323" s="591" t="str">
        <f>IF(ISERROR(VLOOKUP(B323,'Base de Datos'!$C$7:$N$315,8,0))=TRUE," ",(VLOOKUP(B323,'Base de Datos'!$C$7:$N$315,8,0)))</f>
        <v xml:space="preserve"> </v>
      </c>
      <c r="Q323" s="592"/>
      <c r="R323" s="745" t="str">
        <f>IF(ISERROR(VLOOKUP(B323,'Base de Datos'!$C$7:$N$315,9,0))=TRUE," ",(VLOOKUP(B323,'Base de Datos'!$C$7:$N$315,9,0)))</f>
        <v xml:space="preserve"> </v>
      </c>
      <c r="S323" s="745" t="str">
        <f>IF(ISERROR(VLOOKUP(B323,'Base de Datos'!$C$7:$N$315,10,0))=TRUE," ",(VLOOKUP(B323,'Base de Datos'!$C$7:$N$315,10,0)))</f>
        <v xml:space="preserve"> </v>
      </c>
      <c r="T323" s="592"/>
      <c r="U323" s="535"/>
    </row>
    <row r="324" spans="2:21" ht="24" hidden="1" x14ac:dyDescent="0.25">
      <c r="B324" s="537" t="s">
        <v>2128</v>
      </c>
      <c r="C324" s="537" t="s">
        <v>912</v>
      </c>
      <c r="D324" s="537" t="s">
        <v>1822</v>
      </c>
      <c r="E324" s="545" t="s">
        <v>1845</v>
      </c>
      <c r="F324" s="534" t="s">
        <v>2130</v>
      </c>
      <c r="G324" s="534"/>
      <c r="H324" s="534"/>
      <c r="I324" s="534"/>
      <c r="J324" s="537" t="s">
        <v>2131</v>
      </c>
      <c r="K324" s="652"/>
      <c r="L324" s="537" t="s">
        <v>1940</v>
      </c>
      <c r="M324" s="537"/>
      <c r="N324" s="537" t="s">
        <v>2137</v>
      </c>
      <c r="O324" s="677" t="s">
        <v>2134</v>
      </c>
      <c r="P324" s="568" t="s">
        <v>1818</v>
      </c>
      <c r="Q324" s="537" t="s">
        <v>1848</v>
      </c>
      <c r="R324" s="746" t="s">
        <v>1849</v>
      </c>
      <c r="S324" s="746" t="s">
        <v>375</v>
      </c>
      <c r="T324" s="537" t="s">
        <v>1850</v>
      </c>
      <c r="U324" s="535"/>
    </row>
    <row r="325" spans="2:21" hidden="1" x14ac:dyDescent="0.25">
      <c r="B325" s="533"/>
      <c r="C325" s="533" t="s">
        <v>294</v>
      </c>
      <c r="D325" s="533" t="str">
        <f>VLOOKUP(C325,'Base de Datos'!$E$7:$AR$390,2,0)</f>
        <v>T Y G MINOLTA</v>
      </c>
      <c r="E325" s="536">
        <f>VLOOKUP(C325,'Base de Datos'!$E$7:$AR$390,5,0)</f>
        <v>36581760</v>
      </c>
      <c r="F325" s="536">
        <f>VLOOKUP(C325,'Base de Datos'!$E$7:$AR$390,17,0)</f>
        <v>36581760</v>
      </c>
      <c r="G325" s="533"/>
      <c r="H325" s="533"/>
      <c r="I325" s="533"/>
      <c r="J325" s="536">
        <f>VLOOKUP(C325,'Base de Datos'!$E$7:$AR$390,18,0)</f>
        <v>34363318</v>
      </c>
      <c r="K325" s="600"/>
      <c r="L325" s="742">
        <f>VLOOKUP(C325,'Base de Datos'!$E$7:$AR$390,19,0)</f>
        <v>2218442</v>
      </c>
      <c r="M325" s="533"/>
      <c r="N325" s="536" t="str">
        <f ca="1">IF(OR(O325=Hoja1!$D$17,'Presupuesto - PAA 2018'!O325=Hoja1!$D$18),'Presupuesto - PAA 2018'!L325," ")</f>
        <v xml:space="preserve"> </v>
      </c>
      <c r="O325" s="678" t="str">
        <f ca="1">VLOOKUP(C325,'Base de Datos'!$E$7:$AR$390,33,0)</f>
        <v>TERMINO</v>
      </c>
      <c r="P325" s="737"/>
      <c r="Q325" s="533"/>
      <c r="R325" s="743">
        <f>VLOOKUP(C325,'Base de Datos'!$E$7:$AR$390,9,0)</f>
        <v>41821</v>
      </c>
      <c r="S325" s="743">
        <f>VLOOKUP(C325,'Base de Datos'!$E$7:$AR$390,16,0)</f>
        <v>42186</v>
      </c>
      <c r="T325" s="678" t="str">
        <f>VLOOKUP(C325,'Base de Datos'!$E$7:$AR$390,40,0)</f>
        <v>Andrea Casas</v>
      </c>
      <c r="U325" s="535"/>
    </row>
    <row r="326" spans="2:21" hidden="1" x14ac:dyDescent="0.25">
      <c r="B326" s="533"/>
      <c r="C326" s="533"/>
      <c r="D326" s="533"/>
      <c r="E326" s="533"/>
      <c r="F326" s="533"/>
      <c r="G326" s="533"/>
      <c r="H326" s="533"/>
      <c r="I326" s="533"/>
      <c r="J326" s="533"/>
      <c r="K326" s="600"/>
      <c r="L326" s="533"/>
      <c r="M326" s="533"/>
      <c r="N326" s="533"/>
      <c r="O326" s="691"/>
      <c r="P326" s="737"/>
      <c r="Q326" s="533"/>
      <c r="R326" s="744"/>
      <c r="S326" s="744"/>
      <c r="T326" s="533"/>
      <c r="U326" s="535"/>
    </row>
    <row r="327" spans="2:21" hidden="1" x14ac:dyDescent="0.25">
      <c r="B327" s="1182" t="s">
        <v>1654</v>
      </c>
      <c r="C327" s="1182"/>
      <c r="D327" s="1182"/>
      <c r="E327" s="539">
        <f>+E328</f>
        <v>1888405314</v>
      </c>
      <c r="F327" s="631">
        <f>+F328</f>
        <v>2089052345</v>
      </c>
      <c r="G327" s="540"/>
      <c r="H327" s="540"/>
      <c r="I327" s="540"/>
      <c r="J327" s="631">
        <f>+J328</f>
        <v>1971374657</v>
      </c>
      <c r="K327" s="610"/>
      <c r="L327" s="631">
        <f>+L328</f>
        <v>130481292</v>
      </c>
      <c r="M327" s="543"/>
      <c r="N327" s="631">
        <f ca="1">+N328</f>
        <v>0</v>
      </c>
      <c r="O327" s="689"/>
      <c r="P327" s="575" t="str">
        <f>IF(ISERROR(VLOOKUP(B327,'Base de Datos'!$C$7:$N$315,8,0))=TRUE," ",(VLOOKUP(B327,'Base de Datos'!$C$7:$N$315,8,0)))</f>
        <v xml:space="preserve"> </v>
      </c>
      <c r="Q327" s="569"/>
      <c r="R327" s="747" t="str">
        <f>IF(ISERROR(VLOOKUP(B327,'Base de Datos'!$C$7:$N$315,9,0))=TRUE," ",(VLOOKUP(B327,'Base de Datos'!$C$7:$N$315,9,0)))</f>
        <v xml:space="preserve"> </v>
      </c>
      <c r="S327" s="747" t="str">
        <f>IF(ISERROR(VLOOKUP(B327,'Base de Datos'!$C$7:$N$315,10,0))=TRUE," ",(VLOOKUP(B327,'Base de Datos'!$C$7:$N$315,10,0)))</f>
        <v xml:space="preserve"> </v>
      </c>
      <c r="T327" s="569"/>
      <c r="U327" s="535"/>
    </row>
    <row r="328" spans="2:21" hidden="1" x14ac:dyDescent="0.25">
      <c r="B328" s="1181" t="s">
        <v>1655</v>
      </c>
      <c r="C328" s="1181"/>
      <c r="D328" s="1181"/>
      <c r="E328" s="581">
        <f>SUM(E330:E345)</f>
        <v>1888405314</v>
      </c>
      <c r="F328" s="581">
        <f>SUM(F330:F345)</f>
        <v>2089052345</v>
      </c>
      <c r="G328" s="586"/>
      <c r="H328" s="586"/>
      <c r="I328" s="586"/>
      <c r="J328" s="581">
        <f>SUM(J330:J345)</f>
        <v>1971374657</v>
      </c>
      <c r="K328" s="603">
        <f>+J328/F328</f>
        <v>0.94366934448452033</v>
      </c>
      <c r="L328" s="581">
        <f>SUM(L330:L345)</f>
        <v>130481292</v>
      </c>
      <c r="M328" s="581"/>
      <c r="N328" s="581">
        <f ca="1">SUM(N330:N345)</f>
        <v>0</v>
      </c>
      <c r="O328" s="684"/>
      <c r="P328" s="591" t="str">
        <f>IF(ISERROR(VLOOKUP(B328,'Base de Datos'!$C$7:$N$315,8,0))=TRUE," ",(VLOOKUP(B328,'Base de Datos'!$C$7:$N$315,8,0)))</f>
        <v xml:space="preserve"> </v>
      </c>
      <c r="Q328" s="592"/>
      <c r="R328" s="745" t="str">
        <f>IF(ISERROR(VLOOKUP(B328,'Base de Datos'!$C$7:$N$315,9,0))=TRUE," ",(VLOOKUP(B328,'Base de Datos'!$C$7:$N$315,9,0)))</f>
        <v xml:space="preserve"> </v>
      </c>
      <c r="S328" s="745" t="str">
        <f>IF(ISERROR(VLOOKUP(B328,'Base de Datos'!$C$7:$N$315,10,0))=TRUE," ",(VLOOKUP(B328,'Base de Datos'!$C$7:$N$315,10,0)))</f>
        <v xml:space="preserve"> </v>
      </c>
      <c r="T328" s="592"/>
      <c r="U328" s="535"/>
    </row>
    <row r="329" spans="2:21" ht="24" hidden="1" x14ac:dyDescent="0.25">
      <c r="B329" s="537" t="s">
        <v>2128</v>
      </c>
      <c r="C329" s="537" t="s">
        <v>912</v>
      </c>
      <c r="D329" s="537" t="s">
        <v>1822</v>
      </c>
      <c r="E329" s="545" t="s">
        <v>1845</v>
      </c>
      <c r="F329" s="534" t="s">
        <v>2130</v>
      </c>
      <c r="G329" s="534"/>
      <c r="H329" s="534"/>
      <c r="I329" s="534"/>
      <c r="J329" s="537" t="s">
        <v>2131</v>
      </c>
      <c r="K329" s="652"/>
      <c r="L329" s="537" t="s">
        <v>1940</v>
      </c>
      <c r="M329" s="537"/>
      <c r="N329" s="537" t="s">
        <v>2137</v>
      </c>
      <c r="O329" s="677" t="s">
        <v>2134</v>
      </c>
      <c r="P329" s="568" t="s">
        <v>1818</v>
      </c>
      <c r="Q329" s="537" t="s">
        <v>1848</v>
      </c>
      <c r="R329" s="746" t="s">
        <v>1849</v>
      </c>
      <c r="S329" s="746" t="s">
        <v>375</v>
      </c>
      <c r="T329" s="537" t="s">
        <v>1850</v>
      </c>
      <c r="U329" s="535"/>
    </row>
    <row r="330" spans="2:21" hidden="1" x14ac:dyDescent="0.25">
      <c r="B330" s="533"/>
      <c r="C330" s="533" t="s">
        <v>302</v>
      </c>
      <c r="D330" s="533" t="str">
        <f>VLOOKUP(C330,'Base de Datos'!$E$7:$AR$390,2,0)</f>
        <v>DIVIEXPORT EU</v>
      </c>
      <c r="E330" s="536">
        <f>VLOOKUP(C330,'Base de Datos'!$E$7:$AR$390,5,0)</f>
        <v>4672000</v>
      </c>
      <c r="F330" s="536">
        <f>VLOOKUP(C330,'Base de Datos'!$E$7:$AR$390,17,0)</f>
        <v>4672000</v>
      </c>
      <c r="G330" s="533"/>
      <c r="H330" s="533"/>
      <c r="I330" s="533"/>
      <c r="J330" s="536">
        <f>VLOOKUP(C330,'Base de Datos'!$E$7:$AR$390,18,0)</f>
        <v>1806200</v>
      </c>
      <c r="K330" s="600"/>
      <c r="L330" s="742">
        <f>VLOOKUP(C330,'Base de Datos'!$E$7:$AR$390,19,0)</f>
        <v>2865800</v>
      </c>
      <c r="M330" s="533"/>
      <c r="N330" s="536" t="str">
        <f>IF(OR(O330=Hoja1!$D$17,'Presupuesto - PAA 2018'!O330=Hoja1!$D$18),'Presupuesto - PAA 2018'!L330," ")</f>
        <v xml:space="preserve"> </v>
      </c>
      <c r="O330" s="751" t="s">
        <v>2133</v>
      </c>
      <c r="P330" s="737" t="s">
        <v>2136</v>
      </c>
      <c r="Q330" s="533"/>
      <c r="R330" s="743">
        <f>VLOOKUP(C330,'Base de Datos'!$E$7:$AR$390,9,0)</f>
        <v>41835</v>
      </c>
      <c r="S330" s="743">
        <f>VLOOKUP(C330,'Base de Datos'!$E$7:$AR$390,16,0)</f>
        <v>42050</v>
      </c>
      <c r="T330" s="678" t="str">
        <f>VLOOKUP(C330,'Base de Datos'!$E$7:$AR$390,40,0)</f>
        <v>Lizeth González</v>
      </c>
      <c r="U330" s="535"/>
    </row>
    <row r="331" spans="2:21" hidden="1" x14ac:dyDescent="0.25">
      <c r="B331" s="533"/>
      <c r="C331" s="533" t="s">
        <v>271</v>
      </c>
      <c r="D331" s="533" t="str">
        <f>VLOOKUP(C331,'Base de Datos'!$E$7:$AR$390,2,0)</f>
        <v>MODULARES OFIMA LTDA</v>
      </c>
      <c r="E331" s="536">
        <f>VLOOKUP(C331,'Base de Datos'!$E$7:$AR$390,5,0)</f>
        <v>28000000</v>
      </c>
      <c r="F331" s="536">
        <f>VLOOKUP(C331,'Base de Datos'!$E$7:$AR$390,17,0)</f>
        <v>28000000</v>
      </c>
      <c r="G331" s="533"/>
      <c r="H331" s="533"/>
      <c r="I331" s="533"/>
      <c r="J331" s="536">
        <f>VLOOKUP(C331,'Base de Datos'!$E$7:$AR$390,18,0)</f>
        <v>10978240</v>
      </c>
      <c r="K331" s="600"/>
      <c r="L331" s="742">
        <f>VLOOKUP(C331,'Base de Datos'!$E$7:$AR$390,19,0)</f>
        <v>17021760</v>
      </c>
      <c r="M331" s="533"/>
      <c r="N331" s="536" t="str">
        <f ca="1">IF(OR(O331=Hoja1!$D$17,'Presupuesto - PAA 2018'!O331=Hoja1!$D$18),'Presupuesto - PAA 2018'!L331," ")</f>
        <v xml:space="preserve"> </v>
      </c>
      <c r="O331" s="751" t="str">
        <f ca="1">VLOOKUP(C331,'Base de Datos'!$E$7:$AR$390,33,0)</f>
        <v>TERMINO</v>
      </c>
      <c r="P331" s="737" t="s">
        <v>2136</v>
      </c>
      <c r="Q331" s="533"/>
      <c r="R331" s="743">
        <f>VLOOKUP(C331,'Base de Datos'!$E$7:$AR$390,9,0)</f>
        <v>41738</v>
      </c>
      <c r="S331" s="743">
        <f>VLOOKUP(C331,'Base de Datos'!$E$7:$AR$390,16,0)</f>
        <v>41951</v>
      </c>
      <c r="T331" s="678" t="str">
        <f>VLOOKUP(C331,'Base de Datos'!$E$7:$AR$390,40,0)</f>
        <v>Lizeth González</v>
      </c>
      <c r="U331" s="535"/>
    </row>
    <row r="332" spans="2:21" hidden="1" x14ac:dyDescent="0.25">
      <c r="B332" s="533"/>
      <c r="C332" s="533" t="s">
        <v>279</v>
      </c>
      <c r="D332" s="533" t="str">
        <f>VLOOKUP(C332,'Base de Datos'!$E$7:$AR$390,2,0)</f>
        <v>HERNANDO  BULLA ORJUELA</v>
      </c>
      <c r="E332" s="536">
        <f>VLOOKUP(C332,'Base de Datos'!$E$7:$AR$390,5,0)</f>
        <v>20872000</v>
      </c>
      <c r="F332" s="536">
        <f>VLOOKUP(C332,'Base de Datos'!$E$7:$AR$390,17,0)</f>
        <v>31218000</v>
      </c>
      <c r="G332" s="533"/>
      <c r="H332" s="533"/>
      <c r="I332" s="533"/>
      <c r="J332" s="536">
        <f>VLOOKUP(C332,'Base de Datos'!$E$7:$AR$390,18,0)</f>
        <v>29571427</v>
      </c>
      <c r="K332" s="600"/>
      <c r="L332" s="742">
        <f>VLOOKUP(C332,'Base de Datos'!$E$7:$AR$390,19,0)</f>
        <v>1646573</v>
      </c>
      <c r="M332" s="533"/>
      <c r="N332" s="536" t="str">
        <f ca="1">IF(OR(O332=Hoja1!$D$17,'Presupuesto - PAA 2018'!O332=Hoja1!$D$18),'Presupuesto - PAA 2018'!L332," ")</f>
        <v xml:space="preserve"> </v>
      </c>
      <c r="O332" s="751" t="str">
        <f ca="1">VLOOKUP(C332,'Base de Datos'!$E$7:$AR$390,33,0)</f>
        <v>TERMINO</v>
      </c>
      <c r="P332" s="737" t="s">
        <v>2136</v>
      </c>
      <c r="Q332" s="533"/>
      <c r="R332" s="743">
        <f>VLOOKUP(C332,'Base de Datos'!$E$7:$AR$390,9,0)</f>
        <v>41757</v>
      </c>
      <c r="S332" s="743">
        <f>VLOOKUP(C332,'Base de Datos'!$E$7:$AR$390,16,0)</f>
        <v>42091</v>
      </c>
      <c r="T332" s="678" t="str">
        <f>VLOOKUP(C332,'Base de Datos'!$E$7:$AR$390,40,0)</f>
        <v>Nayive Carrasco</v>
      </c>
      <c r="U332" s="535"/>
    </row>
    <row r="333" spans="2:21" hidden="1" x14ac:dyDescent="0.25">
      <c r="B333" s="533"/>
      <c r="C333" s="533" t="s">
        <v>268</v>
      </c>
      <c r="D333" s="533" t="str">
        <f>VLOOKUP(C333,'Base de Datos'!$E$7:$AR$390,2,0)</f>
        <v>MITSUBISHIS ELECTRIC DE COLOMBIA LTDA</v>
      </c>
      <c r="E333" s="536">
        <f>VLOOKUP(C333,'Base de Datos'!$E$7:$AR$390,5,0)</f>
        <v>16555000</v>
      </c>
      <c r="F333" s="536">
        <f>VLOOKUP(C333,'Base de Datos'!$E$7:$AR$390,17,0)</f>
        <v>16555000</v>
      </c>
      <c r="G333" s="533"/>
      <c r="H333" s="533"/>
      <c r="I333" s="533"/>
      <c r="J333" s="536">
        <f>VLOOKUP(C333,'Base de Datos'!$E$7:$AR$390,18,0)</f>
        <v>15762669</v>
      </c>
      <c r="K333" s="600"/>
      <c r="L333" s="742">
        <f>VLOOKUP(C333,'Base de Datos'!$E$7:$AR$390,19,0)</f>
        <v>792331</v>
      </c>
      <c r="M333" s="533"/>
      <c r="N333" s="536" t="str">
        <f ca="1">IF(OR(O333=Hoja1!$D$17,'Presupuesto - PAA 2018'!O333=Hoja1!$D$18),'Presupuesto - PAA 2018'!L333," ")</f>
        <v xml:space="preserve"> </v>
      </c>
      <c r="O333" s="678" t="str">
        <f ca="1">VLOOKUP(C333,'Base de Datos'!$E$7:$AR$390,33,0)</f>
        <v>TERMINO</v>
      </c>
      <c r="P333" s="737"/>
      <c r="Q333" s="533"/>
      <c r="R333" s="743">
        <f>VLOOKUP(C333,'Base de Datos'!$E$7:$AR$390,9,0)</f>
        <v>41732</v>
      </c>
      <c r="S333" s="743">
        <f>VLOOKUP(C333,'Base de Datos'!$E$7:$AR$390,16,0)</f>
        <v>42096</v>
      </c>
      <c r="T333" s="678" t="str">
        <f>VLOOKUP(C333,'Base de Datos'!$E$7:$AR$390,40,0)</f>
        <v>Edward Moreno</v>
      </c>
      <c r="U333" s="535"/>
    </row>
    <row r="334" spans="2:21" hidden="1" x14ac:dyDescent="0.25">
      <c r="B334" s="533"/>
      <c r="C334" s="533" t="s">
        <v>1491</v>
      </c>
      <c r="D334" s="533" t="str">
        <f>VLOOKUP(C334,'Base de Datos'!$E$7:$AR$390,2,0)</f>
        <v>VIGILANCIA ACOSTA LIMITADA</v>
      </c>
      <c r="E334" s="536">
        <f>VLOOKUP(C334,'Base de Datos'!$E$7:$AR$390,5,0)</f>
        <v>300000000</v>
      </c>
      <c r="F334" s="536">
        <f>VLOOKUP(C334,'Base de Datos'!$E$7:$AR$390,17,0)</f>
        <v>300000000</v>
      </c>
      <c r="G334" s="533"/>
      <c r="H334" s="533"/>
      <c r="I334" s="533"/>
      <c r="J334" s="536">
        <f>VLOOKUP(C334,'Base de Datos'!$E$7:$AR$390,18,0)</f>
        <v>238626484</v>
      </c>
      <c r="K334" s="600"/>
      <c r="L334" s="742">
        <f>VLOOKUP(C334,'Base de Datos'!$E$7:$AR$390,19,0)</f>
        <v>61373516</v>
      </c>
      <c r="M334" s="533"/>
      <c r="N334" s="536" t="str">
        <f ca="1">IF(OR(O334=Hoja1!$D$17,'Presupuesto - PAA 2018'!O334=Hoja1!$D$18),'Presupuesto - PAA 2018'!L334," ")</f>
        <v xml:space="preserve"> </v>
      </c>
      <c r="O334" s="678" t="str">
        <f ca="1">VLOOKUP(C334,'Base de Datos'!$E$7:$AR$390,33,0)</f>
        <v>TERMINO</v>
      </c>
      <c r="P334" s="737"/>
      <c r="Q334" s="533"/>
      <c r="R334" s="743">
        <f>VLOOKUP(C334,'Base de Datos'!$E$7:$AR$390,9,0)</f>
        <v>41989</v>
      </c>
      <c r="S334" s="743">
        <f>VLOOKUP(C334,'Base de Datos'!$E$7:$AR$390,16,0)</f>
        <v>42140</v>
      </c>
      <c r="T334" s="678" t="str">
        <f>VLOOKUP(C334,'Base de Datos'!$E$7:$AR$390,40,0)</f>
        <v>Ricardo Rojas</v>
      </c>
      <c r="U334" s="535"/>
    </row>
    <row r="335" spans="2:21" hidden="1" x14ac:dyDescent="0.25">
      <c r="B335" s="533"/>
      <c r="C335" s="533" t="s">
        <v>292</v>
      </c>
      <c r="D335" s="533" t="str">
        <f>VLOOKUP(C335,'Base de Datos'!$E$7:$AR$390,2,0)</f>
        <v>ELKIN MAURICIO DIMAS MONTAYA</v>
      </c>
      <c r="E335" s="536">
        <f>VLOOKUP(C335,'Base de Datos'!$E$7:$AR$390,5,0)</f>
        <v>16390000</v>
      </c>
      <c r="F335" s="536">
        <f>VLOOKUP(C335,'Base de Datos'!$E$7:$AR$390,17,0)</f>
        <v>18714400</v>
      </c>
      <c r="G335" s="533"/>
      <c r="H335" s="533"/>
      <c r="I335" s="533"/>
      <c r="J335" s="536">
        <f>VLOOKUP(C335,'Base de Datos'!$E$7:$AR$390,18,0)</f>
        <v>18714400</v>
      </c>
      <c r="K335" s="600"/>
      <c r="L335" s="742">
        <f>VLOOKUP(C335,'Base de Datos'!$E$7:$AR$390,19,0)</f>
        <v>0</v>
      </c>
      <c r="M335" s="533"/>
      <c r="N335" s="536" t="str">
        <f ca="1">IF(OR(O335=Hoja1!$D$17,'Presupuesto - PAA 2018'!O335=Hoja1!$D$18),'Presupuesto - PAA 2018'!L335," ")</f>
        <v xml:space="preserve"> </v>
      </c>
      <c r="O335" s="678" t="str">
        <f ca="1">VLOOKUP(C335,'Base de Datos'!$E$7:$AR$390,33,0)</f>
        <v>TERMINO</v>
      </c>
      <c r="P335" s="737"/>
      <c r="Q335" s="533"/>
      <c r="R335" s="743">
        <f>VLOOKUP(C335,'Base de Datos'!$E$7:$AR$390,9,0)</f>
        <v>41799</v>
      </c>
      <c r="S335" s="743">
        <f>VLOOKUP(C335,'Base de Datos'!$E$7:$AR$390,16,0)</f>
        <v>42247</v>
      </c>
      <c r="T335" s="678" t="str">
        <f>VLOOKUP(C335,'Base de Datos'!$E$7:$AR$390,40,0)</f>
        <v>Andrea Casas</v>
      </c>
      <c r="U335" s="535"/>
    </row>
    <row r="336" spans="2:21" hidden="1" x14ac:dyDescent="0.25">
      <c r="B336" s="533"/>
      <c r="C336" s="533" t="s">
        <v>401</v>
      </c>
      <c r="D336" s="533" t="str">
        <f>VLOOKUP(C336,'Base de Datos'!$E$7:$AR$390,2,0)</f>
        <v>H &amp; D OFIMAGEN</v>
      </c>
      <c r="E336" s="536">
        <f>VLOOKUP(C336,'Base de Datos'!$E$7:$AR$390,5,0)</f>
        <v>249991314</v>
      </c>
      <c r="F336" s="536">
        <f>VLOOKUP(C336,'Base de Datos'!$E$7:$AR$390,17,0)</f>
        <v>249991314</v>
      </c>
      <c r="G336" s="533"/>
      <c r="H336" s="533"/>
      <c r="I336" s="533"/>
      <c r="J336" s="536">
        <f>VLOOKUP(C336,'Base de Datos'!$E$7:$AR$390,18,0)</f>
        <v>248275406</v>
      </c>
      <c r="K336" s="600"/>
      <c r="L336" s="742">
        <f>VLOOKUP(C336,'Base de Datos'!$E$7:$AR$390,19,0)</f>
        <v>1715908</v>
      </c>
      <c r="M336" s="533"/>
      <c r="N336" s="536" t="str">
        <f ca="1">IF(OR(O336=Hoja1!$D$17,'Presupuesto - PAA 2018'!O336=Hoja1!$D$18),'Presupuesto - PAA 2018'!L336," ")</f>
        <v xml:space="preserve"> </v>
      </c>
      <c r="O336" s="678" t="str">
        <f ca="1">VLOOKUP(C336,'Base de Datos'!$E$7:$AR$390,33,0)</f>
        <v>TERMINO</v>
      </c>
      <c r="P336" s="737"/>
      <c r="Q336" s="533"/>
      <c r="R336" s="743">
        <f>VLOOKUP(C336,'Base de Datos'!$E$7:$AR$390,9,0)</f>
        <v>41837</v>
      </c>
      <c r="S336" s="743">
        <f>VLOOKUP(C336,'Base de Datos'!$E$7:$AR$390,16,0)</f>
        <v>42216</v>
      </c>
      <c r="T336" s="678" t="str">
        <f>VLOOKUP(C336,'Base de Datos'!$E$7:$AR$390,40,0)</f>
        <v>Andrea Casas</v>
      </c>
      <c r="U336" s="535"/>
    </row>
    <row r="337" spans="2:21" hidden="1" x14ac:dyDescent="0.25">
      <c r="B337" s="533"/>
      <c r="C337" s="533" t="s">
        <v>146</v>
      </c>
      <c r="D337" s="533" t="str">
        <f>VLOOKUP(C337,'Base de Datos'!$E$7:$AR$390,2,0)</f>
        <v xml:space="preserve">UNIÓN TEMPORAL EMINSER-SOLOASEO </v>
      </c>
      <c r="E337" s="536">
        <f>VLOOKUP(C337,'Base de Datos'!$E$7:$AR$390,5,0)</f>
        <v>301200000</v>
      </c>
      <c r="F337" s="536">
        <f>VLOOKUP(C337,'Base de Datos'!$E$7:$AR$390,17,0)</f>
        <v>321573359</v>
      </c>
      <c r="G337" s="533"/>
      <c r="H337" s="533"/>
      <c r="I337" s="533"/>
      <c r="J337" s="536">
        <f>VLOOKUP(C337,'Base de Datos'!$E$7:$AR$390,18,0)</f>
        <v>317232018</v>
      </c>
      <c r="K337" s="600"/>
      <c r="L337" s="754">
        <v>1021877</v>
      </c>
      <c r="M337" s="533"/>
      <c r="N337" s="536" t="str">
        <f ca="1">IF(OR(O337=Hoja1!$D$17,'Presupuesto - PAA 2018'!O337=Hoja1!$D$18),'Presupuesto - PAA 2018'!L337," ")</f>
        <v xml:space="preserve"> </v>
      </c>
      <c r="O337" s="751" t="str">
        <f ca="1">VLOOKUP(C337,'Base de Datos'!$E$7:$AR$390,33,0)</f>
        <v>TERMINO</v>
      </c>
      <c r="P337" s="737" t="s">
        <v>2136</v>
      </c>
      <c r="Q337" s="533"/>
      <c r="R337" s="743">
        <f>VLOOKUP(C337,'Base de Datos'!$E$7:$AR$390,9,0)</f>
        <v>41446</v>
      </c>
      <c r="S337" s="743">
        <f>VLOOKUP(C337,'Base de Datos'!$E$7:$AR$390,16,0)</f>
        <v>41810</v>
      </c>
      <c r="T337" s="678" t="str">
        <f>VLOOKUP(C337,'Base de Datos'!$E$7:$AR$390,40,0)</f>
        <v>Judith Hernández</v>
      </c>
      <c r="U337" s="535"/>
    </row>
    <row r="338" spans="2:21" ht="18.75" hidden="1" customHeight="1" x14ac:dyDescent="0.25">
      <c r="B338" s="533"/>
      <c r="C338" s="533" t="s">
        <v>400</v>
      </c>
      <c r="D338" s="533" t="str">
        <f>VLOOKUP(C338,'Base de Datos'!$E$7:$AR$390,2,0)</f>
        <v>SODINLEC LTDA</v>
      </c>
      <c r="E338" s="536">
        <f>VLOOKUP(C338,'Base de Datos'!$E$7:$AR$390,5,0)</f>
        <v>10564000</v>
      </c>
      <c r="F338" s="536">
        <f>VLOOKUP(C338,'Base de Datos'!$E$7:$AR$390,17,0)</f>
        <v>10564000</v>
      </c>
      <c r="G338" s="533"/>
      <c r="H338" s="533"/>
      <c r="I338" s="533"/>
      <c r="J338" s="536">
        <f>VLOOKUP(C338,'Base de Datos'!$E$7:$AR$390,18,0)</f>
        <v>10055157</v>
      </c>
      <c r="K338" s="600"/>
      <c r="L338" s="742">
        <f>VLOOKUP(C338,'Base de Datos'!$E$7:$AR$390,19,0)</f>
        <v>508843</v>
      </c>
      <c r="M338" s="533"/>
      <c r="N338" s="536" t="str">
        <f ca="1">IF(OR(O338=Hoja1!$D$17,'Presupuesto - PAA 2018'!O338=Hoja1!$D$18),'Presupuesto - PAA 2018'!L338," ")</f>
        <v xml:space="preserve"> </v>
      </c>
      <c r="O338" s="678" t="str">
        <f ca="1">VLOOKUP(C338,'Base de Datos'!$E$7:$AR$390,33,0)</f>
        <v>TERMINO</v>
      </c>
      <c r="P338" s="737"/>
      <c r="Q338" s="533"/>
      <c r="R338" s="743">
        <f>VLOOKUP(C338,'Base de Datos'!$E$7:$AR$390,9,0)</f>
        <v>41793</v>
      </c>
      <c r="S338" s="743">
        <f>VLOOKUP(C338,'Base de Datos'!$E$7:$AR$390,16,0)</f>
        <v>42096</v>
      </c>
      <c r="T338" s="678" t="str">
        <f>VLOOKUP(C338,'Base de Datos'!$E$7:$AR$390,40,0)</f>
        <v>Luisa Fernanda Gutiérrez</v>
      </c>
      <c r="U338" s="535"/>
    </row>
    <row r="339" spans="2:21" ht="24" hidden="1" x14ac:dyDescent="0.25">
      <c r="B339" s="533"/>
      <c r="C339" s="533" t="s">
        <v>213</v>
      </c>
      <c r="D339" s="533" t="str">
        <f>VLOOKUP(C339,'Base de Datos'!$E$7:$AR$390,2,0)</f>
        <v>UNIÓN TEMPORAL VIGILANCIA ACOSTA LTDA  - RUMBO ASOCIADOS</v>
      </c>
      <c r="E339" s="536">
        <f>VLOOKUP(C339,'Base de Datos'!$E$7:$AR$390,5,0)</f>
        <v>533636000</v>
      </c>
      <c r="F339" s="536">
        <f>VLOOKUP(C339,'Base de Datos'!$E$7:$AR$390,17,0)</f>
        <v>692839272</v>
      </c>
      <c r="G339" s="533"/>
      <c r="H339" s="533"/>
      <c r="I339" s="533"/>
      <c r="J339" s="536">
        <f>VLOOKUP(C339,'Base de Datos'!$E$7:$AR$390,18,0)</f>
        <v>678164443</v>
      </c>
      <c r="K339" s="600"/>
      <c r="L339" s="742">
        <f>VLOOKUP(C339,'Base de Datos'!$E$7:$AR$390,19,0)</f>
        <v>14674829</v>
      </c>
      <c r="M339" s="533"/>
      <c r="N339" s="536" t="str">
        <f ca="1">IF(OR(O339=Hoja1!$D$17,'Presupuesto - PAA 2018'!O339=Hoja1!$D$18),'Presupuesto - PAA 2018'!L339," ")</f>
        <v xml:space="preserve"> </v>
      </c>
      <c r="O339" s="751" t="str">
        <f ca="1">VLOOKUP(C339,'Base de Datos'!$E$7:$AR$390,33,0)</f>
        <v>TERMINO</v>
      </c>
      <c r="P339" s="737" t="s">
        <v>2136</v>
      </c>
      <c r="Q339" s="533"/>
      <c r="R339" s="743"/>
      <c r="S339" s="743"/>
      <c r="T339" s="678" t="str">
        <f>VLOOKUP(C339,'Base de Datos'!$E$7:$AR$390,40,0)</f>
        <v>Nayive Carrasco</v>
      </c>
      <c r="U339" s="535"/>
    </row>
    <row r="340" spans="2:21" ht="24" hidden="1" x14ac:dyDescent="0.25">
      <c r="B340" s="533"/>
      <c r="C340" s="533" t="s">
        <v>287</v>
      </c>
      <c r="D340" s="533" t="str">
        <f>VLOOKUP(C340,'Base de Datos'!$E$7:$AR$390,2,0)</f>
        <v xml:space="preserve">UNIÓN TEMPORAL EMINSER-SOLOASEO </v>
      </c>
      <c r="E340" s="536">
        <f>VLOOKUP(C340,'Base de Datos'!$E$7:$AR$390,5,0)</f>
        <v>337487000</v>
      </c>
      <c r="F340" s="536">
        <f>VLOOKUP(C340,'Base de Datos'!$E$7:$AR$390,17,0)</f>
        <v>337487000</v>
      </c>
      <c r="G340" s="533"/>
      <c r="H340" s="533"/>
      <c r="I340" s="533"/>
      <c r="J340" s="536">
        <f>VLOOKUP(C340,'Base de Datos'!$E$7:$AR$390,18,0)</f>
        <v>337486998</v>
      </c>
      <c r="K340" s="600"/>
      <c r="L340" s="742">
        <v>16123070</v>
      </c>
      <c r="M340" s="533"/>
      <c r="N340" s="536" t="str">
        <f ca="1">IF(OR(O340=Hoja1!$D$17,'Presupuesto - PAA 2018'!O340=Hoja1!$D$18),'Presupuesto - PAA 2018'!L340," ")</f>
        <v xml:space="preserve"> </v>
      </c>
      <c r="O340" s="678" t="str">
        <f ca="1">VLOOKUP(C340,'Base de Datos'!$E$7:$AR$390,33,0)</f>
        <v>TERMINO</v>
      </c>
      <c r="P340" s="737"/>
      <c r="Q340" s="533"/>
      <c r="R340" s="743">
        <f>VLOOKUP(C340,'Base de Datos'!$E$7:$AR$390,9,0)</f>
        <v>41811</v>
      </c>
      <c r="S340" s="743">
        <f>VLOOKUP(C340,'Base de Datos'!$E$7:$AR$390,16,0)</f>
        <v>42186</v>
      </c>
      <c r="T340" s="678" t="str">
        <f>VLOOKUP(C340,'Base de Datos'!$E$7:$AR$390,40,0)</f>
        <v>Luisa Fernanda Gutiérrez</v>
      </c>
      <c r="U340" s="535"/>
    </row>
    <row r="341" spans="2:21" hidden="1" x14ac:dyDescent="0.25">
      <c r="B341" s="533"/>
      <c r="C341" s="533" t="s">
        <v>266</v>
      </c>
      <c r="D341" s="533" t="str">
        <f>VLOOKUP(C341,'Base de Datos'!$E$7:$AR$390,2,0)</f>
        <v>SYSTEM NET INGENIERÍA LTDA</v>
      </c>
      <c r="E341" s="536">
        <f>VLOOKUP(C341,'Base de Datos'!$E$7:$AR$390,5,0)</f>
        <v>4982000</v>
      </c>
      <c r="F341" s="536">
        <f>VLOOKUP(C341,'Base de Datos'!$E$7:$AR$390,17,0)</f>
        <v>4982000</v>
      </c>
      <c r="G341" s="533"/>
      <c r="H341" s="533"/>
      <c r="I341" s="533"/>
      <c r="J341" s="536">
        <f>VLOOKUP(C341,'Base de Datos'!$E$7:$AR$390,18,0)</f>
        <v>2832000</v>
      </c>
      <c r="K341" s="600"/>
      <c r="L341" s="742">
        <f>VLOOKUP(C341,'Base de Datos'!$E$7:$AR$390,19,0)</f>
        <v>2150000</v>
      </c>
      <c r="M341" s="533"/>
      <c r="N341" s="536" t="str">
        <f ca="1">IF(OR(O341=Hoja1!$D$17,'Presupuesto - PAA 2018'!O341=Hoja1!$D$18),'Presupuesto - PAA 2018'!L341," ")</f>
        <v xml:space="preserve"> </v>
      </c>
      <c r="O341" s="678" t="str">
        <f ca="1">VLOOKUP(C341,'Base de Datos'!$E$7:$AR$390,33,0)</f>
        <v>TERMINO</v>
      </c>
      <c r="P341" s="737"/>
      <c r="Q341" s="533"/>
      <c r="R341" s="743">
        <f>VLOOKUP(C341,'Base de Datos'!$E$7:$AR$390,9,0)</f>
        <v>41725</v>
      </c>
      <c r="S341" s="743">
        <f>VLOOKUP(C341,'Base de Datos'!$E$7:$AR$390,16,0)</f>
        <v>41969</v>
      </c>
      <c r="T341" s="678" t="str">
        <f>VLOOKUP(C341,'Base de Datos'!$E$7:$AR$390,40,0)</f>
        <v>Andrea Casas</v>
      </c>
      <c r="U341" s="535"/>
    </row>
    <row r="342" spans="2:21" ht="24" hidden="1" x14ac:dyDescent="0.25">
      <c r="B342" s="533"/>
      <c r="C342" s="533" t="s">
        <v>1106</v>
      </c>
      <c r="D342" s="533" t="str">
        <f>VLOOKUP(C342,'Base de Datos'!$E$7:$AR$390,2,0)</f>
        <v>MOTORES Y MAQUINAS MOTORYSA</v>
      </c>
      <c r="E342" s="536">
        <f>VLOOKUP(C342,'Base de Datos'!$E$7:$AR$390,5,0)</f>
        <v>30000000</v>
      </c>
      <c r="F342" s="536">
        <f>VLOOKUP(C342,'Base de Datos'!$E$7:$AR$390,17,0)</f>
        <v>30000000</v>
      </c>
      <c r="G342" s="533"/>
      <c r="H342" s="533"/>
      <c r="I342" s="533"/>
      <c r="J342" s="536">
        <f>VLOOKUP(C342,'Base de Datos'!$E$7:$AR$390,18,0)</f>
        <v>28330110</v>
      </c>
      <c r="K342" s="600"/>
      <c r="L342" s="742">
        <f>VLOOKUP(C342,'Base de Datos'!$E$7:$AR$390,19,0)</f>
        <v>1669890</v>
      </c>
      <c r="M342" s="533"/>
      <c r="N342" s="536" t="str">
        <f ca="1">IF(OR(O342=Hoja1!$D$17,'Presupuesto - PAA 2018'!O342=Hoja1!$D$18),'Presupuesto - PAA 2018'!L342," ")</f>
        <v xml:space="preserve"> </v>
      </c>
      <c r="O342" s="678" t="str">
        <f ca="1">VLOOKUP(C342,'Base de Datos'!$E$7:$AR$390,33,0)</f>
        <v>TERMINO</v>
      </c>
      <c r="P342" s="737"/>
      <c r="Q342" s="533"/>
      <c r="R342" s="743">
        <f>VLOOKUP(C342,'Base de Datos'!$E$7:$AR$390,9,0)</f>
        <v>41703</v>
      </c>
      <c r="S342" s="743">
        <f>VLOOKUP(C342,'Base de Datos'!$E$7:$AR$390,16,0)</f>
        <v>42129</v>
      </c>
      <c r="T342" s="678" t="str">
        <f>VLOOKUP(C342,'Base de Datos'!$E$7:$AR$390,40,0)</f>
        <v>Luisa Fernanda Gutiérrez</v>
      </c>
      <c r="U342" s="535"/>
    </row>
    <row r="343" spans="2:21" ht="24" hidden="1" x14ac:dyDescent="0.25">
      <c r="B343" s="533"/>
      <c r="C343" s="533" t="s">
        <v>187</v>
      </c>
      <c r="D343" s="533" t="str">
        <f>VLOOKUP(C343,'Base de Datos'!$E$7:$AR$390,2,0)</f>
        <v>INVERSIONES LIGOL - INVERLIGOL LTD A</v>
      </c>
      <c r="E343" s="536">
        <f>VLOOKUP(C343,'Base de Datos'!$E$7:$AR$390,5,0)</f>
        <v>16804000</v>
      </c>
      <c r="F343" s="536">
        <f>VLOOKUP(C343,'Base de Datos'!$E$7:$AR$390,17,0)</f>
        <v>25204000</v>
      </c>
      <c r="G343" s="533"/>
      <c r="H343" s="533"/>
      <c r="I343" s="533"/>
      <c r="J343" s="536">
        <f>VLOOKUP(C343,'Base de Datos'!$E$7:$AR$390,18,0)</f>
        <v>25201450</v>
      </c>
      <c r="K343" s="600"/>
      <c r="L343" s="742">
        <f>VLOOKUP(C343,'Base de Datos'!$E$7:$AR$390,19,0)</f>
        <v>2550</v>
      </c>
      <c r="M343" s="533"/>
      <c r="N343" s="536" t="str">
        <f ca="1">IF(OR(O343=Hoja1!$D$17,'Presupuesto - PAA 2018'!O343=Hoja1!$D$18),'Presupuesto - PAA 2018'!L343," ")</f>
        <v xml:space="preserve"> </v>
      </c>
      <c r="O343" s="678" t="str">
        <f ca="1">VLOOKUP(C343,'Base de Datos'!$E$7:$AR$390,33,0)</f>
        <v>TERMINO</v>
      </c>
      <c r="P343" s="737"/>
      <c r="Q343" s="533"/>
      <c r="R343" s="743">
        <f>VLOOKUP(C343,'Base de Datos'!$E$7:$AR$390,9,0)</f>
        <v>41523</v>
      </c>
      <c r="S343" s="743">
        <f>VLOOKUP(C343,'Base de Datos'!$E$7:$AR$390,16,0)</f>
        <v>42099</v>
      </c>
      <c r="T343" s="678" t="str">
        <f>VLOOKUP(C343,'Base de Datos'!$E$7:$AR$390,40,0)</f>
        <v>Luisa Fernanda Gutiérrez</v>
      </c>
      <c r="U343" s="535"/>
    </row>
    <row r="344" spans="2:21" ht="24" hidden="1" x14ac:dyDescent="0.25">
      <c r="B344" s="533"/>
      <c r="C344" s="533" t="s">
        <v>1101</v>
      </c>
      <c r="D344" s="533" t="str">
        <f>VLOOKUP(C344,'Base de Datos'!$E$7:$AR$390,2,0)</f>
        <v>INGENIERÍA DE BOMBAS Y PLANTAS LIMITADA</v>
      </c>
      <c r="E344" s="536">
        <f>VLOOKUP(C344,'Base de Datos'!$E$7:$AR$390,5,0)</f>
        <v>6252000</v>
      </c>
      <c r="F344" s="536">
        <f>VLOOKUP(C344,'Base de Datos'!$E$7:$AR$390,17,0)</f>
        <v>6252000</v>
      </c>
      <c r="G344" s="533"/>
      <c r="H344" s="533"/>
      <c r="I344" s="533"/>
      <c r="J344" s="536">
        <f>VLOOKUP(C344,'Base de Datos'!$E$7:$AR$390,18,0)</f>
        <v>5665189</v>
      </c>
      <c r="K344" s="600"/>
      <c r="L344" s="742">
        <f>VLOOKUP(C344,'Base de Datos'!$E$7:$AR$390,19,0)</f>
        <v>586811</v>
      </c>
      <c r="M344" s="533"/>
      <c r="N344" s="536" t="str">
        <f ca="1">IF(OR(O344=Hoja1!$D$17,'Presupuesto - PAA 2018'!O344=Hoja1!$D$18),'Presupuesto - PAA 2018'!L344," ")</f>
        <v xml:space="preserve"> </v>
      </c>
      <c r="O344" s="678" t="str">
        <f ca="1">VLOOKUP(C344,'Base de Datos'!$E$7:$AR$390,33,0)</f>
        <v>TERMINO</v>
      </c>
      <c r="P344" s="737"/>
      <c r="Q344" s="533"/>
      <c r="R344" s="743">
        <f>VLOOKUP(C344,'Base de Datos'!$E$7:$AR$390,9,0)</f>
        <v>41842</v>
      </c>
      <c r="S344" s="743">
        <f>VLOOKUP(C344,'Base de Datos'!$E$7:$AR$390,16,0)</f>
        <v>42207</v>
      </c>
      <c r="T344" s="678" t="str">
        <f>VLOOKUP(C344,'Base de Datos'!$E$7:$AR$390,40,0)</f>
        <v>Alexander Avendaño</v>
      </c>
      <c r="U344" s="535"/>
    </row>
    <row r="345" spans="2:21" hidden="1" x14ac:dyDescent="0.25">
      <c r="B345" s="533"/>
      <c r="C345" s="533" t="s">
        <v>273</v>
      </c>
      <c r="D345" s="533" t="str">
        <f>VLOOKUP(C345,'Base de Datos'!$E$7:$AR$390,2,0)</f>
        <v>AGR SOLUCIONES S.A.S.</v>
      </c>
      <c r="E345" s="536">
        <f>VLOOKUP(C345,'Base de Datos'!$E$7:$AR$390,5,0)</f>
        <v>11000000</v>
      </c>
      <c r="F345" s="536">
        <f>VLOOKUP(C345,'Base de Datos'!$E$7:$AR$390,17,0)</f>
        <v>11000000</v>
      </c>
      <c r="G345" s="533"/>
      <c r="H345" s="533"/>
      <c r="I345" s="533"/>
      <c r="J345" s="536">
        <f>VLOOKUP(C345,'Base de Datos'!$E$7:$AR$390,18,0)</f>
        <v>2672466</v>
      </c>
      <c r="K345" s="600"/>
      <c r="L345" s="742">
        <f>VLOOKUP(C345,'Base de Datos'!$E$7:$AR$390,19,0)</f>
        <v>8327534</v>
      </c>
      <c r="M345" s="533"/>
      <c r="N345" s="536" t="str">
        <f ca="1">IF(OR(O345=Hoja1!$D$17,'Presupuesto - PAA 2018'!O345=Hoja1!$D$18),'Presupuesto - PAA 2018'!L345," ")</f>
        <v xml:space="preserve"> </v>
      </c>
      <c r="O345" s="678" t="str">
        <f ca="1">VLOOKUP(C345,'Base de Datos'!$E$7:$AR$390,33,0)</f>
        <v>TERMINO</v>
      </c>
      <c r="P345" s="737"/>
      <c r="Q345" s="533"/>
      <c r="R345" s="743">
        <f>VLOOKUP(C345,'Base de Datos'!$E$7:$AR$390,9,0)</f>
        <v>41738</v>
      </c>
      <c r="S345" s="743">
        <f>VLOOKUP(C345,'Base de Datos'!$E$7:$AR$390,16,0)</f>
        <v>42012</v>
      </c>
      <c r="T345" s="678" t="str">
        <f>VLOOKUP(C345,'Base de Datos'!$E$7:$AR$390,40,0)</f>
        <v>Judith Hernández</v>
      </c>
      <c r="U345" s="535"/>
    </row>
    <row r="346" spans="2:21" hidden="1" x14ac:dyDescent="0.25">
      <c r="B346" s="533"/>
      <c r="C346" s="533"/>
      <c r="D346" s="533"/>
      <c r="E346" s="533"/>
      <c r="F346" s="533"/>
      <c r="G346" s="533"/>
      <c r="H346" s="533"/>
      <c r="I346" s="533"/>
      <c r="J346" s="533"/>
      <c r="K346" s="600"/>
      <c r="L346" s="533"/>
      <c r="M346" s="533"/>
      <c r="N346" s="533"/>
      <c r="O346" s="691"/>
      <c r="P346" s="737"/>
      <c r="Q346" s="533"/>
      <c r="R346" s="744"/>
      <c r="S346" s="744"/>
      <c r="T346" s="533"/>
      <c r="U346" s="535"/>
    </row>
    <row r="347" spans="2:21" hidden="1" x14ac:dyDescent="0.25">
      <c r="B347" s="1182" t="s">
        <v>1656</v>
      </c>
      <c r="C347" s="1182"/>
      <c r="D347" s="1182"/>
      <c r="E347" s="539">
        <f>+E348</f>
        <v>3846133</v>
      </c>
      <c r="F347" s="539">
        <f>+F348</f>
        <v>3846133</v>
      </c>
      <c r="G347" s="540"/>
      <c r="H347" s="540"/>
      <c r="I347" s="540"/>
      <c r="J347" s="539">
        <f>+J348</f>
        <v>674854</v>
      </c>
      <c r="K347" s="610">
        <f>+J347/F347</f>
        <v>0.17546299100941126</v>
      </c>
      <c r="L347" s="539">
        <f>+L348</f>
        <v>5482749</v>
      </c>
      <c r="M347" s="543"/>
      <c r="N347" s="539">
        <f>+N348</f>
        <v>0</v>
      </c>
      <c r="O347" s="689"/>
      <c r="P347" s="575" t="str">
        <f>IF(ISERROR(VLOOKUP(B347,'Base de Datos'!$C$7:$N$315,8,0))=TRUE," ",(VLOOKUP(B347,'Base de Datos'!$C$7:$N$315,8,0)))</f>
        <v xml:space="preserve"> </v>
      </c>
      <c r="Q347" s="569"/>
      <c r="R347" s="747" t="str">
        <f>IF(ISERROR(VLOOKUP(B347,'Base de Datos'!$C$7:$N$315,9,0))=TRUE," ",(VLOOKUP(B347,'Base de Datos'!$C$7:$N$315,9,0)))</f>
        <v xml:space="preserve"> </v>
      </c>
      <c r="S347" s="747" t="str">
        <f>IF(ISERROR(VLOOKUP(B347,'Base de Datos'!$C$7:$N$315,10,0))=TRUE," ",(VLOOKUP(B347,'Base de Datos'!$C$7:$N$315,10,0)))</f>
        <v xml:space="preserve"> </v>
      </c>
      <c r="T347" s="569"/>
      <c r="U347" s="535"/>
    </row>
    <row r="348" spans="2:21" hidden="1" x14ac:dyDescent="0.25">
      <c r="B348" s="1181" t="s">
        <v>1657</v>
      </c>
      <c r="C348" s="1181"/>
      <c r="D348" s="1181"/>
      <c r="E348" s="581">
        <f>SUM(E350:E351)</f>
        <v>3846133</v>
      </c>
      <c r="F348" s="581">
        <f>SUM(F350:F351)</f>
        <v>3846133</v>
      </c>
      <c r="G348" s="586"/>
      <c r="H348" s="586"/>
      <c r="I348" s="586"/>
      <c r="J348" s="581">
        <f>SUM(J350:J351)</f>
        <v>674854</v>
      </c>
      <c r="K348" s="603">
        <f>+J348/F348</f>
        <v>0.17546299100941126</v>
      </c>
      <c r="L348" s="581">
        <f>SUM(L350:L351)</f>
        <v>5482749</v>
      </c>
      <c r="M348" s="581"/>
      <c r="N348" s="581">
        <f>SUM(N350:N351)</f>
        <v>0</v>
      </c>
      <c r="O348" s="684"/>
      <c r="P348" s="591" t="str">
        <f>IF(ISERROR(VLOOKUP(B348,'Base de Datos'!$C$7:$N$315,8,0))=TRUE," ",(VLOOKUP(B348,'Base de Datos'!$C$7:$N$315,8,0)))</f>
        <v xml:space="preserve"> </v>
      </c>
      <c r="Q348" s="592"/>
      <c r="R348" s="745" t="str">
        <f>IF(ISERROR(VLOOKUP(B348,'Base de Datos'!$C$7:$N$315,9,0))=TRUE," ",(VLOOKUP(B348,'Base de Datos'!$C$7:$N$315,9,0)))</f>
        <v xml:space="preserve"> </v>
      </c>
      <c r="S348" s="745" t="str">
        <f>IF(ISERROR(VLOOKUP(B348,'Base de Datos'!$C$7:$N$315,10,0))=TRUE," ",(VLOOKUP(B348,'Base de Datos'!$C$7:$N$315,10,0)))</f>
        <v xml:space="preserve"> </v>
      </c>
      <c r="T348" s="592"/>
      <c r="U348" s="535"/>
    </row>
    <row r="349" spans="2:21" ht="24" hidden="1" x14ac:dyDescent="0.25">
      <c r="B349" s="537" t="s">
        <v>2128</v>
      </c>
      <c r="C349" s="537" t="s">
        <v>912</v>
      </c>
      <c r="D349" s="537" t="s">
        <v>1822</v>
      </c>
      <c r="E349" s="545" t="s">
        <v>1845</v>
      </c>
      <c r="F349" s="534" t="s">
        <v>2130</v>
      </c>
      <c r="G349" s="534"/>
      <c r="H349" s="534"/>
      <c r="I349" s="534"/>
      <c r="J349" s="537" t="s">
        <v>2131</v>
      </c>
      <c r="K349" s="652"/>
      <c r="L349" s="537" t="s">
        <v>1940</v>
      </c>
      <c r="M349" s="537"/>
      <c r="N349" s="537" t="s">
        <v>2137</v>
      </c>
      <c r="O349" s="677" t="s">
        <v>2134</v>
      </c>
      <c r="P349" s="568" t="s">
        <v>1818</v>
      </c>
      <c r="Q349" s="537" t="s">
        <v>1848</v>
      </c>
      <c r="R349" s="746" t="s">
        <v>1849</v>
      </c>
      <c r="S349" s="746" t="s">
        <v>375</v>
      </c>
      <c r="T349" s="537" t="s">
        <v>1850</v>
      </c>
      <c r="U349" s="535"/>
    </row>
    <row r="350" spans="2:21" ht="36" hidden="1" x14ac:dyDescent="0.25">
      <c r="B350" s="533"/>
      <c r="C350" s="533" t="s">
        <v>878</v>
      </c>
      <c r="D350" s="533" t="s">
        <v>2138</v>
      </c>
      <c r="E350" s="536"/>
      <c r="F350" s="536"/>
      <c r="G350" s="533"/>
      <c r="H350" s="533"/>
      <c r="I350" s="533"/>
      <c r="J350" s="536">
        <v>674854</v>
      </c>
      <c r="K350" s="600"/>
      <c r="L350" s="742">
        <v>1636616</v>
      </c>
      <c r="M350" s="533"/>
      <c r="N350" s="536"/>
      <c r="O350" s="678"/>
      <c r="P350" s="737"/>
      <c r="Q350" s="533"/>
      <c r="R350" s="743" t="e">
        <f>VLOOKUP(C350,'Base de Datos'!$E$7:$AR$390,9,0)</f>
        <v>#N/A</v>
      </c>
      <c r="S350" s="743" t="e">
        <f>VLOOKUP(C350,'Base de Datos'!$E$7:$AR$390,16,0)</f>
        <v>#N/A</v>
      </c>
      <c r="T350" s="678"/>
      <c r="U350" s="535"/>
    </row>
    <row r="351" spans="2:21" hidden="1" x14ac:dyDescent="0.25">
      <c r="B351" s="533"/>
      <c r="C351" s="533" t="s">
        <v>919</v>
      </c>
      <c r="D351" s="533" t="str">
        <f>VLOOKUP(C351,'Base de Datos'!$E$7:$AR$390,2,0)</f>
        <v>SEGUROS GENERALES SURAMERICANA</v>
      </c>
      <c r="E351" s="536">
        <f>VLOOKUP(C351,'Base de Datos'!$E$7:$AR$390,5,0)</f>
        <v>3846133</v>
      </c>
      <c r="F351" s="536">
        <f>VLOOKUP(C351,'Base de Datos'!$E$7:$AR$390,17,0)</f>
        <v>3846133</v>
      </c>
      <c r="G351" s="533"/>
      <c r="H351" s="533"/>
      <c r="I351" s="533"/>
      <c r="J351" s="536">
        <f>VLOOKUP(C351,'Base de Datos'!$E$7:$AR$390,18,0)</f>
        <v>0</v>
      </c>
      <c r="K351" s="600"/>
      <c r="L351" s="742">
        <f>VLOOKUP(C351,'Base de Datos'!$E$7:$AR$390,19,0)</f>
        <v>3846133</v>
      </c>
      <c r="M351" s="533"/>
      <c r="N351" s="536" t="str">
        <f>IF(OR(O351=Hoja1!$D$17,'Presupuesto - PAA 2018'!O351=Hoja1!$D$18),'Presupuesto - PAA 2018'!L351," ")</f>
        <v xml:space="preserve"> </v>
      </c>
      <c r="O351" s="678">
        <f>VLOOKUP(C351,'Base de Datos'!$E$7:$AR$390,32,0)</f>
        <v>0</v>
      </c>
      <c r="P351" s="737"/>
      <c r="Q351" s="533"/>
      <c r="R351" s="743">
        <f>VLOOKUP(C351,'Base de Datos'!$E$7:$AR$390,9,0)</f>
        <v>41837</v>
      </c>
      <c r="S351" s="743">
        <f>VLOOKUP(C351,'Base de Datos'!$E$7:$AR$390,16,0)</f>
        <v>42202</v>
      </c>
      <c r="T351" s="678"/>
      <c r="U351" s="535"/>
    </row>
    <row r="352" spans="2:21" hidden="1" x14ac:dyDescent="0.25">
      <c r="B352" s="533"/>
      <c r="C352" s="533"/>
      <c r="D352" s="533"/>
      <c r="E352" s="533"/>
      <c r="F352" s="533"/>
      <c r="G352" s="533"/>
      <c r="H352" s="533"/>
      <c r="I352" s="533"/>
      <c r="J352" s="533"/>
      <c r="K352" s="600"/>
      <c r="L352" s="533"/>
      <c r="M352" s="533"/>
      <c r="N352" s="533"/>
      <c r="O352" s="691"/>
      <c r="P352" s="737"/>
      <c r="Q352" s="533"/>
      <c r="R352" s="744"/>
      <c r="S352" s="744"/>
      <c r="T352" s="533"/>
      <c r="U352" s="535"/>
    </row>
    <row r="353" spans="2:21" hidden="1" x14ac:dyDescent="0.25">
      <c r="B353" s="1182" t="s">
        <v>1665</v>
      </c>
      <c r="C353" s="1182"/>
      <c r="D353" s="1182"/>
      <c r="E353" s="539">
        <f>+E354</f>
        <v>406019488</v>
      </c>
      <c r="F353" s="631">
        <f>+F354</f>
        <v>406019488</v>
      </c>
      <c r="G353" s="540"/>
      <c r="H353" s="540"/>
      <c r="I353" s="540"/>
      <c r="J353" s="543">
        <f>+J354</f>
        <v>406019488</v>
      </c>
      <c r="K353" s="610">
        <f>+J353/F353</f>
        <v>1</v>
      </c>
      <c r="L353" s="543">
        <f>+L354</f>
        <v>0</v>
      </c>
      <c r="M353" s="543"/>
      <c r="N353" s="543">
        <f ca="1">+N354</f>
        <v>0</v>
      </c>
      <c r="O353" s="689"/>
      <c r="P353" s="575" t="str">
        <f>IF(ISERROR(VLOOKUP(B353,'Base de Datos'!$C$7:$N$315,8,0))=TRUE," ",(VLOOKUP(B353,'Base de Datos'!$C$7:$N$315,8,0)))</f>
        <v xml:space="preserve"> </v>
      </c>
      <c r="Q353" s="569"/>
      <c r="R353" s="747" t="str">
        <f>IF(ISERROR(VLOOKUP(B353,'Base de Datos'!$C$7:$N$315,9,0))=TRUE," ",(VLOOKUP(B353,'Base de Datos'!$C$7:$N$315,9,0)))</f>
        <v xml:space="preserve"> </v>
      </c>
      <c r="S353" s="747" t="str">
        <f>IF(ISERROR(VLOOKUP(B353,'Base de Datos'!$C$7:$N$315,10,0))=TRUE," ",(VLOOKUP(B353,'Base de Datos'!$C$7:$N$315,10,0)))</f>
        <v xml:space="preserve"> </v>
      </c>
      <c r="T353" s="569"/>
      <c r="U353" s="535"/>
    </row>
    <row r="354" spans="2:21" hidden="1" x14ac:dyDescent="0.25">
      <c r="B354" s="1181" t="s">
        <v>1666</v>
      </c>
      <c r="C354" s="1181"/>
      <c r="D354" s="1181"/>
      <c r="E354" s="581">
        <f>SUM(E356:E357)</f>
        <v>406019488</v>
      </c>
      <c r="F354" s="581">
        <f>SUM(F356:F357)</f>
        <v>406019488</v>
      </c>
      <c r="G354" s="586"/>
      <c r="H354" s="586"/>
      <c r="I354" s="586"/>
      <c r="J354" s="581">
        <f>SUM(J356:J357)</f>
        <v>406019488</v>
      </c>
      <c r="K354" s="603">
        <f>+J354/F354</f>
        <v>1</v>
      </c>
      <c r="L354" s="581">
        <f>SUM(L356:L357)</f>
        <v>0</v>
      </c>
      <c r="M354" s="581"/>
      <c r="N354" s="581">
        <f ca="1">SUM(N356:N357)</f>
        <v>0</v>
      </c>
      <c r="O354" s="684"/>
      <c r="P354" s="591" t="str">
        <f>IF(ISERROR(VLOOKUP(B354,'Base de Datos'!$C$7:$N$315,8,0))=TRUE," ",(VLOOKUP(B354,'Base de Datos'!$C$7:$N$315,8,0)))</f>
        <v xml:space="preserve"> </v>
      </c>
      <c r="Q354" s="592"/>
      <c r="R354" s="745" t="str">
        <f>IF(ISERROR(VLOOKUP(B354,'Base de Datos'!$C$7:$N$315,9,0))=TRUE," ",(VLOOKUP(B354,'Base de Datos'!$C$7:$N$315,9,0)))</f>
        <v xml:space="preserve"> </v>
      </c>
      <c r="S354" s="745" t="str">
        <f>IF(ISERROR(VLOOKUP(B354,'Base de Datos'!$C$7:$N$315,10,0))=TRUE," ",(VLOOKUP(B354,'Base de Datos'!$C$7:$N$315,10,0)))</f>
        <v xml:space="preserve"> </v>
      </c>
      <c r="T354" s="592"/>
      <c r="U354" s="535"/>
    </row>
    <row r="355" spans="2:21" ht="24" hidden="1" x14ac:dyDescent="0.25">
      <c r="B355" s="537" t="s">
        <v>2128</v>
      </c>
      <c r="C355" s="537" t="s">
        <v>912</v>
      </c>
      <c r="D355" s="537" t="s">
        <v>1822</v>
      </c>
      <c r="E355" s="545" t="s">
        <v>1845</v>
      </c>
      <c r="F355" s="534" t="s">
        <v>2130</v>
      </c>
      <c r="G355" s="534"/>
      <c r="H355" s="534"/>
      <c r="I355" s="534"/>
      <c r="J355" s="537" t="s">
        <v>2131</v>
      </c>
      <c r="K355" s="652"/>
      <c r="L355" s="537" t="s">
        <v>1940</v>
      </c>
      <c r="M355" s="537"/>
      <c r="N355" s="537" t="s">
        <v>2137</v>
      </c>
      <c r="O355" s="677" t="s">
        <v>2134</v>
      </c>
      <c r="P355" s="568" t="s">
        <v>1818</v>
      </c>
      <c r="Q355" s="537" t="s">
        <v>1848</v>
      </c>
      <c r="R355" s="746" t="s">
        <v>1849</v>
      </c>
      <c r="S355" s="746" t="s">
        <v>375</v>
      </c>
      <c r="T355" s="537" t="s">
        <v>1850</v>
      </c>
      <c r="U355" s="535"/>
    </row>
    <row r="356" spans="2:21" ht="24" hidden="1" x14ac:dyDescent="0.25">
      <c r="B356" s="533"/>
      <c r="C356" s="533" t="s">
        <v>1537</v>
      </c>
      <c r="D356" s="533" t="str">
        <f>VLOOKUP(C356,'Base de Datos'!$E$7:$AR$390,2,0)</f>
        <v>INSTITUTO COLOMBIANO DE NORMAS TÉCNICAS Y CERTIFICACIÓN ICONTEC</v>
      </c>
      <c r="E356" s="536">
        <f>VLOOKUP(C356,'Base de Datos'!$E$7:$AR$390,5,0)</f>
        <v>4961088</v>
      </c>
      <c r="F356" s="536">
        <f>VLOOKUP(C356,'Base de Datos'!$E$7:$AR$390,17,0)</f>
        <v>4961088</v>
      </c>
      <c r="G356" s="533"/>
      <c r="H356" s="533"/>
      <c r="I356" s="533"/>
      <c r="J356" s="536">
        <f>VLOOKUP(C356,'Base de Datos'!$E$7:$AR$390,18,0)</f>
        <v>4961088</v>
      </c>
      <c r="K356" s="600"/>
      <c r="L356" s="742">
        <f>VLOOKUP(C356,'Base de Datos'!$E$7:$AR$390,19,0)</f>
        <v>0</v>
      </c>
      <c r="M356" s="533"/>
      <c r="N356" s="536" t="str">
        <f ca="1">IF(OR(O356=Hoja1!$D$17,'Presupuesto - PAA 2018'!O356=Hoja1!$D$18),'Presupuesto - PAA 2018'!L356," ")</f>
        <v xml:space="preserve"> </v>
      </c>
      <c r="O356" s="678" t="str">
        <f ca="1">VLOOKUP(C356,'Base de Datos'!$E$7:$AR$390,33,0)</f>
        <v>TERMINO</v>
      </c>
      <c r="P356" s="737"/>
      <c r="Q356" s="533"/>
      <c r="R356" s="743">
        <f>VLOOKUP(C356,'Base de Datos'!$E$7:$AR$390,9,0)</f>
        <v>42178</v>
      </c>
      <c r="S356" s="743">
        <f>VLOOKUP(C356,'Base de Datos'!$E$7:$AR$390,16,0)</f>
        <v>42423</v>
      </c>
      <c r="T356" s="678" t="str">
        <f>VLOOKUP(C356,'Base de Datos'!$E$7:$AR$390,40,0)</f>
        <v>Ricardo Rojas</v>
      </c>
      <c r="U356" s="535"/>
    </row>
    <row r="357" spans="2:21" ht="24" hidden="1" x14ac:dyDescent="0.25">
      <c r="B357" s="533"/>
      <c r="C357" s="533" t="s">
        <v>1474</v>
      </c>
      <c r="D357" s="533" t="str">
        <f>VLOOKUP(C357,'Base de Datos'!$E$7:$AR$390,2,0)</f>
        <v>CENTRO DE RECURSOS EDUCATIVOS PARA LA COMPETITIVIDAD EMPRESARIAL LTDA - CRECE</v>
      </c>
      <c r="E357" s="536">
        <f>VLOOKUP(C357,'Base de Datos'!$E$7:$AR$390,5,0)</f>
        <v>401058400</v>
      </c>
      <c r="F357" s="536">
        <f>VLOOKUP(C357,'Base de Datos'!$E$7:$AR$390,17,0)</f>
        <v>401058400</v>
      </c>
      <c r="G357" s="533"/>
      <c r="H357" s="533"/>
      <c r="I357" s="533"/>
      <c r="J357" s="536">
        <f>VLOOKUP(C357,'Base de Datos'!$E$7:$AR$390,18,0)</f>
        <v>401058400</v>
      </c>
      <c r="K357" s="600"/>
      <c r="L357" s="742">
        <f>VLOOKUP(C357,'Base de Datos'!$E$7:$AR$390,19,0)</f>
        <v>0</v>
      </c>
      <c r="M357" s="533"/>
      <c r="N357" s="536" t="str">
        <f ca="1">IF(OR(O357=Hoja1!$D$17,'Presupuesto - PAA 2018'!O357=Hoja1!$D$18),'Presupuesto - PAA 2018'!L357," ")</f>
        <v xml:space="preserve"> </v>
      </c>
      <c r="O357" s="678" t="str">
        <f ca="1">VLOOKUP(C357,'Base de Datos'!$E$7:$AR$390,33,0)</f>
        <v>TERMINO</v>
      </c>
      <c r="P357" s="737"/>
      <c r="Q357" s="533"/>
      <c r="R357" s="743">
        <f>VLOOKUP(C357,'Base de Datos'!$E$7:$AR$390,9,0)</f>
        <v>42031</v>
      </c>
      <c r="S357" s="743">
        <f>VLOOKUP(C357,'Base de Datos'!$E$7:$AR$390,16,0)</f>
        <v>42335</v>
      </c>
      <c r="T357" s="678" t="str">
        <f>VLOOKUP(C357,'Base de Datos'!$E$7:$AR$390,40,0)</f>
        <v>Ricardo Rojas</v>
      </c>
      <c r="U357" s="535"/>
    </row>
    <row r="358" spans="2:21" hidden="1" x14ac:dyDescent="0.25">
      <c r="B358" s="533"/>
      <c r="C358" s="533"/>
      <c r="D358" s="533"/>
      <c r="E358" s="533"/>
      <c r="F358" s="533"/>
      <c r="G358" s="533"/>
      <c r="H358" s="533"/>
      <c r="I358" s="533"/>
      <c r="J358" s="533"/>
      <c r="K358" s="600"/>
      <c r="L358" s="533"/>
      <c r="M358" s="533"/>
      <c r="N358" s="533"/>
      <c r="O358" s="691"/>
      <c r="P358" s="737"/>
      <c r="Q358" s="533"/>
      <c r="R358" s="744"/>
      <c r="S358" s="744"/>
      <c r="T358" s="533"/>
      <c r="U358" s="535"/>
    </row>
    <row r="359" spans="2:21" hidden="1" x14ac:dyDescent="0.25">
      <c r="B359" s="1181" t="s">
        <v>1667</v>
      </c>
      <c r="C359" s="1181"/>
      <c r="D359" s="1181"/>
      <c r="E359" s="581">
        <f>+E361</f>
        <v>336560000</v>
      </c>
      <c r="F359" s="581">
        <f>+F361</f>
        <v>502280800</v>
      </c>
      <c r="G359" s="586"/>
      <c r="H359" s="586"/>
      <c r="I359" s="586"/>
      <c r="J359" s="581">
        <f>+J361</f>
        <v>502247588</v>
      </c>
      <c r="K359" s="603">
        <f>+J359/F359</f>
        <v>0.99993387762383112</v>
      </c>
      <c r="L359" s="581">
        <f>+L361</f>
        <v>33212</v>
      </c>
      <c r="M359" s="581"/>
      <c r="N359" s="581">
        <f ca="1">SUM(N361)</f>
        <v>0</v>
      </c>
      <c r="O359" s="684"/>
      <c r="P359" s="591" t="str">
        <f>IF(ISERROR(VLOOKUP(B359,'Base de Datos'!$C$7:$N$315,8,0))=TRUE," ",(VLOOKUP(B359,'Base de Datos'!$C$7:$N$315,8,0)))</f>
        <v xml:space="preserve"> </v>
      </c>
      <c r="Q359" s="592"/>
      <c r="R359" s="745" t="str">
        <f>IF(ISERROR(VLOOKUP(B359,'Base de Datos'!$C$7:$N$315,9,0))=TRUE," ",(VLOOKUP(B359,'Base de Datos'!$C$7:$N$315,9,0)))</f>
        <v xml:space="preserve"> </v>
      </c>
      <c r="S359" s="745" t="str">
        <f>IF(ISERROR(VLOOKUP(B359,'Base de Datos'!$C$7:$N$315,10,0))=TRUE," ",(VLOOKUP(B359,'Base de Datos'!$C$7:$N$315,10,0)))</f>
        <v xml:space="preserve"> </v>
      </c>
      <c r="T359" s="592"/>
      <c r="U359" s="535"/>
    </row>
    <row r="360" spans="2:21" ht="24" hidden="1" x14ac:dyDescent="0.25">
      <c r="B360" s="537" t="s">
        <v>2128</v>
      </c>
      <c r="C360" s="537" t="s">
        <v>912</v>
      </c>
      <c r="D360" s="537" t="s">
        <v>1822</v>
      </c>
      <c r="E360" s="545" t="s">
        <v>1845</v>
      </c>
      <c r="F360" s="534" t="s">
        <v>2130</v>
      </c>
      <c r="G360" s="534"/>
      <c r="H360" s="534"/>
      <c r="I360" s="534"/>
      <c r="J360" s="537" t="s">
        <v>2131</v>
      </c>
      <c r="K360" s="652"/>
      <c r="L360" s="537" t="s">
        <v>1940</v>
      </c>
      <c r="M360" s="537"/>
      <c r="N360" s="537" t="s">
        <v>2137</v>
      </c>
      <c r="O360" s="677" t="s">
        <v>2134</v>
      </c>
      <c r="P360" s="568" t="s">
        <v>1818</v>
      </c>
      <c r="Q360" s="537" t="s">
        <v>1848</v>
      </c>
      <c r="R360" s="746" t="s">
        <v>1849</v>
      </c>
      <c r="S360" s="746" t="s">
        <v>375</v>
      </c>
      <c r="T360" s="537" t="s">
        <v>1850</v>
      </c>
      <c r="U360" s="535"/>
    </row>
    <row r="361" spans="2:21" hidden="1" x14ac:dyDescent="0.25">
      <c r="B361" s="533"/>
      <c r="C361" s="533" t="s">
        <v>207</v>
      </c>
      <c r="D361" s="533" t="str">
        <f>VLOOKUP(C361,'Base de Datos'!$E$7:$AR$390,2,0)</f>
        <v>COMPENSAR BIENESTAR</v>
      </c>
      <c r="E361" s="536">
        <f>VLOOKUP(C361,'Base de Datos'!$E$7:$AR$390,5,0)</f>
        <v>336560000</v>
      </c>
      <c r="F361" s="536">
        <f>VLOOKUP(C361,'Base de Datos'!$E$7:$AR$390,17,0)</f>
        <v>502280800</v>
      </c>
      <c r="G361" s="533"/>
      <c r="H361" s="533"/>
      <c r="I361" s="533"/>
      <c r="J361" s="536">
        <f>VLOOKUP(C361,'Base de Datos'!$E$7:$AR$390,18,0)</f>
        <v>502247588</v>
      </c>
      <c r="K361" s="600"/>
      <c r="L361" s="742">
        <f>VLOOKUP(C361,'Base de Datos'!$E$7:$AR$390,19,0)</f>
        <v>33212</v>
      </c>
      <c r="M361" s="533"/>
      <c r="N361" s="536" t="str">
        <f ca="1">IF(OR(O361=Hoja1!$D$17,'Presupuesto - PAA 2018'!O361=Hoja1!$D$18),'Presupuesto - PAA 2018'!L361," ")</f>
        <v xml:space="preserve"> </v>
      </c>
      <c r="O361" s="751" t="str">
        <f ca="1">VLOOKUP(C361,'Base de Datos'!$E$7:$AR$390,33,0)</f>
        <v>TERMINO</v>
      </c>
      <c r="P361" s="737" t="s">
        <v>2136</v>
      </c>
      <c r="Q361" s="533"/>
      <c r="R361" s="743">
        <f>VLOOKUP(C361,'Base de Datos'!$E$7:$AR$390,9,0)</f>
        <v>41572</v>
      </c>
      <c r="S361" s="743">
        <f>VLOOKUP(C361,'Base de Datos'!$E$7:$AR$390,16,0)</f>
        <v>41814</v>
      </c>
      <c r="T361" s="678" t="str">
        <f>VLOOKUP(C361,'Base de Datos'!$E$7:$AR$390,40,0)</f>
        <v>Matilde Nieto</v>
      </c>
      <c r="U361" s="535"/>
    </row>
    <row r="362" spans="2:21" hidden="1" x14ac:dyDescent="0.25">
      <c r="B362" s="533"/>
      <c r="C362" s="533"/>
      <c r="D362" s="533"/>
      <c r="E362" s="533"/>
      <c r="F362" s="533"/>
      <c r="G362" s="533"/>
      <c r="H362" s="533"/>
      <c r="I362" s="533"/>
      <c r="J362" s="533"/>
      <c r="K362" s="600"/>
      <c r="L362" s="533"/>
      <c r="M362" s="533"/>
      <c r="N362" s="533"/>
      <c r="O362" s="691"/>
      <c r="P362" s="737"/>
      <c r="Q362" s="533"/>
      <c r="R362" s="744"/>
      <c r="S362" s="744"/>
      <c r="T362" s="533"/>
      <c r="U362" s="535"/>
    </row>
    <row r="363" spans="2:21" hidden="1" x14ac:dyDescent="0.25">
      <c r="B363" s="1184" t="s">
        <v>1668</v>
      </c>
      <c r="C363" s="1184"/>
      <c r="D363" s="1184"/>
      <c r="E363" s="581">
        <f>SUM(E365:E366)</f>
        <v>108854000</v>
      </c>
      <c r="F363" s="581">
        <f>SUM(F365:F366)</f>
        <v>146856288</v>
      </c>
      <c r="G363" s="586"/>
      <c r="H363" s="586"/>
      <c r="I363" s="586"/>
      <c r="J363" s="581">
        <f>SUM(J365:J366)</f>
        <v>146811699</v>
      </c>
      <c r="K363" s="603">
        <f>+J363/F363</f>
        <v>0.99969637663727418</v>
      </c>
      <c r="L363" s="581">
        <f>SUM(L365:L366)</f>
        <v>44589</v>
      </c>
      <c r="M363" s="581"/>
      <c r="N363" s="581">
        <f ca="1">SUM(N365:N366)</f>
        <v>0</v>
      </c>
      <c r="O363" s="684"/>
      <c r="P363" s="591" t="str">
        <f>IF(ISERROR(VLOOKUP(B363,'Base de Datos'!$C$7:$N$315,8,0))=TRUE," ",(VLOOKUP(B363,'Base de Datos'!$C$7:$N$315,8,0)))</f>
        <v xml:space="preserve"> </v>
      </c>
      <c r="Q363" s="592"/>
      <c r="R363" s="745" t="str">
        <f>IF(ISERROR(VLOOKUP(B363,'Base de Datos'!$C$7:$N$315,9,0))=TRUE," ",(VLOOKUP(B363,'Base de Datos'!$C$7:$N$315,9,0)))</f>
        <v xml:space="preserve"> </v>
      </c>
      <c r="S363" s="745" t="str">
        <f>IF(ISERROR(VLOOKUP(B363,'Base de Datos'!$C$7:$N$315,10,0))=TRUE," ",(VLOOKUP(B363,'Base de Datos'!$C$7:$N$315,10,0)))</f>
        <v xml:space="preserve"> </v>
      </c>
      <c r="T363" s="592"/>
      <c r="U363" s="535"/>
    </row>
    <row r="364" spans="2:21" ht="24" hidden="1" x14ac:dyDescent="0.25">
      <c r="B364" s="537" t="s">
        <v>2128</v>
      </c>
      <c r="C364" s="537" t="s">
        <v>912</v>
      </c>
      <c r="D364" s="537" t="s">
        <v>1822</v>
      </c>
      <c r="E364" s="545" t="s">
        <v>1845</v>
      </c>
      <c r="F364" s="534" t="s">
        <v>2130</v>
      </c>
      <c r="G364" s="534"/>
      <c r="H364" s="534"/>
      <c r="I364" s="534"/>
      <c r="J364" s="537" t="s">
        <v>2131</v>
      </c>
      <c r="K364" s="652"/>
      <c r="L364" s="537" t="s">
        <v>1940</v>
      </c>
      <c r="M364" s="537"/>
      <c r="N364" s="537" t="s">
        <v>2137</v>
      </c>
      <c r="O364" s="677" t="s">
        <v>2134</v>
      </c>
      <c r="P364" s="568" t="s">
        <v>1818</v>
      </c>
      <c r="Q364" s="537" t="s">
        <v>1848</v>
      </c>
      <c r="R364" s="746" t="s">
        <v>1849</v>
      </c>
      <c r="S364" s="746" t="s">
        <v>375</v>
      </c>
      <c r="T364" s="537" t="s">
        <v>1850</v>
      </c>
      <c r="U364" s="535"/>
    </row>
    <row r="365" spans="2:21" ht="24" hidden="1" x14ac:dyDescent="0.25">
      <c r="B365" s="533"/>
      <c r="C365" s="533" t="s">
        <v>195</v>
      </c>
      <c r="D365" s="533" t="str">
        <f>VLOOKUP(C365,'Base de Datos'!$E$7:$AR$390,2,0)</f>
        <v>CAJA DE COMPENSACIÓN FAMILIAR COMPENSAR SALONES</v>
      </c>
      <c r="E365" s="536">
        <f>VLOOKUP(C365,'Base de Datos'!$E$7:$AR$390,5,0)</f>
        <v>76223000</v>
      </c>
      <c r="F365" s="536">
        <f>VLOOKUP(C365,'Base de Datos'!$E$7:$AR$390,17,0)</f>
        <v>114225288</v>
      </c>
      <c r="G365" s="533"/>
      <c r="H365" s="533"/>
      <c r="I365" s="533"/>
      <c r="J365" s="536">
        <f>VLOOKUP(C365,'Base de Datos'!$E$7:$AR$390,18,0)</f>
        <v>114217068</v>
      </c>
      <c r="K365" s="600"/>
      <c r="L365" s="742">
        <f>VLOOKUP(C365,'Base de Datos'!$E$7:$AR$390,19,0)</f>
        <v>8220</v>
      </c>
      <c r="M365" s="533"/>
      <c r="N365" s="536" t="str">
        <f ca="1">IF(OR(O365=Hoja1!$D$17,'Presupuesto - PAA 2018'!O365=Hoja1!$D$18),'Presupuesto - PAA 2018'!L365," ")</f>
        <v xml:space="preserve"> </v>
      </c>
      <c r="O365" s="678" t="str">
        <f ca="1">VLOOKUP(C365,'Base de Datos'!$E$7:$AR$390,33,0)</f>
        <v>TERMINO</v>
      </c>
      <c r="P365" s="737"/>
      <c r="Q365" s="533"/>
      <c r="R365" s="743">
        <f>VLOOKUP(C365,'Base de Datos'!$E$7:$AR$390,9,0)</f>
        <v>41541</v>
      </c>
      <c r="S365" s="743">
        <f>VLOOKUP(C365,'Base de Datos'!$E$7:$AR$390,16,0)</f>
        <v>41782</v>
      </c>
      <c r="T365" s="678" t="str">
        <f>VLOOKUP(C365,'Base de Datos'!$E$7:$AR$390,40,0)</f>
        <v>Juan Sebastián Ramírez</v>
      </c>
      <c r="U365" s="535"/>
    </row>
    <row r="366" spans="2:21" ht="24" hidden="1" x14ac:dyDescent="0.25">
      <c r="B366" s="533"/>
      <c r="C366" s="533" t="s">
        <v>276</v>
      </c>
      <c r="D366" s="533" t="str">
        <f>VLOOKUP(C366,'Base de Datos'!$E$7:$AR$390,2,0)</f>
        <v>GRANADOS Y CONDECORACIONES</v>
      </c>
      <c r="E366" s="536">
        <f>VLOOKUP(C366,'Base de Datos'!$E$7:$AR$390,5,0)</f>
        <v>32631000</v>
      </c>
      <c r="F366" s="536">
        <f>VLOOKUP(C366,'Base de Datos'!$E$7:$AR$390,17,0)</f>
        <v>32631000</v>
      </c>
      <c r="G366" s="533"/>
      <c r="H366" s="533"/>
      <c r="I366" s="533"/>
      <c r="J366" s="536">
        <f>VLOOKUP(C366,'Base de Datos'!$E$7:$AR$390,18,0)</f>
        <v>32594631</v>
      </c>
      <c r="K366" s="600"/>
      <c r="L366" s="742">
        <f>VLOOKUP(C366,'Base de Datos'!$E$7:$AR$390,19,0)</f>
        <v>36369</v>
      </c>
      <c r="M366" s="533"/>
      <c r="N366" s="536" t="str">
        <f ca="1">IF(OR(O366=Hoja1!$D$17,'Presupuesto - PAA 2018'!O366=Hoja1!$D$18),'Presupuesto - PAA 2018'!L366," ")</f>
        <v xml:space="preserve"> </v>
      </c>
      <c r="O366" s="678" t="str">
        <f ca="1">VLOOKUP(C366,'Base de Datos'!$E$7:$AR$390,33,0)</f>
        <v>TERMINO</v>
      </c>
      <c r="P366" s="737"/>
      <c r="Q366" s="533"/>
      <c r="R366" s="743">
        <f>VLOOKUP(C366,'Base de Datos'!$E$7:$AR$390,9,0)</f>
        <v>41753</v>
      </c>
      <c r="S366" s="743">
        <f>VLOOKUP(C366,'Base de Datos'!$E$7:$AR$390,16,0)</f>
        <v>42117</v>
      </c>
      <c r="T366" s="678" t="str">
        <f>VLOOKUP(C366,'Base de Datos'!$E$7:$AR$390,40,0)</f>
        <v>Luisa Fernanda Gutiérrez</v>
      </c>
      <c r="U366" s="535"/>
    </row>
    <row r="367" spans="2:21" hidden="1" x14ac:dyDescent="0.25">
      <c r="B367" s="533"/>
      <c r="C367" s="533"/>
      <c r="D367" s="533"/>
      <c r="E367" s="533"/>
      <c r="F367" s="533"/>
      <c r="G367" s="533"/>
      <c r="H367" s="533"/>
      <c r="I367" s="533"/>
      <c r="J367" s="533"/>
      <c r="K367" s="600"/>
      <c r="L367" s="533"/>
      <c r="M367" s="533"/>
      <c r="N367" s="533"/>
      <c r="O367" s="691"/>
      <c r="P367" s="737"/>
      <c r="Q367" s="533"/>
      <c r="R367" s="744"/>
      <c r="S367" s="744"/>
      <c r="T367" s="533"/>
      <c r="U367" s="535"/>
    </row>
    <row r="368" spans="2:21" hidden="1" x14ac:dyDescent="0.25">
      <c r="B368" s="1181" t="s">
        <v>1669</v>
      </c>
      <c r="C368" s="1181"/>
      <c r="D368" s="1181"/>
      <c r="E368" s="581">
        <f>SUM(E370:E371)</f>
        <v>45986000</v>
      </c>
      <c r="F368" s="581">
        <f>SUM(F370:F371)</f>
        <v>45986000</v>
      </c>
      <c r="G368" s="586"/>
      <c r="H368" s="586"/>
      <c r="I368" s="586"/>
      <c r="J368" s="581">
        <f>SUM(J370:J371)</f>
        <v>28614047</v>
      </c>
      <c r="K368" s="603">
        <f>+J368/F368</f>
        <v>0.62223387552733445</v>
      </c>
      <c r="L368" s="581">
        <f>SUM(L370:L371)</f>
        <v>17371953</v>
      </c>
      <c r="M368" s="581"/>
      <c r="N368" s="581">
        <f ca="1">SUM(N370:N371)</f>
        <v>0</v>
      </c>
      <c r="O368" s="684"/>
      <c r="P368" s="591" t="str">
        <f>IF(ISERROR(VLOOKUP(B368,'Base de Datos'!$C$7:$N$315,8,0))=TRUE," ",(VLOOKUP(B368,'Base de Datos'!$C$7:$N$315,8,0)))</f>
        <v xml:space="preserve"> </v>
      </c>
      <c r="Q368" s="592"/>
      <c r="R368" s="745" t="str">
        <f>IF(ISERROR(VLOOKUP(B368,'Base de Datos'!$C$7:$N$315,9,0))=TRUE," ",(VLOOKUP(B368,'Base de Datos'!$C$7:$N$315,9,0)))</f>
        <v xml:space="preserve"> </v>
      </c>
      <c r="S368" s="745" t="str">
        <f>IF(ISERROR(VLOOKUP(B368,'Base de Datos'!$C$7:$N$315,10,0))=TRUE," ",(VLOOKUP(B368,'Base de Datos'!$C$7:$N$315,10,0)))</f>
        <v xml:space="preserve"> </v>
      </c>
      <c r="T368" s="592"/>
      <c r="U368" s="535"/>
    </row>
    <row r="369" spans="2:22" ht="24" hidden="1" x14ac:dyDescent="0.25">
      <c r="B369" s="537" t="s">
        <v>2128</v>
      </c>
      <c r="C369" s="537" t="s">
        <v>912</v>
      </c>
      <c r="D369" s="537" t="s">
        <v>1822</v>
      </c>
      <c r="E369" s="545" t="s">
        <v>1845</v>
      </c>
      <c r="F369" s="534" t="s">
        <v>2130</v>
      </c>
      <c r="G369" s="534"/>
      <c r="H369" s="534"/>
      <c r="I369" s="534"/>
      <c r="J369" s="537" t="s">
        <v>2131</v>
      </c>
      <c r="K369" s="652"/>
      <c r="L369" s="537" t="s">
        <v>1940</v>
      </c>
      <c r="M369" s="537"/>
      <c r="N369" s="537" t="s">
        <v>2137</v>
      </c>
      <c r="O369" s="677" t="s">
        <v>2134</v>
      </c>
      <c r="P369" s="568" t="s">
        <v>1818</v>
      </c>
      <c r="Q369" s="537" t="s">
        <v>1848</v>
      </c>
      <c r="R369" s="746" t="s">
        <v>1849</v>
      </c>
      <c r="S369" s="746" t="s">
        <v>375</v>
      </c>
      <c r="T369" s="537" t="s">
        <v>1850</v>
      </c>
      <c r="U369" s="535"/>
    </row>
    <row r="370" spans="2:22" ht="14.25" hidden="1" customHeight="1" x14ac:dyDescent="0.25">
      <c r="B370" s="533"/>
      <c r="C370" s="533" t="s">
        <v>1333</v>
      </c>
      <c r="D370" s="533" t="str">
        <f>VLOOKUP(C370,'Base de Datos'!$E$7:$AR$390,2,0)</f>
        <v>SISTEMA Y SEGURIDAD INDUSTRIAL COLOMBIANA E.U.</v>
      </c>
      <c r="E370" s="536">
        <f>VLOOKUP(C370,'Base de Datos'!$E$7:$AR$390,5,0)</f>
        <v>4136000</v>
      </c>
      <c r="F370" s="536">
        <f>VLOOKUP(C370,'Base de Datos'!$E$7:$AR$390,17,0)</f>
        <v>4136000</v>
      </c>
      <c r="G370" s="533"/>
      <c r="H370" s="533"/>
      <c r="I370" s="533"/>
      <c r="J370" s="536">
        <f>VLOOKUP(C370,'Base de Datos'!$E$7:$AR$390,18,0)</f>
        <v>2251047</v>
      </c>
      <c r="K370" s="600"/>
      <c r="L370" s="742">
        <f>VLOOKUP(C370,'Base de Datos'!$E$7:$AR$390,19,0)</f>
        <v>1884953</v>
      </c>
      <c r="M370" s="533"/>
      <c r="N370" s="536" t="str">
        <f ca="1">IF(OR(O370=Hoja1!$D$17,'Presupuesto - PAA 2018'!O370=Hoja1!$D$18),'Presupuesto - PAA 2018'!L370," ")</f>
        <v xml:space="preserve"> </v>
      </c>
      <c r="O370" s="678" t="str">
        <f ca="1">VLOOKUP(C370,'Base de Datos'!$E$7:$AR$390,33,0)</f>
        <v>TERMINO</v>
      </c>
      <c r="P370" s="737"/>
      <c r="Q370" s="533"/>
      <c r="R370" s="743">
        <f>VLOOKUP(C370,'Base de Datos'!$E$7:$AR$390,9,0)</f>
        <v>41935</v>
      </c>
      <c r="S370" s="743">
        <f>VLOOKUP(C370,'Base de Datos'!$E$7:$AR$390,16,0)</f>
        <v>42027</v>
      </c>
      <c r="T370" s="678" t="str">
        <f>VLOOKUP(C370,'Base de Datos'!$E$7:$AR$390,40,0)</f>
        <v>Judith Hernández</v>
      </c>
      <c r="U370" s="535"/>
    </row>
    <row r="371" spans="2:22" ht="24" hidden="1" x14ac:dyDescent="0.25">
      <c r="B371" s="533"/>
      <c r="C371" s="533" t="s">
        <v>1160</v>
      </c>
      <c r="D371" s="533" t="str">
        <f>VLOOKUP(C371,'Base de Datos'!$E$7:$AR$390,2,0)</f>
        <v>CENTRO DE DIAGNOSTICO Y TRATAMIENTO CENDIATRA LTDA</v>
      </c>
      <c r="E371" s="536">
        <f>VLOOKUP(C371,'Base de Datos'!$E$7:$AR$390,5,0)</f>
        <v>41850000</v>
      </c>
      <c r="F371" s="536">
        <f>VLOOKUP(C371,'Base de Datos'!$E$7:$AR$390,17,0)</f>
        <v>41850000</v>
      </c>
      <c r="G371" s="533"/>
      <c r="H371" s="533"/>
      <c r="I371" s="533"/>
      <c r="J371" s="536">
        <f>VLOOKUP(C371,'Base de Datos'!$E$7:$AR$390,18,0)</f>
        <v>26363000</v>
      </c>
      <c r="K371" s="600"/>
      <c r="L371" s="742">
        <f>VLOOKUP(C371,'Base de Datos'!$E$7:$AR$390,19,0)</f>
        <v>15487000</v>
      </c>
      <c r="M371" s="533"/>
      <c r="N371" s="536" t="str">
        <f ca="1">IF(OR(O371=Hoja1!$D$17,'Presupuesto - PAA 2018'!O371=Hoja1!$D$18),'Presupuesto - PAA 2018'!L371," ")</f>
        <v xml:space="preserve"> </v>
      </c>
      <c r="O371" s="678" t="str">
        <f ca="1">VLOOKUP(C371,'Base de Datos'!$E$7:$AR$390,33,0)</f>
        <v>TERMINO</v>
      </c>
      <c r="P371" s="737"/>
      <c r="Q371" s="533"/>
      <c r="R371" s="743">
        <f>VLOOKUP(C371,'Base de Datos'!$E$7:$AR$390,9,0)</f>
        <v>41926</v>
      </c>
      <c r="S371" s="743">
        <f>VLOOKUP(C371,'Base de Datos'!$E$7:$AR$390,16,0)</f>
        <v>42138</v>
      </c>
      <c r="T371" s="678" t="str">
        <f>VLOOKUP(C371,'Base de Datos'!$E$7:$AR$390,40,0)</f>
        <v>Alexander Avendaño</v>
      </c>
    </row>
    <row r="372" spans="2:22" hidden="1" x14ac:dyDescent="0.25">
      <c r="B372" s="533"/>
      <c r="C372" s="533"/>
      <c r="D372" s="533"/>
      <c r="E372" s="533"/>
      <c r="F372" s="533"/>
      <c r="G372" s="533"/>
      <c r="H372" s="533"/>
      <c r="I372" s="533"/>
      <c r="J372" s="533"/>
      <c r="K372" s="600"/>
      <c r="L372" s="533"/>
      <c r="M372" s="533"/>
      <c r="N372" s="533"/>
      <c r="O372" s="691"/>
      <c r="P372" s="737"/>
      <c r="Q372" s="533"/>
      <c r="R372" s="744"/>
      <c r="S372" s="744"/>
      <c r="T372" s="533"/>
    </row>
    <row r="373" spans="2:22" hidden="1" x14ac:dyDescent="0.25">
      <c r="B373" s="1181" t="s">
        <v>1672</v>
      </c>
      <c r="C373" s="1181"/>
      <c r="D373" s="1181"/>
      <c r="E373" s="581">
        <f>SUM(E375:E377)</f>
        <v>1067737824</v>
      </c>
      <c r="F373" s="581">
        <f>SUM(F375:F377)</f>
        <v>1127737824</v>
      </c>
      <c r="G373" s="586"/>
      <c r="H373" s="586"/>
      <c r="I373" s="586"/>
      <c r="J373" s="581">
        <f>SUM(J375:J377)</f>
        <v>1110000708</v>
      </c>
      <c r="K373" s="603">
        <f>+J373/F373</f>
        <v>0.98427195078277341</v>
      </c>
      <c r="L373" s="581">
        <f>SUM(L375:L377)</f>
        <v>17737116</v>
      </c>
      <c r="M373" s="581"/>
      <c r="N373" s="581">
        <f ca="1">SUM(N375:N377)</f>
        <v>0</v>
      </c>
      <c r="O373" s="684"/>
      <c r="P373" s="591" t="str">
        <f>IF(ISERROR(VLOOKUP(B373,'Base de Datos'!$C$7:$N$315,8,0))=TRUE," ",(VLOOKUP(B373,'Base de Datos'!$C$7:$N$315,8,0)))</f>
        <v xml:space="preserve"> </v>
      </c>
      <c r="Q373" s="592"/>
      <c r="R373" s="745" t="str">
        <f>IF(ISERROR(VLOOKUP(B373,'Base de Datos'!$C$7:$N$315,9,0))=TRUE," ",(VLOOKUP(B373,'Base de Datos'!$C$7:$N$315,9,0)))</f>
        <v xml:space="preserve"> </v>
      </c>
      <c r="S373" s="745" t="str">
        <f>IF(ISERROR(VLOOKUP(B373,'Base de Datos'!$C$7:$N$315,10,0))=TRUE," ",(VLOOKUP(B373,'Base de Datos'!$C$7:$N$315,10,0)))</f>
        <v xml:space="preserve"> </v>
      </c>
      <c r="T373" s="592"/>
    </row>
    <row r="374" spans="2:22" ht="24" hidden="1" x14ac:dyDescent="0.25">
      <c r="B374" s="537" t="s">
        <v>2128</v>
      </c>
      <c r="C374" s="537" t="s">
        <v>912</v>
      </c>
      <c r="D374" s="537" t="s">
        <v>1822</v>
      </c>
      <c r="E374" s="545" t="s">
        <v>1845</v>
      </c>
      <c r="F374" s="534" t="s">
        <v>2130</v>
      </c>
      <c r="G374" s="534"/>
      <c r="H374" s="534"/>
      <c r="I374" s="534"/>
      <c r="J374" s="537" t="s">
        <v>2131</v>
      </c>
      <c r="K374" s="652"/>
      <c r="L374" s="537" t="s">
        <v>1940</v>
      </c>
      <c r="M374" s="537"/>
      <c r="N374" s="537" t="s">
        <v>2137</v>
      </c>
      <c r="O374" s="677" t="s">
        <v>2134</v>
      </c>
      <c r="P374" s="568" t="s">
        <v>1818</v>
      </c>
      <c r="Q374" s="537" t="s">
        <v>1848</v>
      </c>
      <c r="R374" s="746" t="s">
        <v>1849</v>
      </c>
      <c r="S374" s="746" t="s">
        <v>375</v>
      </c>
      <c r="T374" s="537" t="s">
        <v>1850</v>
      </c>
    </row>
    <row r="375" spans="2:22" ht="24" hidden="1" x14ac:dyDescent="0.25">
      <c r="B375" s="533"/>
      <c r="C375" s="533" t="s">
        <v>1110</v>
      </c>
      <c r="D375" s="533" t="str">
        <f>VLOOKUP(C375,'Base de Datos'!$E$7:$AR$390,2,0)</f>
        <v>CANAL REGIONAL DE TELEVISION TEVEANDINA LTDA - TEVEANDINA LTDA</v>
      </c>
      <c r="E375" s="536">
        <f>VLOOKUP(C375,'Base de Datos'!$E$7:$AR$390,5,0)</f>
        <v>818527824</v>
      </c>
      <c r="F375" s="536">
        <f>VLOOKUP(C375,'Base de Datos'!$E$7:$AR$390,17,0)</f>
        <v>818527824</v>
      </c>
      <c r="G375" s="533"/>
      <c r="H375" s="533"/>
      <c r="I375" s="533"/>
      <c r="J375" s="536">
        <f>VLOOKUP(C375,'Base de Datos'!$E$7:$AR$390,18,0)</f>
        <v>800790708</v>
      </c>
      <c r="K375" s="600"/>
      <c r="L375" s="742">
        <f>VLOOKUP(C375,'Base de Datos'!$E$7:$AR$390,19,0)</f>
        <v>17737116</v>
      </c>
      <c r="M375" s="533"/>
      <c r="N375" s="536" t="str">
        <f ca="1">IF(OR(O375=Hoja1!$D$17,'Presupuesto - PAA 2018'!O375=Hoja1!$D$18),'Presupuesto - PAA 2018'!L375," ")</f>
        <v xml:space="preserve"> </v>
      </c>
      <c r="O375" s="678" t="str">
        <f ca="1">VLOOKUP(C375,'Base de Datos'!$E$7:$AR$390,33,0)</f>
        <v>TERMINO</v>
      </c>
      <c r="P375" s="737"/>
      <c r="Q375" s="533"/>
      <c r="R375" s="743">
        <f>VLOOKUP(C375,'Base de Datos'!$E$7:$AR$390,9,0)</f>
        <v>41921</v>
      </c>
      <c r="S375" s="743">
        <f>VLOOKUP(C375,'Base de Datos'!$E$7:$AR$390,16,0)</f>
        <v>42116</v>
      </c>
      <c r="T375" s="678" t="str">
        <f>VLOOKUP(C375,'Base de Datos'!$E$7:$AR$390,40,0)</f>
        <v>Ricardo Rojas</v>
      </c>
    </row>
    <row r="376" spans="2:22" hidden="1" x14ac:dyDescent="0.25">
      <c r="B376" s="533"/>
      <c r="C376" s="533" t="s">
        <v>1529</v>
      </c>
      <c r="D376" s="533" t="str">
        <f>VLOOKUP(C376,'Base de Datos'!$E$7:$AR$390,2,0)</f>
        <v>CENTURY MEDIA SAS</v>
      </c>
      <c r="E376" s="536">
        <f>VLOOKUP(C376,'Base de Datos'!$E$7:$AR$390,5,0)</f>
        <v>249210000</v>
      </c>
      <c r="F376" s="536">
        <f>VLOOKUP(C376,'Base de Datos'!$E$7:$AR$390,17,0)</f>
        <v>309210000</v>
      </c>
      <c r="G376" s="533"/>
      <c r="H376" s="533"/>
      <c r="I376" s="533"/>
      <c r="J376" s="536">
        <f>VLOOKUP(C376,'Base de Datos'!$E$7:$AR$390,18,0)</f>
        <v>309210000</v>
      </c>
      <c r="K376" s="600"/>
      <c r="L376" s="742">
        <f>VLOOKUP(C376,'Base de Datos'!$E$7:$AR$390,19,0)</f>
        <v>0</v>
      </c>
      <c r="M376" s="533"/>
      <c r="N376" s="536" t="str">
        <f ca="1">IF(OR(O376=Hoja1!$D$17,'Presupuesto - PAA 2018'!O376=Hoja1!$D$18),'Presupuesto - PAA 2018'!L376," ")</f>
        <v xml:space="preserve"> </v>
      </c>
      <c r="O376" s="678" t="str">
        <f ca="1">VLOOKUP(C376,'Base de Datos'!$E$7:$AR$390,33,0)</f>
        <v>TERMINO</v>
      </c>
      <c r="P376" s="737"/>
      <c r="Q376" s="533"/>
      <c r="R376" s="743">
        <f>VLOOKUP(C376,'Base de Datos'!$E$7:$AR$390,9,0)</f>
        <v>42017</v>
      </c>
      <c r="S376" s="743">
        <f>VLOOKUP(C376,'Base de Datos'!$E$7:$AR$390,16,0)</f>
        <v>42338</v>
      </c>
      <c r="T376" s="678" t="str">
        <f>VLOOKUP(C376,'Base de Datos'!$E$7:$AR$390,40,0)</f>
        <v>Ricardo Rojas</v>
      </c>
    </row>
    <row r="377" spans="2:22" hidden="1" x14ac:dyDescent="0.25">
      <c r="B377" s="533"/>
      <c r="C377" s="533"/>
      <c r="D377" s="533"/>
      <c r="E377" s="533"/>
      <c r="F377" s="533"/>
      <c r="G377" s="533"/>
      <c r="H377" s="533"/>
      <c r="I377" s="533"/>
      <c r="J377" s="533"/>
      <c r="K377" s="600"/>
      <c r="L377" s="533"/>
      <c r="M377" s="533"/>
      <c r="N377" s="533"/>
      <c r="O377" s="691"/>
      <c r="P377" s="737"/>
      <c r="Q377" s="533"/>
      <c r="R377" s="744"/>
      <c r="S377" s="744"/>
      <c r="T377" s="533"/>
    </row>
    <row r="378" spans="2:22" ht="15" hidden="1" customHeight="1" x14ac:dyDescent="0.25">
      <c r="B378" s="1182" t="s">
        <v>1673</v>
      </c>
      <c r="C378" s="1182"/>
      <c r="D378" s="1182"/>
      <c r="E378" s="539">
        <f>+E379</f>
        <v>12700000</v>
      </c>
      <c r="F378" s="631">
        <f>+F379</f>
        <v>12700000</v>
      </c>
      <c r="G378" s="540"/>
      <c r="H378" s="540"/>
      <c r="I378" s="540"/>
      <c r="J378" s="543">
        <f>+J379</f>
        <v>12458400</v>
      </c>
      <c r="K378" s="610">
        <f>+J378/F378</f>
        <v>0.98097637795275594</v>
      </c>
      <c r="L378" s="543">
        <f>+L379</f>
        <v>241600</v>
      </c>
      <c r="M378" s="543"/>
      <c r="N378" s="543">
        <f>SUM(N379)</f>
        <v>0</v>
      </c>
      <c r="O378" s="689"/>
      <c r="P378" s="575" t="str">
        <f>IF(ISERROR(VLOOKUP(B378,'Base de Datos'!$C$7:$N$315,8,0))=TRUE," ",(VLOOKUP(B378,'Base de Datos'!$C$7:$N$315,8,0)))</f>
        <v xml:space="preserve"> </v>
      </c>
      <c r="Q378" s="569"/>
      <c r="R378" s="747" t="str">
        <f>IF(ISERROR(VLOOKUP(B378,'Base de Datos'!$C$7:$N$315,9,0))=TRUE," ",(VLOOKUP(B378,'Base de Datos'!$C$7:$N$315,9,0)))</f>
        <v xml:space="preserve"> </v>
      </c>
      <c r="S378" s="747" t="str">
        <f>IF(ISERROR(VLOOKUP(B378,'Base de Datos'!$C$7:$N$315,10,0))=TRUE," ",(VLOOKUP(B378,'Base de Datos'!$C$7:$N$315,10,0)))</f>
        <v xml:space="preserve"> </v>
      </c>
      <c r="T378" s="569"/>
      <c r="U378" s="722"/>
      <c r="V378" s="634"/>
    </row>
    <row r="379" spans="2:22" hidden="1" x14ac:dyDescent="0.25">
      <c r="B379" s="1181" t="s">
        <v>2127</v>
      </c>
      <c r="C379" s="1181"/>
      <c r="D379" s="1181"/>
      <c r="E379" s="581">
        <f>+E381</f>
        <v>12700000</v>
      </c>
      <c r="F379" s="581">
        <f>+F381</f>
        <v>12700000</v>
      </c>
      <c r="G379" s="586"/>
      <c r="H379" s="586"/>
      <c r="I379" s="586"/>
      <c r="J379" s="581">
        <f>+J381</f>
        <v>12458400</v>
      </c>
      <c r="K379" s="603">
        <f>+J379/F379</f>
        <v>0.98097637795275594</v>
      </c>
      <c r="L379" s="581">
        <f>+L381</f>
        <v>241600</v>
      </c>
      <c r="M379" s="581"/>
      <c r="N379" s="581">
        <f>+N381</f>
        <v>0</v>
      </c>
      <c r="O379" s="684"/>
      <c r="P379" s="591" t="str">
        <f>IF(ISERROR(VLOOKUP(B379,'Base de Datos'!$C$7:$N$315,8,0))=TRUE," ",(VLOOKUP(B379,'Base de Datos'!$C$7:$N$315,8,0)))</f>
        <v xml:space="preserve"> </v>
      </c>
      <c r="Q379" s="592"/>
      <c r="R379" s="745" t="str">
        <f>IF(ISERROR(VLOOKUP(B379,'Base de Datos'!$C$7:$N$315,9,0))=TRUE," ",(VLOOKUP(B379,'Base de Datos'!$C$7:$N$315,9,0)))</f>
        <v xml:space="preserve"> </v>
      </c>
      <c r="S379" s="745" t="str">
        <f>IF(ISERROR(VLOOKUP(B379,'Base de Datos'!$C$7:$N$315,10,0))=TRUE," ",(VLOOKUP(B379,'Base de Datos'!$C$7:$N$315,10,0)))</f>
        <v xml:space="preserve"> </v>
      </c>
      <c r="T379" s="592"/>
    </row>
    <row r="380" spans="2:22" ht="24" hidden="1" x14ac:dyDescent="0.25">
      <c r="B380" s="537" t="s">
        <v>2128</v>
      </c>
      <c r="C380" s="537" t="s">
        <v>912</v>
      </c>
      <c r="D380" s="537" t="s">
        <v>1822</v>
      </c>
      <c r="E380" s="545" t="s">
        <v>1845</v>
      </c>
      <c r="F380" s="534" t="s">
        <v>2130</v>
      </c>
      <c r="G380" s="534"/>
      <c r="H380" s="534"/>
      <c r="I380" s="534"/>
      <c r="J380" s="537" t="s">
        <v>2131</v>
      </c>
      <c r="K380" s="652"/>
      <c r="L380" s="537" t="s">
        <v>1940</v>
      </c>
      <c r="M380" s="537"/>
      <c r="N380" s="537" t="s">
        <v>2137</v>
      </c>
      <c r="O380" s="677" t="s">
        <v>2134</v>
      </c>
      <c r="P380" s="568" t="s">
        <v>1818</v>
      </c>
      <c r="Q380" s="537" t="s">
        <v>1848</v>
      </c>
      <c r="R380" s="746" t="s">
        <v>1849</v>
      </c>
      <c r="S380" s="746" t="s">
        <v>375</v>
      </c>
      <c r="T380" s="537" t="s">
        <v>1850</v>
      </c>
    </row>
    <row r="381" spans="2:22" hidden="1" x14ac:dyDescent="0.25">
      <c r="B381" s="533"/>
      <c r="C381" s="533" t="s">
        <v>1485</v>
      </c>
      <c r="D381" s="533" t="str">
        <f>VLOOKUP(C381,'Base de Datos'!$E$7:$AR$390,2,0)</f>
        <v>RIGOBERTO GÓMEZ JAIMES</v>
      </c>
      <c r="E381" s="536">
        <f>VLOOKUP(C381,'Base de Datos'!$E$7:$AR$390,5,0)</f>
        <v>12700000</v>
      </c>
      <c r="F381" s="536">
        <f>VLOOKUP(C381,'Base de Datos'!$E$7:$AR$390,17,0)</f>
        <v>12700000</v>
      </c>
      <c r="G381" s="533"/>
      <c r="H381" s="533"/>
      <c r="I381" s="533"/>
      <c r="J381" s="536">
        <f>VLOOKUP(C381,'Base de Datos'!$E$7:$AR$390,18,0)</f>
        <v>12458400</v>
      </c>
      <c r="K381" s="600"/>
      <c r="L381" s="536">
        <f>VLOOKUP(C381,'Base de Datos'!$E$7:$AR$390,19,0)</f>
        <v>241600</v>
      </c>
      <c r="M381" s="533"/>
      <c r="N381" s="536"/>
      <c r="O381" s="751" t="str">
        <f ca="1">VLOOKUP(C381,'Base de Datos'!$E$7:$AR$390,33,0)</f>
        <v>TERMINO</v>
      </c>
      <c r="P381" s="737" t="s">
        <v>2136</v>
      </c>
      <c r="Q381" s="533"/>
      <c r="R381" s="743">
        <f>VLOOKUP(C381,'Base de Datos'!$E$7:$AR$390,9,0)</f>
        <v>41982</v>
      </c>
      <c r="S381" s="743">
        <f>VLOOKUP(C381,'Base de Datos'!$E$7:$AR$390,16,0)</f>
        <v>42044</v>
      </c>
      <c r="T381" s="678" t="str">
        <f>VLOOKUP(C381,'Base de Datos'!$E$7:$AR$390,40,0)</f>
        <v>Lizeth González</v>
      </c>
    </row>
    <row r="382" spans="2:22" hidden="1" x14ac:dyDescent="0.25">
      <c r="B382" s="533"/>
      <c r="C382" s="533"/>
      <c r="D382" s="533"/>
      <c r="E382" s="533"/>
      <c r="F382" s="533"/>
      <c r="G382" s="533"/>
      <c r="H382" s="533"/>
      <c r="I382" s="533"/>
      <c r="J382" s="533"/>
      <c r="K382" s="600"/>
      <c r="L382" s="533"/>
      <c r="M382" s="533"/>
      <c r="N382" s="533"/>
      <c r="O382" s="691"/>
      <c r="P382" s="737"/>
      <c r="Q382" s="533"/>
      <c r="R382" s="744"/>
      <c r="S382" s="744"/>
      <c r="T382" s="533"/>
    </row>
    <row r="383" spans="2:22" hidden="1" x14ac:dyDescent="0.25">
      <c r="B383" s="1183" t="s">
        <v>1688</v>
      </c>
      <c r="C383" s="1183"/>
      <c r="D383" s="1183"/>
      <c r="E383" s="541">
        <f t="shared" ref="E383:N387" si="19">+E384</f>
        <v>3039996697</v>
      </c>
      <c r="F383" s="541">
        <f t="shared" si="19"/>
        <v>4055604697</v>
      </c>
      <c r="G383" s="541">
        <f t="shared" si="19"/>
        <v>7542477000</v>
      </c>
      <c r="H383" s="541">
        <f t="shared" si="19"/>
        <v>0</v>
      </c>
      <c r="I383" s="541">
        <f t="shared" si="19"/>
        <v>7542477000</v>
      </c>
      <c r="J383" s="541">
        <f t="shared" si="19"/>
        <v>3880800698</v>
      </c>
      <c r="K383" s="583">
        <f t="shared" si="19"/>
        <v>0.95689816635006231</v>
      </c>
      <c r="L383" s="541">
        <f t="shared" si="19"/>
        <v>174803999</v>
      </c>
      <c r="M383" s="576"/>
      <c r="N383" s="541">
        <f t="shared" ca="1" si="19"/>
        <v>0</v>
      </c>
      <c r="O383" s="674"/>
      <c r="P383" s="576"/>
      <c r="Q383" s="571"/>
      <c r="R383" s="748" t="str">
        <f>IF(ISERROR(VLOOKUP(B383,'Base de Datos'!$C$7:$N$315,9,0))=TRUE," ",(VLOOKUP(B383,'Base de Datos'!$C$7:$N$315,9,0)))</f>
        <v xml:space="preserve"> </v>
      </c>
      <c r="S383" s="748" t="str">
        <f>IF(ISERROR(VLOOKUP(B383,'Base de Datos'!$C$7:$N$315,10,0))=TRUE," ",(VLOOKUP(B383,'Base de Datos'!$C$7:$N$315,10,0)))</f>
        <v xml:space="preserve"> </v>
      </c>
      <c r="T383" s="571"/>
    </row>
    <row r="384" spans="2:22" hidden="1" x14ac:dyDescent="0.25">
      <c r="B384" s="1182" t="s">
        <v>1687</v>
      </c>
      <c r="C384" s="1182"/>
      <c r="D384" s="1182"/>
      <c r="E384" s="539">
        <f t="shared" si="19"/>
        <v>3039996697</v>
      </c>
      <c r="F384" s="539">
        <f t="shared" si="19"/>
        <v>4055604697</v>
      </c>
      <c r="G384" s="543">
        <f t="shared" si="19"/>
        <v>7542477000</v>
      </c>
      <c r="H384" s="543">
        <f t="shared" si="19"/>
        <v>0</v>
      </c>
      <c r="I384" s="543">
        <f t="shared" si="19"/>
        <v>7542477000</v>
      </c>
      <c r="J384" s="543">
        <f t="shared" si="19"/>
        <v>3880800698</v>
      </c>
      <c r="K384" s="601">
        <f t="shared" si="19"/>
        <v>0.95689816635006231</v>
      </c>
      <c r="L384" s="543">
        <f t="shared" si="19"/>
        <v>174803999</v>
      </c>
      <c r="M384" s="543"/>
      <c r="N384" s="543">
        <f t="shared" ca="1" si="19"/>
        <v>0</v>
      </c>
      <c r="O384" s="689"/>
      <c r="P384" s="575" t="str">
        <f>IF(ISERROR(VLOOKUP(B384,'Base de Datos'!$C$7:$N$315,8,0))=TRUE," ",(VLOOKUP(B384,'Base de Datos'!$C$7:$N$315,8,0)))</f>
        <v xml:space="preserve"> </v>
      </c>
      <c r="Q384" s="569"/>
      <c r="R384" s="747" t="str">
        <f>IF(ISERROR(VLOOKUP(B384,'Base de Datos'!$C$7:$N$315,9,0))=TRUE," ",(VLOOKUP(B384,'Base de Datos'!$C$7:$N$315,9,0)))</f>
        <v xml:space="preserve"> </v>
      </c>
      <c r="S384" s="747" t="str">
        <f>IF(ISERROR(VLOOKUP(B384,'Base de Datos'!$C$7:$N$315,10,0))=TRUE," ",(VLOOKUP(B384,'Base de Datos'!$C$7:$N$315,10,0)))</f>
        <v xml:space="preserve"> </v>
      </c>
      <c r="T384" s="569"/>
    </row>
    <row r="385" spans="2:21" hidden="1" x14ac:dyDescent="0.25">
      <c r="B385" s="1180" t="s">
        <v>1676</v>
      </c>
      <c r="C385" s="1180"/>
      <c r="D385" s="1180"/>
      <c r="E385" s="543">
        <f t="shared" si="19"/>
        <v>3039996697</v>
      </c>
      <c r="F385" s="543">
        <f t="shared" si="19"/>
        <v>4055604697</v>
      </c>
      <c r="G385" s="543">
        <f t="shared" si="19"/>
        <v>7542477000</v>
      </c>
      <c r="H385" s="543">
        <f t="shared" si="19"/>
        <v>0</v>
      </c>
      <c r="I385" s="543">
        <f t="shared" si="19"/>
        <v>7542477000</v>
      </c>
      <c r="J385" s="543">
        <f t="shared" si="19"/>
        <v>3880800698</v>
      </c>
      <c r="K385" s="601">
        <f t="shared" si="19"/>
        <v>0.95689816635006231</v>
      </c>
      <c r="L385" s="543">
        <f t="shared" si="19"/>
        <v>174803999</v>
      </c>
      <c r="M385" s="543"/>
      <c r="N385" s="543">
        <f t="shared" ca="1" si="19"/>
        <v>0</v>
      </c>
      <c r="O385" s="689"/>
      <c r="P385" s="575" t="str">
        <f>IF(ISERROR(VLOOKUP(B385,'Base de Datos'!$C$7:$N$315,8,0))=TRUE," ",(VLOOKUP(B385,'Base de Datos'!$C$7:$N$315,8,0)))</f>
        <v xml:space="preserve"> </v>
      </c>
      <c r="Q385" s="569"/>
      <c r="R385" s="747" t="str">
        <f>IF(ISERROR(VLOOKUP(B385,'Base de Datos'!$C$7:$N$315,9,0))=TRUE," ",(VLOOKUP(B385,'Base de Datos'!$C$7:$N$315,9,0)))</f>
        <v xml:space="preserve"> </v>
      </c>
      <c r="S385" s="747" t="str">
        <f>IF(ISERROR(VLOOKUP(B385,'Base de Datos'!$C$7:$N$315,10,0))=TRUE," ",(VLOOKUP(B385,'Base de Datos'!$C$7:$N$315,10,0)))</f>
        <v xml:space="preserve"> </v>
      </c>
      <c r="T385" s="569"/>
    </row>
    <row r="386" spans="2:21" hidden="1" x14ac:dyDescent="0.25">
      <c r="B386" s="1180" t="s">
        <v>1837</v>
      </c>
      <c r="C386" s="1180"/>
      <c r="D386" s="1180"/>
      <c r="E386" s="543">
        <f t="shared" si="19"/>
        <v>3039996697</v>
      </c>
      <c r="F386" s="543">
        <f t="shared" si="19"/>
        <v>4055604697</v>
      </c>
      <c r="G386" s="543">
        <f t="shared" si="19"/>
        <v>7542477000</v>
      </c>
      <c r="H386" s="543">
        <f t="shared" si="19"/>
        <v>0</v>
      </c>
      <c r="I386" s="543">
        <f t="shared" si="19"/>
        <v>7542477000</v>
      </c>
      <c r="J386" s="543">
        <f t="shared" si="19"/>
        <v>3880800698</v>
      </c>
      <c r="K386" s="601">
        <f t="shared" si="19"/>
        <v>0.95689816635006231</v>
      </c>
      <c r="L386" s="543">
        <f t="shared" si="19"/>
        <v>174803999</v>
      </c>
      <c r="M386" s="543"/>
      <c r="N386" s="543">
        <f t="shared" ca="1" si="19"/>
        <v>0</v>
      </c>
      <c r="O386" s="689"/>
      <c r="P386" s="575" t="str">
        <f>IF(ISERROR(VLOOKUP(B386,'Base de Datos'!$C$7:$N$315,8,0))=TRUE," ",(VLOOKUP(B386,'Base de Datos'!$C$7:$N$315,8,0)))</f>
        <v xml:space="preserve"> </v>
      </c>
      <c r="Q386" s="569"/>
      <c r="R386" s="747" t="str">
        <f>IF(ISERROR(VLOOKUP(B386,'Base de Datos'!$C$7:$N$315,9,0))=TRUE," ",(VLOOKUP(B386,'Base de Datos'!$C$7:$N$315,9,0)))</f>
        <v xml:space="preserve"> </v>
      </c>
      <c r="S386" s="747" t="str">
        <f>IF(ISERROR(VLOOKUP(B386,'Base de Datos'!$C$7:$N$315,10,0))=TRUE," ",(VLOOKUP(B386,'Base de Datos'!$C$7:$N$315,10,0)))</f>
        <v xml:space="preserve"> </v>
      </c>
      <c r="T386" s="569"/>
    </row>
    <row r="387" spans="2:21" hidden="1" x14ac:dyDescent="0.25">
      <c r="B387" s="1180" t="s">
        <v>1836</v>
      </c>
      <c r="C387" s="1180"/>
      <c r="D387" s="1180"/>
      <c r="E387" s="543">
        <f t="shared" si="19"/>
        <v>3039996697</v>
      </c>
      <c r="F387" s="543">
        <f t="shared" si="19"/>
        <v>4055604697</v>
      </c>
      <c r="G387" s="543">
        <f t="shared" si="19"/>
        <v>7542477000</v>
      </c>
      <c r="H387" s="543">
        <f t="shared" si="19"/>
        <v>0</v>
      </c>
      <c r="I387" s="543">
        <f t="shared" si="19"/>
        <v>7542477000</v>
      </c>
      <c r="J387" s="543">
        <f t="shared" si="19"/>
        <v>3880800698</v>
      </c>
      <c r="K387" s="601">
        <f t="shared" si="19"/>
        <v>0.95689816635006231</v>
      </c>
      <c r="L387" s="543">
        <f t="shared" si="19"/>
        <v>174803999</v>
      </c>
      <c r="M387" s="543"/>
      <c r="N387" s="543">
        <f t="shared" ca="1" si="19"/>
        <v>0</v>
      </c>
      <c r="O387" s="689"/>
      <c r="P387" s="575" t="str">
        <f>IF(ISERROR(VLOOKUP(B387,'Base de Datos'!$C$7:$N$315,8,0))=TRUE," ",(VLOOKUP(B387,'Base de Datos'!$C$7:$N$315,8,0)))</f>
        <v xml:space="preserve"> </v>
      </c>
      <c r="Q387" s="569"/>
      <c r="R387" s="747" t="str">
        <f>IF(ISERROR(VLOOKUP(B387,'Base de Datos'!$C$7:$N$315,9,0))=TRUE," ",(VLOOKUP(B387,'Base de Datos'!$C$7:$N$315,9,0)))</f>
        <v xml:space="preserve"> </v>
      </c>
      <c r="S387" s="747" t="str">
        <f>IF(ISERROR(VLOOKUP(B387,'Base de Datos'!$C$7:$N$315,10,0))=TRUE," ",(VLOOKUP(B387,'Base de Datos'!$C$7:$N$315,10,0)))</f>
        <v xml:space="preserve"> </v>
      </c>
      <c r="T387" s="569"/>
      <c r="U387" s="535"/>
    </row>
    <row r="388" spans="2:21" hidden="1" x14ac:dyDescent="0.25">
      <c r="B388" s="1181" t="s">
        <v>1874</v>
      </c>
      <c r="C388" s="1181"/>
      <c r="D388" s="1181"/>
      <c r="E388" s="581">
        <f>SUM(E390:E397)</f>
        <v>3039996697</v>
      </c>
      <c r="F388" s="581">
        <f>SUM(F390:F397)</f>
        <v>4055604697</v>
      </c>
      <c r="G388" s="581">
        <v>7542477000</v>
      </c>
      <c r="H388" s="586"/>
      <c r="I388" s="581">
        <v>7542477000</v>
      </c>
      <c r="J388" s="581">
        <f>SUM(J390:J397)</f>
        <v>3880800698</v>
      </c>
      <c r="K388" s="603">
        <f>+J388/F388</f>
        <v>0.95689816635006231</v>
      </c>
      <c r="L388" s="581">
        <f>SUM(L390:L397)</f>
        <v>174803999</v>
      </c>
      <c r="M388" s="581"/>
      <c r="N388" s="581">
        <f ca="1">SUM(N390:N397)</f>
        <v>0</v>
      </c>
      <c r="O388" s="684"/>
      <c r="P388" s="591" t="str">
        <f>IF(ISERROR(VLOOKUP(B388,'Base de Datos'!$C$7:$N$315,8,0))=TRUE," ",(VLOOKUP(B388,'Base de Datos'!$C$7:$N$315,8,0)))</f>
        <v xml:space="preserve"> </v>
      </c>
      <c r="Q388" s="592"/>
      <c r="R388" s="745" t="str">
        <f>IF(ISERROR(VLOOKUP(B388,'Base de Datos'!$C$7:$N$315,9,0))=TRUE," ",(VLOOKUP(B388,'Base de Datos'!$C$7:$N$315,9,0)))</f>
        <v xml:space="preserve"> </v>
      </c>
      <c r="S388" s="745" t="str">
        <f>IF(ISERROR(VLOOKUP(B388,'Base de Datos'!$C$7:$N$315,10,0))=TRUE," ",(VLOOKUP(B388,'Base de Datos'!$C$7:$N$315,10,0)))</f>
        <v xml:space="preserve"> </v>
      </c>
      <c r="T388" s="592"/>
      <c r="U388" s="535"/>
    </row>
    <row r="389" spans="2:21" ht="24" hidden="1" x14ac:dyDescent="0.25">
      <c r="B389" s="537" t="s">
        <v>2128</v>
      </c>
      <c r="C389" s="537" t="s">
        <v>912</v>
      </c>
      <c r="D389" s="537" t="s">
        <v>1822</v>
      </c>
      <c r="E389" s="545" t="s">
        <v>1845</v>
      </c>
      <c r="F389" s="534" t="s">
        <v>2130</v>
      </c>
      <c r="G389" s="534"/>
      <c r="H389" s="534"/>
      <c r="I389" s="534"/>
      <c r="J389" s="537" t="s">
        <v>2131</v>
      </c>
      <c r="K389" s="652"/>
      <c r="L389" s="537" t="s">
        <v>1940</v>
      </c>
      <c r="M389" s="537"/>
      <c r="N389" s="537" t="s">
        <v>2137</v>
      </c>
      <c r="O389" s="677" t="s">
        <v>2134</v>
      </c>
      <c r="P389" s="568" t="s">
        <v>1818</v>
      </c>
      <c r="Q389" s="537" t="s">
        <v>1848</v>
      </c>
      <c r="R389" s="746" t="s">
        <v>1849</v>
      </c>
      <c r="S389" s="746" t="s">
        <v>375</v>
      </c>
      <c r="T389" s="537" t="s">
        <v>1850</v>
      </c>
      <c r="U389" s="535"/>
    </row>
    <row r="390" spans="2:21" hidden="1" x14ac:dyDescent="0.25">
      <c r="B390" s="533"/>
      <c r="C390" s="533" t="s">
        <v>1525</v>
      </c>
      <c r="D390" s="533" t="str">
        <f>VLOOKUP(C390,'Base de Datos'!$E$7:$AR$390,2,0)</f>
        <v>M@ICROTEL LTDA</v>
      </c>
      <c r="E390" s="536">
        <f>VLOOKUP(C390,'Base de Datos'!$E$7:$AR$390,5,0)</f>
        <v>137450000</v>
      </c>
      <c r="F390" s="536">
        <f>VLOOKUP(C390,'Base de Datos'!$E$7:$AR$390,17,0)</f>
        <v>137450000</v>
      </c>
      <c r="G390" s="533"/>
      <c r="H390" s="533"/>
      <c r="I390" s="533"/>
      <c r="J390" s="536">
        <f>VLOOKUP(C390,'Base de Datos'!$E$7:$AR$390,18,0)</f>
        <v>137449999</v>
      </c>
      <c r="K390" s="600"/>
      <c r="L390" s="742">
        <f>VLOOKUP(C390,'Base de Datos'!$E$7:$AR$390,19,0)</f>
        <v>1</v>
      </c>
      <c r="M390" s="533"/>
      <c r="N390" s="536" t="str">
        <f ca="1">IF(OR(O390=Hoja1!$D$17,'Presupuesto - PAA 2018'!O390=Hoja1!$D$18),'Presupuesto - PAA 2018'!L390," ")</f>
        <v xml:space="preserve"> </v>
      </c>
      <c r="O390" s="678" t="str">
        <f ca="1">VLOOKUP(C390,'Base de Datos'!$E$7:$AR$390,33,0)</f>
        <v>TERMINO</v>
      </c>
      <c r="P390" s="737"/>
      <c r="Q390" s="533"/>
      <c r="R390" s="743">
        <f>VLOOKUP(C390,'Base de Datos'!$E$7:$AR$390,9,0)</f>
        <v>42018</v>
      </c>
      <c r="S390" s="743">
        <f>VLOOKUP(C390,'Base de Datos'!$E$7:$AR$390,16,0)</f>
        <v>42383</v>
      </c>
      <c r="T390" s="678" t="str">
        <f>VLOOKUP(C390,'Base de Datos'!$E$7:$AR$390,40,0)</f>
        <v>Adriana Payares</v>
      </c>
      <c r="U390" s="535"/>
    </row>
    <row r="391" spans="2:21" hidden="1" x14ac:dyDescent="0.25">
      <c r="B391" s="533"/>
      <c r="C391" s="533" t="s">
        <v>1116</v>
      </c>
      <c r="D391" s="533" t="str">
        <f>VLOOKUP(C391,'Base de Datos'!$E$7:$AR$390,2,0)</f>
        <v>SUMIMAS SAS</v>
      </c>
      <c r="E391" s="536">
        <f>VLOOKUP(C391,'Base de Datos'!$E$7:$AR$390,5,0)</f>
        <v>75520000</v>
      </c>
      <c r="F391" s="536">
        <f>VLOOKUP(C391,'Base de Datos'!$E$7:$AR$390,17,0)</f>
        <v>75520000</v>
      </c>
      <c r="G391" s="533"/>
      <c r="H391" s="533"/>
      <c r="I391" s="533"/>
      <c r="J391" s="536">
        <f>VLOOKUP(C391,'Base de Datos'!$E$7:$AR$390,18,0)</f>
        <v>75519999</v>
      </c>
      <c r="K391" s="600"/>
      <c r="L391" s="742">
        <f>VLOOKUP(C391,'Base de Datos'!$E$7:$AR$390,19,0)</f>
        <v>1</v>
      </c>
      <c r="M391" s="533"/>
      <c r="N391" s="536" t="str">
        <f ca="1">IF(OR(O391=Hoja1!$D$17,'Presupuesto - PAA 2018'!O391=Hoja1!$D$18),'Presupuesto - PAA 2018'!L391," ")</f>
        <v xml:space="preserve"> </v>
      </c>
      <c r="O391" s="678" t="str">
        <f ca="1">VLOOKUP(C391,'Base de Datos'!$E$7:$AR$390,33,0)</f>
        <v>TERMINO</v>
      </c>
      <c r="P391" s="737"/>
      <c r="Q391" s="533"/>
      <c r="R391" s="743">
        <f>VLOOKUP(C391,'Base de Datos'!$E$7:$AR$390,9,0)</f>
        <v>41929</v>
      </c>
      <c r="S391" s="743">
        <f>VLOOKUP(C391,'Base de Datos'!$E$7:$AR$390,16,0)</f>
        <v>42369</v>
      </c>
      <c r="T391" s="678" t="str">
        <f>VLOOKUP(C391,'Base de Datos'!$E$7:$AR$390,40,0)</f>
        <v>Adriana Payares</v>
      </c>
      <c r="U391" s="535"/>
    </row>
    <row r="392" spans="2:21" hidden="1" x14ac:dyDescent="0.25">
      <c r="B392" s="533"/>
      <c r="C392" s="533" t="s">
        <v>1359</v>
      </c>
      <c r="D392" s="533" t="str">
        <f>VLOOKUP(C392,'Base de Datos'!$E$7:$AR$390,2,0)</f>
        <v>M@ICROTEL LTDA</v>
      </c>
      <c r="E392" s="536">
        <f>VLOOKUP(C392,'Base de Datos'!$E$7:$AR$390,5,0)</f>
        <v>27235640</v>
      </c>
      <c r="F392" s="536">
        <f>VLOOKUP(C392,'Base de Datos'!$E$7:$AR$390,17,0)</f>
        <v>27235640</v>
      </c>
      <c r="G392" s="533"/>
      <c r="H392" s="533"/>
      <c r="I392" s="533"/>
      <c r="J392" s="536">
        <f>VLOOKUP(C392,'Base de Datos'!$E$7:$AR$390,18,0)</f>
        <v>27235640</v>
      </c>
      <c r="K392" s="600"/>
      <c r="L392" s="742">
        <f>VLOOKUP(C392,'Base de Datos'!$E$7:$AR$390,19,0)</f>
        <v>0</v>
      </c>
      <c r="M392" s="533"/>
      <c r="N392" s="536" t="str">
        <f ca="1">IF(OR(O392=Hoja1!$D$17,'Presupuesto - PAA 2018'!O392=Hoja1!$D$18),'Presupuesto - PAA 2018'!L392," ")</f>
        <v xml:space="preserve"> </v>
      </c>
      <c r="O392" s="678" t="str">
        <f ca="1">VLOOKUP(C392,'Base de Datos'!$E$7:$AR$390,33,0)</f>
        <v>TERMINO</v>
      </c>
      <c r="P392" s="737"/>
      <c r="Q392" s="533"/>
      <c r="R392" s="743">
        <f>VLOOKUP(C392,'Base de Datos'!$E$7:$AR$390,9,0)</f>
        <v>41969</v>
      </c>
      <c r="S392" s="743">
        <f>VLOOKUP(C392,'Base de Datos'!$E$7:$AR$390,16,0)</f>
        <v>42334</v>
      </c>
      <c r="T392" s="678" t="str">
        <f>VLOOKUP(C392,'Base de Datos'!$E$7:$AR$390,40,0)</f>
        <v>Adriana Payares</v>
      </c>
      <c r="U392" s="535"/>
    </row>
    <row r="393" spans="2:21" ht="24" hidden="1" x14ac:dyDescent="0.25">
      <c r="B393" s="533"/>
      <c r="C393" s="533" t="s">
        <v>1366</v>
      </c>
      <c r="D393" s="533" t="str">
        <f>VLOOKUP(C393,'Base de Datos'!$E$7:$AR$390,2,0)</f>
        <v>CARLOS ALBERTO CASTELLANOS MEDINA</v>
      </c>
      <c r="E393" s="536">
        <f>VLOOKUP(C393,'Base de Datos'!$E$7:$AR$390,5,0)</f>
        <v>39999999</v>
      </c>
      <c r="F393" s="536">
        <f>VLOOKUP(C393,'Base de Datos'!$E$7:$AR$390,17,0)</f>
        <v>39999999</v>
      </c>
      <c r="G393" s="533"/>
      <c r="H393" s="533"/>
      <c r="I393" s="533"/>
      <c r="J393" s="536">
        <f>VLOOKUP(C393,'Base de Datos'!$E$7:$AR$390,18,0)</f>
        <v>39999998</v>
      </c>
      <c r="K393" s="600"/>
      <c r="L393" s="742">
        <f>VLOOKUP(C393,'Base de Datos'!$E$7:$AR$390,19,0)</f>
        <v>1</v>
      </c>
      <c r="M393" s="533"/>
      <c r="N393" s="536" t="str">
        <f ca="1">IF(OR(O393=Hoja1!$D$17,'Presupuesto - PAA 2018'!O393=Hoja1!$D$18),'Presupuesto - PAA 2018'!L393," ")</f>
        <v xml:space="preserve"> </v>
      </c>
      <c r="O393" s="678" t="str">
        <f ca="1">VLOOKUP(C393,'Base de Datos'!$E$7:$AR$390,33,0)</f>
        <v>TERMINO</v>
      </c>
      <c r="P393" s="737"/>
      <c r="Q393" s="533"/>
      <c r="R393" s="743">
        <f>VLOOKUP(C393,'Base de Datos'!$E$7:$AR$390,9,0)</f>
        <v>41957</v>
      </c>
      <c r="S393" s="743">
        <f>VLOOKUP(C393,'Base de Datos'!$E$7:$AR$390,16,0)</f>
        <v>42504</v>
      </c>
      <c r="T393" s="678" t="str">
        <f>VLOOKUP(C393,'Base de Datos'!$E$7:$AR$390,40,0)</f>
        <v>Alexander Avendaño</v>
      </c>
      <c r="U393" s="535"/>
    </row>
    <row r="394" spans="2:21" hidden="1" x14ac:dyDescent="0.25">
      <c r="B394" s="533"/>
      <c r="C394" s="533" t="s">
        <v>291</v>
      </c>
      <c r="D394" s="533" t="str">
        <f>VLOOKUP(C394,'Base de Datos'!$E$7:$AR$390,2,0)</f>
        <v>UNIDAD NACIONAL DE PROTECCIÓN</v>
      </c>
      <c r="E394" s="536">
        <f>VLOOKUP(C394,'Base de Datos'!$E$7:$AR$390,5,0)</f>
        <v>2447846100</v>
      </c>
      <c r="F394" s="536">
        <f>VLOOKUP(C394,'Base de Datos'!$E$7:$AR$390,17,0)</f>
        <v>3463454100</v>
      </c>
      <c r="G394" s="533"/>
      <c r="H394" s="533"/>
      <c r="I394" s="533"/>
      <c r="J394" s="536">
        <f>VLOOKUP(C394,'Base de Datos'!$E$7:$AR$390,18,0)</f>
        <v>3320263630</v>
      </c>
      <c r="K394" s="600"/>
      <c r="L394" s="742">
        <f>VLOOKUP(C394,'Base de Datos'!$E$7:$AR$390,19,0)</f>
        <v>143190470</v>
      </c>
      <c r="M394" s="533"/>
      <c r="N394" s="536" t="str">
        <f ca="1">IF(OR(O394=Hoja1!$D$17,'Presupuesto - PAA 2018'!O394=Hoja1!$D$18),'Presupuesto - PAA 2018'!L394," ")</f>
        <v xml:space="preserve"> </v>
      </c>
      <c r="O394" s="678" t="str">
        <f ca="1">VLOOKUP(C394,'Base de Datos'!$E$7:$AR$390,33,0)</f>
        <v>TERMINO</v>
      </c>
      <c r="P394" s="737"/>
      <c r="Q394" s="533"/>
      <c r="R394" s="743">
        <f>VLOOKUP(C394,'Base de Datos'!$E$7:$AR$390,9,0)</f>
        <v>41808</v>
      </c>
      <c r="S394" s="743">
        <f>VLOOKUP(C394,'Base de Datos'!$E$7:$AR$390,16,0)</f>
        <v>42116</v>
      </c>
      <c r="T394" s="678" t="str">
        <f>VLOOKUP(C394,'Base de Datos'!$E$7:$AR$390,40,0)</f>
        <v>Ricardo Rojas</v>
      </c>
      <c r="U394" s="535"/>
    </row>
    <row r="395" spans="2:21" ht="24" hidden="1" x14ac:dyDescent="0.25">
      <c r="B395" s="533"/>
      <c r="C395" s="533" t="s">
        <v>1516</v>
      </c>
      <c r="D395" s="533" t="str">
        <f>VLOOKUP(C395,'Base de Datos'!$E$7:$AR$390,2,0)</f>
        <v>KAWAK SAS</v>
      </c>
      <c r="E395" s="536">
        <f>VLOOKUP(C395,'Base de Datos'!$E$7:$AR$390,5,0)</f>
        <v>64621280</v>
      </c>
      <c r="F395" s="536">
        <f>VLOOKUP(C395,'Base de Datos'!$E$7:$AR$390,17,0)</f>
        <v>64621280</v>
      </c>
      <c r="G395" s="533"/>
      <c r="H395" s="533"/>
      <c r="I395" s="533"/>
      <c r="J395" s="536">
        <f>VLOOKUP(C395,'Base de Datos'!$E$7:$AR$390,18,0)</f>
        <v>64621280</v>
      </c>
      <c r="K395" s="600"/>
      <c r="L395" s="742">
        <f>VLOOKUP(C395,'Base de Datos'!$E$7:$AR$390,19,0)</f>
        <v>0</v>
      </c>
      <c r="M395" s="533"/>
      <c r="N395" s="536" t="str">
        <f ca="1">IF(OR(O395=Hoja1!$D$17,'Presupuesto - PAA 2018'!O395=Hoja1!$D$18),'Presupuesto - PAA 2018'!L395," ")</f>
        <v xml:space="preserve"> </v>
      </c>
      <c r="O395" s="678" t="str">
        <f ca="1">VLOOKUP(C395,'Base de Datos'!$E$7:$AR$390,33,0)</f>
        <v>TERMINO</v>
      </c>
      <c r="P395" s="737"/>
      <c r="Q395" s="533"/>
      <c r="R395" s="743">
        <f>VLOOKUP(C395,'Base de Datos'!$E$7:$AR$390,9,0)</f>
        <v>42045</v>
      </c>
      <c r="S395" s="743">
        <f>VLOOKUP(C395,'Base de Datos'!$E$7:$AR$390,16,0)</f>
        <v>42348</v>
      </c>
      <c r="T395" s="678" t="str">
        <f>VLOOKUP(C395,'Base de Datos'!$E$7:$AR$390,40,0)</f>
        <v>Alexander Avendaño</v>
      </c>
      <c r="U395" s="535"/>
    </row>
    <row r="396" spans="2:21" hidden="1" x14ac:dyDescent="0.25">
      <c r="B396" s="533"/>
      <c r="C396" s="533" t="s">
        <v>1497</v>
      </c>
      <c r="D396" s="533" t="str">
        <f>VLOOKUP(C396,'Base de Datos'!$E$7:$AR$390,2,0)</f>
        <v>GAMMA INGENIEROS S A</v>
      </c>
      <c r="E396" s="536">
        <f>VLOOKUP(C396,'Base de Datos'!$E$7:$AR$390,5,0)</f>
        <v>187940000</v>
      </c>
      <c r="F396" s="536">
        <f>VLOOKUP(C396,'Base de Datos'!$E$7:$AR$390,17,0)</f>
        <v>187940000</v>
      </c>
      <c r="G396" s="533"/>
      <c r="H396" s="533"/>
      <c r="I396" s="533"/>
      <c r="J396" s="536">
        <f>VLOOKUP(C396,'Base de Datos'!$E$7:$AR$390,18,0)</f>
        <v>187940000</v>
      </c>
      <c r="K396" s="600"/>
      <c r="L396" s="742">
        <f>VLOOKUP(C396,'Base de Datos'!$E$7:$AR$390,19,0)</f>
        <v>0</v>
      </c>
      <c r="M396" s="533"/>
      <c r="N396" s="536" t="str">
        <f ca="1">IF(OR(O396=Hoja1!$D$17,'Presupuesto - PAA 2018'!O396=Hoja1!$D$18),'Presupuesto - PAA 2018'!L396," ")</f>
        <v xml:space="preserve"> </v>
      </c>
      <c r="O396" s="678" t="str">
        <f ca="1">VLOOKUP(C396,'Base de Datos'!$E$7:$AR$390,33,0)</f>
        <v>TERMINO</v>
      </c>
      <c r="P396" s="737"/>
      <c r="Q396" s="533"/>
      <c r="R396" s="743">
        <f>VLOOKUP(C396,'Base de Datos'!$E$7:$AR$390,9,0)</f>
        <v>42023</v>
      </c>
      <c r="S396" s="743">
        <f>VLOOKUP(C396,'Base de Datos'!$E$7:$AR$390,16,0)</f>
        <v>42102</v>
      </c>
      <c r="T396" s="678" t="str">
        <f>VLOOKUP(C396,'Base de Datos'!$E$7:$AR$390,40,0)</f>
        <v>Adriana Payares</v>
      </c>
      <c r="U396" s="535"/>
    </row>
    <row r="397" spans="2:21" hidden="1" x14ac:dyDescent="0.25">
      <c r="B397" s="533"/>
      <c r="C397" s="533" t="s">
        <v>1351</v>
      </c>
      <c r="D397" s="533" t="str">
        <f>VLOOKUP(C397,'Base de Datos'!$E$7:$AR$390,2,0)</f>
        <v>PROSEGUR TECNOLOGÍA S.A.S.</v>
      </c>
      <c r="E397" s="536">
        <f>VLOOKUP(C397,'Base de Datos'!$E$7:$AR$390,5,0)</f>
        <v>59383678</v>
      </c>
      <c r="F397" s="536">
        <f>VLOOKUP(C397,'Base de Datos'!$E$7:$AR$390,17,0)</f>
        <v>59383678</v>
      </c>
      <c r="G397" s="533"/>
      <c r="H397" s="533"/>
      <c r="I397" s="533"/>
      <c r="J397" s="536">
        <f>VLOOKUP(C397,'Base de Datos'!$E$7:$AR$390,18,0)</f>
        <v>27770152</v>
      </c>
      <c r="K397" s="600"/>
      <c r="L397" s="742">
        <f>VLOOKUP(C397,'Base de Datos'!$E$7:$AR$390,19,0)</f>
        <v>31613526</v>
      </c>
      <c r="M397" s="533"/>
      <c r="N397" s="536" t="str">
        <f ca="1">IF(OR(O397=Hoja1!$D$17,'Presupuesto - PAA 2018'!O397=Hoja1!$D$18),'Presupuesto - PAA 2018'!L397," ")</f>
        <v xml:space="preserve"> </v>
      </c>
      <c r="O397" s="678" t="str">
        <f ca="1">VLOOKUP(C397,'Base de Datos'!$E$7:$AR$390,33,0)</f>
        <v>TERMINO</v>
      </c>
      <c r="P397" s="737"/>
      <c r="Q397" s="533"/>
      <c r="R397" s="743">
        <f>VLOOKUP(C397,'Base de Datos'!$E$7:$AR$390,9,0)</f>
        <v>41941</v>
      </c>
      <c r="S397" s="743">
        <f>VLOOKUP(C397,'Base de Datos'!$E$7:$AR$390,16,0)</f>
        <v>42184</v>
      </c>
      <c r="T397" s="678" t="str">
        <f>VLOOKUP(C397,'Base de Datos'!$E$7:$AR$390,40,0)</f>
        <v>Adriana Payares</v>
      </c>
      <c r="U397" s="535"/>
    </row>
    <row r="398" spans="2:21" x14ac:dyDescent="0.25">
      <c r="R398" s="749"/>
      <c r="S398" s="749"/>
      <c r="U398" s="535"/>
    </row>
  </sheetData>
  <mergeCells count="95">
    <mergeCell ref="B384:D384"/>
    <mergeCell ref="B385:D385"/>
    <mergeCell ref="B386:D386"/>
    <mergeCell ref="B387:D387"/>
    <mergeCell ref="B388:D388"/>
    <mergeCell ref="B383:D383"/>
    <mergeCell ref="B328:D328"/>
    <mergeCell ref="B347:D347"/>
    <mergeCell ref="B348:D348"/>
    <mergeCell ref="B353:D353"/>
    <mergeCell ref="B354:D354"/>
    <mergeCell ref="B359:D359"/>
    <mergeCell ref="B363:D363"/>
    <mergeCell ref="B368:D368"/>
    <mergeCell ref="B373:D373"/>
    <mergeCell ref="B378:D378"/>
    <mergeCell ref="B379:D379"/>
    <mergeCell ref="B327:D327"/>
    <mergeCell ref="B277:D277"/>
    <mergeCell ref="B285:D285"/>
    <mergeCell ref="B289:D289"/>
    <mergeCell ref="B290:D290"/>
    <mergeCell ref="B291:D291"/>
    <mergeCell ref="B300:D300"/>
    <mergeCell ref="B307:D307"/>
    <mergeCell ref="B312:D312"/>
    <mergeCell ref="B313:D313"/>
    <mergeCell ref="B317:D317"/>
    <mergeCell ref="B323:D323"/>
    <mergeCell ref="B276:D276"/>
    <mergeCell ref="C242:D242"/>
    <mergeCell ref="C244:D244"/>
    <mergeCell ref="C249:D249"/>
    <mergeCell ref="C251:D251"/>
    <mergeCell ref="C264:D264"/>
    <mergeCell ref="B270:D270"/>
    <mergeCell ref="B271:D271"/>
    <mergeCell ref="B272:D272"/>
    <mergeCell ref="B273:D273"/>
    <mergeCell ref="B274:D274"/>
    <mergeCell ref="B275:D275"/>
    <mergeCell ref="C241:D241"/>
    <mergeCell ref="B216:D216"/>
    <mergeCell ref="B217:D217"/>
    <mergeCell ref="B221:D221"/>
    <mergeCell ref="B226:D226"/>
    <mergeCell ref="B227:D227"/>
    <mergeCell ref="B228:D228"/>
    <mergeCell ref="B229:D229"/>
    <mergeCell ref="B230:D230"/>
    <mergeCell ref="B231:D231"/>
    <mergeCell ref="C233:D233"/>
    <mergeCell ref="C234:D234"/>
    <mergeCell ref="B209:D209"/>
    <mergeCell ref="B159:D159"/>
    <mergeCell ref="B163:D163"/>
    <mergeCell ref="B167:D167"/>
    <mergeCell ref="B171:D171"/>
    <mergeCell ref="B175:D175"/>
    <mergeCell ref="B176:D176"/>
    <mergeCell ref="B180:D180"/>
    <mergeCell ref="B188:D188"/>
    <mergeCell ref="B196:D196"/>
    <mergeCell ref="B204:D204"/>
    <mergeCell ref="B205:D205"/>
    <mergeCell ref="B158:D158"/>
    <mergeCell ref="B75:D75"/>
    <mergeCell ref="B82:D82"/>
    <mergeCell ref="B90:D90"/>
    <mergeCell ref="B91:D91"/>
    <mergeCell ref="B100:D100"/>
    <mergeCell ref="B116:D116"/>
    <mergeCell ref="B117:D117"/>
    <mergeCell ref="B139:D139"/>
    <mergeCell ref="B140:D140"/>
    <mergeCell ref="B147:D147"/>
    <mergeCell ref="B154:D154"/>
    <mergeCell ref="B74:D74"/>
    <mergeCell ref="B7:D7"/>
    <mergeCell ref="B8:D8"/>
    <mergeCell ref="B32:D32"/>
    <mergeCell ref="B33:D33"/>
    <mergeCell ref="B34:D34"/>
    <mergeCell ref="B37:D37"/>
    <mergeCell ref="B48:D48"/>
    <mergeCell ref="B49:D49"/>
    <mergeCell ref="B50:D50"/>
    <mergeCell ref="B51:D51"/>
    <mergeCell ref="B73:D73"/>
    <mergeCell ref="B6:D6"/>
    <mergeCell ref="B1:T1"/>
    <mergeCell ref="B2:D2"/>
    <mergeCell ref="B3:D3"/>
    <mergeCell ref="B4:D4"/>
    <mergeCell ref="B5:D5"/>
  </mergeCells>
  <pageMargins left="0.7" right="0.7" top="0.75" bottom="0.75" header="0.3" footer="0.3"/>
  <pageSetup paperSize="14" scale="55"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K801"/>
  <sheetViews>
    <sheetView workbookViewId="0">
      <pane xSplit="1" ySplit="1" topLeftCell="B108" activePane="bottomRight" state="frozen"/>
      <selection activeCell="AT677" sqref="AT677"/>
      <selection pane="topRight" activeCell="AT677" sqref="AT677"/>
      <selection pane="bottomLeft" activeCell="AT677" sqref="AT677"/>
      <selection pane="bottomRight" activeCell="B18" sqref="B18"/>
    </sheetView>
  </sheetViews>
  <sheetFormatPr baseColWidth="10" defaultRowHeight="12.75" x14ac:dyDescent="0.2"/>
  <cols>
    <col min="1" max="1" width="9.140625" style="913" customWidth="1"/>
    <col min="2" max="3" width="19.7109375" style="913" customWidth="1"/>
    <col min="4" max="4" width="44.42578125" style="913" customWidth="1"/>
    <col min="5" max="5" width="20.5703125" style="940" customWidth="1"/>
    <col min="6" max="6" width="21.85546875" style="942" customWidth="1"/>
    <col min="7" max="7" width="37.85546875" style="942" customWidth="1"/>
    <col min="8" max="8" width="29.28515625" style="942" customWidth="1"/>
    <col min="9" max="9" width="22.28515625" style="940" customWidth="1"/>
    <col min="10" max="10" width="16.7109375" style="913" customWidth="1"/>
    <col min="11" max="11" width="15.85546875" style="913" customWidth="1"/>
    <col min="12" max="257" width="11.42578125" style="913"/>
    <col min="258" max="258" width="9.140625" style="913" customWidth="1"/>
    <col min="259" max="259" width="19.7109375" style="913" customWidth="1"/>
    <col min="260" max="260" width="44.42578125" style="913" customWidth="1"/>
    <col min="261" max="261" width="18.140625" style="913" customWidth="1"/>
    <col min="262" max="262" width="21.85546875" style="913" customWidth="1"/>
    <col min="263" max="263" width="20.42578125" style="913" customWidth="1"/>
    <col min="264" max="513" width="11.42578125" style="913"/>
    <col min="514" max="514" width="9.140625" style="913" customWidth="1"/>
    <col min="515" max="515" width="19.7109375" style="913" customWidth="1"/>
    <col min="516" max="516" width="44.42578125" style="913" customWidth="1"/>
    <col min="517" max="517" width="18.140625" style="913" customWidth="1"/>
    <col min="518" max="518" width="21.85546875" style="913" customWidth="1"/>
    <col min="519" max="519" width="20.42578125" style="913" customWidth="1"/>
    <col min="520" max="769" width="11.42578125" style="913"/>
    <col min="770" max="770" width="9.140625" style="913" customWidth="1"/>
    <col min="771" max="771" width="19.7109375" style="913" customWidth="1"/>
    <col min="772" max="772" width="44.42578125" style="913" customWidth="1"/>
    <col min="773" max="773" width="18.140625" style="913" customWidth="1"/>
    <col min="774" max="774" width="21.85546875" style="913" customWidth="1"/>
    <col min="775" max="775" width="20.42578125" style="913" customWidth="1"/>
    <col min="776" max="1025" width="11.42578125" style="913"/>
    <col min="1026" max="1026" width="9.140625" style="913" customWidth="1"/>
    <col min="1027" max="1027" width="19.7109375" style="913" customWidth="1"/>
    <col min="1028" max="1028" width="44.42578125" style="913" customWidth="1"/>
    <col min="1029" max="1029" width="18.140625" style="913" customWidth="1"/>
    <col min="1030" max="1030" width="21.85546875" style="913" customWidth="1"/>
    <col min="1031" max="1031" width="20.42578125" style="913" customWidth="1"/>
    <col min="1032" max="1281" width="11.42578125" style="913"/>
    <col min="1282" max="1282" width="9.140625" style="913" customWidth="1"/>
    <col min="1283" max="1283" width="19.7109375" style="913" customWidth="1"/>
    <col min="1284" max="1284" width="44.42578125" style="913" customWidth="1"/>
    <col min="1285" max="1285" width="18.140625" style="913" customWidth="1"/>
    <col min="1286" max="1286" width="21.85546875" style="913" customWidth="1"/>
    <col min="1287" max="1287" width="20.42578125" style="913" customWidth="1"/>
    <col min="1288" max="1537" width="11.42578125" style="913"/>
    <col min="1538" max="1538" width="9.140625" style="913" customWidth="1"/>
    <col min="1539" max="1539" width="19.7109375" style="913" customWidth="1"/>
    <col min="1540" max="1540" width="44.42578125" style="913" customWidth="1"/>
    <col min="1541" max="1541" width="18.140625" style="913" customWidth="1"/>
    <col min="1542" max="1542" width="21.85546875" style="913" customWidth="1"/>
    <col min="1543" max="1543" width="20.42578125" style="913" customWidth="1"/>
    <col min="1544" max="1793" width="11.42578125" style="913"/>
    <col min="1794" max="1794" width="9.140625" style="913" customWidth="1"/>
    <col min="1795" max="1795" width="19.7109375" style="913" customWidth="1"/>
    <col min="1796" max="1796" width="44.42578125" style="913" customWidth="1"/>
    <col min="1797" max="1797" width="18.140625" style="913" customWidth="1"/>
    <col min="1798" max="1798" width="21.85546875" style="913" customWidth="1"/>
    <col min="1799" max="1799" width="20.42578125" style="913" customWidth="1"/>
    <col min="1800" max="2049" width="11.42578125" style="913"/>
    <col min="2050" max="2050" width="9.140625" style="913" customWidth="1"/>
    <col min="2051" max="2051" width="19.7109375" style="913" customWidth="1"/>
    <col min="2052" max="2052" width="44.42578125" style="913" customWidth="1"/>
    <col min="2053" max="2053" width="18.140625" style="913" customWidth="1"/>
    <col min="2054" max="2054" width="21.85546875" style="913" customWidth="1"/>
    <col min="2055" max="2055" width="20.42578125" style="913" customWidth="1"/>
    <col min="2056" max="2305" width="11.42578125" style="913"/>
    <col min="2306" max="2306" width="9.140625" style="913" customWidth="1"/>
    <col min="2307" max="2307" width="19.7109375" style="913" customWidth="1"/>
    <col min="2308" max="2308" width="44.42578125" style="913" customWidth="1"/>
    <col min="2309" max="2309" width="18.140625" style="913" customWidth="1"/>
    <col min="2310" max="2310" width="21.85546875" style="913" customWidth="1"/>
    <col min="2311" max="2311" width="20.42578125" style="913" customWidth="1"/>
    <col min="2312" max="2561" width="11.42578125" style="913"/>
    <col min="2562" max="2562" width="9.140625" style="913" customWidth="1"/>
    <col min="2563" max="2563" width="19.7109375" style="913" customWidth="1"/>
    <col min="2564" max="2564" width="44.42578125" style="913" customWidth="1"/>
    <col min="2565" max="2565" width="18.140625" style="913" customWidth="1"/>
    <col min="2566" max="2566" width="21.85546875" style="913" customWidth="1"/>
    <col min="2567" max="2567" width="20.42578125" style="913" customWidth="1"/>
    <col min="2568" max="2817" width="11.42578125" style="913"/>
    <col min="2818" max="2818" width="9.140625" style="913" customWidth="1"/>
    <col min="2819" max="2819" width="19.7109375" style="913" customWidth="1"/>
    <col min="2820" max="2820" width="44.42578125" style="913" customWidth="1"/>
    <col min="2821" max="2821" width="18.140625" style="913" customWidth="1"/>
    <col min="2822" max="2822" width="21.85546875" style="913" customWidth="1"/>
    <col min="2823" max="2823" width="20.42578125" style="913" customWidth="1"/>
    <col min="2824" max="3073" width="11.42578125" style="913"/>
    <col min="3074" max="3074" width="9.140625" style="913" customWidth="1"/>
    <col min="3075" max="3075" width="19.7109375" style="913" customWidth="1"/>
    <col min="3076" max="3076" width="44.42578125" style="913" customWidth="1"/>
    <col min="3077" max="3077" width="18.140625" style="913" customWidth="1"/>
    <col min="3078" max="3078" width="21.85546875" style="913" customWidth="1"/>
    <col min="3079" max="3079" width="20.42578125" style="913" customWidth="1"/>
    <col min="3080" max="3329" width="11.42578125" style="913"/>
    <col min="3330" max="3330" width="9.140625" style="913" customWidth="1"/>
    <col min="3331" max="3331" width="19.7109375" style="913" customWidth="1"/>
    <col min="3332" max="3332" width="44.42578125" style="913" customWidth="1"/>
    <col min="3333" max="3333" width="18.140625" style="913" customWidth="1"/>
    <col min="3334" max="3334" width="21.85546875" style="913" customWidth="1"/>
    <col min="3335" max="3335" width="20.42578125" style="913" customWidth="1"/>
    <col min="3336" max="3585" width="11.42578125" style="913"/>
    <col min="3586" max="3586" width="9.140625" style="913" customWidth="1"/>
    <col min="3587" max="3587" width="19.7109375" style="913" customWidth="1"/>
    <col min="3588" max="3588" width="44.42578125" style="913" customWidth="1"/>
    <col min="3589" max="3589" width="18.140625" style="913" customWidth="1"/>
    <col min="3590" max="3590" width="21.85546875" style="913" customWidth="1"/>
    <col min="3591" max="3591" width="20.42578125" style="913" customWidth="1"/>
    <col min="3592" max="3841" width="11.42578125" style="913"/>
    <col min="3842" max="3842" width="9.140625" style="913" customWidth="1"/>
    <col min="3843" max="3843" width="19.7109375" style="913" customWidth="1"/>
    <col min="3844" max="3844" width="44.42578125" style="913" customWidth="1"/>
    <col min="3845" max="3845" width="18.140625" style="913" customWidth="1"/>
    <col min="3846" max="3846" width="21.85546875" style="913" customWidth="1"/>
    <col min="3847" max="3847" width="20.42578125" style="913" customWidth="1"/>
    <col min="3848" max="4097" width="11.42578125" style="913"/>
    <col min="4098" max="4098" width="9.140625" style="913" customWidth="1"/>
    <col min="4099" max="4099" width="19.7109375" style="913" customWidth="1"/>
    <col min="4100" max="4100" width="44.42578125" style="913" customWidth="1"/>
    <col min="4101" max="4101" width="18.140625" style="913" customWidth="1"/>
    <col min="4102" max="4102" width="21.85546875" style="913" customWidth="1"/>
    <col min="4103" max="4103" width="20.42578125" style="913" customWidth="1"/>
    <col min="4104" max="4353" width="11.42578125" style="913"/>
    <col min="4354" max="4354" width="9.140625" style="913" customWidth="1"/>
    <col min="4355" max="4355" width="19.7109375" style="913" customWidth="1"/>
    <col min="4356" max="4356" width="44.42578125" style="913" customWidth="1"/>
    <col min="4357" max="4357" width="18.140625" style="913" customWidth="1"/>
    <col min="4358" max="4358" width="21.85546875" style="913" customWidth="1"/>
    <col min="4359" max="4359" width="20.42578125" style="913" customWidth="1"/>
    <col min="4360" max="4609" width="11.42578125" style="913"/>
    <col min="4610" max="4610" width="9.140625" style="913" customWidth="1"/>
    <col min="4611" max="4611" width="19.7109375" style="913" customWidth="1"/>
    <col min="4612" max="4612" width="44.42578125" style="913" customWidth="1"/>
    <col min="4613" max="4613" width="18.140625" style="913" customWidth="1"/>
    <col min="4614" max="4614" width="21.85546875" style="913" customWidth="1"/>
    <col min="4615" max="4615" width="20.42578125" style="913" customWidth="1"/>
    <col min="4616" max="4865" width="11.42578125" style="913"/>
    <col min="4866" max="4866" width="9.140625" style="913" customWidth="1"/>
    <col min="4867" max="4867" width="19.7109375" style="913" customWidth="1"/>
    <col min="4868" max="4868" width="44.42578125" style="913" customWidth="1"/>
    <col min="4869" max="4869" width="18.140625" style="913" customWidth="1"/>
    <col min="4870" max="4870" width="21.85546875" style="913" customWidth="1"/>
    <col min="4871" max="4871" width="20.42578125" style="913" customWidth="1"/>
    <col min="4872" max="5121" width="11.42578125" style="913"/>
    <col min="5122" max="5122" width="9.140625" style="913" customWidth="1"/>
    <col min="5123" max="5123" width="19.7109375" style="913" customWidth="1"/>
    <col min="5124" max="5124" width="44.42578125" style="913" customWidth="1"/>
    <col min="5125" max="5125" width="18.140625" style="913" customWidth="1"/>
    <col min="5126" max="5126" width="21.85546875" style="913" customWidth="1"/>
    <col min="5127" max="5127" width="20.42578125" style="913" customWidth="1"/>
    <col min="5128" max="5377" width="11.42578125" style="913"/>
    <col min="5378" max="5378" width="9.140625" style="913" customWidth="1"/>
    <col min="5379" max="5379" width="19.7109375" style="913" customWidth="1"/>
    <col min="5380" max="5380" width="44.42578125" style="913" customWidth="1"/>
    <col min="5381" max="5381" width="18.140625" style="913" customWidth="1"/>
    <col min="5382" max="5382" width="21.85546875" style="913" customWidth="1"/>
    <col min="5383" max="5383" width="20.42578125" style="913" customWidth="1"/>
    <col min="5384" max="5633" width="11.42578125" style="913"/>
    <col min="5634" max="5634" width="9.140625" style="913" customWidth="1"/>
    <col min="5635" max="5635" width="19.7109375" style="913" customWidth="1"/>
    <col min="5636" max="5636" width="44.42578125" style="913" customWidth="1"/>
    <col min="5637" max="5637" width="18.140625" style="913" customWidth="1"/>
    <col min="5638" max="5638" width="21.85546875" style="913" customWidth="1"/>
    <col min="5639" max="5639" width="20.42578125" style="913" customWidth="1"/>
    <col min="5640" max="5889" width="11.42578125" style="913"/>
    <col min="5890" max="5890" width="9.140625" style="913" customWidth="1"/>
    <col min="5891" max="5891" width="19.7109375" style="913" customWidth="1"/>
    <col min="5892" max="5892" width="44.42578125" style="913" customWidth="1"/>
    <col min="5893" max="5893" width="18.140625" style="913" customWidth="1"/>
    <col min="5894" max="5894" width="21.85546875" style="913" customWidth="1"/>
    <col min="5895" max="5895" width="20.42578125" style="913" customWidth="1"/>
    <col min="5896" max="6145" width="11.42578125" style="913"/>
    <col min="6146" max="6146" width="9.140625" style="913" customWidth="1"/>
    <col min="6147" max="6147" width="19.7109375" style="913" customWidth="1"/>
    <col min="6148" max="6148" width="44.42578125" style="913" customWidth="1"/>
    <col min="6149" max="6149" width="18.140625" style="913" customWidth="1"/>
    <col min="6150" max="6150" width="21.85546875" style="913" customWidth="1"/>
    <col min="6151" max="6151" width="20.42578125" style="913" customWidth="1"/>
    <col min="6152" max="6401" width="11.42578125" style="913"/>
    <col min="6402" max="6402" width="9.140625" style="913" customWidth="1"/>
    <col min="6403" max="6403" width="19.7109375" style="913" customWidth="1"/>
    <col min="6404" max="6404" width="44.42578125" style="913" customWidth="1"/>
    <col min="6405" max="6405" width="18.140625" style="913" customWidth="1"/>
    <col min="6406" max="6406" width="21.85546875" style="913" customWidth="1"/>
    <col min="6407" max="6407" width="20.42578125" style="913" customWidth="1"/>
    <col min="6408" max="6657" width="11.42578125" style="913"/>
    <col min="6658" max="6658" width="9.140625" style="913" customWidth="1"/>
    <col min="6659" max="6659" width="19.7109375" style="913" customWidth="1"/>
    <col min="6660" max="6660" width="44.42578125" style="913" customWidth="1"/>
    <col min="6661" max="6661" width="18.140625" style="913" customWidth="1"/>
    <col min="6662" max="6662" width="21.85546875" style="913" customWidth="1"/>
    <col min="6663" max="6663" width="20.42578125" style="913" customWidth="1"/>
    <col min="6664" max="6913" width="11.42578125" style="913"/>
    <col min="6914" max="6914" width="9.140625" style="913" customWidth="1"/>
    <col min="6915" max="6915" width="19.7109375" style="913" customWidth="1"/>
    <col min="6916" max="6916" width="44.42578125" style="913" customWidth="1"/>
    <col min="6917" max="6917" width="18.140625" style="913" customWidth="1"/>
    <col min="6918" max="6918" width="21.85546875" style="913" customWidth="1"/>
    <col min="6919" max="6919" width="20.42578125" style="913" customWidth="1"/>
    <col min="6920" max="7169" width="11.42578125" style="913"/>
    <col min="7170" max="7170" width="9.140625" style="913" customWidth="1"/>
    <col min="7171" max="7171" width="19.7109375" style="913" customWidth="1"/>
    <col min="7172" max="7172" width="44.42578125" style="913" customWidth="1"/>
    <col min="7173" max="7173" width="18.140625" style="913" customWidth="1"/>
    <col min="7174" max="7174" width="21.85546875" style="913" customWidth="1"/>
    <col min="7175" max="7175" width="20.42578125" style="913" customWidth="1"/>
    <col min="7176" max="7425" width="11.42578125" style="913"/>
    <col min="7426" max="7426" width="9.140625" style="913" customWidth="1"/>
    <col min="7427" max="7427" width="19.7109375" style="913" customWidth="1"/>
    <col min="7428" max="7428" width="44.42578125" style="913" customWidth="1"/>
    <col min="7429" max="7429" width="18.140625" style="913" customWidth="1"/>
    <col min="7430" max="7430" width="21.85546875" style="913" customWidth="1"/>
    <col min="7431" max="7431" width="20.42578125" style="913" customWidth="1"/>
    <col min="7432" max="7681" width="11.42578125" style="913"/>
    <col min="7682" max="7682" width="9.140625" style="913" customWidth="1"/>
    <col min="7683" max="7683" width="19.7109375" style="913" customWidth="1"/>
    <col min="7684" max="7684" width="44.42578125" style="913" customWidth="1"/>
    <col min="7685" max="7685" width="18.140625" style="913" customWidth="1"/>
    <col min="7686" max="7686" width="21.85546875" style="913" customWidth="1"/>
    <col min="7687" max="7687" width="20.42578125" style="913" customWidth="1"/>
    <col min="7688" max="7937" width="11.42578125" style="913"/>
    <col min="7938" max="7938" width="9.140625" style="913" customWidth="1"/>
    <col min="7939" max="7939" width="19.7109375" style="913" customWidth="1"/>
    <col min="7940" max="7940" width="44.42578125" style="913" customWidth="1"/>
    <col min="7941" max="7941" width="18.140625" style="913" customWidth="1"/>
    <col min="7942" max="7942" width="21.85546875" style="913" customWidth="1"/>
    <col min="7943" max="7943" width="20.42578125" style="913" customWidth="1"/>
    <col min="7944" max="8193" width="11.42578125" style="913"/>
    <col min="8194" max="8194" width="9.140625" style="913" customWidth="1"/>
    <col min="8195" max="8195" width="19.7109375" style="913" customWidth="1"/>
    <col min="8196" max="8196" width="44.42578125" style="913" customWidth="1"/>
    <col min="8197" max="8197" width="18.140625" style="913" customWidth="1"/>
    <col min="8198" max="8198" width="21.85546875" style="913" customWidth="1"/>
    <col min="8199" max="8199" width="20.42578125" style="913" customWidth="1"/>
    <col min="8200" max="8449" width="11.42578125" style="913"/>
    <col min="8450" max="8450" width="9.140625" style="913" customWidth="1"/>
    <col min="8451" max="8451" width="19.7109375" style="913" customWidth="1"/>
    <col min="8452" max="8452" width="44.42578125" style="913" customWidth="1"/>
    <col min="8453" max="8453" width="18.140625" style="913" customWidth="1"/>
    <col min="8454" max="8454" width="21.85546875" style="913" customWidth="1"/>
    <col min="8455" max="8455" width="20.42578125" style="913" customWidth="1"/>
    <col min="8456" max="8705" width="11.42578125" style="913"/>
    <col min="8706" max="8706" width="9.140625" style="913" customWidth="1"/>
    <col min="8707" max="8707" width="19.7109375" style="913" customWidth="1"/>
    <col min="8708" max="8708" width="44.42578125" style="913" customWidth="1"/>
    <col min="8709" max="8709" width="18.140625" style="913" customWidth="1"/>
    <col min="8710" max="8710" width="21.85546875" style="913" customWidth="1"/>
    <col min="8711" max="8711" width="20.42578125" style="913" customWidth="1"/>
    <col min="8712" max="8961" width="11.42578125" style="913"/>
    <col min="8962" max="8962" width="9.140625" style="913" customWidth="1"/>
    <col min="8963" max="8963" width="19.7109375" style="913" customWidth="1"/>
    <col min="8964" max="8964" width="44.42578125" style="913" customWidth="1"/>
    <col min="8965" max="8965" width="18.140625" style="913" customWidth="1"/>
    <col min="8966" max="8966" width="21.85546875" style="913" customWidth="1"/>
    <col min="8967" max="8967" width="20.42578125" style="913" customWidth="1"/>
    <col min="8968" max="9217" width="11.42578125" style="913"/>
    <col min="9218" max="9218" width="9.140625" style="913" customWidth="1"/>
    <col min="9219" max="9219" width="19.7109375" style="913" customWidth="1"/>
    <col min="9220" max="9220" width="44.42578125" style="913" customWidth="1"/>
    <col min="9221" max="9221" width="18.140625" style="913" customWidth="1"/>
    <col min="9222" max="9222" width="21.85546875" style="913" customWidth="1"/>
    <col min="9223" max="9223" width="20.42578125" style="913" customWidth="1"/>
    <col min="9224" max="9473" width="11.42578125" style="913"/>
    <col min="9474" max="9474" width="9.140625" style="913" customWidth="1"/>
    <col min="9475" max="9475" width="19.7109375" style="913" customWidth="1"/>
    <col min="9476" max="9476" width="44.42578125" style="913" customWidth="1"/>
    <col min="9477" max="9477" width="18.140625" style="913" customWidth="1"/>
    <col min="9478" max="9478" width="21.85546875" style="913" customWidth="1"/>
    <col min="9479" max="9479" width="20.42578125" style="913" customWidth="1"/>
    <col min="9480" max="9729" width="11.42578125" style="913"/>
    <col min="9730" max="9730" width="9.140625" style="913" customWidth="1"/>
    <col min="9731" max="9731" width="19.7109375" style="913" customWidth="1"/>
    <col min="9732" max="9732" width="44.42578125" style="913" customWidth="1"/>
    <col min="9733" max="9733" width="18.140625" style="913" customWidth="1"/>
    <col min="9734" max="9734" width="21.85546875" style="913" customWidth="1"/>
    <col min="9735" max="9735" width="20.42578125" style="913" customWidth="1"/>
    <col min="9736" max="9985" width="11.42578125" style="913"/>
    <col min="9986" max="9986" width="9.140625" style="913" customWidth="1"/>
    <col min="9987" max="9987" width="19.7109375" style="913" customWidth="1"/>
    <col min="9988" max="9988" width="44.42578125" style="913" customWidth="1"/>
    <col min="9989" max="9989" width="18.140625" style="913" customWidth="1"/>
    <col min="9990" max="9990" width="21.85546875" style="913" customWidth="1"/>
    <col min="9991" max="9991" width="20.42578125" style="913" customWidth="1"/>
    <col min="9992" max="10241" width="11.42578125" style="913"/>
    <col min="10242" max="10242" width="9.140625" style="913" customWidth="1"/>
    <col min="10243" max="10243" width="19.7109375" style="913" customWidth="1"/>
    <col min="10244" max="10244" width="44.42578125" style="913" customWidth="1"/>
    <col min="10245" max="10245" width="18.140625" style="913" customWidth="1"/>
    <col min="10246" max="10246" width="21.85546875" style="913" customWidth="1"/>
    <col min="10247" max="10247" width="20.42578125" style="913" customWidth="1"/>
    <col min="10248" max="10497" width="11.42578125" style="913"/>
    <col min="10498" max="10498" width="9.140625" style="913" customWidth="1"/>
    <col min="10499" max="10499" width="19.7109375" style="913" customWidth="1"/>
    <col min="10500" max="10500" width="44.42578125" style="913" customWidth="1"/>
    <col min="10501" max="10501" width="18.140625" style="913" customWidth="1"/>
    <col min="10502" max="10502" width="21.85546875" style="913" customWidth="1"/>
    <col min="10503" max="10503" width="20.42578125" style="913" customWidth="1"/>
    <col min="10504" max="10753" width="11.42578125" style="913"/>
    <col min="10754" max="10754" width="9.140625" style="913" customWidth="1"/>
    <col min="10755" max="10755" width="19.7109375" style="913" customWidth="1"/>
    <col min="10756" max="10756" width="44.42578125" style="913" customWidth="1"/>
    <col min="10757" max="10757" width="18.140625" style="913" customWidth="1"/>
    <col min="10758" max="10758" width="21.85546875" style="913" customWidth="1"/>
    <col min="10759" max="10759" width="20.42578125" style="913" customWidth="1"/>
    <col min="10760" max="11009" width="11.42578125" style="913"/>
    <col min="11010" max="11010" width="9.140625" style="913" customWidth="1"/>
    <col min="11011" max="11011" width="19.7109375" style="913" customWidth="1"/>
    <col min="11012" max="11012" width="44.42578125" style="913" customWidth="1"/>
    <col min="11013" max="11013" width="18.140625" style="913" customWidth="1"/>
    <col min="11014" max="11014" width="21.85546875" style="913" customWidth="1"/>
    <col min="11015" max="11015" width="20.42578125" style="913" customWidth="1"/>
    <col min="11016" max="11265" width="11.42578125" style="913"/>
    <col min="11266" max="11266" width="9.140625" style="913" customWidth="1"/>
    <col min="11267" max="11267" width="19.7109375" style="913" customWidth="1"/>
    <col min="11268" max="11268" width="44.42578125" style="913" customWidth="1"/>
    <col min="11269" max="11269" width="18.140625" style="913" customWidth="1"/>
    <col min="11270" max="11270" width="21.85546875" style="913" customWidth="1"/>
    <col min="11271" max="11271" width="20.42578125" style="913" customWidth="1"/>
    <col min="11272" max="11521" width="11.42578125" style="913"/>
    <col min="11522" max="11522" width="9.140625" style="913" customWidth="1"/>
    <col min="11523" max="11523" width="19.7109375" style="913" customWidth="1"/>
    <col min="11524" max="11524" width="44.42578125" style="913" customWidth="1"/>
    <col min="11525" max="11525" width="18.140625" style="913" customWidth="1"/>
    <col min="11526" max="11526" width="21.85546875" style="913" customWidth="1"/>
    <col min="11527" max="11527" width="20.42578125" style="913" customWidth="1"/>
    <col min="11528" max="11777" width="11.42578125" style="913"/>
    <col min="11778" max="11778" width="9.140625" style="913" customWidth="1"/>
    <col min="11779" max="11779" width="19.7109375" style="913" customWidth="1"/>
    <col min="11780" max="11780" width="44.42578125" style="913" customWidth="1"/>
    <col min="11781" max="11781" width="18.140625" style="913" customWidth="1"/>
    <col min="11782" max="11782" width="21.85546875" style="913" customWidth="1"/>
    <col min="11783" max="11783" width="20.42578125" style="913" customWidth="1"/>
    <col min="11784" max="12033" width="11.42578125" style="913"/>
    <col min="12034" max="12034" width="9.140625" style="913" customWidth="1"/>
    <col min="12035" max="12035" width="19.7109375" style="913" customWidth="1"/>
    <col min="12036" max="12036" width="44.42578125" style="913" customWidth="1"/>
    <col min="12037" max="12037" width="18.140625" style="913" customWidth="1"/>
    <col min="12038" max="12038" width="21.85546875" style="913" customWidth="1"/>
    <col min="12039" max="12039" width="20.42578125" style="913" customWidth="1"/>
    <col min="12040" max="12289" width="11.42578125" style="913"/>
    <col min="12290" max="12290" width="9.140625" style="913" customWidth="1"/>
    <col min="12291" max="12291" width="19.7109375" style="913" customWidth="1"/>
    <col min="12292" max="12292" width="44.42578125" style="913" customWidth="1"/>
    <col min="12293" max="12293" width="18.140625" style="913" customWidth="1"/>
    <col min="12294" max="12294" width="21.85546875" style="913" customWidth="1"/>
    <col min="12295" max="12295" width="20.42578125" style="913" customWidth="1"/>
    <col min="12296" max="12545" width="11.42578125" style="913"/>
    <col min="12546" max="12546" width="9.140625" style="913" customWidth="1"/>
    <col min="12547" max="12547" width="19.7109375" style="913" customWidth="1"/>
    <col min="12548" max="12548" width="44.42578125" style="913" customWidth="1"/>
    <col min="12549" max="12549" width="18.140625" style="913" customWidth="1"/>
    <col min="12550" max="12550" width="21.85546875" style="913" customWidth="1"/>
    <col min="12551" max="12551" width="20.42578125" style="913" customWidth="1"/>
    <col min="12552" max="12801" width="11.42578125" style="913"/>
    <col min="12802" max="12802" width="9.140625" style="913" customWidth="1"/>
    <col min="12803" max="12803" width="19.7109375" style="913" customWidth="1"/>
    <col min="12804" max="12804" width="44.42578125" style="913" customWidth="1"/>
    <col min="12805" max="12805" width="18.140625" style="913" customWidth="1"/>
    <col min="12806" max="12806" width="21.85546875" style="913" customWidth="1"/>
    <col min="12807" max="12807" width="20.42578125" style="913" customWidth="1"/>
    <col min="12808" max="13057" width="11.42578125" style="913"/>
    <col min="13058" max="13058" width="9.140625" style="913" customWidth="1"/>
    <col min="13059" max="13059" width="19.7109375" style="913" customWidth="1"/>
    <col min="13060" max="13060" width="44.42578125" style="913" customWidth="1"/>
    <col min="13061" max="13061" width="18.140625" style="913" customWidth="1"/>
    <col min="13062" max="13062" width="21.85546875" style="913" customWidth="1"/>
    <col min="13063" max="13063" width="20.42578125" style="913" customWidth="1"/>
    <col min="13064" max="13313" width="11.42578125" style="913"/>
    <col min="13314" max="13314" width="9.140625" style="913" customWidth="1"/>
    <col min="13315" max="13315" width="19.7109375" style="913" customWidth="1"/>
    <col min="13316" max="13316" width="44.42578125" style="913" customWidth="1"/>
    <col min="13317" max="13317" width="18.140625" style="913" customWidth="1"/>
    <col min="13318" max="13318" width="21.85546875" style="913" customWidth="1"/>
    <col min="13319" max="13319" width="20.42578125" style="913" customWidth="1"/>
    <col min="13320" max="13569" width="11.42578125" style="913"/>
    <col min="13570" max="13570" width="9.140625" style="913" customWidth="1"/>
    <col min="13571" max="13571" width="19.7109375" style="913" customWidth="1"/>
    <col min="13572" max="13572" width="44.42578125" style="913" customWidth="1"/>
    <col min="13573" max="13573" width="18.140625" style="913" customWidth="1"/>
    <col min="13574" max="13574" width="21.85546875" style="913" customWidth="1"/>
    <col min="13575" max="13575" width="20.42578125" style="913" customWidth="1"/>
    <col min="13576" max="13825" width="11.42578125" style="913"/>
    <col min="13826" max="13826" width="9.140625" style="913" customWidth="1"/>
    <col min="13827" max="13827" width="19.7109375" style="913" customWidth="1"/>
    <col min="13828" max="13828" width="44.42578125" style="913" customWidth="1"/>
    <col min="13829" max="13829" width="18.140625" style="913" customWidth="1"/>
    <col min="13830" max="13830" width="21.85546875" style="913" customWidth="1"/>
    <col min="13831" max="13831" width="20.42578125" style="913" customWidth="1"/>
    <col min="13832" max="14081" width="11.42578125" style="913"/>
    <col min="14082" max="14082" width="9.140625" style="913" customWidth="1"/>
    <col min="14083" max="14083" width="19.7109375" style="913" customWidth="1"/>
    <col min="14084" max="14084" width="44.42578125" style="913" customWidth="1"/>
    <col min="14085" max="14085" width="18.140625" style="913" customWidth="1"/>
    <col min="14086" max="14086" width="21.85546875" style="913" customWidth="1"/>
    <col min="14087" max="14087" width="20.42578125" style="913" customWidth="1"/>
    <col min="14088" max="14337" width="11.42578125" style="913"/>
    <col min="14338" max="14338" width="9.140625" style="913" customWidth="1"/>
    <col min="14339" max="14339" width="19.7109375" style="913" customWidth="1"/>
    <col min="14340" max="14340" width="44.42578125" style="913" customWidth="1"/>
    <col min="14341" max="14341" width="18.140625" style="913" customWidth="1"/>
    <col min="14342" max="14342" width="21.85546875" style="913" customWidth="1"/>
    <col min="14343" max="14343" width="20.42578125" style="913" customWidth="1"/>
    <col min="14344" max="14593" width="11.42578125" style="913"/>
    <col min="14594" max="14594" width="9.140625" style="913" customWidth="1"/>
    <col min="14595" max="14595" width="19.7109375" style="913" customWidth="1"/>
    <col min="14596" max="14596" width="44.42578125" style="913" customWidth="1"/>
    <col min="14597" max="14597" width="18.140625" style="913" customWidth="1"/>
    <col min="14598" max="14598" width="21.85546875" style="913" customWidth="1"/>
    <col min="14599" max="14599" width="20.42578125" style="913" customWidth="1"/>
    <col min="14600" max="14849" width="11.42578125" style="913"/>
    <col min="14850" max="14850" width="9.140625" style="913" customWidth="1"/>
    <col min="14851" max="14851" width="19.7109375" style="913" customWidth="1"/>
    <col min="14852" max="14852" width="44.42578125" style="913" customWidth="1"/>
    <col min="14853" max="14853" width="18.140625" style="913" customWidth="1"/>
    <col min="14854" max="14854" width="21.85546875" style="913" customWidth="1"/>
    <col min="14855" max="14855" width="20.42578125" style="913" customWidth="1"/>
    <col min="14856" max="15105" width="11.42578125" style="913"/>
    <col min="15106" max="15106" width="9.140625" style="913" customWidth="1"/>
    <col min="15107" max="15107" width="19.7109375" style="913" customWidth="1"/>
    <col min="15108" max="15108" width="44.42578125" style="913" customWidth="1"/>
    <col min="15109" max="15109" width="18.140625" style="913" customWidth="1"/>
    <col min="15110" max="15110" width="21.85546875" style="913" customWidth="1"/>
    <col min="15111" max="15111" width="20.42578125" style="913" customWidth="1"/>
    <col min="15112" max="15361" width="11.42578125" style="913"/>
    <col min="15362" max="15362" width="9.140625" style="913" customWidth="1"/>
    <col min="15363" max="15363" width="19.7109375" style="913" customWidth="1"/>
    <col min="15364" max="15364" width="44.42578125" style="913" customWidth="1"/>
    <col min="15365" max="15365" width="18.140625" style="913" customWidth="1"/>
    <col min="15366" max="15366" width="21.85546875" style="913" customWidth="1"/>
    <col min="15367" max="15367" width="20.42578125" style="913" customWidth="1"/>
    <col min="15368" max="15617" width="11.42578125" style="913"/>
    <col min="15618" max="15618" width="9.140625" style="913" customWidth="1"/>
    <col min="15619" max="15619" width="19.7109375" style="913" customWidth="1"/>
    <col min="15620" max="15620" width="44.42578125" style="913" customWidth="1"/>
    <col min="15621" max="15621" width="18.140625" style="913" customWidth="1"/>
    <col min="15622" max="15622" width="21.85546875" style="913" customWidth="1"/>
    <col min="15623" max="15623" width="20.42578125" style="913" customWidth="1"/>
    <col min="15624" max="15873" width="11.42578125" style="913"/>
    <col min="15874" max="15874" width="9.140625" style="913" customWidth="1"/>
    <col min="15875" max="15875" width="19.7109375" style="913" customWidth="1"/>
    <col min="15876" max="15876" width="44.42578125" style="913" customWidth="1"/>
    <col min="15877" max="15877" width="18.140625" style="913" customWidth="1"/>
    <col min="15878" max="15878" width="21.85546875" style="913" customWidth="1"/>
    <col min="15879" max="15879" width="20.42578125" style="913" customWidth="1"/>
    <col min="15880" max="16129" width="11.42578125" style="913"/>
    <col min="16130" max="16130" width="9.140625" style="913" customWidth="1"/>
    <col min="16131" max="16131" width="19.7109375" style="913" customWidth="1"/>
    <col min="16132" max="16132" width="44.42578125" style="913" customWidth="1"/>
    <col min="16133" max="16133" width="18.140625" style="913" customWidth="1"/>
    <col min="16134" max="16134" width="21.85546875" style="913" customWidth="1"/>
    <col min="16135" max="16135" width="20.42578125" style="913" customWidth="1"/>
    <col min="16136" max="16384" width="11.42578125" style="913"/>
  </cols>
  <sheetData>
    <row r="1" spans="1:10" ht="38.25" customHeight="1" x14ac:dyDescent="0.2">
      <c r="A1" s="921"/>
      <c r="B1" s="912" t="s">
        <v>3081</v>
      </c>
      <c r="C1" s="912" t="s">
        <v>3503</v>
      </c>
      <c r="D1" s="912" t="s">
        <v>3082</v>
      </c>
      <c r="E1" s="912" t="s">
        <v>3083</v>
      </c>
      <c r="F1" s="941" t="s">
        <v>3084</v>
      </c>
      <c r="G1" s="941" t="s">
        <v>3085</v>
      </c>
      <c r="H1" s="941" t="s">
        <v>3530</v>
      </c>
      <c r="I1" s="912" t="s">
        <v>3529</v>
      </c>
    </row>
    <row r="2" spans="1:10" ht="15" customHeight="1" x14ac:dyDescent="0.2">
      <c r="A2" s="921">
        <v>70</v>
      </c>
      <c r="B2" s="936" t="s">
        <v>2361</v>
      </c>
      <c r="C2" s="929" t="s">
        <v>3511</v>
      </c>
      <c r="D2" s="914" t="s">
        <v>3185</v>
      </c>
      <c r="E2" s="912"/>
      <c r="F2" s="941"/>
      <c r="G2" s="912" t="s">
        <v>3180</v>
      </c>
      <c r="H2" s="941"/>
      <c r="I2" s="912" t="s">
        <v>3531</v>
      </c>
    </row>
    <row r="3" spans="1:10" ht="15" customHeight="1" x14ac:dyDescent="0.2">
      <c r="A3" s="921">
        <v>71</v>
      </c>
      <c r="B3" s="936" t="s">
        <v>2373</v>
      </c>
      <c r="C3" s="929" t="s">
        <v>3511</v>
      </c>
      <c r="D3" s="914" t="s">
        <v>3185</v>
      </c>
      <c r="E3" s="912"/>
      <c r="F3" s="941"/>
      <c r="G3" s="912" t="s">
        <v>3180</v>
      </c>
      <c r="H3" s="941"/>
      <c r="I3" s="912" t="s">
        <v>3531</v>
      </c>
    </row>
    <row r="4" spans="1:10" ht="15" customHeight="1" x14ac:dyDescent="0.25">
      <c r="A4" s="921">
        <v>72</v>
      </c>
      <c r="B4" s="986" t="s">
        <v>2418</v>
      </c>
      <c r="C4" s="929" t="s">
        <v>3503</v>
      </c>
      <c r="D4" s="914" t="s">
        <v>3186</v>
      </c>
      <c r="E4" s="912"/>
      <c r="F4" s="941"/>
      <c r="G4" s="912" t="s">
        <v>3180</v>
      </c>
      <c r="H4" s="941"/>
      <c r="I4" s="912" t="s">
        <v>3531</v>
      </c>
    </row>
    <row r="5" spans="1:10" ht="15" customHeight="1" x14ac:dyDescent="0.25">
      <c r="A5" s="921">
        <v>174</v>
      </c>
      <c r="B5" s="986" t="s">
        <v>2585</v>
      </c>
      <c r="C5" s="929" t="s">
        <v>3503</v>
      </c>
      <c r="D5" s="914" t="s">
        <v>2586</v>
      </c>
      <c r="E5" s="950" t="s">
        <v>3321</v>
      </c>
      <c r="F5" s="941" t="s">
        <v>3313</v>
      </c>
      <c r="G5" s="941" t="s">
        <v>3322</v>
      </c>
      <c r="H5" s="941"/>
      <c r="I5" s="912" t="s">
        <v>3531</v>
      </c>
    </row>
    <row r="6" spans="1:10" ht="15" customHeight="1" x14ac:dyDescent="0.2">
      <c r="A6" s="921">
        <v>177</v>
      </c>
      <c r="B6" s="932" t="s">
        <v>3329</v>
      </c>
      <c r="C6" s="929" t="s">
        <v>3511</v>
      </c>
      <c r="D6" s="914" t="s">
        <v>12</v>
      </c>
      <c r="E6" s="950" t="s">
        <v>3330</v>
      </c>
      <c r="F6" s="941" t="s">
        <v>3328</v>
      </c>
      <c r="G6" s="941" t="s">
        <v>3322</v>
      </c>
      <c r="H6" s="941"/>
      <c r="I6" s="912" t="s">
        <v>3531</v>
      </c>
    </row>
    <row r="7" spans="1:10" ht="25.5" customHeight="1" x14ac:dyDescent="0.25">
      <c r="A7" s="921">
        <v>179</v>
      </c>
      <c r="B7" s="980" t="s">
        <v>2506</v>
      </c>
      <c r="C7" s="929" t="s">
        <v>3503</v>
      </c>
      <c r="D7" s="914" t="s">
        <v>3334</v>
      </c>
      <c r="E7" s="950" t="s">
        <v>3335</v>
      </c>
      <c r="F7" s="941" t="s">
        <v>3320</v>
      </c>
      <c r="G7" s="941" t="s">
        <v>3322</v>
      </c>
      <c r="H7" s="941" t="s">
        <v>3852</v>
      </c>
      <c r="I7" s="912" t="s">
        <v>3531</v>
      </c>
    </row>
    <row r="8" spans="1:10" ht="15" customHeight="1" x14ac:dyDescent="0.2">
      <c r="A8" s="921">
        <v>189</v>
      </c>
      <c r="B8" s="932" t="s">
        <v>3355</v>
      </c>
      <c r="C8" s="929" t="s">
        <v>3511</v>
      </c>
      <c r="D8" s="914" t="s">
        <v>3356</v>
      </c>
      <c r="E8" s="950" t="s">
        <v>3357</v>
      </c>
      <c r="F8" s="941" t="s">
        <v>3328</v>
      </c>
      <c r="G8" s="941" t="s">
        <v>3322</v>
      </c>
      <c r="H8" s="941"/>
      <c r="I8" s="912" t="s">
        <v>3328</v>
      </c>
    </row>
    <row r="9" spans="1:10" ht="15" customHeight="1" x14ac:dyDescent="0.2">
      <c r="A9" s="921">
        <v>190</v>
      </c>
      <c r="B9" s="932" t="s">
        <v>1976</v>
      </c>
      <c r="C9" s="929" t="s">
        <v>3511</v>
      </c>
      <c r="D9" s="914" t="s">
        <v>3358</v>
      </c>
      <c r="E9" s="950" t="s">
        <v>3359</v>
      </c>
      <c r="F9" s="941" t="s">
        <v>3328</v>
      </c>
      <c r="G9" s="941" t="s">
        <v>3322</v>
      </c>
      <c r="H9" s="941"/>
      <c r="I9" s="912" t="s">
        <v>3328</v>
      </c>
    </row>
    <row r="10" spans="1:10" ht="15" customHeight="1" x14ac:dyDescent="0.25">
      <c r="A10" s="921">
        <v>199</v>
      </c>
      <c r="B10" s="980" t="s">
        <v>1579</v>
      </c>
      <c r="C10" s="929" t="s">
        <v>3503</v>
      </c>
      <c r="D10" s="914" t="s">
        <v>3374</v>
      </c>
      <c r="E10" s="950" t="s">
        <v>3375</v>
      </c>
      <c r="F10" s="941" t="s">
        <v>3328</v>
      </c>
      <c r="G10" s="941" t="s">
        <v>3322</v>
      </c>
      <c r="H10" s="941"/>
      <c r="I10" s="912" t="s">
        <v>3531</v>
      </c>
    </row>
    <row r="11" spans="1:10" ht="15" customHeight="1" x14ac:dyDescent="0.2">
      <c r="A11" s="921">
        <v>201</v>
      </c>
      <c r="B11" s="932" t="s">
        <v>3379</v>
      </c>
      <c r="C11" s="929" t="s">
        <v>3511</v>
      </c>
      <c r="D11" s="914" t="s">
        <v>3380</v>
      </c>
      <c r="E11" s="950" t="s">
        <v>3381</v>
      </c>
      <c r="F11" s="941" t="s">
        <v>3328</v>
      </c>
      <c r="G11" s="941" t="s">
        <v>3322</v>
      </c>
      <c r="H11" s="941" t="s">
        <v>3914</v>
      </c>
      <c r="I11" s="912" t="s">
        <v>3328</v>
      </c>
    </row>
    <row r="12" spans="1:10" ht="15" customHeight="1" x14ac:dyDescent="0.25">
      <c r="A12" s="921">
        <v>204</v>
      </c>
      <c r="B12" s="980" t="s">
        <v>2099</v>
      </c>
      <c r="C12" s="929" t="s">
        <v>3503</v>
      </c>
      <c r="D12" s="914" t="s">
        <v>3386</v>
      </c>
      <c r="E12" s="950" t="s">
        <v>3387</v>
      </c>
      <c r="F12" s="941" t="s">
        <v>3363</v>
      </c>
      <c r="G12" s="941" t="s">
        <v>3322</v>
      </c>
      <c r="H12" s="941" t="s">
        <v>3916</v>
      </c>
      <c r="I12" s="912" t="s">
        <v>3363</v>
      </c>
    </row>
    <row r="13" spans="1:10" ht="15" customHeight="1" x14ac:dyDescent="0.2">
      <c r="A13" s="921">
        <v>205</v>
      </c>
      <c r="B13" s="932" t="s">
        <v>2236</v>
      </c>
      <c r="C13" s="929" t="s">
        <v>3503</v>
      </c>
      <c r="D13" s="914" t="s">
        <v>1345</v>
      </c>
      <c r="E13" s="950" t="s">
        <v>3388</v>
      </c>
      <c r="F13" s="941" t="s">
        <v>3313</v>
      </c>
      <c r="G13" s="941" t="s">
        <v>3322</v>
      </c>
      <c r="H13" s="941"/>
      <c r="I13" s="912" t="s">
        <v>3531</v>
      </c>
    </row>
    <row r="14" spans="1:10" ht="35.25" customHeight="1" x14ac:dyDescent="0.25">
      <c r="A14" s="921">
        <v>206</v>
      </c>
      <c r="B14" s="980" t="s">
        <v>2732</v>
      </c>
      <c r="C14" s="929" t="s">
        <v>3503</v>
      </c>
      <c r="D14" s="914" t="s">
        <v>3389</v>
      </c>
      <c r="E14" s="950" t="s">
        <v>3390</v>
      </c>
      <c r="F14" s="941" t="s">
        <v>3363</v>
      </c>
      <c r="G14" s="941" t="s">
        <v>3322</v>
      </c>
      <c r="H14" s="941" t="s">
        <v>3917</v>
      </c>
      <c r="I14" s="912" t="s">
        <v>3363</v>
      </c>
    </row>
    <row r="15" spans="1:10" ht="31.5" customHeight="1" x14ac:dyDescent="0.25">
      <c r="A15" s="921">
        <v>207</v>
      </c>
      <c r="B15" s="980" t="s">
        <v>2249</v>
      </c>
      <c r="C15" s="929" t="s">
        <v>3503</v>
      </c>
      <c r="D15" s="914" t="s">
        <v>2736</v>
      </c>
      <c r="E15" s="950" t="s">
        <v>3391</v>
      </c>
      <c r="F15" s="941" t="s">
        <v>3363</v>
      </c>
      <c r="G15" s="941" t="s">
        <v>3322</v>
      </c>
      <c r="H15" s="941" t="s">
        <v>3963</v>
      </c>
      <c r="I15" s="912" t="s">
        <v>3531</v>
      </c>
      <c r="J15" s="913" t="s">
        <v>4050</v>
      </c>
    </row>
    <row r="16" spans="1:10" ht="36.75" customHeight="1" x14ac:dyDescent="0.2">
      <c r="A16" s="921">
        <v>210</v>
      </c>
      <c r="B16" s="932" t="s">
        <v>2497</v>
      </c>
      <c r="C16" s="929" t="s">
        <v>3503</v>
      </c>
      <c r="D16" s="914" t="s">
        <v>3396</v>
      </c>
      <c r="E16" s="950" t="s">
        <v>3397</v>
      </c>
      <c r="F16" s="941" t="s">
        <v>3313</v>
      </c>
      <c r="G16" s="941" t="s">
        <v>3322</v>
      </c>
      <c r="H16" s="941"/>
      <c r="I16" s="912" t="s">
        <v>3531</v>
      </c>
    </row>
    <row r="17" spans="1:11" ht="25.5" x14ac:dyDescent="0.2">
      <c r="A17" s="921">
        <v>211</v>
      </c>
      <c r="B17" s="932" t="s">
        <v>3398</v>
      </c>
      <c r="C17" s="929" t="s">
        <v>3503</v>
      </c>
      <c r="D17" s="914" t="s">
        <v>2216</v>
      </c>
      <c r="E17" s="950" t="s">
        <v>3399</v>
      </c>
      <c r="F17" s="941" t="s">
        <v>3313</v>
      </c>
      <c r="G17" s="941" t="s">
        <v>3322</v>
      </c>
      <c r="H17" s="941" t="s">
        <v>3738</v>
      </c>
      <c r="I17" s="912" t="s">
        <v>3531</v>
      </c>
    </row>
    <row r="18" spans="1:11" ht="61.5" customHeight="1" x14ac:dyDescent="0.2">
      <c r="A18" s="921">
        <v>214</v>
      </c>
      <c r="B18" s="932" t="s">
        <v>919</v>
      </c>
      <c r="C18" s="929" t="s">
        <v>3503</v>
      </c>
      <c r="D18" s="914" t="s">
        <v>3404</v>
      </c>
      <c r="E18" s="950" t="s">
        <v>3405</v>
      </c>
      <c r="F18" s="941" t="s">
        <v>3328</v>
      </c>
      <c r="G18" s="941" t="s">
        <v>3322</v>
      </c>
      <c r="H18" s="941" t="s">
        <v>3616</v>
      </c>
      <c r="I18" s="912" t="s">
        <v>3531</v>
      </c>
      <c r="J18" s="963"/>
    </row>
    <row r="19" spans="1:11" ht="27.75" customHeight="1" x14ac:dyDescent="0.25">
      <c r="A19" s="921">
        <v>220</v>
      </c>
      <c r="B19" s="980" t="s">
        <v>2654</v>
      </c>
      <c r="C19" s="929" t="s">
        <v>3503</v>
      </c>
      <c r="D19" s="914" t="s">
        <v>2655</v>
      </c>
      <c r="E19" s="950" t="s">
        <v>3416</v>
      </c>
      <c r="F19" s="941" t="s">
        <v>3328</v>
      </c>
      <c r="G19" s="941" t="s">
        <v>3322</v>
      </c>
      <c r="H19" s="941"/>
      <c r="I19" s="912" t="s">
        <v>3531</v>
      </c>
    </row>
    <row r="20" spans="1:11" ht="33" customHeight="1" x14ac:dyDescent="0.2">
      <c r="A20" s="921">
        <v>221</v>
      </c>
      <c r="B20" s="932" t="s">
        <v>3417</v>
      </c>
      <c r="C20" s="929" t="s">
        <v>3511</v>
      </c>
      <c r="D20" s="914" t="s">
        <v>3418</v>
      </c>
      <c r="E20" s="950" t="s">
        <v>3419</v>
      </c>
      <c r="F20" s="941" t="s">
        <v>3328</v>
      </c>
      <c r="G20" s="941" t="s">
        <v>3322</v>
      </c>
      <c r="H20" s="941"/>
      <c r="I20" s="912" t="s">
        <v>3328</v>
      </c>
    </row>
    <row r="21" spans="1:11" ht="28.5" customHeight="1" x14ac:dyDescent="0.25">
      <c r="A21" s="921">
        <v>224</v>
      </c>
      <c r="B21" s="980" t="s">
        <v>1875</v>
      </c>
      <c r="C21" s="929" t="s">
        <v>3503</v>
      </c>
      <c r="D21" s="914" t="s">
        <v>3423</v>
      </c>
      <c r="E21" s="950" t="s">
        <v>3424</v>
      </c>
      <c r="F21" s="941" t="s">
        <v>3363</v>
      </c>
      <c r="G21" s="941" t="s">
        <v>3322</v>
      </c>
      <c r="H21" s="941"/>
      <c r="I21" s="912" t="s">
        <v>3531</v>
      </c>
    </row>
    <row r="22" spans="1:11" ht="48" customHeight="1" x14ac:dyDescent="0.2">
      <c r="A22" s="921">
        <v>229</v>
      </c>
      <c r="B22" s="932" t="s">
        <v>2180</v>
      </c>
      <c r="C22" s="929" t="s">
        <v>3503</v>
      </c>
      <c r="D22" s="914" t="s">
        <v>3434</v>
      </c>
      <c r="E22" s="950" t="s">
        <v>3435</v>
      </c>
      <c r="F22" s="941" t="s">
        <v>3328</v>
      </c>
      <c r="G22" s="941" t="s">
        <v>3322</v>
      </c>
      <c r="H22" s="941" t="s">
        <v>3699</v>
      </c>
      <c r="I22" s="912" t="s">
        <v>3531</v>
      </c>
      <c r="J22" s="963" t="s">
        <v>3708</v>
      </c>
      <c r="K22" s="963" t="s">
        <v>3713</v>
      </c>
    </row>
    <row r="23" spans="1:11" ht="26.25" customHeight="1" x14ac:dyDescent="0.2">
      <c r="A23" s="921">
        <v>235</v>
      </c>
      <c r="B23" s="932" t="s">
        <v>2152</v>
      </c>
      <c r="C23" s="929" t="s">
        <v>3511</v>
      </c>
      <c r="D23" s="914" t="s">
        <v>3443</v>
      </c>
      <c r="E23" s="950" t="s">
        <v>3444</v>
      </c>
      <c r="F23" s="941" t="s">
        <v>3320</v>
      </c>
      <c r="G23" s="941" t="s">
        <v>3322</v>
      </c>
      <c r="H23" s="941"/>
      <c r="I23" s="912" t="s">
        <v>3531</v>
      </c>
    </row>
    <row r="24" spans="1:11" s="915" customFormat="1" ht="29.25" customHeight="1" x14ac:dyDescent="0.25">
      <c r="A24" s="921">
        <v>244</v>
      </c>
      <c r="B24" s="980" t="s">
        <v>2743</v>
      </c>
      <c r="C24" s="929" t="s">
        <v>3503</v>
      </c>
      <c r="D24" s="914" t="s">
        <v>2744</v>
      </c>
      <c r="E24" s="950" t="s">
        <v>3458</v>
      </c>
      <c r="F24" s="941" t="s">
        <v>3455</v>
      </c>
      <c r="G24" s="941" t="s">
        <v>3322</v>
      </c>
      <c r="H24" s="941"/>
      <c r="I24" s="912" t="s">
        <v>3531</v>
      </c>
    </row>
    <row r="25" spans="1:11" s="915" customFormat="1" ht="15" customHeight="1" x14ac:dyDescent="0.25">
      <c r="A25" s="921">
        <v>5</v>
      </c>
      <c r="B25" s="948" t="s">
        <v>249</v>
      </c>
      <c r="C25" s="929" t="s">
        <v>3503</v>
      </c>
      <c r="D25" s="914" t="s">
        <v>3090</v>
      </c>
      <c r="E25" s="912"/>
      <c r="F25" s="941"/>
      <c r="G25" s="912"/>
      <c r="H25" s="941"/>
      <c r="I25" s="912"/>
    </row>
    <row r="26" spans="1:11" ht="15" customHeight="1" x14ac:dyDescent="0.2">
      <c r="A26" s="921">
        <v>6</v>
      </c>
      <c r="B26" s="929" t="s">
        <v>288</v>
      </c>
      <c r="C26" s="929" t="s">
        <v>3504</v>
      </c>
      <c r="D26" s="914" t="s">
        <v>3091</v>
      </c>
      <c r="E26" s="912"/>
      <c r="F26" s="941"/>
      <c r="G26" s="912"/>
      <c r="H26" s="941"/>
      <c r="I26" s="912"/>
    </row>
    <row r="27" spans="1:11" ht="15" customHeight="1" x14ac:dyDescent="0.25">
      <c r="A27" s="921">
        <v>12</v>
      </c>
      <c r="B27" s="976" t="s">
        <v>1592</v>
      </c>
      <c r="C27" s="929" t="s">
        <v>3503</v>
      </c>
      <c r="D27" s="914" t="s">
        <v>3097</v>
      </c>
      <c r="E27" s="912"/>
      <c r="F27" s="941"/>
      <c r="G27" s="912"/>
      <c r="H27" s="941"/>
      <c r="I27" s="912"/>
    </row>
    <row r="28" spans="1:11" ht="15" customHeight="1" x14ac:dyDescent="0.2">
      <c r="A28" s="921">
        <v>13</v>
      </c>
      <c r="B28" s="929" t="s">
        <v>245</v>
      </c>
      <c r="C28" s="929" t="s">
        <v>3504</v>
      </c>
      <c r="D28" s="914" t="s">
        <v>3098</v>
      </c>
      <c r="E28" s="912"/>
      <c r="F28" s="941"/>
      <c r="G28" s="912"/>
      <c r="H28" s="941"/>
      <c r="I28" s="912"/>
    </row>
    <row r="29" spans="1:11" ht="24" customHeight="1" x14ac:dyDescent="0.25">
      <c r="A29" s="921">
        <v>14</v>
      </c>
      <c r="B29" s="976" t="s">
        <v>125</v>
      </c>
      <c r="C29" s="929" t="s">
        <v>3503</v>
      </c>
      <c r="D29" s="914" t="s">
        <v>3099</v>
      </c>
      <c r="E29" s="912"/>
      <c r="F29" s="941"/>
      <c r="G29" s="912"/>
      <c r="H29" s="941"/>
      <c r="I29" s="912"/>
    </row>
    <row r="30" spans="1:11" ht="28.5" customHeight="1" x14ac:dyDescent="0.2">
      <c r="A30" s="921">
        <v>15</v>
      </c>
      <c r="B30" s="929" t="s">
        <v>218</v>
      </c>
      <c r="C30" s="929" t="s">
        <v>3504</v>
      </c>
      <c r="D30" s="914" t="s">
        <v>3100</v>
      </c>
      <c r="E30" s="912"/>
      <c r="F30" s="941"/>
      <c r="G30" s="912"/>
      <c r="H30" s="941"/>
      <c r="I30" s="912"/>
    </row>
    <row r="31" spans="1:11" ht="26.25" customHeight="1" x14ac:dyDescent="0.2">
      <c r="A31" s="921">
        <v>16</v>
      </c>
      <c r="B31" s="929" t="s">
        <v>1494</v>
      </c>
      <c r="C31" s="929" t="s">
        <v>3504</v>
      </c>
      <c r="D31" s="914" t="s">
        <v>3101</v>
      </c>
      <c r="E31" s="912"/>
      <c r="F31" s="941"/>
      <c r="G31" s="912" t="s">
        <v>3102</v>
      </c>
      <c r="H31" s="941"/>
      <c r="I31" s="912"/>
    </row>
    <row r="32" spans="1:11" ht="15" customHeight="1" x14ac:dyDescent="0.2">
      <c r="A32" s="921">
        <v>19</v>
      </c>
      <c r="B32" s="929" t="s">
        <v>183</v>
      </c>
      <c r="C32" s="929" t="s">
        <v>3504</v>
      </c>
      <c r="D32" s="914" t="s">
        <v>3107</v>
      </c>
      <c r="E32" s="912"/>
      <c r="F32" s="941"/>
      <c r="G32" s="912"/>
      <c r="H32" s="941"/>
      <c r="I32" s="912"/>
    </row>
    <row r="33" spans="1:9" ht="15" customHeight="1" x14ac:dyDescent="0.25">
      <c r="A33" s="921">
        <v>24</v>
      </c>
      <c r="B33" s="980" t="s">
        <v>232</v>
      </c>
      <c r="C33" s="929" t="s">
        <v>3503</v>
      </c>
      <c r="D33" s="931" t="s">
        <v>3112</v>
      </c>
      <c r="E33" s="949"/>
      <c r="F33" s="943"/>
      <c r="G33" s="949"/>
      <c r="H33" s="941"/>
      <c r="I33" s="912"/>
    </row>
    <row r="34" spans="1:9" ht="15" customHeight="1" x14ac:dyDescent="0.2">
      <c r="A34" s="921">
        <v>4</v>
      </c>
      <c r="B34" s="929" t="s">
        <v>1949</v>
      </c>
      <c r="C34" s="929" t="s">
        <v>3504</v>
      </c>
      <c r="D34" s="914" t="s">
        <v>3122</v>
      </c>
      <c r="E34" s="912"/>
      <c r="F34" s="941"/>
      <c r="G34" s="912"/>
      <c r="H34" s="941"/>
      <c r="I34" s="912"/>
    </row>
    <row r="35" spans="1:9" ht="24.75" customHeight="1" x14ac:dyDescent="0.2">
      <c r="A35" s="921">
        <v>8</v>
      </c>
      <c r="B35" s="929" t="s">
        <v>3126</v>
      </c>
      <c r="C35" s="929" t="s">
        <v>3504</v>
      </c>
      <c r="D35" s="914" t="s">
        <v>3127</v>
      </c>
      <c r="E35" s="912"/>
      <c r="F35" s="941"/>
      <c r="G35" s="912"/>
      <c r="H35" s="941"/>
      <c r="I35" s="912"/>
    </row>
    <row r="36" spans="1:9" ht="15" customHeight="1" x14ac:dyDescent="0.2">
      <c r="A36" s="921">
        <v>20</v>
      </c>
      <c r="B36" s="929" t="s">
        <v>240</v>
      </c>
      <c r="C36" s="929" t="s">
        <v>3504</v>
      </c>
      <c r="D36" s="914" t="s">
        <v>3094</v>
      </c>
      <c r="E36" s="912"/>
      <c r="F36" s="941"/>
      <c r="G36" s="912"/>
      <c r="H36" s="941"/>
      <c r="I36" s="912"/>
    </row>
    <row r="37" spans="1:9" ht="15" customHeight="1" x14ac:dyDescent="0.2">
      <c r="A37" s="921">
        <v>25</v>
      </c>
      <c r="B37" s="929" t="s">
        <v>85</v>
      </c>
      <c r="C37" s="929" t="s">
        <v>3504</v>
      </c>
      <c r="D37" s="914" t="s">
        <v>3144</v>
      </c>
      <c r="E37" s="912"/>
      <c r="F37" s="941"/>
      <c r="G37" s="912"/>
      <c r="H37" s="941"/>
      <c r="I37" s="912"/>
    </row>
    <row r="38" spans="1:9" ht="15" customHeight="1" x14ac:dyDescent="0.2">
      <c r="A38" s="921">
        <v>33</v>
      </c>
      <c r="B38" s="929" t="s">
        <v>218</v>
      </c>
      <c r="C38" s="929" t="s">
        <v>3504</v>
      </c>
      <c r="D38" s="914" t="s">
        <v>3100</v>
      </c>
      <c r="E38" s="912"/>
      <c r="F38" s="941"/>
      <c r="G38" s="912" t="s">
        <v>3151</v>
      </c>
      <c r="H38" s="941"/>
      <c r="I38" s="912"/>
    </row>
    <row r="39" spans="1:9" ht="15" customHeight="1" x14ac:dyDescent="0.2">
      <c r="A39" s="921">
        <v>34</v>
      </c>
      <c r="B39" s="929" t="s">
        <v>1366</v>
      </c>
      <c r="C39" s="929" t="s">
        <v>3504</v>
      </c>
      <c r="D39" s="914" t="s">
        <v>3152</v>
      </c>
      <c r="E39" s="912"/>
      <c r="F39" s="941"/>
      <c r="G39" s="912"/>
      <c r="H39" s="941"/>
      <c r="I39" s="912"/>
    </row>
    <row r="40" spans="1:9" ht="15" customHeight="1" x14ac:dyDescent="0.2">
      <c r="A40" s="921">
        <v>35</v>
      </c>
      <c r="B40" s="929" t="s">
        <v>3153</v>
      </c>
      <c r="C40" s="929" t="s">
        <v>3504</v>
      </c>
      <c r="D40" s="914" t="s">
        <v>3136</v>
      </c>
      <c r="E40" s="912"/>
      <c r="F40" s="941"/>
      <c r="G40" s="912"/>
      <c r="H40" s="941"/>
      <c r="I40" s="912"/>
    </row>
    <row r="41" spans="1:9" ht="15" customHeight="1" x14ac:dyDescent="0.2">
      <c r="A41" s="921">
        <v>36</v>
      </c>
      <c r="B41" s="929" t="s">
        <v>1101</v>
      </c>
      <c r="C41" s="929" t="s">
        <v>3504</v>
      </c>
      <c r="D41" s="914" t="s">
        <v>3154</v>
      </c>
      <c r="E41" s="912"/>
      <c r="F41" s="941"/>
      <c r="G41" s="912"/>
      <c r="H41" s="941"/>
      <c r="I41" s="912"/>
    </row>
    <row r="42" spans="1:9" ht="15" customHeight="1" x14ac:dyDescent="0.2">
      <c r="A42" s="921">
        <v>41</v>
      </c>
      <c r="B42" s="929" t="s">
        <v>187</v>
      </c>
      <c r="C42" s="929" t="s">
        <v>3504</v>
      </c>
      <c r="D42" s="914" t="s">
        <v>3160</v>
      </c>
      <c r="E42" s="912"/>
      <c r="F42" s="941"/>
      <c r="G42" s="912"/>
      <c r="H42" s="941"/>
      <c r="I42" s="912"/>
    </row>
    <row r="43" spans="1:9" ht="15" customHeight="1" x14ac:dyDescent="0.2">
      <c r="A43" s="921">
        <v>49</v>
      </c>
      <c r="B43" s="929" t="s">
        <v>268</v>
      </c>
      <c r="C43" s="929" t="s">
        <v>3504</v>
      </c>
      <c r="D43" s="914" t="s">
        <v>3167</v>
      </c>
      <c r="E43" s="912"/>
      <c r="F43" s="941"/>
      <c r="G43" s="912"/>
      <c r="H43" s="941"/>
      <c r="I43" s="912"/>
    </row>
    <row r="44" spans="1:9" ht="15" customHeight="1" x14ac:dyDescent="0.2">
      <c r="A44" s="921">
        <v>50</v>
      </c>
      <c r="B44" s="929" t="s">
        <v>1333</v>
      </c>
      <c r="C44" s="929" t="s">
        <v>3504</v>
      </c>
      <c r="D44" s="914" t="s">
        <v>3168</v>
      </c>
      <c r="E44" s="912"/>
      <c r="F44" s="941"/>
      <c r="G44" s="912"/>
      <c r="H44" s="941"/>
      <c r="I44" s="912"/>
    </row>
    <row r="45" spans="1:9" ht="15" customHeight="1" x14ac:dyDescent="0.2">
      <c r="A45" s="921">
        <v>51</v>
      </c>
      <c r="B45" s="929" t="s">
        <v>1501</v>
      </c>
      <c r="C45" s="929" t="s">
        <v>3504</v>
      </c>
      <c r="D45" s="914" t="s">
        <v>3169</v>
      </c>
      <c r="E45" s="912"/>
      <c r="F45" s="941"/>
      <c r="G45" s="912"/>
      <c r="H45" s="941"/>
      <c r="I45" s="912"/>
    </row>
    <row r="46" spans="1:9" ht="36" customHeight="1" x14ac:dyDescent="0.25">
      <c r="A46" s="921">
        <v>57</v>
      </c>
      <c r="B46" s="976" t="s">
        <v>264</v>
      </c>
      <c r="C46" s="929" t="s">
        <v>3503</v>
      </c>
      <c r="D46" s="914" t="s">
        <v>3092</v>
      </c>
      <c r="E46" s="912" t="s">
        <v>4054</v>
      </c>
      <c r="F46" s="941" t="s">
        <v>3907</v>
      </c>
      <c r="G46" s="912"/>
      <c r="H46" s="941"/>
      <c r="I46" s="912"/>
    </row>
    <row r="47" spans="1:9" ht="15" customHeight="1" x14ac:dyDescent="0.25">
      <c r="A47" s="921">
        <v>67</v>
      </c>
      <c r="B47" s="976" t="s">
        <v>2197</v>
      </c>
      <c r="C47" s="929" t="s">
        <v>3503</v>
      </c>
      <c r="D47" s="914" t="s">
        <v>3182</v>
      </c>
      <c r="E47" s="912"/>
      <c r="F47" s="941"/>
      <c r="G47" s="912" t="s">
        <v>3620</v>
      </c>
      <c r="H47" s="941" t="s">
        <v>3534</v>
      </c>
      <c r="I47" s="912" t="s">
        <v>3320</v>
      </c>
    </row>
    <row r="48" spans="1:9" ht="15" customHeight="1" x14ac:dyDescent="0.2">
      <c r="A48" s="921">
        <v>73</v>
      </c>
      <c r="B48" s="929" t="s">
        <v>1546</v>
      </c>
      <c r="C48" s="929" t="s">
        <v>3504</v>
      </c>
      <c r="D48" s="914" t="s">
        <v>3187</v>
      </c>
      <c r="E48" s="912"/>
      <c r="F48" s="941"/>
      <c r="G48" s="912"/>
      <c r="H48" s="941"/>
      <c r="I48" s="912"/>
    </row>
    <row r="49" spans="1:9" ht="25.5" customHeight="1" x14ac:dyDescent="0.2">
      <c r="A49" s="921">
        <v>74</v>
      </c>
      <c r="B49" s="929" t="s">
        <v>1598</v>
      </c>
      <c r="C49" s="929" t="s">
        <v>3504</v>
      </c>
      <c r="D49" s="914" t="s">
        <v>3188</v>
      </c>
      <c r="E49" s="912"/>
      <c r="F49" s="941"/>
      <c r="G49" s="912"/>
      <c r="H49" s="941"/>
      <c r="I49" s="912"/>
    </row>
    <row r="50" spans="1:9" ht="15" customHeight="1" x14ac:dyDescent="0.2">
      <c r="A50" s="921">
        <v>78</v>
      </c>
      <c r="B50" s="929" t="s">
        <v>3191</v>
      </c>
      <c r="C50" s="929" t="s">
        <v>3504</v>
      </c>
      <c r="D50" s="914" t="s">
        <v>3192</v>
      </c>
      <c r="E50" s="912"/>
      <c r="F50" s="941"/>
      <c r="G50" s="912"/>
      <c r="H50" s="941"/>
      <c r="I50" s="912"/>
    </row>
    <row r="51" spans="1:9" ht="15" customHeight="1" x14ac:dyDescent="0.2">
      <c r="A51" s="921">
        <v>80</v>
      </c>
      <c r="B51" s="929" t="s">
        <v>3194</v>
      </c>
      <c r="C51" s="929" t="s">
        <v>3504</v>
      </c>
      <c r="D51" s="931" t="s">
        <v>3097</v>
      </c>
      <c r="E51" s="912"/>
      <c r="F51" s="941"/>
      <c r="G51" s="912"/>
      <c r="H51" s="941"/>
      <c r="I51" s="912"/>
    </row>
    <row r="52" spans="1:9" ht="15" customHeight="1" x14ac:dyDescent="0.2">
      <c r="A52" s="921">
        <v>82</v>
      </c>
      <c r="B52" s="929" t="s">
        <v>3196</v>
      </c>
      <c r="C52" s="929" t="s">
        <v>3504</v>
      </c>
      <c r="D52" s="914" t="s">
        <v>3172</v>
      </c>
      <c r="E52" s="912"/>
      <c r="F52" s="941"/>
      <c r="G52" s="912"/>
      <c r="H52" s="941"/>
      <c r="I52" s="912"/>
    </row>
    <row r="53" spans="1:9" ht="15" customHeight="1" x14ac:dyDescent="0.2">
      <c r="A53" s="921">
        <v>85</v>
      </c>
      <c r="B53" s="929" t="s">
        <v>3198</v>
      </c>
      <c r="C53" s="929" t="s">
        <v>3504</v>
      </c>
      <c r="D53" s="914" t="s">
        <v>3199</v>
      </c>
      <c r="E53" s="912"/>
      <c r="F53" s="941"/>
      <c r="G53" s="912"/>
      <c r="H53" s="941"/>
      <c r="I53" s="912"/>
    </row>
    <row r="54" spans="1:9" ht="15" customHeight="1" x14ac:dyDescent="0.2">
      <c r="A54" s="921">
        <v>86</v>
      </c>
      <c r="B54" s="929" t="s">
        <v>3200</v>
      </c>
      <c r="C54" s="929" t="s">
        <v>3504</v>
      </c>
      <c r="D54" s="914" t="s">
        <v>3201</v>
      </c>
      <c r="E54" s="912"/>
      <c r="F54" s="941"/>
      <c r="G54" s="912"/>
      <c r="H54" s="941"/>
      <c r="I54" s="912"/>
    </row>
    <row r="55" spans="1:9" ht="15" customHeight="1" x14ac:dyDescent="0.2">
      <c r="A55" s="921">
        <v>87</v>
      </c>
      <c r="B55" s="929" t="s">
        <v>3202</v>
      </c>
      <c r="C55" s="929" t="s">
        <v>3504</v>
      </c>
      <c r="D55" s="914" t="s">
        <v>3110</v>
      </c>
      <c r="E55" s="912"/>
      <c r="F55" s="941"/>
      <c r="G55" s="912"/>
      <c r="H55" s="941"/>
      <c r="I55" s="912"/>
    </row>
    <row r="56" spans="1:9" ht="15" customHeight="1" x14ac:dyDescent="0.2">
      <c r="A56" s="921">
        <v>88</v>
      </c>
      <c r="B56" s="929" t="s">
        <v>3203</v>
      </c>
      <c r="C56" s="929" t="s">
        <v>3504</v>
      </c>
      <c r="D56" s="914" t="s">
        <v>3148</v>
      </c>
      <c r="E56" s="912"/>
      <c r="F56" s="941"/>
      <c r="G56" s="912"/>
      <c r="H56" s="941"/>
      <c r="I56" s="912"/>
    </row>
    <row r="57" spans="1:9" ht="15" customHeight="1" x14ac:dyDescent="0.2">
      <c r="A57" s="921">
        <v>89</v>
      </c>
      <c r="B57" s="929" t="s">
        <v>3204</v>
      </c>
      <c r="C57" s="929" t="s">
        <v>3504</v>
      </c>
      <c r="D57" s="914" t="s">
        <v>3149</v>
      </c>
      <c r="E57" s="912"/>
      <c r="F57" s="941"/>
      <c r="G57" s="912" t="s">
        <v>3205</v>
      </c>
      <c r="H57" s="941"/>
      <c r="I57" s="912"/>
    </row>
    <row r="58" spans="1:9" ht="15" customHeight="1" x14ac:dyDescent="0.2">
      <c r="A58" s="921">
        <v>90</v>
      </c>
      <c r="B58" s="929" t="s">
        <v>3206</v>
      </c>
      <c r="C58" s="929" t="s">
        <v>3504</v>
      </c>
      <c r="D58" s="914" t="s">
        <v>3207</v>
      </c>
      <c r="E58" s="912"/>
      <c r="F58" s="941"/>
      <c r="G58" s="912" t="s">
        <v>3208</v>
      </c>
      <c r="H58" s="941"/>
      <c r="I58" s="912"/>
    </row>
    <row r="59" spans="1:9" ht="15" customHeight="1" x14ac:dyDescent="0.2">
      <c r="A59" s="921">
        <v>91</v>
      </c>
      <c r="B59" s="929" t="s">
        <v>3209</v>
      </c>
      <c r="C59" s="929" t="s">
        <v>3504</v>
      </c>
      <c r="D59" s="914" t="s">
        <v>3210</v>
      </c>
      <c r="E59" s="912"/>
      <c r="F59" s="941"/>
      <c r="G59" s="912"/>
      <c r="H59" s="941"/>
      <c r="I59" s="912"/>
    </row>
    <row r="60" spans="1:9" ht="15" customHeight="1" x14ac:dyDescent="0.2">
      <c r="A60" s="921">
        <v>93</v>
      </c>
      <c r="B60" s="929" t="s">
        <v>3212</v>
      </c>
      <c r="C60" s="929" t="s">
        <v>3504</v>
      </c>
      <c r="D60" s="914" t="s">
        <v>3213</v>
      </c>
      <c r="E60" s="912"/>
      <c r="F60" s="941"/>
      <c r="G60" s="912"/>
      <c r="H60" s="941"/>
      <c r="I60" s="912"/>
    </row>
    <row r="61" spans="1:9" ht="31.5" customHeight="1" x14ac:dyDescent="0.2">
      <c r="A61" s="921">
        <v>94</v>
      </c>
      <c r="B61" s="929" t="s">
        <v>3214</v>
      </c>
      <c r="C61" s="929" t="s">
        <v>3504</v>
      </c>
      <c r="D61" s="914" t="s">
        <v>3215</v>
      </c>
      <c r="E61" s="912"/>
      <c r="F61" s="941"/>
      <c r="G61" s="912"/>
      <c r="H61" s="941"/>
      <c r="I61" s="912"/>
    </row>
    <row r="62" spans="1:9" ht="15" customHeight="1" x14ac:dyDescent="0.2">
      <c r="A62" s="921">
        <v>95</v>
      </c>
      <c r="B62" s="929" t="s">
        <v>246</v>
      </c>
      <c r="C62" s="929" t="s">
        <v>3504</v>
      </c>
      <c r="D62" s="914" t="s">
        <v>3216</v>
      </c>
      <c r="E62" s="912"/>
      <c r="F62" s="941"/>
      <c r="G62" s="912"/>
      <c r="H62" s="941"/>
      <c r="I62" s="912"/>
    </row>
    <row r="63" spans="1:9" ht="15" customHeight="1" x14ac:dyDescent="0.2">
      <c r="A63" s="921">
        <v>96</v>
      </c>
      <c r="B63" s="929" t="s">
        <v>3217</v>
      </c>
      <c r="C63" s="929" t="s">
        <v>3504</v>
      </c>
      <c r="D63" s="931" t="s">
        <v>3218</v>
      </c>
      <c r="E63" s="912"/>
      <c r="F63" s="941"/>
      <c r="G63" s="912"/>
      <c r="H63" s="941"/>
      <c r="I63" s="912"/>
    </row>
    <row r="64" spans="1:9" ht="15" customHeight="1" x14ac:dyDescent="0.2">
      <c r="A64" s="921">
        <v>98</v>
      </c>
      <c r="B64" s="929" t="s">
        <v>3221</v>
      </c>
      <c r="C64" s="929" t="s">
        <v>3504</v>
      </c>
      <c r="D64" s="914" t="s">
        <v>3222</v>
      </c>
      <c r="E64" s="912"/>
      <c r="F64" s="941"/>
      <c r="G64" s="912"/>
      <c r="H64" s="941"/>
      <c r="I64" s="912"/>
    </row>
    <row r="65" spans="1:9" ht="15" customHeight="1" x14ac:dyDescent="0.2">
      <c r="A65" s="921">
        <v>99</v>
      </c>
      <c r="B65" s="929" t="s">
        <v>3223</v>
      </c>
      <c r="C65" s="929" t="s">
        <v>3504</v>
      </c>
      <c r="D65" s="914" t="s">
        <v>3224</v>
      </c>
      <c r="E65" s="912"/>
      <c r="F65" s="941"/>
      <c r="G65" s="912" t="s">
        <v>3225</v>
      </c>
      <c r="H65" s="941"/>
      <c r="I65" s="912"/>
    </row>
    <row r="66" spans="1:9" ht="15" customHeight="1" x14ac:dyDescent="0.2">
      <c r="A66" s="921">
        <v>100</v>
      </c>
      <c r="B66" s="929" t="s">
        <v>3226</v>
      </c>
      <c r="C66" s="929" t="s">
        <v>3504</v>
      </c>
      <c r="D66" s="914" t="s">
        <v>3227</v>
      </c>
      <c r="E66" s="912"/>
      <c r="F66" s="941"/>
      <c r="G66" s="912"/>
      <c r="H66" s="941"/>
      <c r="I66" s="912"/>
    </row>
    <row r="67" spans="1:9" ht="15" customHeight="1" x14ac:dyDescent="0.2">
      <c r="A67" s="921">
        <v>107</v>
      </c>
      <c r="B67" s="929" t="s">
        <v>3234</v>
      </c>
      <c r="C67" s="929" t="s">
        <v>3504</v>
      </c>
      <c r="D67" s="914" t="s">
        <v>3235</v>
      </c>
      <c r="E67" s="912"/>
      <c r="F67" s="941"/>
      <c r="G67" s="912"/>
      <c r="H67" s="941"/>
      <c r="I67" s="912"/>
    </row>
    <row r="68" spans="1:9" ht="23.25" customHeight="1" x14ac:dyDescent="0.2">
      <c r="A68" s="921">
        <v>108</v>
      </c>
      <c r="B68" s="929" t="s">
        <v>3236</v>
      </c>
      <c r="C68" s="929" t="s">
        <v>3504</v>
      </c>
      <c r="D68" s="914" t="s">
        <v>3237</v>
      </c>
      <c r="E68" s="912"/>
      <c r="F68" s="941"/>
      <c r="G68" s="912"/>
      <c r="H68" s="941"/>
      <c r="I68" s="912"/>
    </row>
    <row r="69" spans="1:9" ht="15" customHeight="1" x14ac:dyDescent="0.2">
      <c r="A69" s="921">
        <v>109</v>
      </c>
      <c r="B69" s="929" t="s">
        <v>3238</v>
      </c>
      <c r="C69" s="929" t="s">
        <v>3504</v>
      </c>
      <c r="D69" s="914" t="s">
        <v>3239</v>
      </c>
      <c r="E69" s="912"/>
      <c r="F69" s="941"/>
      <c r="G69" s="912"/>
      <c r="H69" s="941"/>
      <c r="I69" s="912"/>
    </row>
    <row r="70" spans="1:9" ht="15" customHeight="1" x14ac:dyDescent="0.2">
      <c r="A70" s="921">
        <v>110</v>
      </c>
      <c r="B70" s="929" t="s">
        <v>3240</v>
      </c>
      <c r="C70" s="929" t="s">
        <v>3504</v>
      </c>
      <c r="D70" s="914" t="s">
        <v>3241</v>
      </c>
      <c r="E70" s="912"/>
      <c r="F70" s="941"/>
      <c r="G70" s="912"/>
      <c r="H70" s="941"/>
      <c r="I70" s="912"/>
    </row>
    <row r="71" spans="1:9" ht="27.75" customHeight="1" x14ac:dyDescent="0.2">
      <c r="A71" s="921">
        <v>111</v>
      </c>
      <c r="B71" s="929" t="s">
        <v>3242</v>
      </c>
      <c r="C71" s="929" t="s">
        <v>3511</v>
      </c>
      <c r="D71" s="914" t="s">
        <v>3243</v>
      </c>
      <c r="E71" s="912"/>
      <c r="F71" s="941"/>
      <c r="G71" s="912" t="s">
        <v>3631</v>
      </c>
      <c r="H71" s="941"/>
      <c r="I71" s="912"/>
    </row>
    <row r="72" spans="1:9" ht="15" customHeight="1" x14ac:dyDescent="0.25">
      <c r="A72" s="921">
        <v>113</v>
      </c>
      <c r="B72" s="976" t="s">
        <v>1603</v>
      </c>
      <c r="C72" s="929" t="s">
        <v>3503</v>
      </c>
      <c r="D72" s="914" t="s">
        <v>3244</v>
      </c>
      <c r="E72" s="912"/>
      <c r="F72" s="941"/>
      <c r="G72" s="912"/>
      <c r="H72" s="941"/>
      <c r="I72" s="912"/>
    </row>
    <row r="73" spans="1:9" ht="15" customHeight="1" x14ac:dyDescent="0.25">
      <c r="A73" s="921">
        <v>114</v>
      </c>
      <c r="B73" s="976" t="s">
        <v>239</v>
      </c>
      <c r="C73" s="929" t="s">
        <v>3503</v>
      </c>
      <c r="D73" s="914" t="s">
        <v>3245</v>
      </c>
      <c r="E73" s="912"/>
      <c r="F73" s="941"/>
      <c r="G73" s="912"/>
      <c r="H73" s="941"/>
      <c r="I73" s="912"/>
    </row>
    <row r="74" spans="1:9" ht="15" customHeight="1" x14ac:dyDescent="0.2">
      <c r="A74" s="921">
        <v>116</v>
      </c>
      <c r="B74" s="929" t="s">
        <v>3247</v>
      </c>
      <c r="C74" s="929" t="s">
        <v>3504</v>
      </c>
      <c r="D74" s="914" t="s">
        <v>3207</v>
      </c>
      <c r="E74" s="912"/>
      <c r="F74" s="941"/>
      <c r="G74" s="912"/>
      <c r="H74" s="941"/>
      <c r="I74" s="912"/>
    </row>
    <row r="75" spans="1:9" ht="15" customHeight="1" x14ac:dyDescent="0.2">
      <c r="A75" s="921">
        <v>117</v>
      </c>
      <c r="B75" s="929" t="s">
        <v>3248</v>
      </c>
      <c r="C75" s="929" t="s">
        <v>3504</v>
      </c>
      <c r="D75" s="914" t="s">
        <v>3249</v>
      </c>
      <c r="E75" s="912"/>
      <c r="F75" s="941"/>
      <c r="G75" s="912"/>
      <c r="H75" s="941"/>
      <c r="I75" s="912"/>
    </row>
    <row r="76" spans="1:9" ht="15" customHeight="1" x14ac:dyDescent="0.2">
      <c r="A76" s="921">
        <v>121</v>
      </c>
      <c r="B76" s="929" t="s">
        <v>3253</v>
      </c>
      <c r="C76" s="929" t="s">
        <v>3504</v>
      </c>
      <c r="D76" s="914" t="s">
        <v>3254</v>
      </c>
      <c r="E76" s="912"/>
      <c r="F76" s="941"/>
      <c r="G76" s="912"/>
      <c r="H76" s="941"/>
      <c r="I76" s="912"/>
    </row>
    <row r="77" spans="1:9" ht="15" customHeight="1" x14ac:dyDescent="0.2">
      <c r="A77" s="921">
        <v>123</v>
      </c>
      <c r="B77" s="929" t="s">
        <v>3256</v>
      </c>
      <c r="C77" s="929" t="s">
        <v>3504</v>
      </c>
      <c r="D77" s="914" t="s">
        <v>3257</v>
      </c>
      <c r="E77" s="912"/>
      <c r="F77" s="941"/>
      <c r="G77" s="912"/>
      <c r="H77" s="941"/>
      <c r="I77" s="912"/>
    </row>
    <row r="78" spans="1:9" ht="15" customHeight="1" x14ac:dyDescent="0.2">
      <c r="A78" s="921">
        <v>124</v>
      </c>
      <c r="B78" s="929" t="s">
        <v>3258</v>
      </c>
      <c r="C78" s="929" t="s">
        <v>3504</v>
      </c>
      <c r="D78" s="914" t="s">
        <v>3259</v>
      </c>
      <c r="E78" s="912"/>
      <c r="F78" s="941"/>
      <c r="G78" s="912"/>
      <c r="H78" s="941"/>
      <c r="I78" s="912"/>
    </row>
    <row r="79" spans="1:9" ht="15" customHeight="1" x14ac:dyDescent="0.2">
      <c r="A79" s="921">
        <v>125</v>
      </c>
      <c r="B79" s="929" t="s">
        <v>3260</v>
      </c>
      <c r="C79" s="929" t="s">
        <v>3504</v>
      </c>
      <c r="D79" s="914" t="s">
        <v>3261</v>
      </c>
      <c r="E79" s="912"/>
      <c r="F79" s="941"/>
      <c r="G79" s="912"/>
      <c r="H79" s="941"/>
      <c r="I79" s="912"/>
    </row>
    <row r="80" spans="1:9" ht="15" customHeight="1" x14ac:dyDescent="0.2">
      <c r="A80" s="921">
        <v>134</v>
      </c>
      <c r="B80" s="929" t="s">
        <v>3265</v>
      </c>
      <c r="C80" s="929" t="s">
        <v>3504</v>
      </c>
      <c r="D80" s="914" t="s">
        <v>3266</v>
      </c>
      <c r="E80" s="912"/>
      <c r="F80" s="941"/>
      <c r="G80" s="912"/>
      <c r="H80" s="941"/>
      <c r="I80" s="912"/>
    </row>
    <row r="81" spans="1:9" ht="15" customHeight="1" x14ac:dyDescent="0.2">
      <c r="A81" s="921">
        <v>135</v>
      </c>
      <c r="B81" s="929" t="s">
        <v>3267</v>
      </c>
      <c r="C81" s="929" t="s">
        <v>3504</v>
      </c>
      <c r="D81" s="914" t="s">
        <v>3268</v>
      </c>
      <c r="E81" s="912"/>
      <c r="F81" s="941"/>
      <c r="G81" s="912"/>
      <c r="H81" s="941"/>
      <c r="I81" s="912"/>
    </row>
    <row r="82" spans="1:9" ht="15" customHeight="1" x14ac:dyDescent="0.2">
      <c r="A82" s="921">
        <v>139</v>
      </c>
      <c r="B82" s="929" t="s">
        <v>3272</v>
      </c>
      <c r="C82" s="929" t="s">
        <v>3504</v>
      </c>
      <c r="D82" s="914" t="s">
        <v>3273</v>
      </c>
      <c r="E82" s="912"/>
      <c r="F82" s="941"/>
      <c r="G82" s="912"/>
      <c r="H82" s="941"/>
      <c r="I82" s="912"/>
    </row>
    <row r="83" spans="1:9" ht="15" customHeight="1" x14ac:dyDescent="0.2">
      <c r="A83" s="921">
        <v>140</v>
      </c>
      <c r="B83" s="929" t="s">
        <v>3274</v>
      </c>
      <c r="C83" s="929" t="s">
        <v>3504</v>
      </c>
      <c r="D83" s="914" t="s">
        <v>3275</v>
      </c>
      <c r="E83" s="912"/>
      <c r="F83" s="941"/>
      <c r="G83" s="912"/>
      <c r="H83" s="941"/>
      <c r="I83" s="912"/>
    </row>
    <row r="84" spans="1:9" ht="21.75" customHeight="1" x14ac:dyDescent="0.2">
      <c r="A84" s="921">
        <v>141</v>
      </c>
      <c r="B84" s="929" t="s">
        <v>3276</v>
      </c>
      <c r="C84" s="929" t="s">
        <v>3504</v>
      </c>
      <c r="D84" s="914" t="s">
        <v>3127</v>
      </c>
      <c r="E84" s="912"/>
      <c r="F84" s="941"/>
      <c r="G84" s="912"/>
      <c r="H84" s="941"/>
      <c r="I84" s="912"/>
    </row>
    <row r="85" spans="1:9" ht="34.5" customHeight="1" x14ac:dyDescent="0.2">
      <c r="A85" s="921">
        <v>142</v>
      </c>
      <c r="B85" s="929" t="s">
        <v>78</v>
      </c>
      <c r="C85" s="929" t="s">
        <v>3504</v>
      </c>
      <c r="D85" s="914" t="s">
        <v>3277</v>
      </c>
      <c r="E85" s="912"/>
      <c r="F85" s="941"/>
      <c r="G85" s="912" t="s">
        <v>3553</v>
      </c>
      <c r="H85" s="941"/>
      <c r="I85" s="912"/>
    </row>
    <row r="86" spans="1:9" ht="15" customHeight="1" x14ac:dyDescent="0.2">
      <c r="A86" s="921">
        <v>143</v>
      </c>
      <c r="B86" s="929" t="s">
        <v>3278</v>
      </c>
      <c r="C86" s="929" t="s">
        <v>3504</v>
      </c>
      <c r="D86" s="914" t="s">
        <v>3279</v>
      </c>
      <c r="E86" s="912"/>
      <c r="F86" s="941"/>
      <c r="G86" s="912"/>
      <c r="H86" s="941"/>
      <c r="I86" s="912"/>
    </row>
    <row r="87" spans="1:9" ht="39.75" customHeight="1" x14ac:dyDescent="0.25">
      <c r="A87" s="921">
        <v>144</v>
      </c>
      <c r="B87" s="976" t="s">
        <v>2140</v>
      </c>
      <c r="C87" s="929" t="s">
        <v>3503</v>
      </c>
      <c r="D87" s="914" t="s">
        <v>3280</v>
      </c>
      <c r="E87" s="912" t="s">
        <v>3886</v>
      </c>
      <c r="F87" s="941" t="s">
        <v>3485</v>
      </c>
      <c r="G87" s="912" t="s">
        <v>3955</v>
      </c>
      <c r="H87" s="941"/>
      <c r="I87" s="912"/>
    </row>
    <row r="88" spans="1:9" ht="15" customHeight="1" x14ac:dyDescent="0.2">
      <c r="A88" s="921">
        <v>148</v>
      </c>
      <c r="B88" s="929" t="s">
        <v>3283</v>
      </c>
      <c r="C88" s="929" t="s">
        <v>3504</v>
      </c>
      <c r="D88" s="914" t="s">
        <v>3284</v>
      </c>
      <c r="E88" s="912"/>
      <c r="F88" s="941"/>
      <c r="G88" s="912"/>
      <c r="H88" s="941"/>
      <c r="I88" s="912"/>
    </row>
    <row r="89" spans="1:9" ht="15" customHeight="1" x14ac:dyDescent="0.2">
      <c r="A89" s="921">
        <v>149</v>
      </c>
      <c r="B89" s="929" t="s">
        <v>213</v>
      </c>
      <c r="C89" s="929" t="s">
        <v>3504</v>
      </c>
      <c r="D89" s="914" t="s">
        <v>3285</v>
      </c>
      <c r="E89" s="912"/>
      <c r="F89" s="941"/>
      <c r="G89" s="912"/>
      <c r="H89" s="941"/>
      <c r="I89" s="912"/>
    </row>
    <row r="90" spans="1:9" ht="15" customHeight="1" x14ac:dyDescent="0.2">
      <c r="A90" s="921">
        <v>150</v>
      </c>
      <c r="B90" s="929" t="s">
        <v>3286</v>
      </c>
      <c r="C90" s="929" t="s">
        <v>3504</v>
      </c>
      <c r="D90" s="914" t="s">
        <v>3091</v>
      </c>
      <c r="E90" s="912"/>
      <c r="F90" s="941"/>
      <c r="G90" s="912"/>
      <c r="H90" s="941"/>
      <c r="I90" s="912"/>
    </row>
    <row r="91" spans="1:9" ht="15" customHeight="1" x14ac:dyDescent="0.2">
      <c r="A91" s="921">
        <v>151</v>
      </c>
      <c r="B91" s="929" t="s">
        <v>3287</v>
      </c>
      <c r="C91" s="929" t="s">
        <v>3504</v>
      </c>
      <c r="D91" s="914" t="s">
        <v>3288</v>
      </c>
      <c r="E91" s="912"/>
      <c r="F91" s="941"/>
      <c r="G91" s="912"/>
      <c r="H91" s="941"/>
      <c r="I91" s="912"/>
    </row>
    <row r="92" spans="1:9" ht="15" customHeight="1" x14ac:dyDescent="0.2">
      <c r="A92" s="921">
        <v>152</v>
      </c>
      <c r="B92" s="929" t="s">
        <v>3289</v>
      </c>
      <c r="C92" s="929" t="s">
        <v>3504</v>
      </c>
      <c r="D92" s="914" t="s">
        <v>3290</v>
      </c>
      <c r="E92" s="912"/>
      <c r="F92" s="941"/>
      <c r="G92" s="912"/>
      <c r="H92" s="941"/>
      <c r="I92" s="912"/>
    </row>
    <row r="93" spans="1:9" ht="27.75" customHeight="1" x14ac:dyDescent="0.2">
      <c r="A93" s="921">
        <v>153</v>
      </c>
      <c r="B93" s="929" t="s">
        <v>3291</v>
      </c>
      <c r="C93" s="929" t="s">
        <v>3504</v>
      </c>
      <c r="D93" s="914" t="s">
        <v>3292</v>
      </c>
      <c r="E93" s="912"/>
      <c r="F93" s="941"/>
      <c r="G93" s="912"/>
      <c r="H93" s="941"/>
      <c r="I93" s="912"/>
    </row>
    <row r="94" spans="1:9" ht="28.5" customHeight="1" x14ac:dyDescent="0.2">
      <c r="A94" s="921">
        <v>154</v>
      </c>
      <c r="B94" s="929" t="s">
        <v>252</v>
      </c>
      <c r="C94" s="929" t="s">
        <v>3504</v>
      </c>
      <c r="D94" s="914" t="s">
        <v>3144</v>
      </c>
      <c r="E94" s="912"/>
      <c r="F94" s="941"/>
      <c r="G94" s="912"/>
      <c r="H94" s="941"/>
      <c r="I94" s="912"/>
    </row>
    <row r="95" spans="1:9" ht="33.75" customHeight="1" x14ac:dyDescent="0.2">
      <c r="A95" s="921">
        <v>155</v>
      </c>
      <c r="B95" s="929" t="s">
        <v>3293</v>
      </c>
      <c r="C95" s="929" t="s">
        <v>3504</v>
      </c>
      <c r="D95" s="914" t="s">
        <v>3294</v>
      </c>
      <c r="E95" s="912"/>
      <c r="F95" s="941"/>
      <c r="G95" s="912"/>
      <c r="H95" s="941"/>
      <c r="I95" s="912"/>
    </row>
    <row r="96" spans="1:9" ht="15" customHeight="1" x14ac:dyDescent="0.2">
      <c r="A96" s="921">
        <v>156</v>
      </c>
      <c r="B96" s="929" t="s">
        <v>3206</v>
      </c>
      <c r="C96" s="929" t="s">
        <v>3504</v>
      </c>
      <c r="D96" s="914" t="s">
        <v>3207</v>
      </c>
      <c r="E96" s="912"/>
      <c r="F96" s="941"/>
      <c r="G96" s="912"/>
      <c r="H96" s="941"/>
      <c r="I96" s="912"/>
    </row>
    <row r="97" spans="1:9" ht="15" customHeight="1" x14ac:dyDescent="0.2">
      <c r="A97" s="921">
        <v>157</v>
      </c>
      <c r="B97" s="929" t="s">
        <v>3295</v>
      </c>
      <c r="C97" s="929" t="s">
        <v>3504</v>
      </c>
      <c r="D97" s="914" t="s">
        <v>3099</v>
      </c>
      <c r="E97" s="912"/>
      <c r="F97" s="941"/>
      <c r="G97" s="912"/>
      <c r="H97" s="941"/>
      <c r="I97" s="912"/>
    </row>
    <row r="98" spans="1:9" ht="15" customHeight="1" x14ac:dyDescent="0.2">
      <c r="A98" s="921">
        <v>158</v>
      </c>
      <c r="B98" s="929" t="s">
        <v>3296</v>
      </c>
      <c r="C98" s="929" t="s">
        <v>3504</v>
      </c>
      <c r="D98" s="914" t="s">
        <v>3297</v>
      </c>
      <c r="E98" s="912"/>
      <c r="F98" s="941"/>
      <c r="G98" s="912"/>
      <c r="H98" s="941"/>
      <c r="I98" s="912"/>
    </row>
    <row r="99" spans="1:9" ht="15" customHeight="1" x14ac:dyDescent="0.2">
      <c r="A99" s="921">
        <v>159</v>
      </c>
      <c r="B99" s="929" t="s">
        <v>3298</v>
      </c>
      <c r="C99" s="929" t="s">
        <v>3504</v>
      </c>
      <c r="D99" s="914" t="s">
        <v>3244</v>
      </c>
      <c r="E99" s="912"/>
      <c r="F99" s="941"/>
      <c r="G99" s="912"/>
      <c r="H99" s="941"/>
      <c r="I99" s="912"/>
    </row>
    <row r="100" spans="1:9" ht="15" customHeight="1" x14ac:dyDescent="0.2">
      <c r="A100" s="921">
        <v>160</v>
      </c>
      <c r="B100" s="929" t="s">
        <v>3299</v>
      </c>
      <c r="C100" s="929" t="s">
        <v>3504</v>
      </c>
      <c r="D100" s="914" t="s">
        <v>3300</v>
      </c>
      <c r="E100" s="912"/>
      <c r="F100" s="941"/>
      <c r="G100" s="912"/>
      <c r="H100" s="941"/>
      <c r="I100" s="912"/>
    </row>
    <row r="101" spans="1:9" ht="15" customHeight="1" x14ac:dyDescent="0.2">
      <c r="A101" s="921">
        <v>162</v>
      </c>
      <c r="B101" s="929" t="s">
        <v>3302</v>
      </c>
      <c r="C101" s="929" t="s">
        <v>3504</v>
      </c>
      <c r="D101" s="914" t="s">
        <v>3303</v>
      </c>
      <c r="E101" s="912"/>
      <c r="F101" s="941"/>
      <c r="G101" s="912"/>
      <c r="H101" s="941"/>
      <c r="I101" s="912"/>
    </row>
    <row r="102" spans="1:9" ht="18.75" customHeight="1" x14ac:dyDescent="0.25">
      <c r="A102" s="921">
        <v>163</v>
      </c>
      <c r="B102" s="976" t="s">
        <v>250</v>
      </c>
      <c r="C102" s="929" t="s">
        <v>3503</v>
      </c>
      <c r="D102" s="914" t="s">
        <v>3304</v>
      </c>
      <c r="E102" s="912"/>
      <c r="F102" s="941"/>
      <c r="G102" s="912"/>
      <c r="H102" s="941"/>
      <c r="I102" s="912"/>
    </row>
    <row r="103" spans="1:9" ht="34.5" customHeight="1" x14ac:dyDescent="0.2">
      <c r="A103" s="921">
        <v>164</v>
      </c>
      <c r="B103" s="929" t="s">
        <v>3305</v>
      </c>
      <c r="C103" s="929" t="s">
        <v>3504</v>
      </c>
      <c r="D103" s="914" t="s">
        <v>3306</v>
      </c>
      <c r="E103" s="912"/>
      <c r="F103" s="941"/>
      <c r="G103" s="912"/>
      <c r="H103" s="941"/>
      <c r="I103" s="912"/>
    </row>
    <row r="104" spans="1:9" ht="15" customHeight="1" x14ac:dyDescent="0.2">
      <c r="A104" s="921">
        <v>165</v>
      </c>
      <c r="B104" s="929" t="s">
        <v>3307</v>
      </c>
      <c r="C104" s="929" t="s">
        <v>3504</v>
      </c>
      <c r="D104" s="914" t="s">
        <v>3308</v>
      </c>
      <c r="E104" s="912"/>
      <c r="F104" s="941"/>
      <c r="G104" s="912"/>
      <c r="H104" s="941"/>
      <c r="I104" s="912"/>
    </row>
    <row r="105" spans="1:9" ht="15" customHeight="1" x14ac:dyDescent="0.2">
      <c r="A105" s="921">
        <v>166</v>
      </c>
      <c r="B105" s="929" t="s">
        <v>168</v>
      </c>
      <c r="C105" s="929" t="s">
        <v>3504</v>
      </c>
      <c r="D105" s="914" t="s">
        <v>3309</v>
      </c>
      <c r="E105" s="912"/>
      <c r="F105" s="941"/>
      <c r="G105" s="912"/>
      <c r="H105" s="941"/>
      <c r="I105" s="912"/>
    </row>
    <row r="106" spans="1:9" ht="15" customHeight="1" x14ac:dyDescent="0.2">
      <c r="A106" s="921">
        <v>167</v>
      </c>
      <c r="B106" s="929" t="s">
        <v>285</v>
      </c>
      <c r="C106" s="929" t="s">
        <v>3504</v>
      </c>
      <c r="D106" s="914" t="s">
        <v>3218</v>
      </c>
      <c r="E106" s="912"/>
      <c r="F106" s="941"/>
      <c r="G106" s="912"/>
      <c r="H106" s="941"/>
      <c r="I106" s="912"/>
    </row>
    <row r="107" spans="1:9" ht="27" customHeight="1" x14ac:dyDescent="0.2">
      <c r="A107" s="921">
        <v>168</v>
      </c>
      <c r="B107" s="929" t="s">
        <v>256</v>
      </c>
      <c r="C107" s="929" t="s">
        <v>3504</v>
      </c>
      <c r="D107" s="914" t="s">
        <v>3310</v>
      </c>
      <c r="E107" s="912"/>
      <c r="F107" s="941"/>
      <c r="G107" s="912"/>
      <c r="H107" s="941"/>
      <c r="I107" s="912"/>
    </row>
    <row r="108" spans="1:9" ht="15" customHeight="1" x14ac:dyDescent="0.25">
      <c r="A108" s="921">
        <v>170</v>
      </c>
      <c r="B108" s="976" t="s">
        <v>287</v>
      </c>
      <c r="C108" s="929" t="s">
        <v>3503</v>
      </c>
      <c r="D108" s="914" t="s">
        <v>3311</v>
      </c>
      <c r="E108" s="950" t="s">
        <v>3312</v>
      </c>
      <c r="F108" s="941" t="s">
        <v>3313</v>
      </c>
      <c r="G108" s="941"/>
      <c r="H108" s="941" t="s">
        <v>3534</v>
      </c>
      <c r="I108" s="912" t="s">
        <v>3532</v>
      </c>
    </row>
    <row r="109" spans="1:9" ht="15" customHeight="1" x14ac:dyDescent="0.2">
      <c r="A109" s="921">
        <v>176</v>
      </c>
      <c r="B109" s="929" t="s">
        <v>3325</v>
      </c>
      <c r="C109" s="929" t="s">
        <v>3504</v>
      </c>
      <c r="D109" s="914" t="s">
        <v>3326</v>
      </c>
      <c r="E109" s="950" t="s">
        <v>3327</v>
      </c>
      <c r="F109" s="941" t="s">
        <v>3328</v>
      </c>
      <c r="G109" s="941"/>
      <c r="H109" s="941"/>
      <c r="I109" s="912" t="s">
        <v>3328</v>
      </c>
    </row>
    <row r="110" spans="1:9" ht="15" customHeight="1" x14ac:dyDescent="0.2">
      <c r="A110" s="921">
        <v>178</v>
      </c>
      <c r="B110" s="929" t="s">
        <v>3331</v>
      </c>
      <c r="C110" s="929" t="s">
        <v>3504</v>
      </c>
      <c r="D110" s="914" t="s">
        <v>3332</v>
      </c>
      <c r="E110" s="950" t="s">
        <v>3333</v>
      </c>
      <c r="F110" s="941" t="s">
        <v>3320</v>
      </c>
      <c r="G110" s="941"/>
      <c r="H110" s="941"/>
      <c r="I110" s="912" t="s">
        <v>3320</v>
      </c>
    </row>
    <row r="111" spans="1:9" ht="15" customHeight="1" x14ac:dyDescent="0.2">
      <c r="A111" s="921">
        <v>182</v>
      </c>
      <c r="B111" s="929" t="s">
        <v>3340</v>
      </c>
      <c r="C111" s="929" t="s">
        <v>3504</v>
      </c>
      <c r="D111" s="914" t="s">
        <v>3341</v>
      </c>
      <c r="E111" s="950" t="s">
        <v>3342</v>
      </c>
      <c r="F111" s="941" t="s">
        <v>3313</v>
      </c>
      <c r="G111" s="941"/>
      <c r="H111" s="941"/>
      <c r="I111" s="912" t="s">
        <v>3313</v>
      </c>
    </row>
    <row r="112" spans="1:9" ht="15" customHeight="1" x14ac:dyDescent="0.2">
      <c r="A112" s="921">
        <v>187</v>
      </c>
      <c r="B112" s="929" t="s">
        <v>3350</v>
      </c>
      <c r="C112" s="929" t="s">
        <v>3504</v>
      </c>
      <c r="D112" s="914" t="s">
        <v>3351</v>
      </c>
      <c r="E112" s="950" t="s">
        <v>3352</v>
      </c>
      <c r="F112" s="941" t="s">
        <v>3320</v>
      </c>
      <c r="G112" s="941"/>
      <c r="H112" s="941"/>
      <c r="I112" s="912" t="s">
        <v>3320</v>
      </c>
    </row>
    <row r="113" spans="1:9" ht="15" customHeight="1" x14ac:dyDescent="0.2">
      <c r="A113" s="921">
        <v>196</v>
      </c>
      <c r="B113" s="929" t="s">
        <v>3368</v>
      </c>
      <c r="C113" s="929" t="s">
        <v>3504</v>
      </c>
      <c r="D113" s="914" t="s">
        <v>3369</v>
      </c>
      <c r="E113" s="950" t="s">
        <v>3370</v>
      </c>
      <c r="F113" s="941" t="s">
        <v>3363</v>
      </c>
      <c r="G113" s="941"/>
      <c r="H113" s="941"/>
      <c r="I113" s="912" t="s">
        <v>3363</v>
      </c>
    </row>
    <row r="114" spans="1:9" ht="15" customHeight="1" x14ac:dyDescent="0.2">
      <c r="A114" s="921">
        <v>200</v>
      </c>
      <c r="B114" s="929" t="s">
        <v>3376</v>
      </c>
      <c r="C114" s="929" t="s">
        <v>3504</v>
      </c>
      <c r="D114" s="914" t="s">
        <v>3377</v>
      </c>
      <c r="E114" s="950" t="s">
        <v>3378</v>
      </c>
      <c r="F114" s="941" t="s">
        <v>3328</v>
      </c>
      <c r="G114" s="941"/>
      <c r="H114" s="941"/>
      <c r="I114" s="912" t="s">
        <v>3328</v>
      </c>
    </row>
    <row r="115" spans="1:9" ht="15" customHeight="1" x14ac:dyDescent="0.2">
      <c r="A115" s="921">
        <v>218</v>
      </c>
      <c r="B115" s="929" t="s">
        <v>3411</v>
      </c>
      <c r="C115" s="929" t="s">
        <v>3504</v>
      </c>
      <c r="D115" s="914" t="s">
        <v>3412</v>
      </c>
      <c r="E115" s="950" t="s">
        <v>3413</v>
      </c>
      <c r="F115" s="941" t="s">
        <v>3363</v>
      </c>
      <c r="G115" s="941"/>
      <c r="H115" s="941"/>
      <c r="I115" s="912" t="s">
        <v>3363</v>
      </c>
    </row>
    <row r="116" spans="1:9" ht="15" customHeight="1" x14ac:dyDescent="0.2">
      <c r="A116" s="921">
        <v>222</v>
      </c>
      <c r="B116" s="929" t="s">
        <v>3242</v>
      </c>
      <c r="C116" s="929" t="s">
        <v>3504</v>
      </c>
      <c r="D116" s="914" t="s">
        <v>3420</v>
      </c>
      <c r="E116" s="950" t="s">
        <v>3421</v>
      </c>
      <c r="F116" s="941" t="s">
        <v>3363</v>
      </c>
      <c r="G116" s="941"/>
      <c r="H116" s="941"/>
      <c r="I116" s="912" t="s">
        <v>3363</v>
      </c>
    </row>
    <row r="117" spans="1:9" ht="30" customHeight="1" x14ac:dyDescent="0.2">
      <c r="A117" s="921">
        <v>223</v>
      </c>
      <c r="B117" s="929" t="s">
        <v>1477</v>
      </c>
      <c r="C117" s="929" t="s">
        <v>3504</v>
      </c>
      <c r="D117" s="914" t="s">
        <v>3374</v>
      </c>
      <c r="E117" s="950" t="s">
        <v>3422</v>
      </c>
      <c r="F117" s="941" t="s">
        <v>3363</v>
      </c>
      <c r="G117" s="941" t="s">
        <v>3322</v>
      </c>
      <c r="H117" s="941" t="s">
        <v>3535</v>
      </c>
      <c r="I117" s="912" t="s">
        <v>3531</v>
      </c>
    </row>
    <row r="118" spans="1:9" ht="27" customHeight="1" x14ac:dyDescent="0.25">
      <c r="A118" s="921">
        <v>265</v>
      </c>
      <c r="B118" s="948" t="s">
        <v>2794</v>
      </c>
      <c r="C118" s="929" t="s">
        <v>3503</v>
      </c>
      <c r="D118" s="914" t="s">
        <v>3493</v>
      </c>
      <c r="E118" s="950" t="s">
        <v>3494</v>
      </c>
      <c r="F118" s="941" t="s">
        <v>3320</v>
      </c>
      <c r="G118" s="941"/>
      <c r="H118" s="941" t="s">
        <v>3537</v>
      </c>
      <c r="I118" s="912" t="s">
        <v>3320</v>
      </c>
    </row>
    <row r="119" spans="1:9" ht="15" customHeight="1" x14ac:dyDescent="0.2">
      <c r="A119" s="921">
        <v>267</v>
      </c>
      <c r="B119" s="929" t="s">
        <v>2627</v>
      </c>
      <c r="C119" s="929" t="s">
        <v>3504</v>
      </c>
      <c r="D119" s="914" t="s">
        <v>2267</v>
      </c>
      <c r="E119" s="950" t="s">
        <v>3496</v>
      </c>
      <c r="F119" s="941" t="s">
        <v>3485</v>
      </c>
      <c r="G119" s="941"/>
      <c r="H119" s="941" t="s">
        <v>3534</v>
      </c>
      <c r="I119" s="912" t="s">
        <v>3532</v>
      </c>
    </row>
    <row r="120" spans="1:9" ht="15" customHeight="1" x14ac:dyDescent="0.25">
      <c r="A120" s="921">
        <v>268</v>
      </c>
      <c r="B120" s="976" t="s">
        <v>2593</v>
      </c>
      <c r="C120" s="929" t="s">
        <v>3503</v>
      </c>
      <c r="D120" s="914" t="s">
        <v>3497</v>
      </c>
      <c r="E120" s="950" t="s">
        <v>3498</v>
      </c>
      <c r="F120" s="941" t="s">
        <v>3485</v>
      </c>
      <c r="G120" s="941"/>
      <c r="H120" s="941" t="s">
        <v>3534</v>
      </c>
      <c r="I120" s="912" t="s">
        <v>3532</v>
      </c>
    </row>
    <row r="121" spans="1:9" ht="15" customHeight="1" x14ac:dyDescent="0.25">
      <c r="A121" s="921">
        <v>269</v>
      </c>
      <c r="B121" s="948" t="s">
        <v>2033</v>
      </c>
      <c r="C121" s="929" t="s">
        <v>3503</v>
      </c>
      <c r="D121" s="914" t="s">
        <v>2034</v>
      </c>
      <c r="E121" s="950" t="s">
        <v>3499</v>
      </c>
      <c r="F121" s="941" t="s">
        <v>3485</v>
      </c>
      <c r="G121" s="941"/>
      <c r="H121" s="941" t="s">
        <v>3534</v>
      </c>
      <c r="I121" s="912" t="s">
        <v>3532</v>
      </c>
    </row>
    <row r="122" spans="1:9" ht="15" customHeight="1" x14ac:dyDescent="0.25">
      <c r="A122" s="921">
        <v>270</v>
      </c>
      <c r="B122" s="948" t="s">
        <v>2066</v>
      </c>
      <c r="C122" s="929" t="s">
        <v>3503</v>
      </c>
      <c r="D122" s="914" t="s">
        <v>2065</v>
      </c>
      <c r="E122" s="950" t="s">
        <v>3500</v>
      </c>
      <c r="F122" s="941" t="s">
        <v>3485</v>
      </c>
      <c r="G122" s="941"/>
      <c r="H122" s="941" t="s">
        <v>3534</v>
      </c>
      <c r="I122" s="912" t="s">
        <v>3532</v>
      </c>
    </row>
    <row r="123" spans="1:9" ht="34.5" customHeight="1" x14ac:dyDescent="0.25">
      <c r="A123" s="921">
        <v>291</v>
      </c>
      <c r="B123" s="985" t="s">
        <v>2517</v>
      </c>
      <c r="C123" s="914" t="s">
        <v>3503</v>
      </c>
      <c r="D123" s="914" t="s">
        <v>1906</v>
      </c>
      <c r="E123" s="912" t="s">
        <v>3645</v>
      </c>
      <c r="F123" s="941" t="s">
        <v>3485</v>
      </c>
      <c r="G123" s="926"/>
      <c r="H123" s="941"/>
      <c r="I123" s="927" t="s">
        <v>3532</v>
      </c>
    </row>
    <row r="124" spans="1:9" ht="15" customHeight="1" x14ac:dyDescent="0.25">
      <c r="A124" s="921">
        <v>292</v>
      </c>
      <c r="B124" s="985" t="s">
        <v>2571</v>
      </c>
      <c r="C124" s="914" t="s">
        <v>3503</v>
      </c>
      <c r="D124" s="914" t="s">
        <v>233</v>
      </c>
      <c r="E124" s="912"/>
      <c r="F124" s="941"/>
      <c r="G124" s="926" t="s">
        <v>3540</v>
      </c>
      <c r="H124" s="941"/>
      <c r="I124" s="927" t="s">
        <v>3532</v>
      </c>
    </row>
    <row r="125" spans="1:9" ht="33" customHeight="1" x14ac:dyDescent="0.25">
      <c r="A125" s="921">
        <v>293</v>
      </c>
      <c r="B125" s="958" t="s">
        <v>2673</v>
      </c>
      <c r="C125" s="914" t="s">
        <v>3503</v>
      </c>
      <c r="D125" s="914" t="s">
        <v>2676</v>
      </c>
      <c r="E125" s="912" t="s">
        <v>3644</v>
      </c>
      <c r="F125" s="941" t="s">
        <v>3485</v>
      </c>
      <c r="G125" s="926"/>
      <c r="H125" s="941"/>
      <c r="I125" s="927" t="s">
        <v>3532</v>
      </c>
    </row>
    <row r="126" spans="1:9" ht="18" customHeight="1" x14ac:dyDescent="0.2">
      <c r="A126" s="921">
        <v>300</v>
      </c>
      <c r="B126" s="978" t="s">
        <v>2203</v>
      </c>
      <c r="C126" s="914" t="s">
        <v>3503</v>
      </c>
      <c r="D126" s="914" t="s">
        <v>2204</v>
      </c>
      <c r="E126" s="912" t="s">
        <v>3597</v>
      </c>
      <c r="F126" s="941" t="s">
        <v>3320</v>
      </c>
      <c r="G126" s="941"/>
      <c r="H126" s="941"/>
      <c r="I126" s="912" t="s">
        <v>3532</v>
      </c>
    </row>
    <row r="127" spans="1:9" ht="33.75" customHeight="1" x14ac:dyDescent="0.2">
      <c r="A127" s="921">
        <v>308</v>
      </c>
      <c r="B127" s="961" t="s">
        <v>2465</v>
      </c>
      <c r="C127" s="914" t="s">
        <v>3503</v>
      </c>
      <c r="D127" s="914" t="s">
        <v>1034</v>
      </c>
      <c r="E127" s="912" t="s">
        <v>3552</v>
      </c>
      <c r="F127" s="941"/>
      <c r="G127" s="941" t="s">
        <v>3545</v>
      </c>
      <c r="H127" s="941"/>
      <c r="I127" s="912" t="s">
        <v>3320</v>
      </c>
    </row>
    <row r="128" spans="1:9" ht="33" customHeight="1" x14ac:dyDescent="0.2">
      <c r="A128" s="953">
        <v>401</v>
      </c>
      <c r="B128" s="953" t="s">
        <v>2375</v>
      </c>
      <c r="C128" s="952" t="s">
        <v>3504</v>
      </c>
      <c r="D128" s="952" t="s">
        <v>3185</v>
      </c>
      <c r="E128" s="959" t="s">
        <v>3585</v>
      </c>
      <c r="F128" s="954" t="s">
        <v>3320</v>
      </c>
      <c r="G128" s="960" t="s">
        <v>3671</v>
      </c>
      <c r="H128" s="954"/>
      <c r="I128" s="953"/>
    </row>
    <row r="129" spans="1:9" ht="15" customHeight="1" x14ac:dyDescent="0.2">
      <c r="A129" s="953">
        <v>402</v>
      </c>
      <c r="B129" s="955" t="s">
        <v>2606</v>
      </c>
      <c r="C129" s="952" t="s">
        <v>3503</v>
      </c>
      <c r="D129" s="952" t="s">
        <v>90</v>
      </c>
      <c r="E129" s="959" t="s">
        <v>3586</v>
      </c>
      <c r="F129" s="954" t="s">
        <v>3320</v>
      </c>
      <c r="G129" s="954"/>
      <c r="H129" s="954"/>
      <c r="I129" s="953"/>
    </row>
    <row r="130" spans="1:9" ht="15" customHeight="1" x14ac:dyDescent="0.2">
      <c r="A130" s="921">
        <v>1</v>
      </c>
      <c r="B130" s="928" t="s">
        <v>247</v>
      </c>
      <c r="C130" s="928" t="s">
        <v>3503</v>
      </c>
      <c r="D130" s="914" t="s">
        <v>3086</v>
      </c>
      <c r="E130" s="912"/>
      <c r="F130" s="941"/>
      <c r="G130" s="912"/>
      <c r="H130" s="941"/>
      <c r="I130" s="912"/>
    </row>
    <row r="131" spans="1:9" ht="15" customHeight="1" x14ac:dyDescent="0.2">
      <c r="A131" s="921">
        <v>2</v>
      </c>
      <c r="B131" s="928" t="s">
        <v>248</v>
      </c>
      <c r="C131" s="928" t="s">
        <v>3503</v>
      </c>
      <c r="D131" s="914" t="s">
        <v>3087</v>
      </c>
      <c r="E131" s="912"/>
      <c r="F131" s="941"/>
      <c r="G131" s="912"/>
      <c r="H131" s="941"/>
      <c r="I131" s="912"/>
    </row>
    <row r="132" spans="1:9" ht="15" customHeight="1" x14ac:dyDescent="0.2">
      <c r="A132" s="921">
        <v>3</v>
      </c>
      <c r="B132" s="928" t="s">
        <v>1347</v>
      </c>
      <c r="C132" s="928" t="s">
        <v>3503</v>
      </c>
      <c r="D132" s="914" t="s">
        <v>3088</v>
      </c>
      <c r="E132" s="912"/>
      <c r="F132" s="941"/>
      <c r="G132" s="912"/>
      <c r="H132" s="941"/>
      <c r="I132" s="912"/>
    </row>
    <row r="133" spans="1:9" ht="15" customHeight="1" x14ac:dyDescent="0.2">
      <c r="A133" s="921">
        <v>4</v>
      </c>
      <c r="B133" s="928" t="s">
        <v>1364</v>
      </c>
      <c r="C133" s="928" t="s">
        <v>3503</v>
      </c>
      <c r="D133" s="914" t="s">
        <v>3089</v>
      </c>
      <c r="E133" s="912"/>
      <c r="F133" s="941"/>
      <c r="G133" s="912"/>
      <c r="H133" s="941"/>
      <c r="I133" s="912"/>
    </row>
    <row r="134" spans="1:9" ht="15" customHeight="1" x14ac:dyDescent="0.2">
      <c r="A134" s="921">
        <v>7</v>
      </c>
      <c r="B134" s="928" t="s">
        <v>1157</v>
      </c>
      <c r="C134" s="928" t="s">
        <v>3503</v>
      </c>
      <c r="D134" s="914" t="s">
        <v>3092</v>
      </c>
      <c r="E134" s="912"/>
      <c r="F134" s="941"/>
      <c r="G134" s="912"/>
      <c r="H134" s="941"/>
      <c r="I134" s="912"/>
    </row>
    <row r="135" spans="1:9" ht="30.75" customHeight="1" x14ac:dyDescent="0.2">
      <c r="A135" s="921">
        <v>8</v>
      </c>
      <c r="B135" s="928" t="s">
        <v>283</v>
      </c>
      <c r="C135" s="928" t="s">
        <v>3503</v>
      </c>
      <c r="D135" s="914" t="s">
        <v>3093</v>
      </c>
      <c r="E135" s="912"/>
      <c r="F135" s="941"/>
      <c r="G135" s="912"/>
      <c r="H135" s="941"/>
      <c r="I135" s="912"/>
    </row>
    <row r="136" spans="1:9" ht="15" customHeight="1" x14ac:dyDescent="0.25">
      <c r="A136" s="921">
        <v>9</v>
      </c>
      <c r="B136" s="1034" t="s">
        <v>289</v>
      </c>
      <c r="C136" s="928" t="s">
        <v>3503</v>
      </c>
      <c r="D136" s="914" t="s">
        <v>3094</v>
      </c>
      <c r="E136" s="912"/>
      <c r="F136" s="941"/>
      <c r="G136" s="912"/>
      <c r="H136" s="941"/>
      <c r="I136" s="912"/>
    </row>
    <row r="137" spans="1:9" ht="15" customHeight="1" x14ac:dyDescent="0.2">
      <c r="A137" s="921">
        <v>10</v>
      </c>
      <c r="B137" s="928" t="s">
        <v>294</v>
      </c>
      <c r="C137" s="928" t="s">
        <v>3503</v>
      </c>
      <c r="D137" s="914" t="s">
        <v>3095</v>
      </c>
      <c r="E137" s="912"/>
      <c r="F137" s="941"/>
      <c r="G137" s="912"/>
      <c r="H137" s="941"/>
      <c r="I137" s="912"/>
    </row>
    <row r="138" spans="1:9" ht="15" customHeight="1" x14ac:dyDescent="0.2">
      <c r="A138" s="921">
        <v>11</v>
      </c>
      <c r="B138" s="928" t="s">
        <v>278</v>
      </c>
      <c r="C138" s="928" t="s">
        <v>3503</v>
      </c>
      <c r="D138" s="914" t="s">
        <v>3096</v>
      </c>
      <c r="E138" s="912"/>
      <c r="F138" s="941"/>
      <c r="G138" s="912"/>
      <c r="H138" s="941"/>
      <c r="I138" s="912"/>
    </row>
    <row r="139" spans="1:9" ht="41.25" customHeight="1" x14ac:dyDescent="0.25">
      <c r="A139" s="921">
        <v>17</v>
      </c>
      <c r="B139" s="948" t="s">
        <v>1329</v>
      </c>
      <c r="C139" s="929" t="s">
        <v>3503</v>
      </c>
      <c r="D139" s="914" t="s">
        <v>3103</v>
      </c>
      <c r="E139" s="912"/>
      <c r="F139" s="941"/>
      <c r="G139" s="912"/>
      <c r="H139" s="941"/>
      <c r="I139" s="912"/>
    </row>
    <row r="140" spans="1:9" ht="15" customHeight="1" x14ac:dyDescent="0.2">
      <c r="A140" s="921">
        <v>18</v>
      </c>
      <c r="B140" s="930" t="s">
        <v>3104</v>
      </c>
      <c r="C140" s="929" t="s">
        <v>3503</v>
      </c>
      <c r="D140" s="914" t="s">
        <v>3105</v>
      </c>
      <c r="E140" s="912"/>
      <c r="F140" s="941"/>
      <c r="G140" s="912" t="s">
        <v>3106</v>
      </c>
      <c r="H140" s="941"/>
      <c r="I140" s="912"/>
    </row>
    <row r="141" spans="1:9" ht="15" customHeight="1" x14ac:dyDescent="0.2">
      <c r="A141" s="921">
        <v>20</v>
      </c>
      <c r="B141" s="928" t="s">
        <v>400</v>
      </c>
      <c r="C141" s="928" t="s">
        <v>3503</v>
      </c>
      <c r="D141" s="914" t="s">
        <v>3108</v>
      </c>
      <c r="E141" s="912"/>
      <c r="F141" s="941"/>
      <c r="G141" s="912"/>
      <c r="H141" s="941"/>
      <c r="I141" s="912"/>
    </row>
    <row r="142" spans="1:9" ht="15" customHeight="1" x14ac:dyDescent="0.2">
      <c r="A142" s="921">
        <v>21</v>
      </c>
      <c r="B142" s="928" t="s">
        <v>1344</v>
      </c>
      <c r="C142" s="928" t="s">
        <v>3503</v>
      </c>
      <c r="D142" s="914" t="s">
        <v>3109</v>
      </c>
      <c r="E142" s="912"/>
      <c r="F142" s="941"/>
      <c r="G142" s="912"/>
      <c r="H142" s="941"/>
      <c r="I142" s="912"/>
    </row>
    <row r="143" spans="1:9" ht="15" customHeight="1" x14ac:dyDescent="0.2">
      <c r="A143" s="921">
        <v>22</v>
      </c>
      <c r="B143" s="928" t="s">
        <v>548</v>
      </c>
      <c r="C143" s="928" t="s">
        <v>3503</v>
      </c>
      <c r="D143" s="914" t="s">
        <v>3110</v>
      </c>
      <c r="E143" s="912"/>
      <c r="F143" s="941"/>
      <c r="G143" s="912"/>
      <c r="H143" s="941"/>
      <c r="I143" s="912"/>
    </row>
    <row r="144" spans="1:9" ht="15" customHeight="1" x14ac:dyDescent="0.2">
      <c r="A144" s="921">
        <v>23</v>
      </c>
      <c r="B144" s="928" t="s">
        <v>1424</v>
      </c>
      <c r="C144" s="928" t="s">
        <v>3503</v>
      </c>
      <c r="D144" s="931" t="s">
        <v>3111</v>
      </c>
      <c r="E144" s="949"/>
      <c r="F144" s="943"/>
      <c r="G144" s="949"/>
      <c r="H144" s="941"/>
      <c r="I144" s="912"/>
    </row>
    <row r="145" spans="1:9" ht="15" customHeight="1" x14ac:dyDescent="0.25">
      <c r="A145" s="921">
        <v>25</v>
      </c>
      <c r="B145" s="948" t="s">
        <v>3113</v>
      </c>
      <c r="C145" s="929" t="s">
        <v>3503</v>
      </c>
      <c r="D145" s="914" t="s">
        <v>3114</v>
      </c>
      <c r="E145" s="912"/>
      <c r="F145" s="941"/>
      <c r="G145" s="912"/>
      <c r="H145" s="941"/>
      <c r="I145" s="912"/>
    </row>
    <row r="146" spans="1:9" ht="15" customHeight="1" x14ac:dyDescent="0.2">
      <c r="A146" s="921">
        <v>26</v>
      </c>
      <c r="B146" s="928" t="s">
        <v>297</v>
      </c>
      <c r="C146" s="928" t="s">
        <v>3503</v>
      </c>
      <c r="D146" s="914" t="s">
        <v>3115</v>
      </c>
      <c r="E146" s="912"/>
      <c r="F146" s="941"/>
      <c r="G146" s="912"/>
      <c r="H146" s="941"/>
      <c r="I146" s="912"/>
    </row>
    <row r="147" spans="1:9" ht="15" customHeight="1" x14ac:dyDescent="0.25">
      <c r="A147" s="921">
        <v>27</v>
      </c>
      <c r="B147" s="948" t="s">
        <v>1491</v>
      </c>
      <c r="C147" s="928" t="s">
        <v>3503</v>
      </c>
      <c r="D147" s="914" t="s">
        <v>3116</v>
      </c>
      <c r="E147" s="912"/>
      <c r="F147" s="941"/>
      <c r="G147" s="912" t="s">
        <v>3117</v>
      </c>
      <c r="H147" s="941"/>
      <c r="I147" s="912"/>
    </row>
    <row r="148" spans="1:9" ht="15" customHeight="1" x14ac:dyDescent="0.2">
      <c r="A148" s="921">
        <v>1</v>
      </c>
      <c r="B148" s="922" t="s">
        <v>1996</v>
      </c>
      <c r="C148" s="928" t="s">
        <v>3503</v>
      </c>
      <c r="D148" s="914" t="s">
        <v>3118</v>
      </c>
      <c r="E148" s="912"/>
      <c r="F148" s="941"/>
      <c r="G148" s="912" t="s">
        <v>3119</v>
      </c>
      <c r="H148" s="941"/>
      <c r="I148" s="912"/>
    </row>
    <row r="149" spans="1:9" ht="15" customHeight="1" x14ac:dyDescent="0.25">
      <c r="A149" s="921">
        <v>2</v>
      </c>
      <c r="B149" s="948" t="s">
        <v>2040</v>
      </c>
      <c r="C149" s="929" t="s">
        <v>3503</v>
      </c>
      <c r="D149" s="931" t="s">
        <v>3120</v>
      </c>
      <c r="E149" s="912"/>
      <c r="F149" s="941"/>
      <c r="G149" s="912"/>
      <c r="H149" s="941"/>
      <c r="I149" s="912"/>
    </row>
    <row r="150" spans="1:9" ht="15" customHeight="1" x14ac:dyDescent="0.25">
      <c r="A150" s="921">
        <v>3</v>
      </c>
      <c r="B150" s="948" t="s">
        <v>2046</v>
      </c>
      <c r="C150" s="929" t="s">
        <v>3503</v>
      </c>
      <c r="D150" s="931" t="s">
        <v>3121</v>
      </c>
      <c r="E150" s="912"/>
      <c r="F150" s="941"/>
      <c r="G150" s="912"/>
      <c r="H150" s="941"/>
      <c r="I150" s="912"/>
    </row>
    <row r="151" spans="1:9" ht="15" customHeight="1" x14ac:dyDescent="0.2">
      <c r="A151" s="921">
        <v>5</v>
      </c>
      <c r="B151" s="922" t="s">
        <v>1987</v>
      </c>
      <c r="C151" s="928" t="s">
        <v>3503</v>
      </c>
      <c r="D151" s="914" t="s">
        <v>3123</v>
      </c>
      <c r="E151" s="912"/>
      <c r="F151" s="941"/>
      <c r="G151" s="912"/>
      <c r="H151" s="941"/>
      <c r="I151" s="912"/>
    </row>
    <row r="152" spans="1:9" ht="15" customHeight="1" x14ac:dyDescent="0.2">
      <c r="A152" s="921">
        <v>6</v>
      </c>
      <c r="B152" s="922" t="s">
        <v>1761</v>
      </c>
      <c r="C152" s="928" t="s">
        <v>3503</v>
      </c>
      <c r="D152" s="914" t="s">
        <v>3094</v>
      </c>
      <c r="E152" s="912"/>
      <c r="F152" s="941"/>
      <c r="G152" s="912"/>
      <c r="H152" s="941"/>
      <c r="I152" s="912"/>
    </row>
    <row r="153" spans="1:9" ht="15" customHeight="1" x14ac:dyDescent="0.25">
      <c r="A153" s="921">
        <v>7</v>
      </c>
      <c r="B153" s="948" t="s">
        <v>1336</v>
      </c>
      <c r="C153" s="929" t="s">
        <v>3503</v>
      </c>
      <c r="D153" s="914" t="s">
        <v>3124</v>
      </c>
      <c r="E153" s="912"/>
      <c r="F153" s="941"/>
      <c r="G153" s="912" t="s">
        <v>3125</v>
      </c>
      <c r="H153" s="941"/>
      <c r="I153" s="912"/>
    </row>
    <row r="154" spans="1:9" ht="15" customHeight="1" x14ac:dyDescent="0.2">
      <c r="A154" s="921">
        <v>9</v>
      </c>
      <c r="B154" s="922" t="s">
        <v>401</v>
      </c>
      <c r="C154" s="928" t="s">
        <v>3503</v>
      </c>
      <c r="D154" s="914" t="s">
        <v>3128</v>
      </c>
      <c r="E154" s="912"/>
      <c r="F154" s="941"/>
      <c r="G154" s="912"/>
      <c r="H154" s="941"/>
      <c r="I154" s="912"/>
    </row>
    <row r="155" spans="1:9" ht="15" customHeight="1" x14ac:dyDescent="0.2">
      <c r="A155" s="921">
        <v>10</v>
      </c>
      <c r="B155" s="922" t="s">
        <v>1419</v>
      </c>
      <c r="C155" s="928" t="s">
        <v>3503</v>
      </c>
      <c r="D155" s="914" t="s">
        <v>3129</v>
      </c>
      <c r="E155" s="912"/>
      <c r="F155" s="941"/>
      <c r="G155" s="912"/>
      <c r="H155" s="941"/>
      <c r="I155" s="912"/>
    </row>
    <row r="156" spans="1:9" ht="15" customHeight="1" x14ac:dyDescent="0.25">
      <c r="A156" s="921">
        <v>11</v>
      </c>
      <c r="B156" s="958" t="s">
        <v>2192</v>
      </c>
      <c r="C156" s="929" t="s">
        <v>3503</v>
      </c>
      <c r="D156" s="914" t="s">
        <v>3130</v>
      </c>
      <c r="E156" s="912"/>
      <c r="F156" s="941"/>
      <c r="G156" s="912"/>
      <c r="H156" s="941"/>
      <c r="I156" s="912"/>
    </row>
    <row r="157" spans="1:9" ht="15" customHeight="1" x14ac:dyDescent="0.2">
      <c r="A157" s="921">
        <v>12</v>
      </c>
      <c r="B157" s="928" t="s">
        <v>276</v>
      </c>
      <c r="C157" s="928" t="s">
        <v>3503</v>
      </c>
      <c r="D157" s="914" t="s">
        <v>3131</v>
      </c>
      <c r="E157" s="912"/>
      <c r="F157" s="941"/>
      <c r="G157" s="912"/>
      <c r="H157" s="941"/>
      <c r="I157" s="912"/>
    </row>
    <row r="158" spans="1:9" ht="15" customHeight="1" x14ac:dyDescent="0.2">
      <c r="A158" s="921">
        <v>13</v>
      </c>
      <c r="B158" s="922" t="s">
        <v>1552</v>
      </c>
      <c r="C158" s="928" t="s">
        <v>3503</v>
      </c>
      <c r="D158" s="914" t="s">
        <v>3132</v>
      </c>
      <c r="E158" s="912"/>
      <c r="F158" s="941"/>
      <c r="G158" s="912"/>
      <c r="H158" s="941"/>
      <c r="I158" s="912"/>
    </row>
    <row r="159" spans="1:9" ht="15" customHeight="1" x14ac:dyDescent="0.25">
      <c r="A159" s="921">
        <v>14</v>
      </c>
      <c r="B159" s="948" t="s">
        <v>1580</v>
      </c>
      <c r="C159" s="929" t="s">
        <v>3503</v>
      </c>
      <c r="D159" s="914" t="s">
        <v>3133</v>
      </c>
      <c r="E159" s="912"/>
      <c r="F159" s="941"/>
      <c r="G159" s="912"/>
      <c r="H159" s="941"/>
      <c r="I159" s="912"/>
    </row>
    <row r="160" spans="1:9" ht="15" customHeight="1" x14ac:dyDescent="0.2">
      <c r="A160" s="921">
        <v>15</v>
      </c>
      <c r="B160" s="922" t="s">
        <v>1550</v>
      </c>
      <c r="C160" s="928" t="s">
        <v>3503</v>
      </c>
      <c r="D160" s="914" t="s">
        <v>3134</v>
      </c>
      <c r="E160" s="912"/>
      <c r="F160" s="941"/>
      <c r="G160" s="912"/>
      <c r="H160" s="941"/>
      <c r="I160" s="912"/>
    </row>
    <row r="161" spans="1:9" ht="15" customHeight="1" x14ac:dyDescent="0.2">
      <c r="A161" s="921">
        <v>16</v>
      </c>
      <c r="B161" s="922" t="s">
        <v>1554</v>
      </c>
      <c r="C161" s="928" t="s">
        <v>3503</v>
      </c>
      <c r="D161" s="914" t="s">
        <v>3135</v>
      </c>
      <c r="E161" s="912"/>
      <c r="F161" s="941"/>
      <c r="G161" s="912"/>
      <c r="H161" s="941"/>
      <c r="I161" s="912"/>
    </row>
    <row r="162" spans="1:9" ht="15" customHeight="1" x14ac:dyDescent="0.25">
      <c r="A162" s="921">
        <v>17</v>
      </c>
      <c r="B162" s="948" t="s">
        <v>1106</v>
      </c>
      <c r="C162" s="929" t="s">
        <v>3503</v>
      </c>
      <c r="D162" s="914" t="s">
        <v>3136</v>
      </c>
      <c r="E162" s="912"/>
      <c r="F162" s="941"/>
      <c r="G162" s="912"/>
      <c r="H162" s="941"/>
      <c r="I162" s="912"/>
    </row>
    <row r="163" spans="1:9" ht="15" customHeight="1" x14ac:dyDescent="0.2">
      <c r="A163" s="921">
        <v>18</v>
      </c>
      <c r="B163" s="922" t="s">
        <v>1984</v>
      </c>
      <c r="C163" s="928" t="s">
        <v>3503</v>
      </c>
      <c r="D163" s="914" t="s">
        <v>3137</v>
      </c>
      <c r="E163" s="912"/>
      <c r="F163" s="941"/>
      <c r="G163" s="912"/>
      <c r="H163" s="941"/>
      <c r="I163" s="912"/>
    </row>
    <row r="164" spans="1:9" ht="15" customHeight="1" x14ac:dyDescent="0.2">
      <c r="A164" s="921">
        <v>19</v>
      </c>
      <c r="B164" s="922" t="s">
        <v>1964</v>
      </c>
      <c r="C164" s="928" t="s">
        <v>3503</v>
      </c>
      <c r="D164" s="914" t="s">
        <v>3138</v>
      </c>
      <c r="E164" s="912"/>
      <c r="F164" s="941"/>
      <c r="G164" s="912"/>
      <c r="H164" s="941"/>
      <c r="I164" s="912"/>
    </row>
    <row r="165" spans="1:9" ht="15" customHeight="1" x14ac:dyDescent="0.2">
      <c r="A165" s="921">
        <v>21</v>
      </c>
      <c r="B165" s="922" t="s">
        <v>1954</v>
      </c>
      <c r="C165" s="928" t="s">
        <v>3503</v>
      </c>
      <c r="D165" s="914" t="s">
        <v>3139</v>
      </c>
      <c r="E165" s="912"/>
      <c r="F165" s="941"/>
      <c r="G165" s="912" t="s">
        <v>3140</v>
      </c>
      <c r="H165" s="941"/>
      <c r="I165" s="912"/>
    </row>
    <row r="166" spans="1:9" ht="15" customHeight="1" x14ac:dyDescent="0.2">
      <c r="A166" s="921">
        <v>22</v>
      </c>
      <c r="B166" s="922" t="s">
        <v>2030</v>
      </c>
      <c r="C166" s="928" t="s">
        <v>3503</v>
      </c>
      <c r="D166" s="914" t="s">
        <v>3141</v>
      </c>
      <c r="E166" s="912"/>
      <c r="F166" s="941"/>
      <c r="G166" s="912"/>
      <c r="H166" s="941"/>
      <c r="I166" s="912"/>
    </row>
    <row r="167" spans="1:9" ht="15" customHeight="1" x14ac:dyDescent="0.25">
      <c r="A167" s="921">
        <v>23</v>
      </c>
      <c r="B167" s="948" t="s">
        <v>1557</v>
      </c>
      <c r="C167" s="929" t="s">
        <v>3503</v>
      </c>
      <c r="D167" s="914" t="s">
        <v>3142</v>
      </c>
      <c r="E167" s="912"/>
      <c r="F167" s="941"/>
      <c r="G167" s="912"/>
      <c r="H167" s="941"/>
      <c r="I167" s="912"/>
    </row>
    <row r="168" spans="1:9" ht="15" customHeight="1" x14ac:dyDescent="0.25">
      <c r="A168" s="921">
        <v>24</v>
      </c>
      <c r="B168" s="948" t="s">
        <v>1584</v>
      </c>
      <c r="C168" s="929" t="s">
        <v>3503</v>
      </c>
      <c r="D168" s="914" t="s">
        <v>3143</v>
      </c>
      <c r="E168" s="912"/>
      <c r="F168" s="941"/>
      <c r="G168" s="912"/>
      <c r="H168" s="941"/>
      <c r="I168" s="912"/>
    </row>
    <row r="169" spans="1:9" ht="15" customHeight="1" x14ac:dyDescent="0.2">
      <c r="A169" s="933">
        <v>26</v>
      </c>
      <c r="B169" s="922" t="s">
        <v>1543</v>
      </c>
      <c r="C169" s="928" t="s">
        <v>3503</v>
      </c>
      <c r="D169" s="914" t="s">
        <v>3145</v>
      </c>
      <c r="E169" s="912"/>
      <c r="F169" s="941"/>
      <c r="G169" s="912"/>
      <c r="H169" s="941"/>
      <c r="I169" s="912"/>
    </row>
    <row r="170" spans="1:9" ht="32.25" customHeight="1" x14ac:dyDescent="0.25">
      <c r="A170" s="921">
        <v>27</v>
      </c>
      <c r="B170" s="948" t="s">
        <v>2346</v>
      </c>
      <c r="C170" s="929" t="s">
        <v>3503</v>
      </c>
      <c r="D170" s="914" t="s">
        <v>3146</v>
      </c>
      <c r="E170" s="912"/>
      <c r="F170" s="941"/>
      <c r="G170" s="912"/>
      <c r="H170" s="941"/>
      <c r="I170" s="912"/>
    </row>
    <row r="171" spans="1:9" ht="15" customHeight="1" x14ac:dyDescent="0.2">
      <c r="A171" s="921">
        <v>28</v>
      </c>
      <c r="B171" s="922" t="s">
        <v>2224</v>
      </c>
      <c r="C171" s="928" t="s">
        <v>3503</v>
      </c>
      <c r="D171" s="914" t="s">
        <v>3147</v>
      </c>
      <c r="E171" s="912"/>
      <c r="F171" s="941"/>
      <c r="G171" s="912"/>
      <c r="H171" s="941"/>
      <c r="I171" s="912"/>
    </row>
    <row r="172" spans="1:9" ht="15" customHeight="1" x14ac:dyDescent="0.25">
      <c r="A172" s="921">
        <v>29</v>
      </c>
      <c r="B172" s="948" t="s">
        <v>1625</v>
      </c>
      <c r="C172" s="929" t="s">
        <v>3503</v>
      </c>
      <c r="D172" s="914" t="s">
        <v>3148</v>
      </c>
      <c r="E172" s="912"/>
      <c r="F172" s="941"/>
      <c r="G172" s="912"/>
      <c r="H172" s="941"/>
      <c r="I172" s="912"/>
    </row>
    <row r="173" spans="1:9" ht="15" customHeight="1" x14ac:dyDescent="0.2">
      <c r="A173" s="921">
        <v>30</v>
      </c>
      <c r="B173" s="922" t="s">
        <v>1859</v>
      </c>
      <c r="C173" s="928" t="s">
        <v>3503</v>
      </c>
      <c r="D173" s="914" t="s">
        <v>3124</v>
      </c>
      <c r="E173" s="912"/>
      <c r="F173" s="941"/>
      <c r="G173" s="912"/>
      <c r="H173" s="941"/>
      <c r="I173" s="912"/>
    </row>
    <row r="174" spans="1:9" ht="15" customHeight="1" x14ac:dyDescent="0.25">
      <c r="A174" s="921">
        <v>31</v>
      </c>
      <c r="B174" s="951" t="s">
        <v>83</v>
      </c>
      <c r="C174" s="929" t="s">
        <v>3503</v>
      </c>
      <c r="D174" s="914" t="s">
        <v>3149</v>
      </c>
      <c r="E174" s="912"/>
      <c r="F174" s="941"/>
      <c r="G174" s="912"/>
      <c r="H174" s="941"/>
      <c r="I174" s="912"/>
    </row>
    <row r="175" spans="1:9" ht="15" customHeight="1" x14ac:dyDescent="0.25">
      <c r="A175" s="921">
        <v>32</v>
      </c>
      <c r="B175" s="948" t="s">
        <v>1558</v>
      </c>
      <c r="C175" s="929" t="s">
        <v>3503</v>
      </c>
      <c r="D175" s="914" t="s">
        <v>3150</v>
      </c>
      <c r="E175" s="912"/>
      <c r="F175" s="941"/>
      <c r="G175" s="912"/>
      <c r="H175" s="941"/>
      <c r="I175" s="912"/>
    </row>
    <row r="176" spans="1:9" ht="15" customHeight="1" x14ac:dyDescent="0.25">
      <c r="A176" s="921">
        <v>37</v>
      </c>
      <c r="B176" s="948" t="s">
        <v>2268</v>
      </c>
      <c r="C176" s="929" t="s">
        <v>3503</v>
      </c>
      <c r="D176" s="914" t="s">
        <v>3155</v>
      </c>
      <c r="E176" s="912"/>
      <c r="F176" s="941"/>
      <c r="G176" s="912"/>
      <c r="H176" s="941"/>
      <c r="I176" s="912" t="s">
        <v>3531</v>
      </c>
    </row>
    <row r="177" spans="1:9" ht="15" customHeight="1" x14ac:dyDescent="0.2">
      <c r="A177" s="921">
        <v>38</v>
      </c>
      <c r="B177" s="930" t="s">
        <v>1351</v>
      </c>
      <c r="C177" s="929" t="s">
        <v>3503</v>
      </c>
      <c r="D177" s="914" t="s">
        <v>3156</v>
      </c>
      <c r="E177" s="912"/>
      <c r="F177" s="941"/>
      <c r="G177" s="912"/>
      <c r="H177" s="941"/>
      <c r="I177" s="912"/>
    </row>
    <row r="178" spans="1:9" ht="15" customHeight="1" x14ac:dyDescent="0.25">
      <c r="A178" s="921">
        <v>39</v>
      </c>
      <c r="B178" s="948" t="s">
        <v>300</v>
      </c>
      <c r="C178" s="929" t="s">
        <v>3503</v>
      </c>
      <c r="D178" s="914" t="s">
        <v>3157</v>
      </c>
      <c r="E178" s="912"/>
      <c r="F178" s="941"/>
      <c r="G178" s="912"/>
      <c r="H178" s="941"/>
      <c r="I178" s="912"/>
    </row>
    <row r="179" spans="1:9" ht="15" customHeight="1" x14ac:dyDescent="0.2">
      <c r="A179" s="921">
        <v>40</v>
      </c>
      <c r="B179" s="922" t="s">
        <v>1636</v>
      </c>
      <c r="C179" s="928" t="s">
        <v>3503</v>
      </c>
      <c r="D179" s="914" t="s">
        <v>3158</v>
      </c>
      <c r="E179" s="912"/>
      <c r="F179" s="941"/>
      <c r="G179" s="912" t="s">
        <v>3159</v>
      </c>
      <c r="H179" s="941"/>
      <c r="I179" s="912"/>
    </row>
    <row r="180" spans="1:9" ht="15" customHeight="1" x14ac:dyDescent="0.25">
      <c r="A180" s="921">
        <v>42</v>
      </c>
      <c r="B180" s="948" t="s">
        <v>1110</v>
      </c>
      <c r="C180" s="929" t="s">
        <v>3503</v>
      </c>
      <c r="D180" s="914" t="s">
        <v>3161</v>
      </c>
      <c r="E180" s="912"/>
      <c r="F180" s="941"/>
      <c r="G180" s="912"/>
      <c r="H180" s="941"/>
      <c r="I180" s="912"/>
    </row>
    <row r="181" spans="1:9" ht="15" customHeight="1" x14ac:dyDescent="0.2">
      <c r="A181" s="921">
        <v>43</v>
      </c>
      <c r="B181" s="930" t="s">
        <v>1525</v>
      </c>
      <c r="C181" s="929" t="s">
        <v>3503</v>
      </c>
      <c r="D181" s="934" t="s">
        <v>3162</v>
      </c>
      <c r="E181" s="912"/>
      <c r="F181" s="941"/>
      <c r="G181" s="912"/>
      <c r="H181" s="941"/>
      <c r="I181" s="912"/>
    </row>
    <row r="182" spans="1:9" ht="15" customHeight="1" x14ac:dyDescent="0.2">
      <c r="A182" s="921">
        <v>44</v>
      </c>
      <c r="B182" s="922" t="s">
        <v>1748</v>
      </c>
      <c r="C182" s="928" t="s">
        <v>3503</v>
      </c>
      <c r="D182" s="914" t="s">
        <v>3163</v>
      </c>
      <c r="E182" s="912"/>
      <c r="F182" s="941"/>
      <c r="G182" s="912"/>
      <c r="H182" s="941"/>
      <c r="I182" s="912"/>
    </row>
    <row r="183" spans="1:9" ht="15" customHeight="1" x14ac:dyDescent="0.25">
      <c r="A183" s="921">
        <v>45</v>
      </c>
      <c r="B183" s="948" t="s">
        <v>291</v>
      </c>
      <c r="C183" s="929" t="s">
        <v>3503</v>
      </c>
      <c r="D183" s="914" t="s">
        <v>3158</v>
      </c>
      <c r="E183" s="912"/>
      <c r="F183" s="941"/>
      <c r="G183" s="912"/>
      <c r="H183" s="941"/>
      <c r="I183" s="912"/>
    </row>
    <row r="184" spans="1:9" ht="15" customHeight="1" x14ac:dyDescent="0.25">
      <c r="A184" s="921">
        <v>46</v>
      </c>
      <c r="B184" s="948" t="s">
        <v>1160</v>
      </c>
      <c r="C184" s="929" t="s">
        <v>3503</v>
      </c>
      <c r="D184" s="914" t="s">
        <v>3164</v>
      </c>
      <c r="E184" s="912"/>
      <c r="F184" s="941"/>
      <c r="G184" s="912"/>
      <c r="H184" s="941"/>
      <c r="I184" s="912"/>
    </row>
    <row r="185" spans="1:9" ht="15" customHeight="1" x14ac:dyDescent="0.2">
      <c r="A185" s="921">
        <v>47</v>
      </c>
      <c r="B185" s="922" t="s">
        <v>2043</v>
      </c>
      <c r="C185" s="928" t="s">
        <v>3503</v>
      </c>
      <c r="D185" s="914" t="s">
        <v>3165</v>
      </c>
      <c r="E185" s="912"/>
      <c r="F185" s="941"/>
      <c r="G185" s="912"/>
      <c r="H185" s="941"/>
      <c r="I185" s="912"/>
    </row>
    <row r="186" spans="1:9" ht="15" customHeight="1" x14ac:dyDescent="0.25">
      <c r="A186" s="921">
        <v>48</v>
      </c>
      <c r="B186" s="948" t="s">
        <v>1116</v>
      </c>
      <c r="C186" s="929" t="s">
        <v>3503</v>
      </c>
      <c r="D186" s="914" t="s">
        <v>3166</v>
      </c>
      <c r="E186" s="912"/>
      <c r="F186" s="941"/>
      <c r="G186" s="912"/>
      <c r="H186" s="941"/>
      <c r="I186" s="912"/>
    </row>
    <row r="187" spans="1:9" ht="15" customHeight="1" x14ac:dyDescent="0.25">
      <c r="A187" s="921">
        <v>52</v>
      </c>
      <c r="B187" s="948" t="s">
        <v>1529</v>
      </c>
      <c r="C187" s="929" t="s">
        <v>3503</v>
      </c>
      <c r="D187" s="914" t="s">
        <v>3170</v>
      </c>
      <c r="E187" s="912"/>
      <c r="F187" s="941"/>
      <c r="G187" s="912"/>
      <c r="H187" s="941"/>
      <c r="I187" s="912"/>
    </row>
    <row r="188" spans="1:9" ht="15" customHeight="1" x14ac:dyDescent="0.2">
      <c r="A188" s="921">
        <v>53</v>
      </c>
      <c r="B188" s="922" t="s">
        <v>1516</v>
      </c>
      <c r="C188" s="928" t="s">
        <v>3503</v>
      </c>
      <c r="D188" s="914" t="s">
        <v>3171</v>
      </c>
      <c r="E188" s="912"/>
      <c r="F188" s="941"/>
      <c r="G188" s="912"/>
      <c r="H188" s="941"/>
      <c r="I188" s="912"/>
    </row>
    <row r="189" spans="1:9" ht="15" customHeight="1" x14ac:dyDescent="0.25">
      <c r="A189" s="921">
        <v>54</v>
      </c>
      <c r="B189" s="948" t="s">
        <v>1155</v>
      </c>
      <c r="C189" s="929" t="s">
        <v>3503</v>
      </c>
      <c r="D189" s="914" t="s">
        <v>3172</v>
      </c>
      <c r="E189" s="912"/>
      <c r="F189" s="941"/>
      <c r="G189" s="912"/>
      <c r="H189" s="941"/>
      <c r="I189" s="912"/>
    </row>
    <row r="190" spans="1:9" ht="15" customHeight="1" x14ac:dyDescent="0.25">
      <c r="A190" s="921">
        <v>55</v>
      </c>
      <c r="B190" s="948" t="s">
        <v>1594</v>
      </c>
      <c r="C190" s="929" t="s">
        <v>3503</v>
      </c>
      <c r="D190" s="914" t="s">
        <v>3144</v>
      </c>
      <c r="E190" s="912"/>
      <c r="F190" s="941"/>
      <c r="G190" s="912"/>
      <c r="H190" s="941"/>
      <c r="I190" s="912"/>
    </row>
    <row r="191" spans="1:9" ht="15" customHeight="1" x14ac:dyDescent="0.25">
      <c r="A191" s="921">
        <v>56</v>
      </c>
      <c r="B191" s="948" t="s">
        <v>175</v>
      </c>
      <c r="C191" s="929" t="s">
        <v>3503</v>
      </c>
      <c r="D191" s="914" t="s">
        <v>3173</v>
      </c>
      <c r="E191" s="912"/>
      <c r="F191" s="941"/>
      <c r="G191" s="912"/>
      <c r="H191" s="941"/>
      <c r="I191" s="912"/>
    </row>
    <row r="192" spans="1:9" ht="15" customHeight="1" x14ac:dyDescent="0.25">
      <c r="A192" s="921">
        <v>58</v>
      </c>
      <c r="B192" s="948" t="s">
        <v>553</v>
      </c>
      <c r="C192" s="929" t="s">
        <v>3503</v>
      </c>
      <c r="D192" s="914" t="s">
        <v>3174</v>
      </c>
      <c r="E192" s="912"/>
      <c r="F192" s="941"/>
      <c r="G192" s="912"/>
      <c r="H192" s="941"/>
      <c r="I192" s="912"/>
    </row>
    <row r="193" spans="1:9" ht="15" customHeight="1" x14ac:dyDescent="0.2">
      <c r="A193" s="921">
        <v>59</v>
      </c>
      <c r="B193" s="930" t="s">
        <v>1497</v>
      </c>
      <c r="C193" s="929" t="s">
        <v>3503</v>
      </c>
      <c r="D193" s="914" t="s">
        <v>3175</v>
      </c>
      <c r="E193" s="912"/>
      <c r="F193" s="941"/>
      <c r="G193" s="912"/>
      <c r="H193" s="941"/>
      <c r="I193" s="912"/>
    </row>
    <row r="194" spans="1:9" ht="15" customHeight="1" x14ac:dyDescent="0.2">
      <c r="A194" s="921">
        <v>60</v>
      </c>
      <c r="B194" s="922" t="s">
        <v>292</v>
      </c>
      <c r="C194" s="928" t="s">
        <v>3503</v>
      </c>
      <c r="D194" s="914" t="s">
        <v>3176</v>
      </c>
      <c r="E194" s="912"/>
      <c r="F194" s="941"/>
      <c r="G194" s="912"/>
      <c r="H194" s="941"/>
      <c r="I194" s="912"/>
    </row>
    <row r="195" spans="1:9" ht="15" customHeight="1" x14ac:dyDescent="0.2">
      <c r="A195" s="921">
        <v>61</v>
      </c>
      <c r="B195" s="922" t="s">
        <v>1359</v>
      </c>
      <c r="C195" s="928" t="s">
        <v>3503</v>
      </c>
      <c r="D195" s="935" t="s">
        <v>3162</v>
      </c>
      <c r="E195" s="912"/>
      <c r="F195" s="941"/>
      <c r="G195" s="912"/>
      <c r="H195" s="941"/>
      <c r="I195" s="912"/>
    </row>
    <row r="196" spans="1:9" ht="15" customHeight="1" x14ac:dyDescent="0.2">
      <c r="A196" s="921">
        <v>62</v>
      </c>
      <c r="B196" s="922" t="s">
        <v>3177</v>
      </c>
      <c r="C196" s="928" t="s">
        <v>3503</v>
      </c>
      <c r="D196" s="914" t="s">
        <v>3178</v>
      </c>
      <c r="E196" s="912"/>
      <c r="F196" s="941"/>
      <c r="G196" s="912"/>
      <c r="H196" s="941"/>
      <c r="I196" s="912"/>
    </row>
    <row r="197" spans="1:9" ht="22.5" customHeight="1" x14ac:dyDescent="0.2">
      <c r="A197" s="921">
        <v>63</v>
      </c>
      <c r="B197" s="930" t="s">
        <v>1162</v>
      </c>
      <c r="C197" s="929" t="s">
        <v>3503</v>
      </c>
      <c r="D197" s="914" t="s">
        <v>3179</v>
      </c>
      <c r="E197" s="912"/>
      <c r="F197" s="941"/>
      <c r="G197" s="912"/>
      <c r="H197" s="941"/>
      <c r="I197" s="912"/>
    </row>
    <row r="198" spans="1:9" ht="30" customHeight="1" x14ac:dyDescent="0.25">
      <c r="A198" s="921">
        <v>64</v>
      </c>
      <c r="B198" s="948" t="s">
        <v>2467</v>
      </c>
      <c r="C198" s="929" t="s">
        <v>3503</v>
      </c>
      <c r="D198" s="914" t="s">
        <v>3094</v>
      </c>
      <c r="E198" s="912"/>
      <c r="F198" s="941"/>
      <c r="G198" s="912"/>
      <c r="H198" s="941"/>
      <c r="I198" s="912"/>
    </row>
    <row r="199" spans="1:9" ht="30" customHeight="1" x14ac:dyDescent="0.2">
      <c r="A199" s="921">
        <v>65</v>
      </c>
      <c r="B199" s="922" t="s">
        <v>2377</v>
      </c>
      <c r="C199" s="928" t="s">
        <v>3503</v>
      </c>
      <c r="D199" s="914" t="s">
        <v>3156</v>
      </c>
      <c r="E199" s="912"/>
      <c r="F199" s="941"/>
      <c r="G199" s="912"/>
      <c r="H199" s="941" t="s">
        <v>3533</v>
      </c>
      <c r="I199" s="912" t="s">
        <v>3531</v>
      </c>
    </row>
    <row r="200" spans="1:9" ht="30" customHeight="1" x14ac:dyDescent="0.2">
      <c r="A200" s="921">
        <v>66</v>
      </c>
      <c r="B200" s="922" t="s">
        <v>1880</v>
      </c>
      <c r="C200" s="928" t="s">
        <v>3503</v>
      </c>
      <c r="D200" s="914" t="s">
        <v>3181</v>
      </c>
      <c r="E200" s="912"/>
      <c r="F200" s="941"/>
      <c r="G200" s="912"/>
      <c r="H200" s="941"/>
      <c r="I200" s="912"/>
    </row>
    <row r="201" spans="1:9" ht="30" customHeight="1" x14ac:dyDescent="0.2">
      <c r="A201" s="921">
        <v>68</v>
      </c>
      <c r="B201" s="922" t="s">
        <v>1356</v>
      </c>
      <c r="C201" s="928" t="s">
        <v>3503</v>
      </c>
      <c r="D201" s="914" t="s">
        <v>3183</v>
      </c>
      <c r="E201" s="912"/>
      <c r="F201" s="941"/>
      <c r="G201" s="912"/>
      <c r="H201" s="941"/>
      <c r="I201" s="912"/>
    </row>
    <row r="202" spans="1:9" ht="30" customHeight="1" x14ac:dyDescent="0.2">
      <c r="A202" s="921">
        <v>69</v>
      </c>
      <c r="B202" s="922" t="s">
        <v>2038</v>
      </c>
      <c r="C202" s="928" t="s">
        <v>3503</v>
      </c>
      <c r="D202" s="914" t="s">
        <v>3184</v>
      </c>
      <c r="E202" s="912"/>
      <c r="F202" s="941"/>
      <c r="G202" s="912"/>
      <c r="H202" s="941"/>
      <c r="I202" s="912"/>
    </row>
    <row r="203" spans="1:9" ht="30" customHeight="1" x14ac:dyDescent="0.25">
      <c r="A203" s="921">
        <v>75</v>
      </c>
      <c r="B203" s="948" t="s">
        <v>1620</v>
      </c>
      <c r="C203" s="929" t="s">
        <v>3503</v>
      </c>
      <c r="D203" s="914" t="s">
        <v>3189</v>
      </c>
      <c r="E203" s="912"/>
      <c r="F203" s="941"/>
      <c r="G203" s="912"/>
      <c r="H203" s="941" t="s">
        <v>3534</v>
      </c>
      <c r="I203" s="912" t="s">
        <v>3532</v>
      </c>
    </row>
    <row r="204" spans="1:9" ht="30" customHeight="1" x14ac:dyDescent="0.25">
      <c r="A204" s="921">
        <v>76</v>
      </c>
      <c r="B204" s="948" t="s">
        <v>1615</v>
      </c>
      <c r="C204" s="929" t="s">
        <v>3503</v>
      </c>
      <c r="D204" s="914" t="s">
        <v>3190</v>
      </c>
      <c r="E204" s="912"/>
      <c r="F204" s="941"/>
      <c r="G204" s="912"/>
      <c r="H204" s="941"/>
      <c r="I204" s="912"/>
    </row>
    <row r="205" spans="1:9" ht="30" customHeight="1" x14ac:dyDescent="0.25">
      <c r="A205" s="921">
        <v>77</v>
      </c>
      <c r="B205" s="948" t="s">
        <v>2007</v>
      </c>
      <c r="C205" s="929" t="s">
        <v>3503</v>
      </c>
      <c r="D205" s="914" t="s">
        <v>3115</v>
      </c>
      <c r="E205" s="912"/>
      <c r="F205" s="941"/>
      <c r="G205" s="912"/>
      <c r="H205" s="941"/>
      <c r="I205" s="912"/>
    </row>
    <row r="206" spans="1:9" ht="30" customHeight="1" x14ac:dyDescent="0.2">
      <c r="A206" s="921">
        <v>79</v>
      </c>
      <c r="B206" s="922" t="s">
        <v>1608</v>
      </c>
      <c r="C206" s="928" t="s">
        <v>3503</v>
      </c>
      <c r="D206" s="914" t="s">
        <v>3193</v>
      </c>
      <c r="E206" s="912"/>
      <c r="F206" s="941"/>
      <c r="G206" s="912"/>
      <c r="H206" s="941"/>
      <c r="I206" s="912"/>
    </row>
    <row r="207" spans="1:9" ht="30" customHeight="1" x14ac:dyDescent="0.25">
      <c r="A207" s="921">
        <v>81</v>
      </c>
      <c r="B207" s="948" t="s">
        <v>1354</v>
      </c>
      <c r="C207" s="929" t="s">
        <v>3503</v>
      </c>
      <c r="D207" s="914" t="s">
        <v>3195</v>
      </c>
      <c r="E207" s="912"/>
      <c r="F207" s="941"/>
      <c r="G207" s="912"/>
      <c r="H207" s="941"/>
      <c r="I207" s="912"/>
    </row>
    <row r="208" spans="1:9" ht="30" customHeight="1" x14ac:dyDescent="0.2">
      <c r="A208" s="921">
        <v>83</v>
      </c>
      <c r="B208" s="928" t="s">
        <v>206</v>
      </c>
      <c r="C208" s="928" t="s">
        <v>3503</v>
      </c>
      <c r="D208" s="914" t="s">
        <v>3103</v>
      </c>
      <c r="E208" s="912"/>
      <c r="F208" s="941"/>
      <c r="G208" s="912"/>
      <c r="H208" s="941"/>
      <c r="I208" s="912"/>
    </row>
    <row r="209" spans="1:9" ht="30" customHeight="1" x14ac:dyDescent="0.2">
      <c r="A209" s="921">
        <v>84</v>
      </c>
      <c r="B209" s="928" t="s">
        <v>171</v>
      </c>
      <c r="C209" s="928" t="s">
        <v>3503</v>
      </c>
      <c r="D209" s="914" t="s">
        <v>3197</v>
      </c>
      <c r="E209" s="912"/>
      <c r="F209" s="941"/>
      <c r="G209" s="912"/>
      <c r="H209" s="941"/>
      <c r="I209" s="912"/>
    </row>
    <row r="210" spans="1:9" ht="30" customHeight="1" x14ac:dyDescent="0.2">
      <c r="A210" s="921">
        <v>92</v>
      </c>
      <c r="B210" s="922" t="s">
        <v>2067</v>
      </c>
      <c r="C210" s="928" t="s">
        <v>3503</v>
      </c>
      <c r="D210" s="914" t="s">
        <v>3211</v>
      </c>
      <c r="E210" s="912"/>
      <c r="F210" s="941"/>
      <c r="G210" s="912"/>
      <c r="H210" s="941"/>
      <c r="I210" s="912"/>
    </row>
    <row r="211" spans="1:9" ht="30" customHeight="1" x14ac:dyDescent="0.2">
      <c r="A211" s="921">
        <v>97</v>
      </c>
      <c r="B211" s="928" t="s">
        <v>3219</v>
      </c>
      <c r="C211" s="928" t="s">
        <v>3503</v>
      </c>
      <c r="D211" s="914" t="s">
        <v>3220</v>
      </c>
      <c r="E211" s="912"/>
      <c r="F211" s="941"/>
      <c r="G211" s="912"/>
      <c r="H211" s="941"/>
      <c r="I211" s="912"/>
    </row>
    <row r="212" spans="1:9" ht="30" customHeight="1" x14ac:dyDescent="0.25">
      <c r="A212" s="921">
        <v>101</v>
      </c>
      <c r="B212" s="948" t="s">
        <v>96</v>
      </c>
      <c r="C212" s="929" t="s">
        <v>3503</v>
      </c>
      <c r="D212" s="914" t="s">
        <v>3218</v>
      </c>
      <c r="E212" s="912"/>
      <c r="F212" s="941"/>
      <c r="G212" s="912"/>
      <c r="H212" s="941"/>
      <c r="I212" s="912"/>
    </row>
    <row r="213" spans="1:9" ht="30" customHeight="1" x14ac:dyDescent="0.25">
      <c r="A213" s="921">
        <v>102</v>
      </c>
      <c r="B213" s="948" t="s">
        <v>211</v>
      </c>
      <c r="C213" s="928" t="s">
        <v>3503</v>
      </c>
      <c r="D213" s="914" t="s">
        <v>3228</v>
      </c>
      <c r="E213" s="912"/>
      <c r="F213" s="941"/>
      <c r="G213" s="912"/>
      <c r="H213" s="941"/>
      <c r="I213" s="912"/>
    </row>
    <row r="214" spans="1:9" ht="30" customHeight="1" x14ac:dyDescent="0.2">
      <c r="A214" s="921">
        <v>103</v>
      </c>
      <c r="B214" s="928" t="s">
        <v>3229</v>
      </c>
      <c r="C214" s="928" t="s">
        <v>3503</v>
      </c>
      <c r="D214" s="914" t="s">
        <v>3227</v>
      </c>
      <c r="E214" s="912"/>
      <c r="F214" s="941"/>
      <c r="G214" s="912"/>
      <c r="H214" s="941"/>
      <c r="I214" s="912"/>
    </row>
    <row r="215" spans="1:9" ht="30" customHeight="1" x14ac:dyDescent="0.2">
      <c r="A215" s="921">
        <v>104</v>
      </c>
      <c r="B215" s="928" t="s">
        <v>3230</v>
      </c>
      <c r="C215" s="928" t="s">
        <v>3503</v>
      </c>
      <c r="D215" s="914" t="s">
        <v>3231</v>
      </c>
      <c r="E215" s="912"/>
      <c r="F215" s="941"/>
      <c r="G215" s="912"/>
      <c r="H215" s="941"/>
      <c r="I215" s="912"/>
    </row>
    <row r="216" spans="1:9" ht="30" customHeight="1" x14ac:dyDescent="0.2">
      <c r="A216" s="921">
        <v>105</v>
      </c>
      <c r="B216" s="922" t="s">
        <v>1639</v>
      </c>
      <c r="C216" s="928" t="s">
        <v>3503</v>
      </c>
      <c r="D216" s="914" t="s">
        <v>3232</v>
      </c>
      <c r="E216" s="912"/>
      <c r="F216" s="941"/>
      <c r="G216" s="912"/>
      <c r="H216" s="941"/>
      <c r="I216" s="912"/>
    </row>
    <row r="217" spans="1:9" ht="30" customHeight="1" x14ac:dyDescent="0.2">
      <c r="A217" s="921">
        <v>106</v>
      </c>
      <c r="B217" s="928" t="s">
        <v>3233</v>
      </c>
      <c r="C217" s="928" t="s">
        <v>3503</v>
      </c>
      <c r="D217" s="914" t="s">
        <v>3154</v>
      </c>
      <c r="E217" s="912"/>
      <c r="F217" s="941"/>
      <c r="G217" s="912"/>
      <c r="H217" s="941"/>
      <c r="I217" s="912"/>
    </row>
    <row r="218" spans="1:9" ht="30" customHeight="1" x14ac:dyDescent="0.2">
      <c r="A218" s="921">
        <v>112</v>
      </c>
      <c r="B218" s="922" t="s">
        <v>2187</v>
      </c>
      <c r="C218" s="928" t="s">
        <v>3503</v>
      </c>
      <c r="D218" s="914" t="s">
        <v>3089</v>
      </c>
      <c r="E218" s="912"/>
      <c r="F218" s="941"/>
      <c r="G218" s="912"/>
      <c r="H218" s="941"/>
      <c r="I218" s="912"/>
    </row>
    <row r="219" spans="1:9" ht="30" customHeight="1" x14ac:dyDescent="0.25">
      <c r="A219" s="921">
        <v>115</v>
      </c>
      <c r="B219" s="948" t="s">
        <v>1537</v>
      </c>
      <c r="C219" s="929" t="s">
        <v>3503</v>
      </c>
      <c r="D219" s="914" t="s">
        <v>3246</v>
      </c>
      <c r="E219" s="912"/>
      <c r="F219" s="941"/>
      <c r="G219" s="912"/>
      <c r="H219" s="941"/>
      <c r="I219" s="912"/>
    </row>
    <row r="220" spans="1:9" ht="30" customHeight="1" x14ac:dyDescent="0.25">
      <c r="A220" s="921">
        <v>118</v>
      </c>
      <c r="B220" s="948" t="s">
        <v>1576</v>
      </c>
      <c r="C220" s="929" t="s">
        <v>3503</v>
      </c>
      <c r="D220" s="914" t="s">
        <v>3250</v>
      </c>
      <c r="E220" s="912"/>
      <c r="F220" s="941"/>
      <c r="G220" s="912"/>
      <c r="H220" s="941"/>
      <c r="I220" s="912"/>
    </row>
    <row r="221" spans="1:9" ht="30" customHeight="1" x14ac:dyDescent="0.2">
      <c r="A221" s="921">
        <v>119</v>
      </c>
      <c r="B221" s="922" t="s">
        <v>2215</v>
      </c>
      <c r="C221" s="928" t="s">
        <v>3503</v>
      </c>
      <c r="D221" s="914" t="s">
        <v>3251</v>
      </c>
      <c r="E221" s="912"/>
      <c r="F221" s="941"/>
      <c r="G221" s="912"/>
      <c r="H221" s="941"/>
      <c r="I221" s="912"/>
    </row>
    <row r="222" spans="1:9" ht="30" customHeight="1" x14ac:dyDescent="0.2">
      <c r="A222" s="921">
        <v>120</v>
      </c>
      <c r="B222" s="928" t="s">
        <v>546</v>
      </c>
      <c r="C222" s="928" t="s">
        <v>3503</v>
      </c>
      <c r="D222" s="914" t="s">
        <v>3252</v>
      </c>
      <c r="E222" s="912"/>
      <c r="F222" s="941"/>
      <c r="G222" s="912"/>
      <c r="H222" s="941"/>
      <c r="I222" s="912"/>
    </row>
    <row r="223" spans="1:9" ht="30" customHeight="1" x14ac:dyDescent="0.25">
      <c r="A223" s="921">
        <v>122</v>
      </c>
      <c r="B223" s="948" t="s">
        <v>274</v>
      </c>
      <c r="C223" s="929" t="s">
        <v>3503</v>
      </c>
      <c r="D223" s="914" t="s">
        <v>3255</v>
      </c>
      <c r="E223" s="912"/>
      <c r="F223" s="941"/>
      <c r="G223" s="912"/>
      <c r="H223" s="941"/>
      <c r="I223" s="912"/>
    </row>
    <row r="224" spans="1:9" ht="30" customHeight="1" x14ac:dyDescent="0.2">
      <c r="A224" s="921">
        <v>126</v>
      </c>
      <c r="B224" s="922" t="s">
        <v>1743</v>
      </c>
      <c r="C224" s="928" t="s">
        <v>3503</v>
      </c>
      <c r="D224" s="914" t="s">
        <v>3262</v>
      </c>
      <c r="E224" s="912"/>
      <c r="F224" s="941"/>
      <c r="G224" s="912"/>
      <c r="H224" s="941"/>
      <c r="I224" s="912"/>
    </row>
    <row r="225" spans="1:9" ht="30" customHeight="1" x14ac:dyDescent="0.2">
      <c r="A225" s="921">
        <v>127</v>
      </c>
      <c r="B225" s="922" t="s">
        <v>1999</v>
      </c>
      <c r="C225" s="928" t="s">
        <v>3503</v>
      </c>
      <c r="D225" s="914" t="s">
        <v>3100</v>
      </c>
      <c r="E225" s="912"/>
      <c r="F225" s="941"/>
      <c r="G225" s="912"/>
      <c r="H225" s="941"/>
      <c r="I225" s="912"/>
    </row>
    <row r="226" spans="1:9" ht="30" customHeight="1" x14ac:dyDescent="0.2">
      <c r="A226" s="921">
        <v>128</v>
      </c>
      <c r="B226" s="922" t="s">
        <v>1892</v>
      </c>
      <c r="C226" s="928" t="s">
        <v>3503</v>
      </c>
      <c r="D226" s="914" t="s">
        <v>3096</v>
      </c>
      <c r="E226" s="912"/>
      <c r="F226" s="941"/>
      <c r="G226" s="912"/>
      <c r="H226" s="941"/>
      <c r="I226" s="912"/>
    </row>
    <row r="227" spans="1:9" ht="30" customHeight="1" x14ac:dyDescent="0.2">
      <c r="A227" s="921">
        <v>129</v>
      </c>
      <c r="B227" s="922" t="s">
        <v>2115</v>
      </c>
      <c r="C227" s="928" t="s">
        <v>3503</v>
      </c>
      <c r="D227" s="914" t="s">
        <v>3110</v>
      </c>
      <c r="E227" s="912"/>
      <c r="F227" s="941"/>
      <c r="G227" s="912"/>
      <c r="H227" s="941"/>
      <c r="I227" s="912"/>
    </row>
    <row r="228" spans="1:9" ht="30" customHeight="1" x14ac:dyDescent="0.2">
      <c r="A228" s="921">
        <v>130</v>
      </c>
      <c r="B228" s="922" t="s">
        <v>2160</v>
      </c>
      <c r="C228" s="928" t="s">
        <v>3503</v>
      </c>
      <c r="D228" s="914" t="s">
        <v>3172</v>
      </c>
      <c r="E228" s="912"/>
      <c r="F228" s="941"/>
      <c r="G228" s="912"/>
      <c r="H228" s="941"/>
      <c r="I228" s="912"/>
    </row>
    <row r="229" spans="1:9" ht="30" customHeight="1" x14ac:dyDescent="0.25">
      <c r="A229" s="921">
        <v>131</v>
      </c>
      <c r="B229" s="948" t="s">
        <v>2355</v>
      </c>
      <c r="C229" s="929" t="s">
        <v>3503</v>
      </c>
      <c r="D229" s="914" t="s">
        <v>3263</v>
      </c>
      <c r="E229" s="912"/>
      <c r="F229" s="941"/>
      <c r="G229" s="912"/>
      <c r="H229" s="941"/>
      <c r="I229" s="912"/>
    </row>
    <row r="230" spans="1:9" ht="30" customHeight="1" x14ac:dyDescent="0.2">
      <c r="A230" s="921">
        <v>132</v>
      </c>
      <c r="B230" s="922" t="s">
        <v>2054</v>
      </c>
      <c r="C230" s="928" t="s">
        <v>3503</v>
      </c>
      <c r="D230" s="914" t="s">
        <v>3264</v>
      </c>
      <c r="E230" s="912"/>
      <c r="F230" s="941"/>
      <c r="G230" s="912"/>
      <c r="H230" s="941"/>
      <c r="I230" s="912"/>
    </row>
    <row r="231" spans="1:9" ht="30" customHeight="1" x14ac:dyDescent="0.2">
      <c r="A231" s="921">
        <v>133</v>
      </c>
      <c r="B231" s="922" t="s">
        <v>1856</v>
      </c>
      <c r="C231" s="928" t="s">
        <v>3503</v>
      </c>
      <c r="D231" s="914" t="s">
        <v>3167</v>
      </c>
      <c r="E231" s="912"/>
      <c r="F231" s="941"/>
      <c r="G231" s="912"/>
      <c r="H231" s="941"/>
      <c r="I231" s="912"/>
    </row>
    <row r="232" spans="1:9" ht="30" customHeight="1" x14ac:dyDescent="0.2">
      <c r="A232" s="921">
        <v>136</v>
      </c>
      <c r="B232" s="937" t="s">
        <v>2421</v>
      </c>
      <c r="C232" s="928" t="s">
        <v>3503</v>
      </c>
      <c r="D232" s="914" t="s">
        <v>3269</v>
      </c>
      <c r="E232" s="912"/>
      <c r="F232" s="941"/>
      <c r="G232" s="912"/>
      <c r="H232" s="941"/>
      <c r="I232" s="912"/>
    </row>
    <row r="233" spans="1:9" ht="30" customHeight="1" x14ac:dyDescent="0.2">
      <c r="A233" s="921">
        <v>137</v>
      </c>
      <c r="B233" s="922" t="s">
        <v>2108</v>
      </c>
      <c r="C233" s="928" t="s">
        <v>3503</v>
      </c>
      <c r="D233" s="914" t="s">
        <v>3270</v>
      </c>
      <c r="E233" s="912"/>
      <c r="F233" s="941"/>
      <c r="G233" s="912"/>
      <c r="H233" s="941"/>
      <c r="I233" s="912"/>
    </row>
    <row r="234" spans="1:9" ht="30" customHeight="1" x14ac:dyDescent="0.2">
      <c r="A234" s="921">
        <v>138</v>
      </c>
      <c r="B234" s="922" t="s">
        <v>1610</v>
      </c>
      <c r="C234" s="928" t="s">
        <v>3503</v>
      </c>
      <c r="D234" s="914" t="s">
        <v>3271</v>
      </c>
      <c r="E234" s="912"/>
      <c r="F234" s="941"/>
      <c r="G234" s="912"/>
      <c r="H234" s="941"/>
      <c r="I234" s="912"/>
    </row>
    <row r="235" spans="1:9" ht="30" customHeight="1" x14ac:dyDescent="0.2">
      <c r="A235" s="921">
        <v>145</v>
      </c>
      <c r="B235" s="922" t="s">
        <v>2257</v>
      </c>
      <c r="C235" s="928" t="s">
        <v>3503</v>
      </c>
      <c r="D235" s="914" t="s">
        <v>3281</v>
      </c>
      <c r="E235" s="912"/>
      <c r="F235" s="941"/>
      <c r="G235" s="912"/>
      <c r="H235" s="941"/>
      <c r="I235" s="912"/>
    </row>
    <row r="236" spans="1:9" ht="30" customHeight="1" x14ac:dyDescent="0.25">
      <c r="A236" s="921">
        <v>146</v>
      </c>
      <c r="B236" s="948" t="s">
        <v>2145</v>
      </c>
      <c r="C236" s="929" t="s">
        <v>3503</v>
      </c>
      <c r="D236" s="914" t="s">
        <v>3282</v>
      </c>
      <c r="E236" s="912"/>
      <c r="F236" s="941"/>
      <c r="G236" s="912"/>
      <c r="H236" s="941"/>
      <c r="I236" s="912"/>
    </row>
    <row r="237" spans="1:9" ht="30" customHeight="1" x14ac:dyDescent="0.2">
      <c r="A237" s="921">
        <v>147</v>
      </c>
      <c r="B237" s="922" t="s">
        <v>2220</v>
      </c>
      <c r="C237" s="928" t="s">
        <v>3503</v>
      </c>
      <c r="D237" s="914" t="s">
        <v>3195</v>
      </c>
      <c r="E237" s="912"/>
      <c r="F237" s="941"/>
      <c r="G237" s="912"/>
      <c r="H237" s="941"/>
      <c r="I237" s="912"/>
    </row>
    <row r="238" spans="1:9" ht="30" customHeight="1" x14ac:dyDescent="0.25">
      <c r="A238" s="921">
        <v>161</v>
      </c>
      <c r="B238" s="948" t="s">
        <v>135</v>
      </c>
      <c r="C238" s="929" t="s">
        <v>3503</v>
      </c>
      <c r="D238" s="914" t="s">
        <v>3301</v>
      </c>
      <c r="E238" s="912"/>
      <c r="F238" s="941"/>
      <c r="G238" s="912"/>
      <c r="H238" s="941"/>
      <c r="I238" s="912"/>
    </row>
    <row r="239" spans="1:9" ht="30" customHeight="1" x14ac:dyDescent="0.2">
      <c r="A239" s="921">
        <v>169</v>
      </c>
      <c r="B239" s="922" t="s">
        <v>1961</v>
      </c>
      <c r="C239" s="928" t="s">
        <v>3503</v>
      </c>
      <c r="D239" s="931" t="s">
        <v>3301</v>
      </c>
      <c r="E239" s="912"/>
      <c r="F239" s="941"/>
      <c r="G239" s="912"/>
      <c r="H239" s="941"/>
      <c r="I239" s="912"/>
    </row>
    <row r="240" spans="1:9" ht="30" customHeight="1" x14ac:dyDescent="0.2">
      <c r="A240" s="921">
        <v>171</v>
      </c>
      <c r="B240" s="922" t="s">
        <v>1993</v>
      </c>
      <c r="C240" s="928" t="s">
        <v>3503</v>
      </c>
      <c r="D240" s="914" t="s">
        <v>3314</v>
      </c>
      <c r="E240" s="950" t="s">
        <v>3315</v>
      </c>
      <c r="F240" s="941" t="s">
        <v>3313</v>
      </c>
      <c r="G240" s="941"/>
      <c r="H240" s="941"/>
      <c r="I240" s="912" t="s">
        <v>3313</v>
      </c>
    </row>
    <row r="241" spans="1:9" ht="30" customHeight="1" x14ac:dyDescent="0.2">
      <c r="A241" s="921">
        <v>172</v>
      </c>
      <c r="B241" s="922" t="s">
        <v>3316</v>
      </c>
      <c r="C241" s="928" t="s">
        <v>3503</v>
      </c>
      <c r="D241" s="914" t="s">
        <v>1582</v>
      </c>
      <c r="E241" s="950" t="s">
        <v>3317</v>
      </c>
      <c r="F241" s="941" t="s">
        <v>3313</v>
      </c>
      <c r="G241" s="941"/>
      <c r="H241" s="941"/>
      <c r="I241" s="912" t="s">
        <v>3313</v>
      </c>
    </row>
    <row r="242" spans="1:9" ht="30" customHeight="1" x14ac:dyDescent="0.2">
      <c r="A242" s="921">
        <v>173</v>
      </c>
      <c r="B242" s="922" t="s">
        <v>2081</v>
      </c>
      <c r="C242" s="928" t="s">
        <v>3503</v>
      </c>
      <c r="D242" s="914" t="s">
        <v>3318</v>
      </c>
      <c r="E242" s="950" t="s">
        <v>3319</v>
      </c>
      <c r="F242" s="941" t="s">
        <v>3320</v>
      </c>
      <c r="G242" s="941"/>
      <c r="H242" s="941"/>
      <c r="I242" s="912" t="s">
        <v>3320</v>
      </c>
    </row>
    <row r="243" spans="1:9" ht="30" customHeight="1" x14ac:dyDescent="0.2">
      <c r="A243" s="921">
        <v>175</v>
      </c>
      <c r="B243" s="922" t="s">
        <v>3323</v>
      </c>
      <c r="C243" s="928" t="s">
        <v>3503</v>
      </c>
      <c r="D243" s="914" t="s">
        <v>3099</v>
      </c>
      <c r="E243" s="950" t="s">
        <v>3324</v>
      </c>
      <c r="F243" s="941" t="s">
        <v>3313</v>
      </c>
      <c r="G243" s="941"/>
      <c r="H243" s="941"/>
      <c r="I243" s="912" t="s">
        <v>3313</v>
      </c>
    </row>
    <row r="244" spans="1:9" ht="30" customHeight="1" x14ac:dyDescent="0.2">
      <c r="A244" s="921">
        <v>180</v>
      </c>
      <c r="B244" s="922" t="s">
        <v>1869</v>
      </c>
      <c r="C244" s="928" t="s">
        <v>3503</v>
      </c>
      <c r="D244" s="914" t="s">
        <v>3336</v>
      </c>
      <c r="E244" s="950" t="s">
        <v>3337</v>
      </c>
      <c r="F244" s="941" t="s">
        <v>3320</v>
      </c>
      <c r="G244" s="941"/>
      <c r="H244" s="941"/>
      <c r="I244" s="912" t="s">
        <v>3320</v>
      </c>
    </row>
    <row r="245" spans="1:9" ht="30" customHeight="1" x14ac:dyDescent="0.2">
      <c r="A245" s="921">
        <v>181</v>
      </c>
      <c r="B245" s="922" t="s">
        <v>2090</v>
      </c>
      <c r="C245" s="928" t="s">
        <v>3503</v>
      </c>
      <c r="D245" s="914" t="s">
        <v>3338</v>
      </c>
      <c r="E245" s="950" t="s">
        <v>3339</v>
      </c>
      <c r="F245" s="941" t="s">
        <v>3320</v>
      </c>
      <c r="G245" s="941"/>
      <c r="H245" s="941"/>
      <c r="I245" s="912" t="s">
        <v>3320</v>
      </c>
    </row>
    <row r="246" spans="1:9" ht="30" customHeight="1" x14ac:dyDescent="0.2">
      <c r="A246" s="921">
        <v>183</v>
      </c>
      <c r="B246" s="922" t="s">
        <v>1905</v>
      </c>
      <c r="C246" s="928" t="s">
        <v>3503</v>
      </c>
      <c r="D246" s="914" t="s">
        <v>3343</v>
      </c>
      <c r="E246" s="950" t="s">
        <v>3344</v>
      </c>
      <c r="F246" s="941" t="s">
        <v>3320</v>
      </c>
      <c r="G246" s="941"/>
      <c r="H246" s="941"/>
      <c r="I246" s="912" t="s">
        <v>3320</v>
      </c>
    </row>
    <row r="247" spans="1:9" ht="30" customHeight="1" x14ac:dyDescent="0.2">
      <c r="A247" s="921">
        <v>184</v>
      </c>
      <c r="B247" s="922" t="s">
        <v>2467</v>
      </c>
      <c r="C247" s="928" t="s">
        <v>3503</v>
      </c>
      <c r="D247" s="914" t="s">
        <v>290</v>
      </c>
      <c r="E247" s="950" t="s">
        <v>3345</v>
      </c>
      <c r="F247" s="941" t="s">
        <v>3320</v>
      </c>
      <c r="G247" s="941"/>
      <c r="H247" s="941"/>
      <c r="I247" s="912" t="s">
        <v>3320</v>
      </c>
    </row>
    <row r="248" spans="1:9" ht="30" customHeight="1" x14ac:dyDescent="0.2">
      <c r="A248" s="921">
        <v>185</v>
      </c>
      <c r="B248" s="928" t="s">
        <v>399</v>
      </c>
      <c r="C248" s="928" t="s">
        <v>3503</v>
      </c>
      <c r="D248" s="914" t="s">
        <v>3346</v>
      </c>
      <c r="E248" s="950" t="s">
        <v>3347</v>
      </c>
      <c r="F248" s="941" t="s">
        <v>3313</v>
      </c>
      <c r="G248" s="941"/>
      <c r="H248" s="941"/>
      <c r="I248" s="912" t="s">
        <v>3313</v>
      </c>
    </row>
    <row r="249" spans="1:9" ht="30" customHeight="1" x14ac:dyDescent="0.2">
      <c r="A249" s="921">
        <v>186</v>
      </c>
      <c r="B249" s="922" t="s">
        <v>1474</v>
      </c>
      <c r="C249" s="928" t="s">
        <v>3503</v>
      </c>
      <c r="D249" s="914" t="s">
        <v>3348</v>
      </c>
      <c r="E249" s="950" t="s">
        <v>3349</v>
      </c>
      <c r="F249" s="941" t="s">
        <v>3313</v>
      </c>
      <c r="G249" s="941"/>
      <c r="H249" s="941"/>
      <c r="I249" s="912" t="s">
        <v>3313</v>
      </c>
    </row>
    <row r="250" spans="1:9" ht="30" customHeight="1" x14ac:dyDescent="0.2">
      <c r="A250" s="921">
        <v>188</v>
      </c>
      <c r="B250" s="928" t="s">
        <v>120</v>
      </c>
      <c r="C250" s="928" t="s">
        <v>3503</v>
      </c>
      <c r="D250" s="914" t="s">
        <v>3353</v>
      </c>
      <c r="E250" s="950" t="s">
        <v>3354</v>
      </c>
      <c r="F250" s="941" t="s">
        <v>3320</v>
      </c>
      <c r="G250" s="941"/>
      <c r="H250" s="941"/>
      <c r="I250" s="912" t="s">
        <v>3320</v>
      </c>
    </row>
    <row r="251" spans="1:9" ht="54" customHeight="1" x14ac:dyDescent="0.25">
      <c r="A251" s="921">
        <v>191</v>
      </c>
      <c r="B251" s="948" t="s">
        <v>2048</v>
      </c>
      <c r="C251" s="929" t="s">
        <v>3503</v>
      </c>
      <c r="D251" s="914" t="s">
        <v>2049</v>
      </c>
      <c r="E251" s="950" t="s">
        <v>3360</v>
      </c>
      <c r="F251" s="941" t="s">
        <v>3328</v>
      </c>
      <c r="G251" s="941"/>
      <c r="H251" s="941"/>
      <c r="I251" s="912" t="s">
        <v>3328</v>
      </c>
    </row>
    <row r="252" spans="1:9" ht="30" customHeight="1" x14ac:dyDescent="0.2">
      <c r="A252" s="921">
        <v>192</v>
      </c>
      <c r="B252" s="930" t="s">
        <v>2529</v>
      </c>
      <c r="C252" s="929" t="s">
        <v>3503</v>
      </c>
      <c r="D252" s="914" t="s">
        <v>3361</v>
      </c>
      <c r="E252" s="950" t="s">
        <v>3362</v>
      </c>
      <c r="F252" s="941" t="s">
        <v>3363</v>
      </c>
      <c r="G252" s="941"/>
      <c r="H252" s="941"/>
      <c r="I252" s="912" t="s">
        <v>3363</v>
      </c>
    </row>
    <row r="253" spans="1:9" ht="30" customHeight="1" x14ac:dyDescent="0.2">
      <c r="A253" s="921">
        <v>193</v>
      </c>
      <c r="B253" s="922" t="s">
        <v>2209</v>
      </c>
      <c r="C253" s="928" t="s">
        <v>3503</v>
      </c>
      <c r="D253" s="914" t="s">
        <v>3364</v>
      </c>
      <c r="E253" s="950" t="s">
        <v>3365</v>
      </c>
      <c r="F253" s="941" t="s">
        <v>3320</v>
      </c>
      <c r="G253" s="941"/>
      <c r="H253" s="941"/>
      <c r="I253" s="912" t="s">
        <v>3320</v>
      </c>
    </row>
    <row r="254" spans="1:9" ht="30" customHeight="1" x14ac:dyDescent="0.2">
      <c r="A254" s="921">
        <v>194</v>
      </c>
      <c r="B254" s="922" t="s">
        <v>2382</v>
      </c>
      <c r="C254" s="928" t="s">
        <v>3503</v>
      </c>
      <c r="D254" s="914" t="s">
        <v>2836</v>
      </c>
      <c r="E254" s="950" t="s">
        <v>3366</v>
      </c>
      <c r="F254" s="941" t="s">
        <v>3363</v>
      </c>
      <c r="G254" s="941"/>
      <c r="H254" s="941"/>
      <c r="I254" s="912" t="s">
        <v>3363</v>
      </c>
    </row>
    <row r="255" spans="1:9" ht="30" customHeight="1" x14ac:dyDescent="0.2">
      <c r="A255" s="921">
        <v>195</v>
      </c>
      <c r="B255" s="922" t="s">
        <v>2513</v>
      </c>
      <c r="C255" s="928" t="s">
        <v>3503</v>
      </c>
      <c r="D255" s="914" t="s">
        <v>2514</v>
      </c>
      <c r="E255" s="950" t="s">
        <v>3367</v>
      </c>
      <c r="F255" s="941" t="s">
        <v>3363</v>
      </c>
      <c r="G255" s="941"/>
      <c r="H255" s="941"/>
      <c r="I255" s="912" t="s">
        <v>3363</v>
      </c>
    </row>
    <row r="256" spans="1:9" ht="30" customHeight="1" x14ac:dyDescent="0.2">
      <c r="A256" s="921">
        <v>197</v>
      </c>
      <c r="B256" s="922" t="s">
        <v>2243</v>
      </c>
      <c r="C256" s="928" t="s">
        <v>3503</v>
      </c>
      <c r="D256" s="914" t="s">
        <v>3371</v>
      </c>
      <c r="E256" s="950" t="s">
        <v>3372</v>
      </c>
      <c r="F256" s="941" t="s">
        <v>3363</v>
      </c>
      <c r="G256" s="941"/>
      <c r="H256" s="941"/>
      <c r="I256" s="912" t="s">
        <v>3363</v>
      </c>
    </row>
    <row r="257" spans="1:9" ht="30" customHeight="1" x14ac:dyDescent="0.25">
      <c r="A257" s="921">
        <v>198</v>
      </c>
      <c r="B257" s="948" t="s">
        <v>2035</v>
      </c>
      <c r="C257" s="929" t="s">
        <v>3503</v>
      </c>
      <c r="D257" s="914" t="s">
        <v>2036</v>
      </c>
      <c r="E257" s="950" t="s">
        <v>3373</v>
      </c>
      <c r="F257" s="941" t="s">
        <v>3363</v>
      </c>
      <c r="G257" s="941"/>
      <c r="H257" s="941"/>
      <c r="I257" s="912" t="s">
        <v>3363</v>
      </c>
    </row>
    <row r="258" spans="1:9" ht="30" customHeight="1" x14ac:dyDescent="0.2">
      <c r="A258" s="921">
        <v>202</v>
      </c>
      <c r="B258" s="930" t="s">
        <v>2097</v>
      </c>
      <c r="C258" s="929" t="s">
        <v>3503</v>
      </c>
      <c r="D258" s="914" t="s">
        <v>3382</v>
      </c>
      <c r="E258" s="950" t="s">
        <v>3383</v>
      </c>
      <c r="F258" s="941" t="s">
        <v>3320</v>
      </c>
      <c r="G258" s="941"/>
      <c r="H258" s="941"/>
      <c r="I258" s="912" t="s">
        <v>3320</v>
      </c>
    </row>
    <row r="259" spans="1:9" ht="30" customHeight="1" x14ac:dyDescent="0.2">
      <c r="A259" s="921">
        <v>203</v>
      </c>
      <c r="B259" s="922" t="s">
        <v>2232</v>
      </c>
      <c r="C259" s="928" t="s">
        <v>3503</v>
      </c>
      <c r="D259" s="914" t="s">
        <v>3384</v>
      </c>
      <c r="E259" s="950" t="s">
        <v>3385</v>
      </c>
      <c r="F259" s="941" t="s">
        <v>3363</v>
      </c>
      <c r="G259" s="941"/>
      <c r="H259" s="941"/>
      <c r="I259" s="912" t="s">
        <v>3363</v>
      </c>
    </row>
    <row r="260" spans="1:9" ht="30" customHeight="1" x14ac:dyDescent="0.2">
      <c r="A260" s="921">
        <v>208</v>
      </c>
      <c r="B260" s="930" t="s">
        <v>2745</v>
      </c>
      <c r="C260" s="929" t="s">
        <v>3503</v>
      </c>
      <c r="D260" s="914" t="s">
        <v>3392</v>
      </c>
      <c r="E260" s="950" t="s">
        <v>3393</v>
      </c>
      <c r="F260" s="941" t="s">
        <v>3363</v>
      </c>
      <c r="G260" s="941"/>
      <c r="H260" s="941"/>
      <c r="I260" s="912" t="s">
        <v>3363</v>
      </c>
    </row>
    <row r="261" spans="1:9" ht="30" customHeight="1" x14ac:dyDescent="0.2">
      <c r="A261" s="921">
        <v>209</v>
      </c>
      <c r="B261" s="922" t="s">
        <v>3394</v>
      </c>
      <c r="C261" s="928" t="s">
        <v>3503</v>
      </c>
      <c r="D261" s="914" t="s">
        <v>8</v>
      </c>
      <c r="E261" s="950" t="s">
        <v>3395</v>
      </c>
      <c r="F261" s="941" t="s">
        <v>3363</v>
      </c>
      <c r="G261" s="941"/>
      <c r="H261" s="941"/>
      <c r="I261" s="912" t="s">
        <v>3363</v>
      </c>
    </row>
    <row r="262" spans="1:9" ht="30" customHeight="1" x14ac:dyDescent="0.2">
      <c r="A262" s="921">
        <v>212</v>
      </c>
      <c r="B262" s="937" t="s">
        <v>2451</v>
      </c>
      <c r="C262" s="928" t="s">
        <v>3503</v>
      </c>
      <c r="D262" s="914" t="s">
        <v>2452</v>
      </c>
      <c r="E262" s="950" t="s">
        <v>3400</v>
      </c>
      <c r="F262" s="941" t="s">
        <v>3401</v>
      </c>
      <c r="G262" s="941"/>
      <c r="H262" s="941"/>
      <c r="I262" s="912" t="s">
        <v>3401</v>
      </c>
    </row>
    <row r="263" spans="1:9" ht="30" customHeight="1" x14ac:dyDescent="0.2">
      <c r="A263" s="921">
        <v>213</v>
      </c>
      <c r="B263" s="922" t="s">
        <v>2566</v>
      </c>
      <c r="C263" s="928" t="s">
        <v>3503</v>
      </c>
      <c r="D263" s="914" t="s">
        <v>3402</v>
      </c>
      <c r="E263" s="950" t="s">
        <v>3403</v>
      </c>
      <c r="F263" s="941" t="s">
        <v>3328</v>
      </c>
      <c r="G263" s="941"/>
      <c r="H263" s="941"/>
      <c r="I263" s="912" t="s">
        <v>3328</v>
      </c>
    </row>
    <row r="264" spans="1:9" ht="30" customHeight="1" x14ac:dyDescent="0.2">
      <c r="A264" s="921">
        <v>215</v>
      </c>
      <c r="B264" s="930" t="s">
        <v>2725</v>
      </c>
      <c r="C264" s="929" t="s">
        <v>3503</v>
      </c>
      <c r="D264" s="914" t="s">
        <v>244</v>
      </c>
      <c r="E264" s="950" t="s">
        <v>3406</v>
      </c>
      <c r="F264" s="941" t="s">
        <v>3320</v>
      </c>
      <c r="G264" s="941"/>
      <c r="H264" s="941"/>
      <c r="I264" s="912" t="s">
        <v>3320</v>
      </c>
    </row>
    <row r="265" spans="1:9" ht="30" customHeight="1" x14ac:dyDescent="0.2">
      <c r="A265" s="921">
        <v>216</v>
      </c>
      <c r="B265" s="928" t="s">
        <v>163</v>
      </c>
      <c r="C265" s="928" t="s">
        <v>3503</v>
      </c>
      <c r="D265" s="914" t="s">
        <v>3407</v>
      </c>
      <c r="E265" s="950" t="s">
        <v>3408</v>
      </c>
      <c r="F265" s="941" t="s">
        <v>3320</v>
      </c>
      <c r="G265" s="941"/>
      <c r="H265" s="941"/>
      <c r="I265" s="912" t="s">
        <v>3320</v>
      </c>
    </row>
    <row r="266" spans="1:9" ht="30" customHeight="1" x14ac:dyDescent="0.2">
      <c r="A266" s="921">
        <v>217</v>
      </c>
      <c r="B266" s="922" t="s">
        <v>1888</v>
      </c>
      <c r="C266" s="928" t="s">
        <v>3503</v>
      </c>
      <c r="D266" s="914" t="s">
        <v>3409</v>
      </c>
      <c r="E266" s="950" t="s">
        <v>3410</v>
      </c>
      <c r="F266" s="941" t="s">
        <v>3363</v>
      </c>
      <c r="G266" s="941"/>
      <c r="H266" s="941"/>
      <c r="I266" s="912" t="s">
        <v>3363</v>
      </c>
    </row>
    <row r="267" spans="1:9" ht="30" customHeight="1" x14ac:dyDescent="0.25">
      <c r="A267" s="921">
        <v>219</v>
      </c>
      <c r="B267" s="948" t="s">
        <v>1755</v>
      </c>
      <c r="C267" s="929" t="s">
        <v>3503</v>
      </c>
      <c r="D267" s="914" t="s">
        <v>3414</v>
      </c>
      <c r="E267" s="950" t="s">
        <v>3415</v>
      </c>
      <c r="F267" s="941" t="s">
        <v>3328</v>
      </c>
      <c r="G267" s="941"/>
      <c r="H267" s="941"/>
      <c r="I267" s="912" t="s">
        <v>3328</v>
      </c>
    </row>
    <row r="268" spans="1:9" ht="30" customHeight="1" x14ac:dyDescent="0.2">
      <c r="A268" s="921">
        <v>225</v>
      </c>
      <c r="B268" s="928" t="s">
        <v>3425</v>
      </c>
      <c r="C268" s="928" t="s">
        <v>3503</v>
      </c>
      <c r="D268" s="914" t="s">
        <v>3426</v>
      </c>
      <c r="E268" s="950" t="s">
        <v>3427</v>
      </c>
      <c r="F268" s="941" t="s">
        <v>3363</v>
      </c>
      <c r="G268" s="941"/>
      <c r="H268" s="941"/>
      <c r="I268" s="912" t="s">
        <v>3363</v>
      </c>
    </row>
    <row r="269" spans="1:9" ht="30" customHeight="1" x14ac:dyDescent="0.2">
      <c r="A269" s="921">
        <v>226</v>
      </c>
      <c r="B269" s="922" t="s">
        <v>3428</v>
      </c>
      <c r="C269" s="928" t="s">
        <v>3503</v>
      </c>
      <c r="D269" s="914" t="s">
        <v>3429</v>
      </c>
      <c r="E269" s="950" t="s">
        <v>3430</v>
      </c>
      <c r="F269" s="941" t="s">
        <v>3363</v>
      </c>
      <c r="G269" s="941"/>
      <c r="H269" s="941"/>
      <c r="I269" s="912" t="s">
        <v>3363</v>
      </c>
    </row>
    <row r="270" spans="1:9" ht="30" customHeight="1" x14ac:dyDescent="0.2">
      <c r="A270" s="921">
        <v>227</v>
      </c>
      <c r="B270" s="922" t="s">
        <v>2228</v>
      </c>
      <c r="C270" s="928" t="s">
        <v>3503</v>
      </c>
      <c r="D270" s="914" t="s">
        <v>3348</v>
      </c>
      <c r="E270" s="950" t="s">
        <v>3431</v>
      </c>
      <c r="F270" s="941" t="s">
        <v>3363</v>
      </c>
      <c r="G270" s="941"/>
      <c r="H270" s="941"/>
      <c r="I270" s="912" t="s">
        <v>3363</v>
      </c>
    </row>
    <row r="271" spans="1:9" ht="30" customHeight="1" x14ac:dyDescent="0.2">
      <c r="A271" s="921">
        <v>228</v>
      </c>
      <c r="B271" s="922" t="s">
        <v>2431</v>
      </c>
      <c r="C271" s="928" t="s">
        <v>3503</v>
      </c>
      <c r="D271" s="914" t="s">
        <v>3432</v>
      </c>
      <c r="E271" s="950" t="s">
        <v>3433</v>
      </c>
      <c r="F271" s="941" t="s">
        <v>3320</v>
      </c>
      <c r="G271" s="941"/>
      <c r="H271" s="941"/>
      <c r="I271" s="912" t="s">
        <v>3320</v>
      </c>
    </row>
    <row r="272" spans="1:9" ht="30" customHeight="1" x14ac:dyDescent="0.2">
      <c r="A272" s="921">
        <v>230</v>
      </c>
      <c r="B272" s="922" t="s">
        <v>2429</v>
      </c>
      <c r="C272" s="928" t="s">
        <v>3503</v>
      </c>
      <c r="D272" s="914" t="s">
        <v>2430</v>
      </c>
      <c r="E272" s="950" t="s">
        <v>3436</v>
      </c>
      <c r="F272" s="941" t="s">
        <v>3401</v>
      </c>
      <c r="G272" s="941"/>
      <c r="H272" s="941"/>
      <c r="I272" s="912" t="s">
        <v>3401</v>
      </c>
    </row>
    <row r="273" spans="1:9" ht="30" customHeight="1" x14ac:dyDescent="0.2">
      <c r="A273" s="921">
        <v>231</v>
      </c>
      <c r="B273" s="922" t="s">
        <v>2461</v>
      </c>
      <c r="C273" s="928" t="s">
        <v>3503</v>
      </c>
      <c r="D273" s="914" t="s">
        <v>3437</v>
      </c>
      <c r="E273" s="950" t="s">
        <v>3438</v>
      </c>
      <c r="F273" s="941" t="s">
        <v>3401</v>
      </c>
      <c r="G273" s="941"/>
      <c r="H273" s="941"/>
      <c r="I273" s="912" t="s">
        <v>3401</v>
      </c>
    </row>
    <row r="274" spans="1:9" ht="30" customHeight="1" x14ac:dyDescent="0.2">
      <c r="A274" s="921">
        <v>232</v>
      </c>
      <c r="B274" s="922" t="s">
        <v>2748</v>
      </c>
      <c r="C274" s="928" t="s">
        <v>3503</v>
      </c>
      <c r="D274" s="914" t="s">
        <v>2749</v>
      </c>
      <c r="E274" s="950" t="s">
        <v>3439</v>
      </c>
      <c r="F274" s="941" t="s">
        <v>3328</v>
      </c>
      <c r="G274" s="941"/>
      <c r="H274" s="941"/>
      <c r="I274" s="912" t="s">
        <v>3328</v>
      </c>
    </row>
    <row r="275" spans="1:9" ht="30" customHeight="1" x14ac:dyDescent="0.2">
      <c r="A275" s="921">
        <v>233</v>
      </c>
      <c r="B275" s="922" t="s">
        <v>2438</v>
      </c>
      <c r="C275" s="928" t="s">
        <v>3503</v>
      </c>
      <c r="D275" s="914" t="s">
        <v>3440</v>
      </c>
      <c r="E275" s="950" t="s">
        <v>3441</v>
      </c>
      <c r="F275" s="941" t="s">
        <v>3401</v>
      </c>
      <c r="G275" s="941"/>
      <c r="H275" s="941"/>
      <c r="I275" s="912" t="s">
        <v>3401</v>
      </c>
    </row>
    <row r="276" spans="1:9" ht="30" customHeight="1" x14ac:dyDescent="0.2">
      <c r="A276" s="921">
        <v>234</v>
      </c>
      <c r="B276" s="922" t="s">
        <v>1970</v>
      </c>
      <c r="C276" s="928" t="s">
        <v>3503</v>
      </c>
      <c r="D276" s="914" t="s">
        <v>3442</v>
      </c>
      <c r="E276" s="950"/>
      <c r="F276" s="941" t="s">
        <v>3328</v>
      </c>
      <c r="G276" s="941"/>
      <c r="H276" s="941"/>
      <c r="I276" s="912" t="s">
        <v>3328</v>
      </c>
    </row>
    <row r="277" spans="1:9" ht="30" customHeight="1" x14ac:dyDescent="0.2">
      <c r="A277" s="921">
        <v>236</v>
      </c>
      <c r="B277" s="922" t="s">
        <v>2542</v>
      </c>
      <c r="C277" s="928" t="s">
        <v>3503</v>
      </c>
      <c r="D277" s="914" t="s">
        <v>3445</v>
      </c>
      <c r="E277" s="950" t="s">
        <v>3446</v>
      </c>
      <c r="F277" s="941" t="s">
        <v>3401</v>
      </c>
      <c r="G277" s="941"/>
      <c r="H277" s="941"/>
      <c r="I277" s="912" t="s">
        <v>3401</v>
      </c>
    </row>
    <row r="278" spans="1:9" ht="30" customHeight="1" x14ac:dyDescent="0.2">
      <c r="A278" s="921">
        <v>237</v>
      </c>
      <c r="B278" s="922" t="s">
        <v>2524</v>
      </c>
      <c r="C278" s="928" t="s">
        <v>3503</v>
      </c>
      <c r="D278" s="914" t="s">
        <v>2044</v>
      </c>
      <c r="E278" s="950" t="s">
        <v>3447</v>
      </c>
      <c r="F278" s="941" t="s">
        <v>3401</v>
      </c>
      <c r="G278" s="941"/>
      <c r="H278" s="941"/>
      <c r="I278" s="912" t="s">
        <v>3401</v>
      </c>
    </row>
    <row r="279" spans="1:9" ht="30" customHeight="1" x14ac:dyDescent="0.2">
      <c r="A279" s="921">
        <v>238</v>
      </c>
      <c r="B279" s="922" t="s">
        <v>2637</v>
      </c>
      <c r="C279" s="928" t="s">
        <v>3503</v>
      </c>
      <c r="D279" s="914" t="s">
        <v>2638</v>
      </c>
      <c r="E279" s="950" t="s">
        <v>3448</v>
      </c>
      <c r="F279" s="941" t="s">
        <v>3401</v>
      </c>
      <c r="G279" s="941"/>
      <c r="H279" s="941"/>
      <c r="I279" s="912" t="s">
        <v>3401</v>
      </c>
    </row>
    <row r="280" spans="1:9" ht="30" customHeight="1" x14ac:dyDescent="0.2">
      <c r="A280" s="921">
        <v>239</v>
      </c>
      <c r="B280" s="922" t="s">
        <v>2830</v>
      </c>
      <c r="C280" s="928" t="s">
        <v>3503</v>
      </c>
      <c r="D280" s="914" t="s">
        <v>3440</v>
      </c>
      <c r="E280" s="950" t="s">
        <v>3449</v>
      </c>
      <c r="F280" s="941" t="s">
        <v>3401</v>
      </c>
      <c r="G280" s="941"/>
      <c r="H280" s="941"/>
      <c r="I280" s="912" t="s">
        <v>3401</v>
      </c>
    </row>
    <row r="281" spans="1:9" ht="30" customHeight="1" x14ac:dyDescent="0.2">
      <c r="A281" s="921">
        <v>240</v>
      </c>
      <c r="B281" s="922" t="s">
        <v>2677</v>
      </c>
      <c r="C281" s="928" t="s">
        <v>3503</v>
      </c>
      <c r="D281" s="914" t="s">
        <v>3450</v>
      </c>
      <c r="E281" s="950" t="s">
        <v>3451</v>
      </c>
      <c r="F281" s="941" t="s">
        <v>3452</v>
      </c>
      <c r="G281" s="941"/>
      <c r="H281" s="941"/>
      <c r="I281" s="912" t="s">
        <v>3452</v>
      </c>
    </row>
    <row r="282" spans="1:9" ht="30" customHeight="1" x14ac:dyDescent="0.2">
      <c r="A282" s="921">
        <v>241</v>
      </c>
      <c r="B282" s="922" t="s">
        <v>2691</v>
      </c>
      <c r="C282" s="928" t="s">
        <v>3503</v>
      </c>
      <c r="D282" s="914" t="s">
        <v>3453</v>
      </c>
      <c r="E282" s="950" t="s">
        <v>3454</v>
      </c>
      <c r="F282" s="941" t="s">
        <v>3455</v>
      </c>
      <c r="G282" s="941"/>
      <c r="H282" s="941"/>
      <c r="I282" s="912" t="s">
        <v>3455</v>
      </c>
    </row>
    <row r="283" spans="1:9" ht="30" customHeight="1" x14ac:dyDescent="0.2">
      <c r="A283" s="921">
        <v>242</v>
      </c>
      <c r="B283" s="922" t="s">
        <v>2689</v>
      </c>
      <c r="C283" s="928" t="s">
        <v>3503</v>
      </c>
      <c r="D283" s="914" t="s">
        <v>2692</v>
      </c>
      <c r="E283" s="950" t="s">
        <v>3456</v>
      </c>
      <c r="F283" s="941" t="s">
        <v>3455</v>
      </c>
      <c r="G283" s="941"/>
      <c r="H283" s="941"/>
      <c r="I283" s="912" t="s">
        <v>3455</v>
      </c>
    </row>
    <row r="284" spans="1:9" ht="30" customHeight="1" x14ac:dyDescent="0.2">
      <c r="A284" s="921">
        <v>243</v>
      </c>
      <c r="B284" s="922" t="s">
        <v>2694</v>
      </c>
      <c r="C284" s="928" t="s">
        <v>3503</v>
      </c>
      <c r="D284" s="914" t="s">
        <v>2695</v>
      </c>
      <c r="E284" s="950" t="s">
        <v>3457</v>
      </c>
      <c r="F284" s="941" t="s">
        <v>3455</v>
      </c>
      <c r="G284" s="941"/>
      <c r="H284" s="941"/>
      <c r="I284" s="912" t="s">
        <v>3455</v>
      </c>
    </row>
    <row r="285" spans="1:9" ht="30" customHeight="1" x14ac:dyDescent="0.2">
      <c r="A285" s="921">
        <v>245</v>
      </c>
      <c r="B285" s="922" t="s">
        <v>2477</v>
      </c>
      <c r="C285" s="928" t="s">
        <v>3503</v>
      </c>
      <c r="D285" s="914" t="s">
        <v>3459</v>
      </c>
      <c r="E285" s="950" t="s">
        <v>3460</v>
      </c>
      <c r="F285" s="941" t="s">
        <v>3452</v>
      </c>
      <c r="G285" s="941"/>
      <c r="H285" s="941"/>
      <c r="I285" s="912" t="s">
        <v>3452</v>
      </c>
    </row>
    <row r="286" spans="1:9" ht="30" customHeight="1" x14ac:dyDescent="0.25">
      <c r="A286" s="921">
        <v>246</v>
      </c>
      <c r="B286" s="948" t="s">
        <v>2633</v>
      </c>
      <c r="C286" s="929" t="s">
        <v>3503</v>
      </c>
      <c r="D286" s="914" t="s">
        <v>2634</v>
      </c>
      <c r="E286" s="950" t="s">
        <v>3461</v>
      </c>
      <c r="F286" s="941" t="s">
        <v>3401</v>
      </c>
      <c r="G286" s="941"/>
      <c r="H286" s="941"/>
      <c r="I286" s="912" t="s">
        <v>3401</v>
      </c>
    </row>
    <row r="287" spans="1:9" ht="30" customHeight="1" x14ac:dyDescent="0.2">
      <c r="A287" s="921">
        <v>247</v>
      </c>
      <c r="B287" s="922" t="s">
        <v>2833</v>
      </c>
      <c r="C287" s="928" t="s">
        <v>3503</v>
      </c>
      <c r="D287" s="914" t="s">
        <v>3437</v>
      </c>
      <c r="E287" s="950" t="s">
        <v>3462</v>
      </c>
      <c r="F287" s="941" t="s">
        <v>3401</v>
      </c>
      <c r="G287" s="941"/>
      <c r="H287" s="941"/>
      <c r="I287" s="912" t="s">
        <v>3401</v>
      </c>
    </row>
    <row r="288" spans="1:9" ht="30" customHeight="1" x14ac:dyDescent="0.2">
      <c r="A288" s="921">
        <v>248</v>
      </c>
      <c r="B288" s="922" t="s">
        <v>2502</v>
      </c>
      <c r="C288" s="928" t="s">
        <v>3503</v>
      </c>
      <c r="D288" s="914" t="s">
        <v>3463</v>
      </c>
      <c r="E288" s="950" t="s">
        <v>3464</v>
      </c>
      <c r="F288" s="941" t="s">
        <v>3452</v>
      </c>
      <c r="G288" s="941"/>
      <c r="H288" s="941"/>
      <c r="I288" s="912" t="s">
        <v>3452</v>
      </c>
    </row>
    <row r="289" spans="1:9" ht="30" customHeight="1" x14ac:dyDescent="0.25">
      <c r="A289" s="921">
        <v>249</v>
      </c>
      <c r="B289" s="948" t="s">
        <v>2482</v>
      </c>
      <c r="C289" s="929" t="s">
        <v>3503</v>
      </c>
      <c r="D289" s="914" t="s">
        <v>2483</v>
      </c>
      <c r="E289" s="950" t="s">
        <v>3465</v>
      </c>
      <c r="F289" s="941" t="s">
        <v>3452</v>
      </c>
      <c r="G289" s="941"/>
      <c r="H289" s="941" t="s">
        <v>3536</v>
      </c>
      <c r="I289" s="912" t="s">
        <v>3532</v>
      </c>
    </row>
    <row r="290" spans="1:9" ht="30" customHeight="1" x14ac:dyDescent="0.2">
      <c r="A290" s="921">
        <v>250</v>
      </c>
      <c r="B290" s="922" t="s">
        <v>2492</v>
      </c>
      <c r="C290" s="928" t="s">
        <v>3503</v>
      </c>
      <c r="D290" s="914" t="s">
        <v>3466</v>
      </c>
      <c r="E290" s="950" t="s">
        <v>3467</v>
      </c>
      <c r="F290" s="941" t="s">
        <v>3452</v>
      </c>
      <c r="G290" s="941"/>
      <c r="H290" s="941"/>
      <c r="I290" s="912" t="s">
        <v>3452</v>
      </c>
    </row>
    <row r="291" spans="1:9" ht="30" customHeight="1" x14ac:dyDescent="0.2">
      <c r="A291" s="921">
        <v>251</v>
      </c>
      <c r="B291" s="922" t="s">
        <v>2485</v>
      </c>
      <c r="C291" s="928" t="s">
        <v>3503</v>
      </c>
      <c r="D291" s="914" t="s">
        <v>3468</v>
      </c>
      <c r="E291" s="950" t="s">
        <v>3469</v>
      </c>
      <c r="F291" s="941" t="s">
        <v>3401</v>
      </c>
      <c r="G291" s="941"/>
      <c r="H291" s="941"/>
      <c r="I291" s="912" t="s">
        <v>3401</v>
      </c>
    </row>
    <row r="292" spans="1:9" ht="30" customHeight="1" x14ac:dyDescent="0.2">
      <c r="A292" s="921">
        <v>252</v>
      </c>
      <c r="B292" s="922" t="s">
        <v>2498</v>
      </c>
      <c r="C292" s="928" t="s">
        <v>3503</v>
      </c>
      <c r="D292" s="914" t="s">
        <v>3470</v>
      </c>
      <c r="E292" s="950" t="s">
        <v>3471</v>
      </c>
      <c r="F292" s="941" t="s">
        <v>3401</v>
      </c>
      <c r="G292" s="941"/>
      <c r="H292" s="941"/>
      <c r="I292" s="912" t="s">
        <v>3401</v>
      </c>
    </row>
    <row r="293" spans="1:9" ht="30" customHeight="1" x14ac:dyDescent="0.2">
      <c r="A293" s="921">
        <v>253</v>
      </c>
      <c r="B293" s="922" t="s">
        <v>2478</v>
      </c>
      <c r="C293" s="928" t="s">
        <v>3503</v>
      </c>
      <c r="D293" s="914" t="s">
        <v>3472</v>
      </c>
      <c r="E293" s="950" t="s">
        <v>3473</v>
      </c>
      <c r="F293" s="941" t="s">
        <v>3401</v>
      </c>
      <c r="G293" s="941"/>
      <c r="H293" s="941"/>
      <c r="I293" s="912" t="s">
        <v>3401</v>
      </c>
    </row>
    <row r="294" spans="1:9" ht="30" customHeight="1" x14ac:dyDescent="0.2">
      <c r="A294" s="921">
        <v>254</v>
      </c>
      <c r="B294" s="922" t="s">
        <v>2427</v>
      </c>
      <c r="C294" s="928" t="s">
        <v>3503</v>
      </c>
      <c r="D294" s="914" t="s">
        <v>1535</v>
      </c>
      <c r="E294" s="950" t="s">
        <v>3474</v>
      </c>
      <c r="F294" s="941" t="s">
        <v>3401</v>
      </c>
      <c r="G294" s="941"/>
      <c r="H294" s="941"/>
      <c r="I294" s="912" t="s">
        <v>3401</v>
      </c>
    </row>
    <row r="295" spans="1:9" ht="30" customHeight="1" x14ac:dyDescent="0.2">
      <c r="A295" s="921">
        <v>255</v>
      </c>
      <c r="B295" s="922" t="s">
        <v>2459</v>
      </c>
      <c r="C295" s="928" t="s">
        <v>3503</v>
      </c>
      <c r="D295" s="914" t="s">
        <v>3475</v>
      </c>
      <c r="E295" s="950" t="s">
        <v>3476</v>
      </c>
      <c r="F295" s="941" t="s">
        <v>3455</v>
      </c>
      <c r="G295" s="941"/>
      <c r="H295" s="941"/>
      <c r="I295" s="912" t="s">
        <v>3455</v>
      </c>
    </row>
    <row r="296" spans="1:9" ht="30" customHeight="1" x14ac:dyDescent="0.2">
      <c r="A296" s="921">
        <v>256</v>
      </c>
      <c r="B296" s="922" t="s">
        <v>2488</v>
      </c>
      <c r="C296" s="928" t="s">
        <v>3503</v>
      </c>
      <c r="D296" s="914" t="s">
        <v>2645</v>
      </c>
      <c r="E296" s="950" t="s">
        <v>3477</v>
      </c>
      <c r="F296" s="941" t="s">
        <v>3455</v>
      </c>
      <c r="G296" s="941"/>
      <c r="H296" s="941"/>
      <c r="I296" s="912" t="s">
        <v>3455</v>
      </c>
    </row>
    <row r="297" spans="1:9" ht="30" customHeight="1" x14ac:dyDescent="0.2">
      <c r="A297" s="921">
        <v>257</v>
      </c>
      <c r="B297" s="922" t="s">
        <v>2426</v>
      </c>
      <c r="C297" s="928" t="s">
        <v>3503</v>
      </c>
      <c r="D297" s="914" t="s">
        <v>3478</v>
      </c>
      <c r="E297" s="950" t="s">
        <v>3479</v>
      </c>
      <c r="F297" s="941" t="s">
        <v>3455</v>
      </c>
      <c r="G297" s="941"/>
      <c r="H297" s="941"/>
      <c r="I297" s="912" t="s">
        <v>3455</v>
      </c>
    </row>
    <row r="298" spans="1:9" ht="30" customHeight="1" x14ac:dyDescent="0.2">
      <c r="A298" s="921">
        <v>258</v>
      </c>
      <c r="B298" s="922" t="s">
        <v>2494</v>
      </c>
      <c r="C298" s="928" t="s">
        <v>3503</v>
      </c>
      <c r="D298" s="914" t="s">
        <v>2495</v>
      </c>
      <c r="E298" s="950" t="s">
        <v>3480</v>
      </c>
      <c r="F298" s="941" t="s">
        <v>3452</v>
      </c>
      <c r="G298" s="941"/>
      <c r="H298" s="941"/>
      <c r="I298" s="912" t="s">
        <v>3452</v>
      </c>
    </row>
    <row r="299" spans="1:9" ht="30" customHeight="1" x14ac:dyDescent="0.2">
      <c r="A299" s="921">
        <v>259</v>
      </c>
      <c r="B299" s="922" t="s">
        <v>2534</v>
      </c>
      <c r="C299" s="928" t="s">
        <v>3503</v>
      </c>
      <c r="D299" s="914" t="s">
        <v>3481</v>
      </c>
      <c r="E299" s="950" t="s">
        <v>3482</v>
      </c>
      <c r="F299" s="941" t="s">
        <v>3401</v>
      </c>
      <c r="G299" s="941"/>
      <c r="H299" s="941"/>
      <c r="I299" s="912" t="s">
        <v>3401</v>
      </c>
    </row>
    <row r="300" spans="1:9" ht="30" customHeight="1" x14ac:dyDescent="0.25">
      <c r="A300" s="921">
        <v>260</v>
      </c>
      <c r="B300" s="948" t="s">
        <v>2424</v>
      </c>
      <c r="C300" s="929" t="s">
        <v>3503</v>
      </c>
      <c r="D300" s="914" t="s">
        <v>3483</v>
      </c>
      <c r="E300" s="950" t="s">
        <v>3484</v>
      </c>
      <c r="F300" s="941" t="s">
        <v>3485</v>
      </c>
      <c r="G300" s="941"/>
      <c r="H300" s="941" t="s">
        <v>3534</v>
      </c>
      <c r="I300" s="912" t="s">
        <v>3532</v>
      </c>
    </row>
    <row r="301" spans="1:9" ht="25.5" x14ac:dyDescent="0.25">
      <c r="A301" s="921">
        <v>261</v>
      </c>
      <c r="B301" s="948" t="s">
        <v>2414</v>
      </c>
      <c r="C301" s="929" t="s">
        <v>3503</v>
      </c>
      <c r="D301" s="914" t="s">
        <v>86</v>
      </c>
      <c r="E301" s="950" t="s">
        <v>3486</v>
      </c>
      <c r="F301" s="941" t="s">
        <v>3485</v>
      </c>
      <c r="G301" s="941"/>
      <c r="H301" s="941" t="s">
        <v>3534</v>
      </c>
      <c r="I301" s="912" t="s">
        <v>3532</v>
      </c>
    </row>
    <row r="302" spans="1:9" ht="25.5" x14ac:dyDescent="0.25">
      <c r="A302" s="921">
        <v>262</v>
      </c>
      <c r="B302" s="948" t="s">
        <v>2715</v>
      </c>
      <c r="C302" s="929" t="s">
        <v>3503</v>
      </c>
      <c r="D302" s="914" t="s">
        <v>3487</v>
      </c>
      <c r="E302" s="950" t="s">
        <v>3488</v>
      </c>
      <c r="F302" s="941" t="s">
        <v>3485</v>
      </c>
      <c r="G302" s="941"/>
      <c r="H302" s="941" t="s">
        <v>3534</v>
      </c>
      <c r="I302" s="912" t="s">
        <v>3532</v>
      </c>
    </row>
    <row r="303" spans="1:9" ht="25.5" x14ac:dyDescent="0.25">
      <c r="A303" s="921">
        <v>263</v>
      </c>
      <c r="B303" s="948" t="s">
        <v>2766</v>
      </c>
      <c r="C303" s="929" t="s">
        <v>3503</v>
      </c>
      <c r="D303" s="914" t="s">
        <v>3489</v>
      </c>
      <c r="E303" s="950" t="s">
        <v>3490</v>
      </c>
      <c r="F303" s="941" t="s">
        <v>3485</v>
      </c>
      <c r="G303" s="941"/>
      <c r="H303" s="941" t="s">
        <v>3534</v>
      </c>
      <c r="I303" s="912" t="s">
        <v>3532</v>
      </c>
    </row>
    <row r="304" spans="1:9" ht="25.5" x14ac:dyDescent="0.25">
      <c r="A304" s="921">
        <v>264</v>
      </c>
      <c r="B304" s="948" t="s">
        <v>2776</v>
      </c>
      <c r="C304" s="929" t="s">
        <v>3503</v>
      </c>
      <c r="D304" s="914" t="s">
        <v>3491</v>
      </c>
      <c r="E304" s="950" t="s">
        <v>3492</v>
      </c>
      <c r="F304" s="941" t="s">
        <v>3485</v>
      </c>
      <c r="G304" s="941"/>
      <c r="H304" s="941" t="s">
        <v>3534</v>
      </c>
      <c r="I304" s="912" t="s">
        <v>3532</v>
      </c>
    </row>
    <row r="305" spans="1:9" ht="25.5" x14ac:dyDescent="0.25">
      <c r="A305" s="921">
        <v>266</v>
      </c>
      <c r="B305" s="948" t="s">
        <v>2480</v>
      </c>
      <c r="C305" s="929" t="s">
        <v>3503</v>
      </c>
      <c r="D305" s="914" t="s">
        <v>22</v>
      </c>
      <c r="E305" s="950" t="s">
        <v>3495</v>
      </c>
      <c r="F305" s="941" t="s">
        <v>3320</v>
      </c>
      <c r="G305" s="941"/>
      <c r="H305" s="941" t="s">
        <v>3538</v>
      </c>
      <c r="I305" s="912" t="s">
        <v>3320</v>
      </c>
    </row>
    <row r="306" spans="1:9" x14ac:dyDescent="0.2">
      <c r="A306" s="921">
        <v>271</v>
      </c>
      <c r="B306" s="938" t="s">
        <v>1536</v>
      </c>
      <c r="C306" s="928" t="s">
        <v>3503</v>
      </c>
      <c r="D306" s="914" t="s">
        <v>3501</v>
      </c>
      <c r="E306" s="912" t="s">
        <v>1088</v>
      </c>
      <c r="F306" s="941"/>
      <c r="G306" s="941"/>
      <c r="H306" s="941"/>
      <c r="I306" s="912"/>
    </row>
    <row r="307" spans="1:9" x14ac:dyDescent="0.2">
      <c r="A307" s="921">
        <v>272</v>
      </c>
      <c r="B307" s="939" t="s">
        <v>305</v>
      </c>
      <c r="C307" s="928" t="s">
        <v>3503</v>
      </c>
      <c r="D307" s="914" t="s">
        <v>3502</v>
      </c>
      <c r="E307" s="912"/>
      <c r="F307" s="941"/>
      <c r="G307" s="941"/>
      <c r="H307" s="941"/>
      <c r="I307" s="912"/>
    </row>
    <row r="308" spans="1:9" x14ac:dyDescent="0.2">
      <c r="A308" s="921">
        <v>273</v>
      </c>
      <c r="B308" s="939" t="s">
        <v>299</v>
      </c>
      <c r="C308" s="928" t="s">
        <v>3503</v>
      </c>
      <c r="D308" s="923" t="s">
        <v>1049</v>
      </c>
      <c r="E308" s="912"/>
      <c r="F308" s="941"/>
      <c r="G308" s="941"/>
      <c r="H308" s="941"/>
      <c r="I308" s="912"/>
    </row>
    <row r="309" spans="1:9" x14ac:dyDescent="0.2">
      <c r="A309" s="921">
        <v>274</v>
      </c>
      <c r="B309" s="938" t="s">
        <v>304</v>
      </c>
      <c r="C309" s="928" t="s">
        <v>3503</v>
      </c>
      <c r="D309" s="923" t="s">
        <v>1006</v>
      </c>
      <c r="E309" s="912"/>
      <c r="F309" s="941"/>
      <c r="G309" s="941"/>
      <c r="H309" s="941"/>
      <c r="I309" s="912"/>
    </row>
    <row r="310" spans="1:9" x14ac:dyDescent="0.2">
      <c r="A310" s="921">
        <v>275</v>
      </c>
      <c r="B310" s="924" t="s">
        <v>127</v>
      </c>
      <c r="C310" s="928" t="s">
        <v>3503</v>
      </c>
      <c r="D310" s="925" t="s">
        <v>128</v>
      </c>
      <c r="E310" s="912"/>
      <c r="F310" s="941"/>
      <c r="G310" s="941"/>
      <c r="H310" s="941"/>
      <c r="I310" s="912"/>
    </row>
    <row r="311" spans="1:9" x14ac:dyDescent="0.2">
      <c r="A311" s="921">
        <v>276</v>
      </c>
      <c r="B311" s="924" t="s">
        <v>35</v>
      </c>
      <c r="C311" s="928" t="s">
        <v>3503</v>
      </c>
      <c r="D311" s="925" t="s">
        <v>36</v>
      </c>
      <c r="E311" s="912"/>
      <c r="F311" s="941"/>
      <c r="G311" s="941"/>
      <c r="H311" s="941"/>
      <c r="I311" s="912"/>
    </row>
    <row r="312" spans="1:9" ht="25.5" x14ac:dyDescent="0.2">
      <c r="A312" s="921">
        <v>277</v>
      </c>
      <c r="B312" s="924" t="s">
        <v>47</v>
      </c>
      <c r="C312" s="928" t="s">
        <v>3503</v>
      </c>
      <c r="D312" s="925" t="s">
        <v>48</v>
      </c>
      <c r="E312" s="912"/>
      <c r="F312" s="941"/>
      <c r="G312" s="941"/>
      <c r="H312" s="941"/>
      <c r="I312" s="912"/>
    </row>
    <row r="313" spans="1:9" x14ac:dyDescent="0.2">
      <c r="A313" s="921">
        <v>278</v>
      </c>
      <c r="B313" s="924" t="s">
        <v>42</v>
      </c>
      <c r="C313" s="928" t="s">
        <v>3503</v>
      </c>
      <c r="D313" s="925" t="s">
        <v>43</v>
      </c>
      <c r="E313" s="912"/>
      <c r="F313" s="941"/>
      <c r="G313" s="941"/>
      <c r="H313" s="941"/>
      <c r="I313" s="912"/>
    </row>
    <row r="314" spans="1:9" ht="25.5" x14ac:dyDescent="0.2">
      <c r="A314" s="921">
        <v>279</v>
      </c>
      <c r="B314" s="924" t="s">
        <v>67</v>
      </c>
      <c r="C314" s="928" t="s">
        <v>3503</v>
      </c>
      <c r="D314" s="923" t="s">
        <v>68</v>
      </c>
      <c r="E314" s="912"/>
      <c r="F314" s="941"/>
      <c r="G314" s="941"/>
      <c r="H314" s="941"/>
      <c r="I314" s="912"/>
    </row>
    <row r="315" spans="1:9" ht="25.5" x14ac:dyDescent="0.2">
      <c r="A315" s="921">
        <v>280</v>
      </c>
      <c r="B315" s="924" t="s">
        <v>71</v>
      </c>
      <c r="C315" s="928" t="s">
        <v>3503</v>
      </c>
      <c r="D315" s="925" t="s">
        <v>1029</v>
      </c>
      <c r="E315" s="912"/>
      <c r="F315" s="941"/>
      <c r="G315" s="941"/>
      <c r="H315" s="941"/>
      <c r="I315" s="912"/>
    </row>
    <row r="316" spans="1:9" x14ac:dyDescent="0.2">
      <c r="A316" s="921">
        <v>281</v>
      </c>
      <c r="B316" s="924" t="s">
        <v>399</v>
      </c>
      <c r="C316" s="928" t="s">
        <v>3503</v>
      </c>
      <c r="D316" s="923" t="s">
        <v>424</v>
      </c>
      <c r="E316" s="912"/>
      <c r="F316" s="941"/>
      <c r="G316" s="941"/>
      <c r="H316" s="941"/>
      <c r="I316" s="912"/>
    </row>
    <row r="317" spans="1:9" ht="25.5" x14ac:dyDescent="0.25">
      <c r="A317" s="921">
        <v>282</v>
      </c>
      <c r="B317" s="958" t="s">
        <v>2077</v>
      </c>
      <c r="C317" s="914" t="s">
        <v>3503</v>
      </c>
      <c r="D317" s="914" t="s">
        <v>3522</v>
      </c>
      <c r="E317" s="912" t="s">
        <v>3523</v>
      </c>
      <c r="F317" s="941" t="s">
        <v>3524</v>
      </c>
      <c r="G317" s="941"/>
      <c r="H317" s="941"/>
      <c r="I317" s="912" t="s">
        <v>3531</v>
      </c>
    </row>
    <row r="318" spans="1:9" x14ac:dyDescent="0.2">
      <c r="A318" s="921">
        <v>283</v>
      </c>
      <c r="B318" s="939" t="s">
        <v>262</v>
      </c>
      <c r="C318" s="914" t="s">
        <v>3503</v>
      </c>
      <c r="D318" s="914" t="s">
        <v>3525</v>
      </c>
      <c r="E318" s="912"/>
      <c r="F318" s="941"/>
      <c r="G318" s="941"/>
      <c r="H318" s="941"/>
      <c r="I318" s="912"/>
    </row>
    <row r="319" spans="1:9" x14ac:dyDescent="0.2">
      <c r="A319" s="921">
        <v>284</v>
      </c>
      <c r="B319" s="939" t="s">
        <v>282</v>
      </c>
      <c r="C319" s="914" t="s">
        <v>3503</v>
      </c>
      <c r="D319" s="914" t="s">
        <v>3175</v>
      </c>
      <c r="E319" s="912"/>
      <c r="F319" s="941"/>
      <c r="G319" s="941"/>
      <c r="H319" s="941"/>
      <c r="I319" s="912"/>
    </row>
    <row r="320" spans="1:9" x14ac:dyDescent="0.2">
      <c r="A320" s="921">
        <v>285</v>
      </c>
      <c r="B320" s="939" t="s">
        <v>1158</v>
      </c>
      <c r="C320" s="914" t="s">
        <v>3503</v>
      </c>
      <c r="D320" s="914" t="s">
        <v>22</v>
      </c>
      <c r="E320" s="912"/>
      <c r="F320" s="941"/>
      <c r="G320" s="941"/>
      <c r="H320" s="941"/>
      <c r="I320" s="912"/>
    </row>
    <row r="321" spans="1:9" x14ac:dyDescent="0.2">
      <c r="A321" s="921">
        <v>286</v>
      </c>
      <c r="B321" s="939" t="s">
        <v>1113</v>
      </c>
      <c r="C321" s="914" t="s">
        <v>3503</v>
      </c>
      <c r="D321" s="914" t="s">
        <v>3526</v>
      </c>
      <c r="E321" s="912"/>
      <c r="F321" s="941"/>
      <c r="G321" s="941"/>
      <c r="H321" s="941"/>
      <c r="I321" s="912"/>
    </row>
    <row r="322" spans="1:9" x14ac:dyDescent="0.2">
      <c r="A322" s="921">
        <v>287</v>
      </c>
      <c r="B322" s="939" t="s">
        <v>1861</v>
      </c>
      <c r="C322" s="914" t="s">
        <v>3503</v>
      </c>
      <c r="D322" s="914" t="s">
        <v>3527</v>
      </c>
      <c r="E322" s="912"/>
      <c r="F322" s="941"/>
      <c r="G322" s="941"/>
      <c r="H322" s="941"/>
      <c r="I322" s="912"/>
    </row>
    <row r="323" spans="1:9" x14ac:dyDescent="0.2">
      <c r="A323" s="921">
        <v>288</v>
      </c>
      <c r="B323" s="939" t="s">
        <v>2023</v>
      </c>
      <c r="C323" s="914" t="s">
        <v>3503</v>
      </c>
      <c r="D323" s="914" t="s">
        <v>3528</v>
      </c>
      <c r="E323" s="912"/>
      <c r="F323" s="941"/>
      <c r="G323" s="941"/>
      <c r="H323" s="941"/>
      <c r="I323" s="912"/>
    </row>
    <row r="324" spans="1:9" ht="25.5" x14ac:dyDescent="0.25">
      <c r="A324" s="921">
        <v>289</v>
      </c>
      <c r="B324" s="958" t="s">
        <v>2027</v>
      </c>
      <c r="C324" s="914" t="s">
        <v>3503</v>
      </c>
      <c r="D324" s="914" t="s">
        <v>2028</v>
      </c>
      <c r="E324" s="912"/>
      <c r="F324" s="941"/>
      <c r="G324" s="926" t="s">
        <v>3534</v>
      </c>
      <c r="H324" s="941"/>
      <c r="I324" s="927" t="s">
        <v>3532</v>
      </c>
    </row>
    <row r="325" spans="1:9" ht="25.5" x14ac:dyDescent="0.25">
      <c r="A325" s="921">
        <v>290</v>
      </c>
      <c r="B325" s="958" t="s">
        <v>2447</v>
      </c>
      <c r="C325" s="914" t="s">
        <v>3503</v>
      </c>
      <c r="D325" s="914" t="s">
        <v>15</v>
      </c>
      <c r="E325" s="912"/>
      <c r="F325" s="941"/>
      <c r="G325" s="926" t="s">
        <v>3539</v>
      </c>
      <c r="H325" s="941"/>
      <c r="I325" s="927" t="s">
        <v>3532</v>
      </c>
    </row>
    <row r="326" spans="1:9" ht="15" x14ac:dyDescent="0.2">
      <c r="A326" s="953">
        <v>331</v>
      </c>
      <c r="B326" s="955" t="s">
        <v>197</v>
      </c>
      <c r="C326" s="952" t="s">
        <v>3503</v>
      </c>
      <c r="D326" s="952" t="s">
        <v>198</v>
      </c>
      <c r="E326" s="953"/>
      <c r="F326" s="954"/>
      <c r="G326" s="954"/>
      <c r="H326" s="954"/>
      <c r="I326" s="953"/>
    </row>
    <row r="327" spans="1:9" ht="15" x14ac:dyDescent="0.2">
      <c r="A327" s="953">
        <v>331</v>
      </c>
      <c r="B327" s="955" t="s">
        <v>80</v>
      </c>
      <c r="C327" s="952" t="s">
        <v>3503</v>
      </c>
      <c r="D327" s="952" t="s">
        <v>3568</v>
      </c>
      <c r="E327" s="953"/>
      <c r="F327" s="954"/>
      <c r="G327" s="954"/>
      <c r="H327" s="954"/>
      <c r="I327" s="953"/>
    </row>
    <row r="328" spans="1:9" ht="25.5" x14ac:dyDescent="0.2">
      <c r="A328" s="953">
        <v>332</v>
      </c>
      <c r="B328" s="955" t="s">
        <v>151</v>
      </c>
      <c r="C328" s="952" t="s">
        <v>3503</v>
      </c>
      <c r="D328" s="956" t="s">
        <v>152</v>
      </c>
      <c r="E328" s="953"/>
      <c r="F328" s="954"/>
      <c r="G328" s="954"/>
      <c r="H328" s="954"/>
      <c r="I328" s="953"/>
    </row>
    <row r="329" spans="1:9" ht="15" x14ac:dyDescent="0.2">
      <c r="A329" s="953">
        <v>333</v>
      </c>
      <c r="B329" s="955" t="s">
        <v>87</v>
      </c>
      <c r="C329" s="952" t="s">
        <v>3503</v>
      </c>
      <c r="D329" s="952" t="s">
        <v>435</v>
      </c>
      <c r="E329" s="953"/>
      <c r="F329" s="954"/>
      <c r="G329" s="954"/>
      <c r="H329" s="954"/>
      <c r="I329" s="953"/>
    </row>
    <row r="330" spans="1:9" ht="15" x14ac:dyDescent="0.2">
      <c r="A330" s="953">
        <v>334</v>
      </c>
      <c r="B330" s="955" t="s">
        <v>95</v>
      </c>
      <c r="C330" s="952" t="s">
        <v>3503</v>
      </c>
      <c r="D330" s="952" t="s">
        <v>41</v>
      </c>
      <c r="E330" s="953"/>
      <c r="F330" s="954"/>
      <c r="G330" s="954"/>
      <c r="H330" s="954"/>
      <c r="I330" s="953"/>
    </row>
    <row r="331" spans="1:9" ht="15" x14ac:dyDescent="0.2">
      <c r="A331" s="953">
        <v>335</v>
      </c>
      <c r="B331" s="955" t="s">
        <v>121</v>
      </c>
      <c r="C331" s="952" t="s">
        <v>3503</v>
      </c>
      <c r="D331" s="952" t="s">
        <v>15</v>
      </c>
      <c r="E331" s="953"/>
      <c r="F331" s="954"/>
      <c r="G331" s="954"/>
      <c r="H331" s="954"/>
      <c r="I331" s="953"/>
    </row>
    <row r="332" spans="1:9" ht="15" x14ac:dyDescent="0.2">
      <c r="A332" s="953">
        <v>336</v>
      </c>
      <c r="B332" s="955" t="s">
        <v>123</v>
      </c>
      <c r="C332" s="952" t="s">
        <v>3503</v>
      </c>
      <c r="D332" s="952" t="s">
        <v>124</v>
      </c>
      <c r="E332" s="953"/>
      <c r="F332" s="954"/>
      <c r="G332" s="954"/>
      <c r="H332" s="954"/>
      <c r="I332" s="953"/>
    </row>
    <row r="333" spans="1:9" ht="15" x14ac:dyDescent="0.2">
      <c r="A333" s="953">
        <v>337</v>
      </c>
      <c r="B333" s="955" t="s">
        <v>202</v>
      </c>
      <c r="C333" s="952" t="s">
        <v>3503</v>
      </c>
      <c r="D333" s="952" t="s">
        <v>3569</v>
      </c>
      <c r="E333" s="953"/>
      <c r="F333" s="954"/>
      <c r="G333" s="954"/>
      <c r="H333" s="954"/>
      <c r="I333" s="953"/>
    </row>
    <row r="334" spans="1:9" ht="15" x14ac:dyDescent="0.2">
      <c r="A334" s="953">
        <v>338</v>
      </c>
      <c r="B334" s="955" t="s">
        <v>141</v>
      </c>
      <c r="C334" s="952" t="s">
        <v>3503</v>
      </c>
      <c r="D334" s="952" t="s">
        <v>142</v>
      </c>
      <c r="E334" s="953"/>
      <c r="F334" s="954"/>
      <c r="G334" s="954"/>
      <c r="H334" s="954"/>
      <c r="I334" s="953"/>
    </row>
    <row r="335" spans="1:9" ht="15" x14ac:dyDescent="0.2">
      <c r="A335" s="953">
        <v>339</v>
      </c>
      <c r="B335" s="955" t="s">
        <v>143</v>
      </c>
      <c r="C335" s="952" t="s">
        <v>3503</v>
      </c>
      <c r="D335" s="952" t="s">
        <v>144</v>
      </c>
      <c r="E335" s="953"/>
      <c r="F335" s="954"/>
      <c r="G335" s="954"/>
      <c r="H335" s="954"/>
      <c r="I335" s="953"/>
    </row>
    <row r="336" spans="1:9" ht="15" x14ac:dyDescent="0.2">
      <c r="A336" s="953">
        <v>340</v>
      </c>
      <c r="B336" s="955" t="s">
        <v>159</v>
      </c>
      <c r="C336" s="952" t="s">
        <v>3503</v>
      </c>
      <c r="D336" s="952" t="s">
        <v>160</v>
      </c>
      <c r="E336" s="953"/>
      <c r="F336" s="954"/>
      <c r="G336" s="954"/>
      <c r="H336" s="954"/>
      <c r="I336" s="953"/>
    </row>
    <row r="337" spans="1:9" ht="15" x14ac:dyDescent="0.2">
      <c r="A337" s="953">
        <v>341</v>
      </c>
      <c r="B337" s="955" t="s">
        <v>166</v>
      </c>
      <c r="C337" s="952" t="s">
        <v>3503</v>
      </c>
      <c r="D337" s="952" t="s">
        <v>1025</v>
      </c>
      <c r="E337" s="953"/>
      <c r="F337" s="954"/>
      <c r="G337" s="954"/>
      <c r="H337" s="954"/>
      <c r="I337" s="953"/>
    </row>
    <row r="338" spans="1:9" ht="15" x14ac:dyDescent="0.2">
      <c r="A338" s="953">
        <v>342</v>
      </c>
      <c r="B338" s="955" t="s">
        <v>173</v>
      </c>
      <c r="C338" s="952" t="s">
        <v>3503</v>
      </c>
      <c r="D338" s="952" t="s">
        <v>174</v>
      </c>
      <c r="E338" s="953"/>
      <c r="F338" s="954"/>
      <c r="G338" s="954"/>
      <c r="H338" s="954"/>
      <c r="I338" s="953"/>
    </row>
    <row r="339" spans="1:9" ht="25.5" x14ac:dyDescent="0.2">
      <c r="A339" s="953">
        <v>343</v>
      </c>
      <c r="B339" s="955" t="s">
        <v>199</v>
      </c>
      <c r="C339" s="952" t="s">
        <v>3503</v>
      </c>
      <c r="D339" s="956" t="s">
        <v>1038</v>
      </c>
      <c r="E339" s="953"/>
      <c r="F339" s="954"/>
      <c r="G339" s="954"/>
      <c r="H339" s="954"/>
      <c r="I339" s="953"/>
    </row>
    <row r="340" spans="1:9" ht="15" x14ac:dyDescent="0.2">
      <c r="A340" s="953">
        <v>344</v>
      </c>
      <c r="B340" s="955" t="s">
        <v>200</v>
      </c>
      <c r="C340" s="952" t="s">
        <v>3503</v>
      </c>
      <c r="D340" s="952" t="s">
        <v>201</v>
      </c>
      <c r="E340" s="953"/>
      <c r="F340" s="954"/>
      <c r="G340" s="954"/>
      <c r="H340" s="954"/>
      <c r="I340" s="953"/>
    </row>
    <row r="341" spans="1:9" ht="25.5" x14ac:dyDescent="0.2">
      <c r="A341" s="953">
        <v>345</v>
      </c>
      <c r="B341" s="955" t="s">
        <v>204</v>
      </c>
      <c r="C341" s="952" t="s">
        <v>3503</v>
      </c>
      <c r="D341" s="957" t="s">
        <v>205</v>
      </c>
      <c r="E341" s="953"/>
      <c r="F341" s="954"/>
      <c r="G341" s="954"/>
      <c r="H341" s="954"/>
      <c r="I341" s="953"/>
    </row>
    <row r="342" spans="1:9" ht="15" x14ac:dyDescent="0.2">
      <c r="A342" s="953">
        <v>346</v>
      </c>
      <c r="B342" s="955" t="s">
        <v>234</v>
      </c>
      <c r="C342" s="952" t="s">
        <v>3503</v>
      </c>
      <c r="D342" s="952" t="s">
        <v>235</v>
      </c>
      <c r="E342" s="953"/>
      <c r="F342" s="954"/>
      <c r="G342" s="954"/>
      <c r="H342" s="954"/>
      <c r="I342" s="953"/>
    </row>
    <row r="343" spans="1:9" ht="25.5" x14ac:dyDescent="0.2">
      <c r="A343" s="953">
        <v>347</v>
      </c>
      <c r="B343" s="955" t="s">
        <v>231</v>
      </c>
      <c r="C343" s="952" t="s">
        <v>3503</v>
      </c>
      <c r="D343" s="957" t="s">
        <v>1042</v>
      </c>
      <c r="E343" s="953"/>
      <c r="F343" s="954"/>
      <c r="G343" s="954"/>
      <c r="H343" s="954"/>
      <c r="I343" s="953"/>
    </row>
    <row r="344" spans="1:9" ht="15" x14ac:dyDescent="0.2">
      <c r="A344" s="953">
        <v>348</v>
      </c>
      <c r="B344" s="955" t="s">
        <v>237</v>
      </c>
      <c r="C344" s="952" t="s">
        <v>3503</v>
      </c>
      <c r="D344" s="952" t="s">
        <v>186</v>
      </c>
      <c r="E344" s="953"/>
      <c r="F344" s="954"/>
      <c r="G344" s="954"/>
      <c r="H344" s="954"/>
      <c r="I344" s="953"/>
    </row>
    <row r="345" spans="1:9" ht="25.5" x14ac:dyDescent="0.2">
      <c r="A345" s="953">
        <v>349</v>
      </c>
      <c r="B345" s="955" t="s">
        <v>270</v>
      </c>
      <c r="C345" s="952" t="s">
        <v>3503</v>
      </c>
      <c r="D345" s="956" t="s">
        <v>1031</v>
      </c>
      <c r="E345" s="953"/>
      <c r="F345" s="954"/>
      <c r="G345" s="954"/>
      <c r="H345" s="954"/>
      <c r="I345" s="953"/>
    </row>
    <row r="346" spans="1:9" ht="15" x14ac:dyDescent="0.2">
      <c r="A346" s="953">
        <v>350</v>
      </c>
      <c r="B346" s="955" t="s">
        <v>253</v>
      </c>
      <c r="C346" s="952" t="s">
        <v>3503</v>
      </c>
      <c r="D346" s="952" t="s">
        <v>140</v>
      </c>
      <c r="E346" s="953"/>
      <c r="F346" s="954"/>
      <c r="G346" s="954"/>
      <c r="H346" s="954"/>
      <c r="I346" s="953"/>
    </row>
    <row r="347" spans="1:9" ht="15" x14ac:dyDescent="0.2">
      <c r="A347" s="953">
        <v>351</v>
      </c>
      <c r="B347" s="955" t="s">
        <v>260</v>
      </c>
      <c r="C347" s="952" t="s">
        <v>3503</v>
      </c>
      <c r="D347" s="952" t="s">
        <v>261</v>
      </c>
      <c r="E347" s="953"/>
      <c r="F347" s="954"/>
      <c r="G347" s="954"/>
      <c r="H347" s="954"/>
      <c r="I347" s="953"/>
    </row>
    <row r="348" spans="1:9" ht="15" x14ac:dyDescent="0.2">
      <c r="A348" s="953">
        <v>352</v>
      </c>
      <c r="B348" s="955" t="s">
        <v>296</v>
      </c>
      <c r="C348" s="952" t="s">
        <v>3503</v>
      </c>
      <c r="D348" s="952" t="s">
        <v>1039</v>
      </c>
      <c r="E348" s="953"/>
      <c r="F348" s="954"/>
      <c r="G348" s="954"/>
      <c r="H348" s="954"/>
      <c r="I348" s="953"/>
    </row>
    <row r="349" spans="1:9" ht="15" x14ac:dyDescent="0.2">
      <c r="A349" s="953">
        <v>353</v>
      </c>
      <c r="B349" s="955" t="s">
        <v>308</v>
      </c>
      <c r="C349" s="952" t="s">
        <v>3503</v>
      </c>
      <c r="D349" s="952" t="s">
        <v>1050</v>
      </c>
      <c r="E349" s="953"/>
      <c r="F349" s="954"/>
      <c r="G349" s="954"/>
      <c r="H349" s="954"/>
      <c r="I349" s="953"/>
    </row>
    <row r="350" spans="1:9" ht="15" x14ac:dyDescent="0.2">
      <c r="A350" s="953">
        <v>354</v>
      </c>
      <c r="B350" s="955" t="s">
        <v>1331</v>
      </c>
      <c r="C350" s="952" t="s">
        <v>3503</v>
      </c>
      <c r="D350" s="952" t="s">
        <v>212</v>
      </c>
      <c r="E350" s="953"/>
      <c r="F350" s="954"/>
      <c r="G350" s="954"/>
      <c r="H350" s="954"/>
      <c r="I350" s="953"/>
    </row>
    <row r="351" spans="1:9" ht="15" x14ac:dyDescent="0.2">
      <c r="A351" s="953">
        <v>355</v>
      </c>
      <c r="B351" s="955" t="s">
        <v>65</v>
      </c>
      <c r="C351" s="952" t="s">
        <v>3503</v>
      </c>
      <c r="D351" s="952" t="s">
        <v>66</v>
      </c>
      <c r="E351" s="953"/>
      <c r="F351" s="954"/>
      <c r="G351" s="954"/>
      <c r="H351" s="954"/>
      <c r="I351" s="953"/>
    </row>
    <row r="352" spans="1:9" ht="15" x14ac:dyDescent="0.2">
      <c r="A352" s="953">
        <v>356</v>
      </c>
      <c r="B352" s="955" t="s">
        <v>156</v>
      </c>
      <c r="C352" s="952" t="s">
        <v>3503</v>
      </c>
      <c r="D352" s="952" t="s">
        <v>53</v>
      </c>
      <c r="E352" s="953"/>
      <c r="F352" s="954"/>
      <c r="G352" s="954"/>
      <c r="H352" s="954"/>
      <c r="I352" s="953"/>
    </row>
    <row r="353" spans="1:9" ht="15" x14ac:dyDescent="0.2">
      <c r="A353" s="953">
        <v>357</v>
      </c>
      <c r="B353" s="955" t="s">
        <v>215</v>
      </c>
      <c r="C353" s="952" t="s">
        <v>3503</v>
      </c>
      <c r="D353" s="952" t="s">
        <v>1596</v>
      </c>
      <c r="E353" s="953"/>
      <c r="F353" s="954"/>
      <c r="G353" s="954"/>
      <c r="H353" s="954"/>
      <c r="I353" s="953"/>
    </row>
    <row r="354" spans="1:9" ht="25.5" x14ac:dyDescent="0.2">
      <c r="A354" s="953">
        <v>358</v>
      </c>
      <c r="B354" s="955" t="s">
        <v>63</v>
      </c>
      <c r="C354" s="952" t="s">
        <v>3503</v>
      </c>
      <c r="D354" s="956" t="s">
        <v>64</v>
      </c>
      <c r="E354" s="953"/>
      <c r="F354" s="954"/>
      <c r="G354" s="954"/>
      <c r="H354" s="954"/>
      <c r="I354" s="953"/>
    </row>
    <row r="355" spans="1:9" ht="15" x14ac:dyDescent="0.2">
      <c r="A355" s="953">
        <v>359</v>
      </c>
      <c r="B355" s="955" t="s">
        <v>405</v>
      </c>
      <c r="C355" s="952" t="s">
        <v>3503</v>
      </c>
      <c r="D355" s="952" t="s">
        <v>238</v>
      </c>
      <c r="E355" s="953"/>
      <c r="F355" s="954"/>
      <c r="G355" s="954"/>
      <c r="H355" s="954"/>
      <c r="I355" s="953"/>
    </row>
    <row r="356" spans="1:9" ht="15" x14ac:dyDescent="0.2">
      <c r="A356" s="953">
        <v>360</v>
      </c>
      <c r="B356" s="955" t="s">
        <v>255</v>
      </c>
      <c r="C356" s="952" t="s">
        <v>3503</v>
      </c>
      <c r="D356" s="952" t="s">
        <v>1032</v>
      </c>
      <c r="E356" s="953"/>
      <c r="F356" s="954"/>
      <c r="G356" s="954"/>
      <c r="H356" s="954"/>
      <c r="I356" s="953"/>
    </row>
    <row r="357" spans="1:9" ht="15" x14ac:dyDescent="0.2">
      <c r="A357" s="953">
        <v>361</v>
      </c>
      <c r="B357" s="955" t="s">
        <v>7</v>
      </c>
      <c r="C357" s="952" t="s">
        <v>3503</v>
      </c>
      <c r="D357" s="952" t="s">
        <v>8</v>
      </c>
      <c r="E357" s="953"/>
      <c r="F357" s="954"/>
      <c r="G357" s="954"/>
      <c r="H357" s="954"/>
      <c r="I357" s="953"/>
    </row>
    <row r="358" spans="1:9" ht="15" x14ac:dyDescent="0.2">
      <c r="A358" s="953">
        <v>362</v>
      </c>
      <c r="B358" s="955" t="s">
        <v>230</v>
      </c>
      <c r="C358" s="952" t="s">
        <v>3503</v>
      </c>
      <c r="D358" s="952" t="s">
        <v>1045</v>
      </c>
      <c r="E358" s="953"/>
      <c r="F358" s="954"/>
      <c r="G358" s="954"/>
      <c r="H358" s="954"/>
      <c r="I358" s="953"/>
    </row>
    <row r="359" spans="1:9" ht="15" x14ac:dyDescent="0.2">
      <c r="A359" s="953">
        <v>363</v>
      </c>
      <c r="B359" s="955" t="s">
        <v>254</v>
      </c>
      <c r="C359" s="952" t="s">
        <v>3503</v>
      </c>
      <c r="D359" s="952" t="s">
        <v>1033</v>
      </c>
      <c r="E359" s="953"/>
      <c r="F359" s="954"/>
      <c r="G359" s="954"/>
      <c r="H359" s="954"/>
      <c r="I359" s="953"/>
    </row>
    <row r="360" spans="1:9" ht="15" x14ac:dyDescent="0.2">
      <c r="A360" s="953">
        <v>364</v>
      </c>
      <c r="B360" s="955" t="s">
        <v>555</v>
      </c>
      <c r="C360" s="952" t="s">
        <v>3503</v>
      </c>
      <c r="D360" s="952" t="s">
        <v>1067</v>
      </c>
      <c r="E360" s="953"/>
      <c r="F360" s="954"/>
      <c r="G360" s="954"/>
      <c r="H360" s="954"/>
      <c r="I360" s="953"/>
    </row>
    <row r="361" spans="1:9" ht="15" x14ac:dyDescent="0.2">
      <c r="A361" s="953">
        <v>365</v>
      </c>
      <c r="B361" s="955" t="s">
        <v>138</v>
      </c>
      <c r="C361" s="952" t="s">
        <v>3503</v>
      </c>
      <c r="D361" s="952" t="s">
        <v>1034</v>
      </c>
      <c r="E361" s="953"/>
      <c r="F361" s="954"/>
      <c r="G361" s="954"/>
      <c r="H361" s="954"/>
      <c r="I361" s="953"/>
    </row>
    <row r="362" spans="1:9" ht="15" x14ac:dyDescent="0.2">
      <c r="A362" s="953">
        <v>366</v>
      </c>
      <c r="B362" s="955" t="s">
        <v>221</v>
      </c>
      <c r="C362" s="952" t="s">
        <v>3503</v>
      </c>
      <c r="D362" s="952" t="s">
        <v>222</v>
      </c>
      <c r="E362" s="953"/>
      <c r="F362" s="954"/>
      <c r="G362" s="954"/>
      <c r="H362" s="954"/>
      <c r="I362" s="953"/>
    </row>
    <row r="363" spans="1:9" ht="15" x14ac:dyDescent="0.2">
      <c r="A363" s="953">
        <v>367</v>
      </c>
      <c r="B363" s="955" t="s">
        <v>4</v>
      </c>
      <c r="C363" s="952" t="s">
        <v>3503</v>
      </c>
      <c r="D363" s="952" t="s">
        <v>1028</v>
      </c>
      <c r="E363" s="953"/>
      <c r="F363" s="954"/>
      <c r="G363" s="954"/>
      <c r="H363" s="954"/>
      <c r="I363" s="953"/>
    </row>
    <row r="364" spans="1:9" ht="15" x14ac:dyDescent="0.2">
      <c r="A364" s="953">
        <v>368</v>
      </c>
      <c r="B364" s="955" t="s">
        <v>177</v>
      </c>
      <c r="C364" s="952" t="s">
        <v>3503</v>
      </c>
      <c r="D364" s="952" t="s">
        <v>1039</v>
      </c>
      <c r="E364" s="953"/>
      <c r="F364" s="954"/>
      <c r="G364" s="954"/>
      <c r="H364" s="954"/>
      <c r="I364" s="953"/>
    </row>
    <row r="365" spans="1:9" ht="15" x14ac:dyDescent="0.2">
      <c r="A365" s="953">
        <v>369</v>
      </c>
      <c r="B365" s="955" t="s">
        <v>193</v>
      </c>
      <c r="C365" s="952" t="s">
        <v>3503</v>
      </c>
      <c r="D365" s="952" t="s">
        <v>194</v>
      </c>
      <c r="E365" s="953"/>
      <c r="F365" s="954"/>
      <c r="G365" s="954"/>
      <c r="H365" s="954"/>
      <c r="I365" s="953"/>
    </row>
    <row r="366" spans="1:9" ht="25.5" x14ac:dyDescent="0.2">
      <c r="A366" s="953">
        <v>370</v>
      </c>
      <c r="B366" s="955" t="s">
        <v>88</v>
      </c>
      <c r="C366" s="952" t="s">
        <v>3503</v>
      </c>
      <c r="D366" s="956" t="s">
        <v>1031</v>
      </c>
      <c r="E366" s="953"/>
      <c r="F366" s="954"/>
      <c r="G366" s="954"/>
      <c r="H366" s="954"/>
      <c r="I366" s="953"/>
    </row>
    <row r="367" spans="1:9" ht="15" x14ac:dyDescent="0.2">
      <c r="A367" s="953">
        <v>371</v>
      </c>
      <c r="B367" s="955" t="s">
        <v>97</v>
      </c>
      <c r="C367" s="952" t="s">
        <v>3503</v>
      </c>
      <c r="D367" s="952" t="s">
        <v>98</v>
      </c>
      <c r="E367" s="953"/>
      <c r="F367" s="954"/>
      <c r="G367" s="954"/>
      <c r="H367" s="954"/>
      <c r="I367" s="953"/>
    </row>
    <row r="368" spans="1:9" ht="15" x14ac:dyDescent="0.2">
      <c r="A368" s="953">
        <v>372</v>
      </c>
      <c r="B368" s="955" t="s">
        <v>89</v>
      </c>
      <c r="C368" s="952" t="s">
        <v>3503</v>
      </c>
      <c r="D368" s="952" t="s">
        <v>90</v>
      </c>
      <c r="E368" s="953"/>
      <c r="F368" s="954"/>
      <c r="G368" s="954"/>
      <c r="H368" s="954"/>
      <c r="I368" s="953"/>
    </row>
    <row r="369" spans="1:9" ht="25.5" x14ac:dyDescent="0.2">
      <c r="A369" s="953">
        <v>373</v>
      </c>
      <c r="B369" s="955" t="s">
        <v>130</v>
      </c>
      <c r="C369" s="952" t="s">
        <v>3503</v>
      </c>
      <c r="D369" s="956" t="s">
        <v>1111</v>
      </c>
      <c r="E369" s="953"/>
      <c r="F369" s="954"/>
      <c r="G369" s="954"/>
      <c r="H369" s="954"/>
      <c r="I369" s="953"/>
    </row>
    <row r="370" spans="1:9" ht="15" x14ac:dyDescent="0.2">
      <c r="A370" s="953">
        <v>374</v>
      </c>
      <c r="B370" s="955" t="s">
        <v>40</v>
      </c>
      <c r="C370" s="952" t="s">
        <v>3503</v>
      </c>
      <c r="D370" s="952" t="s">
        <v>41</v>
      </c>
      <c r="E370" s="953"/>
      <c r="F370" s="954"/>
      <c r="G370" s="954"/>
      <c r="H370" s="954"/>
      <c r="I370" s="953"/>
    </row>
    <row r="371" spans="1:9" ht="15" x14ac:dyDescent="0.2">
      <c r="A371" s="953">
        <v>375</v>
      </c>
      <c r="B371" s="955" t="s">
        <v>21</v>
      </c>
      <c r="C371" s="952" t="s">
        <v>3503</v>
      </c>
      <c r="D371" s="952" t="s">
        <v>22</v>
      </c>
      <c r="E371" s="953"/>
      <c r="F371" s="954"/>
      <c r="G371" s="954"/>
      <c r="H371" s="954"/>
      <c r="I371" s="953"/>
    </row>
    <row r="372" spans="1:9" ht="15" x14ac:dyDescent="0.2">
      <c r="A372" s="953">
        <v>376</v>
      </c>
      <c r="B372" s="955" t="s">
        <v>37</v>
      </c>
      <c r="C372" s="952" t="s">
        <v>3503</v>
      </c>
      <c r="D372" s="952" t="s">
        <v>38</v>
      </c>
      <c r="E372" s="953"/>
      <c r="F372" s="954"/>
      <c r="G372" s="954"/>
      <c r="H372" s="954"/>
      <c r="I372" s="953"/>
    </row>
    <row r="373" spans="1:9" ht="15" x14ac:dyDescent="0.2">
      <c r="A373" s="953">
        <v>377</v>
      </c>
      <c r="B373" s="955" t="s">
        <v>52</v>
      </c>
      <c r="C373" s="952" t="s">
        <v>3503</v>
      </c>
      <c r="D373" s="952" t="s">
        <v>53</v>
      </c>
      <c r="E373" s="953"/>
      <c r="F373" s="954"/>
      <c r="G373" s="954"/>
      <c r="H373" s="954"/>
      <c r="I373" s="953"/>
    </row>
    <row r="374" spans="1:9" ht="15" x14ac:dyDescent="0.2">
      <c r="A374" s="953">
        <v>378</v>
      </c>
      <c r="B374" s="955" t="s">
        <v>133</v>
      </c>
      <c r="C374" s="952" t="s">
        <v>3503</v>
      </c>
      <c r="D374" s="952" t="s">
        <v>134</v>
      </c>
      <c r="E374" s="953"/>
      <c r="F374" s="954"/>
      <c r="G374" s="954"/>
      <c r="H374" s="954"/>
      <c r="I374" s="953"/>
    </row>
    <row r="375" spans="1:9" ht="15" x14ac:dyDescent="0.2">
      <c r="A375" s="953">
        <v>379</v>
      </c>
      <c r="B375" s="955" t="s">
        <v>145</v>
      </c>
      <c r="C375" s="952" t="s">
        <v>3503</v>
      </c>
      <c r="D375" s="952" t="s">
        <v>43</v>
      </c>
      <c r="E375" s="953"/>
      <c r="F375" s="954"/>
      <c r="G375" s="954"/>
      <c r="H375" s="954"/>
      <c r="I375" s="953"/>
    </row>
    <row r="376" spans="1:9" ht="15" x14ac:dyDescent="0.2">
      <c r="A376" s="953">
        <v>380</v>
      </c>
      <c r="B376" s="955" t="s">
        <v>185</v>
      </c>
      <c r="C376" s="952" t="s">
        <v>3503</v>
      </c>
      <c r="D376" s="952" t="s">
        <v>186</v>
      </c>
      <c r="E376" s="953"/>
      <c r="F376" s="954"/>
      <c r="G376" s="954"/>
      <c r="H376" s="954"/>
      <c r="I376" s="953"/>
    </row>
    <row r="377" spans="1:9" ht="25.5" x14ac:dyDescent="0.2">
      <c r="A377" s="953">
        <v>381</v>
      </c>
      <c r="B377" s="955" t="s">
        <v>195</v>
      </c>
      <c r="C377" s="952" t="s">
        <v>3503</v>
      </c>
      <c r="D377" s="956" t="s">
        <v>1037</v>
      </c>
      <c r="E377" s="953"/>
      <c r="F377" s="954"/>
      <c r="G377" s="954"/>
      <c r="H377" s="954"/>
      <c r="I377" s="953"/>
    </row>
    <row r="378" spans="1:9" ht="15" x14ac:dyDescent="0.2">
      <c r="A378" s="953">
        <v>382</v>
      </c>
      <c r="B378" s="955" t="s">
        <v>257</v>
      </c>
      <c r="C378" s="952" t="s">
        <v>3503</v>
      </c>
      <c r="D378" s="952" t="s">
        <v>1035</v>
      </c>
      <c r="E378" s="953"/>
      <c r="F378" s="954"/>
      <c r="G378" s="954"/>
      <c r="H378" s="954"/>
      <c r="I378" s="953"/>
    </row>
    <row r="379" spans="1:9" ht="15" x14ac:dyDescent="0.2">
      <c r="A379" s="953">
        <v>383</v>
      </c>
      <c r="B379" s="955" t="s">
        <v>273</v>
      </c>
      <c r="C379" s="952" t="s">
        <v>3503</v>
      </c>
      <c r="D379" s="952" t="s">
        <v>126</v>
      </c>
      <c r="E379" s="953"/>
      <c r="F379" s="954"/>
      <c r="G379" s="954"/>
      <c r="H379" s="954"/>
      <c r="I379" s="953"/>
    </row>
    <row r="380" spans="1:9" ht="15" x14ac:dyDescent="0.2">
      <c r="A380" s="953">
        <v>384</v>
      </c>
      <c r="B380" s="955" t="s">
        <v>266</v>
      </c>
      <c r="C380" s="952" t="s">
        <v>3503</v>
      </c>
      <c r="D380" s="952" t="s">
        <v>1030</v>
      </c>
      <c r="E380" s="953"/>
      <c r="F380" s="954"/>
      <c r="G380" s="954"/>
      <c r="H380" s="954"/>
      <c r="I380" s="953"/>
    </row>
    <row r="381" spans="1:9" ht="15" x14ac:dyDescent="0.2">
      <c r="A381" s="953">
        <v>385</v>
      </c>
      <c r="B381" s="955" t="s">
        <v>271</v>
      </c>
      <c r="C381" s="952" t="s">
        <v>3503</v>
      </c>
      <c r="D381" s="952" t="s">
        <v>272</v>
      </c>
      <c r="E381" s="953"/>
      <c r="F381" s="954"/>
      <c r="G381" s="954"/>
      <c r="H381" s="954"/>
      <c r="I381" s="953"/>
    </row>
    <row r="382" spans="1:9" ht="15" x14ac:dyDescent="0.2">
      <c r="A382" s="953">
        <v>386</v>
      </c>
      <c r="B382" s="955" t="s">
        <v>298</v>
      </c>
      <c r="C382" s="952" t="s">
        <v>3503</v>
      </c>
      <c r="D382" s="952" t="s">
        <v>90</v>
      </c>
      <c r="E382" s="953"/>
      <c r="F382" s="954"/>
      <c r="G382" s="954"/>
      <c r="H382" s="954"/>
      <c r="I382" s="953"/>
    </row>
    <row r="383" spans="1:9" ht="15" x14ac:dyDescent="0.2">
      <c r="A383" s="953">
        <v>387</v>
      </c>
      <c r="B383" s="955" t="s">
        <v>302</v>
      </c>
      <c r="C383" s="952" t="s">
        <v>3503</v>
      </c>
      <c r="D383" s="952" t="s">
        <v>303</v>
      </c>
      <c r="E383" s="953"/>
      <c r="F383" s="954"/>
      <c r="G383" s="954"/>
      <c r="H383" s="954"/>
      <c r="I383" s="953"/>
    </row>
    <row r="384" spans="1:9" ht="15" x14ac:dyDescent="0.2">
      <c r="A384" s="953">
        <v>388</v>
      </c>
      <c r="B384" s="955" t="s">
        <v>307</v>
      </c>
      <c r="C384" s="952" t="s">
        <v>3503</v>
      </c>
      <c r="D384" s="952" t="s">
        <v>144</v>
      </c>
      <c r="E384" s="953"/>
      <c r="F384" s="954"/>
      <c r="G384" s="954"/>
      <c r="H384" s="954"/>
      <c r="I384" s="953"/>
    </row>
    <row r="385" spans="1:9" ht="15" x14ac:dyDescent="0.2">
      <c r="A385" s="953">
        <v>389</v>
      </c>
      <c r="B385" s="955" t="s">
        <v>551</v>
      </c>
      <c r="C385" s="952" t="s">
        <v>3503</v>
      </c>
      <c r="D385" s="952" t="s">
        <v>29</v>
      </c>
      <c r="E385" s="953"/>
      <c r="F385" s="954"/>
      <c r="G385" s="954"/>
      <c r="H385" s="954"/>
      <c r="I385" s="953"/>
    </row>
    <row r="386" spans="1:9" ht="15" x14ac:dyDescent="0.2">
      <c r="A386" s="953">
        <v>390</v>
      </c>
      <c r="B386" s="955" t="s">
        <v>1485</v>
      </c>
      <c r="C386" s="952" t="s">
        <v>3503</v>
      </c>
      <c r="D386" s="952" t="s">
        <v>1596</v>
      </c>
      <c r="E386" s="953"/>
      <c r="F386" s="954"/>
      <c r="G386" s="954"/>
      <c r="H386" s="954"/>
      <c r="I386" s="953"/>
    </row>
    <row r="387" spans="1:9" ht="25.5" x14ac:dyDescent="0.2">
      <c r="A387" s="953">
        <v>391</v>
      </c>
      <c r="B387" s="955" t="s">
        <v>1481</v>
      </c>
      <c r="C387" s="952" t="s">
        <v>3503</v>
      </c>
      <c r="D387" s="956" t="s">
        <v>1482</v>
      </c>
      <c r="E387" s="953"/>
      <c r="F387" s="954"/>
      <c r="G387" s="954"/>
      <c r="H387" s="954"/>
      <c r="I387" s="953"/>
    </row>
    <row r="388" spans="1:9" ht="15" x14ac:dyDescent="0.2">
      <c r="A388" s="953">
        <v>392</v>
      </c>
      <c r="B388" s="955" t="s">
        <v>1567</v>
      </c>
      <c r="C388" s="952" t="s">
        <v>3503</v>
      </c>
      <c r="D388" s="952" t="s">
        <v>1566</v>
      </c>
      <c r="E388" s="953"/>
      <c r="F388" s="954"/>
      <c r="G388" s="954"/>
      <c r="H388" s="954"/>
      <c r="I388" s="953"/>
    </row>
    <row r="389" spans="1:9" ht="15" x14ac:dyDescent="0.2">
      <c r="A389" s="953">
        <v>393</v>
      </c>
      <c r="B389" s="955" t="s">
        <v>1581</v>
      </c>
      <c r="C389" s="952" t="s">
        <v>3503</v>
      </c>
      <c r="D389" s="952" t="s">
        <v>1582</v>
      </c>
      <c r="E389" s="953"/>
      <c r="F389" s="954"/>
      <c r="G389" s="954"/>
      <c r="H389" s="954"/>
      <c r="I389" s="953"/>
    </row>
    <row r="390" spans="1:9" ht="15" x14ac:dyDescent="0.2">
      <c r="A390" s="953">
        <v>394</v>
      </c>
      <c r="B390" s="955" t="s">
        <v>1071</v>
      </c>
      <c r="C390" s="952" t="s">
        <v>3503</v>
      </c>
      <c r="D390" s="952" t="s">
        <v>1072</v>
      </c>
      <c r="E390" s="953"/>
      <c r="F390" s="954"/>
      <c r="G390" s="954"/>
      <c r="H390" s="954"/>
      <c r="I390" s="953"/>
    </row>
    <row r="391" spans="1:9" ht="15" x14ac:dyDescent="0.2">
      <c r="A391" s="953">
        <v>395</v>
      </c>
      <c r="B391" s="955" t="s">
        <v>556</v>
      </c>
      <c r="C391" s="952" t="s">
        <v>3503</v>
      </c>
      <c r="D391" s="952" t="s">
        <v>1004</v>
      </c>
      <c r="E391" s="953"/>
      <c r="F391" s="954"/>
      <c r="G391" s="954"/>
      <c r="H391" s="954"/>
      <c r="I391" s="953"/>
    </row>
    <row r="392" spans="1:9" ht="15" x14ac:dyDescent="0.2">
      <c r="A392" s="953">
        <v>396</v>
      </c>
      <c r="B392" s="955" t="s">
        <v>1069</v>
      </c>
      <c r="C392" s="952" t="s">
        <v>3503</v>
      </c>
      <c r="D392" s="952" t="s">
        <v>1070</v>
      </c>
      <c r="E392" s="953"/>
      <c r="F392" s="954"/>
      <c r="G392" s="954"/>
      <c r="H392" s="954"/>
      <c r="I392" s="953"/>
    </row>
    <row r="393" spans="1:9" ht="15" x14ac:dyDescent="0.2">
      <c r="A393" s="953">
        <v>397</v>
      </c>
      <c r="B393" s="955" t="s">
        <v>279</v>
      </c>
      <c r="C393" s="952" t="s">
        <v>3503</v>
      </c>
      <c r="D393" s="952" t="s">
        <v>3571</v>
      </c>
      <c r="E393" s="953"/>
      <c r="F393" s="954"/>
      <c r="G393" s="954"/>
      <c r="H393" s="954"/>
      <c r="I393" s="953"/>
    </row>
    <row r="394" spans="1:9" ht="15" x14ac:dyDescent="0.2">
      <c r="A394" s="953">
        <v>398</v>
      </c>
      <c r="B394" s="955" t="s">
        <v>597</v>
      </c>
      <c r="C394" s="952" t="s">
        <v>3503</v>
      </c>
      <c r="D394" s="952" t="s">
        <v>3582</v>
      </c>
      <c r="E394" s="953"/>
      <c r="F394" s="954"/>
      <c r="G394" s="954"/>
      <c r="H394" s="954"/>
      <c r="I394" s="953"/>
    </row>
    <row r="395" spans="1:9" ht="15" x14ac:dyDescent="0.2">
      <c r="A395" s="953">
        <v>399</v>
      </c>
      <c r="B395" s="955" t="s">
        <v>9</v>
      </c>
      <c r="C395" s="952" t="s">
        <v>3503</v>
      </c>
      <c r="D395" s="952" t="s">
        <v>3583</v>
      </c>
      <c r="E395" s="953"/>
      <c r="F395" s="954"/>
      <c r="G395" s="954"/>
      <c r="H395" s="954"/>
      <c r="I395" s="953"/>
    </row>
    <row r="396" spans="1:9" ht="15" x14ac:dyDescent="0.2">
      <c r="A396" s="953">
        <v>400</v>
      </c>
      <c r="B396" s="955" t="s">
        <v>146</v>
      </c>
      <c r="C396" s="952" t="s">
        <v>3503</v>
      </c>
      <c r="D396" s="952" t="s">
        <v>3584</v>
      </c>
      <c r="E396" s="953"/>
      <c r="F396" s="954"/>
      <c r="G396" s="954"/>
      <c r="H396" s="954"/>
      <c r="I396" s="953"/>
    </row>
    <row r="397" spans="1:9" ht="15" x14ac:dyDescent="0.2">
      <c r="A397" s="953">
        <v>403</v>
      </c>
      <c r="B397" s="955" t="s">
        <v>82</v>
      </c>
      <c r="C397" s="952" t="s">
        <v>3503</v>
      </c>
      <c r="D397" s="952" t="s">
        <v>3615</v>
      </c>
      <c r="E397" s="953"/>
      <c r="F397" s="954"/>
      <c r="G397" s="954"/>
      <c r="H397" s="954"/>
      <c r="I397" s="953"/>
    </row>
    <row r="398" spans="1:9" ht="25.5" x14ac:dyDescent="0.25">
      <c r="A398" s="921">
        <v>294</v>
      </c>
      <c r="B398" s="985" t="s">
        <v>2731</v>
      </c>
      <c r="C398" s="914" t="s">
        <v>3503</v>
      </c>
      <c r="D398" s="914" t="s">
        <v>2729</v>
      </c>
      <c r="E398" s="912" t="s">
        <v>3813</v>
      </c>
      <c r="F398" s="941" t="s">
        <v>3485</v>
      </c>
      <c r="G398" s="926" t="s">
        <v>3828</v>
      </c>
      <c r="H398" s="941"/>
      <c r="I398" s="927" t="s">
        <v>3532</v>
      </c>
    </row>
    <row r="399" spans="1:9" ht="25.5" x14ac:dyDescent="0.2">
      <c r="A399" s="921">
        <v>295</v>
      </c>
      <c r="B399" s="927" t="s">
        <v>309</v>
      </c>
      <c r="C399" s="914" t="s">
        <v>3504</v>
      </c>
      <c r="D399" s="914" t="s">
        <v>77</v>
      </c>
      <c r="E399" s="912" t="s">
        <v>4053</v>
      </c>
      <c r="F399" s="941" t="s">
        <v>3907</v>
      </c>
      <c r="G399" s="941"/>
      <c r="H399" s="941"/>
      <c r="I399" s="912" t="s">
        <v>3532</v>
      </c>
    </row>
    <row r="400" spans="1:9" ht="25.5" x14ac:dyDescent="0.2">
      <c r="A400" s="921">
        <v>296</v>
      </c>
      <c r="B400" s="927" t="s">
        <v>1333</v>
      </c>
      <c r="C400" s="914" t="s">
        <v>391</v>
      </c>
      <c r="D400" s="914" t="s">
        <v>1334</v>
      </c>
      <c r="E400" s="912"/>
      <c r="F400" s="941"/>
      <c r="G400" s="941"/>
      <c r="H400" s="941"/>
      <c r="I400" s="912" t="s">
        <v>3532</v>
      </c>
    </row>
    <row r="401" spans="1:9" ht="25.5" x14ac:dyDescent="0.2">
      <c r="A401" s="921">
        <v>297</v>
      </c>
      <c r="B401" s="978" t="s">
        <v>1630</v>
      </c>
      <c r="C401" s="914" t="s">
        <v>3503</v>
      </c>
      <c r="D401" s="914" t="s">
        <v>1025</v>
      </c>
      <c r="E401" s="912" t="s">
        <v>3637</v>
      </c>
      <c r="F401" s="941" t="s">
        <v>3485</v>
      </c>
      <c r="G401" s="941"/>
      <c r="H401" s="941"/>
      <c r="I401" s="912" t="s">
        <v>3532</v>
      </c>
    </row>
    <row r="402" spans="1:9" ht="25.5" x14ac:dyDescent="0.2">
      <c r="A402" s="921">
        <v>298</v>
      </c>
      <c r="B402" s="927" t="s">
        <v>2016</v>
      </c>
      <c r="C402" s="914" t="s">
        <v>3504</v>
      </c>
      <c r="D402" s="914" t="s">
        <v>2017</v>
      </c>
      <c r="E402" s="912" t="s">
        <v>3884</v>
      </c>
      <c r="F402" s="941" t="s">
        <v>3485</v>
      </c>
      <c r="G402" s="941"/>
      <c r="H402" s="941"/>
      <c r="I402" s="912" t="s">
        <v>3532</v>
      </c>
    </row>
    <row r="403" spans="1:9" ht="76.5" x14ac:dyDescent="0.2">
      <c r="A403" s="921">
        <v>299</v>
      </c>
      <c r="B403" s="978" t="s">
        <v>2103</v>
      </c>
      <c r="C403" s="914" t="s">
        <v>3503</v>
      </c>
      <c r="D403" s="914" t="s">
        <v>2436</v>
      </c>
      <c r="E403" s="912" t="s">
        <v>3752</v>
      </c>
      <c r="F403" s="941" t="s">
        <v>3531</v>
      </c>
      <c r="G403" s="941" t="s">
        <v>3544</v>
      </c>
      <c r="H403" s="941" t="s">
        <v>3827</v>
      </c>
      <c r="I403" s="912" t="s">
        <v>3531</v>
      </c>
    </row>
    <row r="404" spans="1:9" ht="15" x14ac:dyDescent="0.2">
      <c r="A404" s="921">
        <v>301</v>
      </c>
      <c r="B404" s="978" t="s">
        <v>2366</v>
      </c>
      <c r="C404" s="914" t="s">
        <v>3503</v>
      </c>
      <c r="D404" s="914" t="s">
        <v>2367</v>
      </c>
      <c r="E404" s="912"/>
      <c r="F404" s="941"/>
      <c r="G404" s="941"/>
      <c r="H404" s="941"/>
      <c r="I404" s="912" t="s">
        <v>3532</v>
      </c>
    </row>
    <row r="405" spans="1:9" ht="25.5" x14ac:dyDescent="0.2">
      <c r="A405" s="921">
        <v>302</v>
      </c>
      <c r="B405" s="927" t="s">
        <v>2416</v>
      </c>
      <c r="C405" s="914" t="s">
        <v>3504</v>
      </c>
      <c r="D405" s="914" t="s">
        <v>2417</v>
      </c>
      <c r="E405" s="912" t="s">
        <v>4318</v>
      </c>
      <c r="F405" s="941" t="s">
        <v>3907</v>
      </c>
      <c r="G405" s="941"/>
      <c r="H405" s="941"/>
      <c r="I405" s="912" t="s">
        <v>3532</v>
      </c>
    </row>
    <row r="406" spans="1:9" ht="25.5" x14ac:dyDescent="0.2">
      <c r="A406" s="921">
        <v>303</v>
      </c>
      <c r="B406" s="927" t="s">
        <v>2432</v>
      </c>
      <c r="C406" s="914" t="s">
        <v>3504</v>
      </c>
      <c r="D406" s="914" t="s">
        <v>1338</v>
      </c>
      <c r="E406" s="912" t="s">
        <v>4749</v>
      </c>
      <c r="F406" s="941" t="s">
        <v>3907</v>
      </c>
      <c r="G406" s="941"/>
      <c r="H406" s="941"/>
      <c r="I406" s="912"/>
    </row>
    <row r="407" spans="1:9" ht="15" x14ac:dyDescent="0.2">
      <c r="A407" s="921">
        <v>304</v>
      </c>
      <c r="B407" s="978" t="s">
        <v>2434</v>
      </c>
      <c r="C407" s="914" t="s">
        <v>3503</v>
      </c>
      <c r="D407" s="914" t="s">
        <v>2435</v>
      </c>
      <c r="E407" s="912"/>
      <c r="F407" s="941"/>
      <c r="G407" s="941"/>
      <c r="H407" s="941"/>
      <c r="I407" s="912" t="s">
        <v>3532</v>
      </c>
    </row>
    <row r="408" spans="1:9" ht="25.5" x14ac:dyDescent="0.2">
      <c r="A408" s="921">
        <v>305</v>
      </c>
      <c r="B408" s="978" t="s">
        <v>2442</v>
      </c>
      <c r="C408" s="914" t="s">
        <v>3503</v>
      </c>
      <c r="D408" s="914" t="s">
        <v>1111</v>
      </c>
      <c r="E408" s="912" t="s">
        <v>3812</v>
      </c>
      <c r="F408" s="941" t="s">
        <v>3485</v>
      </c>
      <c r="G408" s="941"/>
      <c r="H408" s="941"/>
      <c r="I408" s="912" t="s">
        <v>3532</v>
      </c>
    </row>
    <row r="409" spans="1:9" ht="25.5" x14ac:dyDescent="0.2">
      <c r="A409" s="921">
        <v>306</v>
      </c>
      <c r="B409" s="927" t="s">
        <v>2449</v>
      </c>
      <c r="C409" s="914" t="s">
        <v>3503</v>
      </c>
      <c r="D409" s="914" t="s">
        <v>1857</v>
      </c>
      <c r="E409" s="912"/>
      <c r="F409" s="941"/>
      <c r="G409" s="941" t="s">
        <v>3628</v>
      </c>
      <c r="H409" s="941" t="s">
        <v>4283</v>
      </c>
      <c r="I409" s="912" t="s">
        <v>3531</v>
      </c>
    </row>
    <row r="410" spans="1:9" ht="25.5" x14ac:dyDescent="0.2">
      <c r="A410" s="921">
        <v>307</v>
      </c>
      <c r="B410" s="927" t="s">
        <v>2474</v>
      </c>
      <c r="C410" s="914" t="s">
        <v>3503</v>
      </c>
      <c r="D410" s="914" t="s">
        <v>1025</v>
      </c>
      <c r="E410" s="912" t="s">
        <v>3638</v>
      </c>
      <c r="F410" s="941" t="s">
        <v>3485</v>
      </c>
      <c r="G410" s="941"/>
      <c r="H410" s="941"/>
      <c r="I410" s="912" t="s">
        <v>3532</v>
      </c>
    </row>
    <row r="411" spans="1:9" ht="25.5" x14ac:dyDescent="0.2">
      <c r="A411" s="921">
        <v>309</v>
      </c>
      <c r="B411" s="978" t="s">
        <v>2505</v>
      </c>
      <c r="C411" s="914" t="s">
        <v>3503</v>
      </c>
      <c r="D411" s="914" t="s">
        <v>2008</v>
      </c>
      <c r="E411" s="912" t="s">
        <v>3639</v>
      </c>
      <c r="F411" s="941" t="s">
        <v>3485</v>
      </c>
      <c r="G411" s="941"/>
      <c r="H411" s="941"/>
      <c r="I411" s="912" t="s">
        <v>3531</v>
      </c>
    </row>
    <row r="412" spans="1:9" ht="25.5" x14ac:dyDescent="0.2">
      <c r="A412" s="921">
        <v>310</v>
      </c>
      <c r="B412" s="927" t="s">
        <v>2520</v>
      </c>
      <c r="C412" s="914" t="s">
        <v>3503</v>
      </c>
      <c r="D412" s="914" t="s">
        <v>41</v>
      </c>
      <c r="E412" s="912" t="s">
        <v>3818</v>
      </c>
      <c r="F412" s="941" t="s">
        <v>3485</v>
      </c>
      <c r="G412" s="941"/>
      <c r="H412" s="941"/>
      <c r="I412" s="912" t="s">
        <v>3532</v>
      </c>
    </row>
    <row r="413" spans="1:9" ht="25.5" x14ac:dyDescent="0.2">
      <c r="A413" s="921">
        <v>311</v>
      </c>
      <c r="B413" s="978" t="s">
        <v>2575</v>
      </c>
      <c r="C413" s="914" t="s">
        <v>3503</v>
      </c>
      <c r="D413" s="914" t="s">
        <v>1994</v>
      </c>
      <c r="E413" s="912" t="s">
        <v>3641</v>
      </c>
      <c r="F413" s="941"/>
      <c r="G413" s="941" t="s">
        <v>3627</v>
      </c>
      <c r="H413" s="941"/>
      <c r="I413" s="912" t="s">
        <v>3532</v>
      </c>
    </row>
    <row r="414" spans="1:9" ht="25.5" x14ac:dyDescent="0.2">
      <c r="A414" s="921">
        <v>312</v>
      </c>
      <c r="B414" s="927" t="s">
        <v>2539</v>
      </c>
      <c r="C414" s="914" t="s">
        <v>3503</v>
      </c>
      <c r="D414" s="914" t="s">
        <v>2540</v>
      </c>
      <c r="E414" s="982">
        <v>43199</v>
      </c>
      <c r="F414" s="941" t="s">
        <v>3485</v>
      </c>
      <c r="G414" s="941"/>
      <c r="H414" s="941"/>
      <c r="I414" s="912" t="s">
        <v>3532</v>
      </c>
    </row>
    <row r="415" spans="1:9" x14ac:dyDescent="0.2">
      <c r="A415" s="921">
        <v>313</v>
      </c>
      <c r="B415" s="927" t="s">
        <v>2564</v>
      </c>
      <c r="C415" s="914" t="s">
        <v>391</v>
      </c>
      <c r="D415" s="914" t="s">
        <v>144</v>
      </c>
      <c r="E415" s="912"/>
      <c r="F415" s="941"/>
      <c r="G415" s="941"/>
      <c r="H415" s="941"/>
      <c r="I415" s="912" t="s">
        <v>3532</v>
      </c>
    </row>
    <row r="416" spans="1:9" ht="89.25" x14ac:dyDescent="0.2">
      <c r="A416" s="921">
        <v>314</v>
      </c>
      <c r="B416" s="978" t="s">
        <v>2641</v>
      </c>
      <c r="C416" s="914" t="s">
        <v>3503</v>
      </c>
      <c r="D416" s="914" t="s">
        <v>2095</v>
      </c>
      <c r="E416" s="912"/>
      <c r="F416" s="941"/>
      <c r="G416" s="941" t="s">
        <v>3546</v>
      </c>
      <c r="H416" s="941"/>
      <c r="I416" s="912" t="s">
        <v>3320</v>
      </c>
    </row>
    <row r="417" spans="1:9" ht="25.5" x14ac:dyDescent="0.2">
      <c r="A417" s="921">
        <v>315</v>
      </c>
      <c r="B417" s="978" t="s">
        <v>2682</v>
      </c>
      <c r="C417" s="914" t="s">
        <v>3503</v>
      </c>
      <c r="D417" s="914" t="s">
        <v>2683</v>
      </c>
      <c r="E417" s="912" t="s">
        <v>3908</v>
      </c>
      <c r="F417" s="941" t="s">
        <v>3907</v>
      </c>
      <c r="G417" s="941"/>
      <c r="H417" s="941"/>
      <c r="I417" s="912" t="s">
        <v>3531</v>
      </c>
    </row>
    <row r="418" spans="1:9" ht="63.75" x14ac:dyDescent="0.2">
      <c r="A418" s="921">
        <v>316</v>
      </c>
      <c r="B418" s="978" t="s">
        <v>2656</v>
      </c>
      <c r="C418" s="914" t="s">
        <v>3503</v>
      </c>
      <c r="D418" s="914" t="s">
        <v>2125</v>
      </c>
      <c r="E418" s="912"/>
      <c r="F418" s="941"/>
      <c r="G418" s="941" t="s">
        <v>3547</v>
      </c>
      <c r="H418" s="941"/>
      <c r="I418" s="912" t="s">
        <v>3320</v>
      </c>
    </row>
    <row r="419" spans="1:9" ht="25.5" x14ac:dyDescent="0.2">
      <c r="A419" s="921">
        <v>317</v>
      </c>
      <c r="B419" s="978" t="s">
        <v>2698</v>
      </c>
      <c r="C419" s="914" t="s">
        <v>3503</v>
      </c>
      <c r="D419" s="914" t="s">
        <v>2699</v>
      </c>
      <c r="E419" s="912"/>
      <c r="F419" s="941"/>
      <c r="G419" s="941" t="s">
        <v>3548</v>
      </c>
      <c r="H419" s="941"/>
      <c r="I419" s="912" t="s">
        <v>3320</v>
      </c>
    </row>
    <row r="420" spans="1:9" ht="38.25" x14ac:dyDescent="0.2">
      <c r="A420" s="921">
        <v>318</v>
      </c>
      <c r="B420" s="978" t="s">
        <v>2696</v>
      </c>
      <c r="C420" s="914" t="s">
        <v>3503</v>
      </c>
      <c r="D420" s="914" t="s">
        <v>1862</v>
      </c>
      <c r="E420" s="912" t="s">
        <v>4140</v>
      </c>
      <c r="F420" s="941" t="s">
        <v>4141</v>
      </c>
      <c r="G420" s="941" t="s">
        <v>3549</v>
      </c>
      <c r="H420" s="941"/>
      <c r="I420" s="912" t="s">
        <v>3320</v>
      </c>
    </row>
    <row r="421" spans="1:9" ht="191.25" x14ac:dyDescent="0.2">
      <c r="A421" s="921">
        <v>319</v>
      </c>
      <c r="B421" s="927" t="s">
        <v>2722</v>
      </c>
      <c r="C421" s="914" t="s">
        <v>391</v>
      </c>
      <c r="D421" s="914" t="s">
        <v>1338</v>
      </c>
      <c r="E421" s="912"/>
      <c r="F421" s="941"/>
      <c r="G421" s="941" t="s">
        <v>3550</v>
      </c>
      <c r="H421" s="941"/>
      <c r="I421" s="912" t="s">
        <v>3320</v>
      </c>
    </row>
    <row r="422" spans="1:9" ht="25.5" x14ac:dyDescent="0.25">
      <c r="A422" s="921">
        <v>320</v>
      </c>
      <c r="B422" s="988" t="s">
        <v>2752</v>
      </c>
      <c r="C422" s="914" t="s">
        <v>3503</v>
      </c>
      <c r="D422" s="914" t="s">
        <v>1345</v>
      </c>
      <c r="E422" s="912" t="s">
        <v>3640</v>
      </c>
      <c r="F422" s="941" t="s">
        <v>3485</v>
      </c>
      <c r="G422" s="941"/>
      <c r="H422" s="941"/>
      <c r="I422" s="912" t="s">
        <v>3532</v>
      </c>
    </row>
    <row r="423" spans="1:9" ht="25.5" x14ac:dyDescent="0.2">
      <c r="A423" s="921">
        <v>321</v>
      </c>
      <c r="B423" s="978" t="s">
        <v>2737</v>
      </c>
      <c r="C423" s="914" t="s">
        <v>3503</v>
      </c>
      <c r="D423" s="914" t="s">
        <v>2736</v>
      </c>
      <c r="E423" s="912" t="s">
        <v>3634</v>
      </c>
      <c r="F423" s="941" t="s">
        <v>3485</v>
      </c>
      <c r="G423" s="941"/>
      <c r="H423" s="941"/>
      <c r="I423" s="912" t="s">
        <v>3531</v>
      </c>
    </row>
    <row r="424" spans="1:9" ht="25.5" x14ac:dyDescent="0.2">
      <c r="A424" s="921">
        <v>322</v>
      </c>
      <c r="B424" s="978" t="s">
        <v>2783</v>
      </c>
      <c r="C424" s="914" t="s">
        <v>3503</v>
      </c>
      <c r="D424" s="914" t="s">
        <v>2784</v>
      </c>
      <c r="E424" s="912" t="s">
        <v>4752</v>
      </c>
      <c r="F424" s="941" t="s">
        <v>3907</v>
      </c>
      <c r="G424" s="941"/>
      <c r="H424" s="941"/>
      <c r="I424" s="912" t="s">
        <v>3320</v>
      </c>
    </row>
    <row r="425" spans="1:9" ht="25.5" x14ac:dyDescent="0.2">
      <c r="A425" s="921">
        <v>323</v>
      </c>
      <c r="B425" s="978" t="s">
        <v>2823</v>
      </c>
      <c r="C425" s="914" t="s">
        <v>3503</v>
      </c>
      <c r="D425" s="914" t="s">
        <v>2796</v>
      </c>
      <c r="E425" s="912"/>
      <c r="F425" s="941"/>
      <c r="G425" s="941" t="s">
        <v>3551</v>
      </c>
      <c r="H425" s="941"/>
      <c r="I425" s="912" t="s">
        <v>3320</v>
      </c>
    </row>
    <row r="426" spans="1:9" ht="25.5" x14ac:dyDescent="0.2">
      <c r="A426" s="921">
        <v>324</v>
      </c>
      <c r="B426" s="978" t="s">
        <v>2501</v>
      </c>
      <c r="C426" s="914" t="s">
        <v>3503</v>
      </c>
      <c r="D426" s="914" t="s">
        <v>3542</v>
      </c>
      <c r="E426" s="912" t="s">
        <v>3635</v>
      </c>
      <c r="F426" s="941" t="s">
        <v>3485</v>
      </c>
      <c r="G426" s="941" t="s">
        <v>3668</v>
      </c>
      <c r="H426" s="941"/>
      <c r="I426" s="912" t="s">
        <v>3532</v>
      </c>
    </row>
    <row r="427" spans="1:9" ht="25.5" x14ac:dyDescent="0.2">
      <c r="A427" s="921">
        <v>325</v>
      </c>
      <c r="B427" s="978" t="s">
        <v>2457</v>
      </c>
      <c r="C427" s="914" t="s">
        <v>3503</v>
      </c>
      <c r="D427" s="914" t="s">
        <v>284</v>
      </c>
      <c r="E427" s="912" t="s">
        <v>3636</v>
      </c>
      <c r="F427" s="941" t="s">
        <v>3485</v>
      </c>
      <c r="G427" s="941" t="s">
        <v>3667</v>
      </c>
      <c r="H427" s="941"/>
      <c r="I427" s="912" t="s">
        <v>3532</v>
      </c>
    </row>
    <row r="428" spans="1:9" ht="25.5" x14ac:dyDescent="0.2">
      <c r="A428" s="921">
        <v>326</v>
      </c>
      <c r="B428" s="978" t="s">
        <v>2799</v>
      </c>
      <c r="C428" s="914" t="s">
        <v>3503</v>
      </c>
      <c r="D428" s="914" t="s">
        <v>152</v>
      </c>
      <c r="E428" s="912" t="s">
        <v>4049</v>
      </c>
      <c r="F428" s="941" t="s">
        <v>4141</v>
      </c>
      <c r="G428" s="941"/>
      <c r="H428" s="941"/>
      <c r="I428" s="912"/>
    </row>
    <row r="429" spans="1:9" x14ac:dyDescent="0.2">
      <c r="A429" s="921">
        <v>327</v>
      </c>
      <c r="B429" s="927" t="s">
        <v>2762</v>
      </c>
      <c r="C429" s="914" t="s">
        <v>3503</v>
      </c>
      <c r="D429" s="914" t="s">
        <v>3543</v>
      </c>
      <c r="E429" s="912"/>
      <c r="F429" s="941"/>
      <c r="G429" s="941"/>
      <c r="H429" s="941"/>
      <c r="I429" s="912"/>
    </row>
    <row r="430" spans="1:9" ht="25.5" x14ac:dyDescent="0.2">
      <c r="A430" s="921">
        <v>328</v>
      </c>
      <c r="B430" s="978" t="s">
        <v>2756</v>
      </c>
      <c r="C430" s="914" t="s">
        <v>3503</v>
      </c>
      <c r="D430" s="914" t="s">
        <v>2757</v>
      </c>
      <c r="E430" s="912" t="s">
        <v>3931</v>
      </c>
      <c r="F430" s="941" t="s">
        <v>3485</v>
      </c>
      <c r="G430" s="941"/>
      <c r="H430" s="941"/>
      <c r="I430" s="912"/>
    </row>
    <row r="431" spans="1:9" ht="25.5" x14ac:dyDescent="0.2">
      <c r="A431" s="912">
        <v>329</v>
      </c>
      <c r="B431" s="977" t="s">
        <v>2790</v>
      </c>
      <c r="C431" s="952" t="s">
        <v>3503</v>
      </c>
      <c r="D431" s="952" t="s">
        <v>3632</v>
      </c>
      <c r="E431" s="959" t="s">
        <v>3633</v>
      </c>
      <c r="F431" s="960" t="s">
        <v>3485</v>
      </c>
      <c r="G431" s="954"/>
      <c r="H431" s="954"/>
      <c r="I431" s="953" t="s">
        <v>3532</v>
      </c>
    </row>
    <row r="432" spans="1:9" ht="25.5" x14ac:dyDescent="0.2">
      <c r="A432" s="912">
        <v>330</v>
      </c>
      <c r="B432" s="977" t="s">
        <v>2550</v>
      </c>
      <c r="C432" s="952" t="s">
        <v>3503</v>
      </c>
      <c r="D432" s="952" t="s">
        <v>3642</v>
      </c>
      <c r="E432" s="959" t="s">
        <v>3643</v>
      </c>
      <c r="F432" s="960" t="s">
        <v>3485</v>
      </c>
      <c r="G432" s="954"/>
      <c r="H432" s="954"/>
      <c r="I432" s="953" t="s">
        <v>3532</v>
      </c>
    </row>
    <row r="433" spans="1:9" ht="25.5" x14ac:dyDescent="0.2">
      <c r="A433" s="953">
        <v>404</v>
      </c>
      <c r="B433" s="977" t="s">
        <v>2578</v>
      </c>
      <c r="C433" s="952" t="s">
        <v>3503</v>
      </c>
      <c r="D433" s="952" t="s">
        <v>3680</v>
      </c>
      <c r="E433" s="959" t="s">
        <v>3681</v>
      </c>
      <c r="F433" s="960" t="s">
        <v>3485</v>
      </c>
      <c r="G433" s="954" t="s">
        <v>3830</v>
      </c>
      <c r="H433" s="954"/>
      <c r="I433" s="953"/>
    </row>
    <row r="434" spans="1:9" ht="25.5" x14ac:dyDescent="0.2">
      <c r="A434" s="953">
        <v>405</v>
      </c>
      <c r="B434" s="977" t="s">
        <v>2649</v>
      </c>
      <c r="C434" s="952" t="s">
        <v>3503</v>
      </c>
      <c r="D434" s="952" t="s">
        <v>3100</v>
      </c>
      <c r="E434" s="959" t="s">
        <v>3731</v>
      </c>
      <c r="F434" s="960" t="s">
        <v>3485</v>
      </c>
      <c r="G434" s="960" t="s">
        <v>3732</v>
      </c>
      <c r="H434" s="954"/>
      <c r="I434" s="953"/>
    </row>
    <row r="435" spans="1:9" ht="25.5" x14ac:dyDescent="0.2">
      <c r="A435" s="953">
        <v>406</v>
      </c>
      <c r="B435" s="953" t="s">
        <v>2646</v>
      </c>
      <c r="C435" s="952" t="s">
        <v>3503</v>
      </c>
      <c r="D435" s="952" t="s">
        <v>3110</v>
      </c>
      <c r="E435" s="959" t="s">
        <v>3739</v>
      </c>
      <c r="F435" s="960" t="s">
        <v>3485</v>
      </c>
      <c r="G435" s="960" t="s">
        <v>3740</v>
      </c>
      <c r="H435" s="954"/>
      <c r="I435" s="953"/>
    </row>
    <row r="436" spans="1:9" ht="25.5" x14ac:dyDescent="0.2">
      <c r="A436" s="953">
        <v>407</v>
      </c>
      <c r="B436" s="977" t="s">
        <v>2597</v>
      </c>
      <c r="C436" s="952" t="s">
        <v>3503</v>
      </c>
      <c r="D436" s="956" t="s">
        <v>3814</v>
      </c>
      <c r="E436" s="959" t="s">
        <v>3815</v>
      </c>
      <c r="F436" s="960" t="s">
        <v>3485</v>
      </c>
      <c r="G436" s="960" t="s">
        <v>3829</v>
      </c>
      <c r="H436" s="954"/>
      <c r="I436" s="953"/>
    </row>
    <row r="437" spans="1:9" ht="25.5" x14ac:dyDescent="0.2">
      <c r="A437" s="953">
        <v>408</v>
      </c>
      <c r="B437" s="977" t="s">
        <v>2559</v>
      </c>
      <c r="C437" s="952" t="s">
        <v>3503</v>
      </c>
      <c r="D437" s="952" t="s">
        <v>3816</v>
      </c>
      <c r="E437" s="959" t="s">
        <v>3817</v>
      </c>
      <c r="F437" s="960" t="s">
        <v>3485</v>
      </c>
      <c r="G437" s="954"/>
      <c r="H437" s="954"/>
      <c r="I437" s="953"/>
    </row>
    <row r="438" spans="1:9" ht="25.5" x14ac:dyDescent="0.2">
      <c r="A438" s="953">
        <v>409</v>
      </c>
      <c r="B438" s="953" t="s">
        <v>2860</v>
      </c>
      <c r="C438" s="952" t="s">
        <v>3504</v>
      </c>
      <c r="D438" s="952" t="s">
        <v>2864</v>
      </c>
      <c r="E438" s="959" t="s">
        <v>3826</v>
      </c>
      <c r="F438" s="960" t="s">
        <v>3531</v>
      </c>
      <c r="G438" s="960" t="s">
        <v>3839</v>
      </c>
      <c r="H438" s="960" t="s">
        <v>3853</v>
      </c>
      <c r="I438" s="953"/>
    </row>
    <row r="439" spans="1:9" ht="25.5" x14ac:dyDescent="0.2">
      <c r="A439" s="953">
        <v>410</v>
      </c>
      <c r="B439" s="977" t="s">
        <v>2522</v>
      </c>
      <c r="C439" s="952" t="s">
        <v>3503</v>
      </c>
      <c r="D439" s="952" t="s">
        <v>3571</v>
      </c>
      <c r="E439" s="959" t="s">
        <v>3875</v>
      </c>
      <c r="F439" s="960" t="s">
        <v>3485</v>
      </c>
      <c r="G439" s="960" t="s">
        <v>3876</v>
      </c>
      <c r="H439" s="954"/>
      <c r="I439" s="953"/>
    </row>
    <row r="440" spans="1:9" ht="25.5" x14ac:dyDescent="0.2">
      <c r="A440" s="953">
        <v>411</v>
      </c>
      <c r="B440" s="977" t="s">
        <v>3558</v>
      </c>
      <c r="C440" s="952" t="s">
        <v>3503</v>
      </c>
      <c r="D440" s="952" t="s">
        <v>3728</v>
      </c>
      <c r="E440" s="959" t="s">
        <v>3883</v>
      </c>
      <c r="F440" s="960" t="s">
        <v>3485</v>
      </c>
      <c r="G440" s="954"/>
      <c r="H440" s="954"/>
      <c r="I440" s="953"/>
    </row>
    <row r="441" spans="1:9" ht="25.5" x14ac:dyDescent="0.2">
      <c r="A441" s="953">
        <v>412</v>
      </c>
      <c r="B441" s="977" t="s">
        <v>3562</v>
      </c>
      <c r="C441" s="952" t="s">
        <v>3503</v>
      </c>
      <c r="D441" s="952" t="s">
        <v>3728</v>
      </c>
      <c r="E441" s="959" t="s">
        <v>3885</v>
      </c>
      <c r="F441" s="960" t="s">
        <v>3485</v>
      </c>
      <c r="G441" s="954"/>
      <c r="H441" s="954"/>
      <c r="I441" s="953"/>
    </row>
    <row r="442" spans="1:9" ht="15" x14ac:dyDescent="0.2">
      <c r="A442" s="953">
        <v>413</v>
      </c>
      <c r="B442" s="977" t="s">
        <v>2912</v>
      </c>
      <c r="C442" s="952" t="s">
        <v>3503</v>
      </c>
      <c r="D442" s="952" t="s">
        <v>1034</v>
      </c>
      <c r="E442" s="959"/>
      <c r="F442" s="960"/>
      <c r="G442" s="954"/>
      <c r="H442" s="954"/>
      <c r="I442" s="953"/>
    </row>
    <row r="443" spans="1:9" ht="25.5" x14ac:dyDescent="0.2">
      <c r="A443" s="953">
        <v>414</v>
      </c>
      <c r="B443" s="953" t="s">
        <v>2686</v>
      </c>
      <c r="C443" s="952" t="s">
        <v>3503</v>
      </c>
      <c r="D443" s="952" t="s">
        <v>3905</v>
      </c>
      <c r="E443" s="959" t="s">
        <v>3906</v>
      </c>
      <c r="F443" s="960" t="s">
        <v>3907</v>
      </c>
      <c r="G443" s="954"/>
      <c r="H443" s="954"/>
      <c r="I443" s="953"/>
    </row>
    <row r="444" spans="1:9" ht="15" x14ac:dyDescent="0.2">
      <c r="A444" s="953">
        <v>415</v>
      </c>
      <c r="B444" s="979" t="s">
        <v>2982</v>
      </c>
      <c r="C444" s="441" t="s">
        <v>3503</v>
      </c>
      <c r="D444" s="441" t="s">
        <v>2983</v>
      </c>
      <c r="E444" s="959"/>
      <c r="F444" s="960" t="s">
        <v>3363</v>
      </c>
      <c r="G444" s="954"/>
      <c r="H444" s="954"/>
      <c r="I444" s="953"/>
    </row>
    <row r="445" spans="1:9" x14ac:dyDescent="0.2">
      <c r="A445" s="953">
        <v>416</v>
      </c>
      <c r="B445" s="953" t="s">
        <v>3912</v>
      </c>
      <c r="C445" s="952" t="s">
        <v>3503</v>
      </c>
      <c r="D445" s="864" t="s">
        <v>2024</v>
      </c>
      <c r="E445" s="959"/>
      <c r="F445" s="960" t="s">
        <v>3907</v>
      </c>
      <c r="G445" s="954"/>
      <c r="H445" s="954"/>
      <c r="I445" s="953"/>
    </row>
    <row r="446" spans="1:9" ht="25.5" x14ac:dyDescent="0.2">
      <c r="A446" s="953">
        <v>417</v>
      </c>
      <c r="B446" s="977" t="s">
        <v>3685</v>
      </c>
      <c r="C446" s="952" t="s">
        <v>3503</v>
      </c>
      <c r="D446" s="952" t="s">
        <v>3913</v>
      </c>
      <c r="E446" s="959" t="s">
        <v>4768</v>
      </c>
      <c r="F446" s="960" t="s">
        <v>3907</v>
      </c>
      <c r="G446" s="954"/>
      <c r="H446" s="954"/>
      <c r="I446" s="953"/>
    </row>
    <row r="447" spans="1:9" ht="25.5" x14ac:dyDescent="0.2">
      <c r="A447" s="953">
        <v>418</v>
      </c>
      <c r="B447" s="977" t="s">
        <v>2659</v>
      </c>
      <c r="C447" s="952" t="s">
        <v>3503</v>
      </c>
      <c r="D447" s="952" t="s">
        <v>3915</v>
      </c>
      <c r="E447" s="959" t="s">
        <v>4751</v>
      </c>
      <c r="F447" s="960" t="s">
        <v>3907</v>
      </c>
      <c r="G447" s="954"/>
      <c r="H447" s="954"/>
      <c r="I447" s="953"/>
    </row>
    <row r="448" spans="1:9" ht="15" x14ac:dyDescent="0.2">
      <c r="A448" s="953">
        <v>419</v>
      </c>
      <c r="B448" s="977" t="s">
        <v>2772</v>
      </c>
      <c r="C448" s="952" t="s">
        <v>3503</v>
      </c>
      <c r="D448" s="952" t="s">
        <v>3211</v>
      </c>
      <c r="E448" s="959"/>
      <c r="F448" s="960" t="s">
        <v>3907</v>
      </c>
      <c r="G448" s="954"/>
      <c r="H448" s="954"/>
      <c r="I448" s="953"/>
    </row>
    <row r="449" spans="1:9" ht="25.5" x14ac:dyDescent="0.2">
      <c r="A449" s="953">
        <v>420</v>
      </c>
      <c r="B449" s="977" t="s">
        <v>2840</v>
      </c>
      <c r="C449" s="952" t="s">
        <v>3503</v>
      </c>
      <c r="D449" s="952" t="s">
        <v>3244</v>
      </c>
      <c r="E449" s="981" t="s">
        <v>4758</v>
      </c>
      <c r="F449" s="960" t="s">
        <v>3907</v>
      </c>
      <c r="G449" s="954"/>
      <c r="H449" s="954"/>
      <c r="I449" s="953"/>
    </row>
    <row r="450" spans="1:9" ht="25.5" x14ac:dyDescent="0.2">
      <c r="A450" s="953">
        <v>421</v>
      </c>
      <c r="B450" s="977" t="s">
        <v>3062</v>
      </c>
      <c r="C450" s="952" t="s">
        <v>3503</v>
      </c>
      <c r="D450" s="952" t="s">
        <v>3392</v>
      </c>
      <c r="E450" s="981" t="s">
        <v>4047</v>
      </c>
      <c r="F450" s="960" t="s">
        <v>3907</v>
      </c>
      <c r="G450" s="954"/>
      <c r="H450" s="954"/>
      <c r="I450" s="953"/>
    </row>
    <row r="451" spans="1:9" ht="25.5" x14ac:dyDescent="0.2">
      <c r="A451" s="953">
        <v>422</v>
      </c>
      <c r="B451" s="977" t="s">
        <v>3703</v>
      </c>
      <c r="C451" s="952" t="s">
        <v>3503</v>
      </c>
      <c r="D451" s="952" t="s">
        <v>3918</v>
      </c>
      <c r="E451" s="981" t="s">
        <v>4758</v>
      </c>
      <c r="F451" s="960" t="s">
        <v>3907</v>
      </c>
      <c r="G451" s="954"/>
      <c r="H451" s="954"/>
      <c r="I451" s="953"/>
    </row>
    <row r="452" spans="1:9" ht="23.25" customHeight="1" x14ac:dyDescent="0.2">
      <c r="A452" s="953">
        <v>423</v>
      </c>
      <c r="B452" s="977" t="s">
        <v>3598</v>
      </c>
      <c r="C452" s="952" t="s">
        <v>3503</v>
      </c>
      <c r="D452" s="952" t="s">
        <v>3599</v>
      </c>
      <c r="E452" s="959" t="s">
        <v>3919</v>
      </c>
      <c r="F452" s="960" t="s">
        <v>3485</v>
      </c>
      <c r="G452" s="954"/>
      <c r="H452" s="954"/>
      <c r="I452" s="953"/>
    </row>
    <row r="453" spans="1:9" ht="25.5" x14ac:dyDescent="0.2">
      <c r="A453" s="953">
        <v>424</v>
      </c>
      <c r="B453" s="977" t="s">
        <v>3065</v>
      </c>
      <c r="C453" s="952" t="s">
        <v>3503</v>
      </c>
      <c r="D453" s="952" t="s">
        <v>3920</v>
      </c>
      <c r="E453" s="959" t="s">
        <v>3921</v>
      </c>
      <c r="F453" s="960" t="s">
        <v>3485</v>
      </c>
      <c r="G453" s="954"/>
      <c r="H453" s="954"/>
      <c r="I453" s="953"/>
    </row>
    <row r="454" spans="1:9" ht="25.5" x14ac:dyDescent="0.2">
      <c r="A454" s="953">
        <v>425</v>
      </c>
      <c r="B454" s="977" t="s">
        <v>2582</v>
      </c>
      <c r="C454" s="952" t="s">
        <v>3503</v>
      </c>
      <c r="D454" s="952" t="s">
        <v>38</v>
      </c>
      <c r="E454" s="959" t="s">
        <v>3922</v>
      </c>
      <c r="F454" s="960" t="s">
        <v>3485</v>
      </c>
      <c r="G454" s="954"/>
      <c r="H454" s="954"/>
      <c r="I454" s="953"/>
    </row>
    <row r="455" spans="1:9" ht="26.25" x14ac:dyDescent="0.25">
      <c r="A455" s="953">
        <v>426</v>
      </c>
      <c r="B455" s="984" t="s">
        <v>2817</v>
      </c>
      <c r="C455" s="952" t="s">
        <v>3503</v>
      </c>
      <c r="D455" s="956" t="s">
        <v>3923</v>
      </c>
      <c r="E455" s="959" t="s">
        <v>3924</v>
      </c>
      <c r="F455" s="960" t="s">
        <v>3485</v>
      </c>
      <c r="G455" s="954"/>
      <c r="H455" s="954"/>
      <c r="I455" s="953"/>
    </row>
    <row r="456" spans="1:9" ht="15" x14ac:dyDescent="0.2">
      <c r="A456" s="953">
        <v>427</v>
      </c>
      <c r="B456" s="977" t="s">
        <v>2889</v>
      </c>
      <c r="C456" s="952" t="s">
        <v>3503</v>
      </c>
      <c r="D456" s="952" t="s">
        <v>3933</v>
      </c>
      <c r="E456" s="953"/>
      <c r="F456" s="954"/>
      <c r="G456" s="954"/>
      <c r="H456" s="954"/>
      <c r="I456" s="953"/>
    </row>
    <row r="457" spans="1:9" ht="25.5" x14ac:dyDescent="0.2">
      <c r="A457" s="953">
        <v>428</v>
      </c>
      <c r="B457" s="953" t="s">
        <v>3657</v>
      </c>
      <c r="C457" s="952" t="s">
        <v>3503</v>
      </c>
      <c r="D457" s="952" t="s">
        <v>2586</v>
      </c>
      <c r="E457" s="959" t="s">
        <v>4764</v>
      </c>
      <c r="F457" s="954" t="s">
        <v>3907</v>
      </c>
      <c r="G457" s="954"/>
      <c r="H457" s="954"/>
      <c r="I457" s="953"/>
    </row>
    <row r="458" spans="1:9" x14ac:dyDescent="0.2">
      <c r="A458" s="953">
        <v>429</v>
      </c>
      <c r="B458" s="953" t="s">
        <v>2609</v>
      </c>
      <c r="C458" s="952" t="s">
        <v>3503</v>
      </c>
      <c r="D458" s="952" t="s">
        <v>3996</v>
      </c>
      <c r="E458" s="953"/>
      <c r="F458" s="954"/>
      <c r="G458" s="954"/>
      <c r="H458" s="954"/>
      <c r="I458" s="953"/>
    </row>
    <row r="459" spans="1:9" ht="15" x14ac:dyDescent="0.2">
      <c r="A459" s="953">
        <v>430</v>
      </c>
      <c r="B459" s="977" t="s">
        <v>2253</v>
      </c>
      <c r="C459" s="952" t="s">
        <v>3503</v>
      </c>
      <c r="D459" s="952" t="s">
        <v>3997</v>
      </c>
      <c r="E459" s="953"/>
      <c r="F459" s="954"/>
      <c r="G459" s="954"/>
      <c r="H459" s="954"/>
      <c r="I459" s="953"/>
    </row>
    <row r="460" spans="1:9" ht="25.5" x14ac:dyDescent="0.2">
      <c r="A460" s="953">
        <v>431</v>
      </c>
      <c r="B460" s="977" t="s">
        <v>2848</v>
      </c>
      <c r="C460" s="952" t="s">
        <v>3503</v>
      </c>
      <c r="D460" s="952" t="s">
        <v>4001</v>
      </c>
      <c r="E460" s="959" t="s">
        <v>4760</v>
      </c>
      <c r="F460" s="954" t="s">
        <v>3907</v>
      </c>
      <c r="G460" s="954"/>
      <c r="H460" s="954"/>
      <c r="I460" s="953"/>
    </row>
    <row r="461" spans="1:9" ht="15" x14ac:dyDescent="0.2">
      <c r="A461" s="953">
        <v>432</v>
      </c>
      <c r="B461" s="977" t="s">
        <v>2548</v>
      </c>
      <c r="C461" s="952" t="s">
        <v>3503</v>
      </c>
      <c r="D461" s="952" t="s">
        <v>4002</v>
      </c>
      <c r="E461" s="953"/>
      <c r="F461" s="954"/>
      <c r="G461" s="954"/>
      <c r="H461" s="954"/>
      <c r="I461" s="953"/>
    </row>
    <row r="462" spans="1:9" ht="25.5" x14ac:dyDescent="0.2">
      <c r="A462" s="953">
        <v>433</v>
      </c>
      <c r="B462" s="977" t="s">
        <v>2835</v>
      </c>
      <c r="C462" s="952" t="s">
        <v>3503</v>
      </c>
      <c r="D462" s="952" t="s">
        <v>4004</v>
      </c>
      <c r="E462" s="959" t="s">
        <v>4759</v>
      </c>
      <c r="F462" s="960" t="s">
        <v>3907</v>
      </c>
      <c r="G462" s="954"/>
      <c r="H462" s="954"/>
      <c r="I462" s="953"/>
    </row>
    <row r="463" spans="1:9" ht="25.5" x14ac:dyDescent="0.2">
      <c r="A463" s="953">
        <v>434</v>
      </c>
      <c r="B463" s="977" t="s">
        <v>3554</v>
      </c>
      <c r="C463" s="952" t="s">
        <v>3503</v>
      </c>
      <c r="D463" s="952" t="s">
        <v>4005</v>
      </c>
      <c r="E463" s="959" t="s">
        <v>4019</v>
      </c>
      <c r="F463" s="960" t="s">
        <v>3485</v>
      </c>
      <c r="G463" s="954"/>
      <c r="H463" s="954"/>
      <c r="I463" s="953"/>
    </row>
    <row r="464" spans="1:9" ht="38.25" x14ac:dyDescent="0.2">
      <c r="A464" s="953">
        <v>435</v>
      </c>
      <c r="B464" s="977" t="s">
        <v>3664</v>
      </c>
      <c r="C464" s="952" t="s">
        <v>3503</v>
      </c>
      <c r="D464" s="952" t="s">
        <v>4015</v>
      </c>
      <c r="E464" s="959" t="s">
        <v>4016</v>
      </c>
      <c r="F464" s="960" t="s">
        <v>3485</v>
      </c>
      <c r="G464" s="954"/>
      <c r="H464" s="954"/>
      <c r="I464" s="953"/>
    </row>
    <row r="465" spans="1:9" ht="25.5" x14ac:dyDescent="0.2">
      <c r="A465" s="953">
        <v>436</v>
      </c>
      <c r="B465" s="977" t="s">
        <v>2931</v>
      </c>
      <c r="C465" s="952" t="s">
        <v>3503</v>
      </c>
      <c r="D465" s="952" t="s">
        <v>4017</v>
      </c>
      <c r="E465" s="959" t="s">
        <v>4018</v>
      </c>
      <c r="F465" s="960" t="s">
        <v>3485</v>
      </c>
      <c r="G465" s="954"/>
      <c r="H465" s="954"/>
      <c r="I465" s="953"/>
    </row>
    <row r="466" spans="1:9" ht="25.5" x14ac:dyDescent="0.2">
      <c r="A466" s="953">
        <v>437</v>
      </c>
      <c r="B466" s="977" t="s">
        <v>2952</v>
      </c>
      <c r="C466" s="952" t="s">
        <v>3503</v>
      </c>
      <c r="D466" s="952" t="s">
        <v>4020</v>
      </c>
      <c r="E466" s="959" t="s">
        <v>4021</v>
      </c>
      <c r="F466" s="960" t="s">
        <v>3485</v>
      </c>
      <c r="G466" s="954"/>
      <c r="H466" s="954"/>
      <c r="I466" s="953"/>
    </row>
    <row r="467" spans="1:9" ht="25.5" x14ac:dyDescent="0.2">
      <c r="A467" s="953">
        <v>438</v>
      </c>
      <c r="B467" s="977" t="s">
        <v>3592</v>
      </c>
      <c r="C467" s="952" t="s">
        <v>3503</v>
      </c>
      <c r="D467" s="952" t="s">
        <v>4022</v>
      </c>
      <c r="E467" s="959" t="s">
        <v>4023</v>
      </c>
      <c r="F467" s="960" t="s">
        <v>3485</v>
      </c>
      <c r="G467" s="954"/>
      <c r="H467" s="954"/>
      <c r="I467" s="953"/>
    </row>
    <row r="468" spans="1:9" ht="15" x14ac:dyDescent="0.2">
      <c r="A468" s="953">
        <v>439</v>
      </c>
      <c r="B468" s="977" t="s">
        <v>4025</v>
      </c>
      <c r="C468" s="952" t="s">
        <v>3503</v>
      </c>
      <c r="D468" s="952" t="s">
        <v>73</v>
      </c>
      <c r="E468" s="953"/>
      <c r="F468" s="960"/>
      <c r="G468" s="954"/>
      <c r="H468" s="954"/>
      <c r="I468" s="953"/>
    </row>
    <row r="469" spans="1:9" ht="15" x14ac:dyDescent="0.2">
      <c r="A469" s="953">
        <v>440</v>
      </c>
      <c r="B469" s="977" t="s">
        <v>23</v>
      </c>
      <c r="C469" s="952" t="s">
        <v>3503</v>
      </c>
      <c r="D469" s="952" t="s">
        <v>3905</v>
      </c>
      <c r="E469" s="953"/>
      <c r="F469" s="960"/>
      <c r="G469" s="954"/>
      <c r="H469" s="954"/>
      <c r="I469" s="953"/>
    </row>
    <row r="470" spans="1:9" ht="15" x14ac:dyDescent="0.2">
      <c r="A470" s="953">
        <v>441</v>
      </c>
      <c r="B470" s="977" t="s">
        <v>225</v>
      </c>
      <c r="C470" s="952" t="s">
        <v>3503</v>
      </c>
      <c r="D470" s="952" t="s">
        <v>4026</v>
      </c>
      <c r="E470" s="953"/>
      <c r="F470" s="960"/>
      <c r="G470" s="954"/>
      <c r="H470" s="954"/>
      <c r="I470" s="953"/>
    </row>
    <row r="471" spans="1:9" ht="15" x14ac:dyDescent="0.2">
      <c r="A471" s="953">
        <v>442</v>
      </c>
      <c r="B471" s="977" t="s">
        <v>214</v>
      </c>
      <c r="C471" s="952" t="s">
        <v>3503</v>
      </c>
      <c r="D471" s="952" t="s">
        <v>4029</v>
      </c>
      <c r="E471" s="953"/>
      <c r="F471" s="960"/>
      <c r="G471" s="954"/>
      <c r="H471" s="954"/>
      <c r="I471" s="953"/>
    </row>
    <row r="472" spans="1:9" ht="38.25" x14ac:dyDescent="0.2">
      <c r="A472" s="953">
        <v>443</v>
      </c>
      <c r="B472" s="953" t="s">
        <v>59</v>
      </c>
      <c r="C472" s="952" t="s">
        <v>3504</v>
      </c>
      <c r="D472" s="952" t="s">
        <v>60</v>
      </c>
      <c r="E472" s="953"/>
      <c r="F472" s="960" t="s">
        <v>3907</v>
      </c>
      <c r="G472" s="960" t="s">
        <v>4037</v>
      </c>
      <c r="H472" s="954"/>
      <c r="I472" s="953"/>
    </row>
    <row r="473" spans="1:9" ht="38.25" x14ac:dyDescent="0.2">
      <c r="A473" s="953">
        <v>444</v>
      </c>
      <c r="B473" s="953" t="s">
        <v>147</v>
      </c>
      <c r="C473" s="952" t="s">
        <v>3504</v>
      </c>
      <c r="D473" s="952" t="s">
        <v>148</v>
      </c>
      <c r="E473" s="953"/>
      <c r="F473" s="960" t="s">
        <v>3907</v>
      </c>
      <c r="G473" s="960" t="s">
        <v>4038</v>
      </c>
      <c r="H473" s="954"/>
      <c r="I473" s="953"/>
    </row>
    <row r="474" spans="1:9" ht="25.5" x14ac:dyDescent="0.2">
      <c r="A474" s="953">
        <v>445</v>
      </c>
      <c r="B474" s="977" t="s">
        <v>2870</v>
      </c>
      <c r="C474" s="952" t="s">
        <v>3503</v>
      </c>
      <c r="D474" s="956" t="s">
        <v>1031</v>
      </c>
      <c r="E474" s="953"/>
      <c r="F474" s="960" t="s">
        <v>3907</v>
      </c>
      <c r="G474" s="954"/>
      <c r="H474" s="954"/>
      <c r="I474" s="953"/>
    </row>
    <row r="475" spans="1:9" ht="25.5" x14ac:dyDescent="0.2">
      <c r="A475" s="953">
        <v>446</v>
      </c>
      <c r="B475" s="953" t="s">
        <v>2705</v>
      </c>
      <c r="C475" s="952" t="s">
        <v>3503</v>
      </c>
      <c r="D475" s="952" t="s">
        <v>4041</v>
      </c>
      <c r="E475" s="959" t="s">
        <v>4042</v>
      </c>
      <c r="F475" s="960" t="s">
        <v>4043</v>
      </c>
      <c r="G475" s="960" t="s">
        <v>4142</v>
      </c>
      <c r="H475" s="954"/>
      <c r="I475" s="953"/>
    </row>
    <row r="476" spans="1:9" ht="25.5" x14ac:dyDescent="0.2">
      <c r="A476" s="953">
        <v>447</v>
      </c>
      <c r="B476" s="953" t="s">
        <v>2799</v>
      </c>
      <c r="C476" s="952" t="s">
        <v>3504</v>
      </c>
      <c r="D476" s="952" t="s">
        <v>4044</v>
      </c>
      <c r="E476" s="981" t="s">
        <v>4049</v>
      </c>
      <c r="F476" s="960" t="s">
        <v>4043</v>
      </c>
      <c r="G476" s="954"/>
      <c r="H476" s="954"/>
      <c r="I476" s="953"/>
    </row>
    <row r="477" spans="1:9" ht="25.5" x14ac:dyDescent="0.2">
      <c r="A477" s="953">
        <v>448</v>
      </c>
      <c r="B477" s="977" t="s">
        <v>2880</v>
      </c>
      <c r="C477" s="952" t="s">
        <v>3503</v>
      </c>
      <c r="D477" s="952" t="s">
        <v>4045</v>
      </c>
      <c r="E477" s="959" t="s">
        <v>4046</v>
      </c>
      <c r="F477" s="960" t="s">
        <v>4043</v>
      </c>
      <c r="G477" s="954"/>
      <c r="H477" s="954"/>
      <c r="I477" s="953"/>
    </row>
    <row r="478" spans="1:9" ht="24" customHeight="1" x14ac:dyDescent="0.2">
      <c r="A478" s="953">
        <v>449</v>
      </c>
      <c r="B478" s="977" t="s">
        <v>3721</v>
      </c>
      <c r="C478" s="952" t="s">
        <v>3503</v>
      </c>
      <c r="D478" s="952" t="s">
        <v>4048</v>
      </c>
      <c r="E478" s="959" t="s">
        <v>4052</v>
      </c>
      <c r="F478" s="954" t="s">
        <v>3907</v>
      </c>
      <c r="G478" s="954"/>
      <c r="H478" s="954"/>
      <c r="I478" s="953"/>
    </row>
    <row r="479" spans="1:9" ht="25.5" x14ac:dyDescent="0.2">
      <c r="A479" s="953">
        <v>450</v>
      </c>
      <c r="B479" s="953" t="s">
        <v>39</v>
      </c>
      <c r="C479" s="952" t="s">
        <v>3503</v>
      </c>
      <c r="D479" s="952" t="s">
        <v>3103</v>
      </c>
      <c r="E479" s="959" t="s">
        <v>4051</v>
      </c>
      <c r="F479" s="954" t="s">
        <v>4043</v>
      </c>
      <c r="G479" s="954"/>
      <c r="H479" s="954"/>
      <c r="I479" s="953"/>
    </row>
    <row r="480" spans="1:9" ht="25.5" x14ac:dyDescent="0.2">
      <c r="A480" s="953">
        <v>451</v>
      </c>
      <c r="B480" s="977" t="s">
        <v>2664</v>
      </c>
      <c r="C480" s="952" t="s">
        <v>3503</v>
      </c>
      <c r="D480" s="952" t="s">
        <v>29</v>
      </c>
      <c r="E480" s="959" t="s">
        <v>4055</v>
      </c>
      <c r="F480" s="954" t="s">
        <v>4043</v>
      </c>
      <c r="G480" s="954"/>
      <c r="H480" s="954"/>
      <c r="I480" s="953"/>
    </row>
    <row r="481" spans="1:9" ht="15" x14ac:dyDescent="0.2">
      <c r="A481" s="953">
        <v>452</v>
      </c>
      <c r="B481" s="977" t="s">
        <v>3580</v>
      </c>
      <c r="C481" s="952" t="s">
        <v>3503</v>
      </c>
      <c r="D481" s="952" t="s">
        <v>4056</v>
      </c>
      <c r="E481" s="953"/>
      <c r="F481" s="954"/>
      <c r="G481" s="954"/>
      <c r="H481" s="954"/>
      <c r="I481" s="953"/>
    </row>
    <row r="482" spans="1:9" ht="15" x14ac:dyDescent="0.2">
      <c r="A482" s="953">
        <v>453</v>
      </c>
      <c r="B482" s="977" t="s">
        <v>3001</v>
      </c>
      <c r="C482" s="952" t="s">
        <v>3503</v>
      </c>
      <c r="D482" s="952" t="s">
        <v>1599</v>
      </c>
      <c r="E482" s="953"/>
      <c r="F482" s="954"/>
      <c r="G482" s="954"/>
      <c r="H482" s="954"/>
      <c r="I482" s="953"/>
    </row>
    <row r="483" spans="1:9" ht="15" x14ac:dyDescent="0.2">
      <c r="A483" s="953">
        <v>454</v>
      </c>
      <c r="B483" s="977" t="s">
        <v>54</v>
      </c>
      <c r="C483" s="952" t="s">
        <v>3503</v>
      </c>
      <c r="D483" s="952" t="s">
        <v>3420</v>
      </c>
      <c r="E483" s="953"/>
      <c r="F483" s="954"/>
      <c r="G483" s="954"/>
      <c r="H483" s="954"/>
      <c r="I483" s="953"/>
    </row>
    <row r="484" spans="1:9" ht="15" x14ac:dyDescent="0.2">
      <c r="A484" s="953">
        <v>455</v>
      </c>
      <c r="B484" s="977" t="s">
        <v>136</v>
      </c>
      <c r="C484" s="952" t="s">
        <v>3503</v>
      </c>
      <c r="D484" s="952" t="s">
        <v>4064</v>
      </c>
      <c r="E484" s="953"/>
      <c r="F484" s="954"/>
      <c r="G484" s="954"/>
      <c r="H484" s="954"/>
      <c r="I484" s="953"/>
    </row>
    <row r="485" spans="1:9" ht="15" x14ac:dyDescent="0.2">
      <c r="A485" s="953">
        <v>456</v>
      </c>
      <c r="B485" s="977" t="s">
        <v>178</v>
      </c>
      <c r="C485" s="952" t="s">
        <v>3503</v>
      </c>
      <c r="D485" s="952" t="s">
        <v>3172</v>
      </c>
      <c r="E485" s="953"/>
      <c r="F485" s="954"/>
      <c r="G485" s="954"/>
      <c r="H485" s="954"/>
      <c r="I485" s="953"/>
    </row>
    <row r="486" spans="1:9" ht="15" x14ac:dyDescent="0.2">
      <c r="A486" s="953">
        <v>457</v>
      </c>
      <c r="B486" s="977" t="s">
        <v>119</v>
      </c>
      <c r="C486" s="952" t="s">
        <v>3503</v>
      </c>
      <c r="D486" s="952" t="s">
        <v>398</v>
      </c>
      <c r="E486" s="953"/>
      <c r="F486" s="954"/>
      <c r="G486" s="954"/>
      <c r="H486" s="954"/>
      <c r="I486" s="953"/>
    </row>
    <row r="487" spans="1:9" ht="15" x14ac:dyDescent="0.2">
      <c r="A487" s="953">
        <v>458</v>
      </c>
      <c r="B487" s="977" t="s">
        <v>129</v>
      </c>
      <c r="C487" s="952" t="s">
        <v>3503</v>
      </c>
      <c r="D487" s="952" t="s">
        <v>1019</v>
      </c>
      <c r="E487" s="953"/>
      <c r="F487" s="954"/>
      <c r="G487" s="954"/>
      <c r="H487" s="954"/>
      <c r="I487" s="953"/>
    </row>
    <row r="488" spans="1:9" ht="15" x14ac:dyDescent="0.2">
      <c r="A488" s="953">
        <v>459</v>
      </c>
      <c r="B488" s="977" t="s">
        <v>207</v>
      </c>
      <c r="C488" s="952" t="s">
        <v>3503</v>
      </c>
      <c r="D488" s="952" t="s">
        <v>3582</v>
      </c>
      <c r="E488" s="953"/>
      <c r="F488" s="960"/>
      <c r="G488" s="954"/>
      <c r="H488" s="954"/>
      <c r="I488" s="953"/>
    </row>
    <row r="489" spans="1:9" ht="15" x14ac:dyDescent="0.2">
      <c r="A489" s="953">
        <v>460</v>
      </c>
      <c r="B489" s="977" t="s">
        <v>599</v>
      </c>
      <c r="C489" s="952" t="s">
        <v>3503</v>
      </c>
      <c r="D489" s="952" t="s">
        <v>4070</v>
      </c>
      <c r="E489" s="953"/>
      <c r="F489" s="960"/>
      <c r="G489" s="954"/>
      <c r="H489" s="954"/>
      <c r="I489" s="953"/>
    </row>
    <row r="490" spans="1:9" ht="15" x14ac:dyDescent="0.2">
      <c r="A490" s="953">
        <v>461</v>
      </c>
      <c r="B490" s="977" t="s">
        <v>61</v>
      </c>
      <c r="C490" s="952" t="s">
        <v>3503</v>
      </c>
      <c r="D490" s="952" t="s">
        <v>436</v>
      </c>
      <c r="E490" s="953"/>
      <c r="F490" s="960"/>
      <c r="G490" s="954"/>
      <c r="H490" s="954"/>
      <c r="I490" s="953"/>
    </row>
    <row r="491" spans="1:9" ht="15" x14ac:dyDescent="0.2">
      <c r="A491" s="953">
        <v>462</v>
      </c>
      <c r="B491" s="977" t="s">
        <v>216</v>
      </c>
      <c r="C491" s="952" t="s">
        <v>3503</v>
      </c>
      <c r="D491" s="952" t="s">
        <v>4073</v>
      </c>
      <c r="E491" s="953"/>
      <c r="F491" s="960"/>
      <c r="G491" s="954"/>
      <c r="H491" s="954"/>
      <c r="I491" s="953"/>
    </row>
    <row r="492" spans="1:9" ht="15" x14ac:dyDescent="0.2">
      <c r="A492" s="953">
        <v>463</v>
      </c>
      <c r="B492" s="977" t="s">
        <v>116</v>
      </c>
      <c r="C492" s="952" t="s">
        <v>3503</v>
      </c>
      <c r="D492" s="952" t="s">
        <v>418</v>
      </c>
      <c r="E492" s="953"/>
      <c r="F492" s="960"/>
      <c r="G492" s="954"/>
      <c r="H492" s="954"/>
      <c r="I492" s="953"/>
    </row>
    <row r="493" spans="1:9" ht="15" x14ac:dyDescent="0.2">
      <c r="A493" s="953">
        <v>464</v>
      </c>
      <c r="B493" s="977" t="s">
        <v>589</v>
      </c>
      <c r="C493" s="952" t="s">
        <v>3503</v>
      </c>
      <c r="D493" s="952" t="s">
        <v>426</v>
      </c>
      <c r="E493" s="953"/>
      <c r="F493" s="960"/>
      <c r="G493" s="954"/>
      <c r="H493" s="954"/>
      <c r="I493" s="953"/>
    </row>
    <row r="494" spans="1:9" ht="15" x14ac:dyDescent="0.2">
      <c r="A494" s="953">
        <v>465</v>
      </c>
      <c r="B494" s="977" t="s">
        <v>112</v>
      </c>
      <c r="C494" s="952" t="s">
        <v>3503</v>
      </c>
      <c r="D494" s="952" t="s">
        <v>430</v>
      </c>
      <c r="E494" s="953"/>
      <c r="F494" s="960"/>
      <c r="G494" s="954"/>
      <c r="H494" s="954"/>
      <c r="I494" s="953"/>
    </row>
    <row r="495" spans="1:9" ht="25.5" x14ac:dyDescent="0.2">
      <c r="A495" s="953">
        <v>466</v>
      </c>
      <c r="B495" s="953" t="s">
        <v>3754</v>
      </c>
      <c r="C495" s="952" t="s">
        <v>3504</v>
      </c>
      <c r="D495" s="952" t="s">
        <v>4094</v>
      </c>
      <c r="E495" s="959" t="s">
        <v>4095</v>
      </c>
      <c r="F495" s="960" t="s">
        <v>3485</v>
      </c>
      <c r="G495" s="954"/>
      <c r="H495" s="954"/>
      <c r="I495" s="953"/>
    </row>
    <row r="496" spans="1:9" ht="25.5" x14ac:dyDescent="0.2">
      <c r="A496" s="953">
        <v>467</v>
      </c>
      <c r="B496" s="953" t="s">
        <v>3617</v>
      </c>
      <c r="C496" s="952" t="s">
        <v>3503</v>
      </c>
      <c r="D496" s="952" t="s">
        <v>4096</v>
      </c>
      <c r="E496" s="959" t="s">
        <v>4097</v>
      </c>
      <c r="F496" s="960" t="s">
        <v>3485</v>
      </c>
      <c r="G496" s="954"/>
      <c r="H496" s="954"/>
      <c r="I496" s="953"/>
    </row>
    <row r="497" spans="1:9" ht="25.5" x14ac:dyDescent="0.2">
      <c r="A497" s="953">
        <v>468</v>
      </c>
      <c r="B497" s="977" t="s">
        <v>2825</v>
      </c>
      <c r="C497" s="952" t="s">
        <v>3503</v>
      </c>
      <c r="D497" s="952" t="s">
        <v>3158</v>
      </c>
      <c r="E497" s="959" t="s">
        <v>4098</v>
      </c>
      <c r="F497" s="960" t="s">
        <v>3485</v>
      </c>
      <c r="G497" s="954"/>
      <c r="H497" s="954"/>
      <c r="I497" s="953"/>
    </row>
    <row r="498" spans="1:9" ht="25.5" x14ac:dyDescent="0.2">
      <c r="A498" s="953">
        <v>469</v>
      </c>
      <c r="B498" s="953" t="s">
        <v>2631</v>
      </c>
      <c r="C498" s="952" t="s">
        <v>3504</v>
      </c>
      <c r="D498" s="952" t="s">
        <v>4099</v>
      </c>
      <c r="E498" s="959" t="s">
        <v>4100</v>
      </c>
      <c r="F498" s="960" t="s">
        <v>3485</v>
      </c>
      <c r="G498" s="954"/>
      <c r="H498" s="954"/>
      <c r="I498" s="953"/>
    </row>
    <row r="499" spans="1:9" ht="25.5" x14ac:dyDescent="0.2">
      <c r="A499" s="953">
        <v>470</v>
      </c>
      <c r="B499" s="977" t="s">
        <v>3541</v>
      </c>
      <c r="C499" s="952" t="s">
        <v>3503</v>
      </c>
      <c r="D499" s="952" t="s">
        <v>4101</v>
      </c>
      <c r="E499" s="959" t="s">
        <v>4102</v>
      </c>
      <c r="F499" s="960" t="s">
        <v>3485</v>
      </c>
      <c r="G499" s="954"/>
      <c r="H499" s="954"/>
      <c r="I499" s="953"/>
    </row>
    <row r="500" spans="1:9" ht="25.5" x14ac:dyDescent="0.2">
      <c r="A500" s="953">
        <v>471</v>
      </c>
      <c r="B500" s="953" t="s">
        <v>2990</v>
      </c>
      <c r="C500" s="952" t="s">
        <v>3503</v>
      </c>
      <c r="D500" s="952" t="s">
        <v>4103</v>
      </c>
      <c r="E500" s="959" t="s">
        <v>4104</v>
      </c>
      <c r="F500" s="960" t="s">
        <v>3485</v>
      </c>
      <c r="G500" s="954"/>
      <c r="H500" s="954"/>
      <c r="I500" s="953"/>
    </row>
    <row r="501" spans="1:9" ht="25.5" x14ac:dyDescent="0.2">
      <c r="A501" s="953">
        <v>472</v>
      </c>
      <c r="B501" s="953" t="s">
        <v>3899</v>
      </c>
      <c r="C501" s="952" t="s">
        <v>3503</v>
      </c>
      <c r="D501" s="952" t="s">
        <v>4105</v>
      </c>
      <c r="E501" s="959" t="s">
        <v>4106</v>
      </c>
      <c r="F501" s="960" t="s">
        <v>3485</v>
      </c>
      <c r="G501" s="960" t="s">
        <v>4143</v>
      </c>
      <c r="H501" s="954"/>
      <c r="I501" s="953"/>
    </row>
    <row r="502" spans="1:9" ht="25.5" x14ac:dyDescent="0.2">
      <c r="A502" s="953">
        <v>473</v>
      </c>
      <c r="B502" s="977" t="s">
        <v>2821</v>
      </c>
      <c r="C502" s="952" t="s">
        <v>3503</v>
      </c>
      <c r="D502" s="952" t="s">
        <v>4107</v>
      </c>
      <c r="E502" s="959" t="s">
        <v>4108</v>
      </c>
      <c r="F502" s="960" t="s">
        <v>3485</v>
      </c>
      <c r="G502" s="960" t="s">
        <v>4144</v>
      </c>
      <c r="H502" s="959" t="s">
        <v>4319</v>
      </c>
      <c r="I502" s="953" t="s">
        <v>3907</v>
      </c>
    </row>
    <row r="503" spans="1:9" ht="25.5" x14ac:dyDescent="0.2">
      <c r="A503" s="953">
        <v>474</v>
      </c>
      <c r="B503" s="977" t="s">
        <v>2564</v>
      </c>
      <c r="C503" s="952" t="s">
        <v>3503</v>
      </c>
      <c r="D503" s="952" t="s">
        <v>144</v>
      </c>
      <c r="E503" s="981" t="s">
        <v>4109</v>
      </c>
      <c r="F503" s="960" t="s">
        <v>3485</v>
      </c>
      <c r="G503" s="954"/>
      <c r="H503" s="954"/>
      <c r="I503" s="960" t="s">
        <v>3485</v>
      </c>
    </row>
    <row r="504" spans="1:9" ht="25.5" x14ac:dyDescent="0.2">
      <c r="A504" s="953">
        <v>475</v>
      </c>
      <c r="B504" s="977" t="s">
        <v>3831</v>
      </c>
      <c r="C504" s="952" t="s">
        <v>3503</v>
      </c>
      <c r="D504" s="952" t="s">
        <v>4110</v>
      </c>
      <c r="E504" s="959" t="s">
        <v>4111</v>
      </c>
      <c r="F504" s="960" t="s">
        <v>3485</v>
      </c>
      <c r="G504" s="954"/>
      <c r="H504" s="954"/>
      <c r="I504" s="960" t="s">
        <v>3485</v>
      </c>
    </row>
    <row r="505" spans="1:9" ht="25.5" x14ac:dyDescent="0.2">
      <c r="A505" s="953">
        <v>476</v>
      </c>
      <c r="B505" s="977" t="s">
        <v>3773</v>
      </c>
      <c r="C505" s="952" t="s">
        <v>3503</v>
      </c>
      <c r="D505" s="952" t="s">
        <v>4048</v>
      </c>
      <c r="E505" s="959" t="s">
        <v>4137</v>
      </c>
      <c r="F505" s="960" t="s">
        <v>3907</v>
      </c>
      <c r="G505" s="954"/>
      <c r="H505" s="954"/>
      <c r="I505" s="960" t="s">
        <v>3907</v>
      </c>
    </row>
    <row r="506" spans="1:9" ht="25.5" x14ac:dyDescent="0.2">
      <c r="A506" s="953">
        <v>477</v>
      </c>
      <c r="B506" s="977" t="s">
        <v>3647</v>
      </c>
      <c r="C506" s="952" t="s">
        <v>3503</v>
      </c>
      <c r="D506" s="952" t="s">
        <v>3648</v>
      </c>
      <c r="E506" s="959" t="s">
        <v>4138</v>
      </c>
      <c r="F506" s="960" t="s">
        <v>3907</v>
      </c>
      <c r="G506" s="954"/>
      <c r="H506" s="954"/>
      <c r="I506" s="960" t="s">
        <v>3907</v>
      </c>
    </row>
    <row r="507" spans="1:9" ht="25.5" x14ac:dyDescent="0.2">
      <c r="A507" s="953">
        <v>478</v>
      </c>
      <c r="B507" s="977" t="s">
        <v>2856</v>
      </c>
      <c r="C507" s="952" t="s">
        <v>3503</v>
      </c>
      <c r="D507" s="952" t="s">
        <v>2628</v>
      </c>
      <c r="E507" s="959" t="s">
        <v>4139</v>
      </c>
      <c r="F507" s="960" t="s">
        <v>3907</v>
      </c>
      <c r="G507" s="954"/>
      <c r="H507" s="954"/>
      <c r="I507" s="960" t="s">
        <v>3907</v>
      </c>
    </row>
    <row r="508" spans="1:9" x14ac:dyDescent="0.2">
      <c r="A508" s="953">
        <v>479</v>
      </c>
      <c r="B508" s="953" t="s">
        <v>1586</v>
      </c>
      <c r="C508" s="952" t="s">
        <v>3503</v>
      </c>
      <c r="D508" s="952" t="s">
        <v>4146</v>
      </c>
      <c r="E508" s="953"/>
      <c r="F508" s="960"/>
      <c r="G508" s="954"/>
      <c r="H508" s="954"/>
      <c r="I508" s="953"/>
    </row>
    <row r="509" spans="1:9" ht="25.5" x14ac:dyDescent="0.2">
      <c r="A509" s="953">
        <v>480</v>
      </c>
      <c r="B509" s="1017" t="s">
        <v>2707</v>
      </c>
      <c r="C509" s="864" t="s">
        <v>3503</v>
      </c>
      <c r="D509" s="864" t="s">
        <v>2708</v>
      </c>
      <c r="E509" s="959" t="s">
        <v>4753</v>
      </c>
      <c r="F509" s="960" t="s">
        <v>3907</v>
      </c>
      <c r="G509" s="954"/>
      <c r="H509" s="954"/>
      <c r="I509" s="953"/>
    </row>
    <row r="510" spans="1:9" ht="25.5" x14ac:dyDescent="0.2">
      <c r="A510" s="953">
        <v>481</v>
      </c>
      <c r="B510" s="977" t="s">
        <v>2987</v>
      </c>
      <c r="C510" s="952" t="s">
        <v>3503</v>
      </c>
      <c r="D510" s="952" t="s">
        <v>4284</v>
      </c>
      <c r="E510" s="959" t="s">
        <v>4285</v>
      </c>
      <c r="F510" s="960" t="s">
        <v>3907</v>
      </c>
      <c r="G510" s="954"/>
      <c r="H510" s="954"/>
      <c r="I510" s="960" t="s">
        <v>3907</v>
      </c>
    </row>
    <row r="511" spans="1:9" ht="25.5" x14ac:dyDescent="0.2">
      <c r="A511" s="953">
        <v>482</v>
      </c>
      <c r="B511" s="977" t="s">
        <v>3076</v>
      </c>
      <c r="C511" s="952" t="s">
        <v>3503</v>
      </c>
      <c r="D511" s="952" t="s">
        <v>4286</v>
      </c>
      <c r="E511" s="959" t="s">
        <v>4287</v>
      </c>
      <c r="F511" s="960" t="s">
        <v>3907</v>
      </c>
      <c r="G511" s="954"/>
      <c r="H511" s="954"/>
      <c r="I511" s="960" t="s">
        <v>3907</v>
      </c>
    </row>
    <row r="512" spans="1:9" ht="25.5" x14ac:dyDescent="0.2">
      <c r="A512" s="953">
        <v>483</v>
      </c>
      <c r="B512" s="953" t="s">
        <v>3079</v>
      </c>
      <c r="C512" s="952" t="s">
        <v>3504</v>
      </c>
      <c r="D512" s="952" t="s">
        <v>4288</v>
      </c>
      <c r="E512" s="959" t="s">
        <v>4289</v>
      </c>
      <c r="F512" s="960" t="s">
        <v>3907</v>
      </c>
      <c r="G512" s="954"/>
      <c r="H512" s="954"/>
      <c r="I512" s="953"/>
    </row>
    <row r="513" spans="1:9" ht="25.5" x14ac:dyDescent="0.2">
      <c r="A513" s="953">
        <v>484</v>
      </c>
      <c r="B513" s="977" t="s">
        <v>3779</v>
      </c>
      <c r="C513" s="952" t="s">
        <v>3503</v>
      </c>
      <c r="D513" s="952" t="s">
        <v>4290</v>
      </c>
      <c r="E513" s="959" t="s">
        <v>4291</v>
      </c>
      <c r="F513" s="960" t="s">
        <v>3907</v>
      </c>
      <c r="G513" s="954"/>
      <c r="H513" s="954"/>
      <c r="I513" s="960" t="s">
        <v>3907</v>
      </c>
    </row>
    <row r="514" spans="1:9" ht="15" x14ac:dyDescent="0.2">
      <c r="A514" s="953">
        <v>485</v>
      </c>
      <c r="B514" s="977" t="s">
        <v>2019</v>
      </c>
      <c r="C514" s="952" t="s">
        <v>3503</v>
      </c>
      <c r="D514" s="952" t="s">
        <v>3187</v>
      </c>
      <c r="E514" s="953"/>
      <c r="F514" s="960"/>
      <c r="G514" s="954"/>
      <c r="H514" s="954"/>
      <c r="I514" s="953"/>
    </row>
    <row r="515" spans="1:9" ht="15" x14ac:dyDescent="0.2">
      <c r="A515" s="953">
        <v>486</v>
      </c>
      <c r="B515" s="977" t="s">
        <v>4292</v>
      </c>
      <c r="C515" s="952" t="s">
        <v>3503</v>
      </c>
      <c r="D515" s="952" t="s">
        <v>4293</v>
      </c>
      <c r="E515" s="953"/>
      <c r="F515" s="960"/>
      <c r="G515" s="954"/>
      <c r="H515" s="954"/>
      <c r="I515" s="953"/>
    </row>
    <row r="516" spans="1:9" ht="15" x14ac:dyDescent="0.2">
      <c r="A516" s="953">
        <v>487</v>
      </c>
      <c r="B516" s="977" t="s">
        <v>190</v>
      </c>
      <c r="C516" s="952" t="s">
        <v>3503</v>
      </c>
      <c r="D516" s="952" t="s">
        <v>4294</v>
      </c>
      <c r="E516" s="953"/>
      <c r="F516" s="960"/>
      <c r="G516" s="954"/>
      <c r="H516" s="954"/>
      <c r="I516" s="953"/>
    </row>
    <row r="517" spans="1:9" ht="25.5" x14ac:dyDescent="0.2">
      <c r="A517" s="953">
        <v>488</v>
      </c>
      <c r="B517" s="977" t="s">
        <v>49</v>
      </c>
      <c r="C517" s="952" t="s">
        <v>3503</v>
      </c>
      <c r="D517" s="956" t="s">
        <v>1021</v>
      </c>
      <c r="E517" s="953"/>
      <c r="F517" s="960"/>
      <c r="G517" s="954"/>
      <c r="H517" s="954"/>
      <c r="I517" s="953"/>
    </row>
    <row r="518" spans="1:9" ht="15" x14ac:dyDescent="0.2">
      <c r="A518" s="953">
        <v>489</v>
      </c>
      <c r="B518" s="977" t="s">
        <v>14</v>
      </c>
      <c r="C518" s="952" t="s">
        <v>3503</v>
      </c>
      <c r="D518" s="952" t="s">
        <v>4297</v>
      </c>
      <c r="E518" s="953"/>
      <c r="F518" s="960"/>
      <c r="G518" s="954"/>
      <c r="H518" s="954"/>
      <c r="I518" s="953"/>
    </row>
    <row r="519" spans="1:9" ht="15" x14ac:dyDescent="0.2">
      <c r="A519" s="953">
        <v>490</v>
      </c>
      <c r="B519" s="977" t="s">
        <v>229</v>
      </c>
      <c r="C519" s="952" t="s">
        <v>3503</v>
      </c>
      <c r="D519" s="952" t="s">
        <v>4299</v>
      </c>
      <c r="E519" s="953"/>
      <c r="F519" s="960"/>
      <c r="G519" s="954"/>
      <c r="H519" s="954"/>
      <c r="I519" s="953"/>
    </row>
    <row r="520" spans="1:9" ht="15" x14ac:dyDescent="0.2">
      <c r="A520" s="953">
        <v>491</v>
      </c>
      <c r="B520" s="977" t="s">
        <v>32</v>
      </c>
      <c r="C520" s="952" t="s">
        <v>3503</v>
      </c>
      <c r="D520" s="952" t="s">
        <v>3172</v>
      </c>
      <c r="E520" s="953"/>
      <c r="F520" s="960"/>
      <c r="G520" s="954"/>
      <c r="H520" s="954"/>
      <c r="I520" s="953"/>
    </row>
    <row r="521" spans="1:9" ht="15" x14ac:dyDescent="0.2">
      <c r="A521" s="953">
        <v>492</v>
      </c>
      <c r="B521" s="977" t="s">
        <v>50</v>
      </c>
      <c r="C521" s="952" t="s">
        <v>3503</v>
      </c>
      <c r="D521" s="952" t="s">
        <v>4303</v>
      </c>
      <c r="E521" s="953"/>
      <c r="F521" s="960"/>
      <c r="G521" s="954"/>
      <c r="H521" s="954"/>
      <c r="I521" s="953"/>
    </row>
    <row r="522" spans="1:9" ht="15" x14ac:dyDescent="0.2">
      <c r="A522" s="953">
        <v>493</v>
      </c>
      <c r="B522" s="977" t="s">
        <v>72</v>
      </c>
      <c r="C522" s="952" t="s">
        <v>3503</v>
      </c>
      <c r="D522" s="952" t="s">
        <v>73</v>
      </c>
      <c r="E522" s="953"/>
      <c r="F522" s="960"/>
      <c r="G522" s="954"/>
      <c r="H522" s="954"/>
      <c r="I522" s="953"/>
    </row>
    <row r="523" spans="1:9" ht="15" x14ac:dyDescent="0.2">
      <c r="A523" s="953">
        <v>494</v>
      </c>
      <c r="B523" s="977" t="s">
        <v>17</v>
      </c>
      <c r="C523" s="952" t="s">
        <v>3503</v>
      </c>
      <c r="D523" s="952" t="s">
        <v>18</v>
      </c>
      <c r="E523" s="953"/>
      <c r="F523" s="960"/>
      <c r="G523" s="954"/>
      <c r="H523" s="954"/>
      <c r="I523" s="953"/>
    </row>
    <row r="524" spans="1:9" ht="15" x14ac:dyDescent="0.2">
      <c r="A524" s="953">
        <v>495</v>
      </c>
      <c r="B524" s="977" t="s">
        <v>396</v>
      </c>
      <c r="C524" s="952" t="s">
        <v>3503</v>
      </c>
      <c r="D524" s="952" t="s">
        <v>203</v>
      </c>
      <c r="E524" s="953"/>
      <c r="F524" s="960"/>
      <c r="G524" s="954"/>
      <c r="H524" s="954"/>
      <c r="I524" s="953"/>
    </row>
    <row r="525" spans="1:9" ht="25.5" x14ac:dyDescent="0.2">
      <c r="A525" s="953">
        <v>496</v>
      </c>
      <c r="B525" s="977" t="s">
        <v>62</v>
      </c>
      <c r="C525" s="952" t="s">
        <v>3503</v>
      </c>
      <c r="D525" s="956" t="s">
        <v>1015</v>
      </c>
      <c r="E525" s="953"/>
      <c r="F525" s="960"/>
      <c r="G525" s="954"/>
      <c r="H525" s="954"/>
      <c r="I525" s="953"/>
    </row>
    <row r="526" spans="1:9" ht="25.5" x14ac:dyDescent="0.2">
      <c r="A526" s="953">
        <v>497</v>
      </c>
      <c r="B526" s="977" t="s">
        <v>3693</v>
      </c>
      <c r="C526" s="952" t="s">
        <v>3503</v>
      </c>
      <c r="D526" s="952" t="s">
        <v>3158</v>
      </c>
      <c r="E526" s="959" t="s">
        <v>4427</v>
      </c>
      <c r="F526" s="960" t="s">
        <v>4428</v>
      </c>
      <c r="G526" s="954"/>
      <c r="H526" s="954"/>
      <c r="I526" s="960" t="s">
        <v>4428</v>
      </c>
    </row>
    <row r="527" spans="1:9" ht="25.5" x14ac:dyDescent="0.2">
      <c r="A527" s="953">
        <v>498</v>
      </c>
      <c r="B527" s="977" t="s">
        <v>2826</v>
      </c>
      <c r="C527" s="952" t="s">
        <v>3503</v>
      </c>
      <c r="D527" s="952" t="s">
        <v>4429</v>
      </c>
      <c r="E527" s="959" t="s">
        <v>4430</v>
      </c>
      <c r="F527" s="960" t="s">
        <v>4428</v>
      </c>
      <c r="G527" s="954"/>
      <c r="H527" s="954"/>
      <c r="I527" s="960" t="s">
        <v>4428</v>
      </c>
    </row>
    <row r="528" spans="1:9" ht="25.5" x14ac:dyDescent="0.2">
      <c r="A528" s="953">
        <v>499</v>
      </c>
      <c r="B528" s="977" t="s">
        <v>3969</v>
      </c>
      <c r="C528" s="952" t="s">
        <v>3503</v>
      </c>
      <c r="D528" s="952" t="s">
        <v>3392</v>
      </c>
      <c r="E528" s="959" t="s">
        <v>4779</v>
      </c>
      <c r="F528" s="960"/>
      <c r="G528" s="954"/>
      <c r="H528" s="954"/>
      <c r="I528" s="953"/>
    </row>
    <row r="529" spans="1:9" ht="15" x14ac:dyDescent="0.2">
      <c r="A529" s="953">
        <v>500</v>
      </c>
      <c r="B529" s="977" t="s">
        <v>3056</v>
      </c>
      <c r="C529" s="952" t="s">
        <v>3503</v>
      </c>
      <c r="D529" s="952" t="s">
        <v>4044</v>
      </c>
      <c r="E529" s="953"/>
      <c r="F529" s="960"/>
      <c r="G529" s="954"/>
      <c r="H529" s="954"/>
      <c r="I529" s="953"/>
    </row>
    <row r="530" spans="1:9" ht="25.5" x14ac:dyDescent="0.2">
      <c r="A530" s="953">
        <v>501</v>
      </c>
      <c r="B530" s="977" t="s">
        <v>2884</v>
      </c>
      <c r="C530" s="952" t="s">
        <v>3503</v>
      </c>
      <c r="D530" s="952" t="s">
        <v>4543</v>
      </c>
      <c r="E530" s="959" t="s">
        <v>4769</v>
      </c>
      <c r="F530" s="960" t="s">
        <v>3907</v>
      </c>
      <c r="G530" s="954"/>
      <c r="H530" s="954"/>
      <c r="I530" s="953"/>
    </row>
    <row r="531" spans="1:9" ht="25.5" x14ac:dyDescent="0.2">
      <c r="A531" s="953">
        <v>502</v>
      </c>
      <c r="B531" s="977" t="s">
        <v>2949</v>
      </c>
      <c r="C531" s="952" t="s">
        <v>3503</v>
      </c>
      <c r="D531" s="952" t="s">
        <v>22</v>
      </c>
      <c r="E531" s="959" t="s">
        <v>4766</v>
      </c>
      <c r="F531" s="960" t="s">
        <v>3907</v>
      </c>
      <c r="G531" s="954"/>
      <c r="H531" s="954"/>
      <c r="I531" s="953"/>
    </row>
    <row r="532" spans="1:9" ht="15" x14ac:dyDescent="0.2">
      <c r="A532" s="953">
        <v>503</v>
      </c>
      <c r="B532" s="977" t="s">
        <v>2957</v>
      </c>
      <c r="C532" s="952" t="s">
        <v>3503</v>
      </c>
      <c r="D532" s="952" t="s">
        <v>4544</v>
      </c>
      <c r="E532" s="953"/>
      <c r="F532" s="960"/>
      <c r="G532" s="954"/>
      <c r="H532" s="954"/>
      <c r="I532" s="953"/>
    </row>
    <row r="533" spans="1:9" ht="25.5" x14ac:dyDescent="0.2">
      <c r="A533" s="953">
        <v>504</v>
      </c>
      <c r="B533" s="977" t="s">
        <v>2959</v>
      </c>
      <c r="C533" s="952" t="s">
        <v>3503</v>
      </c>
      <c r="D533" s="952" t="s">
        <v>4545</v>
      </c>
      <c r="E533" s="959" t="s">
        <v>4770</v>
      </c>
      <c r="F533" s="960" t="s">
        <v>3907</v>
      </c>
      <c r="G533" s="954"/>
      <c r="H533" s="954"/>
      <c r="I533" s="960" t="s">
        <v>3907</v>
      </c>
    </row>
    <row r="534" spans="1:9" ht="25.5" x14ac:dyDescent="0.2">
      <c r="A534" s="953">
        <v>505</v>
      </c>
      <c r="B534" s="977" t="s">
        <v>2969</v>
      </c>
      <c r="C534" s="952" t="s">
        <v>3503</v>
      </c>
      <c r="D534" s="952" t="s">
        <v>4044</v>
      </c>
      <c r="E534" s="959" t="s">
        <v>4756</v>
      </c>
      <c r="F534" s="960" t="s">
        <v>3907</v>
      </c>
      <c r="G534" s="954"/>
      <c r="H534" s="954"/>
      <c r="I534" s="960" t="s">
        <v>3907</v>
      </c>
    </row>
    <row r="535" spans="1:9" ht="25.5" x14ac:dyDescent="0.2">
      <c r="A535" s="953">
        <v>506</v>
      </c>
      <c r="B535" s="977" t="s">
        <v>3071</v>
      </c>
      <c r="C535" s="952" t="s">
        <v>3503</v>
      </c>
      <c r="D535" s="952" t="s">
        <v>22</v>
      </c>
      <c r="E535" s="959" t="s">
        <v>4767</v>
      </c>
      <c r="F535" s="954" t="s">
        <v>3907</v>
      </c>
      <c r="G535" s="954"/>
      <c r="H535" s="954"/>
      <c r="I535" s="954" t="s">
        <v>3907</v>
      </c>
    </row>
    <row r="536" spans="1:9" ht="25.5" x14ac:dyDescent="0.2">
      <c r="A536" s="953">
        <v>507</v>
      </c>
      <c r="B536" s="977" t="s">
        <v>3587</v>
      </c>
      <c r="C536" s="952" t="s">
        <v>3503</v>
      </c>
      <c r="D536" s="952" t="s">
        <v>4546</v>
      </c>
      <c r="E536" s="959" t="s">
        <v>4762</v>
      </c>
      <c r="F536" s="954" t="s">
        <v>3907</v>
      </c>
      <c r="G536" s="954"/>
      <c r="H536" s="954"/>
      <c r="I536" s="954" t="s">
        <v>3907</v>
      </c>
    </row>
    <row r="537" spans="1:9" ht="15" x14ac:dyDescent="0.2">
      <c r="A537" s="953">
        <v>508</v>
      </c>
      <c r="B537" s="977" t="s">
        <v>3604</v>
      </c>
      <c r="C537" s="952" t="s">
        <v>3503</v>
      </c>
      <c r="D537" s="952" t="s">
        <v>3527</v>
      </c>
      <c r="E537" s="953"/>
      <c r="F537" s="954" t="s">
        <v>3907</v>
      </c>
      <c r="G537" s="954"/>
      <c r="H537" s="954"/>
      <c r="I537" s="954" t="s">
        <v>3907</v>
      </c>
    </row>
    <row r="538" spans="1:9" ht="15" x14ac:dyDescent="0.2">
      <c r="A538" s="953">
        <v>509</v>
      </c>
      <c r="B538" s="977" t="s">
        <v>3609</v>
      </c>
      <c r="C538" s="952" t="s">
        <v>3503</v>
      </c>
      <c r="D538" s="952" t="s">
        <v>4548</v>
      </c>
      <c r="E538" s="953"/>
      <c r="F538" s="954" t="s">
        <v>3907</v>
      </c>
      <c r="G538" s="954"/>
      <c r="H538" s="954"/>
      <c r="I538" s="954" t="s">
        <v>3907</v>
      </c>
    </row>
    <row r="539" spans="1:9" ht="15" x14ac:dyDescent="0.25">
      <c r="A539" s="953">
        <v>510</v>
      </c>
      <c r="B539" s="984" t="s">
        <v>3621</v>
      </c>
      <c r="C539" s="952" t="s">
        <v>3503</v>
      </c>
      <c r="D539" s="952" t="s">
        <v>4549</v>
      </c>
      <c r="E539" s="953"/>
      <c r="F539" s="954" t="s">
        <v>3907</v>
      </c>
      <c r="G539" s="954"/>
      <c r="H539" s="954"/>
      <c r="I539" s="954" t="s">
        <v>3907</v>
      </c>
    </row>
    <row r="540" spans="1:9" ht="15" x14ac:dyDescent="0.25">
      <c r="A540" s="953">
        <v>511</v>
      </c>
      <c r="B540" s="984" t="s">
        <v>3710</v>
      </c>
      <c r="C540" s="952" t="s">
        <v>3503</v>
      </c>
      <c r="D540" s="952" t="s">
        <v>3816</v>
      </c>
      <c r="E540" s="953"/>
      <c r="F540" s="954" t="s">
        <v>3907</v>
      </c>
      <c r="G540" s="954"/>
      <c r="H540" s="954"/>
      <c r="I540" s="954" t="s">
        <v>3907</v>
      </c>
    </row>
    <row r="541" spans="1:9" ht="25.5" x14ac:dyDescent="0.2">
      <c r="A541" s="953">
        <v>512</v>
      </c>
      <c r="B541" s="1032" t="s">
        <v>3842</v>
      </c>
      <c r="C541" s="952" t="s">
        <v>3504</v>
      </c>
      <c r="D541" s="952" t="s">
        <v>4550</v>
      </c>
      <c r="E541" s="959" t="s">
        <v>4782</v>
      </c>
      <c r="F541" s="954" t="s">
        <v>3907</v>
      </c>
      <c r="G541" s="954"/>
      <c r="H541" s="954"/>
      <c r="I541" s="953"/>
    </row>
    <row r="542" spans="1:9" ht="15" x14ac:dyDescent="0.25">
      <c r="A542" s="953">
        <v>513</v>
      </c>
      <c r="B542" s="984" t="s">
        <v>91</v>
      </c>
      <c r="C542" s="952" t="s">
        <v>3504</v>
      </c>
      <c r="D542" s="952" t="s">
        <v>1032</v>
      </c>
      <c r="E542" s="953"/>
      <c r="F542" s="954"/>
      <c r="G542" s="954"/>
      <c r="H542" s="954"/>
      <c r="I542" s="953"/>
    </row>
    <row r="543" spans="1:9" ht="15" x14ac:dyDescent="0.25">
      <c r="A543" s="953">
        <v>514</v>
      </c>
      <c r="B543" s="984" t="s">
        <v>3799</v>
      </c>
      <c r="C543" s="952" t="s">
        <v>3503</v>
      </c>
      <c r="D543" s="952" t="s">
        <v>4551</v>
      </c>
      <c r="E543" s="953"/>
      <c r="F543" s="954" t="s">
        <v>3532</v>
      </c>
      <c r="G543" s="954"/>
      <c r="H543" s="954"/>
      <c r="I543" s="954" t="s">
        <v>3532</v>
      </c>
    </row>
    <row r="544" spans="1:9" ht="25.5" x14ac:dyDescent="0.25">
      <c r="A544" s="953">
        <v>515</v>
      </c>
      <c r="B544" s="984" t="s">
        <v>3766</v>
      </c>
      <c r="C544" s="952" t="s">
        <v>3503</v>
      </c>
      <c r="D544" s="952" t="s">
        <v>4552</v>
      </c>
      <c r="E544" s="959" t="s">
        <v>4763</v>
      </c>
      <c r="F544" s="954"/>
      <c r="G544" s="954"/>
      <c r="H544" s="954"/>
      <c r="I544" s="953" t="s">
        <v>3907</v>
      </c>
    </row>
    <row r="545" spans="1:9" ht="15" x14ac:dyDescent="0.25">
      <c r="A545" s="953">
        <v>516</v>
      </c>
      <c r="B545" s="984" t="s">
        <v>2858</v>
      </c>
      <c r="C545" s="952" t="s">
        <v>3503</v>
      </c>
      <c r="D545" s="952" t="s">
        <v>4563</v>
      </c>
      <c r="E545" s="953"/>
      <c r="F545" s="954"/>
      <c r="G545" s="954"/>
      <c r="H545" s="954"/>
      <c r="I545" s="953" t="s">
        <v>3907</v>
      </c>
    </row>
    <row r="546" spans="1:9" ht="25.5" x14ac:dyDescent="0.2">
      <c r="A546" s="953">
        <v>517</v>
      </c>
      <c r="B546" s="1032" t="s">
        <v>2942</v>
      </c>
      <c r="C546" s="952" t="s">
        <v>3504</v>
      </c>
      <c r="D546" s="952" t="s">
        <v>4564</v>
      </c>
      <c r="E546" s="959" t="s">
        <v>4565</v>
      </c>
      <c r="F546" s="954" t="s">
        <v>3907</v>
      </c>
      <c r="G546" s="954"/>
      <c r="H546" s="954"/>
      <c r="I546" s="953" t="s">
        <v>3907</v>
      </c>
    </row>
    <row r="547" spans="1:9" ht="25.5" x14ac:dyDescent="0.2">
      <c r="A547" s="953">
        <v>518</v>
      </c>
      <c r="B547" s="1032" t="s">
        <v>3519</v>
      </c>
      <c r="C547" s="952" t="s">
        <v>3504</v>
      </c>
      <c r="D547" s="952" t="s">
        <v>3642</v>
      </c>
      <c r="E547" s="959" t="s">
        <v>4566</v>
      </c>
      <c r="F547" s="954" t="s">
        <v>3907</v>
      </c>
      <c r="G547" s="954"/>
      <c r="H547" s="954"/>
      <c r="I547" s="953" t="s">
        <v>3907</v>
      </c>
    </row>
    <row r="548" spans="1:9" ht="25.5" x14ac:dyDescent="0.25">
      <c r="A548" s="953">
        <v>519</v>
      </c>
      <c r="B548" s="984" t="s">
        <v>3889</v>
      </c>
      <c r="C548" s="952" t="s">
        <v>3503</v>
      </c>
      <c r="D548" s="952" t="s">
        <v>4567</v>
      </c>
      <c r="E548" s="959" t="s">
        <v>4568</v>
      </c>
      <c r="F548" s="954" t="s">
        <v>3907</v>
      </c>
      <c r="G548" s="954"/>
      <c r="H548" s="954"/>
      <c r="I548" s="953" t="s">
        <v>3907</v>
      </c>
    </row>
    <row r="549" spans="1:9" ht="25.5" x14ac:dyDescent="0.2">
      <c r="A549" s="953">
        <v>520</v>
      </c>
      <c r="B549" s="1032" t="s">
        <v>2917</v>
      </c>
      <c r="C549" s="952" t="s">
        <v>3504</v>
      </c>
      <c r="D549" s="952" t="s">
        <v>4569</v>
      </c>
      <c r="E549" s="959" t="s">
        <v>4570</v>
      </c>
      <c r="F549" s="954" t="s">
        <v>3907</v>
      </c>
      <c r="G549" s="954"/>
      <c r="H549" s="954"/>
      <c r="I549" s="953" t="s">
        <v>3907</v>
      </c>
    </row>
    <row r="550" spans="1:9" ht="25.5" x14ac:dyDescent="0.25">
      <c r="A550" s="953">
        <v>521</v>
      </c>
      <c r="B550" s="984" t="s">
        <v>3757</v>
      </c>
      <c r="C550" s="952" t="s">
        <v>3503</v>
      </c>
      <c r="D550" s="952" t="s">
        <v>2736</v>
      </c>
      <c r="E550" s="959" t="s">
        <v>4571</v>
      </c>
      <c r="F550" s="954" t="s">
        <v>3907</v>
      </c>
      <c r="G550" s="954"/>
      <c r="H550" s="954"/>
      <c r="I550" s="953" t="s">
        <v>3907</v>
      </c>
    </row>
    <row r="551" spans="1:9" ht="25.5" x14ac:dyDescent="0.2">
      <c r="A551" s="953">
        <v>522</v>
      </c>
      <c r="B551" s="1032" t="s">
        <v>3940</v>
      </c>
      <c r="C551" s="952" t="s">
        <v>3504</v>
      </c>
      <c r="D551" s="952" t="s">
        <v>3939</v>
      </c>
      <c r="E551" s="959" t="s">
        <v>4572</v>
      </c>
      <c r="F551" s="954" t="s">
        <v>3907</v>
      </c>
      <c r="G551" s="954"/>
      <c r="H551" s="954"/>
      <c r="I551" s="953" t="s">
        <v>3907</v>
      </c>
    </row>
    <row r="552" spans="1:9" ht="25.5" x14ac:dyDescent="0.2">
      <c r="A552" s="953">
        <v>523</v>
      </c>
      <c r="B552" s="1032" t="s">
        <v>45</v>
      </c>
      <c r="C552" s="952" t="s">
        <v>3504</v>
      </c>
      <c r="D552" s="952" t="s">
        <v>46</v>
      </c>
      <c r="E552" s="959" t="s">
        <v>4573</v>
      </c>
      <c r="F552" s="954" t="s">
        <v>3907</v>
      </c>
      <c r="G552" s="954"/>
      <c r="H552" s="954"/>
      <c r="I552" s="953" t="s">
        <v>3907</v>
      </c>
    </row>
    <row r="553" spans="1:9" ht="25.5" x14ac:dyDescent="0.2">
      <c r="A553" s="953">
        <v>524</v>
      </c>
      <c r="B553" s="1032" t="s">
        <v>103</v>
      </c>
      <c r="C553" s="952" t="s">
        <v>3504</v>
      </c>
      <c r="D553" s="952" t="s">
        <v>1633</v>
      </c>
      <c r="E553" s="981" t="s">
        <v>4575</v>
      </c>
      <c r="F553" s="954" t="s">
        <v>3907</v>
      </c>
      <c r="G553" s="954"/>
      <c r="H553" s="954"/>
      <c r="I553" s="953" t="s">
        <v>3907</v>
      </c>
    </row>
    <row r="554" spans="1:9" ht="25.5" x14ac:dyDescent="0.2">
      <c r="A554" s="953">
        <v>525</v>
      </c>
      <c r="B554" s="952" t="s">
        <v>34</v>
      </c>
      <c r="C554" s="952" t="s">
        <v>3503</v>
      </c>
      <c r="D554" s="952" t="s">
        <v>1009</v>
      </c>
      <c r="E554" s="959" t="s">
        <v>4576</v>
      </c>
      <c r="F554" s="954" t="s">
        <v>3907</v>
      </c>
      <c r="G554" s="954"/>
      <c r="H554" s="954"/>
      <c r="I554" s="953" t="s">
        <v>3907</v>
      </c>
    </row>
    <row r="555" spans="1:9" ht="25.5" x14ac:dyDescent="0.2">
      <c r="A555" s="953">
        <v>526</v>
      </c>
      <c r="B555" s="952" t="s">
        <v>2887</v>
      </c>
      <c r="C555" s="952" t="s">
        <v>3504</v>
      </c>
      <c r="D555" s="956" t="s">
        <v>3903</v>
      </c>
      <c r="E555" s="959" t="s">
        <v>4577</v>
      </c>
      <c r="F555" s="954" t="s">
        <v>3907</v>
      </c>
      <c r="G555" s="954"/>
      <c r="H555" s="954"/>
      <c r="I555" s="953" t="s">
        <v>3907</v>
      </c>
    </row>
    <row r="556" spans="1:9" ht="15" x14ac:dyDescent="0.25">
      <c r="A556" s="953">
        <v>527</v>
      </c>
      <c r="B556" s="1036" t="s">
        <v>227</v>
      </c>
      <c r="C556" s="952" t="s">
        <v>3503</v>
      </c>
      <c r="D556" s="952" t="s">
        <v>3216</v>
      </c>
      <c r="E556" s="953"/>
      <c r="F556" s="954"/>
      <c r="G556" s="954"/>
      <c r="H556" s="954"/>
      <c r="I556" s="953" t="s">
        <v>3907</v>
      </c>
    </row>
    <row r="557" spans="1:9" ht="15" x14ac:dyDescent="0.25">
      <c r="A557" s="953">
        <v>528</v>
      </c>
      <c r="B557" s="1036" t="s">
        <v>242</v>
      </c>
      <c r="C557" s="952" t="s">
        <v>3503</v>
      </c>
      <c r="D557" s="952" t="s">
        <v>235</v>
      </c>
      <c r="E557" s="953"/>
      <c r="F557" s="954"/>
      <c r="G557" s="954"/>
      <c r="H557" s="954"/>
      <c r="I557" s="953" t="s">
        <v>3907</v>
      </c>
    </row>
    <row r="558" spans="1:9" ht="15" x14ac:dyDescent="0.25">
      <c r="A558" s="953">
        <v>529</v>
      </c>
      <c r="B558" s="1036" t="s">
        <v>167</v>
      </c>
      <c r="C558" s="952" t="s">
        <v>3503</v>
      </c>
      <c r="D558" s="952" t="s">
        <v>4597</v>
      </c>
      <c r="E558" s="953"/>
      <c r="F558" s="954"/>
      <c r="G558" s="954"/>
      <c r="H558" s="954"/>
      <c r="I558" s="953" t="s">
        <v>3907</v>
      </c>
    </row>
    <row r="559" spans="1:9" ht="15" x14ac:dyDescent="0.25">
      <c r="A559" s="953">
        <v>530</v>
      </c>
      <c r="B559" s="1036" t="s">
        <v>93</v>
      </c>
      <c r="C559" s="952" t="s">
        <v>3503</v>
      </c>
      <c r="D559" s="952" t="s">
        <v>3478</v>
      </c>
      <c r="E559" s="953"/>
      <c r="F559" s="954"/>
      <c r="G559" s="954"/>
      <c r="H559" s="954"/>
      <c r="I559" s="953" t="s">
        <v>3907</v>
      </c>
    </row>
    <row r="560" spans="1:9" ht="25.5" x14ac:dyDescent="0.25">
      <c r="A560" s="953">
        <v>531</v>
      </c>
      <c r="B560" s="1036" t="s">
        <v>76</v>
      </c>
      <c r="C560" s="952" t="s">
        <v>3503</v>
      </c>
      <c r="D560" s="952" t="s">
        <v>3187</v>
      </c>
      <c r="E560" s="959" t="s">
        <v>4734</v>
      </c>
      <c r="F560" s="954" t="s">
        <v>3907</v>
      </c>
      <c r="G560" s="954"/>
      <c r="H560" s="954"/>
      <c r="I560" s="953" t="s">
        <v>3907</v>
      </c>
    </row>
    <row r="561" spans="1:9" ht="25.5" x14ac:dyDescent="0.25">
      <c r="A561" s="953">
        <v>532</v>
      </c>
      <c r="B561" s="1036" t="s">
        <v>2470</v>
      </c>
      <c r="C561" s="952" t="s">
        <v>3503</v>
      </c>
      <c r="D561" s="952" t="s">
        <v>1870</v>
      </c>
      <c r="E561" s="959" t="s">
        <v>4750</v>
      </c>
      <c r="F561" s="954" t="s">
        <v>3907</v>
      </c>
      <c r="G561" s="954"/>
      <c r="H561" s="954"/>
      <c r="I561" s="953" t="s">
        <v>3907</v>
      </c>
    </row>
    <row r="562" spans="1:9" ht="25.5" x14ac:dyDescent="0.25">
      <c r="A562" s="953">
        <v>533</v>
      </c>
      <c r="B562" s="1036" t="s">
        <v>2553</v>
      </c>
      <c r="C562" s="952" t="s">
        <v>3503</v>
      </c>
      <c r="D562" s="952" t="s">
        <v>4730</v>
      </c>
      <c r="E562" s="981" t="s">
        <v>4747</v>
      </c>
      <c r="F562" s="954" t="s">
        <v>4748</v>
      </c>
      <c r="G562" s="954"/>
      <c r="H562" s="954"/>
      <c r="I562" s="953" t="s">
        <v>3907</v>
      </c>
    </row>
    <row r="563" spans="1:9" ht="25.5" x14ac:dyDescent="0.25">
      <c r="A563" s="953">
        <v>534</v>
      </c>
      <c r="B563" s="1036" t="s">
        <v>2802</v>
      </c>
      <c r="C563" s="952" t="s">
        <v>3503</v>
      </c>
      <c r="D563" s="952" t="s">
        <v>4731</v>
      </c>
      <c r="E563" s="959" t="s">
        <v>4754</v>
      </c>
      <c r="F563" s="954" t="s">
        <v>3907</v>
      </c>
      <c r="G563" s="954"/>
      <c r="H563" s="954"/>
      <c r="I563" s="953" t="s">
        <v>3907</v>
      </c>
    </row>
    <row r="564" spans="1:9" ht="25.5" x14ac:dyDescent="0.2">
      <c r="A564" s="953">
        <v>535</v>
      </c>
      <c r="B564" s="952" t="s">
        <v>2844</v>
      </c>
      <c r="C564" s="952" t="s">
        <v>3503</v>
      </c>
      <c r="D564" s="952" t="s">
        <v>4732</v>
      </c>
      <c r="E564" s="959" t="s">
        <v>4735</v>
      </c>
      <c r="F564" s="954" t="s">
        <v>3907</v>
      </c>
      <c r="G564" s="954"/>
      <c r="H564" s="954"/>
      <c r="I564" s="953" t="s">
        <v>3907</v>
      </c>
    </row>
    <row r="565" spans="1:9" ht="25.5" x14ac:dyDescent="0.2">
      <c r="A565" s="953">
        <v>536</v>
      </c>
      <c r="B565" s="952" t="s">
        <v>2854</v>
      </c>
      <c r="C565" s="952" t="s">
        <v>3503</v>
      </c>
      <c r="D565" s="952" t="s">
        <v>4733</v>
      </c>
      <c r="E565" s="959" t="s">
        <v>4755</v>
      </c>
      <c r="F565" s="954" t="s">
        <v>3907</v>
      </c>
      <c r="G565" s="954"/>
      <c r="H565" s="954"/>
      <c r="I565" s="953" t="s">
        <v>3907</v>
      </c>
    </row>
    <row r="566" spans="1:9" ht="25.5" x14ac:dyDescent="0.25">
      <c r="A566" s="953">
        <v>537</v>
      </c>
      <c r="B566" s="1036" t="s">
        <v>2926</v>
      </c>
      <c r="C566" s="952" t="s">
        <v>3503</v>
      </c>
      <c r="D566" s="952" t="s">
        <v>3131</v>
      </c>
      <c r="E566" s="959" t="s">
        <v>4736</v>
      </c>
      <c r="F566" s="954" t="s">
        <v>3907</v>
      </c>
      <c r="G566" s="954"/>
      <c r="H566" s="954"/>
      <c r="I566" s="953" t="s">
        <v>3907</v>
      </c>
    </row>
    <row r="567" spans="1:9" ht="25.5" x14ac:dyDescent="0.2">
      <c r="A567" s="953">
        <v>538</v>
      </c>
      <c r="B567" s="952" t="s">
        <v>2894</v>
      </c>
      <c r="C567" s="952" t="s">
        <v>3504</v>
      </c>
      <c r="D567" s="952" t="s">
        <v>4597</v>
      </c>
      <c r="E567" s="959" t="s">
        <v>4737</v>
      </c>
      <c r="F567" s="954" t="s">
        <v>3907</v>
      </c>
      <c r="G567" s="954"/>
      <c r="H567" s="954"/>
      <c r="I567" s="953" t="s">
        <v>3907</v>
      </c>
    </row>
    <row r="568" spans="1:9" ht="25.5" x14ac:dyDescent="0.2">
      <c r="A568" s="953">
        <v>539</v>
      </c>
      <c r="B568" s="952" t="s">
        <v>2944</v>
      </c>
      <c r="C568" s="952" t="s">
        <v>3504</v>
      </c>
      <c r="D568" s="952" t="s">
        <v>4738</v>
      </c>
      <c r="E568" s="959" t="s">
        <v>4765</v>
      </c>
      <c r="F568" s="954" t="s">
        <v>3907</v>
      </c>
      <c r="G568" s="954"/>
      <c r="H568" s="954"/>
      <c r="I568" s="953" t="s">
        <v>3907</v>
      </c>
    </row>
    <row r="569" spans="1:9" ht="25.5" x14ac:dyDescent="0.2">
      <c r="A569" s="953">
        <v>540</v>
      </c>
      <c r="B569" s="952" t="s">
        <v>2947</v>
      </c>
      <c r="C569" s="952" t="s">
        <v>3504</v>
      </c>
      <c r="D569" s="952" t="s">
        <v>4739</v>
      </c>
      <c r="E569" s="959" t="s">
        <v>4772</v>
      </c>
      <c r="F569" s="954" t="s">
        <v>3907</v>
      </c>
      <c r="G569" s="954"/>
      <c r="H569" s="954"/>
      <c r="I569" s="953" t="s">
        <v>3907</v>
      </c>
    </row>
    <row r="570" spans="1:9" ht="25.5" x14ac:dyDescent="0.2">
      <c r="A570" s="953">
        <v>541</v>
      </c>
      <c r="B570" s="952" t="s">
        <v>2973</v>
      </c>
      <c r="C570" s="952" t="s">
        <v>3504</v>
      </c>
      <c r="D570" s="952" t="s">
        <v>2699</v>
      </c>
      <c r="E570" s="959" t="s">
        <v>4775</v>
      </c>
      <c r="F570" s="954" t="s">
        <v>3907</v>
      </c>
      <c r="G570" s="954"/>
      <c r="H570" s="954"/>
      <c r="I570" s="953" t="s">
        <v>3907</v>
      </c>
    </row>
    <row r="571" spans="1:9" ht="25.5" x14ac:dyDescent="0.2">
      <c r="A571" s="953">
        <v>542</v>
      </c>
      <c r="B571" s="952" t="s">
        <v>3508</v>
      </c>
      <c r="C571" s="952" t="s">
        <v>3504</v>
      </c>
      <c r="D571" s="952" t="s">
        <v>4740</v>
      </c>
      <c r="E571" s="981" t="s">
        <v>4771</v>
      </c>
      <c r="F571" s="954" t="s">
        <v>3907</v>
      </c>
      <c r="G571" s="954"/>
      <c r="H571" s="954"/>
      <c r="I571" s="954" t="s">
        <v>3907</v>
      </c>
    </row>
    <row r="572" spans="1:9" ht="18" customHeight="1" x14ac:dyDescent="0.2">
      <c r="A572" s="953">
        <v>543</v>
      </c>
      <c r="B572" s="952" t="s">
        <v>3673</v>
      </c>
      <c r="C572" s="952" t="s">
        <v>3504</v>
      </c>
      <c r="D572" s="952" t="s">
        <v>4741</v>
      </c>
      <c r="E572" s="953"/>
      <c r="F572" s="954" t="s">
        <v>3907</v>
      </c>
      <c r="G572" s="954"/>
      <c r="H572" s="954"/>
      <c r="I572" s="954" t="s">
        <v>3907</v>
      </c>
    </row>
    <row r="573" spans="1:9" x14ac:dyDescent="0.2">
      <c r="A573" s="953">
        <v>544</v>
      </c>
      <c r="B573" s="952" t="s">
        <v>3669</v>
      </c>
      <c r="C573" s="952" t="s">
        <v>3504</v>
      </c>
      <c r="D573" s="952" t="s">
        <v>4742</v>
      </c>
      <c r="E573" s="953"/>
      <c r="F573" s="954" t="s">
        <v>3907</v>
      </c>
      <c r="G573" s="954"/>
      <c r="H573" s="954"/>
      <c r="I573" s="954" t="s">
        <v>3907</v>
      </c>
    </row>
    <row r="574" spans="1:9" x14ac:dyDescent="0.2">
      <c r="A574" s="953">
        <v>545</v>
      </c>
      <c r="B574" s="952" t="s">
        <v>3689</v>
      </c>
      <c r="C574" s="952" t="s">
        <v>3504</v>
      </c>
      <c r="D574" s="952" t="s">
        <v>2024</v>
      </c>
      <c r="E574" s="953"/>
      <c r="F574" s="954" t="s">
        <v>3907</v>
      </c>
      <c r="G574" s="954"/>
      <c r="H574" s="954"/>
      <c r="I574" s="954" t="s">
        <v>3907</v>
      </c>
    </row>
    <row r="575" spans="1:9" x14ac:dyDescent="0.2">
      <c r="A575" s="953">
        <v>546</v>
      </c>
      <c r="B575" s="952" t="s">
        <v>3700</v>
      </c>
      <c r="C575" s="952" t="s">
        <v>3503</v>
      </c>
      <c r="D575" s="952" t="s">
        <v>3244</v>
      </c>
      <c r="E575" s="953"/>
      <c r="F575" s="954" t="s">
        <v>3907</v>
      </c>
      <c r="G575" s="954"/>
      <c r="H575" s="954"/>
      <c r="I575" s="954" t="s">
        <v>3907</v>
      </c>
    </row>
    <row r="576" spans="1:9" ht="25.5" x14ac:dyDescent="0.2">
      <c r="A576" s="953">
        <v>547</v>
      </c>
      <c r="B576" s="952" t="s">
        <v>2923</v>
      </c>
      <c r="C576" s="952" t="s">
        <v>3504</v>
      </c>
      <c r="D576" s="952" t="s">
        <v>2924</v>
      </c>
      <c r="E576" s="959" t="s">
        <v>4774</v>
      </c>
      <c r="F576" s="954" t="s">
        <v>3907</v>
      </c>
      <c r="G576" s="954"/>
      <c r="H576" s="954"/>
      <c r="I576" s="954" t="s">
        <v>3907</v>
      </c>
    </row>
    <row r="577" spans="1:9" ht="25.5" x14ac:dyDescent="0.2">
      <c r="A577" s="953">
        <v>548</v>
      </c>
      <c r="B577" s="952" t="s">
        <v>3714</v>
      </c>
      <c r="C577" s="952" t="s">
        <v>3504</v>
      </c>
      <c r="D577" s="952" t="s">
        <v>3715</v>
      </c>
      <c r="E577" s="959" t="s">
        <v>4761</v>
      </c>
      <c r="F577" s="954" t="s">
        <v>3907</v>
      </c>
      <c r="G577" s="954"/>
      <c r="H577" s="954"/>
      <c r="I577" s="954" t="s">
        <v>3907</v>
      </c>
    </row>
    <row r="578" spans="1:9" ht="26.25" x14ac:dyDescent="0.25">
      <c r="A578" s="953">
        <v>549</v>
      </c>
      <c r="B578" s="1036" t="s">
        <v>3741</v>
      </c>
      <c r="C578" s="952" t="s">
        <v>3503</v>
      </c>
      <c r="D578" s="956" t="s">
        <v>4743</v>
      </c>
      <c r="E578" s="959" t="s">
        <v>4773</v>
      </c>
      <c r="F578" s="954" t="s">
        <v>3907</v>
      </c>
      <c r="G578" s="954"/>
      <c r="H578" s="954"/>
      <c r="I578" s="953" t="s">
        <v>3907</v>
      </c>
    </row>
    <row r="579" spans="1:9" ht="25.5" x14ac:dyDescent="0.2">
      <c r="A579" s="953">
        <v>550</v>
      </c>
      <c r="B579" s="952" t="s">
        <v>3776</v>
      </c>
      <c r="C579" s="952" t="s">
        <v>3504</v>
      </c>
      <c r="D579" s="952" t="s">
        <v>4744</v>
      </c>
      <c r="E579" s="959" t="s">
        <v>4757</v>
      </c>
      <c r="F579" s="954" t="s">
        <v>3907</v>
      </c>
      <c r="G579" s="954"/>
      <c r="H579" s="954"/>
      <c r="I579" s="953" t="s">
        <v>3907</v>
      </c>
    </row>
    <row r="580" spans="1:9" ht="25.5" x14ac:dyDescent="0.25">
      <c r="A580" s="953">
        <v>551</v>
      </c>
      <c r="B580" s="1036" t="s">
        <v>3819</v>
      </c>
      <c r="C580" s="952" t="s">
        <v>3503</v>
      </c>
      <c r="D580" s="952" t="s">
        <v>4107</v>
      </c>
      <c r="E580" s="959" t="s">
        <v>4778</v>
      </c>
      <c r="F580" s="954" t="s">
        <v>3907</v>
      </c>
      <c r="G580" s="954"/>
      <c r="H580" s="954"/>
      <c r="I580" s="953" t="s">
        <v>3907</v>
      </c>
    </row>
    <row r="581" spans="1:9" ht="25.5" x14ac:dyDescent="0.2">
      <c r="A581" s="953">
        <v>552</v>
      </c>
      <c r="B581" s="952" t="s">
        <v>3836</v>
      </c>
      <c r="C581" s="952" t="s">
        <v>3504</v>
      </c>
      <c r="D581" s="952" t="s">
        <v>3599</v>
      </c>
      <c r="E581" s="959" t="s">
        <v>4781</v>
      </c>
      <c r="F581" s="954" t="s">
        <v>3907</v>
      </c>
      <c r="G581" s="954"/>
      <c r="H581" s="954"/>
      <c r="I581" s="953" t="s">
        <v>3907</v>
      </c>
    </row>
    <row r="582" spans="1:9" x14ac:dyDescent="0.2">
      <c r="A582" s="953">
        <v>553</v>
      </c>
      <c r="B582" s="952" t="s">
        <v>4208</v>
      </c>
      <c r="C582" s="952" t="s">
        <v>3504</v>
      </c>
      <c r="D582" s="952" t="s">
        <v>4745</v>
      </c>
      <c r="E582" s="953"/>
      <c r="F582" s="954" t="s">
        <v>3907</v>
      </c>
      <c r="G582" s="954"/>
      <c r="H582" s="954"/>
      <c r="I582" s="953" t="s">
        <v>3907</v>
      </c>
    </row>
    <row r="583" spans="1:9" ht="25.5" x14ac:dyDescent="0.2">
      <c r="A583" s="953">
        <v>554</v>
      </c>
      <c r="B583" s="952" t="s">
        <v>4221</v>
      </c>
      <c r="C583" s="952" t="s">
        <v>3504</v>
      </c>
      <c r="D583" s="952" t="s">
        <v>4552</v>
      </c>
      <c r="E583" s="959" t="s">
        <v>4780</v>
      </c>
      <c r="F583" s="954" t="s">
        <v>3907</v>
      </c>
      <c r="G583" s="954"/>
      <c r="H583" s="954"/>
      <c r="I583" s="953" t="s">
        <v>3907</v>
      </c>
    </row>
    <row r="584" spans="1:9" ht="25.5" x14ac:dyDescent="0.2">
      <c r="A584" s="953">
        <v>555</v>
      </c>
      <c r="B584" s="952" t="s">
        <v>4243</v>
      </c>
      <c r="C584" s="952" t="s">
        <v>3504</v>
      </c>
      <c r="D584" s="952" t="s">
        <v>4746</v>
      </c>
      <c r="E584" s="959" t="s">
        <v>4776</v>
      </c>
      <c r="F584" s="954" t="s">
        <v>3907</v>
      </c>
      <c r="G584" s="954"/>
      <c r="H584" s="954"/>
      <c r="I584" s="953" t="s">
        <v>3907</v>
      </c>
    </row>
    <row r="585" spans="1:9" ht="25.5" x14ac:dyDescent="0.25">
      <c r="A585" s="953">
        <v>556</v>
      </c>
      <c r="B585" s="1036" t="s">
        <v>4398</v>
      </c>
      <c r="C585" s="952" t="s">
        <v>3503</v>
      </c>
      <c r="D585" s="952" t="s">
        <v>4746</v>
      </c>
      <c r="E585" s="959" t="s">
        <v>4777</v>
      </c>
      <c r="F585" s="954" t="s">
        <v>3907</v>
      </c>
      <c r="G585" s="954"/>
      <c r="H585" s="954"/>
      <c r="I585" s="953" t="s">
        <v>3907</v>
      </c>
    </row>
    <row r="586" spans="1:9" ht="15" x14ac:dyDescent="0.25">
      <c r="A586" s="953">
        <v>557</v>
      </c>
      <c r="B586" s="1036" t="s">
        <v>243</v>
      </c>
      <c r="C586" s="952" t="s">
        <v>3503</v>
      </c>
      <c r="D586" s="952" t="s">
        <v>244</v>
      </c>
      <c r="E586" s="953"/>
      <c r="F586" s="954"/>
      <c r="G586" s="954"/>
      <c r="H586" s="954"/>
      <c r="I586" s="953" t="s">
        <v>3907</v>
      </c>
    </row>
    <row r="587" spans="1:9" ht="15" x14ac:dyDescent="0.25">
      <c r="A587" s="953">
        <v>558</v>
      </c>
      <c r="B587" s="1036" t="s">
        <v>209</v>
      </c>
      <c r="C587" s="952" t="s">
        <v>3503</v>
      </c>
      <c r="D587" s="952" t="s">
        <v>210</v>
      </c>
      <c r="E587" s="953"/>
      <c r="F587" s="954"/>
      <c r="G587" s="954"/>
      <c r="H587" s="954"/>
      <c r="I587" s="953" t="s">
        <v>3907</v>
      </c>
    </row>
    <row r="588" spans="1:9" x14ac:dyDescent="0.2">
      <c r="A588" s="953">
        <v>559</v>
      </c>
      <c r="B588" s="952" t="s">
        <v>191</v>
      </c>
      <c r="C588" s="952" t="s">
        <v>3503</v>
      </c>
      <c r="D588" s="952" t="s">
        <v>192</v>
      </c>
      <c r="E588" s="953"/>
      <c r="F588" s="954"/>
      <c r="G588" s="954"/>
      <c r="H588" s="954"/>
      <c r="I588" s="953" t="s">
        <v>3907</v>
      </c>
    </row>
    <row r="589" spans="1:9" ht="15" x14ac:dyDescent="0.25">
      <c r="A589" s="953">
        <v>560</v>
      </c>
      <c r="B589" s="1036" t="s">
        <v>3061</v>
      </c>
      <c r="C589" s="952" t="s">
        <v>3503</v>
      </c>
      <c r="D589" s="952" t="s">
        <v>73</v>
      </c>
      <c r="E589" s="953"/>
      <c r="F589" s="954"/>
      <c r="G589" s="954"/>
      <c r="H589" s="954"/>
      <c r="I589" s="953" t="s">
        <v>3907</v>
      </c>
    </row>
    <row r="590" spans="1:9" ht="15" x14ac:dyDescent="0.25">
      <c r="A590" s="953">
        <v>561</v>
      </c>
      <c r="B590" s="1036" t="s">
        <v>3069</v>
      </c>
      <c r="C590" s="952" t="s">
        <v>3503</v>
      </c>
      <c r="D590" s="952" t="s">
        <v>4947</v>
      </c>
      <c r="E590" s="953"/>
      <c r="F590" s="954"/>
      <c r="G590" s="954"/>
      <c r="H590" s="954"/>
      <c r="I590" s="953" t="s">
        <v>3907</v>
      </c>
    </row>
    <row r="591" spans="1:9" ht="19.5" customHeight="1" x14ac:dyDescent="0.25">
      <c r="A591" s="953">
        <v>562</v>
      </c>
      <c r="B591" s="1036" t="s">
        <v>3053</v>
      </c>
      <c r="C591" s="952" t="s">
        <v>3503</v>
      </c>
      <c r="D591" s="952" t="s">
        <v>4948</v>
      </c>
      <c r="E591" s="953"/>
      <c r="F591" s="954"/>
      <c r="G591" s="954"/>
      <c r="H591" s="954"/>
      <c r="I591" s="953" t="s">
        <v>3907</v>
      </c>
    </row>
    <row r="592" spans="1:9" ht="22.5" customHeight="1" x14ac:dyDescent="0.25">
      <c r="A592" s="953">
        <v>563</v>
      </c>
      <c r="B592" s="1036" t="s">
        <v>4031</v>
      </c>
      <c r="C592" s="952" t="s">
        <v>3503</v>
      </c>
      <c r="D592" s="952" t="s">
        <v>102</v>
      </c>
      <c r="E592" s="953"/>
      <c r="F592" s="954"/>
      <c r="G592" s="954"/>
      <c r="H592" s="954"/>
      <c r="I592" s="953" t="s">
        <v>3907</v>
      </c>
    </row>
    <row r="593" spans="1:9" ht="20.25" customHeight="1" x14ac:dyDescent="0.25">
      <c r="A593" s="953">
        <v>564</v>
      </c>
      <c r="B593" s="1036" t="s">
        <v>2855</v>
      </c>
      <c r="C593" s="952" t="s">
        <v>3503</v>
      </c>
      <c r="D593" s="952" t="s">
        <v>3571</v>
      </c>
      <c r="E593" s="953"/>
      <c r="F593" s="954"/>
      <c r="G593" s="954"/>
      <c r="H593" s="954"/>
      <c r="I593" s="953" t="s">
        <v>3907</v>
      </c>
    </row>
    <row r="594" spans="1:9" x14ac:dyDescent="0.2">
      <c r="A594" s="953">
        <v>565</v>
      </c>
      <c r="B594" s="952"/>
      <c r="C594" s="952"/>
      <c r="D594" s="952"/>
      <c r="E594" s="953"/>
      <c r="F594" s="954"/>
      <c r="G594" s="954"/>
      <c r="H594" s="954"/>
      <c r="I594" s="953"/>
    </row>
    <row r="595" spans="1:9" x14ac:dyDescent="0.2">
      <c r="A595" s="953">
        <v>566</v>
      </c>
      <c r="B595" s="952"/>
      <c r="C595" s="952"/>
      <c r="D595" s="952"/>
      <c r="E595" s="953"/>
      <c r="F595" s="954"/>
      <c r="G595" s="954"/>
      <c r="H595" s="954"/>
      <c r="I595" s="953"/>
    </row>
    <row r="596" spans="1:9" x14ac:dyDescent="0.2">
      <c r="A596" s="953">
        <v>567</v>
      </c>
      <c r="B596" s="952"/>
      <c r="C596" s="952"/>
      <c r="D596" s="952"/>
      <c r="E596" s="953"/>
      <c r="F596" s="954"/>
      <c r="G596" s="954"/>
      <c r="H596" s="954"/>
      <c r="I596" s="953"/>
    </row>
    <row r="597" spans="1:9" x14ac:dyDescent="0.2">
      <c r="A597" s="953">
        <v>568</v>
      </c>
      <c r="B597" s="952"/>
      <c r="C597" s="952"/>
      <c r="D597" s="952"/>
      <c r="E597" s="953"/>
      <c r="F597" s="954"/>
      <c r="G597" s="954"/>
      <c r="H597" s="954"/>
      <c r="I597" s="953"/>
    </row>
    <row r="598" spans="1:9" x14ac:dyDescent="0.2">
      <c r="A598" s="953">
        <v>569</v>
      </c>
      <c r="B598" s="952"/>
      <c r="C598" s="952"/>
      <c r="D598" s="952"/>
      <c r="E598" s="953"/>
      <c r="F598" s="954"/>
      <c r="G598" s="954"/>
      <c r="H598" s="954"/>
      <c r="I598" s="953"/>
    </row>
    <row r="599" spans="1:9" x14ac:dyDescent="0.2">
      <c r="A599" s="953">
        <v>570</v>
      </c>
      <c r="B599" s="952"/>
      <c r="C599" s="952"/>
      <c r="D599" s="952"/>
      <c r="E599" s="953"/>
      <c r="F599" s="954"/>
      <c r="G599" s="954"/>
      <c r="H599" s="954"/>
      <c r="I599" s="953"/>
    </row>
    <row r="600" spans="1:9" x14ac:dyDescent="0.2">
      <c r="A600" s="953">
        <v>571</v>
      </c>
      <c r="B600" s="952"/>
      <c r="C600" s="952"/>
      <c r="D600" s="952"/>
      <c r="E600" s="953"/>
      <c r="F600" s="954"/>
      <c r="G600" s="954"/>
      <c r="H600" s="954"/>
      <c r="I600" s="953"/>
    </row>
    <row r="601" spans="1:9" x14ac:dyDescent="0.2">
      <c r="A601" s="953">
        <v>572</v>
      </c>
      <c r="B601" s="952"/>
      <c r="C601" s="952"/>
      <c r="D601" s="952"/>
      <c r="E601" s="953"/>
      <c r="F601" s="954"/>
      <c r="G601" s="954"/>
      <c r="H601" s="954"/>
      <c r="I601" s="953"/>
    </row>
    <row r="602" spans="1:9" x14ac:dyDescent="0.2">
      <c r="A602" s="953">
        <v>573</v>
      </c>
      <c r="B602" s="952"/>
      <c r="C602" s="952"/>
      <c r="D602" s="952"/>
      <c r="E602" s="953"/>
      <c r="F602" s="954"/>
      <c r="G602" s="954"/>
      <c r="H602" s="954"/>
      <c r="I602" s="953"/>
    </row>
    <row r="603" spans="1:9" x14ac:dyDescent="0.2">
      <c r="A603" s="953">
        <v>574</v>
      </c>
      <c r="B603" s="952"/>
      <c r="C603" s="952"/>
      <c r="D603" s="952"/>
      <c r="E603" s="953"/>
      <c r="F603" s="954"/>
      <c r="G603" s="954"/>
      <c r="H603" s="954"/>
      <c r="I603" s="953"/>
    </row>
    <row r="604" spans="1:9" x14ac:dyDescent="0.2">
      <c r="A604" s="953">
        <v>575</v>
      </c>
      <c r="B604" s="952"/>
      <c r="C604" s="952"/>
      <c r="D604" s="952"/>
      <c r="E604" s="953"/>
      <c r="F604" s="954"/>
      <c r="G604" s="954"/>
      <c r="H604" s="954"/>
      <c r="I604" s="953"/>
    </row>
    <row r="605" spans="1:9" x14ac:dyDescent="0.2">
      <c r="A605" s="953">
        <v>576</v>
      </c>
      <c r="B605" s="952"/>
      <c r="C605" s="952"/>
      <c r="D605" s="952"/>
      <c r="E605" s="953"/>
      <c r="F605" s="954"/>
      <c r="G605" s="954"/>
      <c r="H605" s="954"/>
      <c r="I605" s="953"/>
    </row>
    <row r="606" spans="1:9" x14ac:dyDescent="0.2">
      <c r="A606" s="953">
        <v>577</v>
      </c>
      <c r="B606" s="952"/>
      <c r="C606" s="952"/>
      <c r="D606" s="952"/>
      <c r="E606" s="953"/>
      <c r="F606" s="954"/>
      <c r="G606" s="954"/>
      <c r="H606" s="954"/>
      <c r="I606" s="953"/>
    </row>
    <row r="607" spans="1:9" x14ac:dyDescent="0.2">
      <c r="A607" s="953">
        <v>578</v>
      </c>
      <c r="B607" s="952"/>
      <c r="C607" s="952"/>
      <c r="D607" s="952"/>
      <c r="E607" s="953"/>
      <c r="F607" s="954"/>
      <c r="G607" s="954"/>
      <c r="H607" s="954"/>
      <c r="I607" s="953"/>
    </row>
    <row r="608" spans="1:9" x14ac:dyDescent="0.2">
      <c r="A608" s="953">
        <v>579</v>
      </c>
      <c r="B608" s="952"/>
      <c r="C608" s="952"/>
      <c r="D608" s="952"/>
      <c r="E608" s="953"/>
      <c r="F608" s="954"/>
      <c r="G608" s="954"/>
      <c r="H608" s="954"/>
      <c r="I608" s="953"/>
    </row>
    <row r="609" spans="1:9" x14ac:dyDescent="0.2">
      <c r="A609" s="953">
        <v>580</v>
      </c>
      <c r="B609" s="952"/>
      <c r="C609" s="952"/>
      <c r="D609" s="952"/>
      <c r="E609" s="953"/>
      <c r="F609" s="954"/>
      <c r="G609" s="954"/>
      <c r="H609" s="954"/>
      <c r="I609" s="953"/>
    </row>
    <row r="610" spans="1:9" x14ac:dyDescent="0.2">
      <c r="A610" s="953">
        <v>581</v>
      </c>
      <c r="B610" s="952"/>
      <c r="C610" s="952"/>
      <c r="D610" s="952"/>
      <c r="E610" s="953"/>
      <c r="F610" s="954"/>
      <c r="G610" s="954"/>
      <c r="H610" s="954"/>
      <c r="I610" s="953"/>
    </row>
    <row r="611" spans="1:9" x14ac:dyDescent="0.2">
      <c r="A611" s="953">
        <v>582</v>
      </c>
      <c r="B611" s="952"/>
      <c r="C611" s="952"/>
      <c r="D611" s="952"/>
      <c r="E611" s="953"/>
      <c r="F611" s="954"/>
      <c r="G611" s="954"/>
      <c r="H611" s="954"/>
      <c r="I611" s="953"/>
    </row>
    <row r="612" spans="1:9" x14ac:dyDescent="0.2">
      <c r="A612" s="953">
        <v>583</v>
      </c>
      <c r="B612" s="952"/>
      <c r="C612" s="952"/>
      <c r="D612" s="952"/>
      <c r="E612" s="953"/>
      <c r="F612" s="954"/>
      <c r="G612" s="954"/>
      <c r="H612" s="954"/>
      <c r="I612" s="953"/>
    </row>
    <row r="613" spans="1:9" x14ac:dyDescent="0.2">
      <c r="A613" s="953">
        <v>584</v>
      </c>
      <c r="B613" s="952"/>
      <c r="C613" s="952"/>
      <c r="D613" s="952"/>
      <c r="E613" s="953"/>
      <c r="F613" s="954"/>
      <c r="G613" s="954"/>
      <c r="H613" s="954"/>
      <c r="I613" s="953"/>
    </row>
    <row r="614" spans="1:9" x14ac:dyDescent="0.2">
      <c r="A614" s="953">
        <v>585</v>
      </c>
      <c r="B614" s="952"/>
      <c r="C614" s="952"/>
      <c r="D614" s="952"/>
      <c r="E614" s="953"/>
      <c r="F614" s="954"/>
      <c r="G614" s="954"/>
      <c r="H614" s="954"/>
      <c r="I614" s="953"/>
    </row>
    <row r="615" spans="1:9" x14ac:dyDescent="0.2">
      <c r="A615" s="953">
        <v>586</v>
      </c>
      <c r="B615" s="952"/>
      <c r="C615" s="952"/>
      <c r="D615" s="952"/>
      <c r="E615" s="953"/>
      <c r="F615" s="954"/>
      <c r="G615" s="954"/>
      <c r="H615" s="954"/>
      <c r="I615" s="953"/>
    </row>
    <row r="616" spans="1:9" x14ac:dyDescent="0.2">
      <c r="A616" s="953">
        <v>587</v>
      </c>
      <c r="B616" s="952"/>
      <c r="C616" s="952"/>
      <c r="D616" s="952"/>
      <c r="E616" s="953"/>
      <c r="F616" s="954"/>
      <c r="G616" s="954"/>
      <c r="H616" s="954"/>
      <c r="I616" s="953"/>
    </row>
    <row r="617" spans="1:9" x14ac:dyDescent="0.2">
      <c r="A617" s="953">
        <v>588</v>
      </c>
      <c r="B617" s="952"/>
      <c r="C617" s="952"/>
      <c r="D617" s="952"/>
      <c r="E617" s="953"/>
      <c r="F617" s="954"/>
      <c r="G617" s="954"/>
      <c r="H617" s="954"/>
      <c r="I617" s="953"/>
    </row>
    <row r="618" spans="1:9" x14ac:dyDescent="0.2">
      <c r="A618" s="953">
        <v>589</v>
      </c>
      <c r="B618" s="952"/>
      <c r="C618" s="952"/>
      <c r="D618" s="952"/>
      <c r="E618" s="953"/>
      <c r="F618" s="954"/>
      <c r="G618" s="954"/>
      <c r="H618" s="954"/>
      <c r="I618" s="953"/>
    </row>
    <row r="619" spans="1:9" x14ac:dyDescent="0.2">
      <c r="A619" s="953">
        <v>590</v>
      </c>
      <c r="B619" s="952"/>
      <c r="C619" s="952"/>
      <c r="D619" s="952"/>
      <c r="E619" s="953"/>
      <c r="F619" s="954"/>
      <c r="G619" s="954"/>
      <c r="H619" s="954"/>
      <c r="I619" s="953"/>
    </row>
    <row r="620" spans="1:9" x14ac:dyDescent="0.2">
      <c r="A620" s="953">
        <v>591</v>
      </c>
      <c r="B620" s="952"/>
      <c r="C620" s="952"/>
      <c r="D620" s="952"/>
      <c r="E620" s="953"/>
      <c r="F620" s="954"/>
      <c r="G620" s="954"/>
      <c r="H620" s="954"/>
      <c r="I620" s="953"/>
    </row>
    <row r="621" spans="1:9" x14ac:dyDescent="0.2">
      <c r="A621" s="953">
        <v>592</v>
      </c>
      <c r="B621" s="952"/>
      <c r="C621" s="952"/>
      <c r="D621" s="952"/>
      <c r="E621" s="953"/>
      <c r="F621" s="954"/>
      <c r="G621" s="954"/>
      <c r="H621" s="954"/>
      <c r="I621" s="953"/>
    </row>
    <row r="622" spans="1:9" x14ac:dyDescent="0.2">
      <c r="A622" s="953">
        <v>593</v>
      </c>
      <c r="B622" s="952"/>
      <c r="C622" s="952"/>
      <c r="D622" s="952"/>
      <c r="E622" s="953"/>
      <c r="F622" s="954"/>
      <c r="G622" s="954"/>
      <c r="H622" s="954"/>
      <c r="I622" s="953"/>
    </row>
    <row r="623" spans="1:9" x14ac:dyDescent="0.2">
      <c r="A623" s="953">
        <v>594</v>
      </c>
      <c r="B623" s="952"/>
      <c r="C623" s="952"/>
      <c r="D623" s="952"/>
      <c r="E623" s="953"/>
      <c r="F623" s="954"/>
      <c r="G623" s="954"/>
      <c r="H623" s="954"/>
      <c r="I623" s="953"/>
    </row>
    <row r="624" spans="1:9" x14ac:dyDescent="0.2">
      <c r="A624" s="953">
        <v>595</v>
      </c>
      <c r="B624" s="952"/>
      <c r="C624" s="952"/>
      <c r="D624" s="952"/>
      <c r="E624" s="953"/>
      <c r="F624" s="954"/>
      <c r="G624" s="954"/>
      <c r="H624" s="954"/>
      <c r="I624" s="953"/>
    </row>
    <row r="625" spans="1:9" x14ac:dyDescent="0.2">
      <c r="A625" s="953">
        <v>596</v>
      </c>
      <c r="B625" s="952"/>
      <c r="C625" s="952"/>
      <c r="D625" s="952"/>
      <c r="E625" s="953"/>
      <c r="F625" s="954"/>
      <c r="G625" s="954"/>
      <c r="H625" s="954"/>
      <c r="I625" s="953"/>
    </row>
    <row r="626" spans="1:9" x14ac:dyDescent="0.2">
      <c r="A626" s="953">
        <v>597</v>
      </c>
      <c r="B626" s="952"/>
      <c r="C626" s="952"/>
      <c r="D626" s="952"/>
      <c r="E626" s="953"/>
      <c r="F626" s="954"/>
      <c r="G626" s="954"/>
      <c r="H626" s="954"/>
      <c r="I626" s="953"/>
    </row>
    <row r="627" spans="1:9" x14ac:dyDescent="0.2">
      <c r="A627" s="953">
        <v>598</v>
      </c>
      <c r="B627" s="952"/>
      <c r="C627" s="952"/>
      <c r="D627" s="952"/>
      <c r="E627" s="953"/>
      <c r="F627" s="954"/>
      <c r="G627" s="954"/>
      <c r="H627" s="954"/>
      <c r="I627" s="953"/>
    </row>
    <row r="628" spans="1:9" x14ac:dyDescent="0.2">
      <c r="A628" s="953">
        <v>599</v>
      </c>
      <c r="B628" s="952"/>
      <c r="C628" s="952"/>
      <c r="D628" s="952"/>
      <c r="E628" s="953"/>
      <c r="F628" s="954"/>
      <c r="G628" s="954"/>
      <c r="H628" s="954"/>
      <c r="I628" s="953"/>
    </row>
    <row r="629" spans="1:9" x14ac:dyDescent="0.2">
      <c r="A629" s="953">
        <v>600</v>
      </c>
      <c r="B629" s="952"/>
      <c r="C629" s="952"/>
      <c r="D629" s="952"/>
      <c r="E629" s="953"/>
      <c r="F629" s="954"/>
      <c r="G629" s="954"/>
      <c r="H629" s="954"/>
      <c r="I629" s="953"/>
    </row>
    <row r="630" spans="1:9" x14ac:dyDescent="0.2">
      <c r="A630" s="953">
        <v>601</v>
      </c>
      <c r="B630" s="952"/>
      <c r="C630" s="952"/>
      <c r="D630" s="952"/>
      <c r="E630" s="953"/>
      <c r="F630" s="954"/>
      <c r="G630" s="954"/>
      <c r="H630" s="954"/>
      <c r="I630" s="953"/>
    </row>
    <row r="631" spans="1:9" x14ac:dyDescent="0.2">
      <c r="A631" s="953">
        <v>602</v>
      </c>
      <c r="B631" s="952"/>
      <c r="C631" s="952"/>
      <c r="D631" s="952"/>
      <c r="E631" s="953"/>
      <c r="F631" s="954"/>
      <c r="G631" s="954"/>
      <c r="H631" s="954"/>
      <c r="I631" s="953"/>
    </row>
    <row r="632" spans="1:9" x14ac:dyDescent="0.2">
      <c r="A632" s="953">
        <v>603</v>
      </c>
      <c r="B632" s="952"/>
      <c r="C632" s="952"/>
      <c r="D632" s="952"/>
      <c r="E632" s="953"/>
      <c r="F632" s="954"/>
      <c r="G632" s="954"/>
      <c r="H632" s="954"/>
      <c r="I632" s="953"/>
    </row>
    <row r="633" spans="1:9" x14ac:dyDescent="0.2">
      <c r="A633" s="953">
        <v>604</v>
      </c>
      <c r="B633" s="952"/>
      <c r="C633" s="952"/>
      <c r="D633" s="952"/>
      <c r="E633" s="953"/>
      <c r="F633" s="954"/>
      <c r="G633" s="954"/>
      <c r="H633" s="954"/>
      <c r="I633" s="953"/>
    </row>
    <row r="634" spans="1:9" x14ac:dyDescent="0.2">
      <c r="A634" s="953">
        <v>605</v>
      </c>
      <c r="B634" s="952"/>
      <c r="C634" s="952"/>
      <c r="D634" s="952"/>
      <c r="E634" s="953"/>
      <c r="F634" s="954"/>
      <c r="G634" s="954"/>
      <c r="H634" s="954"/>
      <c r="I634" s="953"/>
    </row>
    <row r="635" spans="1:9" x14ac:dyDescent="0.2">
      <c r="A635" s="953">
        <v>606</v>
      </c>
      <c r="B635" s="952"/>
      <c r="C635" s="952"/>
      <c r="D635" s="952"/>
      <c r="E635" s="953"/>
      <c r="F635" s="954"/>
      <c r="G635" s="954"/>
      <c r="H635" s="954"/>
      <c r="I635" s="953"/>
    </row>
    <row r="636" spans="1:9" x14ac:dyDescent="0.2">
      <c r="A636" s="953">
        <v>607</v>
      </c>
      <c r="B636" s="952"/>
      <c r="C636" s="952"/>
      <c r="D636" s="952"/>
      <c r="E636" s="953"/>
      <c r="F636" s="954"/>
      <c r="G636" s="954"/>
      <c r="H636" s="954"/>
      <c r="I636" s="953"/>
    </row>
    <row r="637" spans="1:9" x14ac:dyDescent="0.2">
      <c r="A637" s="953">
        <v>608</v>
      </c>
      <c r="B637" s="952"/>
      <c r="C637" s="952"/>
      <c r="D637" s="952"/>
      <c r="E637" s="953"/>
      <c r="F637" s="954"/>
      <c r="G637" s="954"/>
      <c r="H637" s="954"/>
      <c r="I637" s="953"/>
    </row>
    <row r="638" spans="1:9" x14ac:dyDescent="0.2">
      <c r="A638" s="953">
        <v>609</v>
      </c>
      <c r="B638" s="952"/>
      <c r="C638" s="952"/>
      <c r="D638" s="952"/>
      <c r="E638" s="953"/>
      <c r="F638" s="954"/>
      <c r="G638" s="954"/>
      <c r="H638" s="954"/>
      <c r="I638" s="953"/>
    </row>
    <row r="639" spans="1:9" x14ac:dyDescent="0.2">
      <c r="A639" s="953">
        <v>610</v>
      </c>
      <c r="B639" s="952"/>
      <c r="C639" s="952"/>
      <c r="D639" s="952"/>
      <c r="E639" s="953"/>
      <c r="F639" s="954"/>
      <c r="G639" s="954"/>
      <c r="H639" s="954"/>
      <c r="I639" s="953"/>
    </row>
    <row r="640" spans="1:9" x14ac:dyDescent="0.2">
      <c r="A640" s="953">
        <v>611</v>
      </c>
      <c r="B640" s="952"/>
      <c r="C640" s="952"/>
      <c r="D640" s="952"/>
      <c r="E640" s="953"/>
      <c r="F640" s="954"/>
      <c r="G640" s="954"/>
      <c r="H640" s="954"/>
      <c r="I640" s="953"/>
    </row>
    <row r="641" spans="1:9" x14ac:dyDescent="0.2">
      <c r="A641" s="953">
        <v>612</v>
      </c>
      <c r="B641" s="952"/>
      <c r="C641" s="952"/>
      <c r="D641" s="952"/>
      <c r="E641" s="953"/>
      <c r="F641" s="954"/>
      <c r="G641" s="954"/>
      <c r="H641" s="954"/>
      <c r="I641" s="953"/>
    </row>
    <row r="642" spans="1:9" x14ac:dyDescent="0.2">
      <c r="A642" s="953">
        <v>613</v>
      </c>
      <c r="B642" s="952"/>
      <c r="C642" s="952"/>
      <c r="D642" s="952"/>
      <c r="E642" s="953"/>
      <c r="F642" s="954"/>
      <c r="G642" s="954"/>
      <c r="H642" s="954"/>
      <c r="I642" s="953"/>
    </row>
    <row r="643" spans="1:9" x14ac:dyDescent="0.2">
      <c r="A643" s="953">
        <v>614</v>
      </c>
      <c r="B643" s="952"/>
      <c r="C643" s="952"/>
      <c r="D643" s="952"/>
      <c r="E643" s="953"/>
      <c r="F643" s="954"/>
      <c r="G643" s="954"/>
      <c r="H643" s="954"/>
      <c r="I643" s="953"/>
    </row>
    <row r="644" spans="1:9" x14ac:dyDescent="0.2">
      <c r="A644" s="953">
        <v>615</v>
      </c>
      <c r="B644" s="952"/>
      <c r="C644" s="952"/>
      <c r="D644" s="952"/>
      <c r="E644" s="953"/>
      <c r="F644" s="954"/>
      <c r="G644" s="954"/>
      <c r="H644" s="954"/>
      <c r="I644" s="953"/>
    </row>
    <row r="645" spans="1:9" x14ac:dyDescent="0.2">
      <c r="A645" s="953">
        <v>616</v>
      </c>
      <c r="B645" s="952"/>
      <c r="C645" s="952"/>
      <c r="D645" s="952"/>
      <c r="E645" s="953"/>
      <c r="F645" s="954"/>
      <c r="G645" s="954"/>
      <c r="H645" s="954"/>
      <c r="I645" s="953"/>
    </row>
    <row r="646" spans="1:9" x14ac:dyDescent="0.2">
      <c r="A646" s="953">
        <v>617</v>
      </c>
      <c r="B646" s="952"/>
      <c r="C646" s="952"/>
      <c r="D646" s="952"/>
      <c r="E646" s="953"/>
      <c r="F646" s="954"/>
      <c r="G646" s="954"/>
      <c r="H646" s="954"/>
      <c r="I646" s="953"/>
    </row>
    <row r="647" spans="1:9" x14ac:dyDescent="0.2">
      <c r="A647" s="953">
        <v>618</v>
      </c>
      <c r="B647" s="952"/>
      <c r="C647" s="952"/>
      <c r="D647" s="952"/>
      <c r="E647" s="953"/>
      <c r="F647" s="954"/>
      <c r="G647" s="954"/>
      <c r="H647" s="954"/>
      <c r="I647" s="953"/>
    </row>
    <row r="648" spans="1:9" x14ac:dyDescent="0.2">
      <c r="A648" s="953">
        <v>619</v>
      </c>
      <c r="B648" s="952"/>
      <c r="C648" s="952"/>
      <c r="D648" s="952"/>
      <c r="E648" s="953"/>
      <c r="F648" s="954"/>
      <c r="G648" s="954"/>
      <c r="H648" s="954"/>
      <c r="I648" s="953"/>
    </row>
    <row r="649" spans="1:9" x14ac:dyDescent="0.2">
      <c r="A649" s="953">
        <v>620</v>
      </c>
      <c r="B649" s="952"/>
      <c r="C649" s="952"/>
      <c r="D649" s="952"/>
      <c r="E649" s="953"/>
      <c r="F649" s="954"/>
      <c r="G649" s="954"/>
      <c r="H649" s="954"/>
      <c r="I649" s="953"/>
    </row>
    <row r="650" spans="1:9" x14ac:dyDescent="0.2">
      <c r="A650" s="953">
        <v>621</v>
      </c>
      <c r="B650" s="952"/>
      <c r="C650" s="952"/>
      <c r="D650" s="952"/>
      <c r="E650" s="953"/>
      <c r="F650" s="954"/>
      <c r="G650" s="954"/>
      <c r="H650" s="954"/>
      <c r="I650" s="953"/>
    </row>
    <row r="651" spans="1:9" x14ac:dyDescent="0.2">
      <c r="A651" s="953">
        <v>622</v>
      </c>
      <c r="B651" s="952"/>
      <c r="C651" s="952"/>
      <c r="D651" s="952"/>
      <c r="E651" s="953"/>
      <c r="F651" s="954"/>
      <c r="G651" s="954"/>
      <c r="H651" s="954"/>
      <c r="I651" s="953"/>
    </row>
    <row r="652" spans="1:9" x14ac:dyDescent="0.2">
      <c r="A652" s="953">
        <v>623</v>
      </c>
      <c r="B652" s="952"/>
      <c r="C652" s="952"/>
      <c r="D652" s="952"/>
      <c r="E652" s="953"/>
      <c r="F652" s="954"/>
      <c r="G652" s="954"/>
      <c r="H652" s="954"/>
      <c r="I652" s="953"/>
    </row>
    <row r="653" spans="1:9" x14ac:dyDescent="0.2">
      <c r="A653" s="953">
        <v>624</v>
      </c>
      <c r="B653" s="952"/>
      <c r="C653" s="952"/>
      <c r="D653" s="952"/>
      <c r="E653" s="953"/>
      <c r="F653" s="954"/>
      <c r="G653" s="954"/>
      <c r="H653" s="954"/>
      <c r="I653" s="953"/>
    </row>
    <row r="654" spans="1:9" x14ac:dyDescent="0.2">
      <c r="A654" s="953">
        <v>625</v>
      </c>
      <c r="B654" s="952"/>
      <c r="C654" s="952"/>
      <c r="D654" s="952"/>
      <c r="E654" s="953"/>
      <c r="F654" s="954"/>
      <c r="G654" s="954"/>
      <c r="H654" s="954"/>
      <c r="I654" s="953"/>
    </row>
    <row r="655" spans="1:9" x14ac:dyDescent="0.2">
      <c r="A655" s="953">
        <v>626</v>
      </c>
      <c r="B655" s="952"/>
      <c r="C655" s="952"/>
      <c r="D655" s="952"/>
      <c r="E655" s="953"/>
      <c r="F655" s="954"/>
      <c r="G655" s="954"/>
      <c r="H655" s="954"/>
      <c r="I655" s="953"/>
    </row>
    <row r="656" spans="1:9" x14ac:dyDescent="0.2">
      <c r="A656" s="953">
        <v>627</v>
      </c>
      <c r="B656" s="952"/>
      <c r="C656" s="952"/>
      <c r="D656" s="952"/>
      <c r="E656" s="953"/>
      <c r="F656" s="954"/>
      <c r="G656" s="954"/>
      <c r="H656" s="954"/>
      <c r="I656" s="953"/>
    </row>
    <row r="657" spans="1:9" x14ac:dyDescent="0.2">
      <c r="A657" s="953">
        <v>628</v>
      </c>
      <c r="B657" s="952"/>
      <c r="C657" s="952"/>
      <c r="D657" s="952"/>
      <c r="E657" s="953"/>
      <c r="F657" s="954"/>
      <c r="G657" s="954"/>
      <c r="H657" s="954"/>
      <c r="I657" s="953"/>
    </row>
    <row r="658" spans="1:9" x14ac:dyDescent="0.2">
      <c r="A658" s="953">
        <v>629</v>
      </c>
      <c r="B658" s="952"/>
      <c r="C658" s="952"/>
      <c r="D658" s="952"/>
      <c r="E658" s="953"/>
      <c r="F658" s="954"/>
      <c r="G658" s="954"/>
      <c r="H658" s="954"/>
      <c r="I658" s="953"/>
    </row>
    <row r="659" spans="1:9" x14ac:dyDescent="0.2">
      <c r="A659" s="953">
        <v>630</v>
      </c>
      <c r="B659" s="952"/>
      <c r="C659" s="952"/>
      <c r="D659" s="952"/>
      <c r="E659" s="953"/>
      <c r="F659" s="954"/>
      <c r="G659" s="954"/>
      <c r="H659" s="954"/>
      <c r="I659" s="953"/>
    </row>
    <row r="660" spans="1:9" x14ac:dyDescent="0.2">
      <c r="A660" s="953">
        <v>631</v>
      </c>
      <c r="B660" s="952"/>
      <c r="C660" s="952"/>
      <c r="D660" s="952"/>
      <c r="E660" s="953"/>
      <c r="F660" s="954"/>
      <c r="G660" s="954"/>
      <c r="H660" s="954"/>
      <c r="I660" s="953"/>
    </row>
    <row r="661" spans="1:9" x14ac:dyDescent="0.2">
      <c r="A661" s="953">
        <v>632</v>
      </c>
      <c r="B661" s="952"/>
      <c r="C661" s="952"/>
      <c r="D661" s="952"/>
      <c r="E661" s="953"/>
      <c r="F661" s="954"/>
      <c r="G661" s="954"/>
      <c r="H661" s="954"/>
      <c r="I661" s="953"/>
    </row>
    <row r="662" spans="1:9" x14ac:dyDescent="0.2">
      <c r="A662" s="953">
        <v>633</v>
      </c>
      <c r="B662" s="952"/>
      <c r="C662" s="952"/>
      <c r="D662" s="952"/>
      <c r="E662" s="953"/>
      <c r="F662" s="954"/>
      <c r="G662" s="954"/>
      <c r="H662" s="954"/>
      <c r="I662" s="953"/>
    </row>
    <row r="663" spans="1:9" x14ac:dyDescent="0.2">
      <c r="A663" s="953">
        <v>634</v>
      </c>
      <c r="B663" s="952"/>
      <c r="C663" s="952"/>
      <c r="D663" s="952"/>
      <c r="E663" s="953"/>
      <c r="F663" s="954"/>
      <c r="G663" s="954"/>
      <c r="H663" s="954"/>
      <c r="I663" s="953"/>
    </row>
    <row r="664" spans="1:9" x14ac:dyDescent="0.2">
      <c r="A664" s="953">
        <v>635</v>
      </c>
      <c r="B664" s="952"/>
      <c r="C664" s="952"/>
      <c r="D664" s="952"/>
      <c r="E664" s="953"/>
      <c r="F664" s="954"/>
      <c r="G664" s="954"/>
      <c r="H664" s="954"/>
      <c r="I664" s="953"/>
    </row>
    <row r="665" spans="1:9" x14ac:dyDescent="0.2">
      <c r="A665" s="953">
        <v>636</v>
      </c>
      <c r="B665" s="952"/>
      <c r="C665" s="952"/>
      <c r="D665" s="952"/>
      <c r="E665" s="953"/>
      <c r="F665" s="954"/>
      <c r="G665" s="954"/>
      <c r="H665" s="954"/>
      <c r="I665" s="953"/>
    </row>
    <row r="666" spans="1:9" x14ac:dyDescent="0.2">
      <c r="A666" s="953">
        <v>637</v>
      </c>
      <c r="B666" s="952"/>
      <c r="C666" s="952"/>
      <c r="D666" s="952"/>
      <c r="E666" s="953"/>
      <c r="F666" s="954"/>
      <c r="G666" s="954"/>
      <c r="H666" s="954"/>
      <c r="I666" s="953"/>
    </row>
    <row r="667" spans="1:9" x14ac:dyDescent="0.2">
      <c r="A667" s="953">
        <v>638</v>
      </c>
      <c r="B667" s="952"/>
      <c r="C667" s="952"/>
      <c r="D667" s="952"/>
      <c r="E667" s="953"/>
      <c r="F667" s="954"/>
      <c r="G667" s="954"/>
      <c r="H667" s="954"/>
      <c r="I667" s="953"/>
    </row>
    <row r="668" spans="1:9" x14ac:dyDescent="0.2">
      <c r="A668" s="953">
        <v>639</v>
      </c>
      <c r="B668" s="952"/>
      <c r="C668" s="952"/>
      <c r="D668" s="952"/>
      <c r="E668" s="953"/>
      <c r="F668" s="954"/>
      <c r="G668" s="954"/>
      <c r="H668" s="954"/>
      <c r="I668" s="953"/>
    </row>
    <row r="669" spans="1:9" x14ac:dyDescent="0.2">
      <c r="A669" s="953">
        <v>640</v>
      </c>
      <c r="B669" s="952"/>
      <c r="C669" s="952"/>
      <c r="D669" s="952"/>
      <c r="E669" s="953"/>
      <c r="F669" s="954"/>
      <c r="G669" s="954"/>
      <c r="H669" s="954"/>
      <c r="I669" s="953"/>
    </row>
    <row r="670" spans="1:9" x14ac:dyDescent="0.2">
      <c r="A670" s="953">
        <v>641</v>
      </c>
      <c r="B670" s="952"/>
      <c r="C670" s="952"/>
      <c r="D670" s="952"/>
      <c r="E670" s="953"/>
      <c r="F670" s="954"/>
      <c r="G670" s="954"/>
      <c r="H670" s="954"/>
      <c r="I670" s="953"/>
    </row>
    <row r="671" spans="1:9" x14ac:dyDescent="0.2">
      <c r="A671" s="953">
        <v>642</v>
      </c>
      <c r="B671" s="952"/>
      <c r="C671" s="952"/>
      <c r="D671" s="952"/>
      <c r="E671" s="953"/>
      <c r="F671" s="954"/>
      <c r="G671" s="954"/>
      <c r="H671" s="954"/>
      <c r="I671" s="953"/>
    </row>
    <row r="672" spans="1:9" x14ac:dyDescent="0.2">
      <c r="A672" s="953">
        <v>643</v>
      </c>
      <c r="B672" s="952"/>
      <c r="C672" s="952"/>
      <c r="D672" s="952"/>
      <c r="E672" s="953"/>
      <c r="F672" s="954"/>
      <c r="G672" s="954"/>
      <c r="H672" s="954"/>
      <c r="I672" s="953"/>
    </row>
    <row r="673" spans="1:9" x14ac:dyDescent="0.2">
      <c r="A673" s="953">
        <v>644</v>
      </c>
      <c r="B673" s="952"/>
      <c r="C673" s="952"/>
      <c r="D673" s="952"/>
      <c r="E673" s="953"/>
      <c r="F673" s="954"/>
      <c r="G673" s="954"/>
      <c r="H673" s="954"/>
      <c r="I673" s="953"/>
    </row>
    <row r="674" spans="1:9" x14ac:dyDescent="0.2">
      <c r="A674" s="953">
        <v>645</v>
      </c>
      <c r="B674" s="952"/>
      <c r="C674" s="952"/>
      <c r="D674" s="952"/>
      <c r="E674" s="953"/>
      <c r="F674" s="954"/>
      <c r="G674" s="954"/>
      <c r="H674" s="954"/>
      <c r="I674" s="953"/>
    </row>
    <row r="675" spans="1:9" x14ac:dyDescent="0.2">
      <c r="A675" s="953">
        <v>646</v>
      </c>
      <c r="B675" s="952"/>
      <c r="C675" s="952"/>
      <c r="D675" s="952"/>
      <c r="E675" s="953"/>
      <c r="F675" s="954"/>
      <c r="G675" s="954"/>
      <c r="H675" s="954"/>
      <c r="I675" s="953"/>
    </row>
    <row r="676" spans="1:9" x14ac:dyDescent="0.2">
      <c r="A676" s="953">
        <v>647</v>
      </c>
      <c r="B676" s="952"/>
      <c r="C676" s="952"/>
      <c r="D676" s="952"/>
      <c r="E676" s="953"/>
      <c r="F676" s="954"/>
      <c r="G676" s="954"/>
      <c r="H676" s="954"/>
      <c r="I676" s="953"/>
    </row>
    <row r="677" spans="1:9" x14ac:dyDescent="0.2">
      <c r="A677" s="953">
        <v>648</v>
      </c>
      <c r="B677" s="952"/>
      <c r="C677" s="952"/>
      <c r="D677" s="952"/>
      <c r="E677" s="953"/>
      <c r="F677" s="954"/>
      <c r="G677" s="954"/>
      <c r="H677" s="954"/>
      <c r="I677" s="953"/>
    </row>
    <row r="678" spans="1:9" x14ac:dyDescent="0.2">
      <c r="A678" s="953">
        <v>649</v>
      </c>
      <c r="B678" s="952"/>
      <c r="C678" s="952"/>
      <c r="D678" s="952"/>
      <c r="E678" s="953"/>
      <c r="F678" s="954"/>
      <c r="G678" s="954"/>
      <c r="H678" s="954"/>
      <c r="I678" s="953"/>
    </row>
    <row r="679" spans="1:9" x14ac:dyDescent="0.2">
      <c r="A679" s="953">
        <v>650</v>
      </c>
      <c r="B679" s="952"/>
      <c r="C679" s="952"/>
      <c r="D679" s="952"/>
      <c r="E679" s="953"/>
      <c r="F679" s="954"/>
      <c r="G679" s="954"/>
      <c r="H679" s="954"/>
      <c r="I679" s="953"/>
    </row>
    <row r="680" spans="1:9" x14ac:dyDescent="0.2">
      <c r="A680" s="953">
        <v>651</v>
      </c>
      <c r="B680" s="952"/>
      <c r="C680" s="952"/>
      <c r="D680" s="952"/>
      <c r="E680" s="953"/>
      <c r="F680" s="954"/>
      <c r="G680" s="954"/>
      <c r="H680" s="954"/>
      <c r="I680" s="953"/>
    </row>
    <row r="681" spans="1:9" x14ac:dyDescent="0.2">
      <c r="A681" s="953">
        <v>652</v>
      </c>
      <c r="B681" s="952"/>
      <c r="C681" s="952"/>
      <c r="D681" s="952"/>
      <c r="E681" s="953"/>
      <c r="F681" s="954"/>
      <c r="G681" s="954"/>
      <c r="H681" s="954"/>
      <c r="I681" s="953"/>
    </row>
    <row r="682" spans="1:9" x14ac:dyDescent="0.2">
      <c r="A682" s="953">
        <v>653</v>
      </c>
      <c r="B682" s="952"/>
      <c r="C682" s="952"/>
      <c r="D682" s="952"/>
      <c r="E682" s="953"/>
      <c r="F682" s="954"/>
      <c r="G682" s="954"/>
      <c r="H682" s="954"/>
      <c r="I682" s="953"/>
    </row>
    <row r="683" spans="1:9" x14ac:dyDescent="0.2">
      <c r="A683" s="953">
        <v>654</v>
      </c>
      <c r="B683" s="952"/>
      <c r="C683" s="952"/>
      <c r="D683" s="952"/>
      <c r="E683" s="953"/>
      <c r="F683" s="954"/>
      <c r="G683" s="954"/>
      <c r="H683" s="954"/>
      <c r="I683" s="953"/>
    </row>
    <row r="684" spans="1:9" x14ac:dyDescent="0.2">
      <c r="A684" s="953">
        <v>655</v>
      </c>
      <c r="B684" s="952"/>
      <c r="C684" s="952"/>
      <c r="D684" s="952"/>
      <c r="E684" s="953"/>
      <c r="F684" s="954"/>
      <c r="G684" s="954"/>
      <c r="H684" s="954"/>
      <c r="I684" s="953"/>
    </row>
    <row r="685" spans="1:9" x14ac:dyDescent="0.2">
      <c r="A685" s="953">
        <v>656</v>
      </c>
      <c r="B685" s="952"/>
      <c r="C685" s="952"/>
      <c r="D685" s="952"/>
      <c r="E685" s="953"/>
      <c r="F685" s="954"/>
      <c r="G685" s="954"/>
      <c r="H685" s="954"/>
      <c r="I685" s="953"/>
    </row>
    <row r="686" spans="1:9" x14ac:dyDescent="0.2">
      <c r="A686" s="953">
        <v>657</v>
      </c>
      <c r="B686" s="952"/>
      <c r="C686" s="952"/>
      <c r="D686" s="952"/>
      <c r="E686" s="953"/>
      <c r="F686" s="954"/>
      <c r="G686" s="954"/>
      <c r="H686" s="954"/>
      <c r="I686" s="953"/>
    </row>
    <row r="687" spans="1:9" x14ac:dyDescent="0.2">
      <c r="A687" s="953">
        <v>658</v>
      </c>
      <c r="B687" s="952"/>
      <c r="C687" s="952"/>
      <c r="D687" s="952"/>
      <c r="E687" s="953"/>
      <c r="F687" s="954"/>
      <c r="G687" s="954"/>
      <c r="H687" s="954"/>
      <c r="I687" s="953"/>
    </row>
    <row r="688" spans="1:9" x14ac:dyDescent="0.2">
      <c r="A688" s="953">
        <v>659</v>
      </c>
      <c r="B688" s="952"/>
      <c r="C688" s="952"/>
      <c r="D688" s="952"/>
      <c r="E688" s="953"/>
      <c r="F688" s="954"/>
      <c r="G688" s="954"/>
      <c r="H688" s="954"/>
      <c r="I688" s="953"/>
    </row>
    <row r="689" spans="1:9" x14ac:dyDescent="0.2">
      <c r="A689" s="953">
        <v>660</v>
      </c>
      <c r="B689" s="952"/>
      <c r="C689" s="952"/>
      <c r="D689" s="952"/>
      <c r="E689" s="953"/>
      <c r="F689" s="954"/>
      <c r="G689" s="954"/>
      <c r="H689" s="954"/>
      <c r="I689" s="953"/>
    </row>
    <row r="690" spans="1:9" x14ac:dyDescent="0.2">
      <c r="A690" s="953">
        <v>661</v>
      </c>
      <c r="B690" s="952"/>
      <c r="C690" s="952"/>
      <c r="D690" s="952"/>
      <c r="E690" s="953"/>
      <c r="F690" s="954"/>
      <c r="G690" s="954"/>
      <c r="H690" s="954"/>
      <c r="I690" s="953"/>
    </row>
    <row r="691" spans="1:9" x14ac:dyDescent="0.2">
      <c r="A691" s="953">
        <v>662</v>
      </c>
      <c r="B691" s="952"/>
      <c r="C691" s="952"/>
      <c r="D691" s="952"/>
      <c r="E691" s="953"/>
      <c r="F691" s="954"/>
      <c r="G691" s="954"/>
      <c r="H691" s="954"/>
      <c r="I691" s="953"/>
    </row>
    <row r="692" spans="1:9" x14ac:dyDescent="0.2">
      <c r="A692" s="953">
        <v>663</v>
      </c>
      <c r="B692" s="952"/>
      <c r="C692" s="952"/>
      <c r="D692" s="952"/>
      <c r="E692" s="953"/>
      <c r="F692" s="954"/>
      <c r="G692" s="954"/>
      <c r="H692" s="954"/>
      <c r="I692" s="953"/>
    </row>
    <row r="693" spans="1:9" x14ac:dyDescent="0.2">
      <c r="A693" s="953">
        <v>664</v>
      </c>
      <c r="B693" s="952"/>
      <c r="C693" s="952"/>
      <c r="D693" s="952"/>
      <c r="E693" s="953"/>
      <c r="F693" s="954"/>
      <c r="G693" s="954"/>
      <c r="H693" s="954"/>
      <c r="I693" s="953"/>
    </row>
    <row r="694" spans="1:9" x14ac:dyDescent="0.2">
      <c r="A694" s="953">
        <v>665</v>
      </c>
      <c r="B694" s="952"/>
      <c r="C694" s="952"/>
      <c r="D694" s="952"/>
      <c r="E694" s="953"/>
      <c r="F694" s="954"/>
      <c r="G694" s="954"/>
      <c r="H694" s="954"/>
      <c r="I694" s="953"/>
    </row>
    <row r="695" spans="1:9" x14ac:dyDescent="0.2">
      <c r="A695" s="953">
        <v>666</v>
      </c>
      <c r="B695" s="952"/>
      <c r="C695" s="952"/>
      <c r="D695" s="952"/>
      <c r="E695" s="953"/>
      <c r="F695" s="954"/>
      <c r="G695" s="954"/>
      <c r="H695" s="954"/>
      <c r="I695" s="953"/>
    </row>
    <row r="696" spans="1:9" x14ac:dyDescent="0.2">
      <c r="A696" s="953">
        <v>667</v>
      </c>
      <c r="B696" s="952"/>
      <c r="C696" s="952"/>
      <c r="D696" s="952"/>
      <c r="E696" s="953"/>
      <c r="F696" s="954"/>
      <c r="G696" s="954"/>
      <c r="H696" s="954"/>
      <c r="I696" s="953"/>
    </row>
    <row r="697" spans="1:9" x14ac:dyDescent="0.2">
      <c r="A697" s="953">
        <v>668</v>
      </c>
      <c r="B697" s="952"/>
      <c r="C697" s="952"/>
      <c r="D697" s="952"/>
      <c r="E697" s="953"/>
      <c r="F697" s="954"/>
      <c r="G697" s="954"/>
      <c r="H697" s="954"/>
      <c r="I697" s="953"/>
    </row>
    <row r="698" spans="1:9" x14ac:dyDescent="0.2">
      <c r="A698" s="953">
        <v>669</v>
      </c>
      <c r="B698" s="952"/>
      <c r="C698" s="952"/>
      <c r="D698" s="952"/>
      <c r="E698" s="953"/>
      <c r="F698" s="954"/>
      <c r="G698" s="954"/>
      <c r="H698" s="954"/>
      <c r="I698" s="953"/>
    </row>
    <row r="699" spans="1:9" x14ac:dyDescent="0.2">
      <c r="A699" s="953">
        <v>670</v>
      </c>
      <c r="B699" s="952"/>
      <c r="C699" s="952"/>
      <c r="D699" s="952"/>
      <c r="E699" s="953"/>
      <c r="F699" s="954"/>
      <c r="G699" s="954"/>
      <c r="H699" s="954"/>
      <c r="I699" s="953"/>
    </row>
    <row r="700" spans="1:9" x14ac:dyDescent="0.2">
      <c r="A700" s="953">
        <v>671</v>
      </c>
      <c r="B700" s="952"/>
      <c r="C700" s="952"/>
      <c r="D700" s="952"/>
      <c r="E700" s="953"/>
      <c r="F700" s="954"/>
      <c r="G700" s="954"/>
      <c r="H700" s="954"/>
      <c r="I700" s="953"/>
    </row>
    <row r="701" spans="1:9" x14ac:dyDescent="0.2">
      <c r="A701" s="953">
        <v>672</v>
      </c>
      <c r="B701" s="952"/>
      <c r="C701" s="952"/>
      <c r="D701" s="952"/>
      <c r="E701" s="953"/>
      <c r="F701" s="954"/>
      <c r="G701" s="954"/>
      <c r="H701" s="954"/>
      <c r="I701" s="953"/>
    </row>
    <row r="702" spans="1:9" x14ac:dyDescent="0.2">
      <c r="A702" s="953">
        <v>673</v>
      </c>
      <c r="B702" s="952"/>
      <c r="C702" s="952"/>
      <c r="D702" s="952"/>
      <c r="E702" s="953"/>
      <c r="F702" s="954"/>
      <c r="G702" s="954"/>
      <c r="H702" s="954"/>
      <c r="I702" s="953"/>
    </row>
    <row r="703" spans="1:9" x14ac:dyDescent="0.2">
      <c r="A703" s="953">
        <v>674</v>
      </c>
      <c r="B703" s="952"/>
      <c r="C703" s="952"/>
      <c r="D703" s="952"/>
      <c r="E703" s="953"/>
      <c r="F703" s="954"/>
      <c r="G703" s="954"/>
      <c r="H703" s="954"/>
      <c r="I703" s="953"/>
    </row>
    <row r="704" spans="1:9" x14ac:dyDescent="0.2">
      <c r="A704" s="953">
        <v>675</v>
      </c>
      <c r="B704" s="952"/>
      <c r="C704" s="952"/>
      <c r="D704" s="952"/>
      <c r="E704" s="953"/>
      <c r="F704" s="954"/>
      <c r="G704" s="954"/>
      <c r="H704" s="954"/>
      <c r="I704" s="953"/>
    </row>
    <row r="705" spans="1:9" x14ac:dyDescent="0.2">
      <c r="A705" s="953">
        <v>676</v>
      </c>
      <c r="B705" s="952"/>
      <c r="C705" s="952"/>
      <c r="D705" s="952"/>
      <c r="E705" s="953"/>
      <c r="F705" s="954"/>
      <c r="G705" s="954"/>
      <c r="H705" s="954"/>
      <c r="I705" s="953"/>
    </row>
    <row r="706" spans="1:9" x14ac:dyDescent="0.2">
      <c r="A706" s="953">
        <v>677</v>
      </c>
      <c r="B706" s="952"/>
      <c r="C706" s="952"/>
      <c r="D706" s="952"/>
      <c r="E706" s="953"/>
      <c r="F706" s="954"/>
      <c r="G706" s="954"/>
      <c r="H706" s="954"/>
      <c r="I706" s="953"/>
    </row>
    <row r="707" spans="1:9" x14ac:dyDescent="0.2">
      <c r="A707" s="953">
        <v>678</v>
      </c>
      <c r="B707" s="952"/>
      <c r="C707" s="952"/>
      <c r="D707" s="952"/>
      <c r="E707" s="953"/>
      <c r="F707" s="954"/>
      <c r="G707" s="954"/>
      <c r="H707" s="954"/>
      <c r="I707" s="953"/>
    </row>
    <row r="708" spans="1:9" x14ac:dyDescent="0.2">
      <c r="A708" s="953">
        <v>679</v>
      </c>
      <c r="B708" s="952"/>
      <c r="C708" s="952"/>
      <c r="D708" s="952"/>
      <c r="E708" s="953"/>
      <c r="F708" s="954"/>
      <c r="G708" s="954"/>
      <c r="H708" s="954"/>
      <c r="I708" s="953"/>
    </row>
    <row r="709" spans="1:9" x14ac:dyDescent="0.2">
      <c r="A709" s="953">
        <v>680</v>
      </c>
      <c r="B709" s="952"/>
      <c r="C709" s="952"/>
      <c r="D709" s="952"/>
      <c r="E709" s="953"/>
      <c r="F709" s="954"/>
      <c r="G709" s="954"/>
      <c r="H709" s="954"/>
      <c r="I709" s="953"/>
    </row>
    <row r="710" spans="1:9" x14ac:dyDescent="0.2">
      <c r="A710" s="953">
        <v>681</v>
      </c>
      <c r="B710" s="952"/>
      <c r="C710" s="952"/>
      <c r="D710" s="952"/>
      <c r="E710" s="953"/>
      <c r="F710" s="954"/>
      <c r="G710" s="954"/>
      <c r="H710" s="954"/>
      <c r="I710" s="953"/>
    </row>
    <row r="711" spans="1:9" x14ac:dyDescent="0.2">
      <c r="A711" s="953">
        <v>682</v>
      </c>
      <c r="B711" s="952"/>
      <c r="C711" s="952"/>
      <c r="D711" s="952"/>
      <c r="E711" s="953"/>
      <c r="F711" s="954"/>
      <c r="G711" s="954"/>
      <c r="H711" s="954"/>
      <c r="I711" s="953"/>
    </row>
    <row r="712" spans="1:9" x14ac:dyDescent="0.2">
      <c r="A712" s="953">
        <v>683</v>
      </c>
      <c r="B712" s="952"/>
      <c r="C712" s="952"/>
      <c r="D712" s="952"/>
      <c r="E712" s="953"/>
      <c r="F712" s="954"/>
      <c r="G712" s="954"/>
      <c r="H712" s="954"/>
      <c r="I712" s="953"/>
    </row>
    <row r="713" spans="1:9" x14ac:dyDescent="0.2">
      <c r="A713" s="953">
        <v>684</v>
      </c>
      <c r="B713" s="952"/>
      <c r="C713" s="952"/>
      <c r="D713" s="952"/>
      <c r="E713" s="953"/>
      <c r="F713" s="954"/>
      <c r="G713" s="954"/>
      <c r="H713" s="954"/>
      <c r="I713" s="953"/>
    </row>
    <row r="714" spans="1:9" x14ac:dyDescent="0.2">
      <c r="A714" s="953">
        <v>685</v>
      </c>
      <c r="B714" s="952"/>
      <c r="C714" s="952"/>
      <c r="D714" s="952"/>
      <c r="E714" s="953"/>
      <c r="F714" s="954"/>
      <c r="G714" s="954"/>
      <c r="H714" s="954"/>
      <c r="I714" s="953"/>
    </row>
    <row r="715" spans="1:9" x14ac:dyDescent="0.2">
      <c r="A715" s="953">
        <v>686</v>
      </c>
      <c r="B715" s="952"/>
      <c r="C715" s="952"/>
      <c r="D715" s="952"/>
      <c r="E715" s="953"/>
      <c r="F715" s="954"/>
      <c r="G715" s="954"/>
      <c r="H715" s="954"/>
      <c r="I715" s="953"/>
    </row>
    <row r="716" spans="1:9" x14ac:dyDescent="0.2">
      <c r="A716" s="953">
        <v>687</v>
      </c>
      <c r="B716" s="952"/>
      <c r="C716" s="952"/>
      <c r="D716" s="952"/>
      <c r="E716" s="953"/>
      <c r="F716" s="954"/>
      <c r="G716" s="954"/>
      <c r="H716" s="954"/>
      <c r="I716" s="953"/>
    </row>
    <row r="717" spans="1:9" x14ac:dyDescent="0.2">
      <c r="A717" s="953">
        <v>688</v>
      </c>
      <c r="B717" s="952"/>
      <c r="C717" s="952"/>
      <c r="D717" s="952"/>
      <c r="E717" s="953"/>
      <c r="F717" s="954"/>
      <c r="G717" s="954"/>
      <c r="H717" s="954"/>
      <c r="I717" s="953"/>
    </row>
    <row r="718" spans="1:9" x14ac:dyDescent="0.2">
      <c r="A718" s="953">
        <v>689</v>
      </c>
      <c r="B718" s="952"/>
      <c r="C718" s="952"/>
      <c r="D718" s="952"/>
      <c r="E718" s="953"/>
      <c r="F718" s="954"/>
      <c r="G718" s="954"/>
      <c r="H718" s="954"/>
      <c r="I718" s="953"/>
    </row>
    <row r="719" spans="1:9" x14ac:dyDescent="0.2">
      <c r="A719" s="953">
        <v>690</v>
      </c>
      <c r="B719" s="952"/>
      <c r="C719" s="952"/>
      <c r="D719" s="952"/>
      <c r="E719" s="953"/>
      <c r="F719" s="954"/>
      <c r="G719" s="954"/>
      <c r="H719" s="954"/>
      <c r="I719" s="953"/>
    </row>
    <row r="720" spans="1:9" x14ac:dyDescent="0.2">
      <c r="A720" s="953">
        <v>691</v>
      </c>
      <c r="B720" s="952"/>
      <c r="C720" s="952"/>
      <c r="D720" s="952"/>
      <c r="E720" s="953"/>
      <c r="F720" s="954"/>
      <c r="G720" s="954"/>
      <c r="H720" s="954"/>
      <c r="I720" s="953"/>
    </row>
    <row r="721" spans="1:9" x14ac:dyDescent="0.2">
      <c r="A721" s="953">
        <v>692</v>
      </c>
      <c r="B721" s="952"/>
      <c r="C721" s="952"/>
      <c r="D721" s="952"/>
      <c r="E721" s="953"/>
      <c r="F721" s="954"/>
      <c r="G721" s="954"/>
      <c r="H721" s="954"/>
      <c r="I721" s="953"/>
    </row>
    <row r="722" spans="1:9" x14ac:dyDescent="0.2">
      <c r="A722" s="953">
        <v>693</v>
      </c>
      <c r="B722" s="952"/>
      <c r="C722" s="952"/>
      <c r="D722" s="952"/>
      <c r="E722" s="953"/>
      <c r="F722" s="954"/>
      <c r="G722" s="954"/>
      <c r="H722" s="954"/>
      <c r="I722" s="953"/>
    </row>
    <row r="723" spans="1:9" x14ac:dyDescent="0.2">
      <c r="A723" s="953">
        <v>694</v>
      </c>
      <c r="B723" s="952"/>
      <c r="C723" s="952"/>
      <c r="D723" s="952"/>
      <c r="E723" s="953"/>
      <c r="F723" s="954"/>
      <c r="G723" s="954"/>
      <c r="H723" s="954"/>
      <c r="I723" s="953"/>
    </row>
    <row r="724" spans="1:9" x14ac:dyDescent="0.2">
      <c r="A724" s="953">
        <v>695</v>
      </c>
      <c r="B724" s="952"/>
      <c r="C724" s="952"/>
      <c r="D724" s="952"/>
      <c r="E724" s="953"/>
      <c r="F724" s="954"/>
      <c r="G724" s="954"/>
      <c r="H724" s="954"/>
      <c r="I724" s="953"/>
    </row>
    <row r="725" spans="1:9" x14ac:dyDescent="0.2">
      <c r="A725" s="953">
        <v>696</v>
      </c>
      <c r="B725" s="952"/>
      <c r="C725" s="952"/>
      <c r="D725" s="952"/>
      <c r="E725" s="953"/>
      <c r="F725" s="954"/>
      <c r="G725" s="954"/>
      <c r="H725" s="954"/>
      <c r="I725" s="953"/>
    </row>
    <row r="726" spans="1:9" x14ac:dyDescent="0.2">
      <c r="A726" s="953">
        <v>697</v>
      </c>
      <c r="B726" s="952"/>
      <c r="C726" s="952"/>
      <c r="D726" s="952"/>
      <c r="E726" s="953"/>
      <c r="F726" s="954"/>
      <c r="G726" s="954"/>
      <c r="H726" s="954"/>
      <c r="I726" s="953"/>
    </row>
    <row r="727" spans="1:9" x14ac:dyDescent="0.2">
      <c r="A727" s="953">
        <v>698</v>
      </c>
      <c r="B727" s="952"/>
      <c r="C727" s="952"/>
      <c r="D727" s="952"/>
      <c r="E727" s="953"/>
      <c r="F727" s="954"/>
      <c r="G727" s="954"/>
      <c r="H727" s="954"/>
      <c r="I727" s="953"/>
    </row>
    <row r="728" spans="1:9" x14ac:dyDescent="0.2">
      <c r="A728" s="953">
        <v>699</v>
      </c>
      <c r="B728" s="952"/>
      <c r="C728" s="952"/>
      <c r="D728" s="952"/>
      <c r="E728" s="953"/>
      <c r="F728" s="954"/>
      <c r="G728" s="954"/>
      <c r="H728" s="954"/>
      <c r="I728" s="953"/>
    </row>
    <row r="729" spans="1:9" x14ac:dyDescent="0.2">
      <c r="A729" s="953">
        <v>700</v>
      </c>
      <c r="B729" s="952"/>
      <c r="C729" s="952"/>
      <c r="D729" s="952"/>
      <c r="E729" s="953"/>
      <c r="F729" s="954"/>
      <c r="G729" s="954"/>
      <c r="H729" s="954"/>
      <c r="I729" s="953"/>
    </row>
    <row r="730" spans="1:9" x14ac:dyDescent="0.2">
      <c r="A730" s="953">
        <v>701</v>
      </c>
      <c r="B730" s="952"/>
      <c r="C730" s="952"/>
      <c r="D730" s="952"/>
      <c r="E730" s="953"/>
      <c r="F730" s="954"/>
      <c r="G730" s="954"/>
      <c r="H730" s="954"/>
      <c r="I730" s="953"/>
    </row>
    <row r="731" spans="1:9" x14ac:dyDescent="0.2">
      <c r="A731" s="953">
        <v>702</v>
      </c>
      <c r="B731" s="952"/>
      <c r="C731" s="952"/>
      <c r="D731" s="952"/>
      <c r="E731" s="953"/>
      <c r="F731" s="954"/>
      <c r="G731" s="954"/>
      <c r="H731" s="954"/>
      <c r="I731" s="953"/>
    </row>
    <row r="732" spans="1:9" x14ac:dyDescent="0.2">
      <c r="A732" s="953">
        <v>703</v>
      </c>
      <c r="B732" s="952"/>
      <c r="C732" s="952"/>
      <c r="D732" s="952"/>
      <c r="E732" s="953"/>
      <c r="F732" s="954"/>
      <c r="G732" s="954"/>
      <c r="H732" s="954"/>
      <c r="I732" s="953"/>
    </row>
    <row r="733" spans="1:9" x14ac:dyDescent="0.2">
      <c r="A733" s="953">
        <v>704</v>
      </c>
      <c r="B733" s="952"/>
      <c r="C733" s="952"/>
      <c r="D733" s="952"/>
      <c r="E733" s="953"/>
      <c r="F733" s="954"/>
      <c r="G733" s="954"/>
      <c r="H733" s="954"/>
      <c r="I733" s="953"/>
    </row>
    <row r="734" spans="1:9" x14ac:dyDescent="0.2">
      <c r="A734" s="953">
        <v>705</v>
      </c>
      <c r="B734" s="952"/>
      <c r="C734" s="952"/>
      <c r="D734" s="952"/>
      <c r="E734" s="953"/>
      <c r="F734" s="954"/>
      <c r="G734" s="954"/>
      <c r="H734" s="954"/>
      <c r="I734" s="953"/>
    </row>
    <row r="735" spans="1:9" x14ac:dyDescent="0.2">
      <c r="A735" s="953">
        <v>706</v>
      </c>
      <c r="B735" s="952"/>
      <c r="C735" s="952"/>
      <c r="D735" s="952"/>
      <c r="E735" s="953"/>
      <c r="F735" s="954"/>
      <c r="G735" s="954"/>
      <c r="H735" s="954"/>
      <c r="I735" s="953"/>
    </row>
    <row r="736" spans="1:9" x14ac:dyDescent="0.2">
      <c r="A736" s="953">
        <v>707</v>
      </c>
      <c r="B736" s="952"/>
      <c r="C736" s="952"/>
      <c r="D736" s="952"/>
      <c r="E736" s="953"/>
      <c r="F736" s="954"/>
      <c r="G736" s="954"/>
      <c r="H736" s="954"/>
      <c r="I736" s="953"/>
    </row>
    <row r="737" spans="1:9" x14ac:dyDescent="0.2">
      <c r="A737" s="953">
        <v>708</v>
      </c>
      <c r="B737" s="952"/>
      <c r="C737" s="952"/>
      <c r="D737" s="952"/>
      <c r="E737" s="953"/>
      <c r="F737" s="954"/>
      <c r="G737" s="954"/>
      <c r="H737" s="954"/>
      <c r="I737" s="953"/>
    </row>
    <row r="738" spans="1:9" x14ac:dyDescent="0.2">
      <c r="A738" s="953">
        <v>709</v>
      </c>
      <c r="B738" s="952"/>
      <c r="C738" s="952"/>
      <c r="D738" s="952"/>
      <c r="E738" s="953"/>
      <c r="F738" s="954"/>
      <c r="G738" s="954"/>
      <c r="H738" s="954"/>
      <c r="I738" s="953"/>
    </row>
    <row r="739" spans="1:9" x14ac:dyDescent="0.2">
      <c r="A739" s="953">
        <v>710</v>
      </c>
      <c r="B739" s="952"/>
      <c r="C739" s="952"/>
      <c r="D739" s="952"/>
      <c r="E739" s="953"/>
      <c r="F739" s="954"/>
      <c r="G739" s="954"/>
      <c r="H739" s="954"/>
      <c r="I739" s="953"/>
    </row>
    <row r="740" spans="1:9" x14ac:dyDescent="0.2">
      <c r="A740" s="953">
        <v>711</v>
      </c>
      <c r="B740" s="952"/>
      <c r="C740" s="952"/>
      <c r="D740" s="952"/>
      <c r="E740" s="953"/>
      <c r="F740" s="954"/>
      <c r="G740" s="954"/>
      <c r="H740" s="954"/>
      <c r="I740" s="953"/>
    </row>
    <row r="741" spans="1:9" x14ac:dyDescent="0.2">
      <c r="A741" s="953">
        <v>712</v>
      </c>
      <c r="B741" s="952"/>
      <c r="C741" s="952"/>
      <c r="D741" s="952"/>
      <c r="E741" s="953"/>
      <c r="F741" s="954"/>
      <c r="G741" s="954"/>
      <c r="H741" s="954"/>
      <c r="I741" s="953"/>
    </row>
    <row r="742" spans="1:9" x14ac:dyDescent="0.2">
      <c r="A742" s="953">
        <v>713</v>
      </c>
      <c r="B742" s="952"/>
      <c r="C742" s="952"/>
      <c r="D742" s="952"/>
      <c r="E742" s="953"/>
      <c r="F742" s="954"/>
      <c r="G742" s="954"/>
      <c r="H742" s="954"/>
      <c r="I742" s="953"/>
    </row>
    <row r="743" spans="1:9" x14ac:dyDescent="0.2">
      <c r="A743" s="953">
        <v>714</v>
      </c>
      <c r="B743" s="952"/>
      <c r="C743" s="952"/>
      <c r="D743" s="952"/>
      <c r="E743" s="953"/>
      <c r="F743" s="954"/>
      <c r="G743" s="954"/>
      <c r="H743" s="954"/>
      <c r="I743" s="953"/>
    </row>
    <row r="744" spans="1:9" x14ac:dyDescent="0.2">
      <c r="A744" s="953">
        <v>715</v>
      </c>
      <c r="B744" s="952"/>
      <c r="C744" s="952"/>
      <c r="D744" s="952"/>
      <c r="E744" s="953"/>
      <c r="F744" s="954"/>
      <c r="G744" s="954"/>
      <c r="H744" s="954"/>
      <c r="I744" s="953"/>
    </row>
    <row r="745" spans="1:9" x14ac:dyDescent="0.2">
      <c r="A745" s="953">
        <v>716</v>
      </c>
      <c r="B745" s="952"/>
      <c r="C745" s="952"/>
      <c r="D745" s="952"/>
      <c r="E745" s="953"/>
      <c r="F745" s="954"/>
      <c r="G745" s="954"/>
      <c r="H745" s="954"/>
      <c r="I745" s="953"/>
    </row>
    <row r="746" spans="1:9" x14ac:dyDescent="0.2">
      <c r="A746" s="953">
        <v>717</v>
      </c>
      <c r="B746" s="952"/>
      <c r="C746" s="952"/>
      <c r="D746" s="952"/>
      <c r="E746" s="953"/>
      <c r="F746" s="954"/>
      <c r="G746" s="954"/>
      <c r="H746" s="954"/>
      <c r="I746" s="953"/>
    </row>
    <row r="747" spans="1:9" x14ac:dyDescent="0.2">
      <c r="A747" s="953">
        <v>718</v>
      </c>
      <c r="B747" s="952"/>
      <c r="C747" s="952"/>
      <c r="D747" s="952"/>
      <c r="E747" s="953"/>
      <c r="F747" s="954"/>
      <c r="G747" s="954"/>
      <c r="H747" s="954"/>
      <c r="I747" s="953"/>
    </row>
    <row r="748" spans="1:9" x14ac:dyDescent="0.2">
      <c r="A748" s="953">
        <v>719</v>
      </c>
      <c r="B748" s="952"/>
      <c r="C748" s="952"/>
      <c r="D748" s="952"/>
      <c r="E748" s="953"/>
      <c r="F748" s="954"/>
      <c r="G748" s="954"/>
      <c r="H748" s="954"/>
      <c r="I748" s="953"/>
    </row>
    <row r="749" spans="1:9" x14ac:dyDescent="0.2">
      <c r="A749" s="953">
        <v>720</v>
      </c>
      <c r="B749" s="952"/>
      <c r="C749" s="952"/>
      <c r="D749" s="952"/>
      <c r="E749" s="953"/>
      <c r="F749" s="954"/>
      <c r="G749" s="954"/>
      <c r="H749" s="954"/>
      <c r="I749" s="953"/>
    </row>
    <row r="750" spans="1:9" x14ac:dyDescent="0.2">
      <c r="A750" s="953">
        <v>721</v>
      </c>
      <c r="B750" s="952"/>
      <c r="C750" s="952"/>
      <c r="D750" s="952"/>
      <c r="E750" s="953"/>
      <c r="F750" s="954"/>
      <c r="G750" s="954"/>
      <c r="H750" s="954"/>
      <c r="I750" s="953"/>
    </row>
    <row r="751" spans="1:9" x14ac:dyDescent="0.2">
      <c r="A751" s="953">
        <v>722</v>
      </c>
      <c r="B751" s="952"/>
      <c r="C751" s="952"/>
      <c r="D751" s="952"/>
      <c r="E751" s="953"/>
      <c r="F751" s="954"/>
      <c r="G751" s="954"/>
      <c r="H751" s="954"/>
      <c r="I751" s="953"/>
    </row>
    <row r="752" spans="1:9" x14ac:dyDescent="0.2">
      <c r="A752" s="953">
        <v>723</v>
      </c>
      <c r="B752" s="952"/>
      <c r="C752" s="952"/>
      <c r="D752" s="952"/>
      <c r="E752" s="953"/>
      <c r="F752" s="954"/>
      <c r="G752" s="954"/>
      <c r="H752" s="954"/>
      <c r="I752" s="953"/>
    </row>
    <row r="753" spans="1:9" x14ac:dyDescent="0.2">
      <c r="A753" s="953">
        <v>724</v>
      </c>
      <c r="B753" s="952"/>
      <c r="C753" s="952"/>
      <c r="D753" s="952"/>
      <c r="E753" s="953"/>
      <c r="F753" s="954"/>
      <c r="G753" s="954"/>
      <c r="H753" s="954"/>
      <c r="I753" s="953"/>
    </row>
    <row r="754" spans="1:9" x14ac:dyDescent="0.2">
      <c r="A754" s="953">
        <v>725</v>
      </c>
      <c r="B754" s="952"/>
      <c r="C754" s="952"/>
      <c r="D754" s="952"/>
      <c r="E754" s="953"/>
      <c r="F754" s="954"/>
      <c r="G754" s="954"/>
      <c r="H754" s="954"/>
      <c r="I754" s="953"/>
    </row>
    <row r="755" spans="1:9" x14ac:dyDescent="0.2">
      <c r="A755" s="953">
        <v>726</v>
      </c>
      <c r="B755" s="952"/>
      <c r="C755" s="952"/>
      <c r="D755" s="952"/>
      <c r="E755" s="953"/>
      <c r="F755" s="954"/>
      <c r="G755" s="954"/>
      <c r="H755" s="954"/>
      <c r="I755" s="953"/>
    </row>
    <row r="756" spans="1:9" x14ac:dyDescent="0.2">
      <c r="A756" s="953">
        <v>727</v>
      </c>
      <c r="B756" s="952"/>
      <c r="C756" s="952"/>
      <c r="D756" s="952"/>
      <c r="E756" s="953"/>
      <c r="F756" s="954"/>
      <c r="G756" s="954"/>
      <c r="H756" s="954"/>
      <c r="I756" s="953"/>
    </row>
    <row r="757" spans="1:9" x14ac:dyDescent="0.2">
      <c r="A757" s="953">
        <v>728</v>
      </c>
      <c r="B757" s="952"/>
      <c r="C757" s="952"/>
      <c r="D757" s="952"/>
      <c r="E757" s="953"/>
      <c r="F757" s="954"/>
      <c r="G757" s="954"/>
      <c r="H757" s="954"/>
      <c r="I757" s="953"/>
    </row>
    <row r="758" spans="1:9" x14ac:dyDescent="0.2">
      <c r="A758" s="953">
        <v>729</v>
      </c>
      <c r="B758" s="952"/>
      <c r="C758" s="952"/>
      <c r="D758" s="952"/>
      <c r="E758" s="953"/>
      <c r="F758" s="954"/>
      <c r="G758" s="954"/>
      <c r="H758" s="954"/>
      <c r="I758" s="953"/>
    </row>
    <row r="759" spans="1:9" x14ac:dyDescent="0.2">
      <c r="A759" s="953">
        <v>730</v>
      </c>
      <c r="B759" s="952"/>
      <c r="C759" s="952"/>
      <c r="D759" s="952"/>
      <c r="E759" s="953"/>
      <c r="F759" s="954"/>
      <c r="G759" s="954"/>
      <c r="H759" s="954"/>
      <c r="I759" s="953"/>
    </row>
    <row r="760" spans="1:9" x14ac:dyDescent="0.2">
      <c r="A760" s="953">
        <v>731</v>
      </c>
      <c r="B760" s="952"/>
      <c r="C760" s="952"/>
      <c r="D760" s="952"/>
      <c r="E760" s="953"/>
      <c r="F760" s="954"/>
      <c r="G760" s="954"/>
      <c r="H760" s="954"/>
      <c r="I760" s="953"/>
    </row>
    <row r="761" spans="1:9" x14ac:dyDescent="0.2">
      <c r="A761" s="953">
        <v>732</v>
      </c>
      <c r="B761" s="952"/>
      <c r="C761" s="952"/>
      <c r="D761" s="952"/>
      <c r="E761" s="953"/>
      <c r="F761" s="954"/>
      <c r="G761" s="954"/>
      <c r="H761" s="954"/>
      <c r="I761" s="953"/>
    </row>
    <row r="762" spans="1:9" x14ac:dyDescent="0.2">
      <c r="A762" s="953">
        <v>733</v>
      </c>
      <c r="B762" s="952"/>
      <c r="C762" s="952"/>
      <c r="D762" s="952"/>
      <c r="E762" s="953"/>
      <c r="F762" s="954"/>
      <c r="G762" s="954"/>
      <c r="H762" s="954"/>
      <c r="I762" s="953"/>
    </row>
    <row r="763" spans="1:9" x14ac:dyDescent="0.2">
      <c r="A763" s="953">
        <v>734</v>
      </c>
      <c r="B763" s="952"/>
      <c r="C763" s="952"/>
      <c r="D763" s="952"/>
      <c r="E763" s="953"/>
      <c r="F763" s="954"/>
      <c r="G763" s="954"/>
      <c r="H763" s="954"/>
      <c r="I763" s="953"/>
    </row>
    <row r="764" spans="1:9" x14ac:dyDescent="0.2">
      <c r="A764" s="953">
        <v>735</v>
      </c>
      <c r="B764" s="952"/>
      <c r="C764" s="952"/>
      <c r="D764" s="952"/>
      <c r="E764" s="953"/>
      <c r="F764" s="954"/>
      <c r="G764" s="954"/>
      <c r="H764" s="954"/>
      <c r="I764" s="953"/>
    </row>
    <row r="765" spans="1:9" x14ac:dyDescent="0.2">
      <c r="A765" s="953">
        <v>736</v>
      </c>
      <c r="B765" s="952"/>
      <c r="C765" s="952"/>
      <c r="D765" s="952"/>
      <c r="E765" s="953"/>
      <c r="F765" s="954"/>
      <c r="G765" s="954"/>
      <c r="H765" s="954"/>
      <c r="I765" s="953"/>
    </row>
    <row r="766" spans="1:9" x14ac:dyDescent="0.2">
      <c r="A766" s="953">
        <v>737</v>
      </c>
      <c r="B766" s="952"/>
      <c r="C766" s="952"/>
      <c r="D766" s="952"/>
      <c r="E766" s="953"/>
      <c r="F766" s="954"/>
      <c r="G766" s="954"/>
      <c r="H766" s="954"/>
      <c r="I766" s="953"/>
    </row>
    <row r="767" spans="1:9" x14ac:dyDescent="0.2">
      <c r="A767" s="953">
        <v>738</v>
      </c>
      <c r="B767" s="952"/>
      <c r="C767" s="952"/>
      <c r="D767" s="952"/>
      <c r="E767" s="953"/>
      <c r="F767" s="954"/>
      <c r="G767" s="954"/>
      <c r="H767" s="954"/>
      <c r="I767" s="953"/>
    </row>
    <row r="768" spans="1:9" x14ac:dyDescent="0.2">
      <c r="A768" s="953">
        <v>739</v>
      </c>
      <c r="B768" s="952"/>
      <c r="C768" s="952"/>
      <c r="D768" s="952"/>
      <c r="E768" s="953"/>
      <c r="F768" s="954"/>
      <c r="G768" s="954"/>
      <c r="H768" s="954"/>
      <c r="I768" s="953"/>
    </row>
    <row r="769" spans="1:9" x14ac:dyDescent="0.2">
      <c r="A769" s="953">
        <v>740</v>
      </c>
      <c r="B769" s="952"/>
      <c r="C769" s="952"/>
      <c r="D769" s="952"/>
      <c r="E769" s="953"/>
      <c r="F769" s="954"/>
      <c r="G769" s="954"/>
      <c r="H769" s="954"/>
      <c r="I769" s="953"/>
    </row>
    <row r="770" spans="1:9" x14ac:dyDescent="0.2">
      <c r="A770" s="953">
        <v>741</v>
      </c>
      <c r="B770" s="952"/>
      <c r="C770" s="952"/>
      <c r="D770" s="952"/>
      <c r="E770" s="953"/>
      <c r="F770" s="954"/>
      <c r="G770" s="954"/>
      <c r="H770" s="954"/>
      <c r="I770" s="953"/>
    </row>
    <row r="771" spans="1:9" x14ac:dyDescent="0.2">
      <c r="A771" s="953">
        <v>742</v>
      </c>
      <c r="B771" s="952"/>
      <c r="C771" s="952"/>
      <c r="D771" s="952"/>
      <c r="E771" s="953"/>
      <c r="F771" s="954"/>
      <c r="G771" s="954"/>
      <c r="H771" s="954"/>
      <c r="I771" s="953"/>
    </row>
    <row r="772" spans="1:9" x14ac:dyDescent="0.2">
      <c r="A772" s="953">
        <v>743</v>
      </c>
      <c r="B772" s="952"/>
      <c r="C772" s="952"/>
      <c r="D772" s="952"/>
      <c r="E772" s="953"/>
      <c r="F772" s="954"/>
      <c r="G772" s="954"/>
      <c r="H772" s="954"/>
      <c r="I772" s="953"/>
    </row>
    <row r="773" spans="1:9" x14ac:dyDescent="0.2">
      <c r="A773" s="953">
        <v>744</v>
      </c>
      <c r="B773" s="952"/>
      <c r="C773" s="952"/>
      <c r="D773" s="952"/>
      <c r="E773" s="953"/>
      <c r="F773" s="954"/>
      <c r="G773" s="954"/>
      <c r="H773" s="954"/>
      <c r="I773" s="953"/>
    </row>
    <row r="774" spans="1:9" x14ac:dyDescent="0.2">
      <c r="A774" s="953">
        <v>745</v>
      </c>
      <c r="B774" s="952"/>
      <c r="C774" s="952"/>
      <c r="D774" s="952"/>
      <c r="E774" s="953"/>
      <c r="F774" s="954"/>
      <c r="G774" s="954"/>
      <c r="H774" s="954"/>
      <c r="I774" s="953"/>
    </row>
    <row r="775" spans="1:9" x14ac:dyDescent="0.2">
      <c r="A775" s="953">
        <v>746</v>
      </c>
      <c r="B775" s="952"/>
      <c r="C775" s="952"/>
      <c r="D775" s="952"/>
      <c r="E775" s="953"/>
      <c r="F775" s="954"/>
      <c r="G775" s="954"/>
      <c r="H775" s="954"/>
      <c r="I775" s="953"/>
    </row>
    <row r="776" spans="1:9" x14ac:dyDescent="0.2">
      <c r="A776" s="953">
        <v>747</v>
      </c>
      <c r="B776" s="952"/>
      <c r="C776" s="952"/>
      <c r="D776" s="952"/>
      <c r="E776" s="953"/>
      <c r="F776" s="954"/>
      <c r="G776" s="954"/>
      <c r="H776" s="954"/>
      <c r="I776" s="953"/>
    </row>
    <row r="777" spans="1:9" x14ac:dyDescent="0.2">
      <c r="A777" s="953">
        <v>748</v>
      </c>
      <c r="B777" s="952"/>
      <c r="C777" s="952"/>
      <c r="D777" s="952"/>
      <c r="E777" s="953"/>
      <c r="F777" s="954"/>
      <c r="G777" s="954"/>
      <c r="H777" s="954"/>
      <c r="I777" s="953"/>
    </row>
    <row r="778" spans="1:9" x14ac:dyDescent="0.2">
      <c r="A778" s="953">
        <v>749</v>
      </c>
      <c r="B778" s="952"/>
      <c r="C778" s="952"/>
      <c r="D778" s="952"/>
      <c r="E778" s="953"/>
      <c r="F778" s="954"/>
      <c r="G778" s="954"/>
      <c r="H778" s="954"/>
      <c r="I778" s="953"/>
    </row>
    <row r="779" spans="1:9" x14ac:dyDescent="0.2">
      <c r="A779" s="953">
        <v>750</v>
      </c>
      <c r="B779" s="952"/>
      <c r="C779" s="952"/>
      <c r="D779" s="952"/>
      <c r="E779" s="953"/>
      <c r="F779" s="954"/>
      <c r="G779" s="954"/>
      <c r="H779" s="954"/>
      <c r="I779" s="953"/>
    </row>
    <row r="780" spans="1:9" x14ac:dyDescent="0.2">
      <c r="A780" s="953">
        <v>751</v>
      </c>
      <c r="B780" s="952"/>
      <c r="C780" s="952"/>
      <c r="D780" s="952"/>
      <c r="E780" s="953"/>
      <c r="F780" s="954"/>
      <c r="G780" s="954"/>
      <c r="H780" s="954"/>
      <c r="I780" s="953"/>
    </row>
    <row r="781" spans="1:9" x14ac:dyDescent="0.2">
      <c r="A781" s="953">
        <v>752</v>
      </c>
      <c r="B781" s="952"/>
      <c r="C781" s="952"/>
      <c r="D781" s="952"/>
      <c r="E781" s="953"/>
      <c r="F781" s="954"/>
      <c r="G781" s="954"/>
      <c r="H781" s="954"/>
      <c r="I781" s="953"/>
    </row>
    <row r="782" spans="1:9" x14ac:dyDescent="0.2">
      <c r="A782" s="953">
        <v>753</v>
      </c>
      <c r="B782" s="952"/>
      <c r="C782" s="952"/>
      <c r="D782" s="952"/>
      <c r="E782" s="953"/>
      <c r="F782" s="954"/>
      <c r="G782" s="954"/>
      <c r="H782" s="954"/>
      <c r="I782" s="953"/>
    </row>
    <row r="783" spans="1:9" x14ac:dyDescent="0.2">
      <c r="A783" s="953">
        <v>754</v>
      </c>
      <c r="B783" s="952"/>
      <c r="C783" s="952"/>
      <c r="D783" s="952"/>
      <c r="E783" s="953"/>
      <c r="F783" s="954"/>
      <c r="G783" s="954"/>
      <c r="H783" s="954"/>
      <c r="I783" s="953"/>
    </row>
    <row r="784" spans="1:9" x14ac:dyDescent="0.2">
      <c r="A784" s="953">
        <v>755</v>
      </c>
      <c r="B784" s="952"/>
      <c r="C784" s="952"/>
      <c r="D784" s="952"/>
      <c r="E784" s="953"/>
      <c r="F784" s="954"/>
      <c r="G784" s="954"/>
      <c r="H784" s="954"/>
      <c r="I784" s="953"/>
    </row>
    <row r="785" spans="1:9" x14ac:dyDescent="0.2">
      <c r="A785" s="953">
        <v>756</v>
      </c>
      <c r="B785" s="952"/>
      <c r="C785" s="952"/>
      <c r="D785" s="952"/>
      <c r="E785" s="953"/>
      <c r="F785" s="954"/>
      <c r="G785" s="954"/>
      <c r="H785" s="954"/>
      <c r="I785" s="953"/>
    </row>
    <row r="786" spans="1:9" x14ac:dyDescent="0.2">
      <c r="A786" s="953">
        <v>757</v>
      </c>
      <c r="B786" s="952"/>
      <c r="C786" s="952"/>
      <c r="D786" s="952"/>
      <c r="E786" s="953"/>
      <c r="F786" s="954"/>
      <c r="G786" s="954"/>
      <c r="H786" s="954"/>
      <c r="I786" s="953"/>
    </row>
    <row r="787" spans="1:9" x14ac:dyDescent="0.2">
      <c r="A787" s="953">
        <v>758</v>
      </c>
      <c r="B787" s="952"/>
      <c r="C787" s="952"/>
      <c r="D787" s="952"/>
      <c r="E787" s="953"/>
      <c r="F787" s="954"/>
      <c r="G787" s="954"/>
      <c r="H787" s="954"/>
      <c r="I787" s="953"/>
    </row>
    <row r="788" spans="1:9" x14ac:dyDescent="0.2">
      <c r="A788" s="953">
        <v>759</v>
      </c>
      <c r="B788" s="952"/>
      <c r="C788" s="952"/>
      <c r="D788" s="952"/>
      <c r="E788" s="953"/>
      <c r="F788" s="954"/>
      <c r="G788" s="954"/>
      <c r="H788" s="954"/>
      <c r="I788" s="953"/>
    </row>
    <row r="789" spans="1:9" x14ac:dyDescent="0.2">
      <c r="A789" s="953">
        <v>760</v>
      </c>
      <c r="B789" s="952"/>
      <c r="C789" s="952"/>
      <c r="D789" s="952"/>
      <c r="E789" s="953"/>
      <c r="F789" s="954"/>
      <c r="G789" s="954"/>
      <c r="H789" s="954"/>
      <c r="I789" s="953"/>
    </row>
    <row r="790" spans="1:9" x14ac:dyDescent="0.2">
      <c r="A790" s="953">
        <v>761</v>
      </c>
      <c r="B790" s="952"/>
      <c r="C790" s="952"/>
      <c r="D790" s="952"/>
      <c r="E790" s="953"/>
      <c r="F790" s="954"/>
      <c r="G790" s="954"/>
      <c r="H790" s="954"/>
      <c r="I790" s="953"/>
    </row>
    <row r="791" spans="1:9" x14ac:dyDescent="0.2">
      <c r="A791" s="953">
        <v>762</v>
      </c>
      <c r="B791" s="952"/>
      <c r="C791" s="952"/>
      <c r="D791" s="952"/>
      <c r="E791" s="953"/>
      <c r="F791" s="954"/>
      <c r="G791" s="954"/>
      <c r="H791" s="954"/>
      <c r="I791" s="953"/>
    </row>
    <row r="792" spans="1:9" x14ac:dyDescent="0.2">
      <c r="A792" s="953">
        <v>763</v>
      </c>
      <c r="B792" s="952"/>
      <c r="C792" s="952"/>
      <c r="D792" s="952"/>
      <c r="E792" s="953"/>
      <c r="F792" s="954"/>
      <c r="G792" s="954"/>
      <c r="H792" s="954"/>
      <c r="I792" s="953"/>
    </row>
    <row r="793" spans="1:9" x14ac:dyDescent="0.2">
      <c r="A793" s="953">
        <v>764</v>
      </c>
      <c r="B793" s="952"/>
      <c r="C793" s="952"/>
      <c r="D793" s="952"/>
      <c r="E793" s="953"/>
      <c r="F793" s="954"/>
      <c r="G793" s="954"/>
      <c r="H793" s="954"/>
      <c r="I793" s="953"/>
    </row>
    <row r="794" spans="1:9" x14ac:dyDescent="0.2">
      <c r="A794" s="953">
        <v>765</v>
      </c>
      <c r="B794" s="952"/>
      <c r="C794" s="952"/>
      <c r="D794" s="952"/>
      <c r="E794" s="953"/>
      <c r="F794" s="954"/>
      <c r="G794" s="954"/>
      <c r="H794" s="954"/>
      <c r="I794" s="953"/>
    </row>
    <row r="795" spans="1:9" x14ac:dyDescent="0.2">
      <c r="A795" s="953">
        <v>766</v>
      </c>
      <c r="B795" s="952"/>
      <c r="C795" s="952"/>
      <c r="D795" s="952"/>
      <c r="E795" s="953"/>
      <c r="F795" s="954"/>
      <c r="G795" s="954"/>
      <c r="H795" s="954"/>
      <c r="I795" s="953"/>
    </row>
    <row r="796" spans="1:9" x14ac:dyDescent="0.2">
      <c r="A796" s="953">
        <v>767</v>
      </c>
      <c r="B796" s="952"/>
      <c r="C796" s="952"/>
      <c r="D796" s="952"/>
      <c r="E796" s="953"/>
      <c r="F796" s="954"/>
      <c r="G796" s="954"/>
      <c r="H796" s="954"/>
      <c r="I796" s="953"/>
    </row>
    <row r="797" spans="1:9" x14ac:dyDescent="0.2">
      <c r="A797" s="953">
        <v>768</v>
      </c>
      <c r="B797" s="952"/>
      <c r="C797" s="952"/>
      <c r="D797" s="952"/>
      <c r="E797" s="953"/>
      <c r="F797" s="954"/>
      <c r="G797" s="954"/>
      <c r="H797" s="954"/>
      <c r="I797" s="953"/>
    </row>
    <row r="798" spans="1:9" x14ac:dyDescent="0.2">
      <c r="A798" s="953">
        <v>769</v>
      </c>
      <c r="B798" s="952"/>
      <c r="C798" s="952"/>
      <c r="D798" s="952"/>
      <c r="E798" s="953"/>
      <c r="F798" s="954"/>
      <c r="G798" s="954"/>
      <c r="H798" s="954"/>
      <c r="I798" s="953"/>
    </row>
    <row r="799" spans="1:9" x14ac:dyDescent="0.2">
      <c r="A799" s="953">
        <v>770</v>
      </c>
      <c r="B799" s="952"/>
      <c r="C799" s="952"/>
      <c r="D799" s="952"/>
      <c r="E799" s="953"/>
      <c r="F799" s="954"/>
      <c r="G799" s="954"/>
      <c r="H799" s="954"/>
      <c r="I799" s="953"/>
    </row>
    <row r="800" spans="1:9" x14ac:dyDescent="0.2">
      <c r="A800" s="953">
        <v>771</v>
      </c>
    </row>
    <row r="801" spans="1:1" x14ac:dyDescent="0.2">
      <c r="A801" s="953">
        <v>772</v>
      </c>
    </row>
  </sheetData>
  <autoFilter ref="A1:I801">
    <sortState ref="A2:I455">
      <sortCondition ref="C1:C372"/>
    </sortState>
  </autoFilter>
  <hyperlinks>
    <hyperlink ref="D181" r:id="rId1"/>
    <hyperlink ref="D195" r:id="rId2"/>
    <hyperlink ref="B160" r:id="rId3"/>
    <hyperlink ref="B169" r:id="rId4"/>
    <hyperlink ref="B158" r:id="rId5"/>
    <hyperlink ref="B161" r:id="rId6"/>
    <hyperlink ref="B206" r:id="rId7"/>
    <hyperlink ref="B179" r:id="rId8"/>
    <hyperlink ref="B216" r:id="rId9"/>
    <hyperlink ref="B224" r:id="rId10"/>
    <hyperlink ref="B182" r:id="rId11"/>
    <hyperlink ref="B152" r:id="rId12"/>
    <hyperlink ref="B173" r:id="rId13"/>
    <hyperlink ref="B200" r:id="rId14"/>
    <hyperlink ref="B226" r:id="rId15"/>
    <hyperlink ref="B165" r:id="rId16"/>
    <hyperlink ref="B239" r:id="rId17"/>
    <hyperlink ref="B164" r:id="rId18"/>
    <hyperlink ref="B163" r:id="rId19"/>
    <hyperlink ref="B151" r:id="rId20"/>
    <hyperlink ref="B148" r:id="rId21"/>
    <hyperlink ref="B225" r:id="rId22"/>
    <hyperlink ref="B166" r:id="rId23"/>
    <hyperlink ref="B202" r:id="rId24"/>
    <hyperlink ref="B185" r:id="rId25"/>
    <hyperlink ref="B230" r:id="rId26"/>
    <hyperlink ref="B210" r:id="rId27"/>
    <hyperlink ref="B233" r:id="rId28"/>
    <hyperlink ref="B196" r:id="rId29"/>
    <hyperlink ref="B218" r:id="rId30"/>
    <hyperlink ref="B221" r:id="rId31"/>
    <hyperlink ref="B237" r:id="rId32"/>
    <hyperlink ref="B171" r:id="rId33"/>
    <hyperlink ref="B232" r:id="rId34"/>
    <hyperlink ref="B234" r:id="rId35"/>
    <hyperlink ref="B227" r:id="rId36"/>
    <hyperlink ref="B228" r:id="rId37"/>
    <hyperlink ref="B231" r:id="rId38"/>
    <hyperlink ref="B235" r:id="rId39"/>
    <hyperlink ref="B201" r:id="rId40"/>
    <hyperlink ref="B195" r:id="rId41"/>
    <hyperlink ref="B154" r:id="rId42"/>
    <hyperlink ref="B155" r:id="rId43"/>
    <hyperlink ref="B194" r:id="rId44"/>
    <hyperlink ref="B199" r:id="rId45"/>
    <hyperlink ref="B262" r:id="rId46"/>
    <hyperlink ref="B276" r:id="rId47"/>
    <hyperlink ref="B243" r:id="rId48"/>
    <hyperlink ref="B272" r:id="rId49"/>
    <hyperlink ref="B275" r:id="rId50" display="160092-0-2017"/>
    <hyperlink ref="B273" r:id="rId51"/>
    <hyperlink ref="B270" r:id="rId52"/>
    <hyperlink ref="B261" r:id="rId53"/>
    <hyperlink ref="B274" r:id="rId54"/>
    <hyperlink ref="B255" r:id="rId55"/>
    <hyperlink ref="B244" r:id="rId56"/>
    <hyperlink ref="B240" r:id="rId57"/>
    <hyperlink ref="B241" r:id="rId58"/>
    <hyperlink ref="B242" r:id="rId59"/>
    <hyperlink ref="B245" r:id="rId60"/>
    <hyperlink ref="B246" r:id="rId61"/>
    <hyperlink ref="B249" r:id="rId62"/>
    <hyperlink ref="B256" r:id="rId63"/>
    <hyperlink ref="B278" r:id="rId64"/>
    <hyperlink ref="B279" r:id="rId65"/>
    <hyperlink ref="B271" r:id="rId66"/>
    <hyperlink ref="B283" r:id="rId67"/>
    <hyperlink ref="B282" r:id="rId68"/>
    <hyperlink ref="B287" r:id="rId69"/>
    <hyperlink ref="B285" r:id="rId70"/>
    <hyperlink ref="B281" r:id="rId71"/>
    <hyperlink ref="B269" r:id="rId72"/>
    <hyperlink ref="B280" r:id="rId73"/>
    <hyperlink ref="B284" r:id="rId74"/>
    <hyperlink ref="B290" r:id="rId75"/>
    <hyperlink ref="B288" r:id="rId76"/>
    <hyperlink ref="B266" r:id="rId77"/>
    <hyperlink ref="B254" r:id="rId78"/>
    <hyperlink ref="B259" r:id="rId79"/>
    <hyperlink ref="B291" r:id="rId80"/>
    <hyperlink ref="B263" r:id="rId81"/>
    <hyperlink ref="B293" r:id="rId82"/>
    <hyperlink ref="B294" r:id="rId83"/>
    <hyperlink ref="B292" r:id="rId84"/>
    <hyperlink ref="B298" r:id="rId85"/>
    <hyperlink ref="B295" r:id="rId86"/>
    <hyperlink ref="B277" r:id="rId87"/>
    <hyperlink ref="B253" r:id="rId88"/>
    <hyperlink ref="B299" r:id="rId89"/>
    <hyperlink ref="B296" r:id="rId90"/>
    <hyperlink ref="B297" r:id="rId91"/>
    <hyperlink ref="B188" r:id="rId92"/>
    <hyperlink ref="B307" r:id="rId93"/>
    <hyperlink ref="B308" r:id="rId94"/>
    <hyperlink ref="B318" r:id="rId95"/>
    <hyperlink ref="B319" r:id="rId96"/>
    <hyperlink ref="B177" r:id="rId97"/>
    <hyperlink ref="B320" r:id="rId98"/>
    <hyperlink ref="B197" r:id="rId99"/>
    <hyperlink ref="B321" r:id="rId100"/>
    <hyperlink ref="B193" r:id="rId101"/>
    <hyperlink ref="B140" r:id="rId102"/>
    <hyperlink ref="B181" r:id="rId103"/>
    <hyperlink ref="B322" r:id="rId104"/>
    <hyperlink ref="B323" r:id="rId105"/>
    <hyperlink ref="B264" r:id="rId106"/>
    <hyperlink ref="B260" r:id="rId107"/>
    <hyperlink ref="B252" r:id="rId108"/>
    <hyperlink ref="B258" r:id="rId109"/>
    <hyperlink ref="B289" r:id="rId110"/>
    <hyperlink ref="B174" r:id="rId111"/>
    <hyperlink ref="B191" r:id="rId112"/>
    <hyperlink ref="B326" r:id="rId113"/>
    <hyperlink ref="B212" r:id="rId114"/>
    <hyperlink ref="B327" r:id="rId115"/>
    <hyperlink ref="B328" r:id="rId116"/>
    <hyperlink ref="B329" r:id="rId117"/>
    <hyperlink ref="B330" r:id="rId118"/>
    <hyperlink ref="B331" r:id="rId119"/>
    <hyperlink ref="B332" r:id="rId120"/>
    <hyperlink ref="B333" r:id="rId121"/>
    <hyperlink ref="B334" r:id="rId122"/>
    <hyperlink ref="B335" r:id="rId123"/>
    <hyperlink ref="B336" r:id="rId124"/>
    <hyperlink ref="B337" r:id="rId125"/>
    <hyperlink ref="B338" r:id="rId126"/>
    <hyperlink ref="B339" r:id="rId127"/>
    <hyperlink ref="B340" r:id="rId128"/>
    <hyperlink ref="B341" r:id="rId129"/>
    <hyperlink ref="B342" r:id="rId130"/>
    <hyperlink ref="B343" r:id="rId131"/>
    <hyperlink ref="B344" r:id="rId132"/>
    <hyperlink ref="B345" r:id="rId133"/>
    <hyperlink ref="B346" r:id="rId134"/>
    <hyperlink ref="B347" r:id="rId135"/>
    <hyperlink ref="B348" r:id="rId136"/>
    <hyperlink ref="B349" r:id="rId137"/>
    <hyperlink ref="B350" r:id="rId138"/>
    <hyperlink ref="B351" r:id="rId139"/>
    <hyperlink ref="B352" r:id="rId140"/>
    <hyperlink ref="B353" r:id="rId141"/>
    <hyperlink ref="B354" r:id="rId142"/>
    <hyperlink ref="B355" r:id="rId143"/>
    <hyperlink ref="B356" r:id="rId144"/>
    <hyperlink ref="B357" r:id="rId145"/>
    <hyperlink ref="B358" r:id="rId146"/>
    <hyperlink ref="B359" r:id="rId147"/>
    <hyperlink ref="B360" r:id="rId148"/>
    <hyperlink ref="B361" r:id="rId149"/>
    <hyperlink ref="B362" r:id="rId150"/>
    <hyperlink ref="B363" r:id="rId151"/>
    <hyperlink ref="B364" r:id="rId152"/>
    <hyperlink ref="B365" r:id="rId153"/>
    <hyperlink ref="B366" r:id="rId154"/>
    <hyperlink ref="B367" r:id="rId155"/>
    <hyperlink ref="B368" r:id="rId156"/>
    <hyperlink ref="B369" r:id="rId157"/>
    <hyperlink ref="B370" r:id="rId158"/>
    <hyperlink ref="B371" r:id="rId159"/>
    <hyperlink ref="B372" r:id="rId160"/>
    <hyperlink ref="B373" r:id="rId161"/>
    <hyperlink ref="B374" r:id="rId162"/>
    <hyperlink ref="B375" r:id="rId163"/>
    <hyperlink ref="B376" r:id="rId164"/>
    <hyperlink ref="B377" r:id="rId165"/>
    <hyperlink ref="B378" r:id="rId166"/>
    <hyperlink ref="B379" r:id="rId167"/>
    <hyperlink ref="B380" r:id="rId168"/>
    <hyperlink ref="B381" r:id="rId169"/>
    <hyperlink ref="B382" r:id="rId170"/>
    <hyperlink ref="B383" r:id="rId171"/>
    <hyperlink ref="B384" r:id="rId172"/>
    <hyperlink ref="B385" r:id="rId173"/>
    <hyperlink ref="B386" r:id="rId174"/>
    <hyperlink ref="B387" r:id="rId175"/>
    <hyperlink ref="B388" r:id="rId176"/>
    <hyperlink ref="B389" r:id="rId177"/>
    <hyperlink ref="B205" r:id="rId178"/>
    <hyperlink ref="B150" r:id="rId179"/>
    <hyperlink ref="B149" r:id="rId180"/>
    <hyperlink ref="B236" r:id="rId181"/>
    <hyperlink ref="B251" r:id="rId182"/>
    <hyperlink ref="B198" r:id="rId183"/>
    <hyperlink ref="B180" r:id="rId184"/>
    <hyperlink ref="B186" r:id="rId185"/>
    <hyperlink ref="B390" r:id="rId186"/>
    <hyperlink ref="B391" r:id="rId187"/>
    <hyperlink ref="B392" r:id="rId188"/>
    <hyperlink ref="B162" r:id="rId189"/>
    <hyperlink ref="B223" r:id="rId190"/>
    <hyperlink ref="B393" r:id="rId191"/>
    <hyperlink ref="B183" r:id="rId192"/>
    <hyperlink ref="B189" r:id="rId193"/>
    <hyperlink ref="B192" r:id="rId194"/>
    <hyperlink ref="B139" r:id="rId195"/>
    <hyperlink ref="B153" r:id="rId196"/>
    <hyperlink ref="B184" r:id="rId197"/>
    <hyperlink ref="B257" r:id="rId198"/>
    <hyperlink ref="B156" r:id="rId199"/>
    <hyperlink ref="B317" r:id="rId200"/>
    <hyperlink ref="B178" r:id="rId201"/>
    <hyperlink ref="B394" r:id="rId202"/>
    <hyperlink ref="B395" r:id="rId203"/>
    <hyperlink ref="B238" r:id="rId204"/>
    <hyperlink ref="B396" r:id="rId205"/>
    <hyperlink ref="B207" r:id="rId206"/>
    <hyperlink ref="B187" r:id="rId207"/>
    <hyperlink ref="B219" r:id="rId208"/>
    <hyperlink ref="B167" r:id="rId209"/>
    <hyperlink ref="B175" r:id="rId210"/>
    <hyperlink ref="B220" r:id="rId211"/>
    <hyperlink ref="B159" r:id="rId212"/>
    <hyperlink ref="B168" r:id="rId213"/>
    <hyperlink ref="B190" r:id="rId214"/>
    <hyperlink ref="B204" r:id="rId215"/>
    <hyperlink ref="B203" r:id="rId216"/>
    <hyperlink ref="B172" r:id="rId217"/>
    <hyperlink ref="B267" r:id="rId218"/>
    <hyperlink ref="B324" r:id="rId219"/>
    <hyperlink ref="B145" r:id="rId220"/>
    <hyperlink ref="B176" r:id="rId221"/>
    <hyperlink ref="B170" r:id="rId222"/>
    <hyperlink ref="B229" r:id="rId223"/>
    <hyperlink ref="B301" r:id="rId224"/>
    <hyperlink ref="B300" r:id="rId225"/>
    <hyperlink ref="B325" r:id="rId226"/>
    <hyperlink ref="B305" r:id="rId227"/>
    <hyperlink ref="B286" r:id="rId228"/>
    <hyperlink ref="B302" r:id="rId229"/>
    <hyperlink ref="B303" r:id="rId230"/>
    <hyperlink ref="B304" r:id="rId231"/>
    <hyperlink ref="B397" r:id="rId232" display="130306-0-2013"/>
    <hyperlink ref="B121" r:id="rId233"/>
    <hyperlink ref="B122" r:id="rId234"/>
    <hyperlink ref="B127" r:id="rId235"/>
    <hyperlink ref="B129" r:id="rId236"/>
    <hyperlink ref="B125" r:id="rId237"/>
    <hyperlink ref="B118" r:id="rId238"/>
    <hyperlink ref="B120" r:id="rId239"/>
    <hyperlink ref="B442" r:id="rId240"/>
    <hyperlink ref="B403" r:id="rId241"/>
    <hyperlink ref="B444" r:id="rId242"/>
    <hyperlink ref="B446" r:id="rId243"/>
    <hyperlink ref="B447" r:id="rId244"/>
    <hyperlink ref="B24" r:id="rId245"/>
    <hyperlink ref="B448" r:id="rId246"/>
    <hyperlink ref="B424" r:id="rId247"/>
    <hyperlink ref="B14" r:id="rId248"/>
    <hyperlink ref="B433" r:id="rId249"/>
    <hyperlink ref="B441" r:id="rId250"/>
    <hyperlink ref="B436" r:id="rId251"/>
    <hyperlink ref="B456" r:id="rId252"/>
    <hyperlink ref="B430" r:id="rId253"/>
    <hyperlink ref="B425" r:id="rId254"/>
    <hyperlink ref="B416" r:id="rId255"/>
    <hyperlink ref="B418" r:id="rId256"/>
    <hyperlink ref="B72" r:id="rId257"/>
    <hyperlink ref="B419" r:id="rId258"/>
    <hyperlink ref="B452" r:id="rId259"/>
    <hyperlink ref="B453" r:id="rId260"/>
    <hyperlink ref="B454" r:id="rId261"/>
    <hyperlink ref="B455" r:id="rId262"/>
    <hyperlink ref="B434" r:id="rId263"/>
    <hyperlink ref="B19" r:id="rId264"/>
    <hyperlink ref="B398" r:id="rId265"/>
    <hyperlink ref="B449" r:id="rId266"/>
    <hyperlink ref="B459" r:id="rId267"/>
    <hyperlink ref="B460" r:id="rId268"/>
    <hyperlink ref="B5" r:id="rId269"/>
    <hyperlink ref="B413" r:id="rId270"/>
    <hyperlink ref="B124" r:id="rId271"/>
    <hyperlink ref="B432" r:id="rId272"/>
    <hyperlink ref="B461" r:id="rId273"/>
    <hyperlink ref="B439" r:id="rId274"/>
    <hyperlink ref="B427" r:id="rId275"/>
    <hyperlink ref="B407" r:id="rId276"/>
    <hyperlink ref="B408" r:id="rId277"/>
    <hyperlink ref="B4" r:id="rId278"/>
    <hyperlink ref="B126" r:id="rId279"/>
    <hyperlink ref="B47" r:id="rId280"/>
    <hyperlink ref="B462" r:id="rId281"/>
    <hyperlink ref="B463" r:id="rId282"/>
    <hyperlink ref="B411" r:id="rId283"/>
    <hyperlink ref="B426" r:id="rId284"/>
    <hyperlink ref="B87" r:id="rId285"/>
    <hyperlink ref="B468" r:id="rId286"/>
    <hyperlink ref="B469" r:id="rId287"/>
    <hyperlink ref="B470" r:id="rId288"/>
    <hyperlink ref="B471" r:id="rId289"/>
    <hyperlink ref="B466" r:id="rId290"/>
    <hyperlink ref="B451" r:id="rId291"/>
    <hyperlink ref="B12" r:id="rId292"/>
    <hyperlink ref="B464" r:id="rId293"/>
    <hyperlink ref="B467" r:id="rId294"/>
    <hyperlink ref="B440" r:id="rId295"/>
    <hyperlink ref="B482" r:id="rId296"/>
    <hyperlink ref="B481" r:id="rId297"/>
    <hyperlink ref="B474" r:id="rId298"/>
    <hyperlink ref="B465" r:id="rId299"/>
    <hyperlink ref="B431" r:id="rId300"/>
    <hyperlink ref="B123" r:id="rId301"/>
    <hyperlink ref="B422" r:id="rId302"/>
    <hyperlink ref="B108" r:id="rId303"/>
    <hyperlink ref="B29" r:id="rId304"/>
    <hyperlink ref="B483" r:id="rId305"/>
    <hyperlink ref="B484" r:id="rId306"/>
    <hyperlink ref="B485" r:id="rId307"/>
    <hyperlink ref="B486" r:id="rId308"/>
    <hyperlink ref="B487" r:id="rId309"/>
    <hyperlink ref="B488" r:id="rId310"/>
    <hyperlink ref="B489" r:id="rId311"/>
    <hyperlink ref="B490" r:id="rId312"/>
    <hyperlink ref="B491" r:id="rId313"/>
    <hyperlink ref="B492" r:id="rId314"/>
    <hyperlink ref="B493" r:id="rId315"/>
    <hyperlink ref="B494" r:id="rId316"/>
    <hyperlink ref="B480" r:id="rId317"/>
    <hyperlink ref="B404" r:id="rId318"/>
    <hyperlink ref="B437" r:id="rId319"/>
    <hyperlink ref="B420" r:id="rId320"/>
    <hyperlink ref="B423" r:id="rId321"/>
    <hyperlink ref="B428" r:id="rId322"/>
    <hyperlink ref="B497" r:id="rId323"/>
    <hyperlink ref="B504" r:id="rId324"/>
    <hyperlink ref="B15" r:id="rId325"/>
    <hyperlink ref="B25" r:id="rId326"/>
    <hyperlink ref="B102" r:id="rId327"/>
    <hyperlink ref="B507" r:id="rId328"/>
    <hyperlink ref="B509" r:id="rId329"/>
    <hyperlink ref="B401" r:id="rId330"/>
    <hyperlink ref="B514" r:id="rId331"/>
    <hyperlink ref="B515" r:id="rId332"/>
    <hyperlink ref="B516" r:id="rId333"/>
    <hyperlink ref="B517" r:id="rId334"/>
    <hyperlink ref="B518" r:id="rId335"/>
    <hyperlink ref="B519" r:id="rId336"/>
    <hyperlink ref="B520" r:id="rId337"/>
    <hyperlink ref="B478" r:id="rId338"/>
    <hyperlink ref="B521" r:id="rId339"/>
    <hyperlink ref="B522" r:id="rId340"/>
    <hyperlink ref="B523" r:id="rId341"/>
    <hyperlink ref="B524" r:id="rId342"/>
    <hyperlink ref="B525" r:id="rId343"/>
    <hyperlink ref="B503" r:id="rId344"/>
    <hyperlink ref="B27" r:id="rId345"/>
    <hyperlink ref="B528" r:id="rId346"/>
    <hyperlink ref="B526" r:id="rId347"/>
    <hyperlink ref="B511" r:id="rId348"/>
    <hyperlink ref="B510" r:id="rId349"/>
    <hyperlink ref="B417" r:id="rId350"/>
    <hyperlink ref="B529" r:id="rId351"/>
    <hyperlink ref="B502" r:id="rId352"/>
    <hyperlink ref="B527" r:id="rId353"/>
    <hyperlink ref="B477" r:id="rId354"/>
    <hyperlink ref="B530" r:id="rId355"/>
    <hyperlink ref="B531" r:id="rId356"/>
    <hyperlink ref="B532" r:id="rId357"/>
    <hyperlink ref="B533" r:id="rId358"/>
    <hyperlink ref="B534" r:id="rId359"/>
    <hyperlink ref="B450" r:id="rId360"/>
    <hyperlink ref="B535" r:id="rId361"/>
    <hyperlink ref="B536" r:id="rId362"/>
    <hyperlink ref="B537" r:id="rId363"/>
    <hyperlink ref="B538" r:id="rId364"/>
    <hyperlink ref="B539" r:id="rId365"/>
    <hyperlink ref="B506" r:id="rId366"/>
    <hyperlink ref="B540" r:id="rId367"/>
    <hyperlink ref="B505" r:id="rId368"/>
    <hyperlink ref="B513" r:id="rId369"/>
    <hyperlink ref="B543" r:id="rId370"/>
    <hyperlink ref="B21" r:id="rId371"/>
    <hyperlink ref="B544" r:id="rId372"/>
    <hyperlink ref="B147" r:id="rId373"/>
    <hyperlink ref="B136" r:id="rId374"/>
    <hyperlink ref="B545" r:id="rId375"/>
    <hyperlink ref="B548" r:id="rId376"/>
    <hyperlink ref="B550" r:id="rId377"/>
    <hyperlink ref="B556" r:id="rId378"/>
    <hyperlink ref="B33" r:id="rId379"/>
    <hyperlink ref="B557" r:id="rId380"/>
    <hyperlink ref="B558" r:id="rId381"/>
    <hyperlink ref="B559" r:id="rId382"/>
    <hyperlink ref="B542" r:id="rId383"/>
    <hyperlink ref="B73" r:id="rId384"/>
    <hyperlink ref="B46" r:id="rId385"/>
    <hyperlink ref="B7" r:id="rId386"/>
    <hyperlink ref="B10" r:id="rId387"/>
    <hyperlink ref="B560" r:id="rId388"/>
    <hyperlink ref="B561" r:id="rId389"/>
    <hyperlink ref="B562" r:id="rId390"/>
    <hyperlink ref="B563" r:id="rId391"/>
    <hyperlink ref="B578" r:id="rId392"/>
    <hyperlink ref="B580" r:id="rId393"/>
    <hyperlink ref="B586" r:id="rId394"/>
    <hyperlink ref="B587" r:id="rId395"/>
    <hyperlink ref="B213" r:id="rId396"/>
    <hyperlink ref="B499" r:id="rId397"/>
    <hyperlink ref="B566" r:id="rId398"/>
    <hyperlink ref="B585" r:id="rId399"/>
    <hyperlink ref="B589" r:id="rId400"/>
    <hyperlink ref="B590" r:id="rId401"/>
    <hyperlink ref="B591" r:id="rId402"/>
    <hyperlink ref="B592" r:id="rId403"/>
    <hyperlink ref="B593" r:id="rId404"/>
  </hyperlinks>
  <pageMargins left="0.7" right="0.7" top="0.75" bottom="0.75" header="0.3" footer="0.3"/>
  <pageSetup orientation="portrait" r:id="rId40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754"/>
  <sheetViews>
    <sheetView topLeftCell="A733" zoomScaleNormal="100" workbookViewId="0">
      <selection activeCell="D495" sqref="D495"/>
    </sheetView>
  </sheetViews>
  <sheetFormatPr baseColWidth="10" defaultColWidth="0" defaultRowHeight="15" x14ac:dyDescent="0.25"/>
  <cols>
    <col min="1" max="1" width="77.7109375" style="115" customWidth="1"/>
    <col min="2" max="2" width="12.28515625" style="71" customWidth="1"/>
    <col min="3" max="3" width="11" style="59" bestFit="1" customWidth="1"/>
    <col min="4" max="4" width="12.28515625" style="116" bestFit="1" customWidth="1"/>
    <col min="5" max="6" width="11.7109375" style="116" bestFit="1" customWidth="1"/>
    <col min="7" max="7" width="4.7109375" style="59" customWidth="1"/>
    <col min="8" max="16384" width="11.42578125" style="59" hidden="1"/>
  </cols>
  <sheetData>
    <row r="1" spans="1:7" s="57" customFormat="1" x14ac:dyDescent="0.25">
      <c r="A1" s="115"/>
      <c r="B1" s="71"/>
      <c r="C1" s="59"/>
      <c r="D1" s="116"/>
      <c r="E1" s="116"/>
      <c r="F1" s="116"/>
      <c r="G1" s="59"/>
    </row>
    <row r="2" spans="1:7" s="57" customFormat="1" x14ac:dyDescent="0.25">
      <c r="A2" s="115"/>
      <c r="B2" s="71"/>
      <c r="C2" s="59"/>
      <c r="D2" s="116"/>
      <c r="E2" s="116"/>
      <c r="F2" s="116"/>
      <c r="G2" s="59"/>
    </row>
    <row r="3" spans="1:7" s="57" customFormat="1" ht="15" customHeight="1" x14ac:dyDescent="0.25">
      <c r="A3" s="109"/>
      <c r="B3" s="109"/>
      <c r="C3" s="109"/>
      <c r="D3" s="109"/>
      <c r="E3" s="109"/>
      <c r="F3" s="109"/>
      <c r="G3" s="109"/>
    </row>
    <row r="4" spans="1:7" s="57" customFormat="1" ht="15" customHeight="1" x14ac:dyDescent="0.25">
      <c r="A4" s="1104" t="s">
        <v>960</v>
      </c>
      <c r="B4" s="1104"/>
      <c r="C4" s="1104"/>
      <c r="D4" s="1104"/>
      <c r="E4" s="1104"/>
      <c r="F4" s="1104"/>
      <c r="G4" s="109"/>
    </row>
    <row r="5" spans="1:7" s="57" customFormat="1" ht="15" customHeight="1" x14ac:dyDescent="0.25">
      <c r="A5" s="80"/>
      <c r="B5" s="80"/>
      <c r="C5" s="80"/>
      <c r="D5" s="80"/>
      <c r="E5" s="80"/>
      <c r="F5" s="80"/>
      <c r="G5" s="109"/>
    </row>
    <row r="6" spans="1:7" s="57" customFormat="1" ht="15" customHeight="1" x14ac:dyDescent="0.25">
      <c r="A6" s="80"/>
      <c r="B6" s="80"/>
      <c r="C6" s="80"/>
      <c r="D6" s="80"/>
      <c r="E6" s="80"/>
      <c r="F6" s="80"/>
      <c r="G6" s="109"/>
    </row>
    <row r="7" spans="1:7" s="57" customFormat="1" ht="15" customHeight="1" thickBot="1" x14ac:dyDescent="0.3">
      <c r="A7" s="80"/>
      <c r="B7" s="110"/>
      <c r="C7" s="80"/>
      <c r="D7" s="80"/>
      <c r="E7" s="80"/>
      <c r="F7" s="80"/>
      <c r="G7" s="109"/>
    </row>
    <row r="8" spans="1:7" s="57" customFormat="1" ht="15" customHeight="1" thickTop="1" thickBot="1" x14ac:dyDescent="0.3">
      <c r="A8" s="117" t="s">
        <v>1062</v>
      </c>
      <c r="B8" s="118">
        <f ca="1">COUNTIF('Base de Datos'!Z7:Z264,100%)</f>
        <v>257</v>
      </c>
      <c r="C8" s="59"/>
      <c r="D8" s="59"/>
      <c r="E8" s="59"/>
      <c r="F8" s="59"/>
      <c r="G8" s="109"/>
    </row>
    <row r="9" spans="1:7" s="57" customFormat="1" ht="15" customHeight="1" thickTop="1" thickBot="1" x14ac:dyDescent="0.3">
      <c r="A9" s="113" t="s">
        <v>1061</v>
      </c>
      <c r="B9" s="114">
        <f ca="1">COUNTIF('Base de Datos'!Z7:Z264,"&lt;100%")</f>
        <v>1</v>
      </c>
      <c r="C9" s="109"/>
      <c r="D9" s="271"/>
      <c r="E9" s="109"/>
      <c r="F9" s="109"/>
      <c r="G9" s="109"/>
    </row>
    <row r="10" spans="1:7" s="57" customFormat="1" ht="15.75" thickTop="1" x14ac:dyDescent="0.25">
      <c r="A10" s="115"/>
      <c r="B10" s="71"/>
      <c r="C10" s="59"/>
      <c r="D10" s="116"/>
      <c r="E10" s="116"/>
      <c r="F10" s="116"/>
      <c r="G10" s="59"/>
    </row>
    <row r="11" spans="1:7" s="57" customFormat="1" x14ac:dyDescent="0.25">
      <c r="A11" s="115"/>
      <c r="B11" s="71"/>
      <c r="C11" s="59"/>
      <c r="D11" s="116"/>
      <c r="E11" s="116"/>
      <c r="F11" s="116"/>
      <c r="G11" s="59"/>
    </row>
    <row r="12" spans="1:7" s="57" customFormat="1" x14ac:dyDescent="0.25">
      <c r="A12"/>
      <c r="B12"/>
      <c r="C12" s="59"/>
      <c r="D12" s="116"/>
      <c r="E12" s="116"/>
      <c r="F12" s="116"/>
      <c r="G12" s="59"/>
    </row>
    <row r="13" spans="1:7" s="57" customFormat="1" x14ac:dyDescent="0.25">
      <c r="A13" s="1085" t="s">
        <v>1000</v>
      </c>
      <c r="B13" s="1086">
        <v>1</v>
      </c>
      <c r="C13" s="59"/>
      <c r="D13" s="116"/>
      <c r="E13" s="116"/>
      <c r="F13" s="116"/>
      <c r="G13" s="59"/>
    </row>
    <row r="14" spans="1:7" customFormat="1" x14ac:dyDescent="0.25">
      <c r="A14" s="1087" t="s">
        <v>1057</v>
      </c>
      <c r="B14" s="1088" t="s">
        <v>392</v>
      </c>
      <c r="C14" s="59"/>
      <c r="D14" s="116"/>
      <c r="E14" s="116"/>
      <c r="F14" s="116"/>
      <c r="G14" s="59"/>
    </row>
    <row r="15" spans="1:7" customFormat="1" x14ac:dyDescent="0.25">
      <c r="A15" s="416"/>
      <c r="B15" s="71"/>
      <c r="C15" s="59"/>
      <c r="D15" s="116"/>
      <c r="E15" s="116"/>
      <c r="F15" s="116"/>
      <c r="G15" s="59"/>
    </row>
    <row r="16" spans="1:7" customFormat="1" ht="33.75" x14ac:dyDescent="0.25">
      <c r="A16" s="1082" t="s">
        <v>393</v>
      </c>
      <c r="B16" s="1083" t="s">
        <v>956</v>
      </c>
      <c r="C16" s="1083" t="s">
        <v>1060</v>
      </c>
      <c r="D16" s="1084" t="s">
        <v>955</v>
      </c>
      <c r="E16" s="1084" t="s">
        <v>957</v>
      </c>
      <c r="F16" s="1084" t="s">
        <v>958</v>
      </c>
      <c r="G16" s="59"/>
    </row>
    <row r="17" spans="1:7" customFormat="1" x14ac:dyDescent="0.25">
      <c r="A17" s="841" t="s">
        <v>92</v>
      </c>
      <c r="B17" s="1077"/>
      <c r="C17" s="1077"/>
      <c r="D17" s="1078"/>
      <c r="E17" s="1078"/>
      <c r="F17" s="1078"/>
      <c r="G17" s="59"/>
    </row>
    <row r="18" spans="1:7" customFormat="1" x14ac:dyDescent="0.25">
      <c r="A18" s="841" t="s">
        <v>425</v>
      </c>
      <c r="B18" s="1077"/>
      <c r="C18" s="1077"/>
      <c r="D18" s="1078"/>
      <c r="E18" s="1078"/>
      <c r="F18" s="1078"/>
      <c r="G18" s="59"/>
    </row>
    <row r="19" spans="1:7" customFormat="1" ht="105" x14ac:dyDescent="0.25">
      <c r="A19" s="841" t="s">
        <v>438</v>
      </c>
      <c r="B19" s="1077">
        <v>39724</v>
      </c>
      <c r="C19" s="1077">
        <v>41673</v>
      </c>
      <c r="D19" s="1078">
        <v>7329236109</v>
      </c>
      <c r="E19" s="1078">
        <v>6218260556</v>
      </c>
      <c r="F19" s="1078">
        <v>1110975553</v>
      </c>
      <c r="G19" s="59"/>
    </row>
    <row r="20" spans="1:7" customFormat="1" x14ac:dyDescent="0.25">
      <c r="A20" s="841" t="s">
        <v>151</v>
      </c>
      <c r="B20" s="1077"/>
      <c r="C20" s="1077"/>
      <c r="D20" s="1078"/>
      <c r="E20" s="1078"/>
      <c r="F20" s="1078"/>
      <c r="G20" s="59"/>
    </row>
    <row r="21" spans="1:7" customFormat="1" x14ac:dyDescent="0.25">
      <c r="A21" s="841" t="s">
        <v>152</v>
      </c>
      <c r="B21" s="1077"/>
      <c r="C21" s="1077"/>
      <c r="D21" s="1078"/>
      <c r="E21" s="1078"/>
      <c r="F21" s="1078"/>
      <c r="G21" s="59"/>
    </row>
    <row r="22" spans="1:7" customFormat="1" ht="45" x14ac:dyDescent="0.25">
      <c r="A22" s="841" t="s">
        <v>439</v>
      </c>
      <c r="B22" s="1077">
        <v>39904</v>
      </c>
      <c r="C22" s="1077">
        <v>41486</v>
      </c>
      <c r="D22" s="1078">
        <v>3100400677</v>
      </c>
      <c r="E22" s="1078">
        <v>3066561119</v>
      </c>
      <c r="F22" s="1078">
        <v>33839558</v>
      </c>
      <c r="G22" s="59"/>
    </row>
    <row r="23" spans="1:7" customFormat="1" x14ac:dyDescent="0.25">
      <c r="A23" s="841" t="s">
        <v>149</v>
      </c>
      <c r="B23" s="1077"/>
      <c r="C23" s="1077"/>
      <c r="D23" s="1078"/>
      <c r="E23" s="1078"/>
      <c r="F23" s="1078"/>
      <c r="G23" s="59"/>
    </row>
    <row r="24" spans="1:7" customFormat="1" x14ac:dyDescent="0.25">
      <c r="A24" s="841" t="s">
        <v>150</v>
      </c>
      <c r="B24" s="1077"/>
      <c r="C24" s="1077"/>
      <c r="D24" s="1078"/>
      <c r="E24" s="1078"/>
      <c r="F24" s="1078"/>
      <c r="G24" s="59"/>
    </row>
    <row r="25" spans="1:7" customFormat="1" ht="60" x14ac:dyDescent="0.25">
      <c r="A25" s="841" t="s">
        <v>1276</v>
      </c>
      <c r="B25" s="1077">
        <v>39864</v>
      </c>
      <c r="C25" s="1077">
        <v>41476</v>
      </c>
      <c r="D25" s="1078">
        <v>2909992591</v>
      </c>
      <c r="E25" s="1078">
        <v>13400894</v>
      </c>
      <c r="F25" s="1078">
        <v>2896591697</v>
      </c>
      <c r="G25" s="59"/>
    </row>
    <row r="26" spans="1:7" customFormat="1" x14ac:dyDescent="0.25">
      <c r="A26" s="841" t="s">
        <v>21</v>
      </c>
      <c r="B26" s="1077"/>
      <c r="C26" s="1077"/>
      <c r="D26" s="1078"/>
      <c r="E26" s="1078"/>
      <c r="F26" s="1078"/>
      <c r="G26" s="59"/>
    </row>
    <row r="27" spans="1:7" customFormat="1" x14ac:dyDescent="0.25">
      <c r="A27" s="841" t="s">
        <v>22</v>
      </c>
      <c r="B27" s="1077"/>
      <c r="C27" s="1077"/>
      <c r="D27" s="1078"/>
      <c r="E27" s="1078"/>
      <c r="F27" s="1078"/>
      <c r="G27" s="59"/>
    </row>
    <row r="28" spans="1:7" customFormat="1" x14ac:dyDescent="0.25">
      <c r="A28" s="841" t="s">
        <v>321</v>
      </c>
      <c r="B28" s="1077">
        <v>41087</v>
      </c>
      <c r="C28" s="1077">
        <v>41513</v>
      </c>
      <c r="D28" s="1078">
        <v>79634000</v>
      </c>
      <c r="E28" s="1078">
        <v>79634000</v>
      </c>
      <c r="F28" s="1078">
        <v>0</v>
      </c>
      <c r="G28" s="59"/>
    </row>
    <row r="29" spans="1:7" customFormat="1" x14ac:dyDescent="0.25">
      <c r="A29" s="841" t="s">
        <v>103</v>
      </c>
      <c r="B29" s="1077"/>
      <c r="C29" s="1077"/>
      <c r="D29" s="1078"/>
      <c r="E29" s="1078"/>
      <c r="F29" s="1078"/>
      <c r="G29" s="59"/>
    </row>
    <row r="30" spans="1:7" customFormat="1" x14ac:dyDescent="0.25">
      <c r="A30" s="841" t="s">
        <v>1633</v>
      </c>
      <c r="B30" s="1077"/>
      <c r="C30" s="1077"/>
      <c r="D30" s="1078"/>
      <c r="E30" s="1078"/>
      <c r="F30" s="1078"/>
      <c r="G30" s="59"/>
    </row>
    <row r="31" spans="1:7" customFormat="1" ht="45" x14ac:dyDescent="0.25">
      <c r="A31" s="841" t="s">
        <v>448</v>
      </c>
      <c r="B31" s="1077">
        <v>41213</v>
      </c>
      <c r="C31" s="1077">
        <v>41274</v>
      </c>
      <c r="D31" s="1078">
        <v>4206160</v>
      </c>
      <c r="E31" s="1078">
        <v>0</v>
      </c>
      <c r="F31" s="1078">
        <v>4206160</v>
      </c>
      <c r="G31" s="59"/>
    </row>
    <row r="32" spans="1:7" customFormat="1" x14ac:dyDescent="0.25">
      <c r="A32" s="841" t="s">
        <v>179</v>
      </c>
      <c r="B32" s="1077"/>
      <c r="C32" s="1077"/>
      <c r="D32" s="1078"/>
      <c r="E32" s="1078"/>
      <c r="F32" s="1078"/>
      <c r="G32" s="59"/>
    </row>
    <row r="33" spans="1:7" customFormat="1" x14ac:dyDescent="0.25">
      <c r="A33" s="841" t="s">
        <v>433</v>
      </c>
      <c r="B33" s="1077"/>
      <c r="C33" s="1077"/>
      <c r="D33" s="1078"/>
      <c r="E33" s="1078"/>
      <c r="F33" s="1078"/>
      <c r="G33" s="59"/>
    </row>
    <row r="34" spans="1:7" customFormat="1" ht="45" x14ac:dyDescent="0.25">
      <c r="A34" s="841" t="s">
        <v>449</v>
      </c>
      <c r="B34" s="1077">
        <v>41206</v>
      </c>
      <c r="C34" s="1077">
        <v>41609</v>
      </c>
      <c r="D34" s="1078">
        <v>726335435</v>
      </c>
      <c r="E34" s="1078">
        <v>577978609</v>
      </c>
      <c r="F34" s="1078">
        <v>148356826</v>
      </c>
      <c r="G34" s="59"/>
    </row>
    <row r="35" spans="1:7" customFormat="1" x14ac:dyDescent="0.25">
      <c r="A35" s="841" t="s">
        <v>180</v>
      </c>
      <c r="B35" s="1077"/>
      <c r="C35" s="1077"/>
      <c r="D35" s="1078"/>
      <c r="E35" s="1078"/>
      <c r="F35" s="1078"/>
      <c r="G35" s="59"/>
    </row>
    <row r="36" spans="1:7" customFormat="1" x14ac:dyDescent="0.25">
      <c r="A36" s="841" t="s">
        <v>181</v>
      </c>
      <c r="B36" s="1077"/>
      <c r="C36" s="1077"/>
      <c r="D36" s="1078"/>
      <c r="E36" s="1078"/>
      <c r="F36" s="1078"/>
      <c r="G36" s="59"/>
    </row>
    <row r="37" spans="1:7" customFormat="1" ht="75" x14ac:dyDescent="0.25">
      <c r="A37" s="841" t="s">
        <v>440</v>
      </c>
      <c r="B37" s="1077">
        <v>40197</v>
      </c>
      <c r="C37" s="1077">
        <v>41323</v>
      </c>
      <c r="D37" s="1078">
        <v>234495075</v>
      </c>
      <c r="E37" s="1078">
        <v>234495075</v>
      </c>
      <c r="F37" s="1078">
        <v>0</v>
      </c>
      <c r="G37" s="59"/>
    </row>
    <row r="38" spans="1:7" customFormat="1" x14ac:dyDescent="0.25">
      <c r="A38" s="841" t="s">
        <v>56</v>
      </c>
      <c r="B38" s="1077"/>
      <c r="C38" s="1077"/>
      <c r="D38" s="1078"/>
      <c r="E38" s="1078"/>
      <c r="F38" s="1078"/>
      <c r="G38" s="59"/>
    </row>
    <row r="39" spans="1:7" customFormat="1" x14ac:dyDescent="0.25">
      <c r="A39" s="841" t="s">
        <v>57</v>
      </c>
      <c r="B39" s="1077"/>
      <c r="C39" s="1077"/>
      <c r="D39" s="1078"/>
      <c r="E39" s="1078"/>
      <c r="F39" s="1078"/>
      <c r="G39" s="59"/>
    </row>
    <row r="40" spans="1:7" customFormat="1" ht="30" x14ac:dyDescent="0.25">
      <c r="A40" s="841" t="s">
        <v>335</v>
      </c>
      <c r="B40" s="1077">
        <v>41025</v>
      </c>
      <c r="C40" s="1077">
        <v>41623</v>
      </c>
      <c r="D40" s="1078">
        <v>71096157</v>
      </c>
      <c r="E40" s="1078">
        <v>71096157</v>
      </c>
      <c r="F40" s="1078">
        <v>0</v>
      </c>
      <c r="G40" s="59"/>
    </row>
    <row r="41" spans="1:7" customFormat="1" x14ac:dyDescent="0.25">
      <c r="A41" s="841" t="s">
        <v>19</v>
      </c>
      <c r="B41" s="1077"/>
      <c r="C41" s="1077"/>
      <c r="D41" s="1078"/>
      <c r="E41" s="1078"/>
      <c r="F41" s="1078"/>
      <c r="G41" s="59"/>
    </row>
    <row r="42" spans="1:7" customFormat="1" x14ac:dyDescent="0.25">
      <c r="A42" s="841" t="s">
        <v>20</v>
      </c>
      <c r="B42" s="1077"/>
      <c r="C42" s="1077"/>
      <c r="D42" s="1078"/>
      <c r="E42" s="1078"/>
      <c r="F42" s="1078"/>
      <c r="G42" s="59"/>
    </row>
    <row r="43" spans="1:7" customFormat="1" ht="30" x14ac:dyDescent="0.25">
      <c r="A43" s="841" t="s">
        <v>320</v>
      </c>
      <c r="B43" s="1077">
        <v>41074</v>
      </c>
      <c r="C43" s="1077">
        <v>41347</v>
      </c>
      <c r="D43" s="1078">
        <v>11587500</v>
      </c>
      <c r="E43" s="1078">
        <v>10316808</v>
      </c>
      <c r="F43" s="1078">
        <v>1270692</v>
      </c>
      <c r="G43" s="59"/>
    </row>
    <row r="44" spans="1:7" customFormat="1" x14ac:dyDescent="0.25">
      <c r="A44" s="841" t="s">
        <v>23</v>
      </c>
      <c r="B44" s="1077"/>
      <c r="C44" s="1077"/>
      <c r="D44" s="1078"/>
      <c r="E44" s="1078"/>
      <c r="F44" s="1078"/>
      <c r="G44" s="59"/>
    </row>
    <row r="45" spans="1:7" customFormat="1" x14ac:dyDescent="0.25">
      <c r="A45" s="841" t="s">
        <v>27</v>
      </c>
      <c r="B45" s="1077"/>
      <c r="C45" s="1077"/>
      <c r="D45" s="1078"/>
      <c r="E45" s="1078"/>
      <c r="F45" s="1078"/>
      <c r="G45" s="59"/>
    </row>
    <row r="46" spans="1:7" customFormat="1" ht="45" x14ac:dyDescent="0.25">
      <c r="A46" s="841" t="s">
        <v>450</v>
      </c>
      <c r="B46" s="1077">
        <v>41044</v>
      </c>
      <c r="C46" s="1077">
        <v>41409</v>
      </c>
      <c r="D46" s="1078">
        <v>849000</v>
      </c>
      <c r="E46" s="1078">
        <v>849000</v>
      </c>
      <c r="F46" s="1078">
        <v>0</v>
      </c>
      <c r="G46" s="59"/>
    </row>
    <row r="47" spans="1:7" customFormat="1" x14ac:dyDescent="0.25">
      <c r="A47" s="841" t="s">
        <v>113</v>
      </c>
      <c r="B47" s="1077"/>
      <c r="C47" s="1077"/>
      <c r="D47" s="1078"/>
      <c r="E47" s="1078"/>
      <c r="F47" s="1078"/>
      <c r="G47" s="59"/>
    </row>
    <row r="48" spans="1:7" customFormat="1" x14ac:dyDescent="0.25">
      <c r="A48" s="841" t="s">
        <v>434</v>
      </c>
      <c r="B48" s="1077"/>
      <c r="C48" s="1077"/>
      <c r="D48" s="1078"/>
      <c r="E48" s="1078"/>
      <c r="F48" s="1078"/>
      <c r="G48" s="59"/>
    </row>
    <row r="49" spans="1:7" customFormat="1" ht="75" x14ac:dyDescent="0.25">
      <c r="A49" s="841" t="s">
        <v>1371</v>
      </c>
      <c r="B49" s="1077">
        <v>41089</v>
      </c>
      <c r="C49" s="1077">
        <v>41333</v>
      </c>
      <c r="D49" s="1078">
        <v>7192000</v>
      </c>
      <c r="E49" s="1078">
        <v>7192000</v>
      </c>
      <c r="F49" s="1078">
        <v>0</v>
      </c>
      <c r="G49" s="59"/>
    </row>
    <row r="50" spans="1:7" customFormat="1" x14ac:dyDescent="0.25">
      <c r="A50" s="841" t="s">
        <v>101</v>
      </c>
      <c r="B50" s="1077"/>
      <c r="C50" s="1077"/>
      <c r="D50" s="1078"/>
      <c r="E50" s="1078"/>
      <c r="F50" s="1078"/>
      <c r="G50" s="59"/>
    </row>
    <row r="51" spans="1:7" customFormat="1" x14ac:dyDescent="0.25">
      <c r="A51" s="841" t="s">
        <v>427</v>
      </c>
      <c r="B51" s="1077"/>
      <c r="C51" s="1077"/>
      <c r="D51" s="1078"/>
      <c r="E51" s="1078"/>
      <c r="F51" s="1078"/>
      <c r="G51" s="59"/>
    </row>
    <row r="52" spans="1:7" customFormat="1" ht="45" x14ac:dyDescent="0.25">
      <c r="A52" s="841" t="s">
        <v>443</v>
      </c>
      <c r="B52" s="1077">
        <v>40822</v>
      </c>
      <c r="C52" s="1077">
        <v>41370</v>
      </c>
      <c r="D52" s="1078">
        <v>2625000</v>
      </c>
      <c r="E52" s="1078">
        <v>0</v>
      </c>
      <c r="F52" s="1078">
        <v>2625000</v>
      </c>
      <c r="G52" s="59"/>
    </row>
    <row r="53" spans="1:7" customFormat="1" x14ac:dyDescent="0.25">
      <c r="A53" s="841" t="s">
        <v>16</v>
      </c>
      <c r="B53" s="1077"/>
      <c r="C53" s="1077"/>
      <c r="D53" s="1078"/>
      <c r="E53" s="1078"/>
      <c r="F53" s="1078"/>
      <c r="G53" s="59"/>
    </row>
    <row r="54" spans="1:7" customFormat="1" x14ac:dyDescent="0.25">
      <c r="A54" s="841" t="s">
        <v>435</v>
      </c>
      <c r="B54" s="1077"/>
      <c r="C54" s="1077"/>
      <c r="D54" s="1078"/>
      <c r="E54" s="1078"/>
      <c r="F54" s="1078"/>
      <c r="G54" s="59"/>
    </row>
    <row r="55" spans="1:7" customFormat="1" ht="45" x14ac:dyDescent="0.25">
      <c r="A55" s="841" t="s">
        <v>318</v>
      </c>
      <c r="B55" s="1077">
        <v>41144</v>
      </c>
      <c r="C55" s="1077">
        <v>41328</v>
      </c>
      <c r="D55" s="1078">
        <v>4839200</v>
      </c>
      <c r="E55" s="1078">
        <v>4839200</v>
      </c>
      <c r="F55" s="1078">
        <v>0</v>
      </c>
      <c r="G55" s="59"/>
    </row>
    <row r="56" spans="1:7" customFormat="1" x14ac:dyDescent="0.25">
      <c r="A56" s="841" t="s">
        <v>107</v>
      </c>
      <c r="B56" s="1077"/>
      <c r="C56" s="1077"/>
      <c r="D56" s="1078"/>
      <c r="E56" s="1078"/>
      <c r="F56" s="1078"/>
      <c r="G56" s="59"/>
    </row>
    <row r="57" spans="1:7" customFormat="1" x14ac:dyDescent="0.25">
      <c r="A57" s="841" t="s">
        <v>108</v>
      </c>
      <c r="B57" s="1077"/>
      <c r="C57" s="1077"/>
      <c r="D57" s="1078"/>
      <c r="E57" s="1078"/>
      <c r="F57" s="1078"/>
      <c r="G57" s="59"/>
    </row>
    <row r="58" spans="1:7" customFormat="1" ht="30" x14ac:dyDescent="0.25">
      <c r="A58" s="841" t="s">
        <v>348</v>
      </c>
      <c r="B58" s="1077">
        <v>41137</v>
      </c>
      <c r="C58" s="1077">
        <v>41349</v>
      </c>
      <c r="D58" s="1078">
        <v>13527752</v>
      </c>
      <c r="E58" s="1078">
        <v>0</v>
      </c>
      <c r="F58" s="1078">
        <v>13527752</v>
      </c>
      <c r="G58" s="59"/>
    </row>
    <row r="59" spans="1:7" customFormat="1" x14ac:dyDescent="0.25">
      <c r="A59" s="841" t="s">
        <v>61</v>
      </c>
      <c r="B59" s="1077"/>
      <c r="C59" s="1077"/>
      <c r="D59" s="1078"/>
      <c r="E59" s="1078"/>
      <c r="F59" s="1078"/>
      <c r="G59" s="59"/>
    </row>
    <row r="60" spans="1:7" customFormat="1" x14ac:dyDescent="0.25">
      <c r="A60" s="841" t="s">
        <v>436</v>
      </c>
      <c r="B60" s="1077"/>
      <c r="C60" s="1077"/>
      <c r="D60" s="1078"/>
      <c r="E60" s="1078"/>
      <c r="F60" s="1078"/>
      <c r="G60" s="59"/>
    </row>
    <row r="61" spans="1:7" customFormat="1" ht="60" x14ac:dyDescent="0.25">
      <c r="A61" s="841" t="s">
        <v>1372</v>
      </c>
      <c r="B61" s="1077">
        <v>41122</v>
      </c>
      <c r="C61" s="1077">
        <v>41531</v>
      </c>
      <c r="D61" s="1078">
        <v>100321355</v>
      </c>
      <c r="E61" s="1078">
        <v>95321355</v>
      </c>
      <c r="F61" s="1078">
        <v>5000000</v>
      </c>
      <c r="G61" s="59"/>
    </row>
    <row r="62" spans="1:7" customFormat="1" x14ac:dyDescent="0.25">
      <c r="A62" s="841" t="s">
        <v>58</v>
      </c>
      <c r="B62" s="1077"/>
      <c r="C62" s="1077"/>
      <c r="D62" s="1078"/>
      <c r="E62" s="1078"/>
      <c r="F62" s="1078"/>
      <c r="G62" s="59"/>
    </row>
    <row r="63" spans="1:7" customFormat="1" ht="30" x14ac:dyDescent="0.25">
      <c r="A63" s="841" t="s">
        <v>437</v>
      </c>
      <c r="B63" s="1077"/>
      <c r="C63" s="1077"/>
      <c r="D63" s="1078"/>
      <c r="E63" s="1078"/>
      <c r="F63" s="1078"/>
      <c r="G63" s="59"/>
    </row>
    <row r="64" spans="1:7" customFormat="1" ht="75" x14ac:dyDescent="0.25">
      <c r="A64" s="841" t="s">
        <v>1008</v>
      </c>
      <c r="B64" s="1077">
        <v>41122</v>
      </c>
      <c r="C64" s="1077">
        <v>41623</v>
      </c>
      <c r="D64" s="1078">
        <v>99122327</v>
      </c>
      <c r="E64" s="1078">
        <v>93840542</v>
      </c>
      <c r="F64" s="1078">
        <v>5281785</v>
      </c>
      <c r="G64" s="59"/>
    </row>
    <row r="65" spans="1:7" customFormat="1" x14ac:dyDescent="0.25">
      <c r="A65" s="841" t="s">
        <v>423</v>
      </c>
      <c r="B65" s="1077"/>
      <c r="C65" s="1077"/>
      <c r="D65" s="1078"/>
      <c r="E65" s="1078"/>
      <c r="F65" s="1078"/>
      <c r="G65" s="59"/>
    </row>
    <row r="66" spans="1:7" customFormat="1" x14ac:dyDescent="0.25">
      <c r="A66" s="841" t="s">
        <v>13</v>
      </c>
      <c r="B66" s="1077"/>
      <c r="C66" s="1077"/>
      <c r="D66" s="1078"/>
      <c r="E66" s="1078"/>
      <c r="F66" s="1078"/>
      <c r="G66" s="59"/>
    </row>
    <row r="67" spans="1:7" customFormat="1" ht="30" x14ac:dyDescent="0.25">
      <c r="A67" s="841" t="s">
        <v>451</v>
      </c>
      <c r="B67" s="1077">
        <v>41162</v>
      </c>
      <c r="C67" s="1077">
        <v>41527</v>
      </c>
      <c r="D67" s="1078">
        <v>900000</v>
      </c>
      <c r="E67" s="1078">
        <v>900000</v>
      </c>
      <c r="F67" s="1078">
        <v>0</v>
      </c>
      <c r="G67" s="59"/>
    </row>
    <row r="68" spans="1:7" customFormat="1" x14ac:dyDescent="0.25">
      <c r="A68" s="841" t="s">
        <v>28</v>
      </c>
      <c r="B68" s="1077"/>
      <c r="C68" s="1077"/>
      <c r="D68" s="1078"/>
      <c r="E68" s="1078"/>
      <c r="F68" s="1078"/>
      <c r="G68" s="59"/>
    </row>
    <row r="69" spans="1:7" customFormat="1" x14ac:dyDescent="0.25">
      <c r="A69" s="841" t="s">
        <v>29</v>
      </c>
      <c r="B69" s="1077"/>
      <c r="C69" s="1077"/>
      <c r="D69" s="1078"/>
      <c r="E69" s="1078"/>
      <c r="F69" s="1078"/>
      <c r="G69" s="59"/>
    </row>
    <row r="70" spans="1:7" customFormat="1" ht="30" x14ac:dyDescent="0.25">
      <c r="A70" s="841" t="s">
        <v>324</v>
      </c>
      <c r="B70" s="1077">
        <v>41165</v>
      </c>
      <c r="C70" s="1077">
        <v>41530</v>
      </c>
      <c r="D70" s="1078">
        <v>840000</v>
      </c>
      <c r="E70" s="1078">
        <v>840000</v>
      </c>
      <c r="F70" s="1078">
        <v>0</v>
      </c>
      <c r="G70" s="59"/>
    </row>
    <row r="71" spans="1:7" customFormat="1" x14ac:dyDescent="0.25">
      <c r="A71" s="841" t="s">
        <v>32</v>
      </c>
      <c r="B71" s="1077"/>
      <c r="C71" s="1077"/>
      <c r="D71" s="1078"/>
      <c r="E71" s="1078"/>
      <c r="F71" s="1078"/>
      <c r="G71" s="59"/>
    </row>
    <row r="72" spans="1:7" customFormat="1" x14ac:dyDescent="0.25">
      <c r="A72" s="841" t="s">
        <v>33</v>
      </c>
      <c r="B72" s="1077"/>
      <c r="C72" s="1077"/>
      <c r="D72" s="1078"/>
      <c r="E72" s="1078"/>
      <c r="F72" s="1078"/>
      <c r="G72" s="59"/>
    </row>
    <row r="73" spans="1:7" customFormat="1" ht="30" x14ac:dyDescent="0.25">
      <c r="A73" s="841" t="s">
        <v>452</v>
      </c>
      <c r="B73" s="1077">
        <v>41180</v>
      </c>
      <c r="C73" s="1077">
        <v>41545</v>
      </c>
      <c r="D73" s="1078">
        <v>795000</v>
      </c>
      <c r="E73" s="1078">
        <v>795000</v>
      </c>
      <c r="F73" s="1078">
        <v>0</v>
      </c>
      <c r="G73" s="59"/>
    </row>
    <row r="74" spans="1:7" customFormat="1" x14ac:dyDescent="0.25">
      <c r="A74" s="841" t="s">
        <v>109</v>
      </c>
      <c r="B74" s="1077"/>
      <c r="C74" s="1077"/>
      <c r="D74" s="1078"/>
      <c r="E74" s="1078"/>
      <c r="F74" s="1078"/>
      <c r="G74" s="59"/>
    </row>
    <row r="75" spans="1:7" customFormat="1" x14ac:dyDescent="0.25">
      <c r="A75" s="841" t="s">
        <v>420</v>
      </c>
      <c r="B75" s="1077"/>
      <c r="C75" s="1077"/>
      <c r="D75" s="1078"/>
      <c r="E75" s="1078"/>
      <c r="F75" s="1078"/>
      <c r="G75" s="59"/>
    </row>
    <row r="76" spans="1:7" customFormat="1" ht="45" x14ac:dyDescent="0.25">
      <c r="A76" s="841" t="s">
        <v>349</v>
      </c>
      <c r="B76" s="1077">
        <v>41165</v>
      </c>
      <c r="C76" s="1077">
        <v>41346</v>
      </c>
      <c r="D76" s="1078">
        <v>1818000</v>
      </c>
      <c r="E76" s="1078">
        <v>0</v>
      </c>
      <c r="F76" s="1078">
        <v>1818000</v>
      </c>
      <c r="G76" s="59"/>
    </row>
    <row r="77" spans="1:7" customFormat="1" x14ac:dyDescent="0.25">
      <c r="A77" s="841" t="s">
        <v>34</v>
      </c>
      <c r="B77" s="1077"/>
      <c r="C77" s="1077"/>
      <c r="D77" s="1078"/>
      <c r="E77" s="1078"/>
      <c r="F77" s="1078"/>
      <c r="G77" s="59"/>
    </row>
    <row r="78" spans="1:7" customFormat="1" x14ac:dyDescent="0.25">
      <c r="A78" s="841" t="s">
        <v>1009</v>
      </c>
      <c r="B78" s="1077"/>
      <c r="C78" s="1077"/>
      <c r="D78" s="1078"/>
      <c r="E78" s="1078"/>
      <c r="F78" s="1078"/>
      <c r="G78" s="59"/>
    </row>
    <row r="79" spans="1:7" customFormat="1" ht="30" x14ac:dyDescent="0.25">
      <c r="A79" s="841" t="s">
        <v>453</v>
      </c>
      <c r="B79" s="1077">
        <v>41151</v>
      </c>
      <c r="C79" s="1077">
        <v>41333</v>
      </c>
      <c r="D79" s="1078">
        <v>30000000</v>
      </c>
      <c r="E79" s="1078">
        <v>30000000</v>
      </c>
      <c r="F79" s="1078">
        <v>0</v>
      </c>
      <c r="G79" s="59"/>
    </row>
    <row r="80" spans="1:7" customFormat="1" x14ac:dyDescent="0.25">
      <c r="A80" s="841" t="s">
        <v>10</v>
      </c>
      <c r="B80" s="1077"/>
      <c r="C80" s="1077"/>
      <c r="D80" s="1078"/>
      <c r="E80" s="1078"/>
      <c r="F80" s="1078"/>
      <c r="G80" s="59"/>
    </row>
    <row r="81" spans="1:7" customFormat="1" x14ac:dyDescent="0.25">
      <c r="A81" s="841" t="s">
        <v>1010</v>
      </c>
      <c r="B81" s="1077"/>
      <c r="C81" s="1077"/>
      <c r="D81" s="1078"/>
      <c r="E81" s="1078"/>
      <c r="F81" s="1078"/>
      <c r="G81" s="59"/>
    </row>
    <row r="82" spans="1:7" customFormat="1" ht="75" x14ac:dyDescent="0.25">
      <c r="A82" s="841" t="s">
        <v>454</v>
      </c>
      <c r="B82" s="1077">
        <v>41155</v>
      </c>
      <c r="C82" s="1077">
        <v>41367</v>
      </c>
      <c r="D82" s="1078">
        <v>35000000</v>
      </c>
      <c r="E82" s="1078">
        <v>34666667</v>
      </c>
      <c r="F82" s="1078">
        <v>333333</v>
      </c>
      <c r="G82" s="59"/>
    </row>
    <row r="83" spans="1:7" customFormat="1" x14ac:dyDescent="0.25">
      <c r="A83" s="841" t="s">
        <v>114</v>
      </c>
      <c r="B83" s="1077"/>
      <c r="C83" s="1077"/>
      <c r="D83" s="1078"/>
      <c r="E83" s="1078"/>
      <c r="F83" s="1078"/>
      <c r="G83" s="59"/>
    </row>
    <row r="84" spans="1:7" customFormat="1" x14ac:dyDescent="0.25">
      <c r="A84" s="841" t="s">
        <v>115</v>
      </c>
      <c r="B84" s="1077"/>
      <c r="C84" s="1077"/>
      <c r="D84" s="1078"/>
      <c r="E84" s="1078"/>
      <c r="F84" s="1078"/>
      <c r="G84" s="59"/>
    </row>
    <row r="85" spans="1:7" customFormat="1" ht="60" x14ac:dyDescent="0.25">
      <c r="A85" s="841" t="s">
        <v>455</v>
      </c>
      <c r="B85" s="1077">
        <v>41170</v>
      </c>
      <c r="C85" s="1077">
        <v>41626</v>
      </c>
      <c r="D85" s="1078">
        <v>8334226</v>
      </c>
      <c r="E85" s="1078">
        <v>8334226</v>
      </c>
      <c r="F85" s="1078">
        <v>0</v>
      </c>
      <c r="G85" s="59"/>
    </row>
    <row r="86" spans="1:7" customFormat="1" x14ac:dyDescent="0.25">
      <c r="A86" s="841" t="s">
        <v>106</v>
      </c>
      <c r="B86" s="1077"/>
      <c r="C86" s="1077"/>
      <c r="D86" s="1078"/>
      <c r="E86" s="1078"/>
      <c r="F86" s="1078"/>
      <c r="G86" s="59"/>
    </row>
    <row r="87" spans="1:7" customFormat="1" x14ac:dyDescent="0.25">
      <c r="A87" s="841" t="s">
        <v>1011</v>
      </c>
      <c r="B87" s="1077"/>
      <c r="C87" s="1077"/>
      <c r="D87" s="1078"/>
      <c r="E87" s="1078"/>
      <c r="F87" s="1078"/>
      <c r="G87" s="59"/>
    </row>
    <row r="88" spans="1:7" customFormat="1" ht="45" x14ac:dyDescent="0.25">
      <c r="A88" s="841" t="s">
        <v>457</v>
      </c>
      <c r="B88" s="1077">
        <v>41162</v>
      </c>
      <c r="C88" s="1077">
        <v>41343</v>
      </c>
      <c r="D88" s="1078">
        <v>20565000</v>
      </c>
      <c r="E88" s="1078">
        <v>20565000</v>
      </c>
      <c r="F88" s="1078">
        <v>0</v>
      </c>
      <c r="G88" s="59"/>
    </row>
    <row r="89" spans="1:7" customFormat="1" x14ac:dyDescent="0.25">
      <c r="A89" s="841" t="s">
        <v>105</v>
      </c>
      <c r="B89" s="1077"/>
      <c r="C89" s="1077"/>
      <c r="D89" s="1078"/>
      <c r="E89" s="1078"/>
      <c r="F89" s="1078"/>
      <c r="G89" s="59"/>
    </row>
    <row r="90" spans="1:7" customFormat="1" x14ac:dyDescent="0.25">
      <c r="A90" s="841" t="s">
        <v>1012</v>
      </c>
      <c r="B90" s="1077"/>
      <c r="C90" s="1077"/>
      <c r="D90" s="1078"/>
      <c r="E90" s="1078"/>
      <c r="F90" s="1078"/>
      <c r="G90" s="59"/>
    </row>
    <row r="91" spans="1:7" customFormat="1" ht="45" x14ac:dyDescent="0.25">
      <c r="A91" s="841" t="s">
        <v>347</v>
      </c>
      <c r="B91" s="1077">
        <v>41193</v>
      </c>
      <c r="C91" s="1077">
        <v>41263</v>
      </c>
      <c r="D91" s="1078">
        <v>6730000</v>
      </c>
      <c r="E91" s="1078">
        <v>6395000</v>
      </c>
      <c r="F91" s="1078">
        <v>335000</v>
      </c>
      <c r="G91" s="59"/>
    </row>
    <row r="92" spans="1:7" customFormat="1" x14ac:dyDescent="0.25">
      <c r="A92" s="841" t="s">
        <v>17</v>
      </c>
      <c r="B92" s="1077"/>
      <c r="C92" s="1077"/>
      <c r="D92" s="1078"/>
      <c r="E92" s="1078"/>
      <c r="F92" s="1078"/>
      <c r="G92" s="59"/>
    </row>
    <row r="93" spans="1:7" customFormat="1" x14ac:dyDescent="0.25">
      <c r="A93" s="841" t="s">
        <v>18</v>
      </c>
      <c r="B93" s="1077"/>
      <c r="C93" s="1077"/>
      <c r="D93" s="1078"/>
      <c r="E93" s="1078"/>
      <c r="F93" s="1078"/>
      <c r="G93" s="59"/>
    </row>
    <row r="94" spans="1:7" customFormat="1" ht="45" x14ac:dyDescent="0.25">
      <c r="A94" s="841" t="s">
        <v>319</v>
      </c>
      <c r="B94" s="1077">
        <v>41205</v>
      </c>
      <c r="C94" s="1077">
        <v>41387</v>
      </c>
      <c r="D94" s="1078">
        <v>23994880</v>
      </c>
      <c r="E94" s="1078">
        <v>23994876</v>
      </c>
      <c r="F94" s="1078">
        <v>4</v>
      </c>
      <c r="G94" s="59"/>
    </row>
    <row r="95" spans="1:7" customFormat="1" x14ac:dyDescent="0.25">
      <c r="A95" s="841" t="s">
        <v>24</v>
      </c>
      <c r="B95" s="1077"/>
      <c r="C95" s="1077"/>
      <c r="D95" s="1078"/>
      <c r="E95" s="1078"/>
      <c r="F95" s="1078"/>
      <c r="G95" s="59"/>
    </row>
    <row r="96" spans="1:7" customFormat="1" x14ac:dyDescent="0.25">
      <c r="A96" s="841" t="s">
        <v>1013</v>
      </c>
      <c r="B96" s="1077"/>
      <c r="C96" s="1077"/>
      <c r="D96" s="1078"/>
      <c r="E96" s="1078"/>
      <c r="F96" s="1078"/>
      <c r="G96" s="59"/>
    </row>
    <row r="97" spans="1:7" customFormat="1" ht="30" x14ac:dyDescent="0.25">
      <c r="A97" s="841" t="s">
        <v>323</v>
      </c>
      <c r="B97" s="1077">
        <v>41187</v>
      </c>
      <c r="C97" s="1077">
        <v>41369</v>
      </c>
      <c r="D97" s="1078">
        <v>38400000</v>
      </c>
      <c r="E97" s="1078">
        <v>38400000</v>
      </c>
      <c r="F97" s="1078">
        <v>0</v>
      </c>
      <c r="G97" s="59"/>
    </row>
    <row r="98" spans="1:7" customFormat="1" x14ac:dyDescent="0.25">
      <c r="A98" s="841" t="s">
        <v>118</v>
      </c>
      <c r="B98" s="1077"/>
      <c r="C98" s="1077"/>
      <c r="D98" s="1078"/>
      <c r="E98" s="1078"/>
      <c r="F98" s="1078"/>
      <c r="G98" s="59"/>
    </row>
    <row r="99" spans="1:7" customFormat="1" x14ac:dyDescent="0.25">
      <c r="A99" s="841" t="s">
        <v>1014</v>
      </c>
      <c r="B99" s="1077"/>
      <c r="C99" s="1077"/>
      <c r="D99" s="1078"/>
      <c r="E99" s="1078"/>
      <c r="F99" s="1078"/>
      <c r="G99" s="59"/>
    </row>
    <row r="100" spans="1:7" customFormat="1" ht="45" x14ac:dyDescent="0.25">
      <c r="A100" s="841" t="s">
        <v>351</v>
      </c>
      <c r="B100" s="1077">
        <v>41246</v>
      </c>
      <c r="C100" s="1077">
        <v>41308</v>
      </c>
      <c r="D100" s="1078">
        <v>3961330</v>
      </c>
      <c r="E100" s="1078">
        <v>3961330</v>
      </c>
      <c r="F100" s="1078">
        <v>0</v>
      </c>
      <c r="G100" s="59"/>
    </row>
    <row r="101" spans="1:7" customFormat="1" x14ac:dyDescent="0.25">
      <c r="A101" s="841" t="s">
        <v>62</v>
      </c>
      <c r="B101" s="1077"/>
      <c r="C101" s="1077"/>
      <c r="D101" s="1078"/>
      <c r="E101" s="1078"/>
      <c r="F101" s="1078"/>
      <c r="G101" s="59"/>
    </row>
    <row r="102" spans="1:7" customFormat="1" x14ac:dyDescent="0.25">
      <c r="A102" s="841" t="s">
        <v>1015</v>
      </c>
      <c r="B102" s="1077"/>
      <c r="C102" s="1077"/>
      <c r="D102" s="1078"/>
      <c r="E102" s="1078"/>
      <c r="F102" s="1078"/>
      <c r="G102" s="59"/>
    </row>
    <row r="103" spans="1:7" customFormat="1" ht="75" x14ac:dyDescent="0.25">
      <c r="A103" s="841" t="s">
        <v>416</v>
      </c>
      <c r="B103" s="1077">
        <v>41270</v>
      </c>
      <c r="C103" s="1077">
        <v>41452</v>
      </c>
      <c r="D103" s="1078">
        <v>24000000</v>
      </c>
      <c r="E103" s="1078">
        <v>24000000</v>
      </c>
      <c r="F103" s="1078">
        <v>0</v>
      </c>
      <c r="G103" s="59"/>
    </row>
    <row r="104" spans="1:7" customFormat="1" x14ac:dyDescent="0.25">
      <c r="A104" s="841" t="s">
        <v>30</v>
      </c>
      <c r="B104" s="1077"/>
      <c r="C104" s="1077"/>
      <c r="D104" s="1078"/>
      <c r="E104" s="1078"/>
      <c r="F104" s="1078"/>
      <c r="G104" s="59"/>
    </row>
    <row r="105" spans="1:7" customFormat="1" x14ac:dyDescent="0.25">
      <c r="A105" s="841" t="s">
        <v>31</v>
      </c>
      <c r="B105" s="1077"/>
      <c r="C105" s="1077"/>
      <c r="D105" s="1078"/>
      <c r="E105" s="1078"/>
      <c r="F105" s="1078"/>
      <c r="G105" s="59"/>
    </row>
    <row r="106" spans="1:7" customFormat="1" ht="60" x14ac:dyDescent="0.25">
      <c r="A106" s="841" t="s">
        <v>325</v>
      </c>
      <c r="B106" s="1077">
        <v>41292</v>
      </c>
      <c r="C106" s="1077">
        <v>41350</v>
      </c>
      <c r="D106" s="1078">
        <v>6000000</v>
      </c>
      <c r="E106" s="1078">
        <v>6000000</v>
      </c>
      <c r="F106" s="1078">
        <v>0</v>
      </c>
      <c r="G106" s="59"/>
    </row>
    <row r="107" spans="1:7" customFormat="1" x14ac:dyDescent="0.25">
      <c r="A107" s="841" t="s">
        <v>14</v>
      </c>
      <c r="B107" s="1077"/>
      <c r="C107" s="1077"/>
      <c r="D107" s="1078"/>
      <c r="E107" s="1078"/>
      <c r="F107" s="1078"/>
      <c r="G107" s="59"/>
    </row>
    <row r="108" spans="1:7" customFormat="1" x14ac:dyDescent="0.25">
      <c r="A108" s="841" t="s">
        <v>15</v>
      </c>
      <c r="B108" s="1077"/>
      <c r="C108" s="1077"/>
      <c r="D108" s="1078"/>
      <c r="E108" s="1078"/>
      <c r="F108" s="1078"/>
      <c r="G108" s="59"/>
    </row>
    <row r="109" spans="1:7" customFormat="1" ht="30" x14ac:dyDescent="0.25">
      <c r="A109" s="841" t="s">
        <v>317</v>
      </c>
      <c r="B109" s="1077">
        <v>41107</v>
      </c>
      <c r="C109" s="1077">
        <v>41472</v>
      </c>
      <c r="D109" s="1078">
        <v>7740000</v>
      </c>
      <c r="E109" s="1078">
        <v>7740000</v>
      </c>
      <c r="F109" s="1078">
        <v>0</v>
      </c>
      <c r="G109" s="59"/>
    </row>
    <row r="110" spans="1:7" customFormat="1" x14ac:dyDescent="0.25">
      <c r="A110" s="841" t="s">
        <v>40</v>
      </c>
      <c r="B110" s="1077"/>
      <c r="C110" s="1077"/>
      <c r="D110" s="1078"/>
      <c r="E110" s="1078"/>
      <c r="F110" s="1078"/>
      <c r="G110" s="59"/>
    </row>
    <row r="111" spans="1:7" customFormat="1" x14ac:dyDescent="0.25">
      <c r="A111" s="841" t="s">
        <v>41</v>
      </c>
      <c r="B111" s="1077"/>
      <c r="C111" s="1077"/>
      <c r="D111" s="1078"/>
      <c r="E111" s="1078"/>
      <c r="F111" s="1078"/>
      <c r="G111" s="59"/>
    </row>
    <row r="112" spans="1:7" customFormat="1" ht="30" x14ac:dyDescent="0.25">
      <c r="A112" s="841" t="s">
        <v>458</v>
      </c>
      <c r="B112" s="1077">
        <v>41064</v>
      </c>
      <c r="C112" s="1077">
        <v>41398</v>
      </c>
      <c r="D112" s="1078">
        <v>47000000</v>
      </c>
      <c r="E112" s="1078">
        <v>41245000</v>
      </c>
      <c r="F112" s="1078">
        <v>5755000</v>
      </c>
      <c r="G112" s="59"/>
    </row>
    <row r="113" spans="1:7" customFormat="1" x14ac:dyDescent="0.25">
      <c r="A113" s="841" t="s">
        <v>72</v>
      </c>
      <c r="B113" s="1077"/>
      <c r="C113" s="1077"/>
      <c r="D113" s="1078"/>
      <c r="E113" s="1078"/>
      <c r="F113" s="1078"/>
      <c r="G113" s="59"/>
    </row>
    <row r="114" spans="1:7" customFormat="1" x14ac:dyDescent="0.25">
      <c r="A114" s="841" t="s">
        <v>73</v>
      </c>
      <c r="B114" s="1077"/>
      <c r="C114" s="1077"/>
      <c r="D114" s="1078"/>
      <c r="E114" s="1078"/>
      <c r="F114" s="1078"/>
      <c r="G114" s="59"/>
    </row>
    <row r="115" spans="1:7" customFormat="1" ht="90" x14ac:dyDescent="0.25">
      <c r="A115" s="841" t="s">
        <v>395</v>
      </c>
      <c r="B115" s="1077">
        <v>41053</v>
      </c>
      <c r="C115" s="1077">
        <v>41400</v>
      </c>
      <c r="D115" s="1078">
        <v>950000000</v>
      </c>
      <c r="E115" s="1078">
        <v>950000000</v>
      </c>
      <c r="F115" s="1078">
        <v>0</v>
      </c>
      <c r="G115" s="59"/>
    </row>
    <row r="116" spans="1:7" customFormat="1" x14ac:dyDescent="0.25">
      <c r="A116" s="841" t="s">
        <v>396</v>
      </c>
      <c r="B116" s="1077"/>
      <c r="C116" s="1077"/>
      <c r="D116" s="1078"/>
      <c r="E116" s="1078"/>
      <c r="F116" s="1078"/>
      <c r="G116" s="59"/>
    </row>
    <row r="117" spans="1:7" customFormat="1" x14ac:dyDescent="0.25">
      <c r="A117" s="841" t="s">
        <v>203</v>
      </c>
      <c r="B117" s="1077"/>
      <c r="C117" s="1077"/>
      <c r="D117" s="1078"/>
      <c r="E117" s="1078"/>
      <c r="F117" s="1078"/>
      <c r="G117" s="59"/>
    </row>
    <row r="118" spans="1:7" customFormat="1" ht="30" x14ac:dyDescent="0.25">
      <c r="A118" s="841" t="s">
        <v>346</v>
      </c>
      <c r="B118" s="1077">
        <v>41067</v>
      </c>
      <c r="C118" s="1077">
        <v>41312</v>
      </c>
      <c r="D118" s="1078">
        <v>10440000</v>
      </c>
      <c r="E118" s="1078">
        <v>10440000</v>
      </c>
      <c r="F118" s="1078">
        <v>0</v>
      </c>
      <c r="G118" s="59"/>
    </row>
    <row r="119" spans="1:7" customFormat="1" x14ac:dyDescent="0.25">
      <c r="A119" s="841" t="s">
        <v>153</v>
      </c>
      <c r="B119" s="1077"/>
      <c r="C119" s="1077"/>
      <c r="D119" s="1078"/>
      <c r="E119" s="1078"/>
      <c r="F119" s="1078"/>
      <c r="G119" s="59"/>
    </row>
    <row r="120" spans="1:7" customFormat="1" x14ac:dyDescent="0.25">
      <c r="A120" s="841" t="s">
        <v>154</v>
      </c>
      <c r="B120" s="1077"/>
      <c r="C120" s="1077"/>
      <c r="D120" s="1078"/>
      <c r="E120" s="1078"/>
      <c r="F120" s="1078"/>
      <c r="G120" s="59"/>
    </row>
    <row r="121" spans="1:7" customFormat="1" ht="75" x14ac:dyDescent="0.25">
      <c r="A121" s="841" t="s">
        <v>419</v>
      </c>
      <c r="B121" s="1077">
        <v>41081</v>
      </c>
      <c r="C121" s="1077">
        <v>41213</v>
      </c>
      <c r="D121" s="1078">
        <v>41705635</v>
      </c>
      <c r="E121" s="1078">
        <v>41705635</v>
      </c>
      <c r="F121" s="1078">
        <v>0</v>
      </c>
      <c r="G121" s="59"/>
    </row>
    <row r="122" spans="1:7" customFormat="1" x14ac:dyDescent="0.25">
      <c r="A122" s="841" t="s">
        <v>170</v>
      </c>
      <c r="B122" s="1077"/>
      <c r="C122" s="1077"/>
      <c r="D122" s="1078"/>
      <c r="E122" s="1078"/>
      <c r="F122" s="1078"/>
      <c r="G122" s="59"/>
    </row>
    <row r="123" spans="1:7" customFormat="1" x14ac:dyDescent="0.25">
      <c r="A123" s="841" t="s">
        <v>428</v>
      </c>
      <c r="B123" s="1077"/>
      <c r="C123" s="1077"/>
      <c r="D123" s="1078"/>
      <c r="E123" s="1078"/>
      <c r="F123" s="1078"/>
      <c r="G123" s="59"/>
    </row>
    <row r="124" spans="1:7" customFormat="1" ht="60" x14ac:dyDescent="0.25">
      <c r="A124" s="841" t="s">
        <v>444</v>
      </c>
      <c r="B124" s="1077">
        <v>40746</v>
      </c>
      <c r="C124" s="1077">
        <v>41112</v>
      </c>
      <c r="D124" s="1078">
        <v>497000000</v>
      </c>
      <c r="E124" s="1078">
        <v>495932967</v>
      </c>
      <c r="F124" s="1078">
        <v>1067033</v>
      </c>
      <c r="G124" s="59"/>
    </row>
    <row r="125" spans="1:7" customFormat="1" x14ac:dyDescent="0.25">
      <c r="A125" s="841" t="s">
        <v>594</v>
      </c>
      <c r="B125" s="1077"/>
      <c r="C125" s="1077"/>
      <c r="D125" s="1078"/>
      <c r="E125" s="1078"/>
      <c r="F125" s="1078"/>
      <c r="G125" s="59"/>
    </row>
    <row r="126" spans="1:7" customFormat="1" x14ac:dyDescent="0.25">
      <c r="A126" s="841" t="s">
        <v>1006</v>
      </c>
      <c r="B126" s="1077"/>
      <c r="C126" s="1077"/>
      <c r="D126" s="1078"/>
      <c r="E126" s="1078"/>
      <c r="F126" s="1078"/>
      <c r="G126" s="59"/>
    </row>
    <row r="127" spans="1:7" customFormat="1" ht="75" x14ac:dyDescent="0.25">
      <c r="A127" s="841" t="s">
        <v>363</v>
      </c>
      <c r="B127" s="1077">
        <v>40870</v>
      </c>
      <c r="C127" s="1077">
        <v>41356</v>
      </c>
      <c r="D127" s="1078">
        <v>9425000</v>
      </c>
      <c r="E127" s="1078">
        <v>9425000</v>
      </c>
      <c r="F127" s="1078">
        <v>0</v>
      </c>
      <c r="G127" s="59"/>
    </row>
    <row r="128" spans="1:7" customFormat="1" x14ac:dyDescent="0.25">
      <c r="A128" s="841" t="s">
        <v>127</v>
      </c>
      <c r="B128" s="1077"/>
      <c r="C128" s="1077"/>
      <c r="D128" s="1078"/>
      <c r="E128" s="1078"/>
      <c r="F128" s="1078"/>
      <c r="G128" s="59"/>
    </row>
    <row r="129" spans="1:7" customFormat="1" x14ac:dyDescent="0.25">
      <c r="A129" s="841" t="s">
        <v>128</v>
      </c>
      <c r="B129" s="1077"/>
      <c r="C129" s="1077"/>
      <c r="D129" s="1078"/>
      <c r="E129" s="1078"/>
      <c r="F129" s="1078"/>
      <c r="G129" s="59"/>
    </row>
    <row r="130" spans="1:7" customFormat="1" ht="30" x14ac:dyDescent="0.25">
      <c r="A130" s="841" t="s">
        <v>355</v>
      </c>
      <c r="B130" s="1077">
        <v>40863</v>
      </c>
      <c r="C130" s="1077">
        <v>41364</v>
      </c>
      <c r="D130" s="1078">
        <v>22930000</v>
      </c>
      <c r="E130" s="1078">
        <v>18432731</v>
      </c>
      <c r="F130" s="1078">
        <v>4497269</v>
      </c>
      <c r="G130" s="59"/>
    </row>
    <row r="131" spans="1:7" customFormat="1" x14ac:dyDescent="0.25">
      <c r="A131" s="841" t="s">
        <v>59</v>
      </c>
      <c r="B131" s="1077"/>
      <c r="C131" s="1077"/>
      <c r="D131" s="1078"/>
      <c r="E131" s="1078"/>
      <c r="F131" s="1078"/>
      <c r="G131" s="59"/>
    </row>
    <row r="132" spans="1:7" customFormat="1" x14ac:dyDescent="0.25">
      <c r="A132" s="841" t="s">
        <v>60</v>
      </c>
      <c r="B132" s="1077"/>
      <c r="C132" s="1077"/>
      <c r="D132" s="1078"/>
      <c r="E132" s="1078"/>
      <c r="F132" s="1078"/>
      <c r="G132" s="59"/>
    </row>
    <row r="133" spans="1:7" customFormat="1" ht="60" x14ac:dyDescent="0.25">
      <c r="A133" s="841" t="s">
        <v>336</v>
      </c>
      <c r="B133" s="1077">
        <v>41103</v>
      </c>
      <c r="C133" s="1077">
        <v>41471</v>
      </c>
      <c r="D133" s="1078">
        <v>4100000</v>
      </c>
      <c r="E133" s="1078">
        <v>3389600</v>
      </c>
      <c r="F133" s="1078">
        <v>710400</v>
      </c>
      <c r="G133" s="59"/>
    </row>
    <row r="134" spans="1:7" customFormat="1" x14ac:dyDescent="0.25">
      <c r="A134" s="841" t="s">
        <v>120</v>
      </c>
      <c r="B134" s="1077"/>
      <c r="C134" s="1077"/>
      <c r="D134" s="1078"/>
      <c r="E134" s="1078"/>
      <c r="F134" s="1078"/>
      <c r="G134" s="59"/>
    </row>
    <row r="135" spans="1:7" customFormat="1" x14ac:dyDescent="0.25">
      <c r="A135" s="841" t="s">
        <v>429</v>
      </c>
      <c r="B135" s="1077"/>
      <c r="C135" s="1077"/>
      <c r="D135" s="1078"/>
      <c r="E135" s="1078"/>
      <c r="F135" s="1078"/>
      <c r="G135" s="59"/>
    </row>
    <row r="136" spans="1:7" customFormat="1" ht="45" x14ac:dyDescent="0.25">
      <c r="A136" s="841" t="s">
        <v>445</v>
      </c>
      <c r="B136" s="1077">
        <v>40862</v>
      </c>
      <c r="C136" s="1077">
        <v>41362</v>
      </c>
      <c r="D136" s="1078">
        <v>20044800</v>
      </c>
      <c r="E136" s="1078">
        <v>20044800</v>
      </c>
      <c r="F136" s="1078">
        <v>0</v>
      </c>
      <c r="G136" s="59"/>
    </row>
    <row r="137" spans="1:7" customFormat="1" x14ac:dyDescent="0.25">
      <c r="A137" s="841" t="s">
        <v>112</v>
      </c>
      <c r="B137" s="1077"/>
      <c r="C137" s="1077"/>
      <c r="D137" s="1078"/>
      <c r="E137" s="1078"/>
      <c r="F137" s="1078"/>
      <c r="G137" s="59"/>
    </row>
    <row r="138" spans="1:7" customFormat="1" x14ac:dyDescent="0.25">
      <c r="A138" s="841" t="s">
        <v>430</v>
      </c>
      <c r="B138" s="1077"/>
      <c r="C138" s="1077"/>
      <c r="D138" s="1078"/>
      <c r="E138" s="1078"/>
      <c r="F138" s="1078"/>
      <c r="G138" s="59"/>
    </row>
    <row r="139" spans="1:7" customFormat="1" ht="60" x14ac:dyDescent="0.25">
      <c r="A139" s="841" t="s">
        <v>446</v>
      </c>
      <c r="B139" s="1077">
        <v>40865</v>
      </c>
      <c r="C139" s="1077">
        <v>41323</v>
      </c>
      <c r="D139" s="1078">
        <v>9976800</v>
      </c>
      <c r="E139" s="1078">
        <v>9976596</v>
      </c>
      <c r="F139" s="1078">
        <v>204</v>
      </c>
      <c r="G139" s="59"/>
    </row>
    <row r="140" spans="1:7" customFormat="1" x14ac:dyDescent="0.25">
      <c r="A140" s="841" t="s">
        <v>44</v>
      </c>
      <c r="B140" s="1077"/>
      <c r="C140" s="1077"/>
      <c r="D140" s="1078"/>
      <c r="E140" s="1078"/>
      <c r="F140" s="1078"/>
      <c r="G140" s="59"/>
    </row>
    <row r="141" spans="1:7" customFormat="1" x14ac:dyDescent="0.25">
      <c r="A141" s="841" t="s">
        <v>1017</v>
      </c>
      <c r="B141" s="1077"/>
      <c r="C141" s="1077"/>
      <c r="D141" s="1078"/>
      <c r="E141" s="1078"/>
      <c r="F141" s="1078"/>
      <c r="G141" s="59"/>
    </row>
    <row r="142" spans="1:7" customFormat="1" ht="45" x14ac:dyDescent="0.25">
      <c r="A142" s="841" t="s">
        <v>329</v>
      </c>
      <c r="B142" s="1077">
        <v>41151</v>
      </c>
      <c r="C142" s="1077">
        <v>41547</v>
      </c>
      <c r="D142" s="1078">
        <v>8932201</v>
      </c>
      <c r="E142" s="1078">
        <v>8906668</v>
      </c>
      <c r="F142" s="1078">
        <v>25533</v>
      </c>
      <c r="G142" s="59"/>
    </row>
    <row r="143" spans="1:7" customFormat="1" x14ac:dyDescent="0.25">
      <c r="A143" s="841" t="s">
        <v>7</v>
      </c>
      <c r="B143" s="1077"/>
      <c r="C143" s="1077"/>
      <c r="D143" s="1078"/>
      <c r="E143" s="1078"/>
      <c r="F143" s="1078"/>
      <c r="G143" s="59"/>
    </row>
    <row r="144" spans="1:7" customFormat="1" x14ac:dyDescent="0.25">
      <c r="A144" s="841" t="s">
        <v>8</v>
      </c>
      <c r="B144" s="1077"/>
      <c r="C144" s="1077"/>
      <c r="D144" s="1078"/>
      <c r="E144" s="1078"/>
      <c r="F144" s="1078"/>
      <c r="G144" s="59"/>
    </row>
    <row r="145" spans="1:7" customFormat="1" ht="45" x14ac:dyDescent="0.25">
      <c r="A145" s="841" t="s">
        <v>314</v>
      </c>
      <c r="B145" s="1077">
        <v>41155</v>
      </c>
      <c r="C145" s="1077">
        <v>41458</v>
      </c>
      <c r="D145" s="1078">
        <v>8545000</v>
      </c>
      <c r="E145" s="1078">
        <v>4336000</v>
      </c>
      <c r="F145" s="1078">
        <v>4209000</v>
      </c>
      <c r="G145" s="59"/>
    </row>
    <row r="146" spans="1:7" customFormat="1" x14ac:dyDescent="0.25">
      <c r="A146" s="841" t="s">
        <v>161</v>
      </c>
      <c r="B146" s="1077"/>
      <c r="C146" s="1077"/>
      <c r="D146" s="1078"/>
      <c r="E146" s="1078"/>
      <c r="F146" s="1078"/>
      <c r="G146" s="59"/>
    </row>
    <row r="147" spans="1:7" customFormat="1" x14ac:dyDescent="0.25">
      <c r="A147" s="841" t="s">
        <v>162</v>
      </c>
      <c r="B147" s="1077"/>
      <c r="C147" s="1077"/>
      <c r="D147" s="1078"/>
      <c r="E147" s="1078"/>
      <c r="F147" s="1078"/>
      <c r="G147" s="59"/>
    </row>
    <row r="148" spans="1:7" customFormat="1" ht="30" x14ac:dyDescent="0.25">
      <c r="A148" s="841" t="s">
        <v>360</v>
      </c>
      <c r="B148" s="1077">
        <v>40891</v>
      </c>
      <c r="C148" s="1077">
        <v>40922</v>
      </c>
      <c r="D148" s="1078">
        <v>1306508</v>
      </c>
      <c r="E148" s="1078">
        <v>1306508</v>
      </c>
      <c r="F148" s="1078">
        <v>0</v>
      </c>
      <c r="G148" s="59"/>
    </row>
    <row r="149" spans="1:7" customFormat="1" x14ac:dyDescent="0.25">
      <c r="A149" s="841" t="s">
        <v>5</v>
      </c>
      <c r="B149" s="1077"/>
      <c r="C149" s="1077"/>
      <c r="D149" s="1078"/>
      <c r="E149" s="1078"/>
      <c r="F149" s="1078"/>
      <c r="G149" s="59"/>
    </row>
    <row r="150" spans="1:7" customFormat="1" x14ac:dyDescent="0.25">
      <c r="A150" s="841" t="s">
        <v>431</v>
      </c>
      <c r="B150" s="1077"/>
      <c r="C150" s="1077"/>
      <c r="D150" s="1078"/>
      <c r="E150" s="1078"/>
      <c r="F150" s="1078"/>
      <c r="G150" s="59"/>
    </row>
    <row r="151" spans="1:7" customFormat="1" ht="60" x14ac:dyDescent="0.25">
      <c r="A151" s="841" t="s">
        <v>312</v>
      </c>
      <c r="B151" s="1077">
        <v>40897</v>
      </c>
      <c r="C151" s="1077">
        <v>41243</v>
      </c>
      <c r="D151" s="1078">
        <v>102786079</v>
      </c>
      <c r="E151" s="1078">
        <v>84046373</v>
      </c>
      <c r="F151" s="1078">
        <v>18739706</v>
      </c>
      <c r="G151" s="59"/>
    </row>
    <row r="152" spans="1:7" customFormat="1" x14ac:dyDescent="0.25">
      <c r="A152" s="841" t="s">
        <v>6</v>
      </c>
      <c r="B152" s="1077"/>
      <c r="C152" s="1077"/>
      <c r="D152" s="1078"/>
      <c r="E152" s="1078"/>
      <c r="F152" s="1078"/>
      <c r="G152" s="59"/>
    </row>
    <row r="153" spans="1:7" customFormat="1" x14ac:dyDescent="0.25">
      <c r="A153" s="841" t="s">
        <v>1018</v>
      </c>
      <c r="B153" s="1077"/>
      <c r="C153" s="1077"/>
      <c r="D153" s="1078"/>
      <c r="E153" s="1078"/>
      <c r="F153" s="1078"/>
      <c r="G153" s="59"/>
    </row>
    <row r="154" spans="1:7" customFormat="1" ht="30" x14ac:dyDescent="0.25">
      <c r="A154" s="841" t="s">
        <v>541</v>
      </c>
      <c r="B154" s="1077">
        <v>41172</v>
      </c>
      <c r="C154" s="1077">
        <v>41445</v>
      </c>
      <c r="D154" s="1078">
        <v>242578353</v>
      </c>
      <c r="E154" s="1078">
        <v>218264339</v>
      </c>
      <c r="F154" s="1078">
        <v>24314014</v>
      </c>
      <c r="G154" s="59"/>
    </row>
    <row r="155" spans="1:7" customFormat="1" x14ac:dyDescent="0.25">
      <c r="A155" s="841" t="s">
        <v>35</v>
      </c>
      <c r="B155" s="1077"/>
      <c r="C155" s="1077"/>
      <c r="D155" s="1078"/>
      <c r="E155" s="1078"/>
      <c r="F155" s="1078"/>
      <c r="G155" s="59"/>
    </row>
    <row r="156" spans="1:7" customFormat="1" x14ac:dyDescent="0.25">
      <c r="A156" s="841" t="s">
        <v>36</v>
      </c>
      <c r="B156" s="1077"/>
      <c r="C156" s="1077"/>
      <c r="D156" s="1078"/>
      <c r="E156" s="1078"/>
      <c r="F156" s="1078"/>
      <c r="G156" s="59"/>
    </row>
    <row r="157" spans="1:7" customFormat="1" ht="60" x14ac:dyDescent="0.25">
      <c r="A157" s="841" t="s">
        <v>326</v>
      </c>
      <c r="B157" s="1077">
        <v>41172</v>
      </c>
      <c r="C157" s="1077">
        <v>41414</v>
      </c>
      <c r="D157" s="1078">
        <v>4493000</v>
      </c>
      <c r="E157" s="1078">
        <v>3309000</v>
      </c>
      <c r="F157" s="1078">
        <v>1184000</v>
      </c>
      <c r="G157" s="59"/>
    </row>
    <row r="158" spans="1:7" customFormat="1" x14ac:dyDescent="0.25">
      <c r="A158" s="841" t="s">
        <v>37</v>
      </c>
      <c r="B158" s="1077"/>
      <c r="C158" s="1077"/>
      <c r="D158" s="1078"/>
      <c r="E158" s="1078"/>
      <c r="F158" s="1078"/>
      <c r="G158" s="59"/>
    </row>
    <row r="159" spans="1:7" customFormat="1" x14ac:dyDescent="0.25">
      <c r="A159" s="841" t="s">
        <v>38</v>
      </c>
      <c r="B159" s="1077"/>
      <c r="C159" s="1077"/>
      <c r="D159" s="1078"/>
      <c r="E159" s="1078"/>
      <c r="F159" s="1078"/>
      <c r="G159" s="59"/>
    </row>
    <row r="160" spans="1:7" customFormat="1" ht="30" x14ac:dyDescent="0.25">
      <c r="A160" s="841" t="s">
        <v>327</v>
      </c>
      <c r="B160" s="1077">
        <v>41163</v>
      </c>
      <c r="C160" s="1077">
        <v>41425</v>
      </c>
      <c r="D160" s="1078">
        <v>24726000</v>
      </c>
      <c r="E160" s="1078">
        <v>24725958</v>
      </c>
      <c r="F160" s="1078">
        <v>42</v>
      </c>
      <c r="G160" s="59"/>
    </row>
    <row r="161" spans="1:7" customFormat="1" x14ac:dyDescent="0.25">
      <c r="A161" s="841" t="s">
        <v>9</v>
      </c>
      <c r="B161" s="1077"/>
      <c r="C161" s="1077"/>
      <c r="D161" s="1078"/>
      <c r="E161" s="1078"/>
      <c r="F161" s="1078"/>
      <c r="G161" s="59"/>
    </row>
    <row r="162" spans="1:7" customFormat="1" x14ac:dyDescent="0.25">
      <c r="A162" s="841" t="s">
        <v>1019</v>
      </c>
      <c r="B162" s="1077"/>
      <c r="C162" s="1077"/>
      <c r="D162" s="1078"/>
      <c r="E162" s="1078"/>
      <c r="F162" s="1078"/>
      <c r="G162" s="59"/>
    </row>
    <row r="163" spans="1:7" customFormat="1" ht="45" x14ac:dyDescent="0.25">
      <c r="A163" s="841" t="s">
        <v>315</v>
      </c>
      <c r="B163" s="1077">
        <v>41176</v>
      </c>
      <c r="C163" s="1077">
        <v>41409</v>
      </c>
      <c r="D163" s="1078">
        <v>20923575</v>
      </c>
      <c r="E163" s="1078">
        <v>19912200</v>
      </c>
      <c r="F163" s="1078">
        <v>1011375</v>
      </c>
      <c r="G163" s="59"/>
    </row>
    <row r="164" spans="1:7" customFormat="1" x14ac:dyDescent="0.25">
      <c r="A164" s="841" t="s">
        <v>63</v>
      </c>
      <c r="B164" s="1077"/>
      <c r="C164" s="1077"/>
      <c r="D164" s="1078"/>
      <c r="E164" s="1078"/>
      <c r="F164" s="1078"/>
      <c r="G164" s="59"/>
    </row>
    <row r="165" spans="1:7" customFormat="1" ht="30" x14ac:dyDescent="0.25">
      <c r="A165" s="841" t="s">
        <v>64</v>
      </c>
      <c r="B165" s="1077"/>
      <c r="C165" s="1077"/>
      <c r="D165" s="1078"/>
      <c r="E165" s="1078"/>
      <c r="F165" s="1078"/>
      <c r="G165" s="59"/>
    </row>
    <row r="166" spans="1:7" customFormat="1" ht="75" x14ac:dyDescent="0.25">
      <c r="A166" s="841" t="s">
        <v>337</v>
      </c>
      <c r="B166" s="1077">
        <v>41198</v>
      </c>
      <c r="C166" s="1077">
        <v>41441</v>
      </c>
      <c r="D166" s="1078">
        <v>282073266</v>
      </c>
      <c r="E166" s="1078">
        <v>282073266</v>
      </c>
      <c r="F166" s="1078">
        <v>0</v>
      </c>
      <c r="G166" s="59"/>
    </row>
    <row r="167" spans="1:7" customFormat="1" x14ac:dyDescent="0.25">
      <c r="A167" s="841" t="s">
        <v>110</v>
      </c>
      <c r="B167" s="1077"/>
      <c r="C167" s="1077"/>
      <c r="D167" s="1078"/>
      <c r="E167" s="1078"/>
      <c r="F167" s="1078"/>
      <c r="G167" s="59"/>
    </row>
    <row r="168" spans="1:7" customFormat="1" x14ac:dyDescent="0.25">
      <c r="A168" s="841" t="s">
        <v>111</v>
      </c>
      <c r="B168" s="1077"/>
      <c r="C168" s="1077"/>
      <c r="D168" s="1078"/>
      <c r="E168" s="1078"/>
      <c r="F168" s="1078"/>
      <c r="G168" s="59"/>
    </row>
    <row r="169" spans="1:7" customFormat="1" ht="75" x14ac:dyDescent="0.25">
      <c r="A169" s="841" t="s">
        <v>1374</v>
      </c>
      <c r="B169" s="1077">
        <v>41198</v>
      </c>
      <c r="C169" s="1077">
        <v>41441</v>
      </c>
      <c r="D169" s="1078">
        <v>50618751</v>
      </c>
      <c r="E169" s="1078">
        <v>50618751</v>
      </c>
      <c r="F169" s="1078">
        <v>0</v>
      </c>
      <c r="G169" s="59"/>
    </row>
    <row r="170" spans="1:7" customFormat="1" x14ac:dyDescent="0.25">
      <c r="A170" s="841" t="s">
        <v>65</v>
      </c>
      <c r="B170" s="1077"/>
      <c r="C170" s="1077"/>
      <c r="D170" s="1078"/>
      <c r="E170" s="1078"/>
      <c r="F170" s="1078"/>
      <c r="G170" s="59"/>
    </row>
    <row r="171" spans="1:7" customFormat="1" x14ac:dyDescent="0.25">
      <c r="A171" s="841" t="s">
        <v>66</v>
      </c>
      <c r="B171" s="1077"/>
      <c r="C171" s="1077"/>
      <c r="D171" s="1078"/>
      <c r="E171" s="1078"/>
      <c r="F171" s="1078"/>
      <c r="G171" s="59"/>
    </row>
    <row r="172" spans="1:7" customFormat="1" ht="45" x14ac:dyDescent="0.25">
      <c r="A172" s="841" t="s">
        <v>459</v>
      </c>
      <c r="B172" s="1077">
        <v>41202</v>
      </c>
      <c r="C172" s="1077">
        <v>41486</v>
      </c>
      <c r="D172" s="1078">
        <v>69900000</v>
      </c>
      <c r="E172" s="1078">
        <v>69900000</v>
      </c>
      <c r="F172" s="1078">
        <v>0</v>
      </c>
      <c r="G172" s="59"/>
    </row>
    <row r="173" spans="1:7" customFormat="1" x14ac:dyDescent="0.25">
      <c r="A173" s="841" t="s">
        <v>69</v>
      </c>
      <c r="B173" s="1077"/>
      <c r="C173" s="1077"/>
      <c r="D173" s="1078"/>
      <c r="E173" s="1078"/>
      <c r="F173" s="1078"/>
      <c r="G173" s="59"/>
    </row>
    <row r="174" spans="1:7" customFormat="1" x14ac:dyDescent="0.25">
      <c r="A174" s="841" t="s">
        <v>77</v>
      </c>
      <c r="B174" s="1077"/>
      <c r="C174" s="1077"/>
      <c r="D174" s="1078"/>
      <c r="E174" s="1078"/>
      <c r="F174" s="1078"/>
      <c r="G174" s="59"/>
    </row>
    <row r="175" spans="1:7" customFormat="1" ht="75" x14ac:dyDescent="0.25">
      <c r="A175" s="841" t="s">
        <v>397</v>
      </c>
      <c r="B175" s="1077">
        <v>41170</v>
      </c>
      <c r="C175" s="1077">
        <v>41412</v>
      </c>
      <c r="D175" s="1078">
        <v>500000000</v>
      </c>
      <c r="E175" s="1078">
        <v>500000000</v>
      </c>
      <c r="F175" s="1078">
        <v>0</v>
      </c>
      <c r="G175" s="59"/>
    </row>
    <row r="176" spans="1:7" customFormat="1" x14ac:dyDescent="0.25">
      <c r="A176" s="841" t="s">
        <v>47</v>
      </c>
      <c r="B176" s="1077"/>
      <c r="C176" s="1077"/>
      <c r="D176" s="1078"/>
      <c r="E176" s="1078"/>
      <c r="F176" s="1078"/>
      <c r="G176" s="59"/>
    </row>
    <row r="177" spans="1:7" customFormat="1" x14ac:dyDescent="0.25">
      <c r="A177" s="841" t="s">
        <v>48</v>
      </c>
      <c r="B177" s="1077"/>
      <c r="C177" s="1077"/>
      <c r="D177" s="1078"/>
      <c r="E177" s="1078"/>
      <c r="F177" s="1078"/>
      <c r="G177" s="59"/>
    </row>
    <row r="178" spans="1:7" customFormat="1" ht="75" x14ac:dyDescent="0.25">
      <c r="A178" s="841" t="s">
        <v>421</v>
      </c>
      <c r="B178" s="1077">
        <v>41208</v>
      </c>
      <c r="C178" s="1077">
        <v>41481</v>
      </c>
      <c r="D178" s="1078">
        <v>24824832</v>
      </c>
      <c r="E178" s="1078">
        <v>24824832</v>
      </c>
      <c r="F178" s="1078">
        <v>0</v>
      </c>
      <c r="G178" s="59"/>
    </row>
    <row r="179" spans="1:7" customFormat="1" x14ac:dyDescent="0.25">
      <c r="A179" s="841" t="s">
        <v>39</v>
      </c>
      <c r="B179" s="1077"/>
      <c r="C179" s="1077"/>
      <c r="D179" s="1078"/>
      <c r="E179" s="1078"/>
      <c r="F179" s="1078"/>
      <c r="G179" s="59"/>
    </row>
    <row r="180" spans="1:7" customFormat="1" x14ac:dyDescent="0.25">
      <c r="A180" s="841" t="s">
        <v>1020</v>
      </c>
      <c r="B180" s="1077"/>
      <c r="C180" s="1077"/>
      <c r="D180" s="1078"/>
      <c r="E180" s="1078"/>
      <c r="F180" s="1078"/>
      <c r="G180" s="59"/>
    </row>
    <row r="181" spans="1:7" customFormat="1" ht="30" x14ac:dyDescent="0.25">
      <c r="A181" s="841" t="s">
        <v>328</v>
      </c>
      <c r="B181" s="1077">
        <v>41193</v>
      </c>
      <c r="C181" s="1077">
        <v>41558</v>
      </c>
      <c r="D181" s="1078">
        <v>810000</v>
      </c>
      <c r="E181" s="1078">
        <v>810000</v>
      </c>
      <c r="F181" s="1078">
        <v>0</v>
      </c>
      <c r="G181" s="59"/>
    </row>
    <row r="182" spans="1:7" customFormat="1" x14ac:dyDescent="0.25">
      <c r="A182" s="841" t="s">
        <v>49</v>
      </c>
      <c r="B182" s="1077"/>
      <c r="C182" s="1077"/>
      <c r="D182" s="1078"/>
      <c r="E182" s="1078"/>
      <c r="F182" s="1078"/>
      <c r="G182" s="59"/>
    </row>
    <row r="183" spans="1:7" customFormat="1" x14ac:dyDescent="0.25">
      <c r="A183" s="841" t="s">
        <v>1021</v>
      </c>
      <c r="B183" s="1077"/>
      <c r="C183" s="1077"/>
      <c r="D183" s="1078"/>
      <c r="E183" s="1078"/>
      <c r="F183" s="1078"/>
      <c r="G183" s="59"/>
    </row>
    <row r="184" spans="1:7" customFormat="1" ht="45" x14ac:dyDescent="0.25">
      <c r="A184" s="841" t="s">
        <v>460</v>
      </c>
      <c r="B184" s="1077">
        <v>41208</v>
      </c>
      <c r="C184" s="1077">
        <v>41451</v>
      </c>
      <c r="D184" s="1078">
        <v>299287875</v>
      </c>
      <c r="E184" s="1078">
        <v>160844981</v>
      </c>
      <c r="F184" s="1078">
        <v>138442894</v>
      </c>
      <c r="G184" s="59"/>
    </row>
    <row r="185" spans="1:7" customFormat="1" x14ac:dyDescent="0.25">
      <c r="A185" s="841" t="s">
        <v>50</v>
      </c>
      <c r="B185" s="1077"/>
      <c r="C185" s="1077"/>
      <c r="D185" s="1078"/>
      <c r="E185" s="1078"/>
      <c r="F185" s="1078"/>
      <c r="G185" s="59"/>
    </row>
    <row r="186" spans="1:7" customFormat="1" x14ac:dyDescent="0.25">
      <c r="A186" s="841" t="s">
        <v>1022</v>
      </c>
      <c r="B186" s="1077"/>
      <c r="C186" s="1077"/>
      <c r="D186" s="1078"/>
      <c r="E186" s="1078"/>
      <c r="F186" s="1078"/>
      <c r="G186" s="59"/>
    </row>
    <row r="187" spans="1:7" customFormat="1" ht="45" x14ac:dyDescent="0.25">
      <c r="A187" s="841" t="s">
        <v>331</v>
      </c>
      <c r="B187" s="1077">
        <v>41242</v>
      </c>
      <c r="C187" s="1077">
        <v>41534</v>
      </c>
      <c r="D187" s="1078">
        <v>1392000</v>
      </c>
      <c r="E187" s="1078">
        <v>0</v>
      </c>
      <c r="F187" s="1078">
        <v>1392000</v>
      </c>
      <c r="G187" s="59"/>
    </row>
    <row r="188" spans="1:7" customFormat="1" x14ac:dyDescent="0.25">
      <c r="A188" s="841" t="s">
        <v>119</v>
      </c>
      <c r="B188" s="1077"/>
      <c r="C188" s="1077"/>
      <c r="D188" s="1078"/>
      <c r="E188" s="1078"/>
      <c r="F188" s="1078"/>
      <c r="G188" s="59"/>
    </row>
    <row r="189" spans="1:7" customFormat="1" x14ac:dyDescent="0.25">
      <c r="A189" s="841" t="s">
        <v>398</v>
      </c>
      <c r="B189" s="1077"/>
      <c r="C189" s="1077"/>
      <c r="D189" s="1078"/>
      <c r="E189" s="1078"/>
      <c r="F189" s="1078"/>
      <c r="G189" s="59"/>
    </row>
    <row r="190" spans="1:7" customFormat="1" ht="30" x14ac:dyDescent="0.25">
      <c r="A190" s="841" t="s">
        <v>352</v>
      </c>
      <c r="B190" s="1077">
        <v>41208</v>
      </c>
      <c r="C190" s="1077">
        <v>41390</v>
      </c>
      <c r="D190" s="1078">
        <v>4056000</v>
      </c>
      <c r="E190" s="1078">
        <v>4056000</v>
      </c>
      <c r="F190" s="1078">
        <v>0</v>
      </c>
      <c r="G190" s="59"/>
    </row>
    <row r="191" spans="1:7" customFormat="1" x14ac:dyDescent="0.25">
      <c r="A191" s="841" t="s">
        <v>589</v>
      </c>
      <c r="B191" s="1077"/>
      <c r="C191" s="1077"/>
      <c r="D191" s="1078"/>
      <c r="E191" s="1078"/>
      <c r="F191" s="1078"/>
      <c r="G191" s="59"/>
    </row>
    <row r="192" spans="1:7" customFormat="1" x14ac:dyDescent="0.25">
      <c r="A192" s="841" t="s">
        <v>426</v>
      </c>
      <c r="B192" s="1077"/>
      <c r="C192" s="1077"/>
      <c r="D192" s="1078"/>
      <c r="E192" s="1078"/>
      <c r="F192" s="1078"/>
      <c r="G192" s="59"/>
    </row>
    <row r="193" spans="1:7" customFormat="1" ht="45" x14ac:dyDescent="0.25">
      <c r="A193" s="841" t="s">
        <v>442</v>
      </c>
      <c r="B193" s="1077">
        <v>40966</v>
      </c>
      <c r="C193" s="1077">
        <v>41332</v>
      </c>
      <c r="D193" s="1078">
        <v>12835200</v>
      </c>
      <c r="E193" s="1078">
        <v>1092200</v>
      </c>
      <c r="F193" s="1078">
        <v>11743000</v>
      </c>
      <c r="G193" s="59"/>
    </row>
    <row r="194" spans="1:7" customFormat="1" x14ac:dyDescent="0.25">
      <c r="A194" s="841" t="s">
        <v>163</v>
      </c>
      <c r="B194" s="1077"/>
      <c r="C194" s="1077"/>
      <c r="D194" s="1078"/>
      <c r="E194" s="1078"/>
      <c r="F194" s="1078"/>
      <c r="G194" s="59"/>
    </row>
    <row r="195" spans="1:7" customFormat="1" x14ac:dyDescent="0.25">
      <c r="A195" s="841" t="s">
        <v>432</v>
      </c>
      <c r="B195" s="1077"/>
      <c r="C195" s="1077"/>
      <c r="D195" s="1078"/>
      <c r="E195" s="1078"/>
      <c r="F195" s="1078"/>
      <c r="G195" s="59"/>
    </row>
    <row r="196" spans="1:7" customFormat="1" ht="45" x14ac:dyDescent="0.25">
      <c r="A196" s="841" t="s">
        <v>447</v>
      </c>
      <c r="B196" s="1077">
        <v>40946</v>
      </c>
      <c r="C196" s="1077">
        <v>41312</v>
      </c>
      <c r="D196" s="1078">
        <v>49376272</v>
      </c>
      <c r="E196" s="1078">
        <v>49376272</v>
      </c>
      <c r="F196" s="1078">
        <v>0</v>
      </c>
      <c r="G196" s="59"/>
    </row>
    <row r="197" spans="1:7" x14ac:dyDescent="0.25">
      <c r="A197" s="841" t="s">
        <v>51</v>
      </c>
      <c r="B197" s="1077"/>
      <c r="C197" s="1077"/>
      <c r="D197" s="1078"/>
      <c r="E197" s="1078"/>
      <c r="F197" s="1078"/>
    </row>
    <row r="198" spans="1:7" x14ac:dyDescent="0.25">
      <c r="A198" s="841" t="s">
        <v>1023</v>
      </c>
      <c r="B198" s="1077"/>
      <c r="C198" s="1077"/>
      <c r="D198" s="1078"/>
      <c r="E198" s="1078"/>
      <c r="F198" s="1078"/>
    </row>
    <row r="199" spans="1:7" ht="105" x14ac:dyDescent="0.25">
      <c r="A199" s="841" t="s">
        <v>1375</v>
      </c>
      <c r="B199" s="1077">
        <v>41214</v>
      </c>
      <c r="C199" s="1077">
        <v>41579</v>
      </c>
      <c r="D199" s="1078">
        <v>526745000</v>
      </c>
      <c r="E199" s="1078">
        <v>526745000</v>
      </c>
      <c r="F199" s="1078">
        <v>0</v>
      </c>
    </row>
    <row r="200" spans="1:7" x14ac:dyDescent="0.25">
      <c r="A200" s="841" t="s">
        <v>597</v>
      </c>
      <c r="B200" s="1077"/>
      <c r="C200" s="1077"/>
      <c r="D200" s="1078"/>
      <c r="E200" s="1078"/>
      <c r="F200" s="1078"/>
    </row>
    <row r="201" spans="1:7" x14ac:dyDescent="0.25">
      <c r="A201" s="841" t="s">
        <v>1024</v>
      </c>
      <c r="B201" s="1077"/>
      <c r="C201" s="1077"/>
      <c r="D201" s="1078"/>
      <c r="E201" s="1078"/>
      <c r="F201" s="1078"/>
    </row>
    <row r="202" spans="1:7" ht="60" x14ac:dyDescent="0.25">
      <c r="A202" s="841" t="s">
        <v>338</v>
      </c>
      <c r="B202" s="1077">
        <v>41232</v>
      </c>
      <c r="C202" s="1077">
        <v>41562</v>
      </c>
      <c r="D202" s="1078">
        <v>619289880</v>
      </c>
      <c r="E202" s="1078">
        <v>619289880</v>
      </c>
      <c r="F202" s="1078">
        <v>0</v>
      </c>
    </row>
    <row r="203" spans="1:7" x14ac:dyDescent="0.25">
      <c r="A203" s="841" t="s">
        <v>52</v>
      </c>
      <c r="B203" s="1077"/>
      <c r="C203" s="1077"/>
      <c r="D203" s="1078"/>
      <c r="E203" s="1078"/>
      <c r="F203" s="1078"/>
    </row>
    <row r="204" spans="1:7" x14ac:dyDescent="0.25">
      <c r="A204" s="841" t="s">
        <v>53</v>
      </c>
      <c r="B204" s="1077"/>
      <c r="C204" s="1077"/>
      <c r="D204" s="1078"/>
      <c r="E204" s="1078"/>
      <c r="F204" s="1078"/>
    </row>
    <row r="205" spans="1:7" ht="30" x14ac:dyDescent="0.25">
      <c r="A205" s="841" t="s">
        <v>332</v>
      </c>
      <c r="B205" s="1077">
        <v>41278</v>
      </c>
      <c r="C205" s="1077">
        <v>41459</v>
      </c>
      <c r="D205" s="1078">
        <v>13806000</v>
      </c>
      <c r="E205" s="1078">
        <v>12439108</v>
      </c>
      <c r="F205" s="1078">
        <v>1366892</v>
      </c>
    </row>
    <row r="206" spans="1:7" x14ac:dyDescent="0.25">
      <c r="A206" s="841" t="s">
        <v>598</v>
      </c>
      <c r="B206" s="1077"/>
      <c r="C206" s="1077"/>
      <c r="D206" s="1078"/>
      <c r="E206" s="1078"/>
      <c r="F206" s="1078"/>
    </row>
    <row r="207" spans="1:7" x14ac:dyDescent="0.25">
      <c r="A207" s="841" t="s">
        <v>1025</v>
      </c>
      <c r="B207" s="1077"/>
      <c r="C207" s="1077"/>
      <c r="D207" s="1078"/>
      <c r="E207" s="1078"/>
      <c r="F207" s="1078"/>
    </row>
    <row r="208" spans="1:7" ht="30" x14ac:dyDescent="0.25">
      <c r="A208" s="841" t="s">
        <v>333</v>
      </c>
      <c r="B208" s="1077">
        <v>41234</v>
      </c>
      <c r="C208" s="1077">
        <v>41446</v>
      </c>
      <c r="D208" s="1078">
        <v>37359000</v>
      </c>
      <c r="E208" s="1078">
        <v>37359000</v>
      </c>
      <c r="F208" s="1078">
        <v>0</v>
      </c>
    </row>
    <row r="209" spans="1:6" x14ac:dyDescent="0.25">
      <c r="A209" s="841" t="s">
        <v>399</v>
      </c>
      <c r="B209" s="1077"/>
      <c r="C209" s="1077"/>
      <c r="D209" s="1078"/>
      <c r="E209" s="1078"/>
      <c r="F209" s="1078"/>
    </row>
    <row r="210" spans="1:6" x14ac:dyDescent="0.25">
      <c r="A210" s="841" t="s">
        <v>424</v>
      </c>
      <c r="B210" s="1077"/>
      <c r="C210" s="1077"/>
      <c r="D210" s="1078"/>
      <c r="E210" s="1078"/>
      <c r="F210" s="1078"/>
    </row>
    <row r="211" spans="1:6" ht="45" x14ac:dyDescent="0.25">
      <c r="A211" s="841" t="s">
        <v>322</v>
      </c>
      <c r="B211" s="1077">
        <v>41235</v>
      </c>
      <c r="C211" s="1077">
        <v>41278</v>
      </c>
      <c r="D211" s="1078">
        <v>4452000</v>
      </c>
      <c r="E211" s="1078">
        <v>4452000</v>
      </c>
      <c r="F211" s="1078">
        <v>0</v>
      </c>
    </row>
    <row r="212" spans="1:6" x14ac:dyDescent="0.25">
      <c r="A212" s="841" t="s">
        <v>42</v>
      </c>
      <c r="B212" s="1077"/>
      <c r="C212" s="1077"/>
      <c r="D212" s="1078"/>
      <c r="E212" s="1078"/>
      <c r="F212" s="1078"/>
    </row>
    <row r="213" spans="1:6" x14ac:dyDescent="0.25">
      <c r="A213" s="841" t="s">
        <v>43</v>
      </c>
      <c r="B213" s="1077"/>
      <c r="C213" s="1077"/>
      <c r="D213" s="1078"/>
      <c r="E213" s="1078"/>
      <c r="F213" s="1078"/>
    </row>
    <row r="214" spans="1:6" ht="60" x14ac:dyDescent="0.25">
      <c r="A214" s="841" t="s">
        <v>1376</v>
      </c>
      <c r="B214" s="1077">
        <v>41240</v>
      </c>
      <c r="C214" s="1077">
        <v>41452</v>
      </c>
      <c r="D214" s="1078">
        <v>28420000</v>
      </c>
      <c r="E214" s="1078">
        <v>28379400</v>
      </c>
      <c r="F214" s="1078">
        <v>40600</v>
      </c>
    </row>
    <row r="215" spans="1:6" x14ac:dyDescent="0.25">
      <c r="A215" s="841" t="s">
        <v>67</v>
      </c>
      <c r="B215" s="1077"/>
      <c r="C215" s="1077"/>
      <c r="D215" s="1078"/>
      <c r="E215" s="1078"/>
      <c r="F215" s="1078"/>
    </row>
    <row r="216" spans="1:6" x14ac:dyDescent="0.25">
      <c r="A216" s="841" t="s">
        <v>68</v>
      </c>
      <c r="B216" s="1077"/>
      <c r="C216" s="1077"/>
      <c r="D216" s="1078"/>
      <c r="E216" s="1078"/>
      <c r="F216" s="1078"/>
    </row>
    <row r="217" spans="1:6" ht="45" x14ac:dyDescent="0.25">
      <c r="A217" s="841" t="s">
        <v>462</v>
      </c>
      <c r="B217" s="1077">
        <v>41260</v>
      </c>
      <c r="C217" s="1077">
        <v>41322</v>
      </c>
      <c r="D217" s="1078">
        <v>58300000</v>
      </c>
      <c r="E217" s="1078">
        <v>58300000</v>
      </c>
      <c r="F217" s="1078">
        <v>0</v>
      </c>
    </row>
    <row r="218" spans="1:6" x14ac:dyDescent="0.25">
      <c r="A218" s="841" t="s">
        <v>74</v>
      </c>
      <c r="B218" s="1077"/>
      <c r="C218" s="1077"/>
      <c r="D218" s="1078"/>
      <c r="E218" s="1078"/>
      <c r="F218" s="1078"/>
    </row>
    <row r="219" spans="1:6" x14ac:dyDescent="0.25">
      <c r="A219" s="841" t="s">
        <v>75</v>
      </c>
      <c r="B219" s="1077"/>
      <c r="C219" s="1077"/>
      <c r="D219" s="1078"/>
      <c r="E219" s="1078"/>
      <c r="F219" s="1078"/>
    </row>
    <row r="220" spans="1:6" ht="75" x14ac:dyDescent="0.25">
      <c r="A220" s="841" t="s">
        <v>415</v>
      </c>
      <c r="B220" s="1077">
        <v>41269</v>
      </c>
      <c r="C220" s="1077">
        <v>41593</v>
      </c>
      <c r="D220" s="1078">
        <v>411000000</v>
      </c>
      <c r="E220" s="1078">
        <v>411000000</v>
      </c>
      <c r="F220" s="1078">
        <v>0</v>
      </c>
    </row>
    <row r="221" spans="1:6" x14ac:dyDescent="0.25">
      <c r="A221" s="841" t="s">
        <v>54</v>
      </c>
      <c r="B221" s="1077"/>
      <c r="C221" s="1077"/>
      <c r="D221" s="1078"/>
      <c r="E221" s="1078"/>
      <c r="F221" s="1078"/>
    </row>
    <row r="222" spans="1:6" x14ac:dyDescent="0.25">
      <c r="A222" s="841" t="s">
        <v>55</v>
      </c>
      <c r="B222" s="1077"/>
      <c r="C222" s="1077"/>
      <c r="D222" s="1078"/>
      <c r="E222" s="1078"/>
      <c r="F222" s="1078"/>
    </row>
    <row r="223" spans="1:6" ht="60" x14ac:dyDescent="0.25">
      <c r="A223" s="841" t="s">
        <v>334</v>
      </c>
      <c r="B223" s="1077">
        <v>41271</v>
      </c>
      <c r="C223" s="1077">
        <v>41575</v>
      </c>
      <c r="D223" s="1078">
        <v>10032000</v>
      </c>
      <c r="E223" s="1078">
        <v>9339930</v>
      </c>
      <c r="F223" s="1078">
        <v>692070</v>
      </c>
    </row>
    <row r="224" spans="1:6" x14ac:dyDescent="0.25">
      <c r="A224" s="841" t="s">
        <v>11</v>
      </c>
      <c r="B224" s="1077"/>
      <c r="C224" s="1077"/>
      <c r="D224" s="1078"/>
      <c r="E224" s="1078"/>
      <c r="F224" s="1078"/>
    </row>
    <row r="225" spans="1:6" x14ac:dyDescent="0.25">
      <c r="A225" s="841" t="s">
        <v>12</v>
      </c>
      <c r="B225" s="1077"/>
      <c r="C225" s="1077"/>
      <c r="D225" s="1078"/>
      <c r="E225" s="1078"/>
      <c r="F225" s="1078"/>
    </row>
    <row r="226" spans="1:6" ht="30" x14ac:dyDescent="0.25">
      <c r="A226" s="841" t="s">
        <v>316</v>
      </c>
      <c r="B226" s="1077">
        <v>41288</v>
      </c>
      <c r="C226" s="1077">
        <v>41711</v>
      </c>
      <c r="D226" s="1078">
        <v>1918200</v>
      </c>
      <c r="E226" s="1078">
        <v>1755170</v>
      </c>
      <c r="F226" s="1078">
        <v>163030</v>
      </c>
    </row>
    <row r="227" spans="1:6" x14ac:dyDescent="0.25">
      <c r="A227" s="841" t="s">
        <v>4</v>
      </c>
      <c r="B227" s="1077"/>
      <c r="C227" s="1077"/>
      <c r="D227" s="1078"/>
      <c r="E227" s="1078"/>
      <c r="F227" s="1078"/>
    </row>
    <row r="228" spans="1:6" x14ac:dyDescent="0.25">
      <c r="A228" s="841" t="s">
        <v>1028</v>
      </c>
      <c r="B228" s="1077"/>
      <c r="C228" s="1077"/>
      <c r="D228" s="1078"/>
      <c r="E228" s="1078"/>
      <c r="F228" s="1078"/>
    </row>
    <row r="229" spans="1:6" ht="60" x14ac:dyDescent="0.25">
      <c r="A229" s="841" t="s">
        <v>312</v>
      </c>
      <c r="B229" s="1077">
        <v>41292</v>
      </c>
      <c r="C229" s="1077">
        <v>41608</v>
      </c>
      <c r="D229" s="1078">
        <v>79213111</v>
      </c>
      <c r="E229" s="1078">
        <v>65129800</v>
      </c>
      <c r="F229" s="1078">
        <v>14083311</v>
      </c>
    </row>
    <row r="230" spans="1:6" x14ac:dyDescent="0.25">
      <c r="A230" s="841" t="s">
        <v>71</v>
      </c>
      <c r="B230" s="1077"/>
      <c r="C230" s="1077"/>
      <c r="D230" s="1078"/>
      <c r="E230" s="1078"/>
      <c r="F230" s="1078"/>
    </row>
    <row r="231" spans="1:6" x14ac:dyDescent="0.25">
      <c r="A231" s="841" t="s">
        <v>1029</v>
      </c>
      <c r="B231" s="1077"/>
      <c r="C231" s="1077"/>
      <c r="D231" s="1078"/>
      <c r="E231" s="1078"/>
      <c r="F231" s="1078"/>
    </row>
    <row r="232" spans="1:6" ht="60" x14ac:dyDescent="0.25">
      <c r="A232" s="841" t="s">
        <v>339</v>
      </c>
      <c r="B232" s="1077">
        <v>41325</v>
      </c>
      <c r="C232" s="1077">
        <v>41505</v>
      </c>
      <c r="D232" s="1078">
        <v>75246412</v>
      </c>
      <c r="E232" s="1078">
        <v>75232704</v>
      </c>
      <c r="F232" s="1078">
        <v>13708</v>
      </c>
    </row>
    <row r="233" spans="1:6" x14ac:dyDescent="0.25">
      <c r="A233" s="1081" t="s">
        <v>76</v>
      </c>
      <c r="B233" s="1077"/>
      <c r="C233" s="1077"/>
      <c r="D233" s="1078"/>
      <c r="E233" s="1078"/>
      <c r="F233" s="1078"/>
    </row>
    <row r="234" spans="1:6" x14ac:dyDescent="0.25">
      <c r="A234" s="1081" t="s">
        <v>77</v>
      </c>
      <c r="B234" s="1077"/>
      <c r="C234" s="1077"/>
      <c r="D234" s="1078"/>
      <c r="E234" s="1078"/>
      <c r="F234" s="1078"/>
    </row>
    <row r="235" spans="1:6" ht="57" x14ac:dyDescent="0.25">
      <c r="A235" s="1081" t="s">
        <v>417</v>
      </c>
      <c r="B235" s="1079">
        <v>41263</v>
      </c>
      <c r="C235" s="1079">
        <v>43281</v>
      </c>
      <c r="D235" s="1080">
        <v>3900374978</v>
      </c>
      <c r="E235" s="1080">
        <v>680003244</v>
      </c>
      <c r="F235" s="1080">
        <v>3220371734</v>
      </c>
    </row>
    <row r="236" spans="1:6" x14ac:dyDescent="0.25">
      <c r="A236" s="841" t="s">
        <v>45</v>
      </c>
      <c r="B236" s="1077"/>
      <c r="C236" s="1077"/>
      <c r="D236" s="1078"/>
      <c r="E236" s="1078"/>
      <c r="F236" s="1078"/>
    </row>
    <row r="237" spans="1:6" x14ac:dyDescent="0.25">
      <c r="A237" s="841" t="s">
        <v>46</v>
      </c>
      <c r="B237" s="1077"/>
      <c r="C237" s="1077"/>
      <c r="D237" s="1078"/>
      <c r="E237" s="1078"/>
      <c r="F237" s="1078"/>
    </row>
    <row r="238" spans="1:6" ht="45" x14ac:dyDescent="0.25">
      <c r="A238" s="841" t="s">
        <v>330</v>
      </c>
      <c r="B238" s="1077">
        <v>41292</v>
      </c>
      <c r="C238" s="1077">
        <v>41322</v>
      </c>
      <c r="D238" s="1078">
        <v>1062500</v>
      </c>
      <c r="E238" s="1078">
        <v>1062500</v>
      </c>
      <c r="F238" s="1078">
        <v>0</v>
      </c>
    </row>
    <row r="239" spans="1:6" x14ac:dyDescent="0.25">
      <c r="A239" s="841" t="s">
        <v>25</v>
      </c>
      <c r="B239" s="1077"/>
      <c r="C239" s="1077"/>
      <c r="D239" s="1078"/>
      <c r="E239" s="1078"/>
      <c r="F239" s="1078"/>
    </row>
    <row r="240" spans="1:6" x14ac:dyDescent="0.25">
      <c r="A240" s="841" t="s">
        <v>26</v>
      </c>
      <c r="B240" s="1077"/>
      <c r="C240" s="1077"/>
      <c r="D240" s="1078"/>
      <c r="E240" s="1078"/>
      <c r="F240" s="1078"/>
    </row>
    <row r="241" spans="1:6" ht="75" x14ac:dyDescent="0.25">
      <c r="A241" s="841" t="s">
        <v>1377</v>
      </c>
      <c r="B241" s="1077">
        <v>41313</v>
      </c>
      <c r="C241" s="1077">
        <v>41736</v>
      </c>
      <c r="D241" s="1078">
        <v>115663600</v>
      </c>
      <c r="E241" s="1078">
        <v>115663040</v>
      </c>
      <c r="F241" s="1078">
        <v>560</v>
      </c>
    </row>
    <row r="242" spans="1:6" x14ac:dyDescent="0.25">
      <c r="A242" s="841" t="s">
        <v>116</v>
      </c>
      <c r="B242" s="1077"/>
      <c r="C242" s="1077"/>
      <c r="D242" s="1078"/>
      <c r="E242" s="1078"/>
      <c r="F242" s="1078"/>
    </row>
    <row r="243" spans="1:6" x14ac:dyDescent="0.25">
      <c r="A243" s="841" t="s">
        <v>418</v>
      </c>
      <c r="B243" s="1077"/>
      <c r="C243" s="1077"/>
      <c r="D243" s="1078"/>
      <c r="E243" s="1078"/>
      <c r="F243" s="1078"/>
    </row>
    <row r="244" spans="1:6" x14ac:dyDescent="0.25">
      <c r="A244" s="841" t="s">
        <v>350</v>
      </c>
      <c r="B244" s="1077">
        <v>41323</v>
      </c>
      <c r="C244" s="1077">
        <v>41442</v>
      </c>
      <c r="D244" s="1078">
        <v>36990000</v>
      </c>
      <c r="E244" s="1078">
        <v>36990000</v>
      </c>
      <c r="F244" s="1078">
        <v>0</v>
      </c>
    </row>
    <row r="245" spans="1:6" x14ac:dyDescent="0.25">
      <c r="A245" s="841" t="s">
        <v>122</v>
      </c>
      <c r="B245" s="1077"/>
      <c r="C245" s="1077"/>
      <c r="D245" s="1078"/>
      <c r="E245" s="1078"/>
      <c r="F245" s="1078"/>
    </row>
    <row r="246" spans="1:6" x14ac:dyDescent="0.25">
      <c r="A246" s="841" t="s">
        <v>244</v>
      </c>
      <c r="B246" s="1077"/>
      <c r="C246" s="1077"/>
      <c r="D246" s="1078"/>
      <c r="E246" s="1078"/>
      <c r="F246" s="1078"/>
    </row>
    <row r="247" spans="1:6" ht="30" x14ac:dyDescent="0.25">
      <c r="A247" s="841" t="s">
        <v>354</v>
      </c>
      <c r="B247" s="1077">
        <v>41316</v>
      </c>
      <c r="C247" s="1077">
        <v>41680</v>
      </c>
      <c r="D247" s="1078">
        <v>85314724</v>
      </c>
      <c r="E247" s="1078">
        <v>85314724</v>
      </c>
      <c r="F247" s="1078">
        <v>0</v>
      </c>
    </row>
    <row r="248" spans="1:6" x14ac:dyDescent="0.25">
      <c r="A248" s="841" t="s">
        <v>182</v>
      </c>
      <c r="B248" s="1077"/>
      <c r="C248" s="1077"/>
      <c r="D248" s="1078"/>
      <c r="E248" s="1078"/>
      <c r="F248" s="1078"/>
    </row>
    <row r="249" spans="1:6" x14ac:dyDescent="0.25">
      <c r="A249" s="841" t="s">
        <v>152</v>
      </c>
      <c r="B249" s="1077"/>
      <c r="C249" s="1077"/>
      <c r="D249" s="1078"/>
      <c r="E249" s="1078"/>
      <c r="F249" s="1078"/>
    </row>
    <row r="250" spans="1:6" ht="60" x14ac:dyDescent="0.25">
      <c r="A250" s="841" t="s">
        <v>441</v>
      </c>
      <c r="B250" s="1077">
        <v>40150</v>
      </c>
      <c r="C250" s="1077">
        <v>41336</v>
      </c>
      <c r="D250" s="1078">
        <v>507000000</v>
      </c>
      <c r="E250" s="1078">
        <v>471070424</v>
      </c>
      <c r="F250" s="1078">
        <v>35929576</v>
      </c>
    </row>
    <row r="251" spans="1:6" x14ac:dyDescent="0.25">
      <c r="A251" s="841" t="s">
        <v>78</v>
      </c>
      <c r="B251" s="1077"/>
      <c r="C251" s="1077"/>
      <c r="D251" s="1078"/>
      <c r="E251" s="1078"/>
      <c r="F251" s="1078"/>
    </row>
    <row r="252" spans="1:6" x14ac:dyDescent="0.25">
      <c r="A252" s="841" t="s">
        <v>79</v>
      </c>
      <c r="B252" s="1077"/>
      <c r="C252" s="1077"/>
      <c r="D252" s="1078"/>
      <c r="E252" s="1078"/>
      <c r="F252" s="1078"/>
    </row>
    <row r="253" spans="1:6" ht="60" x14ac:dyDescent="0.25">
      <c r="A253" s="841" t="s">
        <v>340</v>
      </c>
      <c r="B253" s="1077">
        <v>41319</v>
      </c>
      <c r="C253" s="1077">
        <v>41683</v>
      </c>
      <c r="D253" s="1078">
        <v>123000000</v>
      </c>
      <c r="E253" s="1078">
        <v>123000000</v>
      </c>
      <c r="F253" s="1078">
        <v>0</v>
      </c>
    </row>
    <row r="254" spans="1:6" x14ac:dyDescent="0.25">
      <c r="A254" s="841" t="s">
        <v>80</v>
      </c>
      <c r="B254" s="1077"/>
      <c r="C254" s="1077"/>
      <c r="D254" s="1078"/>
      <c r="E254" s="1078"/>
      <c r="F254" s="1078"/>
    </row>
    <row r="255" spans="1:6" x14ac:dyDescent="0.25">
      <c r="A255" s="841" t="s">
        <v>81</v>
      </c>
      <c r="B255" s="1077"/>
      <c r="C255" s="1077"/>
      <c r="D255" s="1078"/>
      <c r="E255" s="1078"/>
      <c r="F255" s="1078"/>
    </row>
    <row r="256" spans="1:6" ht="60" x14ac:dyDescent="0.25">
      <c r="A256" s="841" t="s">
        <v>1073</v>
      </c>
      <c r="B256" s="1077">
        <v>41347</v>
      </c>
      <c r="C256" s="1077">
        <v>41711</v>
      </c>
      <c r="D256" s="1078">
        <v>1113600</v>
      </c>
      <c r="E256" s="1078">
        <v>1113600</v>
      </c>
      <c r="F256" s="1078">
        <v>0</v>
      </c>
    </row>
    <row r="257" spans="1:6" x14ac:dyDescent="0.25">
      <c r="A257" s="841" t="s">
        <v>82</v>
      </c>
      <c r="B257" s="1077"/>
      <c r="C257" s="1077"/>
      <c r="D257" s="1078"/>
      <c r="E257" s="1078"/>
      <c r="F257" s="1078"/>
    </row>
    <row r="258" spans="1:6" x14ac:dyDescent="0.25">
      <c r="A258" s="841" t="s">
        <v>1030</v>
      </c>
      <c r="B258" s="1077"/>
      <c r="C258" s="1077"/>
      <c r="D258" s="1078"/>
      <c r="E258" s="1078"/>
      <c r="F258" s="1078"/>
    </row>
    <row r="259" spans="1:6" ht="60" x14ac:dyDescent="0.25">
      <c r="A259" s="841" t="s">
        <v>463</v>
      </c>
      <c r="B259" s="1077">
        <v>41347</v>
      </c>
      <c r="C259" s="1077">
        <v>41652</v>
      </c>
      <c r="D259" s="1078">
        <v>4967474</v>
      </c>
      <c r="E259" s="1078">
        <v>4453683</v>
      </c>
      <c r="F259" s="1078">
        <v>513791</v>
      </c>
    </row>
    <row r="260" spans="1:6" x14ac:dyDescent="0.25">
      <c r="A260" s="841" t="s">
        <v>83</v>
      </c>
      <c r="B260" s="1077"/>
      <c r="C260" s="1077"/>
      <c r="D260" s="1078"/>
      <c r="E260" s="1078"/>
      <c r="F260" s="1078"/>
    </row>
    <row r="261" spans="1:6" x14ac:dyDescent="0.25">
      <c r="A261" s="841" t="s">
        <v>84</v>
      </c>
      <c r="B261" s="1077"/>
      <c r="C261" s="1077"/>
      <c r="D261" s="1078"/>
      <c r="E261" s="1078"/>
      <c r="F261" s="1078"/>
    </row>
    <row r="262" spans="1:6" ht="30" x14ac:dyDescent="0.25">
      <c r="A262" s="841" t="s">
        <v>320</v>
      </c>
      <c r="B262" s="1077">
        <v>41367</v>
      </c>
      <c r="C262" s="1077">
        <v>41731</v>
      </c>
      <c r="D262" s="1078">
        <v>15913500</v>
      </c>
      <c r="E262" s="1078">
        <v>15453868</v>
      </c>
      <c r="F262" s="1078">
        <v>459632</v>
      </c>
    </row>
    <row r="263" spans="1:6" x14ac:dyDescent="0.25">
      <c r="A263" s="841" t="s">
        <v>85</v>
      </c>
      <c r="B263" s="1077"/>
      <c r="C263" s="1077"/>
      <c r="D263" s="1078"/>
      <c r="E263" s="1078"/>
      <c r="F263" s="1078"/>
    </row>
    <row r="264" spans="1:6" x14ac:dyDescent="0.25">
      <c r="A264" s="841" t="s">
        <v>86</v>
      </c>
      <c r="B264" s="1077"/>
      <c r="C264" s="1077"/>
      <c r="D264" s="1078"/>
      <c r="E264" s="1078"/>
      <c r="F264" s="1078"/>
    </row>
    <row r="265" spans="1:6" ht="30" x14ac:dyDescent="0.25">
      <c r="A265" s="841" t="s">
        <v>341</v>
      </c>
      <c r="B265" s="1077">
        <v>41352</v>
      </c>
      <c r="C265" s="1077">
        <v>41716</v>
      </c>
      <c r="D265" s="1078">
        <v>1197000</v>
      </c>
      <c r="E265" s="1078">
        <v>1197000</v>
      </c>
      <c r="F265" s="1078">
        <v>0</v>
      </c>
    </row>
    <row r="266" spans="1:6" x14ac:dyDescent="0.25">
      <c r="A266" s="841" t="s">
        <v>87</v>
      </c>
      <c r="B266" s="1077"/>
      <c r="C266" s="1077"/>
      <c r="D266" s="1078"/>
      <c r="E266" s="1078"/>
      <c r="F266" s="1078"/>
    </row>
    <row r="267" spans="1:6" x14ac:dyDescent="0.25">
      <c r="A267" s="841" t="s">
        <v>435</v>
      </c>
      <c r="B267" s="1077"/>
      <c r="C267" s="1077"/>
      <c r="D267" s="1078"/>
      <c r="E267" s="1078"/>
      <c r="F267" s="1078"/>
    </row>
    <row r="268" spans="1:6" ht="45" x14ac:dyDescent="0.25">
      <c r="A268" s="841" t="s">
        <v>318</v>
      </c>
      <c r="B268" s="1077">
        <v>41400</v>
      </c>
      <c r="C268" s="1077">
        <v>41764</v>
      </c>
      <c r="D268" s="1078">
        <v>8360000</v>
      </c>
      <c r="E268" s="1078">
        <v>7018000</v>
      </c>
      <c r="F268" s="1078">
        <v>1342000</v>
      </c>
    </row>
    <row r="269" spans="1:6" x14ac:dyDescent="0.25">
      <c r="A269" s="841" t="s">
        <v>88</v>
      </c>
      <c r="B269" s="1077"/>
      <c r="C269" s="1077"/>
      <c r="D269" s="1078"/>
      <c r="E269" s="1078"/>
      <c r="F269" s="1078"/>
    </row>
    <row r="270" spans="1:6" x14ac:dyDescent="0.25">
      <c r="A270" s="841" t="s">
        <v>1031</v>
      </c>
      <c r="B270" s="1077"/>
      <c r="C270" s="1077"/>
      <c r="D270" s="1078"/>
      <c r="E270" s="1078"/>
      <c r="F270" s="1078"/>
    </row>
    <row r="271" spans="1:6" ht="45" x14ac:dyDescent="0.25">
      <c r="A271" s="841" t="s">
        <v>342</v>
      </c>
      <c r="B271" s="1077">
        <v>41393</v>
      </c>
      <c r="C271" s="1077">
        <v>41545</v>
      </c>
      <c r="D271" s="1078">
        <v>3700000</v>
      </c>
      <c r="E271" s="1078">
        <v>3700000</v>
      </c>
      <c r="F271" s="1078">
        <v>0</v>
      </c>
    </row>
    <row r="272" spans="1:6" x14ac:dyDescent="0.25">
      <c r="A272" s="841" t="s">
        <v>91</v>
      </c>
      <c r="B272" s="1077"/>
      <c r="C272" s="1077"/>
      <c r="D272" s="1078"/>
      <c r="E272" s="1078"/>
      <c r="F272" s="1078"/>
    </row>
    <row r="273" spans="1:6" x14ac:dyDescent="0.25">
      <c r="A273" s="841" t="s">
        <v>1032</v>
      </c>
      <c r="B273" s="1077"/>
      <c r="C273" s="1077"/>
      <c r="D273" s="1078"/>
      <c r="E273" s="1078"/>
      <c r="F273" s="1078"/>
    </row>
    <row r="274" spans="1:6" ht="75" x14ac:dyDescent="0.25">
      <c r="A274" s="841" t="s">
        <v>464</v>
      </c>
      <c r="B274" s="1077">
        <v>41387</v>
      </c>
      <c r="C274" s="1077">
        <v>41692</v>
      </c>
      <c r="D274" s="1078">
        <v>50000000</v>
      </c>
      <c r="E274" s="1078">
        <v>50000000</v>
      </c>
      <c r="F274" s="1078">
        <v>0</v>
      </c>
    </row>
    <row r="275" spans="1:6" x14ac:dyDescent="0.25">
      <c r="A275" s="841" t="s">
        <v>93</v>
      </c>
      <c r="B275" s="1077"/>
      <c r="C275" s="1077"/>
      <c r="D275" s="1078"/>
      <c r="E275" s="1078"/>
      <c r="F275" s="1078"/>
    </row>
    <row r="276" spans="1:6" x14ac:dyDescent="0.25">
      <c r="A276" s="841" t="s">
        <v>1033</v>
      </c>
      <c r="B276" s="1077"/>
      <c r="C276" s="1077"/>
      <c r="D276" s="1078"/>
      <c r="E276" s="1078"/>
      <c r="F276" s="1078"/>
    </row>
    <row r="277" spans="1:6" ht="45" x14ac:dyDescent="0.25">
      <c r="A277" s="841" t="s">
        <v>343</v>
      </c>
      <c r="B277" s="1077">
        <v>41396</v>
      </c>
      <c r="C277" s="1077">
        <v>41699</v>
      </c>
      <c r="D277" s="1078">
        <v>41600000</v>
      </c>
      <c r="E277" s="1078">
        <v>41600000</v>
      </c>
      <c r="F277" s="1078">
        <v>0</v>
      </c>
    </row>
    <row r="278" spans="1:6" x14ac:dyDescent="0.25">
      <c r="A278" s="841" t="s">
        <v>94</v>
      </c>
      <c r="B278" s="1077"/>
      <c r="C278" s="1077"/>
      <c r="D278" s="1078"/>
      <c r="E278" s="1078"/>
      <c r="F278" s="1078"/>
    </row>
    <row r="279" spans="1:6" x14ac:dyDescent="0.25">
      <c r="A279" s="841" t="s">
        <v>433</v>
      </c>
      <c r="B279" s="1077"/>
      <c r="C279" s="1077"/>
      <c r="D279" s="1078"/>
      <c r="E279" s="1078"/>
      <c r="F279" s="1078"/>
    </row>
    <row r="280" spans="1:6" ht="45" x14ac:dyDescent="0.25">
      <c r="A280" s="841" t="s">
        <v>344</v>
      </c>
      <c r="B280" s="1077">
        <v>41411</v>
      </c>
      <c r="C280" s="1077">
        <v>41508</v>
      </c>
      <c r="D280" s="1078">
        <v>240000000</v>
      </c>
      <c r="E280" s="1078">
        <v>239999964</v>
      </c>
      <c r="F280" s="1078">
        <v>36</v>
      </c>
    </row>
    <row r="281" spans="1:6" x14ac:dyDescent="0.25">
      <c r="A281" s="841" t="s">
        <v>95</v>
      </c>
      <c r="B281" s="1077"/>
      <c r="C281" s="1077"/>
      <c r="D281" s="1078"/>
      <c r="E281" s="1078"/>
      <c r="F281" s="1078"/>
    </row>
    <row r="282" spans="1:6" x14ac:dyDescent="0.25">
      <c r="A282" s="841" t="s">
        <v>41</v>
      </c>
      <c r="B282" s="1077"/>
      <c r="C282" s="1077"/>
      <c r="D282" s="1078"/>
      <c r="E282" s="1078"/>
      <c r="F282" s="1078"/>
    </row>
    <row r="283" spans="1:6" ht="30" x14ac:dyDescent="0.25">
      <c r="A283" s="841" t="s">
        <v>458</v>
      </c>
      <c r="B283" s="1077">
        <v>41403</v>
      </c>
      <c r="C283" s="1077">
        <v>41890</v>
      </c>
      <c r="D283" s="1078">
        <v>67179000</v>
      </c>
      <c r="E283" s="1078">
        <v>67115300</v>
      </c>
      <c r="F283" s="1078">
        <v>63700</v>
      </c>
    </row>
    <row r="284" spans="1:6" x14ac:dyDescent="0.25">
      <c r="A284" s="841" t="s">
        <v>96</v>
      </c>
      <c r="B284" s="1077"/>
      <c r="C284" s="1077"/>
      <c r="D284" s="1078"/>
      <c r="E284" s="1078"/>
      <c r="F284" s="1078"/>
    </row>
    <row r="285" spans="1:6" x14ac:dyDescent="0.25">
      <c r="A285" s="841" t="s">
        <v>3</v>
      </c>
      <c r="B285" s="1077"/>
      <c r="C285" s="1077"/>
      <c r="D285" s="1078"/>
      <c r="E285" s="1078"/>
      <c r="F285" s="1078"/>
    </row>
    <row r="286" spans="1:6" ht="45" x14ac:dyDescent="0.25">
      <c r="A286" s="841" t="s">
        <v>456</v>
      </c>
      <c r="B286" s="1077">
        <v>41426</v>
      </c>
      <c r="C286" s="1077">
        <v>41820</v>
      </c>
      <c r="D286" s="1078">
        <v>473134060</v>
      </c>
      <c r="E286" s="1078">
        <v>473133510</v>
      </c>
      <c r="F286" s="1078">
        <v>550</v>
      </c>
    </row>
    <row r="287" spans="1:6" x14ac:dyDescent="0.25">
      <c r="A287" s="841" t="s">
        <v>97</v>
      </c>
      <c r="B287" s="1077"/>
      <c r="C287" s="1077"/>
      <c r="D287" s="1078"/>
      <c r="E287" s="1078"/>
      <c r="F287" s="1078"/>
    </row>
    <row r="288" spans="1:6" x14ac:dyDescent="0.25">
      <c r="A288" s="841" t="s">
        <v>98</v>
      </c>
      <c r="B288" s="1077"/>
      <c r="C288" s="1077"/>
      <c r="D288" s="1078"/>
      <c r="E288" s="1078"/>
      <c r="F288" s="1078"/>
    </row>
    <row r="289" spans="1:6" ht="45" x14ac:dyDescent="0.25">
      <c r="A289" s="841" t="s">
        <v>345</v>
      </c>
      <c r="B289" s="1077">
        <v>41417</v>
      </c>
      <c r="C289" s="1077">
        <v>41692</v>
      </c>
      <c r="D289" s="1078">
        <v>2096276</v>
      </c>
      <c r="E289" s="1078">
        <v>2086672</v>
      </c>
      <c r="F289" s="1078">
        <v>9604</v>
      </c>
    </row>
    <row r="290" spans="1:6" x14ac:dyDescent="0.25">
      <c r="A290" s="841" t="s">
        <v>99</v>
      </c>
      <c r="B290" s="1077"/>
      <c r="C290" s="1077"/>
      <c r="D290" s="1078"/>
      <c r="E290" s="1078"/>
      <c r="F290" s="1078"/>
    </row>
    <row r="291" spans="1:6" x14ac:dyDescent="0.25">
      <c r="A291" s="841" t="s">
        <v>100</v>
      </c>
      <c r="B291" s="1077">
        <v>41416</v>
      </c>
      <c r="C291" s="1077">
        <v>41660</v>
      </c>
      <c r="D291" s="1078">
        <v>18744000</v>
      </c>
      <c r="E291" s="1078">
        <v>18286734</v>
      </c>
      <c r="F291" s="1078">
        <v>457266</v>
      </c>
    </row>
    <row r="292" spans="1:6" x14ac:dyDescent="0.25">
      <c r="A292" s="841" t="s">
        <v>121</v>
      </c>
      <c r="B292" s="1077"/>
      <c r="C292" s="1077"/>
      <c r="D292" s="1078"/>
      <c r="E292" s="1078"/>
      <c r="F292" s="1078"/>
    </row>
    <row r="293" spans="1:6" x14ac:dyDescent="0.25">
      <c r="A293" s="841" t="s">
        <v>15</v>
      </c>
      <c r="B293" s="1077"/>
      <c r="C293" s="1077"/>
      <c r="D293" s="1078"/>
      <c r="E293" s="1078"/>
      <c r="F293" s="1078"/>
    </row>
    <row r="294" spans="1:6" x14ac:dyDescent="0.25">
      <c r="A294" s="841" t="s">
        <v>353</v>
      </c>
      <c r="B294" s="1077">
        <v>41410</v>
      </c>
      <c r="C294" s="1077">
        <v>41774</v>
      </c>
      <c r="D294" s="1078">
        <v>7740000</v>
      </c>
      <c r="E294" s="1078">
        <v>7740000</v>
      </c>
      <c r="F294" s="1078">
        <v>0</v>
      </c>
    </row>
    <row r="295" spans="1:6" x14ac:dyDescent="0.25">
      <c r="A295" s="841" t="s">
        <v>123</v>
      </c>
      <c r="B295" s="1077"/>
      <c r="C295" s="1077"/>
      <c r="D295" s="1078"/>
      <c r="E295" s="1078"/>
      <c r="F295" s="1078"/>
    </row>
    <row r="296" spans="1:6" x14ac:dyDescent="0.25">
      <c r="A296" s="841" t="s">
        <v>124</v>
      </c>
      <c r="B296" s="1077"/>
      <c r="C296" s="1077"/>
      <c r="D296" s="1078"/>
      <c r="E296" s="1078"/>
      <c r="F296" s="1078"/>
    </row>
    <row r="297" spans="1:6" ht="75" x14ac:dyDescent="0.25">
      <c r="A297" s="841" t="s">
        <v>464</v>
      </c>
      <c r="B297" s="1077">
        <v>41410</v>
      </c>
      <c r="C297" s="1077">
        <v>41713</v>
      </c>
      <c r="D297" s="1078">
        <v>50000000</v>
      </c>
      <c r="E297" s="1078">
        <v>27500000</v>
      </c>
      <c r="F297" s="1078">
        <v>22500000</v>
      </c>
    </row>
    <row r="298" spans="1:6" x14ac:dyDescent="0.25">
      <c r="A298" s="841" t="s">
        <v>125</v>
      </c>
      <c r="B298" s="1077"/>
      <c r="C298" s="1077"/>
      <c r="D298" s="1078"/>
      <c r="E298" s="1078"/>
      <c r="F298" s="1078"/>
    </row>
    <row r="299" spans="1:6" x14ac:dyDescent="0.25">
      <c r="A299" s="841" t="s">
        <v>126</v>
      </c>
      <c r="B299" s="1077"/>
      <c r="C299" s="1077"/>
      <c r="D299" s="1078"/>
      <c r="E299" s="1078"/>
      <c r="F299" s="1078"/>
    </row>
    <row r="300" spans="1:6" ht="45" x14ac:dyDescent="0.25">
      <c r="A300" s="841" t="s">
        <v>466</v>
      </c>
      <c r="B300" s="1077">
        <v>41423</v>
      </c>
      <c r="C300" s="1077">
        <v>41698</v>
      </c>
      <c r="D300" s="1078">
        <v>9366000</v>
      </c>
      <c r="E300" s="1078">
        <v>7783682</v>
      </c>
      <c r="F300" s="1078">
        <v>1582318</v>
      </c>
    </row>
    <row r="301" spans="1:6" x14ac:dyDescent="0.25">
      <c r="A301" s="841" t="s">
        <v>129</v>
      </c>
      <c r="B301" s="1077"/>
      <c r="C301" s="1077"/>
      <c r="D301" s="1078"/>
      <c r="E301" s="1078"/>
      <c r="F301" s="1078"/>
    </row>
    <row r="302" spans="1:6" x14ac:dyDescent="0.25">
      <c r="A302" s="841" t="s">
        <v>1019</v>
      </c>
      <c r="B302" s="1077"/>
      <c r="C302" s="1077"/>
      <c r="D302" s="1078"/>
      <c r="E302" s="1078"/>
      <c r="F302" s="1078"/>
    </row>
    <row r="303" spans="1:6" ht="45" x14ac:dyDescent="0.25">
      <c r="A303" s="841" t="s">
        <v>315</v>
      </c>
      <c r="B303" s="1077">
        <v>41410</v>
      </c>
      <c r="C303" s="1077">
        <v>41806</v>
      </c>
      <c r="D303" s="1078">
        <v>33120000</v>
      </c>
      <c r="E303" s="1078">
        <v>32832950</v>
      </c>
      <c r="F303" s="1078">
        <v>287050</v>
      </c>
    </row>
    <row r="304" spans="1:6" x14ac:dyDescent="0.25">
      <c r="A304" s="841" t="s">
        <v>89</v>
      </c>
      <c r="B304" s="1077"/>
      <c r="C304" s="1077"/>
      <c r="D304" s="1078"/>
      <c r="E304" s="1078"/>
      <c r="F304" s="1078"/>
    </row>
    <row r="305" spans="1:6" x14ac:dyDescent="0.25">
      <c r="A305" s="841" t="s">
        <v>90</v>
      </c>
      <c r="B305" s="1077"/>
      <c r="C305" s="1077"/>
      <c r="D305" s="1078"/>
      <c r="E305" s="1078"/>
      <c r="F305" s="1078"/>
    </row>
    <row r="306" spans="1:6" ht="45" x14ac:dyDescent="0.25">
      <c r="A306" s="841" t="s">
        <v>467</v>
      </c>
      <c r="B306" s="1077">
        <v>41438</v>
      </c>
      <c r="C306" s="1077">
        <v>41802</v>
      </c>
      <c r="D306" s="1078">
        <v>1030000</v>
      </c>
      <c r="E306" s="1078">
        <v>1030000</v>
      </c>
      <c r="F306" s="1078">
        <v>0</v>
      </c>
    </row>
    <row r="307" spans="1:6" x14ac:dyDescent="0.25">
      <c r="A307" s="841" t="s">
        <v>130</v>
      </c>
      <c r="B307" s="1077"/>
      <c r="C307" s="1077"/>
      <c r="D307" s="1078"/>
      <c r="E307" s="1078"/>
      <c r="F307" s="1078"/>
    </row>
    <row r="308" spans="1:6" x14ac:dyDescent="0.25">
      <c r="A308" s="841" t="s">
        <v>1111</v>
      </c>
      <c r="B308" s="1077"/>
      <c r="C308" s="1077"/>
      <c r="D308" s="1078"/>
      <c r="E308" s="1078"/>
      <c r="F308" s="1078"/>
    </row>
    <row r="309" spans="1:6" ht="60" x14ac:dyDescent="0.25">
      <c r="A309" s="841" t="s">
        <v>468</v>
      </c>
      <c r="B309" s="1077">
        <v>41421</v>
      </c>
      <c r="C309" s="1077">
        <v>41897</v>
      </c>
      <c r="D309" s="1078">
        <v>1552431776</v>
      </c>
      <c r="E309" s="1078">
        <v>1552431775</v>
      </c>
      <c r="F309" s="1078">
        <v>1</v>
      </c>
    </row>
    <row r="310" spans="1:6" x14ac:dyDescent="0.25">
      <c r="A310" s="1081" t="s">
        <v>132</v>
      </c>
      <c r="B310" s="1079"/>
      <c r="C310" s="1079"/>
      <c r="D310" s="1080"/>
      <c r="E310" s="1080"/>
      <c r="F310" s="1080"/>
    </row>
    <row r="311" spans="1:6" x14ac:dyDescent="0.25">
      <c r="A311" s="841" t="s">
        <v>27</v>
      </c>
      <c r="B311" s="1079"/>
      <c r="C311" s="1079"/>
      <c r="D311" s="1080"/>
      <c r="E311" s="1080"/>
      <c r="F311" s="1080"/>
    </row>
    <row r="312" spans="1:6" ht="45" x14ac:dyDescent="0.25">
      <c r="A312" s="841" t="s">
        <v>450</v>
      </c>
      <c r="B312" s="1079">
        <v>41421</v>
      </c>
      <c r="C312" s="1079">
        <v>41969</v>
      </c>
      <c r="D312" s="1080">
        <v>849000</v>
      </c>
      <c r="E312" s="1080">
        <v>849000</v>
      </c>
      <c r="F312" s="1080">
        <v>0</v>
      </c>
    </row>
    <row r="313" spans="1:6" x14ac:dyDescent="0.25">
      <c r="A313" s="841" t="s">
        <v>133</v>
      </c>
      <c r="B313" s="1077"/>
      <c r="C313" s="1077"/>
      <c r="D313" s="1078"/>
      <c r="E313" s="1078"/>
      <c r="F313" s="1078"/>
    </row>
    <row r="314" spans="1:6" x14ac:dyDescent="0.25">
      <c r="A314" s="841" t="s">
        <v>134</v>
      </c>
      <c r="B314" s="1077"/>
      <c r="C314" s="1077"/>
      <c r="D314" s="1078"/>
      <c r="E314" s="1078"/>
      <c r="F314" s="1078"/>
    </row>
    <row r="315" spans="1:6" ht="30" x14ac:dyDescent="0.25">
      <c r="A315" s="841" t="s">
        <v>356</v>
      </c>
      <c r="B315" s="1077">
        <v>41459</v>
      </c>
      <c r="C315" s="1077">
        <v>41823</v>
      </c>
      <c r="D315" s="1078">
        <v>15000000</v>
      </c>
      <c r="E315" s="1078">
        <v>5368620</v>
      </c>
      <c r="F315" s="1078">
        <v>9631380</v>
      </c>
    </row>
    <row r="316" spans="1:6" x14ac:dyDescent="0.25">
      <c r="A316" s="841" t="s">
        <v>135</v>
      </c>
      <c r="B316" s="1077"/>
      <c r="C316" s="1077"/>
      <c r="D316" s="1078"/>
      <c r="E316" s="1078"/>
      <c r="F316" s="1078"/>
    </row>
    <row r="317" spans="1:6" x14ac:dyDescent="0.25">
      <c r="A317" s="841" t="s">
        <v>38</v>
      </c>
      <c r="B317" s="1077"/>
      <c r="C317" s="1077"/>
      <c r="D317" s="1078"/>
      <c r="E317" s="1078"/>
      <c r="F317" s="1078"/>
    </row>
    <row r="318" spans="1:6" ht="30" x14ac:dyDescent="0.25">
      <c r="A318" s="841" t="s">
        <v>327</v>
      </c>
      <c r="B318" s="1077">
        <v>41426</v>
      </c>
      <c r="C318" s="1077">
        <v>41820</v>
      </c>
      <c r="D318" s="1078">
        <v>35904847</v>
      </c>
      <c r="E318" s="1078">
        <v>35904845</v>
      </c>
      <c r="F318" s="1078">
        <v>2</v>
      </c>
    </row>
    <row r="319" spans="1:6" x14ac:dyDescent="0.25">
      <c r="A319" s="841" t="s">
        <v>136</v>
      </c>
      <c r="B319" s="1077"/>
      <c r="C319" s="1077"/>
      <c r="D319" s="1078"/>
      <c r="E319" s="1078"/>
      <c r="F319" s="1078"/>
    </row>
    <row r="320" spans="1:6" x14ac:dyDescent="0.25">
      <c r="A320" s="841" t="s">
        <v>137</v>
      </c>
      <c r="B320" s="1077"/>
      <c r="C320" s="1077"/>
      <c r="D320" s="1078"/>
      <c r="E320" s="1078"/>
      <c r="F320" s="1078"/>
    </row>
    <row r="321" spans="1:6" ht="30" x14ac:dyDescent="0.25">
      <c r="A321" s="841" t="s">
        <v>469</v>
      </c>
      <c r="B321" s="1077">
        <v>41416</v>
      </c>
      <c r="C321" s="1077">
        <v>41660</v>
      </c>
      <c r="D321" s="1078">
        <v>40000000</v>
      </c>
      <c r="E321" s="1078">
        <v>16667000</v>
      </c>
      <c r="F321" s="1078">
        <v>23333000</v>
      </c>
    </row>
    <row r="322" spans="1:6" x14ac:dyDescent="0.25">
      <c r="A322" s="841" t="s">
        <v>202</v>
      </c>
      <c r="B322" s="1077"/>
      <c r="C322" s="1077"/>
      <c r="D322" s="1078"/>
      <c r="E322" s="1078"/>
      <c r="F322" s="1078"/>
    </row>
    <row r="323" spans="1:6" x14ac:dyDescent="0.25">
      <c r="A323" s="841" t="s">
        <v>203</v>
      </c>
      <c r="B323" s="1077"/>
      <c r="C323" s="1077"/>
      <c r="D323" s="1078"/>
      <c r="E323" s="1078"/>
      <c r="F323" s="1078"/>
    </row>
    <row r="324" spans="1:6" ht="30" x14ac:dyDescent="0.25">
      <c r="A324" s="841" t="s">
        <v>470</v>
      </c>
      <c r="B324" s="1077">
        <v>41548</v>
      </c>
      <c r="C324" s="1077">
        <v>41578</v>
      </c>
      <c r="D324" s="1078">
        <v>4524000</v>
      </c>
      <c r="E324" s="1078">
        <v>4524000</v>
      </c>
      <c r="F324" s="1078">
        <v>0</v>
      </c>
    </row>
    <row r="325" spans="1:6" x14ac:dyDescent="0.25">
      <c r="A325" s="841" t="s">
        <v>138</v>
      </c>
      <c r="B325" s="1077"/>
      <c r="C325" s="1077"/>
      <c r="D325" s="1078"/>
      <c r="E325" s="1078"/>
      <c r="F325" s="1078"/>
    </row>
    <row r="326" spans="1:6" x14ac:dyDescent="0.25">
      <c r="A326" s="841" t="s">
        <v>1034</v>
      </c>
      <c r="B326" s="1077"/>
      <c r="C326" s="1077"/>
      <c r="D326" s="1078"/>
      <c r="E326" s="1078"/>
      <c r="F326" s="1078"/>
    </row>
    <row r="327" spans="1:6" ht="45" x14ac:dyDescent="0.25">
      <c r="A327" s="841" t="s">
        <v>357</v>
      </c>
      <c r="B327" s="1077">
        <v>41421</v>
      </c>
      <c r="C327" s="1077">
        <v>41665</v>
      </c>
      <c r="D327" s="1078">
        <v>20800000</v>
      </c>
      <c r="E327" s="1078">
        <v>20800000</v>
      </c>
      <c r="F327" s="1078">
        <v>0</v>
      </c>
    </row>
    <row r="328" spans="1:6" x14ac:dyDescent="0.25">
      <c r="A328" s="841" t="s">
        <v>139</v>
      </c>
      <c r="B328" s="1077"/>
      <c r="C328" s="1077"/>
      <c r="D328" s="1078"/>
      <c r="E328" s="1078"/>
      <c r="F328" s="1078"/>
    </row>
    <row r="329" spans="1:6" x14ac:dyDescent="0.25">
      <c r="A329" s="841" t="s">
        <v>140</v>
      </c>
      <c r="B329" s="1077"/>
      <c r="C329" s="1077"/>
      <c r="D329" s="1078"/>
      <c r="E329" s="1078"/>
      <c r="F329" s="1078"/>
    </row>
    <row r="330" spans="1:6" ht="75" x14ac:dyDescent="0.25">
      <c r="A330" s="841" t="s">
        <v>1053</v>
      </c>
      <c r="B330" s="1077">
        <v>41423</v>
      </c>
      <c r="C330" s="1077">
        <v>41667</v>
      </c>
      <c r="D330" s="1078">
        <v>28000000</v>
      </c>
      <c r="E330" s="1078">
        <v>28000000</v>
      </c>
      <c r="F330" s="1078">
        <v>0</v>
      </c>
    </row>
    <row r="331" spans="1:6" x14ac:dyDescent="0.25">
      <c r="A331" s="841" t="s">
        <v>141</v>
      </c>
      <c r="B331" s="1077"/>
      <c r="C331" s="1077"/>
      <c r="D331" s="1078"/>
      <c r="E331" s="1078"/>
      <c r="F331" s="1078"/>
    </row>
    <row r="332" spans="1:6" x14ac:dyDescent="0.25">
      <c r="A332" s="841" t="s">
        <v>142</v>
      </c>
      <c r="B332" s="1077"/>
      <c r="C332" s="1077"/>
      <c r="D332" s="1078"/>
      <c r="E332" s="1078"/>
      <c r="F332" s="1078"/>
    </row>
    <row r="333" spans="1:6" ht="45" x14ac:dyDescent="0.25">
      <c r="A333" s="841" t="s">
        <v>471</v>
      </c>
      <c r="B333" s="1077">
        <v>41457</v>
      </c>
      <c r="C333" s="1077">
        <v>41501</v>
      </c>
      <c r="D333" s="1078">
        <v>266580829</v>
      </c>
      <c r="E333" s="1078">
        <v>266580829</v>
      </c>
      <c r="F333" s="1078">
        <v>0</v>
      </c>
    </row>
    <row r="334" spans="1:6" x14ac:dyDescent="0.25">
      <c r="A334" s="841" t="s">
        <v>143</v>
      </c>
      <c r="B334" s="1077"/>
      <c r="C334" s="1077"/>
      <c r="D334" s="1078"/>
      <c r="E334" s="1078"/>
      <c r="F334" s="1078"/>
    </row>
    <row r="335" spans="1:6" x14ac:dyDescent="0.25">
      <c r="A335" s="841" t="s">
        <v>144</v>
      </c>
      <c r="B335" s="1077"/>
      <c r="C335" s="1077"/>
      <c r="D335" s="1078"/>
      <c r="E335" s="1078"/>
      <c r="F335" s="1078"/>
    </row>
    <row r="336" spans="1:6" ht="30" x14ac:dyDescent="0.25">
      <c r="A336" s="841" t="s">
        <v>358</v>
      </c>
      <c r="B336" s="1077">
        <v>41463</v>
      </c>
      <c r="C336" s="1077">
        <v>41849</v>
      </c>
      <c r="D336" s="1078">
        <v>348897514</v>
      </c>
      <c r="E336" s="1078">
        <v>348897514</v>
      </c>
      <c r="F336" s="1078">
        <v>0</v>
      </c>
    </row>
    <row r="337" spans="1:6" x14ac:dyDescent="0.25">
      <c r="A337" s="841" t="s">
        <v>145</v>
      </c>
      <c r="B337" s="1077"/>
      <c r="C337" s="1077"/>
      <c r="D337" s="1078"/>
      <c r="E337" s="1078"/>
      <c r="F337" s="1078"/>
    </row>
    <row r="338" spans="1:6" x14ac:dyDescent="0.25">
      <c r="A338" s="841" t="s">
        <v>43</v>
      </c>
      <c r="B338" s="1077"/>
      <c r="C338" s="1077"/>
      <c r="D338" s="1078"/>
      <c r="E338" s="1078"/>
      <c r="F338" s="1078"/>
    </row>
    <row r="339" spans="1:6" ht="45" x14ac:dyDescent="0.25">
      <c r="A339" s="841" t="s">
        <v>1461</v>
      </c>
      <c r="B339" s="1077">
        <v>41463</v>
      </c>
      <c r="C339" s="1077">
        <v>41736</v>
      </c>
      <c r="D339" s="1078">
        <v>23246000</v>
      </c>
      <c r="E339" s="1078">
        <v>19772977</v>
      </c>
      <c r="F339" s="1078">
        <v>3473023</v>
      </c>
    </row>
    <row r="340" spans="1:6" x14ac:dyDescent="0.25">
      <c r="A340" s="841" t="s">
        <v>146</v>
      </c>
      <c r="B340" s="1077"/>
      <c r="C340" s="1077"/>
      <c r="D340" s="1078"/>
      <c r="E340" s="1078"/>
      <c r="F340" s="1078"/>
    </row>
    <row r="341" spans="1:6" x14ac:dyDescent="0.25">
      <c r="A341" s="841" t="s">
        <v>1018</v>
      </c>
      <c r="B341" s="1077"/>
      <c r="C341" s="1077"/>
      <c r="D341" s="1078"/>
      <c r="E341" s="1078"/>
      <c r="F341" s="1078"/>
    </row>
    <row r="342" spans="1:6" ht="30" x14ac:dyDescent="0.25">
      <c r="A342" s="841" t="s">
        <v>313</v>
      </c>
      <c r="B342" s="1077">
        <v>41446</v>
      </c>
      <c r="C342" s="1077">
        <v>41810</v>
      </c>
      <c r="D342" s="1078">
        <v>321573359</v>
      </c>
      <c r="E342" s="1078">
        <v>317232018</v>
      </c>
      <c r="F342" s="1078">
        <v>4341341</v>
      </c>
    </row>
    <row r="343" spans="1:6" x14ac:dyDescent="0.25">
      <c r="A343" s="841" t="s">
        <v>147</v>
      </c>
      <c r="B343" s="1077"/>
      <c r="C343" s="1077"/>
      <c r="D343" s="1078"/>
      <c r="E343" s="1078"/>
      <c r="F343" s="1078"/>
    </row>
    <row r="344" spans="1:6" x14ac:dyDescent="0.25">
      <c r="A344" s="841" t="s">
        <v>148</v>
      </c>
      <c r="B344" s="1077"/>
      <c r="C344" s="1077"/>
      <c r="D344" s="1078"/>
      <c r="E344" s="1078"/>
      <c r="F344" s="1078"/>
    </row>
    <row r="345" spans="1:6" ht="60" x14ac:dyDescent="0.25">
      <c r="A345" s="841" t="s">
        <v>472</v>
      </c>
      <c r="B345" s="1077">
        <v>41464</v>
      </c>
      <c r="C345" s="1077">
        <v>41851</v>
      </c>
      <c r="D345" s="1078">
        <v>22292691</v>
      </c>
      <c r="E345" s="1078">
        <v>22292691</v>
      </c>
      <c r="F345" s="1078">
        <v>0</v>
      </c>
    </row>
    <row r="346" spans="1:6" x14ac:dyDescent="0.25">
      <c r="A346" s="841" t="s">
        <v>155</v>
      </c>
      <c r="B346" s="1077"/>
      <c r="C346" s="1077"/>
      <c r="D346" s="1078"/>
      <c r="E346" s="1078"/>
      <c r="F346" s="1078"/>
    </row>
    <row r="347" spans="1:6" x14ac:dyDescent="0.25">
      <c r="A347" s="841" t="s">
        <v>1035</v>
      </c>
      <c r="B347" s="1077"/>
      <c r="C347" s="1077"/>
      <c r="D347" s="1078"/>
      <c r="E347" s="1078"/>
      <c r="F347" s="1078"/>
    </row>
    <row r="348" spans="1:6" ht="60" x14ac:dyDescent="0.25">
      <c r="A348" s="841" t="s">
        <v>359</v>
      </c>
      <c r="B348" s="1077">
        <v>41457</v>
      </c>
      <c r="C348" s="1077">
        <v>41671</v>
      </c>
      <c r="D348" s="1078">
        <v>23989000</v>
      </c>
      <c r="E348" s="1078">
        <v>23989000</v>
      </c>
      <c r="F348" s="1078">
        <v>0</v>
      </c>
    </row>
    <row r="349" spans="1:6" x14ac:dyDescent="0.25">
      <c r="A349" s="841" t="s">
        <v>156</v>
      </c>
      <c r="B349" s="1077"/>
      <c r="C349" s="1077"/>
      <c r="D349" s="1078"/>
      <c r="E349" s="1078"/>
      <c r="F349" s="1078"/>
    </row>
    <row r="350" spans="1:6" x14ac:dyDescent="0.25">
      <c r="A350" s="841" t="s">
        <v>53</v>
      </c>
      <c r="B350" s="1077"/>
      <c r="C350" s="1077"/>
      <c r="D350" s="1078"/>
      <c r="E350" s="1078"/>
      <c r="F350" s="1078"/>
    </row>
    <row r="351" spans="1:6" ht="30" x14ac:dyDescent="0.25">
      <c r="A351" s="841" t="s">
        <v>332</v>
      </c>
      <c r="B351" s="1077">
        <v>41470</v>
      </c>
      <c r="C351" s="1077">
        <v>41712</v>
      </c>
      <c r="D351" s="1078">
        <v>19576000</v>
      </c>
      <c r="E351" s="1078">
        <v>19571370</v>
      </c>
      <c r="F351" s="1078">
        <v>4630</v>
      </c>
    </row>
    <row r="352" spans="1:6" x14ac:dyDescent="0.25">
      <c r="A352" s="841" t="s">
        <v>157</v>
      </c>
      <c r="B352" s="1077"/>
      <c r="C352" s="1077"/>
      <c r="D352" s="1078"/>
      <c r="E352" s="1078"/>
      <c r="F352" s="1078"/>
    </row>
    <row r="353" spans="1:6" x14ac:dyDescent="0.25">
      <c r="A353" s="841" t="s">
        <v>158</v>
      </c>
      <c r="B353" s="1077"/>
      <c r="C353" s="1077"/>
      <c r="D353" s="1078"/>
      <c r="E353" s="1078"/>
      <c r="F353" s="1078"/>
    </row>
    <row r="354" spans="1:6" ht="30" x14ac:dyDescent="0.25">
      <c r="A354" s="841" t="s">
        <v>473</v>
      </c>
      <c r="B354" s="1077">
        <v>41471</v>
      </c>
      <c r="C354" s="1077">
        <v>41562</v>
      </c>
      <c r="D354" s="1078">
        <v>6499930</v>
      </c>
      <c r="E354" s="1078">
        <v>6499930</v>
      </c>
      <c r="F354" s="1078">
        <v>0</v>
      </c>
    </row>
    <row r="355" spans="1:6" x14ac:dyDescent="0.25">
      <c r="A355" s="841" t="s">
        <v>159</v>
      </c>
      <c r="B355" s="1077"/>
      <c r="C355" s="1077"/>
      <c r="D355" s="1078"/>
      <c r="E355" s="1078"/>
      <c r="F355" s="1078"/>
    </row>
    <row r="356" spans="1:6" x14ac:dyDescent="0.25">
      <c r="A356" s="841" t="s">
        <v>160</v>
      </c>
      <c r="B356" s="1077"/>
      <c r="C356" s="1077"/>
      <c r="D356" s="1078"/>
      <c r="E356" s="1078"/>
      <c r="F356" s="1078"/>
    </row>
    <row r="357" spans="1:6" ht="45" x14ac:dyDescent="0.25">
      <c r="A357" s="841" t="s">
        <v>474</v>
      </c>
      <c r="B357" s="1077">
        <v>41472</v>
      </c>
      <c r="C357" s="1077">
        <v>41533</v>
      </c>
      <c r="D357" s="1078">
        <v>2367000</v>
      </c>
      <c r="E357" s="1078">
        <v>2367000</v>
      </c>
      <c r="F357" s="1078">
        <v>0</v>
      </c>
    </row>
    <row r="358" spans="1:6" x14ac:dyDescent="0.25">
      <c r="A358" s="841" t="s">
        <v>164</v>
      </c>
      <c r="B358" s="1077"/>
      <c r="C358" s="1077"/>
      <c r="D358" s="1078"/>
      <c r="E358" s="1078"/>
      <c r="F358" s="1078"/>
    </row>
    <row r="359" spans="1:6" x14ac:dyDescent="0.25">
      <c r="A359" s="841" t="s">
        <v>165</v>
      </c>
      <c r="B359" s="1077"/>
      <c r="C359" s="1077"/>
      <c r="D359" s="1078"/>
      <c r="E359" s="1078"/>
      <c r="F359" s="1078"/>
    </row>
    <row r="360" spans="1:6" ht="45" x14ac:dyDescent="0.25">
      <c r="A360" s="841" t="s">
        <v>1444</v>
      </c>
      <c r="B360" s="1077">
        <v>41464</v>
      </c>
      <c r="C360" s="1077">
        <v>41820</v>
      </c>
      <c r="D360" s="1078">
        <v>269441460</v>
      </c>
      <c r="E360" s="1078">
        <v>265223666</v>
      </c>
      <c r="F360" s="1078">
        <v>4217794</v>
      </c>
    </row>
    <row r="361" spans="1:6" x14ac:dyDescent="0.25">
      <c r="A361" s="841" t="s">
        <v>190</v>
      </c>
      <c r="B361" s="1077"/>
      <c r="C361" s="1077"/>
      <c r="D361" s="1078"/>
      <c r="E361" s="1078"/>
      <c r="F361" s="1078"/>
    </row>
    <row r="362" spans="1:6" x14ac:dyDescent="0.25">
      <c r="A362" s="841" t="s">
        <v>29</v>
      </c>
      <c r="B362" s="1077"/>
      <c r="C362" s="1077"/>
      <c r="D362" s="1078"/>
      <c r="E362" s="1078"/>
      <c r="F362" s="1078"/>
    </row>
    <row r="363" spans="1:6" x14ac:dyDescent="0.25">
      <c r="A363" s="841" t="s">
        <v>404</v>
      </c>
      <c r="B363" s="1077">
        <v>41531</v>
      </c>
      <c r="C363" s="1077">
        <v>41895</v>
      </c>
      <c r="D363" s="1078">
        <v>840000</v>
      </c>
      <c r="E363" s="1078">
        <v>840000</v>
      </c>
      <c r="F363" s="1078">
        <v>0</v>
      </c>
    </row>
    <row r="364" spans="1:6" x14ac:dyDescent="0.25">
      <c r="A364" s="841" t="s">
        <v>166</v>
      </c>
      <c r="B364" s="1077"/>
      <c r="C364" s="1077"/>
      <c r="D364" s="1078"/>
      <c r="E364" s="1078"/>
      <c r="F364" s="1078"/>
    </row>
    <row r="365" spans="1:6" x14ac:dyDescent="0.25">
      <c r="A365" s="841" t="s">
        <v>1025</v>
      </c>
      <c r="B365" s="1077"/>
      <c r="C365" s="1077"/>
      <c r="D365" s="1078"/>
      <c r="E365" s="1078"/>
      <c r="F365" s="1078"/>
    </row>
    <row r="366" spans="1:6" ht="30" x14ac:dyDescent="0.25">
      <c r="A366" s="841" t="s">
        <v>333</v>
      </c>
      <c r="B366" s="1077">
        <v>41472</v>
      </c>
      <c r="C366" s="1077">
        <v>41714</v>
      </c>
      <c r="D366" s="1078">
        <v>38271000</v>
      </c>
      <c r="E366" s="1078">
        <v>38271000</v>
      </c>
      <c r="F366" s="1078">
        <v>0</v>
      </c>
    </row>
    <row r="367" spans="1:6" x14ac:dyDescent="0.25">
      <c r="A367" s="1081" t="s">
        <v>175</v>
      </c>
      <c r="B367" s="1079"/>
      <c r="C367" s="1079"/>
      <c r="D367" s="1080"/>
      <c r="E367" s="1080"/>
      <c r="F367" s="1080"/>
    </row>
    <row r="368" spans="1:6" x14ac:dyDescent="0.25">
      <c r="A368" s="841" t="s">
        <v>176</v>
      </c>
      <c r="B368" s="1079"/>
      <c r="C368" s="1079"/>
      <c r="D368" s="1080"/>
      <c r="E368" s="1080"/>
      <c r="F368" s="1080"/>
    </row>
    <row r="369" spans="1:6" ht="45" x14ac:dyDescent="0.25">
      <c r="A369" s="841" t="s">
        <v>475</v>
      </c>
      <c r="B369" s="1079">
        <v>41472</v>
      </c>
      <c r="C369" s="1079">
        <v>42082</v>
      </c>
      <c r="D369" s="1080">
        <v>4001000</v>
      </c>
      <c r="E369" s="1080">
        <v>4001000</v>
      </c>
      <c r="F369" s="1080">
        <v>0</v>
      </c>
    </row>
    <row r="370" spans="1:6" x14ac:dyDescent="0.25">
      <c r="A370" s="841" t="s">
        <v>197</v>
      </c>
      <c r="B370" s="1077"/>
      <c r="C370" s="1077"/>
      <c r="D370" s="1078"/>
      <c r="E370" s="1078"/>
      <c r="F370" s="1078"/>
    </row>
    <row r="371" spans="1:6" x14ac:dyDescent="0.25">
      <c r="A371" s="841" t="s">
        <v>198</v>
      </c>
      <c r="B371" s="1077"/>
      <c r="C371" s="1077"/>
      <c r="D371" s="1078"/>
      <c r="E371" s="1078"/>
      <c r="F371" s="1078"/>
    </row>
    <row r="372" spans="1:6" ht="45" x14ac:dyDescent="0.25">
      <c r="A372" s="841" t="s">
        <v>476</v>
      </c>
      <c r="B372" s="1077">
        <v>41548</v>
      </c>
      <c r="C372" s="1077">
        <v>41790</v>
      </c>
      <c r="D372" s="1078">
        <v>10222000</v>
      </c>
      <c r="E372" s="1078">
        <v>10208006</v>
      </c>
      <c r="F372" s="1078">
        <v>13994</v>
      </c>
    </row>
    <row r="373" spans="1:6" x14ac:dyDescent="0.25">
      <c r="A373" s="841" t="s">
        <v>167</v>
      </c>
      <c r="B373" s="1077"/>
      <c r="C373" s="1077"/>
      <c r="D373" s="1078"/>
      <c r="E373" s="1078"/>
      <c r="F373" s="1078"/>
    </row>
    <row r="374" spans="1:6" x14ac:dyDescent="0.25">
      <c r="A374" s="841" t="s">
        <v>1515</v>
      </c>
      <c r="B374" s="1077"/>
      <c r="C374" s="1077"/>
      <c r="D374" s="1078"/>
      <c r="E374" s="1078"/>
      <c r="F374" s="1078"/>
    </row>
    <row r="375" spans="1:6" ht="60" x14ac:dyDescent="0.25">
      <c r="A375" s="841" t="s">
        <v>361</v>
      </c>
      <c r="B375" s="1077">
        <v>41477</v>
      </c>
      <c r="C375" s="1077">
        <v>41691</v>
      </c>
      <c r="D375" s="1078">
        <v>23989000</v>
      </c>
      <c r="E375" s="1078">
        <v>23989000</v>
      </c>
      <c r="F375" s="1078">
        <v>0</v>
      </c>
    </row>
    <row r="376" spans="1:6" x14ac:dyDescent="0.25">
      <c r="A376" s="841" t="s">
        <v>178</v>
      </c>
      <c r="B376" s="1077"/>
      <c r="C376" s="1077"/>
      <c r="D376" s="1078"/>
      <c r="E376" s="1078"/>
      <c r="F376" s="1078"/>
    </row>
    <row r="377" spans="1:6" x14ac:dyDescent="0.25">
      <c r="A377" s="841" t="s">
        <v>33</v>
      </c>
      <c r="B377" s="1077"/>
      <c r="C377" s="1077"/>
      <c r="D377" s="1078"/>
      <c r="E377" s="1078"/>
      <c r="F377" s="1078"/>
    </row>
    <row r="378" spans="1:6" x14ac:dyDescent="0.25">
      <c r="A378" s="841" t="s">
        <v>477</v>
      </c>
      <c r="B378" s="1077">
        <v>41547</v>
      </c>
      <c r="C378" s="1077">
        <v>41911</v>
      </c>
      <c r="D378" s="1078">
        <v>795000</v>
      </c>
      <c r="E378" s="1078">
        <v>795000</v>
      </c>
      <c r="F378" s="1078">
        <v>0</v>
      </c>
    </row>
    <row r="379" spans="1:6" x14ac:dyDescent="0.25">
      <c r="A379" s="841" t="s">
        <v>189</v>
      </c>
      <c r="B379" s="1077"/>
      <c r="C379" s="1077"/>
      <c r="D379" s="1078"/>
      <c r="E379" s="1078"/>
      <c r="F379" s="1078"/>
    </row>
    <row r="380" spans="1:6" x14ac:dyDescent="0.25">
      <c r="A380" s="841" t="s">
        <v>13</v>
      </c>
      <c r="B380" s="1077"/>
      <c r="C380" s="1077"/>
      <c r="D380" s="1078"/>
      <c r="E380" s="1078"/>
      <c r="F380" s="1078"/>
    </row>
    <row r="381" spans="1:6" x14ac:dyDescent="0.25">
      <c r="A381" s="841" t="s">
        <v>478</v>
      </c>
      <c r="B381" s="1077">
        <v>41528</v>
      </c>
      <c r="C381" s="1077">
        <v>41892</v>
      </c>
      <c r="D381" s="1078">
        <v>936000</v>
      </c>
      <c r="E381" s="1078">
        <v>936000</v>
      </c>
      <c r="F381" s="1078">
        <v>0</v>
      </c>
    </row>
    <row r="382" spans="1:6" x14ac:dyDescent="0.25">
      <c r="A382" s="841" t="s">
        <v>168</v>
      </c>
      <c r="B382" s="1077"/>
      <c r="C382" s="1077"/>
      <c r="D382" s="1078"/>
      <c r="E382" s="1078"/>
      <c r="F382" s="1078"/>
    </row>
    <row r="383" spans="1:6" x14ac:dyDescent="0.25">
      <c r="A383" s="841" t="s">
        <v>169</v>
      </c>
      <c r="B383" s="1077"/>
      <c r="C383" s="1077"/>
      <c r="D383" s="1078"/>
      <c r="E383" s="1078"/>
      <c r="F383" s="1078"/>
    </row>
    <row r="384" spans="1:6" ht="45" x14ac:dyDescent="0.25">
      <c r="A384" s="841" t="s">
        <v>362</v>
      </c>
      <c r="B384" s="1077">
        <v>41494</v>
      </c>
      <c r="C384" s="1077">
        <v>41858</v>
      </c>
      <c r="D384" s="1078">
        <v>3847300</v>
      </c>
      <c r="E384" s="1078">
        <v>3847300</v>
      </c>
      <c r="F384" s="1078">
        <v>0</v>
      </c>
    </row>
    <row r="385" spans="1:6" x14ac:dyDescent="0.25">
      <c r="A385" s="841" t="s">
        <v>172</v>
      </c>
      <c r="B385" s="1077"/>
      <c r="C385" s="1077"/>
      <c r="D385" s="1078"/>
      <c r="E385" s="1078"/>
      <c r="F385" s="1078"/>
    </row>
    <row r="386" spans="1:6" x14ac:dyDescent="0.25">
      <c r="A386" s="841" t="s">
        <v>152</v>
      </c>
      <c r="B386" s="1077"/>
      <c r="C386" s="1077"/>
      <c r="D386" s="1078"/>
      <c r="E386" s="1078"/>
      <c r="F386" s="1078"/>
    </row>
    <row r="387" spans="1:6" ht="75" x14ac:dyDescent="0.25">
      <c r="A387" s="841" t="s">
        <v>364</v>
      </c>
      <c r="B387" s="1077">
        <v>41500</v>
      </c>
      <c r="C387" s="1077">
        <v>41864</v>
      </c>
      <c r="D387" s="1078">
        <v>60693200</v>
      </c>
      <c r="E387" s="1078">
        <v>59391828</v>
      </c>
      <c r="F387" s="1078">
        <v>1301372</v>
      </c>
    </row>
    <row r="388" spans="1:6" x14ac:dyDescent="0.25">
      <c r="A388" s="841" t="s">
        <v>173</v>
      </c>
      <c r="B388" s="1077"/>
      <c r="C388" s="1077"/>
      <c r="D388" s="1078"/>
      <c r="E388" s="1078"/>
      <c r="F388" s="1078"/>
    </row>
    <row r="389" spans="1:6" x14ac:dyDescent="0.25">
      <c r="A389" s="841" t="s">
        <v>174</v>
      </c>
      <c r="B389" s="1077"/>
      <c r="C389" s="1077"/>
      <c r="D389" s="1078"/>
      <c r="E389" s="1078"/>
      <c r="F389" s="1078"/>
    </row>
    <row r="390" spans="1:6" ht="60" x14ac:dyDescent="0.25">
      <c r="A390" s="841" t="s">
        <v>365</v>
      </c>
      <c r="B390" s="1077">
        <v>41512</v>
      </c>
      <c r="C390" s="1077">
        <v>41876</v>
      </c>
      <c r="D390" s="1078">
        <v>4393120</v>
      </c>
      <c r="E390" s="1078">
        <v>2578000</v>
      </c>
      <c r="F390" s="1078">
        <v>1815120</v>
      </c>
    </row>
    <row r="391" spans="1:6" x14ac:dyDescent="0.25">
      <c r="A391" s="841" t="s">
        <v>187</v>
      </c>
      <c r="B391" s="1077"/>
      <c r="C391" s="1077"/>
      <c r="D391" s="1078"/>
      <c r="E391" s="1078"/>
      <c r="F391" s="1078"/>
    </row>
    <row r="392" spans="1:6" x14ac:dyDescent="0.25">
      <c r="A392" s="841" t="s">
        <v>188</v>
      </c>
      <c r="B392" s="1077"/>
      <c r="C392" s="1077"/>
      <c r="D392" s="1078"/>
      <c r="E392" s="1078"/>
      <c r="F392" s="1078"/>
    </row>
    <row r="393" spans="1:6" ht="60" x14ac:dyDescent="0.25">
      <c r="A393" s="841" t="s">
        <v>479</v>
      </c>
      <c r="B393" s="1077">
        <v>41523</v>
      </c>
      <c r="C393" s="1077">
        <v>42099</v>
      </c>
      <c r="D393" s="1078">
        <v>25204000</v>
      </c>
      <c r="E393" s="1078">
        <v>25201450</v>
      </c>
      <c r="F393" s="1078">
        <v>2550</v>
      </c>
    </row>
    <row r="394" spans="1:6" x14ac:dyDescent="0.25">
      <c r="A394" s="1081" t="s">
        <v>183</v>
      </c>
      <c r="B394" s="1079"/>
      <c r="C394" s="1079"/>
      <c r="D394" s="1080"/>
      <c r="E394" s="1080"/>
      <c r="F394" s="1080"/>
    </row>
    <row r="395" spans="1:6" x14ac:dyDescent="0.25">
      <c r="A395" s="841" t="s">
        <v>184</v>
      </c>
      <c r="B395" s="1079"/>
      <c r="C395" s="1079"/>
      <c r="D395" s="1080"/>
      <c r="E395" s="1080"/>
      <c r="F395" s="1080"/>
    </row>
    <row r="396" spans="1:6" ht="75" x14ac:dyDescent="0.25">
      <c r="A396" s="841" t="s">
        <v>480</v>
      </c>
      <c r="B396" s="1079">
        <v>41506</v>
      </c>
      <c r="C396" s="1079">
        <v>42055</v>
      </c>
      <c r="D396" s="1080">
        <v>130384697</v>
      </c>
      <c r="E396" s="1080">
        <v>96359635</v>
      </c>
      <c r="F396" s="1080">
        <v>34025062</v>
      </c>
    </row>
    <row r="397" spans="1:6" x14ac:dyDescent="0.25">
      <c r="A397" s="841" t="s">
        <v>185</v>
      </c>
      <c r="B397" s="1077"/>
      <c r="C397" s="1077"/>
      <c r="D397" s="1078"/>
      <c r="E397" s="1078"/>
      <c r="F397" s="1078"/>
    </row>
    <row r="398" spans="1:6" x14ac:dyDescent="0.25">
      <c r="A398" s="841" t="s">
        <v>186</v>
      </c>
      <c r="B398" s="1077"/>
      <c r="C398" s="1077"/>
      <c r="D398" s="1078"/>
      <c r="E398" s="1078"/>
      <c r="F398" s="1078"/>
    </row>
    <row r="399" spans="1:6" ht="75" x14ac:dyDescent="0.25">
      <c r="A399" s="841" t="s">
        <v>481</v>
      </c>
      <c r="B399" s="1077">
        <v>41533</v>
      </c>
      <c r="C399" s="1077">
        <v>41897</v>
      </c>
      <c r="D399" s="1078">
        <v>45056000</v>
      </c>
      <c r="E399" s="1078">
        <v>25056000</v>
      </c>
      <c r="F399" s="1078">
        <v>20000000</v>
      </c>
    </row>
    <row r="400" spans="1:6" x14ac:dyDescent="0.25">
      <c r="A400" s="841" t="s">
        <v>195</v>
      </c>
      <c r="B400" s="1077"/>
      <c r="C400" s="1077"/>
      <c r="D400" s="1078"/>
      <c r="E400" s="1078"/>
      <c r="F400" s="1078"/>
    </row>
    <row r="401" spans="1:6" x14ac:dyDescent="0.25">
      <c r="A401" s="841" t="s">
        <v>1037</v>
      </c>
      <c r="B401" s="1077"/>
      <c r="C401" s="1077"/>
      <c r="D401" s="1078"/>
      <c r="E401" s="1078"/>
      <c r="F401" s="1078"/>
    </row>
    <row r="402" spans="1:6" ht="90" x14ac:dyDescent="0.25">
      <c r="A402" s="841" t="s">
        <v>482</v>
      </c>
      <c r="B402" s="1077">
        <v>41541</v>
      </c>
      <c r="C402" s="1077">
        <v>41782</v>
      </c>
      <c r="D402" s="1078">
        <v>114225288</v>
      </c>
      <c r="E402" s="1078">
        <v>114217068</v>
      </c>
      <c r="F402" s="1078">
        <v>8220</v>
      </c>
    </row>
    <row r="403" spans="1:6" x14ac:dyDescent="0.25">
      <c r="A403" s="841" t="s">
        <v>191</v>
      </c>
      <c r="B403" s="1077"/>
      <c r="C403" s="1077"/>
      <c r="D403" s="1078"/>
      <c r="E403" s="1078"/>
      <c r="F403" s="1078"/>
    </row>
    <row r="404" spans="1:6" x14ac:dyDescent="0.25">
      <c r="A404" s="841" t="s">
        <v>192</v>
      </c>
      <c r="B404" s="1077"/>
      <c r="C404" s="1077"/>
      <c r="D404" s="1078"/>
      <c r="E404" s="1078"/>
      <c r="F404" s="1078"/>
    </row>
    <row r="405" spans="1:6" ht="60" x14ac:dyDescent="0.25">
      <c r="A405" s="841" t="s">
        <v>483</v>
      </c>
      <c r="B405" s="1077">
        <v>41555</v>
      </c>
      <c r="C405" s="1077">
        <v>41615</v>
      </c>
      <c r="D405" s="1078">
        <v>4715000</v>
      </c>
      <c r="E405" s="1078">
        <v>4715000</v>
      </c>
      <c r="F405" s="1078">
        <v>0</v>
      </c>
    </row>
    <row r="406" spans="1:6" x14ac:dyDescent="0.25">
      <c r="A406" s="841" t="s">
        <v>199</v>
      </c>
      <c r="B406" s="1077"/>
      <c r="C406" s="1077"/>
      <c r="D406" s="1078"/>
      <c r="E406" s="1078"/>
      <c r="F406" s="1078"/>
    </row>
    <row r="407" spans="1:6" x14ac:dyDescent="0.25">
      <c r="A407" s="841" t="s">
        <v>1038</v>
      </c>
      <c r="B407" s="1077"/>
      <c r="C407" s="1077"/>
      <c r="D407" s="1078"/>
      <c r="E407" s="1078"/>
      <c r="F407" s="1078"/>
    </row>
    <row r="408" spans="1:6" ht="45" x14ac:dyDescent="0.25">
      <c r="A408" s="841" t="s">
        <v>484</v>
      </c>
      <c r="B408" s="1077">
        <v>41556</v>
      </c>
      <c r="C408" s="1077">
        <v>41890</v>
      </c>
      <c r="D408" s="1078">
        <v>457000000</v>
      </c>
      <c r="E408" s="1078">
        <v>416287285</v>
      </c>
      <c r="F408" s="1078">
        <v>40712715</v>
      </c>
    </row>
    <row r="409" spans="1:6" x14ac:dyDescent="0.25">
      <c r="A409" s="841" t="s">
        <v>177</v>
      </c>
      <c r="B409" s="1077"/>
      <c r="C409" s="1077"/>
      <c r="D409" s="1078"/>
      <c r="E409" s="1078"/>
      <c r="F409" s="1078"/>
    </row>
    <row r="410" spans="1:6" x14ac:dyDescent="0.25">
      <c r="A410" s="841" t="s">
        <v>1039</v>
      </c>
      <c r="B410" s="1077"/>
      <c r="C410" s="1077"/>
      <c r="D410" s="1078"/>
      <c r="E410" s="1078"/>
      <c r="F410" s="1078"/>
    </row>
    <row r="411" spans="1:6" ht="75" x14ac:dyDescent="0.25">
      <c r="A411" s="841" t="s">
        <v>485</v>
      </c>
      <c r="B411" s="1077">
        <v>41554</v>
      </c>
      <c r="C411" s="1077">
        <v>41645</v>
      </c>
      <c r="D411" s="1078">
        <v>3356320</v>
      </c>
      <c r="E411" s="1078">
        <v>3356320</v>
      </c>
      <c r="F411" s="1078">
        <v>0</v>
      </c>
    </row>
    <row r="412" spans="1:6" x14ac:dyDescent="0.25">
      <c r="A412" s="1081" t="s">
        <v>193</v>
      </c>
      <c r="B412" s="1079"/>
      <c r="C412" s="1079"/>
      <c r="D412" s="1080"/>
      <c r="E412" s="1080"/>
      <c r="F412" s="1080"/>
    </row>
    <row r="413" spans="1:6" x14ac:dyDescent="0.25">
      <c r="A413" s="841" t="s">
        <v>194</v>
      </c>
      <c r="B413" s="1079"/>
      <c r="C413" s="1079"/>
      <c r="D413" s="1080"/>
      <c r="E413" s="1080"/>
      <c r="F413" s="1080"/>
    </row>
    <row r="414" spans="1:6" ht="45" x14ac:dyDescent="0.25">
      <c r="A414" s="841" t="s">
        <v>486</v>
      </c>
      <c r="B414" s="1079">
        <v>41555</v>
      </c>
      <c r="C414" s="1079">
        <v>41935</v>
      </c>
      <c r="D414" s="1080">
        <v>19965572</v>
      </c>
      <c r="E414" s="1080">
        <v>19965572</v>
      </c>
      <c r="F414" s="1080">
        <v>0</v>
      </c>
    </row>
    <row r="415" spans="1:6" x14ac:dyDescent="0.25">
      <c r="A415" s="1081" t="s">
        <v>196</v>
      </c>
      <c r="B415" s="1079"/>
      <c r="C415" s="1079"/>
      <c r="D415" s="1080"/>
      <c r="E415" s="1080"/>
      <c r="F415" s="1080"/>
    </row>
    <row r="416" spans="1:6" x14ac:dyDescent="0.25">
      <c r="A416" s="841" t="s">
        <v>22</v>
      </c>
      <c r="B416" s="1079"/>
      <c r="C416" s="1079"/>
      <c r="D416" s="1080"/>
      <c r="E416" s="1080"/>
      <c r="F416" s="1080"/>
    </row>
    <row r="417" spans="1:6" ht="30" x14ac:dyDescent="0.25">
      <c r="A417" s="841" t="s">
        <v>487</v>
      </c>
      <c r="B417" s="1079">
        <v>41562</v>
      </c>
      <c r="C417" s="1079">
        <v>41926</v>
      </c>
      <c r="D417" s="1080">
        <v>38280000</v>
      </c>
      <c r="E417" s="1080">
        <v>38280000</v>
      </c>
      <c r="F417" s="1080">
        <v>0</v>
      </c>
    </row>
    <row r="418" spans="1:6" x14ac:dyDescent="0.25">
      <c r="A418" s="841" t="s">
        <v>200</v>
      </c>
      <c r="B418" s="1077"/>
      <c r="C418" s="1077"/>
      <c r="D418" s="1078"/>
      <c r="E418" s="1078"/>
      <c r="F418" s="1078"/>
    </row>
    <row r="419" spans="1:6" x14ac:dyDescent="0.25">
      <c r="A419" s="841" t="s">
        <v>201</v>
      </c>
      <c r="B419" s="1077"/>
      <c r="C419" s="1077"/>
      <c r="D419" s="1078"/>
      <c r="E419" s="1078"/>
      <c r="F419" s="1078"/>
    </row>
    <row r="420" spans="1:6" ht="45" x14ac:dyDescent="0.25">
      <c r="A420" s="841" t="s">
        <v>488</v>
      </c>
      <c r="B420" s="1077">
        <v>41562</v>
      </c>
      <c r="C420" s="1077">
        <v>41592</v>
      </c>
      <c r="D420" s="1078">
        <v>26073552</v>
      </c>
      <c r="E420" s="1078">
        <v>26073552</v>
      </c>
      <c r="F420" s="1078">
        <v>0</v>
      </c>
    </row>
    <row r="421" spans="1:6" x14ac:dyDescent="0.25">
      <c r="A421" s="841" t="s">
        <v>204</v>
      </c>
      <c r="B421" s="1077"/>
      <c r="C421" s="1077"/>
      <c r="D421" s="1078"/>
      <c r="E421" s="1078"/>
      <c r="F421" s="1078"/>
    </row>
    <row r="422" spans="1:6" x14ac:dyDescent="0.25">
      <c r="A422" s="841" t="s">
        <v>205</v>
      </c>
      <c r="B422" s="1077"/>
      <c r="C422" s="1077"/>
      <c r="D422" s="1078"/>
      <c r="E422" s="1078"/>
      <c r="F422" s="1078"/>
    </row>
    <row r="423" spans="1:6" ht="45" x14ac:dyDescent="0.25">
      <c r="A423" s="841" t="s">
        <v>489</v>
      </c>
      <c r="B423" s="1077">
        <v>41570</v>
      </c>
      <c r="C423" s="1077">
        <v>41692</v>
      </c>
      <c r="D423" s="1078">
        <v>17262940</v>
      </c>
      <c r="E423" s="1078">
        <v>17262940</v>
      </c>
      <c r="F423" s="1078">
        <v>0</v>
      </c>
    </row>
    <row r="424" spans="1:6" x14ac:dyDescent="0.25">
      <c r="A424" s="1081" t="s">
        <v>206</v>
      </c>
      <c r="B424" s="1079"/>
      <c r="C424" s="1079"/>
      <c r="D424" s="1080"/>
      <c r="E424" s="1080"/>
      <c r="F424" s="1080"/>
    </row>
    <row r="425" spans="1:6" x14ac:dyDescent="0.25">
      <c r="A425" s="841" t="s">
        <v>1020</v>
      </c>
      <c r="B425" s="1079"/>
      <c r="C425" s="1079"/>
      <c r="D425" s="1080"/>
      <c r="E425" s="1080"/>
      <c r="F425" s="1080"/>
    </row>
    <row r="426" spans="1:6" ht="30" x14ac:dyDescent="0.25">
      <c r="A426" s="841" t="s">
        <v>490</v>
      </c>
      <c r="B426" s="1079">
        <v>41575</v>
      </c>
      <c r="C426" s="1079">
        <v>41939</v>
      </c>
      <c r="D426" s="1080">
        <v>810000</v>
      </c>
      <c r="E426" s="1080">
        <v>810000</v>
      </c>
      <c r="F426" s="1080">
        <v>0</v>
      </c>
    </row>
    <row r="427" spans="1:6" x14ac:dyDescent="0.25">
      <c r="A427" s="841" t="s">
        <v>211</v>
      </c>
      <c r="B427" s="1077"/>
      <c r="C427" s="1077"/>
      <c r="D427" s="1078"/>
      <c r="E427" s="1078"/>
      <c r="F427" s="1078"/>
    </row>
    <row r="428" spans="1:6" x14ac:dyDescent="0.25">
      <c r="A428" s="841" t="s">
        <v>212</v>
      </c>
      <c r="B428" s="1077"/>
      <c r="C428" s="1077"/>
      <c r="D428" s="1078"/>
      <c r="E428" s="1078"/>
      <c r="F428" s="1078"/>
    </row>
    <row r="429" spans="1:6" ht="75" x14ac:dyDescent="0.25">
      <c r="A429" s="841" t="s">
        <v>491</v>
      </c>
      <c r="B429" s="1077">
        <v>41590</v>
      </c>
      <c r="C429" s="1077">
        <v>41650</v>
      </c>
      <c r="D429" s="1078">
        <v>5545000</v>
      </c>
      <c r="E429" s="1078">
        <v>5545000</v>
      </c>
      <c r="F429" s="1078">
        <v>0</v>
      </c>
    </row>
    <row r="430" spans="1:6" x14ac:dyDescent="0.25">
      <c r="A430" s="841" t="s">
        <v>209</v>
      </c>
      <c r="B430" s="1077"/>
      <c r="C430" s="1077"/>
      <c r="D430" s="1078"/>
      <c r="E430" s="1078"/>
      <c r="F430" s="1078"/>
    </row>
    <row r="431" spans="1:6" x14ac:dyDescent="0.25">
      <c r="A431" s="841" t="s">
        <v>210</v>
      </c>
      <c r="B431" s="1077"/>
      <c r="C431" s="1077"/>
      <c r="D431" s="1078"/>
      <c r="E431" s="1078"/>
      <c r="F431" s="1078"/>
    </row>
    <row r="432" spans="1:6" ht="75" x14ac:dyDescent="0.25">
      <c r="A432" s="841" t="s">
        <v>1445</v>
      </c>
      <c r="B432" s="1077">
        <v>41590</v>
      </c>
      <c r="C432" s="1077">
        <v>41650</v>
      </c>
      <c r="D432" s="1078">
        <v>19360400</v>
      </c>
      <c r="E432" s="1078">
        <v>19360400</v>
      </c>
      <c r="F432" s="1078">
        <v>0</v>
      </c>
    </row>
    <row r="433" spans="1:6" x14ac:dyDescent="0.25">
      <c r="A433" s="841" t="s">
        <v>207</v>
      </c>
      <c r="B433" s="1077"/>
      <c r="C433" s="1077"/>
      <c r="D433" s="1078"/>
      <c r="E433" s="1078"/>
      <c r="F433" s="1078"/>
    </row>
    <row r="434" spans="1:6" x14ac:dyDescent="0.25">
      <c r="A434" s="841" t="s">
        <v>208</v>
      </c>
      <c r="B434" s="1077"/>
      <c r="C434" s="1077"/>
      <c r="D434" s="1078"/>
      <c r="E434" s="1078"/>
      <c r="F434" s="1078"/>
    </row>
    <row r="435" spans="1:6" ht="30" x14ac:dyDescent="0.25">
      <c r="A435" s="841" t="s">
        <v>492</v>
      </c>
      <c r="B435" s="1077">
        <v>41572</v>
      </c>
      <c r="C435" s="1077">
        <v>41814</v>
      </c>
      <c r="D435" s="1078">
        <v>502280800</v>
      </c>
      <c r="E435" s="1078">
        <v>502247588</v>
      </c>
      <c r="F435" s="1078">
        <v>33212</v>
      </c>
    </row>
    <row r="436" spans="1:6" x14ac:dyDescent="0.25">
      <c r="A436" s="1081" t="s">
        <v>213</v>
      </c>
      <c r="B436" s="1079"/>
      <c r="C436" s="1079"/>
      <c r="D436" s="1080"/>
      <c r="E436" s="1080"/>
      <c r="F436" s="1080"/>
    </row>
    <row r="437" spans="1:6" x14ac:dyDescent="0.25">
      <c r="A437" s="841" t="s">
        <v>1040</v>
      </c>
      <c r="B437" s="1079"/>
      <c r="C437" s="1079"/>
      <c r="D437" s="1080"/>
      <c r="E437" s="1080"/>
      <c r="F437" s="1080"/>
    </row>
    <row r="438" spans="1:6" ht="105" x14ac:dyDescent="0.25">
      <c r="A438" s="841" t="s">
        <v>493</v>
      </c>
      <c r="B438" s="1079">
        <v>41580</v>
      </c>
      <c r="C438" s="1079">
        <v>41975</v>
      </c>
      <c r="D438" s="1080">
        <v>692839272</v>
      </c>
      <c r="E438" s="1080">
        <v>678164443</v>
      </c>
      <c r="F438" s="1080">
        <v>14674829</v>
      </c>
    </row>
    <row r="439" spans="1:6" x14ac:dyDescent="0.25">
      <c r="A439" s="1081" t="s">
        <v>258</v>
      </c>
      <c r="B439" s="1079"/>
      <c r="C439" s="1079"/>
      <c r="D439" s="1080"/>
      <c r="E439" s="1080"/>
      <c r="F439" s="1080"/>
    </row>
    <row r="440" spans="1:6" x14ac:dyDescent="0.25">
      <c r="A440" s="841" t="s">
        <v>259</v>
      </c>
      <c r="B440" s="1079"/>
      <c r="C440" s="1079"/>
      <c r="D440" s="1080"/>
      <c r="E440" s="1080"/>
      <c r="F440" s="1080"/>
    </row>
    <row r="441" spans="1:6" ht="60" x14ac:dyDescent="0.25">
      <c r="A441" s="841" t="s">
        <v>494</v>
      </c>
      <c r="B441" s="1079">
        <v>41696</v>
      </c>
      <c r="C441" s="1079">
        <v>42425</v>
      </c>
      <c r="D441" s="1080">
        <v>0</v>
      </c>
      <c r="E441" s="1080">
        <v>0</v>
      </c>
      <c r="F441" s="1080">
        <v>0</v>
      </c>
    </row>
    <row r="442" spans="1:6" x14ac:dyDescent="0.25">
      <c r="A442" s="1081" t="s">
        <v>309</v>
      </c>
      <c r="B442" s="1079"/>
      <c r="C442" s="1079"/>
      <c r="D442" s="1080"/>
      <c r="E442" s="1080"/>
      <c r="F442" s="1080"/>
    </row>
    <row r="443" spans="1:6" x14ac:dyDescent="0.25">
      <c r="A443" s="841" t="s">
        <v>77</v>
      </c>
      <c r="B443" s="1077"/>
      <c r="C443" s="1077"/>
      <c r="D443" s="1078"/>
      <c r="E443" s="1078"/>
      <c r="F443" s="1078"/>
    </row>
    <row r="444" spans="1:6" ht="60" x14ac:dyDescent="0.25">
      <c r="A444" s="841" t="s">
        <v>1887</v>
      </c>
      <c r="B444" s="1077">
        <v>41864</v>
      </c>
      <c r="C444" s="1077">
        <v>42321</v>
      </c>
      <c r="D444" s="1078">
        <v>398614000</v>
      </c>
      <c r="E444" s="1078">
        <v>398614000</v>
      </c>
      <c r="F444" s="1078">
        <v>0</v>
      </c>
    </row>
    <row r="445" spans="1:6" x14ac:dyDescent="0.25">
      <c r="A445" s="841" t="s">
        <v>234</v>
      </c>
      <c r="B445" s="1077"/>
      <c r="C445" s="1077"/>
      <c r="D445" s="1078"/>
      <c r="E445" s="1078"/>
      <c r="F445" s="1078"/>
    </row>
    <row r="446" spans="1:6" x14ac:dyDescent="0.25">
      <c r="A446" s="841" t="s">
        <v>235</v>
      </c>
      <c r="B446" s="1077"/>
      <c r="C446" s="1077"/>
      <c r="D446" s="1078"/>
      <c r="E446" s="1078"/>
      <c r="F446" s="1078"/>
    </row>
    <row r="447" spans="1:6" ht="60" x14ac:dyDescent="0.25">
      <c r="A447" s="841" t="s">
        <v>367</v>
      </c>
      <c r="B447" s="1077">
        <v>41659</v>
      </c>
      <c r="C447" s="1077">
        <v>41748</v>
      </c>
      <c r="D447" s="1078">
        <v>430036764</v>
      </c>
      <c r="E447" s="1078">
        <v>430036600</v>
      </c>
      <c r="F447" s="1078">
        <v>164</v>
      </c>
    </row>
    <row r="448" spans="1:6" x14ac:dyDescent="0.25">
      <c r="A448" s="841" t="s">
        <v>214</v>
      </c>
      <c r="B448" s="1077"/>
      <c r="C448" s="1077"/>
      <c r="D448" s="1078"/>
      <c r="E448" s="1078"/>
      <c r="F448" s="1078"/>
    </row>
    <row r="449" spans="1:6" x14ac:dyDescent="0.25">
      <c r="A449" s="841" t="s">
        <v>31</v>
      </c>
      <c r="B449" s="1077"/>
      <c r="C449" s="1077"/>
      <c r="D449" s="1078"/>
      <c r="E449" s="1078"/>
      <c r="F449" s="1078"/>
    </row>
    <row r="450" spans="1:6" ht="60" x14ac:dyDescent="0.25">
      <c r="A450" s="841" t="s">
        <v>495</v>
      </c>
      <c r="B450" s="1077">
        <v>41620</v>
      </c>
      <c r="C450" s="1077">
        <v>41681</v>
      </c>
      <c r="D450" s="1078">
        <v>6000000</v>
      </c>
      <c r="E450" s="1078">
        <v>6000000</v>
      </c>
      <c r="F450" s="1078">
        <v>0</v>
      </c>
    </row>
    <row r="451" spans="1:6" x14ac:dyDescent="0.25">
      <c r="A451" s="1081" t="s">
        <v>232</v>
      </c>
      <c r="B451" s="1079"/>
      <c r="C451" s="1079"/>
      <c r="D451" s="1080"/>
      <c r="E451" s="1080"/>
      <c r="F451" s="1080"/>
    </row>
    <row r="452" spans="1:6" x14ac:dyDescent="0.25">
      <c r="A452" s="841" t="s">
        <v>233</v>
      </c>
      <c r="B452" s="1079"/>
      <c r="C452" s="1079"/>
      <c r="D452" s="1080"/>
      <c r="E452" s="1080"/>
      <c r="F452" s="1080"/>
    </row>
    <row r="453" spans="1:6" ht="60" x14ac:dyDescent="0.25">
      <c r="A453" s="841" t="s">
        <v>496</v>
      </c>
      <c r="B453" s="1079">
        <v>41641</v>
      </c>
      <c r="C453" s="1079">
        <v>42005</v>
      </c>
      <c r="D453" s="1080">
        <v>7937504</v>
      </c>
      <c r="E453" s="1080">
        <v>5992064</v>
      </c>
      <c r="F453" s="1080">
        <v>1945440</v>
      </c>
    </row>
    <row r="454" spans="1:6" x14ac:dyDescent="0.25">
      <c r="A454" s="841" t="s">
        <v>215</v>
      </c>
      <c r="B454" s="1077"/>
      <c r="C454" s="1077"/>
      <c r="D454" s="1078"/>
      <c r="E454" s="1078"/>
      <c r="F454" s="1078"/>
    </row>
    <row r="455" spans="1:6" x14ac:dyDescent="0.25">
      <c r="A455" s="841" t="s">
        <v>1596</v>
      </c>
      <c r="B455" s="1077"/>
      <c r="C455" s="1077"/>
      <c r="D455" s="1078"/>
      <c r="E455" s="1078"/>
      <c r="F455" s="1078"/>
    </row>
    <row r="456" spans="1:6" ht="45" x14ac:dyDescent="0.25">
      <c r="A456" s="841" t="s">
        <v>1446</v>
      </c>
      <c r="B456" s="1077">
        <v>41612</v>
      </c>
      <c r="C456" s="1077">
        <v>41658</v>
      </c>
      <c r="D456" s="1078">
        <v>15000000</v>
      </c>
      <c r="E456" s="1078">
        <v>15000000</v>
      </c>
      <c r="F456" s="1078">
        <v>0</v>
      </c>
    </row>
    <row r="457" spans="1:6" x14ac:dyDescent="0.25">
      <c r="A457" s="1081" t="s">
        <v>216</v>
      </c>
      <c r="B457" s="1079"/>
      <c r="C457" s="1079"/>
      <c r="D457" s="1080"/>
      <c r="E457" s="1080"/>
      <c r="F457" s="1080"/>
    </row>
    <row r="458" spans="1:6" x14ac:dyDescent="0.25">
      <c r="A458" s="841" t="s">
        <v>217</v>
      </c>
      <c r="B458" s="1079"/>
      <c r="C458" s="1079"/>
      <c r="D458" s="1080"/>
      <c r="E458" s="1080"/>
      <c r="F458" s="1080"/>
    </row>
    <row r="459" spans="1:6" ht="45" x14ac:dyDescent="0.25">
      <c r="A459" s="841" t="s">
        <v>1128</v>
      </c>
      <c r="B459" s="1077">
        <v>41621</v>
      </c>
      <c r="C459" s="1077">
        <v>41985</v>
      </c>
      <c r="D459" s="1078">
        <v>452974000</v>
      </c>
      <c r="E459" s="1078">
        <v>452973998</v>
      </c>
      <c r="F459" s="1078">
        <v>2</v>
      </c>
    </row>
    <row r="460" spans="1:6" x14ac:dyDescent="0.25">
      <c r="A460" s="841" t="s">
        <v>218</v>
      </c>
      <c r="B460" s="1077"/>
      <c r="C460" s="1077"/>
      <c r="D460" s="1078"/>
      <c r="E460" s="1078"/>
      <c r="F460" s="1078"/>
    </row>
    <row r="461" spans="1:6" x14ac:dyDescent="0.25">
      <c r="A461" s="841" t="s">
        <v>219</v>
      </c>
      <c r="B461" s="1077"/>
      <c r="C461" s="1077"/>
      <c r="D461" s="1078"/>
      <c r="E461" s="1078"/>
      <c r="F461" s="1078"/>
    </row>
    <row r="462" spans="1:6" ht="60" x14ac:dyDescent="0.25">
      <c r="A462" s="841" t="s">
        <v>366</v>
      </c>
      <c r="B462" s="1077">
        <v>41647</v>
      </c>
      <c r="C462" s="1077">
        <v>41980</v>
      </c>
      <c r="D462" s="1078">
        <v>95000000</v>
      </c>
      <c r="E462" s="1078">
        <v>88983693</v>
      </c>
      <c r="F462" s="1078">
        <v>6016307</v>
      </c>
    </row>
    <row r="463" spans="1:6" x14ac:dyDescent="0.25">
      <c r="A463" s="841" t="s">
        <v>220</v>
      </c>
      <c r="B463" s="1077"/>
      <c r="C463" s="1077"/>
      <c r="D463" s="1078"/>
      <c r="E463" s="1078"/>
      <c r="F463" s="1078"/>
    </row>
    <row r="464" spans="1:6" x14ac:dyDescent="0.25">
      <c r="A464" s="841" t="s">
        <v>1149</v>
      </c>
      <c r="B464" s="1077"/>
      <c r="C464" s="1077"/>
      <c r="D464" s="1078"/>
      <c r="E464" s="1078"/>
      <c r="F464" s="1078"/>
    </row>
    <row r="465" spans="1:6" x14ac:dyDescent="0.25">
      <c r="A465" s="841" t="s">
        <v>497</v>
      </c>
      <c r="B465" s="1077">
        <v>41626</v>
      </c>
      <c r="C465" s="1077">
        <v>41641</v>
      </c>
      <c r="D465" s="1078">
        <v>63128000</v>
      </c>
      <c r="E465" s="1078">
        <v>63128000</v>
      </c>
      <c r="F465" s="1078">
        <v>0</v>
      </c>
    </row>
    <row r="466" spans="1:6" x14ac:dyDescent="0.25">
      <c r="A466" s="841" t="s">
        <v>227</v>
      </c>
      <c r="B466" s="1077"/>
      <c r="C466" s="1077"/>
      <c r="D466" s="1078"/>
      <c r="E466" s="1078"/>
      <c r="F466" s="1078"/>
    </row>
    <row r="467" spans="1:6" x14ac:dyDescent="0.25">
      <c r="A467" s="841" t="s">
        <v>228</v>
      </c>
      <c r="B467" s="1077"/>
      <c r="C467" s="1077"/>
      <c r="D467" s="1078"/>
      <c r="E467" s="1078"/>
      <c r="F467" s="1078"/>
    </row>
    <row r="468" spans="1:6" ht="45" x14ac:dyDescent="0.25">
      <c r="A468" s="841" t="s">
        <v>498</v>
      </c>
      <c r="B468" s="1077">
        <v>41628</v>
      </c>
      <c r="C468" s="1077">
        <v>41658</v>
      </c>
      <c r="D468" s="1078">
        <v>5000000</v>
      </c>
      <c r="E468" s="1078">
        <v>5000000</v>
      </c>
      <c r="F468" s="1078">
        <v>0</v>
      </c>
    </row>
    <row r="469" spans="1:6" x14ac:dyDescent="0.25">
      <c r="A469" s="841" t="s">
        <v>223</v>
      </c>
      <c r="B469" s="1077"/>
      <c r="C469" s="1077"/>
      <c r="D469" s="1078"/>
      <c r="E469" s="1078"/>
      <c r="F469" s="1078"/>
    </row>
    <row r="470" spans="1:6" x14ac:dyDescent="0.25">
      <c r="A470" s="841" t="s">
        <v>224</v>
      </c>
      <c r="B470" s="1077"/>
      <c r="C470" s="1077"/>
      <c r="D470" s="1078"/>
      <c r="E470" s="1078"/>
      <c r="F470" s="1078"/>
    </row>
    <row r="471" spans="1:6" ht="45" x14ac:dyDescent="0.25">
      <c r="A471" s="841" t="s">
        <v>498</v>
      </c>
      <c r="B471" s="1077">
        <v>41628</v>
      </c>
      <c r="C471" s="1077">
        <v>41658</v>
      </c>
      <c r="D471" s="1078">
        <v>5000000</v>
      </c>
      <c r="E471" s="1078">
        <v>5000000</v>
      </c>
      <c r="F471" s="1078">
        <v>0</v>
      </c>
    </row>
    <row r="472" spans="1:6" x14ac:dyDescent="0.25">
      <c r="A472" s="841" t="s">
        <v>231</v>
      </c>
      <c r="B472" s="1077"/>
      <c r="C472" s="1077"/>
      <c r="D472" s="1078"/>
      <c r="E472" s="1078"/>
      <c r="F472" s="1078"/>
    </row>
    <row r="473" spans="1:6" x14ac:dyDescent="0.25">
      <c r="A473" s="841" t="s">
        <v>1042</v>
      </c>
      <c r="B473" s="1077"/>
      <c r="C473" s="1077"/>
      <c r="D473" s="1078"/>
      <c r="E473" s="1078"/>
      <c r="F473" s="1078"/>
    </row>
    <row r="474" spans="1:6" ht="60" x14ac:dyDescent="0.25">
      <c r="A474" s="841" t="s">
        <v>499</v>
      </c>
      <c r="B474" s="1077">
        <v>41647</v>
      </c>
      <c r="C474" s="1077">
        <v>41797</v>
      </c>
      <c r="D474" s="1078">
        <v>70000000</v>
      </c>
      <c r="E474" s="1078">
        <v>69658711</v>
      </c>
      <c r="F474" s="1078">
        <v>341289</v>
      </c>
    </row>
    <row r="475" spans="1:6" x14ac:dyDescent="0.25">
      <c r="A475" s="841" t="s">
        <v>225</v>
      </c>
      <c r="B475" s="1077"/>
      <c r="C475" s="1077"/>
      <c r="D475" s="1078"/>
      <c r="E475" s="1078"/>
      <c r="F475" s="1078"/>
    </row>
    <row r="476" spans="1:6" x14ac:dyDescent="0.25">
      <c r="A476" s="841" t="s">
        <v>226</v>
      </c>
      <c r="B476" s="1077"/>
      <c r="C476" s="1077"/>
      <c r="D476" s="1078"/>
      <c r="E476" s="1078"/>
      <c r="F476" s="1078"/>
    </row>
    <row r="477" spans="1:6" ht="45" x14ac:dyDescent="0.25">
      <c r="A477" s="841" t="s">
        <v>498</v>
      </c>
      <c r="B477" s="1077">
        <v>41628</v>
      </c>
      <c r="C477" s="1077">
        <v>41658</v>
      </c>
      <c r="D477" s="1078">
        <v>5000000</v>
      </c>
      <c r="E477" s="1078">
        <v>5000000</v>
      </c>
      <c r="F477" s="1078">
        <v>0</v>
      </c>
    </row>
    <row r="478" spans="1:6" x14ac:dyDescent="0.25">
      <c r="A478" s="841" t="s">
        <v>221</v>
      </c>
      <c r="B478" s="1077"/>
      <c r="C478" s="1077"/>
      <c r="D478" s="1078"/>
      <c r="E478" s="1078"/>
      <c r="F478" s="1078"/>
    </row>
    <row r="479" spans="1:6" x14ac:dyDescent="0.25">
      <c r="A479" s="841" t="s">
        <v>222</v>
      </c>
      <c r="B479" s="1077">
        <v>41628</v>
      </c>
      <c r="C479" s="1077">
        <v>41658</v>
      </c>
      <c r="D479" s="1078">
        <v>5000000</v>
      </c>
      <c r="E479" s="1078">
        <v>5000000</v>
      </c>
      <c r="F479" s="1078">
        <v>0</v>
      </c>
    </row>
    <row r="480" spans="1:6" x14ac:dyDescent="0.25">
      <c r="A480" s="841" t="s">
        <v>242</v>
      </c>
      <c r="B480" s="1077"/>
      <c r="C480" s="1077"/>
      <c r="D480" s="1078"/>
      <c r="E480" s="1078"/>
      <c r="F480" s="1078"/>
    </row>
    <row r="481" spans="1:6" x14ac:dyDescent="0.25">
      <c r="A481" s="841" t="s">
        <v>235</v>
      </c>
      <c r="B481" s="1077"/>
      <c r="C481" s="1077"/>
      <c r="D481" s="1078"/>
      <c r="E481" s="1078"/>
      <c r="F481" s="1078"/>
    </row>
    <row r="482" spans="1:6" ht="45" x14ac:dyDescent="0.25">
      <c r="A482" s="841" t="s">
        <v>500</v>
      </c>
      <c r="B482" s="1077">
        <v>41662</v>
      </c>
      <c r="C482" s="1077">
        <v>41751</v>
      </c>
      <c r="D482" s="1078">
        <v>3017160</v>
      </c>
      <c r="E482" s="1078">
        <v>3017160</v>
      </c>
      <c r="F482" s="1078">
        <v>0</v>
      </c>
    </row>
    <row r="483" spans="1:6" x14ac:dyDescent="0.25">
      <c r="A483" s="1081" t="s">
        <v>240</v>
      </c>
      <c r="B483" s="1079"/>
      <c r="C483" s="1079"/>
      <c r="D483" s="1080"/>
      <c r="E483" s="1080"/>
      <c r="F483" s="1080"/>
    </row>
    <row r="484" spans="1:6" x14ac:dyDescent="0.25">
      <c r="A484" s="841" t="s">
        <v>290</v>
      </c>
      <c r="B484" s="1079"/>
      <c r="C484" s="1079"/>
      <c r="D484" s="1080"/>
      <c r="E484" s="1080"/>
      <c r="F484" s="1080"/>
    </row>
    <row r="485" spans="1:6" ht="30" x14ac:dyDescent="0.25">
      <c r="A485" s="841" t="s">
        <v>501</v>
      </c>
      <c r="B485" s="1079">
        <v>41655</v>
      </c>
      <c r="C485" s="1079">
        <v>42019</v>
      </c>
      <c r="D485" s="1080">
        <v>90000000</v>
      </c>
      <c r="E485" s="1080">
        <v>42574877.200000003</v>
      </c>
      <c r="F485" s="1080">
        <v>47425122.799999997</v>
      </c>
    </row>
    <row r="486" spans="1:6" x14ac:dyDescent="0.25">
      <c r="A486" s="841" t="s">
        <v>229</v>
      </c>
      <c r="B486" s="1077"/>
      <c r="C486" s="1077"/>
      <c r="D486" s="1078"/>
      <c r="E486" s="1078"/>
      <c r="F486" s="1078"/>
    </row>
    <row r="487" spans="1:6" x14ac:dyDescent="0.25">
      <c r="A487" s="841" t="s">
        <v>1043</v>
      </c>
      <c r="B487" s="1077"/>
      <c r="C487" s="1077"/>
      <c r="D487" s="1078"/>
      <c r="E487" s="1078"/>
      <c r="F487" s="1078"/>
    </row>
    <row r="488" spans="1:6" ht="45" x14ac:dyDescent="0.25">
      <c r="A488" s="841" t="s">
        <v>498</v>
      </c>
      <c r="B488" s="1077">
        <v>41634</v>
      </c>
      <c r="C488" s="1077">
        <v>41664</v>
      </c>
      <c r="D488" s="1078">
        <v>5000000</v>
      </c>
      <c r="E488" s="1078">
        <v>5000000</v>
      </c>
      <c r="F488" s="1078">
        <v>0</v>
      </c>
    </row>
    <row r="489" spans="1:6" x14ac:dyDescent="0.25">
      <c r="A489" s="841" t="s">
        <v>239</v>
      </c>
      <c r="B489" s="1077"/>
      <c r="C489" s="1077"/>
      <c r="D489" s="1078"/>
      <c r="E489" s="1078"/>
      <c r="F489" s="1078"/>
    </row>
    <row r="490" spans="1:6" x14ac:dyDescent="0.25">
      <c r="A490" s="841" t="s">
        <v>152</v>
      </c>
      <c r="B490" s="1077"/>
      <c r="C490" s="1077"/>
      <c r="D490" s="1078"/>
      <c r="E490" s="1078"/>
      <c r="F490" s="1078"/>
    </row>
    <row r="491" spans="1:6" ht="60" x14ac:dyDescent="0.25">
      <c r="A491" s="841" t="s">
        <v>502</v>
      </c>
      <c r="B491" s="1077">
        <v>41662</v>
      </c>
      <c r="C491" s="1077">
        <v>41754</v>
      </c>
      <c r="D491" s="1078">
        <v>3743343</v>
      </c>
      <c r="E491" s="1078">
        <v>3743343</v>
      </c>
      <c r="F491" s="1078">
        <v>0</v>
      </c>
    </row>
    <row r="492" spans="1:6" x14ac:dyDescent="0.25">
      <c r="A492" s="1081" t="s">
        <v>405</v>
      </c>
      <c r="B492" s="1079"/>
      <c r="C492" s="1079"/>
      <c r="D492" s="1080"/>
      <c r="E492" s="1080"/>
      <c r="F492" s="1080"/>
    </row>
    <row r="493" spans="1:6" x14ac:dyDescent="0.25">
      <c r="A493" s="841" t="s">
        <v>238</v>
      </c>
      <c r="B493" s="1079"/>
      <c r="C493" s="1079"/>
      <c r="D493" s="1080"/>
      <c r="E493" s="1080"/>
      <c r="F493" s="1080"/>
    </row>
    <row r="494" spans="1:6" ht="60" x14ac:dyDescent="0.25">
      <c r="A494" s="841" t="s">
        <v>503</v>
      </c>
      <c r="B494" s="1079">
        <v>41662</v>
      </c>
      <c r="C494" s="1079">
        <v>42026</v>
      </c>
      <c r="D494" s="1080">
        <v>1620000</v>
      </c>
      <c r="E494" s="1080">
        <v>354000</v>
      </c>
      <c r="F494" s="1080">
        <v>1266000</v>
      </c>
    </row>
    <row r="495" spans="1:6" x14ac:dyDescent="0.25">
      <c r="A495" s="841" t="s">
        <v>236</v>
      </c>
      <c r="B495" s="1077"/>
      <c r="C495" s="1077"/>
      <c r="D495" s="1078"/>
      <c r="E495" s="1078"/>
      <c r="F495" s="1078"/>
    </row>
    <row r="496" spans="1:6" x14ac:dyDescent="0.25">
      <c r="A496" s="841" t="s">
        <v>186</v>
      </c>
      <c r="B496" s="1077"/>
      <c r="C496" s="1077"/>
      <c r="D496" s="1078"/>
      <c r="E496" s="1078"/>
      <c r="F496" s="1078"/>
    </row>
    <row r="497" spans="1:6" ht="45" x14ac:dyDescent="0.25">
      <c r="A497" s="841" t="s">
        <v>504</v>
      </c>
      <c r="B497" s="1077">
        <v>41655</v>
      </c>
      <c r="C497" s="1077">
        <v>41713</v>
      </c>
      <c r="D497" s="1078">
        <v>32048480</v>
      </c>
      <c r="E497" s="1078">
        <v>32048480</v>
      </c>
      <c r="F497" s="1078">
        <v>0</v>
      </c>
    </row>
    <row r="498" spans="1:6" x14ac:dyDescent="0.25">
      <c r="A498" s="841" t="s">
        <v>241</v>
      </c>
      <c r="B498" s="1077"/>
      <c r="C498" s="1077"/>
      <c r="D498" s="1078"/>
      <c r="E498" s="1078"/>
      <c r="F498" s="1078"/>
    </row>
    <row r="499" spans="1:6" x14ac:dyDescent="0.25">
      <c r="A499" s="841" t="s">
        <v>1044</v>
      </c>
      <c r="B499" s="1077"/>
      <c r="C499" s="1077"/>
      <c r="D499" s="1078"/>
      <c r="E499" s="1078"/>
      <c r="F499" s="1078"/>
    </row>
    <row r="500" spans="1:6" ht="45" x14ac:dyDescent="0.25">
      <c r="A500" s="841" t="s">
        <v>505</v>
      </c>
      <c r="B500" s="1077">
        <v>41662</v>
      </c>
      <c r="C500" s="1077">
        <v>41720</v>
      </c>
      <c r="D500" s="1078">
        <v>3480000</v>
      </c>
      <c r="E500" s="1078">
        <v>3480000</v>
      </c>
      <c r="F500" s="1078">
        <v>0</v>
      </c>
    </row>
    <row r="501" spans="1:6" x14ac:dyDescent="0.25">
      <c r="A501" s="841" t="s">
        <v>237</v>
      </c>
      <c r="B501" s="1077"/>
      <c r="C501" s="1077"/>
      <c r="D501" s="1078"/>
      <c r="E501" s="1078"/>
      <c r="F501" s="1078"/>
    </row>
    <row r="502" spans="1:6" x14ac:dyDescent="0.25">
      <c r="A502" s="841" t="s">
        <v>186</v>
      </c>
      <c r="B502" s="1077"/>
      <c r="C502" s="1077"/>
      <c r="D502" s="1078"/>
      <c r="E502" s="1078"/>
      <c r="F502" s="1078"/>
    </row>
    <row r="503" spans="1:6" ht="60" x14ac:dyDescent="0.25">
      <c r="A503" s="841" t="s">
        <v>506</v>
      </c>
      <c r="B503" s="1077">
        <v>41662</v>
      </c>
      <c r="C503" s="1077">
        <v>41736</v>
      </c>
      <c r="D503" s="1078">
        <v>126308000</v>
      </c>
      <c r="E503" s="1078">
        <v>126308000</v>
      </c>
      <c r="F503" s="1078">
        <v>0</v>
      </c>
    </row>
    <row r="504" spans="1:6" x14ac:dyDescent="0.25">
      <c r="A504" s="841" t="s">
        <v>230</v>
      </c>
      <c r="B504" s="1077"/>
      <c r="C504" s="1077"/>
      <c r="D504" s="1078"/>
      <c r="E504" s="1078"/>
      <c r="F504" s="1078"/>
    </row>
    <row r="505" spans="1:6" x14ac:dyDescent="0.25">
      <c r="A505" s="841" t="s">
        <v>1045</v>
      </c>
      <c r="B505" s="1077"/>
      <c r="C505" s="1077"/>
      <c r="D505" s="1078"/>
      <c r="E505" s="1078"/>
      <c r="F505" s="1078"/>
    </row>
    <row r="506" spans="1:6" ht="45" x14ac:dyDescent="0.25">
      <c r="A506" s="841" t="s">
        <v>507</v>
      </c>
      <c r="B506" s="1077">
        <v>41638</v>
      </c>
      <c r="C506" s="1077">
        <v>41668</v>
      </c>
      <c r="D506" s="1078">
        <v>3500000</v>
      </c>
      <c r="E506" s="1078">
        <v>3500000</v>
      </c>
      <c r="F506" s="1078">
        <v>0</v>
      </c>
    </row>
    <row r="507" spans="1:6" x14ac:dyDescent="0.25">
      <c r="A507" s="841" t="s">
        <v>243</v>
      </c>
      <c r="B507" s="1077"/>
      <c r="C507" s="1077"/>
      <c r="D507" s="1078"/>
      <c r="E507" s="1078"/>
      <c r="F507" s="1078"/>
    </row>
    <row r="508" spans="1:6" x14ac:dyDescent="0.25">
      <c r="A508" s="841" t="s">
        <v>244</v>
      </c>
      <c r="B508" s="1077"/>
      <c r="C508" s="1077"/>
      <c r="D508" s="1078"/>
      <c r="E508" s="1078"/>
      <c r="F508" s="1078"/>
    </row>
    <row r="509" spans="1:6" ht="75" x14ac:dyDescent="0.25">
      <c r="A509" s="841" t="s">
        <v>508</v>
      </c>
      <c r="B509" s="1077">
        <v>41670</v>
      </c>
      <c r="C509" s="1077">
        <v>41789</v>
      </c>
      <c r="D509" s="1078">
        <v>803432165</v>
      </c>
      <c r="E509" s="1078">
        <v>741115935</v>
      </c>
      <c r="F509" s="1078">
        <v>62316230</v>
      </c>
    </row>
    <row r="510" spans="1:6" x14ac:dyDescent="0.25">
      <c r="A510" s="1081" t="s">
        <v>278</v>
      </c>
      <c r="B510" s="1079"/>
      <c r="C510" s="1079"/>
      <c r="D510" s="1080"/>
      <c r="E510" s="1080"/>
      <c r="F510" s="1080"/>
    </row>
    <row r="511" spans="1:6" x14ac:dyDescent="0.25">
      <c r="A511" s="841" t="s">
        <v>15</v>
      </c>
      <c r="B511" s="1079"/>
      <c r="C511" s="1079"/>
      <c r="D511" s="1080"/>
      <c r="E511" s="1080"/>
      <c r="F511" s="1080"/>
    </row>
    <row r="512" spans="1:6" ht="30" x14ac:dyDescent="0.25">
      <c r="A512" s="841" t="s">
        <v>509</v>
      </c>
      <c r="B512" s="1079">
        <v>41775</v>
      </c>
      <c r="C512" s="1079">
        <v>42139</v>
      </c>
      <c r="D512" s="1080">
        <v>7740000</v>
      </c>
      <c r="E512" s="1080">
        <v>7740000</v>
      </c>
      <c r="F512" s="1080">
        <v>0</v>
      </c>
    </row>
    <row r="513" spans="1:6" x14ac:dyDescent="0.25">
      <c r="A513" s="1081" t="s">
        <v>171</v>
      </c>
      <c r="B513" s="1079"/>
      <c r="C513" s="1079"/>
      <c r="D513" s="1080"/>
      <c r="E513" s="1080"/>
      <c r="F513" s="1080"/>
    </row>
    <row r="514" spans="1:6" x14ac:dyDescent="0.25">
      <c r="A514" s="841" t="s">
        <v>1034</v>
      </c>
      <c r="B514" s="1079"/>
      <c r="C514" s="1079"/>
      <c r="D514" s="1080"/>
      <c r="E514" s="1080"/>
      <c r="F514" s="1080"/>
    </row>
    <row r="515" spans="1:6" ht="45" x14ac:dyDescent="0.25">
      <c r="A515" s="841" t="s">
        <v>510</v>
      </c>
      <c r="B515" s="1079">
        <v>41675</v>
      </c>
      <c r="C515" s="1079">
        <v>42008</v>
      </c>
      <c r="D515" s="1080">
        <v>29819999</v>
      </c>
      <c r="E515" s="1080">
        <v>29819999</v>
      </c>
      <c r="F515" s="1080">
        <v>0</v>
      </c>
    </row>
    <row r="516" spans="1:6" x14ac:dyDescent="0.25">
      <c r="A516" s="1081" t="s">
        <v>252</v>
      </c>
      <c r="B516" s="1079"/>
      <c r="C516" s="1079"/>
      <c r="D516" s="1080"/>
      <c r="E516" s="1080"/>
      <c r="F516" s="1080"/>
    </row>
    <row r="517" spans="1:6" x14ac:dyDescent="0.25">
      <c r="A517" s="841" t="s">
        <v>86</v>
      </c>
      <c r="B517" s="1079"/>
      <c r="C517" s="1079"/>
      <c r="D517" s="1080"/>
      <c r="E517" s="1080"/>
      <c r="F517" s="1080"/>
    </row>
    <row r="518" spans="1:6" ht="30" x14ac:dyDescent="0.25">
      <c r="A518" s="841" t="s">
        <v>511</v>
      </c>
      <c r="B518" s="1079">
        <v>41717</v>
      </c>
      <c r="C518" s="1079">
        <v>42081</v>
      </c>
      <c r="D518" s="1080">
        <v>1197000</v>
      </c>
      <c r="E518" s="1080">
        <v>1197000</v>
      </c>
      <c r="F518" s="1080">
        <v>0</v>
      </c>
    </row>
    <row r="519" spans="1:6" x14ac:dyDescent="0.25">
      <c r="A519" s="841" t="s">
        <v>270</v>
      </c>
      <c r="B519" s="1077"/>
      <c r="C519" s="1077"/>
      <c r="D519" s="1078"/>
      <c r="E519" s="1078"/>
      <c r="F519" s="1078"/>
    </row>
    <row r="520" spans="1:6" x14ac:dyDescent="0.25">
      <c r="A520" s="841" t="s">
        <v>1031</v>
      </c>
      <c r="B520" s="1077"/>
      <c r="C520" s="1077"/>
      <c r="D520" s="1078"/>
      <c r="E520" s="1078"/>
      <c r="F520" s="1078"/>
    </row>
    <row r="521" spans="1:6" ht="30" x14ac:dyDescent="0.25">
      <c r="A521" s="841" t="s">
        <v>512</v>
      </c>
      <c r="B521" s="1077">
        <v>41739</v>
      </c>
      <c r="C521" s="1077">
        <v>41891</v>
      </c>
      <c r="D521" s="1078">
        <v>4000000</v>
      </c>
      <c r="E521" s="1078">
        <v>4000000</v>
      </c>
      <c r="F521" s="1078">
        <v>0</v>
      </c>
    </row>
    <row r="522" spans="1:6" x14ac:dyDescent="0.25">
      <c r="A522" s="1081" t="s">
        <v>254</v>
      </c>
      <c r="B522" s="1079"/>
      <c r="C522" s="1079"/>
      <c r="D522" s="1080"/>
      <c r="E522" s="1080"/>
      <c r="F522" s="1080"/>
    </row>
    <row r="523" spans="1:6" x14ac:dyDescent="0.25">
      <c r="A523" s="841" t="s">
        <v>1033</v>
      </c>
      <c r="B523" s="1079"/>
      <c r="C523" s="1079"/>
      <c r="D523" s="1080"/>
      <c r="E523" s="1080"/>
      <c r="F523" s="1080"/>
    </row>
    <row r="524" spans="1:6" ht="60" x14ac:dyDescent="0.25">
      <c r="A524" s="841" t="s">
        <v>513</v>
      </c>
      <c r="B524" s="1079">
        <v>41701</v>
      </c>
      <c r="C524" s="1079">
        <v>42006</v>
      </c>
      <c r="D524" s="1080">
        <v>42800000</v>
      </c>
      <c r="E524" s="1080">
        <v>42800000</v>
      </c>
      <c r="F524" s="1080">
        <v>0</v>
      </c>
    </row>
    <row r="525" spans="1:6" x14ac:dyDescent="0.25">
      <c r="A525" s="1081" t="s">
        <v>267</v>
      </c>
      <c r="B525" s="1079"/>
      <c r="C525" s="1079"/>
      <c r="D525" s="1080"/>
      <c r="E525" s="1080"/>
      <c r="F525" s="1080"/>
    </row>
    <row r="526" spans="1:6" x14ac:dyDescent="0.25">
      <c r="A526" s="841" t="s">
        <v>1515</v>
      </c>
      <c r="B526" s="1077"/>
      <c r="C526" s="1077"/>
      <c r="D526" s="1078"/>
      <c r="E526" s="1078"/>
      <c r="F526" s="1078"/>
    </row>
    <row r="527" spans="1:6" ht="45" x14ac:dyDescent="0.25">
      <c r="A527" s="841" t="s">
        <v>514</v>
      </c>
      <c r="B527" s="1077">
        <v>41708</v>
      </c>
      <c r="C527" s="1077">
        <v>42013</v>
      </c>
      <c r="D527" s="1078">
        <v>38830000</v>
      </c>
      <c r="E527" s="1078">
        <v>38830000</v>
      </c>
      <c r="F527" s="1078">
        <v>0</v>
      </c>
    </row>
    <row r="528" spans="1:6" x14ac:dyDescent="0.25">
      <c r="A528" s="1081" t="s">
        <v>257</v>
      </c>
      <c r="B528" s="1079"/>
      <c r="C528" s="1079"/>
      <c r="D528" s="1080"/>
      <c r="E528" s="1080"/>
      <c r="F528" s="1080"/>
    </row>
    <row r="529" spans="1:6" x14ac:dyDescent="0.25">
      <c r="A529" s="841" t="s">
        <v>1035</v>
      </c>
      <c r="B529" s="1079"/>
      <c r="C529" s="1079"/>
      <c r="D529" s="1080"/>
      <c r="E529" s="1080"/>
      <c r="F529" s="1080"/>
    </row>
    <row r="530" spans="1:6" ht="75" x14ac:dyDescent="0.25">
      <c r="A530" s="841" t="s">
        <v>515</v>
      </c>
      <c r="B530" s="1079">
        <v>41675</v>
      </c>
      <c r="C530" s="1079">
        <v>42008</v>
      </c>
      <c r="D530" s="1080">
        <v>40997000</v>
      </c>
      <c r="E530" s="1080">
        <v>40997000</v>
      </c>
      <c r="F530" s="1080">
        <v>0</v>
      </c>
    </row>
    <row r="531" spans="1:6" x14ac:dyDescent="0.25">
      <c r="A531" s="1081" t="s">
        <v>245</v>
      </c>
      <c r="B531" s="1079"/>
      <c r="C531" s="1079"/>
      <c r="D531" s="1080"/>
      <c r="E531" s="1080"/>
      <c r="F531" s="1080"/>
    </row>
    <row r="532" spans="1:6" x14ac:dyDescent="0.25">
      <c r="A532" s="841" t="s">
        <v>226</v>
      </c>
      <c r="B532" s="1079"/>
      <c r="C532" s="1079"/>
      <c r="D532" s="1080"/>
      <c r="E532" s="1080"/>
      <c r="F532" s="1080"/>
    </row>
    <row r="533" spans="1:6" ht="60" x14ac:dyDescent="0.25">
      <c r="A533" s="841" t="s">
        <v>516</v>
      </c>
      <c r="B533" s="1079">
        <v>41675</v>
      </c>
      <c r="C533" s="1079">
        <v>42008</v>
      </c>
      <c r="D533" s="1080">
        <v>55000000</v>
      </c>
      <c r="E533" s="1080">
        <v>54333333</v>
      </c>
      <c r="F533" s="1080">
        <v>666667</v>
      </c>
    </row>
    <row r="534" spans="1:6" x14ac:dyDescent="0.25">
      <c r="A534" s="1081" t="s">
        <v>247</v>
      </c>
      <c r="B534" s="1079"/>
      <c r="C534" s="1079"/>
      <c r="D534" s="1080"/>
      <c r="E534" s="1080"/>
      <c r="F534" s="1080"/>
    </row>
    <row r="535" spans="1:6" ht="30" x14ac:dyDescent="0.25">
      <c r="A535" s="841" t="s">
        <v>1514</v>
      </c>
      <c r="B535" s="1077"/>
      <c r="C535" s="1077"/>
      <c r="D535" s="1078"/>
      <c r="E535" s="1078"/>
      <c r="F535" s="1078"/>
    </row>
    <row r="536" spans="1:6" ht="60" x14ac:dyDescent="0.25">
      <c r="A536" s="841" t="s">
        <v>516</v>
      </c>
      <c r="B536" s="1077">
        <v>41675</v>
      </c>
      <c r="C536" s="1077">
        <v>42008</v>
      </c>
      <c r="D536" s="1078">
        <v>55000000</v>
      </c>
      <c r="E536" s="1078">
        <v>54666666</v>
      </c>
      <c r="F536" s="1078">
        <v>333334</v>
      </c>
    </row>
    <row r="537" spans="1:6" x14ac:dyDescent="0.25">
      <c r="A537" s="1081" t="s">
        <v>249</v>
      </c>
      <c r="B537" s="1079"/>
      <c r="C537" s="1079"/>
      <c r="D537" s="1080"/>
      <c r="E537" s="1080"/>
      <c r="F537" s="1080"/>
    </row>
    <row r="538" spans="1:6" x14ac:dyDescent="0.25">
      <c r="A538" s="841" t="s">
        <v>1045</v>
      </c>
      <c r="B538" s="1079"/>
      <c r="C538" s="1079"/>
      <c r="D538" s="1080"/>
      <c r="E538" s="1080"/>
      <c r="F538" s="1080"/>
    </row>
    <row r="539" spans="1:6" ht="60" x14ac:dyDescent="0.25">
      <c r="A539" s="841" t="s">
        <v>2202</v>
      </c>
      <c r="B539" s="1077">
        <v>41675</v>
      </c>
      <c r="C539" s="1077">
        <v>42008</v>
      </c>
      <c r="D539" s="1078">
        <v>38500000</v>
      </c>
      <c r="E539" s="1078">
        <v>38500000</v>
      </c>
      <c r="F539" s="1078">
        <v>0</v>
      </c>
    </row>
    <row r="540" spans="1:6" x14ac:dyDescent="0.25">
      <c r="A540" s="1081" t="s">
        <v>246</v>
      </c>
      <c r="B540" s="1079"/>
      <c r="C540" s="1079"/>
      <c r="D540" s="1080"/>
      <c r="E540" s="1080"/>
      <c r="F540" s="1080"/>
    </row>
    <row r="541" spans="1:6" x14ac:dyDescent="0.25">
      <c r="A541" s="841" t="s">
        <v>228</v>
      </c>
      <c r="B541" s="1079"/>
      <c r="C541" s="1079"/>
      <c r="D541" s="1080"/>
      <c r="E541" s="1080"/>
      <c r="F541" s="1080"/>
    </row>
    <row r="542" spans="1:6" ht="45" x14ac:dyDescent="0.25">
      <c r="A542" s="841" t="s">
        <v>1619</v>
      </c>
      <c r="B542" s="1077">
        <v>41675</v>
      </c>
      <c r="C542" s="1077">
        <v>42008</v>
      </c>
      <c r="D542" s="1078">
        <v>55000000</v>
      </c>
      <c r="E542" s="1078">
        <v>55000000</v>
      </c>
      <c r="F542" s="1078">
        <v>0</v>
      </c>
    </row>
    <row r="543" spans="1:6" x14ac:dyDescent="0.25">
      <c r="A543" s="1081" t="s">
        <v>248</v>
      </c>
      <c r="B543" s="1079"/>
      <c r="C543" s="1079"/>
      <c r="D543" s="1080"/>
      <c r="E543" s="1080"/>
      <c r="F543" s="1080"/>
    </row>
    <row r="544" spans="1:6" x14ac:dyDescent="0.25">
      <c r="A544" s="841" t="s">
        <v>224</v>
      </c>
      <c r="B544" s="1079"/>
      <c r="C544" s="1079"/>
      <c r="D544" s="1080"/>
      <c r="E544" s="1080"/>
      <c r="F544" s="1080"/>
    </row>
    <row r="545" spans="1:6" ht="60" x14ac:dyDescent="0.25">
      <c r="A545" s="841" t="s">
        <v>516</v>
      </c>
      <c r="B545" s="1079">
        <v>41675</v>
      </c>
      <c r="C545" s="1079">
        <v>42008</v>
      </c>
      <c r="D545" s="1080">
        <v>55000000</v>
      </c>
      <c r="E545" s="1080">
        <v>55000000</v>
      </c>
      <c r="F545" s="1080">
        <v>0</v>
      </c>
    </row>
    <row r="546" spans="1:6" x14ac:dyDescent="0.25">
      <c r="A546" s="1081" t="s">
        <v>268</v>
      </c>
      <c r="B546" s="1079"/>
      <c r="C546" s="1079"/>
      <c r="D546" s="1080"/>
      <c r="E546" s="1080"/>
      <c r="F546" s="1080"/>
    </row>
    <row r="547" spans="1:6" x14ac:dyDescent="0.25">
      <c r="A547" s="841" t="s">
        <v>269</v>
      </c>
      <c r="B547" s="1079"/>
      <c r="C547" s="1079"/>
      <c r="D547" s="1080"/>
      <c r="E547" s="1080"/>
      <c r="F547" s="1080"/>
    </row>
    <row r="548" spans="1:6" ht="45" x14ac:dyDescent="0.25">
      <c r="A548" s="841" t="s">
        <v>369</v>
      </c>
      <c r="B548" s="1079">
        <v>41732</v>
      </c>
      <c r="C548" s="1079">
        <v>42096</v>
      </c>
      <c r="D548" s="1080">
        <v>16555000</v>
      </c>
      <c r="E548" s="1080">
        <v>15762669</v>
      </c>
      <c r="F548" s="1080">
        <v>792331</v>
      </c>
    </row>
    <row r="549" spans="1:6" x14ac:dyDescent="0.25">
      <c r="A549" s="1081" t="s">
        <v>253</v>
      </c>
      <c r="B549" s="1079"/>
      <c r="C549" s="1079"/>
      <c r="D549" s="1080"/>
      <c r="E549" s="1080"/>
      <c r="F549" s="1080"/>
    </row>
    <row r="550" spans="1:6" x14ac:dyDescent="0.25">
      <c r="A550" s="841" t="s">
        <v>140</v>
      </c>
      <c r="B550" s="1079"/>
      <c r="C550" s="1079"/>
      <c r="D550" s="1080"/>
      <c r="E550" s="1080"/>
      <c r="F550" s="1080"/>
    </row>
    <row r="551" spans="1:6" ht="45" x14ac:dyDescent="0.25">
      <c r="A551" s="841" t="s">
        <v>1132</v>
      </c>
      <c r="B551" s="1077">
        <v>41675</v>
      </c>
      <c r="C551" s="1077">
        <v>42008</v>
      </c>
      <c r="D551" s="1078">
        <v>39600000</v>
      </c>
      <c r="E551" s="1078">
        <v>24720000</v>
      </c>
      <c r="F551" s="1078">
        <v>14880000</v>
      </c>
    </row>
    <row r="552" spans="1:6" x14ac:dyDescent="0.25">
      <c r="A552" s="1081" t="s">
        <v>255</v>
      </c>
      <c r="B552" s="1079"/>
      <c r="C552" s="1079"/>
      <c r="D552" s="1080"/>
      <c r="E552" s="1080"/>
      <c r="F552" s="1080"/>
    </row>
    <row r="553" spans="1:6" x14ac:dyDescent="0.25">
      <c r="A553" s="841" t="s">
        <v>1032</v>
      </c>
      <c r="B553" s="1079"/>
      <c r="C553" s="1079"/>
      <c r="D553" s="1080"/>
      <c r="E553" s="1080"/>
      <c r="F553" s="1080"/>
    </row>
    <row r="554" spans="1:6" ht="75" x14ac:dyDescent="0.25">
      <c r="A554" s="841" t="s">
        <v>517</v>
      </c>
      <c r="B554" s="1079">
        <v>41694</v>
      </c>
      <c r="C554" s="1079">
        <v>41887</v>
      </c>
      <c r="D554" s="1080">
        <v>51500000</v>
      </c>
      <c r="E554" s="1080">
        <v>32788333</v>
      </c>
      <c r="F554" s="1080">
        <v>18711667</v>
      </c>
    </row>
    <row r="555" spans="1:6" x14ac:dyDescent="0.25">
      <c r="A555" s="1081" t="s">
        <v>250</v>
      </c>
      <c r="B555" s="1079"/>
      <c r="C555" s="1079"/>
      <c r="D555" s="1080"/>
      <c r="E555" s="1080"/>
      <c r="F555" s="1080"/>
    </row>
    <row r="556" spans="1:6" x14ac:dyDescent="0.25">
      <c r="A556" s="841" t="s">
        <v>251</v>
      </c>
      <c r="B556" s="1079"/>
      <c r="C556" s="1079"/>
      <c r="D556" s="1080"/>
      <c r="E556" s="1080"/>
      <c r="F556" s="1080"/>
    </row>
    <row r="557" spans="1:6" ht="45" x14ac:dyDescent="0.25">
      <c r="A557" s="841" t="s">
        <v>518</v>
      </c>
      <c r="B557" s="1079">
        <v>41675</v>
      </c>
      <c r="C557" s="1079">
        <v>42008</v>
      </c>
      <c r="D557" s="1080">
        <v>16500000</v>
      </c>
      <c r="E557" s="1080">
        <v>10300000</v>
      </c>
      <c r="F557" s="1080">
        <v>6200000</v>
      </c>
    </row>
    <row r="558" spans="1:6" x14ac:dyDescent="0.25">
      <c r="A558" s="1081" t="s">
        <v>256</v>
      </c>
      <c r="B558" s="1079"/>
      <c r="C558" s="1079"/>
      <c r="D558" s="1080"/>
      <c r="E558" s="1080"/>
      <c r="F558" s="1080"/>
    </row>
    <row r="559" spans="1:6" ht="30" x14ac:dyDescent="0.25">
      <c r="A559" s="841" t="s">
        <v>1394</v>
      </c>
      <c r="B559" s="1077"/>
      <c r="C559" s="1077"/>
      <c r="D559" s="1078"/>
      <c r="E559" s="1078"/>
      <c r="F559" s="1078"/>
    </row>
    <row r="560" spans="1:6" ht="75" x14ac:dyDescent="0.25">
      <c r="A560" s="841" t="s">
        <v>519</v>
      </c>
      <c r="B560" s="1077">
        <v>41677</v>
      </c>
      <c r="C560" s="1077">
        <v>42006</v>
      </c>
      <c r="D560" s="1078">
        <v>61800000</v>
      </c>
      <c r="E560" s="1078">
        <v>54933333</v>
      </c>
      <c r="F560" s="1078">
        <v>6866667</v>
      </c>
    </row>
    <row r="561" spans="1:6" x14ac:dyDescent="0.25">
      <c r="A561" s="841" t="s">
        <v>264</v>
      </c>
      <c r="B561" s="1077"/>
      <c r="C561" s="1077"/>
      <c r="D561" s="1078"/>
      <c r="E561" s="1078"/>
      <c r="F561" s="1078"/>
    </row>
    <row r="562" spans="1:6" x14ac:dyDescent="0.25">
      <c r="A562" s="841" t="s">
        <v>186</v>
      </c>
      <c r="B562" s="1077"/>
      <c r="C562" s="1077"/>
      <c r="D562" s="1078"/>
      <c r="E562" s="1078"/>
      <c r="F562" s="1078"/>
    </row>
    <row r="563" spans="1:6" ht="60" x14ac:dyDescent="0.25">
      <c r="A563" s="841" t="s">
        <v>520</v>
      </c>
      <c r="B563" s="1077">
        <v>41704</v>
      </c>
      <c r="C563" s="1077">
        <v>41748</v>
      </c>
      <c r="D563" s="1078">
        <v>340808000</v>
      </c>
      <c r="E563" s="1078">
        <v>340808000</v>
      </c>
      <c r="F563" s="1078">
        <v>0</v>
      </c>
    </row>
    <row r="564" spans="1:6" x14ac:dyDescent="0.25">
      <c r="A564" s="841" t="s">
        <v>262</v>
      </c>
      <c r="B564" s="1077"/>
      <c r="C564" s="1077"/>
      <c r="D564" s="1078"/>
      <c r="E564" s="1078"/>
      <c r="F564" s="1078"/>
    </row>
    <row r="565" spans="1:6" x14ac:dyDescent="0.25">
      <c r="A565" s="841" t="s">
        <v>263</v>
      </c>
      <c r="B565" s="1077"/>
      <c r="C565" s="1077"/>
      <c r="D565" s="1078"/>
      <c r="E565" s="1078"/>
      <c r="F565" s="1078"/>
    </row>
    <row r="566" spans="1:6" ht="60" x14ac:dyDescent="0.25">
      <c r="A566" s="841" t="s">
        <v>521</v>
      </c>
      <c r="B566" s="1077">
        <v>41704</v>
      </c>
      <c r="C566" s="1077">
        <v>41748</v>
      </c>
      <c r="D566" s="1078">
        <v>28900000</v>
      </c>
      <c r="E566" s="1078">
        <v>28900000</v>
      </c>
      <c r="F566" s="1078">
        <v>0</v>
      </c>
    </row>
    <row r="567" spans="1:6" x14ac:dyDescent="0.25">
      <c r="A567" s="841" t="s">
        <v>260</v>
      </c>
      <c r="B567" s="1077"/>
      <c r="C567" s="1077"/>
      <c r="D567" s="1078"/>
      <c r="E567" s="1078"/>
      <c r="F567" s="1078"/>
    </row>
    <row r="568" spans="1:6" x14ac:dyDescent="0.25">
      <c r="A568" s="841" t="s">
        <v>261</v>
      </c>
      <c r="B568" s="1077"/>
      <c r="C568" s="1077"/>
      <c r="D568" s="1078"/>
      <c r="E568" s="1078"/>
      <c r="F568" s="1078"/>
    </row>
    <row r="569" spans="1:6" ht="30" x14ac:dyDescent="0.25">
      <c r="A569" s="841" t="s">
        <v>522</v>
      </c>
      <c r="B569" s="1077">
        <v>41708</v>
      </c>
      <c r="C569" s="1077">
        <v>41738</v>
      </c>
      <c r="D569" s="1078">
        <v>325128875</v>
      </c>
      <c r="E569" s="1078">
        <v>325028452</v>
      </c>
      <c r="F569" s="1078">
        <v>100423</v>
      </c>
    </row>
    <row r="570" spans="1:6" x14ac:dyDescent="0.25">
      <c r="A570" s="1081" t="s">
        <v>273</v>
      </c>
      <c r="B570" s="1079"/>
      <c r="C570" s="1079"/>
      <c r="D570" s="1080"/>
      <c r="E570" s="1080"/>
      <c r="F570" s="1080"/>
    </row>
    <row r="571" spans="1:6" x14ac:dyDescent="0.25">
      <c r="A571" s="841" t="s">
        <v>126</v>
      </c>
      <c r="B571" s="1079"/>
      <c r="C571" s="1079"/>
      <c r="D571" s="1080"/>
      <c r="E571" s="1080"/>
      <c r="F571" s="1080"/>
    </row>
    <row r="572" spans="1:6" ht="60" x14ac:dyDescent="0.25">
      <c r="A572" s="841" t="s">
        <v>523</v>
      </c>
      <c r="B572" s="1079">
        <v>41738</v>
      </c>
      <c r="C572" s="1079">
        <v>42012</v>
      </c>
      <c r="D572" s="1080">
        <v>11000000</v>
      </c>
      <c r="E572" s="1080">
        <v>2672466</v>
      </c>
      <c r="F572" s="1080">
        <v>8327534</v>
      </c>
    </row>
    <row r="573" spans="1:6" x14ac:dyDescent="0.25">
      <c r="A573" s="1081" t="s">
        <v>288</v>
      </c>
      <c r="B573" s="1079"/>
      <c r="C573" s="1079"/>
      <c r="D573" s="1080"/>
      <c r="E573" s="1080"/>
      <c r="F573" s="1080"/>
    </row>
    <row r="574" spans="1:6" x14ac:dyDescent="0.25">
      <c r="A574" s="841" t="s">
        <v>12</v>
      </c>
      <c r="B574" s="1079"/>
      <c r="C574" s="1079"/>
      <c r="D574" s="1080"/>
      <c r="E574" s="1080"/>
      <c r="F574" s="1080"/>
    </row>
    <row r="575" spans="1:6" ht="45" x14ac:dyDescent="0.25">
      <c r="A575" s="841" t="s">
        <v>524</v>
      </c>
      <c r="B575" s="1079">
        <v>41738</v>
      </c>
      <c r="C575" s="1079">
        <v>42102</v>
      </c>
      <c r="D575" s="1080">
        <v>1607400</v>
      </c>
      <c r="E575" s="1080">
        <v>0</v>
      </c>
      <c r="F575" s="1080">
        <v>1607400</v>
      </c>
    </row>
    <row r="576" spans="1:6" x14ac:dyDescent="0.25">
      <c r="A576" s="1081" t="s">
        <v>266</v>
      </c>
      <c r="B576" s="1079"/>
      <c r="C576" s="1079"/>
      <c r="D576" s="1080"/>
      <c r="E576" s="1080"/>
      <c r="F576" s="1080"/>
    </row>
    <row r="577" spans="1:6" x14ac:dyDescent="0.25">
      <c r="A577" s="841" t="s">
        <v>1030</v>
      </c>
      <c r="B577" s="1079"/>
      <c r="C577" s="1079"/>
      <c r="D577" s="1080"/>
      <c r="E577" s="1080"/>
      <c r="F577" s="1080"/>
    </row>
    <row r="578" spans="1:6" ht="75" x14ac:dyDescent="0.25">
      <c r="A578" s="841" t="s">
        <v>368</v>
      </c>
      <c r="B578" s="1079">
        <v>41725</v>
      </c>
      <c r="C578" s="1079">
        <v>41969</v>
      </c>
      <c r="D578" s="1080">
        <v>4982000</v>
      </c>
      <c r="E578" s="1080">
        <v>2832000</v>
      </c>
      <c r="F578" s="1080">
        <v>2150000</v>
      </c>
    </row>
    <row r="579" spans="1:6" x14ac:dyDescent="0.25">
      <c r="A579" s="1081" t="s">
        <v>271</v>
      </c>
      <c r="B579" s="1079"/>
      <c r="C579" s="1079"/>
      <c r="D579" s="1080"/>
      <c r="E579" s="1080"/>
      <c r="F579" s="1080"/>
    </row>
    <row r="580" spans="1:6" x14ac:dyDescent="0.25">
      <c r="A580" s="841" t="s">
        <v>272</v>
      </c>
      <c r="B580" s="1079"/>
      <c r="C580" s="1079"/>
      <c r="D580" s="1080"/>
      <c r="E580" s="1080"/>
      <c r="F580" s="1080"/>
    </row>
    <row r="581" spans="1:6" ht="60" x14ac:dyDescent="0.25">
      <c r="A581" s="841" t="s">
        <v>525</v>
      </c>
      <c r="B581" s="1079">
        <v>41738</v>
      </c>
      <c r="C581" s="1079">
        <v>41951</v>
      </c>
      <c r="D581" s="1080">
        <v>28000000</v>
      </c>
      <c r="E581" s="1080">
        <v>10978240</v>
      </c>
      <c r="F581" s="1080">
        <v>17021760</v>
      </c>
    </row>
    <row r="582" spans="1:6" x14ac:dyDescent="0.25">
      <c r="A582" s="1081" t="s">
        <v>400</v>
      </c>
      <c r="B582" s="1079"/>
      <c r="C582" s="1079"/>
      <c r="D582" s="1080"/>
      <c r="E582" s="1080"/>
      <c r="F582" s="1080"/>
    </row>
    <row r="583" spans="1:6" x14ac:dyDescent="0.25">
      <c r="A583" s="841" t="s">
        <v>198</v>
      </c>
      <c r="B583" s="1079"/>
      <c r="C583" s="1079"/>
      <c r="D583" s="1080"/>
      <c r="E583" s="1080"/>
      <c r="F583" s="1080"/>
    </row>
    <row r="584" spans="1:6" ht="60" x14ac:dyDescent="0.25">
      <c r="A584" s="841" t="s">
        <v>1143</v>
      </c>
      <c r="B584" s="1077">
        <v>41793</v>
      </c>
      <c r="C584" s="1077">
        <v>42096</v>
      </c>
      <c r="D584" s="1078">
        <v>10564000</v>
      </c>
      <c r="E584" s="1078">
        <v>10055157</v>
      </c>
      <c r="F584" s="1078">
        <v>508843</v>
      </c>
    </row>
    <row r="585" spans="1:6" x14ac:dyDescent="0.25">
      <c r="A585" s="1081" t="s">
        <v>274</v>
      </c>
      <c r="B585" s="1079"/>
      <c r="C585" s="1079"/>
      <c r="D585" s="1080"/>
      <c r="E585" s="1080"/>
      <c r="F585" s="1080"/>
    </row>
    <row r="586" spans="1:6" x14ac:dyDescent="0.25">
      <c r="A586" s="841" t="s">
        <v>275</v>
      </c>
      <c r="B586" s="1079"/>
      <c r="C586" s="1079"/>
      <c r="D586" s="1080"/>
      <c r="E586" s="1080"/>
      <c r="F586" s="1080"/>
    </row>
    <row r="587" spans="1:6" ht="60" x14ac:dyDescent="0.25">
      <c r="A587" s="841" t="s">
        <v>1449</v>
      </c>
      <c r="B587" s="1077">
        <v>41752</v>
      </c>
      <c r="C587" s="1077">
        <v>42116</v>
      </c>
      <c r="D587" s="1078">
        <v>2122000</v>
      </c>
      <c r="E587" s="1078">
        <v>2122000</v>
      </c>
      <c r="F587" s="1078">
        <v>0</v>
      </c>
    </row>
    <row r="588" spans="1:6" x14ac:dyDescent="0.25">
      <c r="A588" s="1081" t="s">
        <v>279</v>
      </c>
      <c r="B588" s="1079"/>
      <c r="C588" s="1079"/>
      <c r="D588" s="1080"/>
      <c r="E588" s="1080"/>
      <c r="F588" s="1080"/>
    </row>
    <row r="589" spans="1:6" x14ac:dyDescent="0.25">
      <c r="A589" s="841" t="s">
        <v>53</v>
      </c>
      <c r="B589" s="1079"/>
      <c r="C589" s="1079"/>
      <c r="D589" s="1080"/>
      <c r="E589" s="1080"/>
      <c r="F589" s="1080"/>
    </row>
    <row r="590" spans="1:6" ht="60" x14ac:dyDescent="0.25">
      <c r="A590" s="841" t="s">
        <v>1768</v>
      </c>
      <c r="B590" s="1077">
        <v>41757</v>
      </c>
      <c r="C590" s="1077">
        <v>42091</v>
      </c>
      <c r="D590" s="1078">
        <v>31218000</v>
      </c>
      <c r="E590" s="1078">
        <v>29571427</v>
      </c>
      <c r="F590" s="1078">
        <v>1646573</v>
      </c>
    </row>
    <row r="591" spans="1:6" x14ac:dyDescent="0.25">
      <c r="A591" s="841" t="s">
        <v>282</v>
      </c>
      <c r="B591" s="1077"/>
      <c r="C591" s="1077"/>
      <c r="D591" s="1078"/>
      <c r="E591" s="1078"/>
      <c r="F591" s="1078"/>
    </row>
    <row r="592" spans="1:6" x14ac:dyDescent="0.25">
      <c r="A592" s="841" t="s">
        <v>418</v>
      </c>
      <c r="B592" s="1077"/>
      <c r="C592" s="1077"/>
      <c r="D592" s="1078"/>
      <c r="E592" s="1078"/>
      <c r="F592" s="1078"/>
    </row>
    <row r="593" spans="1:6" ht="60" x14ac:dyDescent="0.25">
      <c r="A593" s="841" t="s">
        <v>526</v>
      </c>
      <c r="B593" s="1077">
        <v>41764</v>
      </c>
      <c r="C593" s="1077">
        <v>41901</v>
      </c>
      <c r="D593" s="1078">
        <v>18217800</v>
      </c>
      <c r="E593" s="1078">
        <v>18217800</v>
      </c>
      <c r="F593" s="1078">
        <v>0</v>
      </c>
    </row>
    <row r="594" spans="1:6" x14ac:dyDescent="0.25">
      <c r="A594" s="841" t="s">
        <v>280</v>
      </c>
      <c r="B594" s="1077"/>
      <c r="C594" s="1077"/>
      <c r="D594" s="1078"/>
      <c r="E594" s="1078"/>
      <c r="F594" s="1078"/>
    </row>
    <row r="595" spans="1:6" x14ac:dyDescent="0.25">
      <c r="A595" s="841" t="s">
        <v>281</v>
      </c>
      <c r="B595" s="1077"/>
      <c r="C595" s="1077"/>
      <c r="D595" s="1078"/>
      <c r="E595" s="1078"/>
      <c r="F595" s="1078"/>
    </row>
    <row r="596" spans="1:6" ht="45" x14ac:dyDescent="0.25">
      <c r="A596" s="841" t="s">
        <v>527</v>
      </c>
      <c r="B596" s="1077">
        <v>41757</v>
      </c>
      <c r="C596" s="1077">
        <v>41817</v>
      </c>
      <c r="D596" s="1078">
        <v>1700007</v>
      </c>
      <c r="E596" s="1078">
        <v>1700000</v>
      </c>
      <c r="F596" s="1078">
        <v>7</v>
      </c>
    </row>
    <row r="597" spans="1:6" x14ac:dyDescent="0.25">
      <c r="A597" s="1081" t="s">
        <v>276</v>
      </c>
      <c r="B597" s="1079"/>
      <c r="C597" s="1079"/>
      <c r="D597" s="1080"/>
      <c r="E597" s="1080"/>
      <c r="F597" s="1080"/>
    </row>
    <row r="598" spans="1:6" x14ac:dyDescent="0.25">
      <c r="A598" s="841" t="s">
        <v>277</v>
      </c>
      <c r="B598" s="1079"/>
      <c r="C598" s="1079"/>
      <c r="D598" s="1080"/>
      <c r="E598" s="1080"/>
      <c r="F598" s="1080"/>
    </row>
    <row r="599" spans="1:6" ht="45" x14ac:dyDescent="0.25">
      <c r="A599" s="841" t="s">
        <v>370</v>
      </c>
      <c r="B599" s="1079">
        <v>41753</v>
      </c>
      <c r="C599" s="1079">
        <v>42117</v>
      </c>
      <c r="D599" s="1080">
        <v>32631000</v>
      </c>
      <c r="E599" s="1080">
        <v>32594631</v>
      </c>
      <c r="F599" s="1080">
        <v>36369</v>
      </c>
    </row>
    <row r="600" spans="1:6" x14ac:dyDescent="0.25">
      <c r="A600" s="1081" t="s">
        <v>283</v>
      </c>
      <c r="B600" s="1079"/>
      <c r="C600" s="1079"/>
      <c r="D600" s="1080"/>
      <c r="E600" s="1080"/>
      <c r="F600" s="1080"/>
    </row>
    <row r="601" spans="1:6" x14ac:dyDescent="0.25">
      <c r="A601" s="841" t="s">
        <v>284</v>
      </c>
      <c r="B601" s="1079"/>
      <c r="C601" s="1079"/>
      <c r="D601" s="1080"/>
      <c r="E601" s="1080"/>
      <c r="F601" s="1080"/>
    </row>
    <row r="602" spans="1:6" ht="60" x14ac:dyDescent="0.25">
      <c r="A602" s="841" t="s">
        <v>528</v>
      </c>
      <c r="B602" s="1079">
        <v>41807</v>
      </c>
      <c r="C602" s="1079">
        <v>42128</v>
      </c>
      <c r="D602" s="1080">
        <v>45100746</v>
      </c>
      <c r="E602" s="1080">
        <v>45045000</v>
      </c>
      <c r="F602" s="1080">
        <v>55746</v>
      </c>
    </row>
    <row r="603" spans="1:6" x14ac:dyDescent="0.25">
      <c r="A603" s="841" t="s">
        <v>289</v>
      </c>
      <c r="B603" s="1077"/>
      <c r="C603" s="1077"/>
      <c r="D603" s="1078"/>
      <c r="E603" s="1078"/>
      <c r="F603" s="1078"/>
    </row>
    <row r="604" spans="1:6" x14ac:dyDescent="0.25">
      <c r="A604" s="841" t="s">
        <v>290</v>
      </c>
      <c r="B604" s="1077"/>
      <c r="C604" s="1077"/>
      <c r="D604" s="1078"/>
      <c r="E604" s="1078"/>
      <c r="F604" s="1078"/>
    </row>
    <row r="605" spans="1:6" ht="45" x14ac:dyDescent="0.25">
      <c r="A605" s="841" t="s">
        <v>529</v>
      </c>
      <c r="B605" s="1077">
        <v>41794</v>
      </c>
      <c r="C605" s="1077">
        <v>41855</v>
      </c>
      <c r="D605" s="1078">
        <v>9998117</v>
      </c>
      <c r="E605" s="1078">
        <v>9998097</v>
      </c>
      <c r="F605" s="1078">
        <v>20</v>
      </c>
    </row>
    <row r="606" spans="1:6" x14ac:dyDescent="0.25">
      <c r="A606" s="1081" t="s">
        <v>300</v>
      </c>
      <c r="B606" s="1079"/>
      <c r="C606" s="1079"/>
      <c r="D606" s="1080"/>
      <c r="E606" s="1080"/>
      <c r="F606" s="1080"/>
    </row>
    <row r="607" spans="1:6" x14ac:dyDescent="0.25">
      <c r="A607" s="841" t="s">
        <v>1568</v>
      </c>
      <c r="B607" s="1077"/>
      <c r="C607" s="1077"/>
      <c r="D607" s="1078"/>
      <c r="E607" s="1078"/>
      <c r="F607" s="1078"/>
    </row>
    <row r="608" spans="1:6" ht="45" x14ac:dyDescent="0.25">
      <c r="A608" s="841" t="s">
        <v>530</v>
      </c>
      <c r="B608" s="1077">
        <v>41824</v>
      </c>
      <c r="C608" s="1077">
        <v>42312</v>
      </c>
      <c r="D608" s="1078">
        <v>12000000</v>
      </c>
      <c r="E608" s="1078">
        <v>10800000</v>
      </c>
      <c r="F608" s="1078">
        <v>1200000</v>
      </c>
    </row>
    <row r="609" spans="1:6" x14ac:dyDescent="0.25">
      <c r="A609" s="1081" t="s">
        <v>401</v>
      </c>
      <c r="B609" s="1079"/>
      <c r="C609" s="1079"/>
      <c r="D609" s="1080"/>
      <c r="E609" s="1080"/>
      <c r="F609" s="1080"/>
    </row>
    <row r="610" spans="1:6" x14ac:dyDescent="0.25">
      <c r="A610" s="841" t="s">
        <v>547</v>
      </c>
      <c r="B610" s="1079"/>
      <c r="C610" s="1079"/>
      <c r="D610" s="1080"/>
      <c r="E610" s="1080"/>
      <c r="F610" s="1080"/>
    </row>
    <row r="611" spans="1:6" ht="75" x14ac:dyDescent="0.25">
      <c r="A611" s="841" t="s">
        <v>1051</v>
      </c>
      <c r="B611" s="1079">
        <v>41837</v>
      </c>
      <c r="C611" s="1079">
        <v>42216</v>
      </c>
      <c r="D611" s="1080">
        <v>249991314</v>
      </c>
      <c r="E611" s="1080">
        <v>248275406</v>
      </c>
      <c r="F611" s="1080">
        <v>1715908</v>
      </c>
    </row>
    <row r="612" spans="1:6" x14ac:dyDescent="0.25">
      <c r="A612" s="841" t="s">
        <v>296</v>
      </c>
      <c r="B612" s="1077"/>
      <c r="C612" s="1077"/>
      <c r="D612" s="1078"/>
      <c r="E612" s="1078"/>
      <c r="F612" s="1078"/>
    </row>
    <row r="613" spans="1:6" x14ac:dyDescent="0.25">
      <c r="A613" s="841" t="s">
        <v>1039</v>
      </c>
      <c r="B613" s="1077"/>
      <c r="C613" s="1077"/>
      <c r="D613" s="1078"/>
      <c r="E613" s="1078"/>
      <c r="F613" s="1078"/>
    </row>
    <row r="614" spans="1:6" ht="45" x14ac:dyDescent="0.25">
      <c r="A614" s="841" t="s">
        <v>531</v>
      </c>
      <c r="B614" s="1077">
        <v>41807</v>
      </c>
      <c r="C614" s="1077">
        <v>41867</v>
      </c>
      <c r="D614" s="1078">
        <v>5719790</v>
      </c>
      <c r="E614" s="1078">
        <v>5719790</v>
      </c>
      <c r="F614" s="1078">
        <v>0</v>
      </c>
    </row>
    <row r="615" spans="1:6" x14ac:dyDescent="0.25">
      <c r="A615" s="1081" t="s">
        <v>287</v>
      </c>
      <c r="B615" s="1079"/>
      <c r="C615" s="1079"/>
      <c r="D615" s="1080"/>
      <c r="E615" s="1080"/>
      <c r="F615" s="1080"/>
    </row>
    <row r="616" spans="1:6" x14ac:dyDescent="0.25">
      <c r="A616" s="841" t="s">
        <v>1018</v>
      </c>
      <c r="B616" s="1077"/>
      <c r="C616" s="1077"/>
      <c r="D616" s="1078"/>
      <c r="E616" s="1078"/>
      <c r="F616" s="1078"/>
    </row>
    <row r="617" spans="1:6" ht="60" x14ac:dyDescent="0.25">
      <c r="A617" s="841" t="s">
        <v>532</v>
      </c>
      <c r="B617" s="1077">
        <v>41811</v>
      </c>
      <c r="C617" s="1077">
        <v>42186</v>
      </c>
      <c r="D617" s="1078">
        <v>337487000</v>
      </c>
      <c r="E617" s="1078">
        <v>337486998</v>
      </c>
      <c r="F617" s="1078">
        <v>2</v>
      </c>
    </row>
    <row r="618" spans="1:6" x14ac:dyDescent="0.25">
      <c r="A618" s="1081" t="s">
        <v>291</v>
      </c>
      <c r="B618" s="1079"/>
      <c r="C618" s="1079"/>
      <c r="D618" s="1080"/>
      <c r="E618" s="1080"/>
      <c r="F618" s="1080"/>
    </row>
    <row r="619" spans="1:6" x14ac:dyDescent="0.25">
      <c r="A619" s="841" t="s">
        <v>1048</v>
      </c>
      <c r="B619" s="1079"/>
      <c r="C619" s="1079"/>
      <c r="D619" s="1080"/>
      <c r="E619" s="1080"/>
      <c r="F619" s="1080"/>
    </row>
    <row r="620" spans="1:6" ht="60" x14ac:dyDescent="0.25">
      <c r="A620" s="841" t="s">
        <v>533</v>
      </c>
      <c r="B620" s="1079">
        <v>41808</v>
      </c>
      <c r="C620" s="1079">
        <v>42116</v>
      </c>
      <c r="D620" s="1080">
        <v>3463454100</v>
      </c>
      <c r="E620" s="1080">
        <v>3320263630</v>
      </c>
      <c r="F620" s="1080">
        <v>143190470</v>
      </c>
    </row>
    <row r="621" spans="1:6" x14ac:dyDescent="0.25">
      <c r="A621" s="841" t="s">
        <v>305</v>
      </c>
      <c r="B621" s="1077"/>
      <c r="C621" s="1077"/>
      <c r="D621" s="1078"/>
      <c r="E621" s="1078"/>
      <c r="F621" s="1078"/>
    </row>
    <row r="622" spans="1:6" x14ac:dyDescent="0.25">
      <c r="A622" s="841" t="s">
        <v>306</v>
      </c>
      <c r="B622" s="1077"/>
      <c r="C622" s="1077"/>
      <c r="D622" s="1078"/>
      <c r="E622" s="1078"/>
      <c r="F622" s="1078"/>
    </row>
    <row r="623" spans="1:6" ht="30" x14ac:dyDescent="0.25">
      <c r="A623" s="841" t="s">
        <v>534</v>
      </c>
      <c r="B623" s="1077">
        <v>41841</v>
      </c>
      <c r="C623" s="1077">
        <v>41872</v>
      </c>
      <c r="D623" s="1078">
        <v>330000</v>
      </c>
      <c r="E623" s="1078">
        <v>330000</v>
      </c>
      <c r="F623" s="1078">
        <v>0</v>
      </c>
    </row>
    <row r="624" spans="1:6" x14ac:dyDescent="0.25">
      <c r="A624" s="1081" t="s">
        <v>285</v>
      </c>
      <c r="B624" s="1079"/>
      <c r="C624" s="1079"/>
      <c r="D624" s="1080"/>
      <c r="E624" s="1080"/>
      <c r="F624" s="1080"/>
    </row>
    <row r="625" spans="1:6" x14ac:dyDescent="0.25">
      <c r="A625" s="841" t="s">
        <v>3</v>
      </c>
      <c r="B625" s="1077"/>
      <c r="C625" s="1077"/>
      <c r="D625" s="1078"/>
      <c r="E625" s="1078"/>
      <c r="F625" s="1078"/>
    </row>
    <row r="626" spans="1:6" x14ac:dyDescent="0.25">
      <c r="A626" s="841" t="s">
        <v>402</v>
      </c>
      <c r="B626" s="1077">
        <v>41806</v>
      </c>
      <c r="C626" s="1077">
        <v>41959</v>
      </c>
      <c r="D626" s="1078">
        <v>251750000</v>
      </c>
      <c r="E626" s="1078">
        <v>180186681</v>
      </c>
      <c r="F626" s="1078">
        <v>71563319</v>
      </c>
    </row>
    <row r="627" spans="1:6" x14ac:dyDescent="0.25">
      <c r="A627" s="841" t="s">
        <v>299</v>
      </c>
      <c r="B627" s="1077"/>
      <c r="C627" s="1077"/>
      <c r="D627" s="1078"/>
      <c r="E627" s="1078"/>
      <c r="F627" s="1078"/>
    </row>
    <row r="628" spans="1:6" x14ac:dyDescent="0.25">
      <c r="A628" s="841" t="s">
        <v>1049</v>
      </c>
      <c r="B628" s="1077"/>
      <c r="C628" s="1077"/>
      <c r="D628" s="1078"/>
      <c r="E628" s="1078"/>
      <c r="F628" s="1078"/>
    </row>
    <row r="629" spans="1:6" ht="30" x14ac:dyDescent="0.25">
      <c r="A629" s="841" t="s">
        <v>535</v>
      </c>
      <c r="B629" s="1077">
        <v>41838</v>
      </c>
      <c r="C629" s="1077">
        <v>41852</v>
      </c>
      <c r="D629" s="1078">
        <v>2962640</v>
      </c>
      <c r="E629" s="1078">
        <v>2962640</v>
      </c>
      <c r="F629" s="1078">
        <v>0</v>
      </c>
    </row>
    <row r="630" spans="1:6" x14ac:dyDescent="0.25">
      <c r="A630" s="1081" t="s">
        <v>294</v>
      </c>
      <c r="B630" s="1079"/>
      <c r="C630" s="1079"/>
      <c r="D630" s="1080"/>
      <c r="E630" s="1080"/>
      <c r="F630" s="1080"/>
    </row>
    <row r="631" spans="1:6" x14ac:dyDescent="0.25">
      <c r="A631" s="841" t="s">
        <v>295</v>
      </c>
      <c r="B631" s="1079"/>
      <c r="C631" s="1079"/>
      <c r="D631" s="1080"/>
      <c r="E631" s="1080"/>
      <c r="F631" s="1080"/>
    </row>
    <row r="632" spans="1:6" ht="30" x14ac:dyDescent="0.25">
      <c r="A632" s="841" t="s">
        <v>536</v>
      </c>
      <c r="B632" s="1079">
        <v>41821</v>
      </c>
      <c r="C632" s="1079">
        <v>42186</v>
      </c>
      <c r="D632" s="1080">
        <v>36581760</v>
      </c>
      <c r="E632" s="1080">
        <v>34363318</v>
      </c>
      <c r="F632" s="1080">
        <v>2218442</v>
      </c>
    </row>
    <row r="633" spans="1:6" x14ac:dyDescent="0.25">
      <c r="A633" s="1081" t="s">
        <v>292</v>
      </c>
      <c r="B633" s="1079"/>
      <c r="C633" s="1079"/>
      <c r="D633" s="1080"/>
      <c r="E633" s="1080"/>
      <c r="F633" s="1080"/>
    </row>
    <row r="634" spans="1:6" x14ac:dyDescent="0.25">
      <c r="A634" s="841" t="s">
        <v>293</v>
      </c>
      <c r="B634" s="1079"/>
      <c r="C634" s="1079"/>
      <c r="D634" s="1080"/>
      <c r="E634" s="1080"/>
      <c r="F634" s="1080"/>
    </row>
    <row r="635" spans="1:6" ht="75" x14ac:dyDescent="0.25">
      <c r="A635" s="841" t="s">
        <v>537</v>
      </c>
      <c r="B635" s="1079">
        <v>41799</v>
      </c>
      <c r="C635" s="1079">
        <v>42247</v>
      </c>
      <c r="D635" s="1080">
        <v>18714400</v>
      </c>
      <c r="E635" s="1080">
        <v>18714400</v>
      </c>
      <c r="F635" s="1080">
        <v>0</v>
      </c>
    </row>
    <row r="636" spans="1:6" x14ac:dyDescent="0.25">
      <c r="A636" s="1081" t="s">
        <v>298</v>
      </c>
      <c r="B636" s="1079"/>
      <c r="C636" s="1079"/>
      <c r="D636" s="1080"/>
      <c r="E636" s="1080"/>
      <c r="F636" s="1080"/>
    </row>
    <row r="637" spans="1:6" x14ac:dyDescent="0.25">
      <c r="A637" s="841" t="s">
        <v>90</v>
      </c>
      <c r="B637" s="1079"/>
      <c r="C637" s="1079"/>
      <c r="D637" s="1080"/>
      <c r="E637" s="1080"/>
      <c r="F637" s="1080"/>
    </row>
    <row r="638" spans="1:6" ht="60" x14ac:dyDescent="0.25">
      <c r="A638" s="841" t="s">
        <v>538</v>
      </c>
      <c r="B638" s="1079">
        <v>41838</v>
      </c>
      <c r="C638" s="1079">
        <v>42203</v>
      </c>
      <c r="D638" s="1080">
        <v>683000</v>
      </c>
      <c r="E638" s="1080">
        <v>683000</v>
      </c>
      <c r="F638" s="1080">
        <v>0</v>
      </c>
    </row>
    <row r="639" spans="1:6" x14ac:dyDescent="0.25">
      <c r="A639" s="1081" t="s">
        <v>302</v>
      </c>
      <c r="B639" s="1079"/>
      <c r="C639" s="1079"/>
      <c r="D639" s="1080"/>
      <c r="E639" s="1080"/>
      <c r="F639" s="1080"/>
    </row>
    <row r="640" spans="1:6" x14ac:dyDescent="0.25">
      <c r="A640" s="841" t="s">
        <v>303</v>
      </c>
      <c r="B640" s="1079"/>
      <c r="C640" s="1079"/>
      <c r="D640" s="1080"/>
      <c r="E640" s="1080"/>
      <c r="F640" s="1080"/>
    </row>
    <row r="641" spans="1:6" ht="75" x14ac:dyDescent="0.25">
      <c r="A641" s="841" t="s">
        <v>539</v>
      </c>
      <c r="B641" s="1079">
        <v>41835</v>
      </c>
      <c r="C641" s="1079">
        <v>42050</v>
      </c>
      <c r="D641" s="1080">
        <v>4672000</v>
      </c>
      <c r="E641" s="1080">
        <v>1806200</v>
      </c>
      <c r="F641" s="1080">
        <v>2865800</v>
      </c>
    </row>
    <row r="642" spans="1:6" x14ac:dyDescent="0.25">
      <c r="A642" s="1081" t="s">
        <v>297</v>
      </c>
      <c r="B642" s="1079"/>
      <c r="C642" s="1079"/>
      <c r="D642" s="1080"/>
      <c r="E642" s="1080"/>
      <c r="F642" s="1080"/>
    </row>
    <row r="643" spans="1:6" x14ac:dyDescent="0.25">
      <c r="A643" s="1081" t="s">
        <v>999</v>
      </c>
      <c r="B643" s="1079"/>
      <c r="C643" s="1079"/>
      <c r="D643" s="1080"/>
      <c r="E643" s="1080"/>
      <c r="F643" s="1080"/>
    </row>
    <row r="644" spans="1:6" ht="45.75" x14ac:dyDescent="0.25">
      <c r="A644" s="1081" t="s">
        <v>540</v>
      </c>
      <c r="B644" s="1079">
        <v>41835</v>
      </c>
      <c r="C644" s="1079">
        <v>42139</v>
      </c>
      <c r="D644" s="1080">
        <v>97800000</v>
      </c>
      <c r="E644" s="1080">
        <v>97794518</v>
      </c>
      <c r="F644" s="1080">
        <v>5482</v>
      </c>
    </row>
    <row r="645" spans="1:6" x14ac:dyDescent="0.25">
      <c r="A645" s="1081" t="s">
        <v>304</v>
      </c>
      <c r="B645" s="1079"/>
      <c r="C645" s="1079"/>
      <c r="D645" s="1080"/>
      <c r="E645" s="1080"/>
      <c r="F645" s="1080"/>
    </row>
    <row r="646" spans="1:6" x14ac:dyDescent="0.25">
      <c r="A646" s="841" t="s">
        <v>1006</v>
      </c>
      <c r="B646" s="1079"/>
      <c r="C646" s="1079"/>
      <c r="D646" s="1080"/>
      <c r="E646" s="1080"/>
      <c r="F646" s="1080"/>
    </row>
    <row r="647" spans="1:6" ht="45" x14ac:dyDescent="0.25">
      <c r="A647" s="841" t="s">
        <v>371</v>
      </c>
      <c r="B647" s="1079">
        <v>41842</v>
      </c>
      <c r="C647" s="1079">
        <v>41965</v>
      </c>
      <c r="D647" s="1080">
        <v>2228070</v>
      </c>
      <c r="E647" s="1080">
        <v>2228070</v>
      </c>
      <c r="F647" s="1080">
        <v>0</v>
      </c>
    </row>
    <row r="648" spans="1:6" x14ac:dyDescent="0.25">
      <c r="A648" s="1081" t="s">
        <v>308</v>
      </c>
      <c r="B648" s="1079"/>
      <c r="C648" s="1079"/>
      <c r="D648" s="1080"/>
      <c r="E648" s="1080"/>
      <c r="F648" s="1080"/>
    </row>
    <row r="649" spans="1:6" x14ac:dyDescent="0.25">
      <c r="A649" s="841" t="s">
        <v>1050</v>
      </c>
      <c r="B649" s="1079"/>
      <c r="C649" s="1079"/>
      <c r="D649" s="1080"/>
      <c r="E649" s="1080"/>
      <c r="F649" s="1080"/>
    </row>
    <row r="650" spans="1:6" ht="30" x14ac:dyDescent="0.25">
      <c r="A650" s="841" t="s">
        <v>373</v>
      </c>
      <c r="B650" s="1079">
        <v>41862</v>
      </c>
      <c r="C650" s="1079">
        <v>41923</v>
      </c>
      <c r="D650" s="1080">
        <v>2260000</v>
      </c>
      <c r="E650" s="1080">
        <v>1595000</v>
      </c>
      <c r="F650" s="1080">
        <v>665000</v>
      </c>
    </row>
    <row r="651" spans="1:6" x14ac:dyDescent="0.25">
      <c r="A651" s="1081" t="s">
        <v>307</v>
      </c>
      <c r="B651" s="1079"/>
      <c r="C651" s="1079"/>
      <c r="D651" s="1080"/>
      <c r="E651" s="1080"/>
      <c r="F651" s="1080"/>
    </row>
    <row r="652" spans="1:6" x14ac:dyDescent="0.25">
      <c r="A652" s="841" t="s">
        <v>144</v>
      </c>
      <c r="B652" s="1079"/>
      <c r="C652" s="1079"/>
      <c r="D652" s="1080"/>
      <c r="E652" s="1080"/>
      <c r="F652" s="1080"/>
    </row>
    <row r="653" spans="1:6" ht="45" x14ac:dyDescent="0.25">
      <c r="A653" s="841" t="s">
        <v>372</v>
      </c>
      <c r="B653" s="1079">
        <v>41850</v>
      </c>
      <c r="C653" s="1079">
        <v>42108</v>
      </c>
      <c r="D653" s="1080">
        <v>290648563</v>
      </c>
      <c r="E653" s="1080">
        <v>290648563</v>
      </c>
      <c r="F653" s="1080">
        <v>0</v>
      </c>
    </row>
    <row r="654" spans="1:6" x14ac:dyDescent="0.25">
      <c r="A654" s="1081" t="s">
        <v>546</v>
      </c>
      <c r="B654" s="1079"/>
      <c r="C654" s="1079"/>
      <c r="D654" s="1080"/>
      <c r="E654" s="1080"/>
      <c r="F654" s="1080"/>
    </row>
    <row r="655" spans="1:6" x14ac:dyDescent="0.25">
      <c r="A655" s="841" t="s">
        <v>310</v>
      </c>
      <c r="B655" s="1079"/>
      <c r="C655" s="1079"/>
      <c r="D655" s="1080"/>
      <c r="E655" s="1080"/>
      <c r="F655" s="1080"/>
    </row>
    <row r="656" spans="1:6" x14ac:dyDescent="0.25">
      <c r="A656" s="841" t="s">
        <v>545</v>
      </c>
      <c r="B656" s="1079">
        <v>41871</v>
      </c>
      <c r="C656" s="1079">
        <v>41932</v>
      </c>
      <c r="D656" s="1080">
        <v>14975600</v>
      </c>
      <c r="E656" s="1080">
        <v>14975600</v>
      </c>
      <c r="F656" s="1080">
        <v>0</v>
      </c>
    </row>
    <row r="657" spans="1:6" x14ac:dyDescent="0.25">
      <c r="A657" s="1081" t="s">
        <v>548</v>
      </c>
      <c r="B657" s="1079"/>
      <c r="C657" s="1079"/>
      <c r="D657" s="1080"/>
      <c r="E657" s="1080"/>
      <c r="F657" s="1080"/>
    </row>
    <row r="658" spans="1:6" x14ac:dyDescent="0.25">
      <c r="A658" s="841" t="s">
        <v>13</v>
      </c>
      <c r="B658" s="1077"/>
      <c r="C658" s="1077"/>
      <c r="D658" s="1078"/>
      <c r="E658" s="1078"/>
      <c r="F658" s="1078"/>
    </row>
    <row r="659" spans="1:6" x14ac:dyDescent="0.25">
      <c r="A659" s="841" t="s">
        <v>550</v>
      </c>
      <c r="B659" s="1077">
        <v>41893</v>
      </c>
      <c r="C659" s="1077">
        <v>42258</v>
      </c>
      <c r="D659" s="1078">
        <v>936000</v>
      </c>
      <c r="E659" s="1078">
        <v>936000</v>
      </c>
      <c r="F659" s="1078">
        <v>0</v>
      </c>
    </row>
    <row r="660" spans="1:6" x14ac:dyDescent="0.25">
      <c r="A660" s="1081" t="s">
        <v>551</v>
      </c>
      <c r="B660" s="1079"/>
      <c r="C660" s="1079"/>
      <c r="D660" s="1080"/>
      <c r="E660" s="1080"/>
      <c r="F660" s="1080"/>
    </row>
    <row r="661" spans="1:6" x14ac:dyDescent="0.25">
      <c r="A661" s="841" t="s">
        <v>29</v>
      </c>
      <c r="B661" s="1077"/>
      <c r="C661" s="1077"/>
      <c r="D661" s="1078"/>
      <c r="E661" s="1078"/>
      <c r="F661" s="1078"/>
    </row>
    <row r="662" spans="1:6" x14ac:dyDescent="0.25">
      <c r="A662" s="841" t="s">
        <v>1001</v>
      </c>
      <c r="B662" s="1077">
        <v>41896</v>
      </c>
      <c r="C662" s="1077">
        <v>42261</v>
      </c>
      <c r="D662" s="1078">
        <v>855000</v>
      </c>
      <c r="E662" s="1078">
        <v>855000</v>
      </c>
      <c r="F662" s="1078">
        <v>0</v>
      </c>
    </row>
    <row r="663" spans="1:6" x14ac:dyDescent="0.25">
      <c r="A663" s="1081" t="s">
        <v>553</v>
      </c>
      <c r="B663" s="1079"/>
      <c r="C663" s="1079"/>
      <c r="D663" s="1080"/>
      <c r="E663" s="1080"/>
      <c r="F663" s="1080"/>
    </row>
    <row r="664" spans="1:6" x14ac:dyDescent="0.25">
      <c r="A664" s="841" t="s">
        <v>554</v>
      </c>
      <c r="B664" s="1079"/>
      <c r="C664" s="1079"/>
      <c r="D664" s="1080"/>
      <c r="E664" s="1080"/>
      <c r="F664" s="1080"/>
    </row>
    <row r="665" spans="1:6" ht="45" x14ac:dyDescent="0.25">
      <c r="A665" s="841" t="s">
        <v>1002</v>
      </c>
      <c r="B665" s="1079">
        <v>41887</v>
      </c>
      <c r="C665" s="1079">
        <v>42009</v>
      </c>
      <c r="D665" s="1080">
        <v>19356282</v>
      </c>
      <c r="E665" s="1080">
        <v>19356282</v>
      </c>
      <c r="F665" s="1080">
        <v>0</v>
      </c>
    </row>
    <row r="666" spans="1:6" x14ac:dyDescent="0.25">
      <c r="A666" s="1081" t="s">
        <v>555</v>
      </c>
      <c r="B666" s="1079"/>
      <c r="C666" s="1079"/>
      <c r="D666" s="1080"/>
      <c r="E666" s="1080"/>
      <c r="F666" s="1080"/>
    </row>
    <row r="667" spans="1:6" x14ac:dyDescent="0.25">
      <c r="A667" s="841" t="s">
        <v>1067</v>
      </c>
      <c r="B667" s="1077"/>
      <c r="C667" s="1077"/>
      <c r="D667" s="1078"/>
      <c r="E667" s="1078"/>
      <c r="F667" s="1078"/>
    </row>
    <row r="668" spans="1:6" ht="45" x14ac:dyDescent="0.25">
      <c r="A668" s="841" t="s">
        <v>1003</v>
      </c>
      <c r="B668" s="1077">
        <v>41891</v>
      </c>
      <c r="C668" s="1077">
        <v>42013</v>
      </c>
      <c r="D668" s="1078">
        <v>25000000</v>
      </c>
      <c r="E668" s="1078">
        <v>25000000</v>
      </c>
      <c r="F668" s="1078">
        <v>0</v>
      </c>
    </row>
    <row r="669" spans="1:6" x14ac:dyDescent="0.25">
      <c r="A669" s="1081" t="s">
        <v>556</v>
      </c>
      <c r="B669" s="1079"/>
      <c r="C669" s="1079"/>
      <c r="D669" s="1080"/>
      <c r="E669" s="1080"/>
      <c r="F669" s="1080"/>
    </row>
    <row r="670" spans="1:6" x14ac:dyDescent="0.25">
      <c r="A670" s="841" t="s">
        <v>1004</v>
      </c>
      <c r="B670" s="1079"/>
      <c r="C670" s="1079"/>
      <c r="D670" s="1080"/>
      <c r="E670" s="1080"/>
      <c r="F670" s="1080"/>
    </row>
    <row r="671" spans="1:6" ht="45" x14ac:dyDescent="0.25">
      <c r="A671" s="841" t="s">
        <v>557</v>
      </c>
      <c r="B671" s="1079">
        <v>41893</v>
      </c>
      <c r="C671" s="1079">
        <v>42046</v>
      </c>
      <c r="D671" s="1080">
        <v>25000000</v>
      </c>
      <c r="E671" s="1080">
        <v>25000000</v>
      </c>
      <c r="F671" s="1080">
        <v>0</v>
      </c>
    </row>
    <row r="672" spans="1:6" x14ac:dyDescent="0.25">
      <c r="A672" s="841" t="s">
        <v>1069</v>
      </c>
      <c r="B672" s="1077"/>
      <c r="C672" s="1077"/>
      <c r="D672" s="1078"/>
      <c r="E672" s="1078"/>
      <c r="F672" s="1078"/>
    </row>
    <row r="673" spans="1:6" x14ac:dyDescent="0.25">
      <c r="A673" s="841" t="s">
        <v>1070</v>
      </c>
      <c r="B673" s="1077"/>
      <c r="C673" s="1077"/>
      <c r="D673" s="1078"/>
      <c r="E673" s="1078"/>
      <c r="F673" s="1078"/>
    </row>
    <row r="674" spans="1:6" ht="45" x14ac:dyDescent="0.25">
      <c r="A674" s="841" t="s">
        <v>1074</v>
      </c>
      <c r="B674" s="1077">
        <v>41900</v>
      </c>
      <c r="C674" s="1077">
        <v>42053</v>
      </c>
      <c r="D674" s="1078">
        <v>17500000</v>
      </c>
      <c r="E674" s="1078">
        <v>17500000</v>
      </c>
      <c r="F674" s="1078">
        <v>0</v>
      </c>
    </row>
    <row r="675" spans="1:6" x14ac:dyDescent="0.25">
      <c r="A675" s="841" t="s">
        <v>1071</v>
      </c>
      <c r="B675" s="1077"/>
      <c r="C675" s="1077"/>
      <c r="D675" s="1078"/>
      <c r="E675" s="1078"/>
      <c r="F675" s="1078"/>
    </row>
    <row r="676" spans="1:6" x14ac:dyDescent="0.25">
      <c r="A676" s="841" t="s">
        <v>1072</v>
      </c>
      <c r="B676" s="1077"/>
      <c r="C676" s="1077"/>
      <c r="D676" s="1078"/>
      <c r="E676" s="1078"/>
      <c r="F676" s="1078"/>
    </row>
    <row r="677" spans="1:6" ht="45" x14ac:dyDescent="0.25">
      <c r="A677" s="841" t="s">
        <v>1075</v>
      </c>
      <c r="B677" s="1077">
        <v>41911</v>
      </c>
      <c r="C677" s="1077">
        <v>42033</v>
      </c>
      <c r="D677" s="1078">
        <v>10000000</v>
      </c>
      <c r="E677" s="1078">
        <v>10000000</v>
      </c>
      <c r="F677" s="1078">
        <v>0</v>
      </c>
    </row>
    <row r="678" spans="1:6" x14ac:dyDescent="0.25">
      <c r="A678" s="841" t="s">
        <v>1101</v>
      </c>
      <c r="B678" s="1077"/>
      <c r="C678" s="1077"/>
      <c r="D678" s="1078"/>
      <c r="E678" s="1078"/>
      <c r="F678" s="1078"/>
    </row>
    <row r="679" spans="1:6" x14ac:dyDescent="0.25">
      <c r="A679" s="841" t="s">
        <v>435</v>
      </c>
      <c r="B679" s="1077"/>
      <c r="C679" s="1077"/>
      <c r="D679" s="1078"/>
      <c r="E679" s="1078"/>
      <c r="F679" s="1078"/>
    </row>
    <row r="680" spans="1:6" ht="45" x14ac:dyDescent="0.25">
      <c r="A680" s="841" t="s">
        <v>1103</v>
      </c>
      <c r="B680" s="1077">
        <v>41842</v>
      </c>
      <c r="C680" s="1077">
        <v>42207</v>
      </c>
      <c r="D680" s="1078">
        <v>6252000</v>
      </c>
      <c r="E680" s="1078">
        <v>5665189</v>
      </c>
      <c r="F680" s="1078">
        <v>586811</v>
      </c>
    </row>
    <row r="681" spans="1:6" x14ac:dyDescent="0.25">
      <c r="A681" s="841" t="s">
        <v>1333</v>
      </c>
      <c r="B681" s="1077"/>
      <c r="C681" s="1077"/>
      <c r="D681" s="1078"/>
      <c r="E681" s="1078"/>
      <c r="F681" s="1078"/>
    </row>
    <row r="682" spans="1:6" x14ac:dyDescent="0.25">
      <c r="A682" s="841" t="s">
        <v>1334</v>
      </c>
      <c r="B682" s="1077"/>
      <c r="C682" s="1077"/>
      <c r="D682" s="1078"/>
      <c r="E682" s="1078"/>
      <c r="F682" s="1078"/>
    </row>
    <row r="683" spans="1:6" ht="60" x14ac:dyDescent="0.25">
      <c r="A683" s="841" t="s">
        <v>1335</v>
      </c>
      <c r="B683" s="1077">
        <v>41935</v>
      </c>
      <c r="C683" s="1077">
        <v>42027</v>
      </c>
      <c r="D683" s="1078">
        <v>4136000</v>
      </c>
      <c r="E683" s="1078">
        <v>2251047</v>
      </c>
      <c r="F683" s="1078">
        <v>1884953</v>
      </c>
    </row>
    <row r="684" spans="1:6" x14ac:dyDescent="0.25">
      <c r="A684" s="841" t="s">
        <v>919</v>
      </c>
      <c r="B684" s="1077"/>
      <c r="C684" s="1077"/>
      <c r="D684" s="1078"/>
      <c r="E684" s="1078"/>
      <c r="F684" s="1078"/>
    </row>
    <row r="685" spans="1:6" x14ac:dyDescent="0.25">
      <c r="A685" s="841" t="s">
        <v>1104</v>
      </c>
      <c r="B685" s="1077">
        <v>41837</v>
      </c>
      <c r="C685" s="1077">
        <v>42202</v>
      </c>
      <c r="D685" s="1078">
        <v>3846133</v>
      </c>
      <c r="E685" s="1078">
        <v>0</v>
      </c>
      <c r="F685" s="1078">
        <v>3846133</v>
      </c>
    </row>
    <row r="686" spans="1:6" x14ac:dyDescent="0.25">
      <c r="A686" s="841" t="s">
        <v>1106</v>
      </c>
      <c r="B686" s="1077"/>
      <c r="C686" s="1077"/>
      <c r="D686" s="1078"/>
      <c r="E686" s="1078"/>
      <c r="F686" s="1078"/>
    </row>
    <row r="687" spans="1:6" x14ac:dyDescent="0.25">
      <c r="A687" s="841" t="s">
        <v>100</v>
      </c>
      <c r="B687" s="1077">
        <v>41703</v>
      </c>
      <c r="C687" s="1077">
        <v>42129</v>
      </c>
      <c r="D687" s="1078">
        <v>30000000</v>
      </c>
      <c r="E687" s="1078">
        <v>28330110</v>
      </c>
      <c r="F687" s="1078">
        <v>1669890</v>
      </c>
    </row>
    <row r="688" spans="1:6" x14ac:dyDescent="0.25">
      <c r="A688" s="841" t="s">
        <v>1108</v>
      </c>
      <c r="B688" s="1077"/>
      <c r="C688" s="1077"/>
      <c r="D688" s="1078"/>
      <c r="E688" s="1078"/>
      <c r="F688" s="1078"/>
    </row>
    <row r="689" spans="1:6" x14ac:dyDescent="0.25">
      <c r="A689" s="841" t="s">
        <v>222</v>
      </c>
      <c r="B689" s="1077">
        <v>41675</v>
      </c>
      <c r="C689" s="1077">
        <v>42008</v>
      </c>
      <c r="D689" s="1078">
        <v>55000000</v>
      </c>
      <c r="E689" s="1078">
        <v>55000000</v>
      </c>
      <c r="F689" s="1078">
        <v>0</v>
      </c>
    </row>
    <row r="690" spans="1:6" x14ac:dyDescent="0.25">
      <c r="A690" s="841" t="s">
        <v>1113</v>
      </c>
      <c r="B690" s="1077"/>
      <c r="C690" s="1077"/>
      <c r="D690" s="1078"/>
      <c r="E690" s="1078"/>
      <c r="F690" s="1078"/>
    </row>
    <row r="691" spans="1:6" x14ac:dyDescent="0.25">
      <c r="A691" s="841" t="s">
        <v>1114</v>
      </c>
      <c r="B691" s="1077"/>
      <c r="C691" s="1077"/>
      <c r="D691" s="1078"/>
      <c r="E691" s="1078"/>
      <c r="F691" s="1078"/>
    </row>
    <row r="692" spans="1:6" x14ac:dyDescent="0.25">
      <c r="A692" s="841" t="s">
        <v>1115</v>
      </c>
      <c r="B692" s="1077">
        <v>41929</v>
      </c>
      <c r="C692" s="1077">
        <v>42021</v>
      </c>
      <c r="D692" s="1078">
        <v>14153603</v>
      </c>
      <c r="E692" s="1078">
        <v>14153603</v>
      </c>
      <c r="F692" s="1078">
        <v>0</v>
      </c>
    </row>
    <row r="693" spans="1:6" x14ac:dyDescent="0.25">
      <c r="A693" s="841" t="s">
        <v>1119</v>
      </c>
      <c r="B693" s="1077"/>
      <c r="C693" s="1077"/>
      <c r="D693" s="1078"/>
      <c r="E693" s="1078"/>
      <c r="F693" s="1078"/>
    </row>
    <row r="694" spans="1:6" x14ac:dyDescent="0.25">
      <c r="A694" s="841" t="s">
        <v>1120</v>
      </c>
      <c r="B694" s="1077"/>
      <c r="C694" s="1077"/>
      <c r="D694" s="1078"/>
      <c r="E694" s="1078"/>
      <c r="F694" s="1078"/>
    </row>
    <row r="695" spans="1:6" ht="30" x14ac:dyDescent="0.25">
      <c r="A695" s="841" t="s">
        <v>1770</v>
      </c>
      <c r="B695" s="1077">
        <v>41928</v>
      </c>
      <c r="C695" s="1077">
        <v>42004</v>
      </c>
      <c r="D695" s="1078">
        <v>812500</v>
      </c>
      <c r="E695" s="1078">
        <v>812500</v>
      </c>
      <c r="F695" s="1078">
        <v>0</v>
      </c>
    </row>
    <row r="696" spans="1:6" x14ac:dyDescent="0.25">
      <c r="A696" s="841" t="s">
        <v>1110</v>
      </c>
      <c r="B696" s="1077"/>
      <c r="C696" s="1077"/>
      <c r="D696" s="1078"/>
      <c r="E696" s="1078"/>
      <c r="F696" s="1078"/>
    </row>
    <row r="697" spans="1:6" x14ac:dyDescent="0.25">
      <c r="A697" s="841" t="s">
        <v>1111</v>
      </c>
      <c r="B697" s="1077"/>
      <c r="C697" s="1077"/>
      <c r="D697" s="1078"/>
      <c r="E697" s="1078"/>
      <c r="F697" s="1078"/>
    </row>
    <row r="698" spans="1:6" ht="30" x14ac:dyDescent="0.25">
      <c r="A698" s="841" t="s">
        <v>1112</v>
      </c>
      <c r="B698" s="1077">
        <v>41921</v>
      </c>
      <c r="C698" s="1077">
        <v>42116</v>
      </c>
      <c r="D698" s="1078">
        <v>818527824</v>
      </c>
      <c r="E698" s="1078">
        <v>800790708</v>
      </c>
      <c r="F698" s="1078">
        <v>17737116</v>
      </c>
    </row>
    <row r="699" spans="1:6" x14ac:dyDescent="0.25">
      <c r="A699" s="841" t="s">
        <v>1116</v>
      </c>
      <c r="B699" s="1077"/>
      <c r="C699" s="1077"/>
      <c r="D699" s="1078"/>
      <c r="E699" s="1078"/>
      <c r="F699" s="1078"/>
    </row>
    <row r="700" spans="1:6" x14ac:dyDescent="0.25">
      <c r="A700" s="841" t="s">
        <v>1117</v>
      </c>
      <c r="B700" s="1077"/>
      <c r="C700" s="1077"/>
      <c r="D700" s="1078"/>
      <c r="E700" s="1078"/>
      <c r="F700" s="1078"/>
    </row>
    <row r="701" spans="1:6" ht="45" x14ac:dyDescent="0.25">
      <c r="A701" s="841" t="s">
        <v>1118</v>
      </c>
      <c r="B701" s="1077">
        <v>41929</v>
      </c>
      <c r="C701" s="1077">
        <v>42369</v>
      </c>
      <c r="D701" s="1078">
        <v>75520000</v>
      </c>
      <c r="E701" s="1078">
        <v>75519999</v>
      </c>
      <c r="F701" s="1078">
        <v>1</v>
      </c>
    </row>
    <row r="702" spans="1:6" x14ac:dyDescent="0.25">
      <c r="A702" s="841" t="s">
        <v>1162</v>
      </c>
      <c r="B702" s="1077"/>
      <c r="C702" s="1077"/>
      <c r="D702" s="1078"/>
      <c r="E702" s="1078"/>
      <c r="F702" s="1078"/>
    </row>
    <row r="703" spans="1:6" x14ac:dyDescent="0.25">
      <c r="A703" s="841" t="s">
        <v>1163</v>
      </c>
      <c r="B703" s="1077"/>
      <c r="C703" s="1077"/>
      <c r="D703" s="1078"/>
      <c r="E703" s="1078"/>
      <c r="F703" s="1078"/>
    </row>
    <row r="704" spans="1:6" ht="30" x14ac:dyDescent="0.25">
      <c r="A704" s="841" t="s">
        <v>2132</v>
      </c>
      <c r="B704" s="1077">
        <v>41936</v>
      </c>
      <c r="C704" s="1077">
        <v>42301</v>
      </c>
      <c r="D704" s="1078">
        <v>16592327</v>
      </c>
      <c r="E704" s="1078">
        <v>14933095</v>
      </c>
      <c r="F704" s="1078">
        <v>1659232</v>
      </c>
    </row>
    <row r="705" spans="1:6" x14ac:dyDescent="0.25">
      <c r="A705" s="841" t="s">
        <v>1155</v>
      </c>
      <c r="B705" s="1077"/>
      <c r="C705" s="1077"/>
      <c r="D705" s="1078"/>
      <c r="E705" s="1078"/>
      <c r="F705" s="1078"/>
    </row>
    <row r="706" spans="1:6" x14ac:dyDescent="0.25">
      <c r="A706" s="841" t="s">
        <v>33</v>
      </c>
      <c r="B706" s="1077"/>
      <c r="C706" s="1077"/>
      <c r="D706" s="1078"/>
      <c r="E706" s="1078"/>
      <c r="F706" s="1078"/>
    </row>
    <row r="707" spans="1:6" x14ac:dyDescent="0.25">
      <c r="A707" s="841" t="s">
        <v>1156</v>
      </c>
      <c r="B707" s="1077">
        <v>41912</v>
      </c>
      <c r="C707" s="1077">
        <v>42277</v>
      </c>
      <c r="D707" s="1078">
        <v>807000</v>
      </c>
      <c r="E707" s="1078">
        <v>807000</v>
      </c>
      <c r="F707" s="1078">
        <v>0</v>
      </c>
    </row>
    <row r="708" spans="1:6" x14ac:dyDescent="0.25">
      <c r="A708" s="841" t="s">
        <v>1160</v>
      </c>
      <c r="B708" s="1077"/>
      <c r="C708" s="1077"/>
      <c r="D708" s="1078"/>
      <c r="E708" s="1078"/>
      <c r="F708" s="1078"/>
    </row>
    <row r="709" spans="1:6" x14ac:dyDescent="0.25">
      <c r="A709" s="841" t="s">
        <v>1161</v>
      </c>
      <c r="B709" s="1077"/>
      <c r="C709" s="1077"/>
      <c r="D709" s="1078"/>
      <c r="E709" s="1078"/>
      <c r="F709" s="1078"/>
    </row>
    <row r="710" spans="1:6" ht="60" x14ac:dyDescent="0.25">
      <c r="A710" s="841" t="s">
        <v>1769</v>
      </c>
      <c r="B710" s="1077">
        <v>41926</v>
      </c>
      <c r="C710" s="1077">
        <v>42138</v>
      </c>
      <c r="D710" s="1078">
        <v>41850000</v>
      </c>
      <c r="E710" s="1078">
        <v>26363000</v>
      </c>
      <c r="F710" s="1078">
        <v>15487000</v>
      </c>
    </row>
    <row r="711" spans="1:6" x14ac:dyDescent="0.25">
      <c r="A711" s="841" t="s">
        <v>1157</v>
      </c>
      <c r="B711" s="1077"/>
      <c r="C711" s="1077"/>
      <c r="D711" s="1078"/>
      <c r="E711" s="1078"/>
      <c r="F711" s="1078"/>
    </row>
    <row r="712" spans="1:6" x14ac:dyDescent="0.25">
      <c r="A712" s="841" t="s">
        <v>186</v>
      </c>
      <c r="B712" s="1077"/>
      <c r="C712" s="1077"/>
      <c r="D712" s="1078"/>
      <c r="E712" s="1078"/>
      <c r="F712" s="1078"/>
    </row>
    <row r="713" spans="1:6" ht="45" x14ac:dyDescent="0.25">
      <c r="A713" s="841" t="s">
        <v>1316</v>
      </c>
      <c r="B713" s="1077">
        <v>41907</v>
      </c>
      <c r="C713" s="1077">
        <v>41996</v>
      </c>
      <c r="D713" s="1078">
        <v>311460000</v>
      </c>
      <c r="E713" s="1078">
        <v>311460000</v>
      </c>
      <c r="F713" s="1078">
        <v>0</v>
      </c>
    </row>
    <row r="714" spans="1:6" x14ac:dyDescent="0.25">
      <c r="A714" s="841" t="s">
        <v>1158</v>
      </c>
      <c r="B714" s="1077"/>
      <c r="C714" s="1077"/>
      <c r="D714" s="1078"/>
      <c r="E714" s="1078"/>
      <c r="F714" s="1078"/>
    </row>
    <row r="715" spans="1:6" x14ac:dyDescent="0.25">
      <c r="A715" s="841" t="s">
        <v>22</v>
      </c>
      <c r="B715" s="1077"/>
      <c r="C715" s="1077"/>
      <c r="D715" s="1078"/>
      <c r="E715" s="1078"/>
      <c r="F715" s="1078"/>
    </row>
    <row r="716" spans="1:6" ht="30" x14ac:dyDescent="0.25">
      <c r="A716" s="841" t="s">
        <v>1159</v>
      </c>
      <c r="B716" s="1077">
        <v>41929</v>
      </c>
      <c r="C716" s="1077">
        <v>42477</v>
      </c>
      <c r="D716" s="1078">
        <v>66816000</v>
      </c>
      <c r="E716" s="1078">
        <v>66816000</v>
      </c>
      <c r="F716" s="1078">
        <v>0</v>
      </c>
    </row>
    <row r="717" spans="1:6" x14ac:dyDescent="0.25">
      <c r="A717" s="841" t="s">
        <v>599</v>
      </c>
      <c r="B717" s="1077"/>
      <c r="C717" s="1077"/>
      <c r="D717" s="1078"/>
      <c r="E717" s="1078"/>
      <c r="F717" s="1078"/>
    </row>
    <row r="718" spans="1:6" x14ac:dyDescent="0.25">
      <c r="A718" s="841" t="s">
        <v>1026</v>
      </c>
      <c r="B718" s="1077"/>
      <c r="C718" s="1077"/>
      <c r="D718" s="1078"/>
      <c r="E718" s="1078"/>
      <c r="F718" s="1078"/>
    </row>
    <row r="719" spans="1:6" ht="45" x14ac:dyDescent="0.25">
      <c r="A719" s="841" t="s">
        <v>461</v>
      </c>
      <c r="B719" s="1077">
        <v>41248</v>
      </c>
      <c r="C719" s="1077">
        <v>41580</v>
      </c>
      <c r="D719" s="1078">
        <v>9037264</v>
      </c>
      <c r="E719" s="1078">
        <v>7492420</v>
      </c>
      <c r="F719" s="1078">
        <v>1544844</v>
      </c>
    </row>
    <row r="720" spans="1:6" x14ac:dyDescent="0.25">
      <c r="A720" s="841" t="s">
        <v>857</v>
      </c>
      <c r="B720" s="1077"/>
      <c r="C720" s="1077"/>
      <c r="D720" s="1078"/>
      <c r="E720" s="1078"/>
      <c r="F720" s="1078"/>
    </row>
    <row r="721" spans="1:6" x14ac:dyDescent="0.25">
      <c r="A721" s="841" t="s">
        <v>1338</v>
      </c>
      <c r="B721" s="1077"/>
      <c r="C721" s="1077"/>
      <c r="D721" s="1078"/>
      <c r="E721" s="1078"/>
      <c r="F721" s="1078"/>
    </row>
    <row r="722" spans="1:6" ht="45" x14ac:dyDescent="0.25">
      <c r="A722" s="841" t="s">
        <v>1339</v>
      </c>
      <c r="B722" s="1077">
        <v>41610</v>
      </c>
      <c r="C722" s="1077">
        <v>41975</v>
      </c>
      <c r="D722" s="1078">
        <v>150000000</v>
      </c>
      <c r="E722" s="1078">
        <v>0</v>
      </c>
      <c r="F722" s="1078">
        <v>150000000</v>
      </c>
    </row>
    <row r="723" spans="1:6" x14ac:dyDescent="0.25">
      <c r="A723" s="841" t="s">
        <v>1329</v>
      </c>
      <c r="B723" s="1077"/>
      <c r="C723" s="1077"/>
      <c r="D723" s="1078"/>
      <c r="E723" s="1078"/>
      <c r="F723" s="1078"/>
    </row>
    <row r="724" spans="1:6" x14ac:dyDescent="0.25">
      <c r="A724" s="841" t="s">
        <v>1020</v>
      </c>
      <c r="B724" s="1077"/>
      <c r="C724" s="1077"/>
      <c r="D724" s="1078"/>
      <c r="E724" s="1078"/>
      <c r="F724" s="1078"/>
    </row>
    <row r="725" spans="1:6" x14ac:dyDescent="0.25">
      <c r="A725" s="841" t="s">
        <v>1330</v>
      </c>
      <c r="B725" s="1077">
        <v>41940</v>
      </c>
      <c r="C725" s="1077">
        <v>42305</v>
      </c>
      <c r="D725" s="1078">
        <v>810000</v>
      </c>
      <c r="E725" s="1078">
        <v>810000</v>
      </c>
      <c r="F725" s="1078">
        <v>0</v>
      </c>
    </row>
    <row r="726" spans="1:6" x14ac:dyDescent="0.25">
      <c r="A726" s="841" t="s">
        <v>1336</v>
      </c>
      <c r="B726" s="1077"/>
      <c r="C726" s="1077"/>
      <c r="D726" s="1078"/>
      <c r="E726" s="1078"/>
      <c r="F726" s="1078"/>
    </row>
    <row r="727" spans="1:6" x14ac:dyDescent="0.25">
      <c r="A727" s="841" t="s">
        <v>203</v>
      </c>
      <c r="B727" s="1077"/>
      <c r="C727" s="1077"/>
      <c r="D727" s="1078"/>
      <c r="E727" s="1078"/>
      <c r="F727" s="1078"/>
    </row>
    <row r="728" spans="1:6" ht="30" x14ac:dyDescent="0.25">
      <c r="A728" s="841" t="s">
        <v>1337</v>
      </c>
      <c r="B728" s="1077">
        <v>41934</v>
      </c>
      <c r="C728" s="1077">
        <v>42085</v>
      </c>
      <c r="D728" s="1078">
        <v>4621440</v>
      </c>
      <c r="E728" s="1078">
        <v>4621440</v>
      </c>
      <c r="F728" s="1078">
        <v>0</v>
      </c>
    </row>
    <row r="729" spans="1:6" x14ac:dyDescent="0.25">
      <c r="A729" s="841" t="s">
        <v>1331</v>
      </c>
      <c r="B729" s="1077"/>
      <c r="C729" s="1077"/>
      <c r="D729" s="1078"/>
      <c r="E729" s="1078"/>
      <c r="F729" s="1078"/>
    </row>
    <row r="730" spans="1:6" x14ac:dyDescent="0.25">
      <c r="A730" s="841" t="s">
        <v>212</v>
      </c>
      <c r="B730" s="1077"/>
      <c r="C730" s="1077"/>
      <c r="D730" s="1078"/>
      <c r="E730" s="1078"/>
      <c r="F730" s="1078"/>
    </row>
    <row r="731" spans="1:6" ht="45" x14ac:dyDescent="0.25">
      <c r="A731" s="841" t="s">
        <v>1332</v>
      </c>
      <c r="B731" s="1077">
        <v>41939</v>
      </c>
      <c r="C731" s="1077">
        <v>41970</v>
      </c>
      <c r="D731" s="1078">
        <v>324800</v>
      </c>
      <c r="E731" s="1078">
        <v>324800</v>
      </c>
      <c r="F731" s="1078">
        <v>0</v>
      </c>
    </row>
    <row r="732" spans="1:6" x14ac:dyDescent="0.25">
      <c r="A732" s="841" t="s">
        <v>1344</v>
      </c>
      <c r="B732" s="1077"/>
      <c r="C732" s="1077"/>
      <c r="D732" s="1078"/>
      <c r="E732" s="1078"/>
      <c r="F732" s="1078"/>
    </row>
    <row r="733" spans="1:6" x14ac:dyDescent="0.25">
      <c r="A733" s="841" t="s">
        <v>1345</v>
      </c>
      <c r="B733" s="1077"/>
      <c r="C733" s="1077"/>
      <c r="D733" s="1078"/>
      <c r="E733" s="1078"/>
      <c r="F733" s="1078"/>
    </row>
    <row r="734" spans="1:6" ht="30" x14ac:dyDescent="0.25">
      <c r="A734" s="841" t="s">
        <v>1346</v>
      </c>
      <c r="B734" s="1077">
        <v>41968</v>
      </c>
      <c r="C734" s="1077">
        <v>42241</v>
      </c>
      <c r="D734" s="1078">
        <v>2459960</v>
      </c>
      <c r="E734" s="1078">
        <v>2457884</v>
      </c>
      <c r="F734" s="1078">
        <v>2076</v>
      </c>
    </row>
    <row r="735" spans="1:6" x14ac:dyDescent="0.25">
      <c r="A735" s="841" t="s">
        <v>1347</v>
      </c>
      <c r="B735" s="1077"/>
      <c r="C735" s="1077"/>
      <c r="D735" s="1078"/>
      <c r="E735" s="1078"/>
      <c r="F735" s="1078"/>
    </row>
    <row r="736" spans="1:6" x14ac:dyDescent="0.25">
      <c r="A736" s="841" t="s">
        <v>1348</v>
      </c>
      <c r="B736" s="1077"/>
      <c r="C736" s="1077"/>
      <c r="D736" s="1078"/>
      <c r="E736" s="1078"/>
      <c r="F736" s="1078"/>
    </row>
    <row r="737" spans="1:6" ht="45" x14ac:dyDescent="0.25">
      <c r="A737" s="841" t="s">
        <v>1349</v>
      </c>
      <c r="B737" s="1077">
        <v>41957</v>
      </c>
      <c r="C737" s="1077">
        <v>42077</v>
      </c>
      <c r="D737" s="1078">
        <v>20188000</v>
      </c>
      <c r="E737" s="1078">
        <v>20188000</v>
      </c>
      <c r="F737" s="1078">
        <v>0</v>
      </c>
    </row>
    <row r="738" spans="1:6" x14ac:dyDescent="0.25">
      <c r="A738" s="841" t="s">
        <v>1351</v>
      </c>
      <c r="B738" s="1077"/>
      <c r="C738" s="1077"/>
      <c r="D738" s="1078"/>
      <c r="E738" s="1078"/>
      <c r="F738" s="1078"/>
    </row>
    <row r="739" spans="1:6" x14ac:dyDescent="0.25">
      <c r="A739" s="841" t="s">
        <v>1352</v>
      </c>
      <c r="B739" s="1077"/>
      <c r="C739" s="1077"/>
      <c r="D739" s="1078"/>
      <c r="E739" s="1078"/>
      <c r="F739" s="1078"/>
    </row>
    <row r="740" spans="1:6" ht="30" x14ac:dyDescent="0.25">
      <c r="A740" s="841" t="s">
        <v>1572</v>
      </c>
      <c r="B740" s="1077">
        <v>41941</v>
      </c>
      <c r="C740" s="1077">
        <v>42184</v>
      </c>
      <c r="D740" s="1078">
        <v>59383678</v>
      </c>
      <c r="E740" s="1078">
        <v>27770152</v>
      </c>
      <c r="F740" s="1078">
        <v>31613526</v>
      </c>
    </row>
    <row r="741" spans="1:6" x14ac:dyDescent="0.25">
      <c r="A741" s="841" t="s">
        <v>1354</v>
      </c>
      <c r="B741" s="1077"/>
      <c r="C741" s="1077"/>
      <c r="D741" s="1078"/>
      <c r="E741" s="1078"/>
      <c r="F741" s="1078"/>
    </row>
    <row r="742" spans="1:6" x14ac:dyDescent="0.25">
      <c r="A742" s="841" t="s">
        <v>27</v>
      </c>
      <c r="B742" s="1077"/>
      <c r="C742" s="1077"/>
      <c r="D742" s="1078"/>
      <c r="E742" s="1078"/>
      <c r="F742" s="1078"/>
    </row>
    <row r="743" spans="1:6" x14ac:dyDescent="0.25">
      <c r="A743" s="841" t="s">
        <v>1355</v>
      </c>
      <c r="B743" s="1077">
        <v>41970</v>
      </c>
      <c r="C743" s="1077">
        <v>42335</v>
      </c>
      <c r="D743" s="1078">
        <v>764100</v>
      </c>
      <c r="E743" s="1078">
        <v>764100</v>
      </c>
      <c r="F743" s="1078">
        <v>0</v>
      </c>
    </row>
    <row r="744" spans="1:6" x14ac:dyDescent="0.25">
      <c r="A744" s="841" t="s">
        <v>2253</v>
      </c>
      <c r="B744" s="1077"/>
      <c r="C744" s="1077"/>
      <c r="D744" s="1078"/>
      <c r="E744" s="1078"/>
      <c r="F744" s="1078"/>
    </row>
    <row r="745" spans="1:6" x14ac:dyDescent="0.25">
      <c r="A745" s="841" t="s">
        <v>3</v>
      </c>
      <c r="B745" s="1077"/>
      <c r="C745" s="1077"/>
      <c r="D745" s="1078"/>
      <c r="E745" s="1078"/>
      <c r="F745" s="1078"/>
    </row>
    <row r="746" spans="1:6" ht="45" x14ac:dyDescent="0.25">
      <c r="A746" s="841" t="s">
        <v>456</v>
      </c>
      <c r="B746" s="1077">
        <v>41163</v>
      </c>
      <c r="C746" s="1077">
        <v>41452</v>
      </c>
      <c r="D746" s="1078">
        <v>315000000</v>
      </c>
      <c r="E746" s="1078">
        <v>314473887</v>
      </c>
      <c r="F746" s="1078">
        <v>526113</v>
      </c>
    </row>
    <row r="747" spans="1:6" x14ac:dyDescent="0.25">
      <c r="A747"/>
      <c r="B747"/>
      <c r="C747"/>
      <c r="D747"/>
      <c r="E747"/>
      <c r="F747"/>
    </row>
    <row r="748" spans="1:6" x14ac:dyDescent="0.25">
      <c r="A748"/>
      <c r="B748"/>
      <c r="C748"/>
      <c r="D748"/>
      <c r="E748"/>
      <c r="F748"/>
    </row>
    <row r="749" spans="1:6" x14ac:dyDescent="0.25">
      <c r="A749"/>
      <c r="B749"/>
      <c r="C749"/>
      <c r="D749"/>
      <c r="E749"/>
      <c r="F749"/>
    </row>
    <row r="750" spans="1:6" x14ac:dyDescent="0.25">
      <c r="A750"/>
      <c r="B750"/>
      <c r="C750"/>
      <c r="D750"/>
      <c r="E750"/>
      <c r="F750"/>
    </row>
    <row r="751" spans="1:6" x14ac:dyDescent="0.25">
      <c r="A751"/>
      <c r="B751"/>
      <c r="C751"/>
      <c r="D751"/>
      <c r="E751"/>
      <c r="F751"/>
    </row>
    <row r="752" spans="1:6" x14ac:dyDescent="0.25">
      <c r="A752"/>
      <c r="B752"/>
      <c r="C752"/>
      <c r="D752"/>
      <c r="E752"/>
      <c r="F752"/>
    </row>
    <row r="753" spans="1:6" x14ac:dyDescent="0.25">
      <c r="A753"/>
      <c r="B753"/>
      <c r="C753"/>
      <c r="D753"/>
      <c r="E753"/>
      <c r="F753"/>
    </row>
    <row r="754" spans="1:6" x14ac:dyDescent="0.25">
      <c r="A754"/>
      <c r="B754"/>
      <c r="C754"/>
      <c r="D754"/>
      <c r="E754"/>
      <c r="F754"/>
    </row>
  </sheetData>
  <mergeCells count="1">
    <mergeCell ref="A4:F4"/>
  </mergeCells>
  <pageMargins left="0.25" right="0.25" top="0.75" bottom="0.75" header="0.3" footer="0.3"/>
  <pageSetup orientation="landscape" horizontalDpi="4294967293" verticalDpi="4294967293" r:id="rId2"/>
  <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B3" sqref="B3"/>
    </sheetView>
  </sheetViews>
  <sheetFormatPr baseColWidth="10" defaultRowHeight="15" x14ac:dyDescent="0.25"/>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Q720"/>
  <sheetViews>
    <sheetView topLeftCell="A713" workbookViewId="0">
      <selection activeCell="D495" sqref="D495"/>
    </sheetView>
  </sheetViews>
  <sheetFormatPr baseColWidth="10" defaultColWidth="0" defaultRowHeight="11.25" x14ac:dyDescent="0.2"/>
  <cols>
    <col min="1" max="1" width="51.85546875" style="121" customWidth="1"/>
    <col min="2" max="2" width="14.140625" style="122" bestFit="1" customWidth="1"/>
    <col min="3" max="3" width="14.140625" style="123" customWidth="1"/>
    <col min="4" max="4" width="14.5703125" style="123" customWidth="1"/>
    <col min="5" max="5" width="14" style="124" customWidth="1"/>
    <col min="6" max="6" width="13.5703125" style="121" customWidth="1"/>
    <col min="7" max="7" width="6.28515625" style="121" customWidth="1"/>
    <col min="8" max="224" width="26.85546875" style="121" hidden="1" customWidth="1"/>
    <col min="225" max="225" width="12.5703125" style="121" hidden="1" customWidth="1"/>
    <col min="226" max="16384" width="11.42578125" style="121" hidden="1"/>
  </cols>
  <sheetData>
    <row r="1" spans="1:7" s="111" customFormat="1" x14ac:dyDescent="0.2">
      <c r="A1" s="121"/>
      <c r="B1" s="122"/>
      <c r="C1" s="123"/>
      <c r="D1" s="123"/>
      <c r="E1" s="124"/>
      <c r="F1" s="121"/>
      <c r="G1" s="121"/>
    </row>
    <row r="2" spans="1:7" s="111" customFormat="1" x14ac:dyDescent="0.2">
      <c r="A2" s="121"/>
      <c r="B2" s="122"/>
      <c r="C2" s="123"/>
      <c r="D2" s="123"/>
      <c r="E2" s="124"/>
      <c r="F2" s="121"/>
      <c r="G2" s="121"/>
    </row>
    <row r="3" spans="1:7" s="111" customFormat="1" x14ac:dyDescent="0.2">
      <c r="A3" s="121"/>
      <c r="B3" s="122"/>
      <c r="C3" s="123"/>
      <c r="D3" s="123"/>
      <c r="E3" s="124"/>
      <c r="F3" s="121"/>
      <c r="G3" s="121"/>
    </row>
    <row r="4" spans="1:7" s="111" customFormat="1" ht="21" x14ac:dyDescent="0.2">
      <c r="A4" s="1104" t="s">
        <v>1063</v>
      </c>
      <c r="B4" s="1104"/>
      <c r="C4" s="1104"/>
      <c r="D4" s="1104"/>
      <c r="E4" s="1104"/>
      <c r="F4" s="112"/>
      <c r="G4" s="121"/>
    </row>
    <row r="5" spans="1:7" s="111" customFormat="1" x14ac:dyDescent="0.2">
      <c r="A5" s="121"/>
      <c r="B5" s="122"/>
      <c r="C5" s="123"/>
      <c r="D5" s="123"/>
      <c r="E5" s="124"/>
      <c r="F5" s="121"/>
      <c r="G5" s="121"/>
    </row>
    <row r="6" spans="1:7" s="111" customFormat="1" ht="12" thickBot="1" x14ac:dyDescent="0.25">
      <c r="A6" s="121"/>
      <c r="B6" s="122"/>
      <c r="C6" s="123"/>
      <c r="D6" s="123"/>
      <c r="E6" s="124"/>
      <c r="F6" s="121"/>
      <c r="G6" s="121"/>
    </row>
    <row r="7" spans="1:7" s="111" customFormat="1" ht="12.75" thickTop="1" thickBot="1" x14ac:dyDescent="0.25">
      <c r="A7" s="117" t="s">
        <v>1064</v>
      </c>
      <c r="B7" s="119">
        <f>COUNTIF('Base de Datos'!Y7:Y514,100%)</f>
        <v>278</v>
      </c>
      <c r="C7" s="123"/>
      <c r="D7" s="123"/>
      <c r="E7" s="124"/>
      <c r="F7" s="121"/>
      <c r="G7" s="121"/>
    </row>
    <row r="8" spans="1:7" s="111" customFormat="1" ht="12.75" thickTop="1" thickBot="1" x14ac:dyDescent="0.25">
      <c r="A8" s="113" t="s">
        <v>1147</v>
      </c>
      <c r="B8" s="120">
        <f>(COUNTA('Base de Datos'!E6:E514))-B7</f>
        <v>231</v>
      </c>
      <c r="C8" s="123"/>
      <c r="D8" s="123"/>
      <c r="E8" s="124"/>
      <c r="F8" s="121"/>
      <c r="G8" s="121"/>
    </row>
    <row r="9" spans="1:7" s="111" customFormat="1" ht="12" thickTop="1" x14ac:dyDescent="0.2">
      <c r="A9" s="121"/>
      <c r="B9" s="122"/>
      <c r="C9" s="123"/>
      <c r="D9" s="123"/>
      <c r="E9" s="124"/>
      <c r="F9" s="121"/>
      <c r="G9" s="121"/>
    </row>
    <row r="10" spans="1:7" s="111" customFormat="1" ht="15" x14ac:dyDescent="0.25">
      <c r="A10"/>
      <c r="B10"/>
      <c r="C10" s="123"/>
      <c r="D10" s="123"/>
      <c r="E10" s="124"/>
      <c r="F10" s="121"/>
      <c r="G10" s="121"/>
    </row>
    <row r="11" spans="1:7" s="111" customFormat="1" x14ac:dyDescent="0.2">
      <c r="A11" s="883" t="s">
        <v>1057</v>
      </c>
      <c r="B11" s="891" t="s">
        <v>392</v>
      </c>
      <c r="C11" s="123"/>
      <c r="D11" s="123"/>
      <c r="E11" s="124"/>
      <c r="F11" s="121"/>
      <c r="G11" s="121"/>
    </row>
    <row r="12" spans="1:7" s="111" customFormat="1" x14ac:dyDescent="0.2">
      <c r="A12" s="883" t="s">
        <v>1000</v>
      </c>
      <c r="B12" s="892">
        <v>1</v>
      </c>
      <c r="C12" s="123"/>
      <c r="D12" s="123"/>
      <c r="E12" s="124"/>
      <c r="F12" s="121"/>
      <c r="G12" s="121"/>
    </row>
    <row r="13" spans="1:7" s="111" customFormat="1" x14ac:dyDescent="0.2">
      <c r="A13" s="121"/>
      <c r="B13" s="122"/>
      <c r="C13" s="123"/>
      <c r="D13" s="123"/>
      <c r="E13" s="124"/>
      <c r="F13" s="121"/>
      <c r="G13" s="121"/>
    </row>
    <row r="14" spans="1:7" s="108" customFormat="1" ht="22.5" x14ac:dyDescent="0.25">
      <c r="A14" s="881" t="s">
        <v>393</v>
      </c>
      <c r="B14" s="882" t="s">
        <v>1060</v>
      </c>
      <c r="C14" s="885" t="s">
        <v>955</v>
      </c>
      <c r="D14" s="885" t="s">
        <v>957</v>
      </c>
      <c r="E14" s="885" t="s">
        <v>958</v>
      </c>
      <c r="F14" s="886" t="s">
        <v>959</v>
      </c>
      <c r="G14" s="125"/>
    </row>
    <row r="15" spans="1:7" s="111" customFormat="1" x14ac:dyDescent="0.2">
      <c r="A15" s="887" t="s">
        <v>92</v>
      </c>
      <c r="B15" s="890"/>
      <c r="C15" s="884"/>
      <c r="D15" s="884"/>
      <c r="E15" s="884"/>
      <c r="F15" s="888"/>
      <c r="G15" s="121"/>
    </row>
    <row r="16" spans="1:7" s="111" customFormat="1" x14ac:dyDescent="0.2">
      <c r="A16" s="889" t="s">
        <v>425</v>
      </c>
      <c r="B16" s="890">
        <v>41673</v>
      </c>
      <c r="C16" s="884">
        <v>7329236109</v>
      </c>
      <c r="D16" s="884">
        <v>6218260556</v>
      </c>
      <c r="E16" s="884">
        <v>1110975553</v>
      </c>
      <c r="F16" s="888">
        <v>0.84841864329684125</v>
      </c>
      <c r="G16" s="121"/>
    </row>
    <row r="17" spans="1:7" s="111" customFormat="1" x14ac:dyDescent="0.2">
      <c r="A17" s="887" t="s">
        <v>151</v>
      </c>
      <c r="B17" s="890"/>
      <c r="C17" s="884"/>
      <c r="D17" s="884"/>
      <c r="E17" s="884"/>
      <c r="F17" s="888"/>
      <c r="G17" s="121"/>
    </row>
    <row r="18" spans="1:7" s="111" customFormat="1" x14ac:dyDescent="0.2">
      <c r="A18" s="889" t="s">
        <v>152</v>
      </c>
      <c r="B18" s="890">
        <v>41486</v>
      </c>
      <c r="C18" s="884">
        <v>3100400677</v>
      </c>
      <c r="D18" s="884">
        <v>3066561119</v>
      </c>
      <c r="E18" s="884">
        <v>33839558</v>
      </c>
      <c r="F18" s="888">
        <v>0.98908542426434254</v>
      </c>
      <c r="G18" s="121"/>
    </row>
    <row r="19" spans="1:7" s="111" customFormat="1" x14ac:dyDescent="0.2">
      <c r="A19" s="887" t="s">
        <v>149</v>
      </c>
      <c r="B19" s="890"/>
      <c r="C19" s="884"/>
      <c r="D19" s="884"/>
      <c r="E19" s="884"/>
      <c r="F19" s="888"/>
      <c r="G19" s="121"/>
    </row>
    <row r="20" spans="1:7" s="111" customFormat="1" x14ac:dyDescent="0.2">
      <c r="A20" s="889" t="s">
        <v>150</v>
      </c>
      <c r="B20" s="890">
        <v>41476</v>
      </c>
      <c r="C20" s="884">
        <v>2909992591</v>
      </c>
      <c r="D20" s="884">
        <v>13400894</v>
      </c>
      <c r="E20" s="884">
        <v>2896591697</v>
      </c>
      <c r="F20" s="888">
        <v>4.6051299379407939E-3</v>
      </c>
      <c r="G20" s="121"/>
    </row>
    <row r="21" spans="1:7" s="111" customFormat="1" x14ac:dyDescent="0.2">
      <c r="A21" s="887" t="s">
        <v>21</v>
      </c>
      <c r="B21" s="890"/>
      <c r="C21" s="884"/>
      <c r="D21" s="884"/>
      <c r="E21" s="884"/>
      <c r="F21" s="888"/>
      <c r="G21" s="121"/>
    </row>
    <row r="22" spans="1:7" s="111" customFormat="1" x14ac:dyDescent="0.2">
      <c r="A22" s="889" t="s">
        <v>22</v>
      </c>
      <c r="B22" s="890">
        <v>41513</v>
      </c>
      <c r="C22" s="884">
        <v>79634000</v>
      </c>
      <c r="D22" s="884">
        <v>79634000</v>
      </c>
      <c r="E22" s="884">
        <v>0</v>
      </c>
      <c r="F22" s="888">
        <v>1</v>
      </c>
      <c r="G22" s="121"/>
    </row>
    <row r="23" spans="1:7" s="111" customFormat="1" x14ac:dyDescent="0.2">
      <c r="A23" s="887" t="s">
        <v>103</v>
      </c>
      <c r="B23" s="890"/>
      <c r="C23" s="884"/>
      <c r="D23" s="884"/>
      <c r="E23" s="884"/>
      <c r="F23" s="888"/>
      <c r="G23" s="121"/>
    </row>
    <row r="24" spans="1:7" s="111" customFormat="1" x14ac:dyDescent="0.2">
      <c r="A24" s="889" t="s">
        <v>1633</v>
      </c>
      <c r="B24" s="890">
        <v>41274</v>
      </c>
      <c r="C24" s="884">
        <v>4206160</v>
      </c>
      <c r="D24" s="884">
        <v>0</v>
      </c>
      <c r="E24" s="884">
        <v>4206160</v>
      </c>
      <c r="F24" s="888">
        <v>0</v>
      </c>
      <c r="G24" s="121"/>
    </row>
    <row r="25" spans="1:7" s="111" customFormat="1" x14ac:dyDescent="0.2">
      <c r="A25" s="887" t="s">
        <v>179</v>
      </c>
      <c r="B25" s="890"/>
      <c r="C25" s="884"/>
      <c r="D25" s="884"/>
      <c r="E25" s="884"/>
      <c r="F25" s="888"/>
      <c r="G25" s="121"/>
    </row>
    <row r="26" spans="1:7" s="111" customFormat="1" x14ac:dyDescent="0.2">
      <c r="A26" s="889" t="s">
        <v>433</v>
      </c>
      <c r="B26" s="890">
        <v>41609</v>
      </c>
      <c r="C26" s="884">
        <v>726335435</v>
      </c>
      <c r="D26" s="884">
        <v>577978609</v>
      </c>
      <c r="E26" s="884">
        <v>148356826</v>
      </c>
      <c r="F26" s="888">
        <v>0.79574612658130883</v>
      </c>
      <c r="G26" s="121"/>
    </row>
    <row r="27" spans="1:7" s="111" customFormat="1" x14ac:dyDescent="0.2">
      <c r="A27" s="887" t="s">
        <v>180</v>
      </c>
      <c r="B27" s="890"/>
      <c r="C27" s="884"/>
      <c r="D27" s="884"/>
      <c r="E27" s="884"/>
      <c r="F27" s="888"/>
      <c r="G27" s="121"/>
    </row>
    <row r="28" spans="1:7" s="111" customFormat="1" x14ac:dyDescent="0.2">
      <c r="A28" s="889" t="s">
        <v>181</v>
      </c>
      <c r="B28" s="890">
        <v>41323</v>
      </c>
      <c r="C28" s="884">
        <v>234495075</v>
      </c>
      <c r="D28" s="884">
        <v>234495075</v>
      </c>
      <c r="E28" s="884">
        <v>0</v>
      </c>
      <c r="F28" s="888">
        <v>1</v>
      </c>
      <c r="G28" s="121"/>
    </row>
    <row r="29" spans="1:7" s="111" customFormat="1" x14ac:dyDescent="0.2">
      <c r="A29" s="887" t="s">
        <v>56</v>
      </c>
      <c r="B29" s="890"/>
      <c r="C29" s="884"/>
      <c r="D29" s="884"/>
      <c r="E29" s="884"/>
      <c r="F29" s="888"/>
      <c r="G29" s="121"/>
    </row>
    <row r="30" spans="1:7" s="111" customFormat="1" x14ac:dyDescent="0.2">
      <c r="A30" s="889" t="s">
        <v>57</v>
      </c>
      <c r="B30" s="890">
        <v>41623</v>
      </c>
      <c r="C30" s="884">
        <v>71096157</v>
      </c>
      <c r="D30" s="884">
        <v>71096157</v>
      </c>
      <c r="E30" s="884">
        <v>0</v>
      </c>
      <c r="F30" s="888">
        <v>1</v>
      </c>
      <c r="G30" s="121"/>
    </row>
    <row r="31" spans="1:7" s="111" customFormat="1" x14ac:dyDescent="0.2">
      <c r="A31" s="887" t="s">
        <v>19</v>
      </c>
      <c r="B31" s="890"/>
      <c r="C31" s="884"/>
      <c r="D31" s="884"/>
      <c r="E31" s="884"/>
      <c r="F31" s="888"/>
      <c r="G31" s="121"/>
    </row>
    <row r="32" spans="1:7" s="111" customFormat="1" x14ac:dyDescent="0.2">
      <c r="A32" s="889" t="s">
        <v>20</v>
      </c>
      <c r="B32" s="890">
        <v>41347</v>
      </c>
      <c r="C32" s="884">
        <v>11587500</v>
      </c>
      <c r="D32" s="884">
        <v>10316808</v>
      </c>
      <c r="E32" s="884">
        <v>1270692</v>
      </c>
      <c r="F32" s="888">
        <v>0.8903394174757282</v>
      </c>
      <c r="G32" s="121"/>
    </row>
    <row r="33" spans="1:7" s="111" customFormat="1" x14ac:dyDescent="0.2">
      <c r="A33" s="887" t="s">
        <v>23</v>
      </c>
      <c r="B33" s="890"/>
      <c r="C33" s="884"/>
      <c r="D33" s="884"/>
      <c r="E33" s="884"/>
      <c r="F33" s="888"/>
      <c r="G33" s="121"/>
    </row>
    <row r="34" spans="1:7" s="111" customFormat="1" x14ac:dyDescent="0.2">
      <c r="A34" s="889" t="s">
        <v>27</v>
      </c>
      <c r="B34" s="890">
        <v>41409</v>
      </c>
      <c r="C34" s="884">
        <v>849000</v>
      </c>
      <c r="D34" s="884">
        <v>849000</v>
      </c>
      <c r="E34" s="884">
        <v>0</v>
      </c>
      <c r="F34" s="888">
        <v>1</v>
      </c>
      <c r="G34" s="121"/>
    </row>
    <row r="35" spans="1:7" s="111" customFormat="1" x14ac:dyDescent="0.2">
      <c r="A35" s="887" t="s">
        <v>113</v>
      </c>
      <c r="B35" s="890"/>
      <c r="C35" s="884"/>
      <c r="D35" s="884"/>
      <c r="E35" s="884"/>
      <c r="F35" s="888"/>
      <c r="G35" s="121"/>
    </row>
    <row r="36" spans="1:7" s="111" customFormat="1" x14ac:dyDescent="0.2">
      <c r="A36" s="889" t="s">
        <v>434</v>
      </c>
      <c r="B36" s="890">
        <v>41333</v>
      </c>
      <c r="C36" s="884">
        <v>7192000</v>
      </c>
      <c r="D36" s="884">
        <v>7192000</v>
      </c>
      <c r="E36" s="884">
        <v>0</v>
      </c>
      <c r="F36" s="888">
        <v>1</v>
      </c>
      <c r="G36" s="121"/>
    </row>
    <row r="37" spans="1:7" s="111" customFormat="1" x14ac:dyDescent="0.2">
      <c r="A37" s="887" t="s">
        <v>101</v>
      </c>
      <c r="B37" s="890"/>
      <c r="C37" s="884"/>
      <c r="D37" s="884"/>
      <c r="E37" s="884"/>
      <c r="F37" s="888"/>
      <c r="G37" s="121"/>
    </row>
    <row r="38" spans="1:7" s="111" customFormat="1" x14ac:dyDescent="0.2">
      <c r="A38" s="889" t="s">
        <v>427</v>
      </c>
      <c r="B38" s="890">
        <v>41370</v>
      </c>
      <c r="C38" s="884">
        <v>2625000</v>
      </c>
      <c r="D38" s="884">
        <v>0</v>
      </c>
      <c r="E38" s="884">
        <v>2625000</v>
      </c>
      <c r="F38" s="888">
        <v>0</v>
      </c>
      <c r="G38" s="121"/>
    </row>
    <row r="39" spans="1:7" s="111" customFormat="1" x14ac:dyDescent="0.2">
      <c r="A39" s="887" t="s">
        <v>16</v>
      </c>
      <c r="B39" s="890"/>
      <c r="C39" s="884"/>
      <c r="D39" s="884"/>
      <c r="E39" s="884"/>
      <c r="F39" s="888"/>
      <c r="G39" s="121"/>
    </row>
    <row r="40" spans="1:7" s="111" customFormat="1" x14ac:dyDescent="0.2">
      <c r="A40" s="889" t="s">
        <v>435</v>
      </c>
      <c r="B40" s="890">
        <v>41328</v>
      </c>
      <c r="C40" s="884">
        <v>4839200</v>
      </c>
      <c r="D40" s="884">
        <v>4839200</v>
      </c>
      <c r="E40" s="884">
        <v>0</v>
      </c>
      <c r="F40" s="888">
        <v>1</v>
      </c>
      <c r="G40" s="121"/>
    </row>
    <row r="41" spans="1:7" s="111" customFormat="1" x14ac:dyDescent="0.2">
      <c r="A41" s="887" t="s">
        <v>107</v>
      </c>
      <c r="B41" s="890"/>
      <c r="C41" s="884"/>
      <c r="D41" s="884"/>
      <c r="E41" s="884"/>
      <c r="F41" s="888"/>
      <c r="G41" s="121"/>
    </row>
    <row r="42" spans="1:7" s="111" customFormat="1" x14ac:dyDescent="0.2">
      <c r="A42" s="889" t="s">
        <v>108</v>
      </c>
      <c r="B42" s="890">
        <v>41349</v>
      </c>
      <c r="C42" s="884">
        <v>13527752</v>
      </c>
      <c r="D42" s="884">
        <v>0</v>
      </c>
      <c r="E42" s="884">
        <v>13527752</v>
      </c>
      <c r="F42" s="888">
        <v>0</v>
      </c>
      <c r="G42" s="121"/>
    </row>
    <row r="43" spans="1:7" s="111" customFormat="1" x14ac:dyDescent="0.2">
      <c r="A43" s="887" t="s">
        <v>61</v>
      </c>
      <c r="B43" s="890"/>
      <c r="C43" s="884"/>
      <c r="D43" s="884"/>
      <c r="E43" s="884"/>
      <c r="F43" s="888"/>
      <c r="G43" s="121"/>
    </row>
    <row r="44" spans="1:7" s="111" customFormat="1" x14ac:dyDescent="0.2">
      <c r="A44" s="889" t="s">
        <v>436</v>
      </c>
      <c r="B44" s="890">
        <v>41531</v>
      </c>
      <c r="C44" s="884">
        <v>85219000</v>
      </c>
      <c r="D44" s="884">
        <v>95321355</v>
      </c>
      <c r="E44" s="884">
        <v>-10102355</v>
      </c>
      <c r="F44" s="888">
        <v>1.1185458055128552</v>
      </c>
      <c r="G44" s="121"/>
    </row>
    <row r="45" spans="1:7" s="111" customFormat="1" x14ac:dyDescent="0.2">
      <c r="A45" s="887" t="s">
        <v>58</v>
      </c>
      <c r="B45" s="890"/>
      <c r="C45" s="884"/>
      <c r="D45" s="884"/>
      <c r="E45" s="884"/>
      <c r="F45" s="888"/>
      <c r="G45" s="121"/>
    </row>
    <row r="46" spans="1:7" s="111" customFormat="1" x14ac:dyDescent="0.2">
      <c r="A46" s="889" t="s">
        <v>437</v>
      </c>
      <c r="B46" s="890">
        <v>41623</v>
      </c>
      <c r="C46" s="884">
        <v>99122327</v>
      </c>
      <c r="D46" s="884">
        <v>93840542</v>
      </c>
      <c r="E46" s="884">
        <v>5281785</v>
      </c>
      <c r="F46" s="888">
        <v>0.94671447735483449</v>
      </c>
      <c r="G46" s="121"/>
    </row>
    <row r="47" spans="1:7" s="111" customFormat="1" x14ac:dyDescent="0.2">
      <c r="A47" s="887" t="s">
        <v>423</v>
      </c>
      <c r="B47" s="890"/>
      <c r="C47" s="884"/>
      <c r="D47" s="884"/>
      <c r="E47" s="884"/>
      <c r="F47" s="888"/>
      <c r="G47" s="121"/>
    </row>
    <row r="48" spans="1:7" s="111" customFormat="1" x14ac:dyDescent="0.2">
      <c r="A48" s="889" t="s">
        <v>13</v>
      </c>
      <c r="B48" s="890">
        <v>41527</v>
      </c>
      <c r="C48" s="884">
        <v>900000</v>
      </c>
      <c r="D48" s="884">
        <v>900000</v>
      </c>
      <c r="E48" s="884">
        <v>0</v>
      </c>
      <c r="F48" s="888">
        <v>1</v>
      </c>
      <c r="G48" s="121"/>
    </row>
    <row r="49" spans="1:7" s="111" customFormat="1" x14ac:dyDescent="0.2">
      <c r="A49" s="887" t="s">
        <v>28</v>
      </c>
      <c r="B49" s="890"/>
      <c r="C49" s="884"/>
      <c r="D49" s="884"/>
      <c r="E49" s="884"/>
      <c r="F49" s="888"/>
      <c r="G49" s="121"/>
    </row>
    <row r="50" spans="1:7" s="111" customFormat="1" x14ac:dyDescent="0.2">
      <c r="A50" s="889" t="s">
        <v>29</v>
      </c>
      <c r="B50" s="890">
        <v>41530</v>
      </c>
      <c r="C50" s="884">
        <v>840000</v>
      </c>
      <c r="D50" s="884">
        <v>840000</v>
      </c>
      <c r="E50" s="884">
        <v>0</v>
      </c>
      <c r="F50" s="888">
        <v>1</v>
      </c>
      <c r="G50" s="121"/>
    </row>
    <row r="51" spans="1:7" s="111" customFormat="1" x14ac:dyDescent="0.2">
      <c r="A51" s="887" t="s">
        <v>32</v>
      </c>
      <c r="B51" s="890"/>
      <c r="C51" s="884"/>
      <c r="D51" s="884"/>
      <c r="E51" s="884"/>
      <c r="F51" s="888"/>
      <c r="G51" s="121"/>
    </row>
    <row r="52" spans="1:7" s="111" customFormat="1" x14ac:dyDescent="0.2">
      <c r="A52" s="889" t="s">
        <v>33</v>
      </c>
      <c r="B52" s="890">
        <v>41545</v>
      </c>
      <c r="C52" s="884">
        <v>795000</v>
      </c>
      <c r="D52" s="884">
        <v>795000</v>
      </c>
      <c r="E52" s="884">
        <v>0</v>
      </c>
      <c r="F52" s="888">
        <v>1</v>
      </c>
      <c r="G52" s="121"/>
    </row>
    <row r="53" spans="1:7" s="111" customFormat="1" x14ac:dyDescent="0.2">
      <c r="A53" s="887" t="s">
        <v>109</v>
      </c>
      <c r="B53" s="890"/>
      <c r="C53" s="884"/>
      <c r="D53" s="884"/>
      <c r="E53" s="884"/>
      <c r="F53" s="888"/>
      <c r="G53" s="121"/>
    </row>
    <row r="54" spans="1:7" s="111" customFormat="1" x14ac:dyDescent="0.2">
      <c r="A54" s="889" t="s">
        <v>420</v>
      </c>
      <c r="B54" s="890">
        <v>41346</v>
      </c>
      <c r="C54" s="884">
        <v>1818000</v>
      </c>
      <c r="D54" s="884">
        <v>0</v>
      </c>
      <c r="E54" s="884">
        <v>1818000</v>
      </c>
      <c r="F54" s="888">
        <v>0</v>
      </c>
      <c r="G54" s="121"/>
    </row>
    <row r="55" spans="1:7" s="111" customFormat="1" x14ac:dyDescent="0.2">
      <c r="A55" s="887" t="s">
        <v>34</v>
      </c>
      <c r="B55" s="890"/>
      <c r="C55" s="884"/>
      <c r="D55" s="884"/>
      <c r="E55" s="884"/>
      <c r="F55" s="888"/>
      <c r="G55" s="121"/>
    </row>
    <row r="56" spans="1:7" s="111" customFormat="1" x14ac:dyDescent="0.2">
      <c r="A56" s="889" t="s">
        <v>1009</v>
      </c>
      <c r="B56" s="890">
        <v>41333</v>
      </c>
      <c r="C56" s="884">
        <v>30000000</v>
      </c>
      <c r="D56" s="884">
        <v>30000000</v>
      </c>
      <c r="E56" s="884">
        <v>0</v>
      </c>
      <c r="F56" s="888">
        <v>1</v>
      </c>
      <c r="G56" s="121"/>
    </row>
    <row r="57" spans="1:7" s="111" customFormat="1" x14ac:dyDescent="0.2">
      <c r="A57" s="887" t="s">
        <v>10</v>
      </c>
      <c r="B57" s="890"/>
      <c r="C57" s="884"/>
      <c r="D57" s="884"/>
      <c r="E57" s="884"/>
      <c r="F57" s="888"/>
      <c r="G57" s="121"/>
    </row>
    <row r="58" spans="1:7" s="111" customFormat="1" x14ac:dyDescent="0.2">
      <c r="A58" s="889" t="s">
        <v>1010</v>
      </c>
      <c r="B58" s="890">
        <v>41367</v>
      </c>
      <c r="C58" s="884">
        <v>35000000</v>
      </c>
      <c r="D58" s="884">
        <v>34666667</v>
      </c>
      <c r="E58" s="884">
        <v>333333</v>
      </c>
      <c r="F58" s="888">
        <v>0.99047620000000003</v>
      </c>
      <c r="G58" s="121"/>
    </row>
    <row r="59" spans="1:7" s="111" customFormat="1" x14ac:dyDescent="0.2">
      <c r="A59" s="887" t="s">
        <v>114</v>
      </c>
      <c r="B59" s="890"/>
      <c r="C59" s="884"/>
      <c r="D59" s="884"/>
      <c r="E59" s="884"/>
      <c r="F59" s="888"/>
      <c r="G59" s="121"/>
    </row>
    <row r="60" spans="1:7" s="111" customFormat="1" x14ac:dyDescent="0.2">
      <c r="A60" s="889" t="s">
        <v>115</v>
      </c>
      <c r="B60" s="890">
        <v>41626</v>
      </c>
      <c r="C60" s="884">
        <v>8334226</v>
      </c>
      <c r="D60" s="884">
        <v>8334226</v>
      </c>
      <c r="E60" s="884">
        <v>0</v>
      </c>
      <c r="F60" s="888">
        <v>1</v>
      </c>
      <c r="G60" s="121"/>
    </row>
    <row r="61" spans="1:7" s="111" customFormat="1" x14ac:dyDescent="0.2">
      <c r="A61" s="887" t="s">
        <v>106</v>
      </c>
      <c r="B61" s="890"/>
      <c r="C61" s="884"/>
      <c r="D61" s="884"/>
      <c r="E61" s="884"/>
      <c r="F61" s="888"/>
      <c r="G61" s="121"/>
    </row>
    <row r="62" spans="1:7" s="111" customFormat="1" x14ac:dyDescent="0.2">
      <c r="A62" s="889" t="s">
        <v>1011</v>
      </c>
      <c r="B62" s="890">
        <v>41343</v>
      </c>
      <c r="C62" s="884">
        <v>20565000</v>
      </c>
      <c r="D62" s="884">
        <v>20565000</v>
      </c>
      <c r="E62" s="884">
        <v>0</v>
      </c>
      <c r="F62" s="888">
        <v>1</v>
      </c>
      <c r="G62" s="121"/>
    </row>
    <row r="63" spans="1:7" s="111" customFormat="1" x14ac:dyDescent="0.2">
      <c r="A63" s="887" t="s">
        <v>105</v>
      </c>
      <c r="B63" s="890"/>
      <c r="C63" s="884"/>
      <c r="D63" s="884"/>
      <c r="E63" s="884"/>
      <c r="F63" s="888"/>
      <c r="G63" s="121"/>
    </row>
    <row r="64" spans="1:7" s="111" customFormat="1" x14ac:dyDescent="0.2">
      <c r="A64" s="889" t="s">
        <v>1012</v>
      </c>
      <c r="B64" s="890">
        <v>41263</v>
      </c>
      <c r="C64" s="884">
        <v>6730000</v>
      </c>
      <c r="D64" s="884">
        <v>6395000</v>
      </c>
      <c r="E64" s="884">
        <v>335000</v>
      </c>
      <c r="F64" s="888">
        <v>0.95022288261515597</v>
      </c>
      <c r="G64" s="121"/>
    </row>
    <row r="65" spans="1:7" s="111" customFormat="1" x14ac:dyDescent="0.2">
      <c r="A65" s="887" t="s">
        <v>17</v>
      </c>
      <c r="B65" s="890"/>
      <c r="C65" s="884"/>
      <c r="D65" s="884"/>
      <c r="E65" s="884"/>
      <c r="F65" s="888"/>
      <c r="G65" s="121"/>
    </row>
    <row r="66" spans="1:7" s="111" customFormat="1" x14ac:dyDescent="0.2">
      <c r="A66" s="889" t="s">
        <v>18</v>
      </c>
      <c r="B66" s="890">
        <v>41387</v>
      </c>
      <c r="C66" s="884">
        <v>23994880</v>
      </c>
      <c r="D66" s="884">
        <v>23994876</v>
      </c>
      <c r="E66" s="884">
        <v>4</v>
      </c>
      <c r="F66" s="888">
        <v>0.9999998332977702</v>
      </c>
      <c r="G66" s="121"/>
    </row>
    <row r="67" spans="1:7" s="111" customFormat="1" x14ac:dyDescent="0.2">
      <c r="A67" s="887" t="s">
        <v>24</v>
      </c>
      <c r="B67" s="890"/>
      <c r="C67" s="884"/>
      <c r="D67" s="884"/>
      <c r="E67" s="884"/>
      <c r="F67" s="888"/>
      <c r="G67" s="121"/>
    </row>
    <row r="68" spans="1:7" s="111" customFormat="1" x14ac:dyDescent="0.2">
      <c r="A68" s="889" t="s">
        <v>1013</v>
      </c>
      <c r="B68" s="890">
        <v>41369</v>
      </c>
      <c r="C68" s="884">
        <v>38400000</v>
      </c>
      <c r="D68" s="884">
        <v>38400000</v>
      </c>
      <c r="E68" s="884">
        <v>0</v>
      </c>
      <c r="F68" s="888">
        <v>1</v>
      </c>
      <c r="G68" s="121"/>
    </row>
    <row r="69" spans="1:7" s="111" customFormat="1" x14ac:dyDescent="0.2">
      <c r="A69" s="887" t="s">
        <v>118</v>
      </c>
      <c r="B69" s="890"/>
      <c r="C69" s="884"/>
      <c r="D69" s="884"/>
      <c r="E69" s="884"/>
      <c r="F69" s="888"/>
      <c r="G69" s="121"/>
    </row>
    <row r="70" spans="1:7" s="111" customFormat="1" x14ac:dyDescent="0.2">
      <c r="A70" s="889" t="s">
        <v>1014</v>
      </c>
      <c r="B70" s="890">
        <v>41308</v>
      </c>
      <c r="C70" s="884">
        <v>3961330</v>
      </c>
      <c r="D70" s="884">
        <v>3961330</v>
      </c>
      <c r="E70" s="884">
        <v>0</v>
      </c>
      <c r="F70" s="888">
        <v>1</v>
      </c>
      <c r="G70" s="121"/>
    </row>
    <row r="71" spans="1:7" s="111" customFormat="1" x14ac:dyDescent="0.2">
      <c r="A71" s="887" t="s">
        <v>62</v>
      </c>
      <c r="B71" s="890"/>
      <c r="C71" s="884"/>
      <c r="D71" s="884"/>
      <c r="E71" s="884"/>
      <c r="F71" s="888"/>
      <c r="G71" s="121"/>
    </row>
    <row r="72" spans="1:7" s="111" customFormat="1" x14ac:dyDescent="0.2">
      <c r="A72" s="889" t="s">
        <v>1015</v>
      </c>
      <c r="B72" s="890">
        <v>41452</v>
      </c>
      <c r="C72" s="884">
        <v>24000000</v>
      </c>
      <c r="D72" s="884">
        <v>24000000</v>
      </c>
      <c r="E72" s="884">
        <v>0</v>
      </c>
      <c r="F72" s="888">
        <v>1</v>
      </c>
      <c r="G72" s="121"/>
    </row>
    <row r="73" spans="1:7" s="111" customFormat="1" x14ac:dyDescent="0.2">
      <c r="A73" s="887" t="s">
        <v>30</v>
      </c>
      <c r="B73" s="890"/>
      <c r="C73" s="884"/>
      <c r="D73" s="884"/>
      <c r="E73" s="884"/>
      <c r="F73" s="888"/>
      <c r="G73" s="121"/>
    </row>
    <row r="74" spans="1:7" s="111" customFormat="1" x14ac:dyDescent="0.2">
      <c r="A74" s="889" t="s">
        <v>31</v>
      </c>
      <c r="B74" s="890">
        <v>41350</v>
      </c>
      <c r="C74" s="884">
        <v>6000000</v>
      </c>
      <c r="D74" s="884">
        <v>6000000</v>
      </c>
      <c r="E74" s="884">
        <v>0</v>
      </c>
      <c r="F74" s="888">
        <v>1</v>
      </c>
      <c r="G74" s="121"/>
    </row>
    <row r="75" spans="1:7" s="111" customFormat="1" x14ac:dyDescent="0.2">
      <c r="A75" s="887" t="s">
        <v>14</v>
      </c>
      <c r="B75" s="890"/>
      <c r="C75" s="884"/>
      <c r="D75" s="884"/>
      <c r="E75" s="884"/>
      <c r="F75" s="888"/>
      <c r="G75" s="121"/>
    </row>
    <row r="76" spans="1:7" s="111" customFormat="1" x14ac:dyDescent="0.2">
      <c r="A76" s="889" t="s">
        <v>15</v>
      </c>
      <c r="B76" s="890">
        <v>41472</v>
      </c>
      <c r="C76" s="884">
        <v>7740000</v>
      </c>
      <c r="D76" s="884">
        <v>7740000</v>
      </c>
      <c r="E76" s="884">
        <v>0</v>
      </c>
      <c r="F76" s="888">
        <v>1</v>
      </c>
      <c r="G76" s="121"/>
    </row>
    <row r="77" spans="1:7" s="111" customFormat="1" x14ac:dyDescent="0.2">
      <c r="A77" s="887" t="s">
        <v>40</v>
      </c>
      <c r="B77" s="890"/>
      <c r="C77" s="884"/>
      <c r="D77" s="884"/>
      <c r="E77" s="884"/>
      <c r="F77" s="888"/>
      <c r="G77" s="121"/>
    </row>
    <row r="78" spans="1:7" s="111" customFormat="1" x14ac:dyDescent="0.2">
      <c r="A78" s="889" t="s">
        <v>41</v>
      </c>
      <c r="B78" s="890">
        <v>41398</v>
      </c>
      <c r="C78" s="884">
        <v>47000000</v>
      </c>
      <c r="D78" s="884">
        <v>41245000</v>
      </c>
      <c r="E78" s="884">
        <v>5755000</v>
      </c>
      <c r="F78" s="888">
        <v>0.87755319148936173</v>
      </c>
      <c r="G78" s="121"/>
    </row>
    <row r="79" spans="1:7" s="111" customFormat="1" x14ac:dyDescent="0.2">
      <c r="A79" s="887" t="s">
        <v>72</v>
      </c>
      <c r="B79" s="890"/>
      <c r="C79" s="884"/>
      <c r="D79" s="884"/>
      <c r="E79" s="884"/>
      <c r="F79" s="888"/>
      <c r="G79" s="121"/>
    </row>
    <row r="80" spans="1:7" s="111" customFormat="1" x14ac:dyDescent="0.2">
      <c r="A80" s="889" t="s">
        <v>73</v>
      </c>
      <c r="B80" s="890">
        <v>41400</v>
      </c>
      <c r="C80" s="884">
        <v>950000000</v>
      </c>
      <c r="D80" s="884">
        <v>950000000</v>
      </c>
      <c r="E80" s="884">
        <v>0</v>
      </c>
      <c r="F80" s="888">
        <v>1</v>
      </c>
      <c r="G80" s="121"/>
    </row>
    <row r="81" spans="1:7" s="111" customFormat="1" x14ac:dyDescent="0.2">
      <c r="A81" s="887" t="s">
        <v>396</v>
      </c>
      <c r="B81" s="890"/>
      <c r="C81" s="884"/>
      <c r="D81" s="884"/>
      <c r="E81" s="884"/>
      <c r="F81" s="888"/>
      <c r="G81" s="121"/>
    </row>
    <row r="82" spans="1:7" s="111" customFormat="1" x14ac:dyDescent="0.2">
      <c r="A82" s="889" t="s">
        <v>203</v>
      </c>
      <c r="B82" s="890">
        <v>41312</v>
      </c>
      <c r="C82" s="884">
        <v>10440000</v>
      </c>
      <c r="D82" s="884">
        <v>10440000</v>
      </c>
      <c r="E82" s="884">
        <v>0</v>
      </c>
      <c r="F82" s="888">
        <v>1</v>
      </c>
      <c r="G82" s="121"/>
    </row>
    <row r="83" spans="1:7" s="111" customFormat="1" x14ac:dyDescent="0.2">
      <c r="A83" s="887" t="s">
        <v>153</v>
      </c>
      <c r="B83" s="890"/>
      <c r="C83" s="884"/>
      <c r="D83" s="884"/>
      <c r="E83" s="884"/>
      <c r="F83" s="888"/>
      <c r="G83" s="121"/>
    </row>
    <row r="84" spans="1:7" s="111" customFormat="1" x14ac:dyDescent="0.2">
      <c r="A84" s="889" t="s">
        <v>154</v>
      </c>
      <c r="B84" s="890">
        <v>41213</v>
      </c>
      <c r="C84" s="884">
        <v>41705635</v>
      </c>
      <c r="D84" s="884">
        <v>41705635</v>
      </c>
      <c r="E84" s="884">
        <v>0</v>
      </c>
      <c r="F84" s="888">
        <v>1</v>
      </c>
      <c r="G84" s="121"/>
    </row>
    <row r="85" spans="1:7" s="111" customFormat="1" x14ac:dyDescent="0.2">
      <c r="A85" s="887" t="s">
        <v>170</v>
      </c>
      <c r="B85" s="890"/>
      <c r="C85" s="884"/>
      <c r="D85" s="884"/>
      <c r="E85" s="884"/>
      <c r="F85" s="888"/>
      <c r="G85" s="121"/>
    </row>
    <row r="86" spans="1:7" s="111" customFormat="1" x14ac:dyDescent="0.2">
      <c r="A86" s="889" t="s">
        <v>428</v>
      </c>
      <c r="B86" s="890">
        <v>41112</v>
      </c>
      <c r="C86" s="884">
        <v>497000000</v>
      </c>
      <c r="D86" s="884">
        <v>495932967</v>
      </c>
      <c r="E86" s="884">
        <v>1067033</v>
      </c>
      <c r="F86" s="888">
        <v>0.99785305231388333</v>
      </c>
      <c r="G86" s="121"/>
    </row>
    <row r="87" spans="1:7" s="111" customFormat="1" x14ac:dyDescent="0.2">
      <c r="A87" s="887" t="s">
        <v>594</v>
      </c>
      <c r="B87" s="890"/>
      <c r="C87" s="884"/>
      <c r="D87" s="884"/>
      <c r="E87" s="884"/>
      <c r="F87" s="888"/>
      <c r="G87" s="121"/>
    </row>
    <row r="88" spans="1:7" s="111" customFormat="1" x14ac:dyDescent="0.2">
      <c r="A88" s="889" t="s">
        <v>1006</v>
      </c>
      <c r="B88" s="890">
        <v>41356</v>
      </c>
      <c r="C88" s="884">
        <v>9425000</v>
      </c>
      <c r="D88" s="884">
        <v>9425000</v>
      </c>
      <c r="E88" s="884">
        <v>0</v>
      </c>
      <c r="F88" s="888">
        <v>1</v>
      </c>
      <c r="G88" s="121"/>
    </row>
    <row r="89" spans="1:7" s="111" customFormat="1" x14ac:dyDescent="0.2">
      <c r="A89" s="887" t="s">
        <v>127</v>
      </c>
      <c r="B89" s="890"/>
      <c r="C89" s="884"/>
      <c r="D89" s="884"/>
      <c r="E89" s="884"/>
      <c r="F89" s="888"/>
      <c r="G89" s="121"/>
    </row>
    <row r="90" spans="1:7" s="111" customFormat="1" x14ac:dyDescent="0.2">
      <c r="A90" s="889" t="s">
        <v>128</v>
      </c>
      <c r="B90" s="890">
        <v>41364</v>
      </c>
      <c r="C90" s="884">
        <v>22930000</v>
      </c>
      <c r="D90" s="884">
        <v>18432731</v>
      </c>
      <c r="E90" s="884">
        <v>4497269</v>
      </c>
      <c r="F90" s="888">
        <v>0.80386964675098127</v>
      </c>
      <c r="G90" s="121"/>
    </row>
    <row r="91" spans="1:7" s="111" customFormat="1" x14ac:dyDescent="0.2">
      <c r="A91" s="887" t="s">
        <v>59</v>
      </c>
      <c r="B91" s="890"/>
      <c r="C91" s="884"/>
      <c r="D91" s="884"/>
      <c r="E91" s="884"/>
      <c r="F91" s="888"/>
      <c r="G91" s="121"/>
    </row>
    <row r="92" spans="1:7" s="111" customFormat="1" x14ac:dyDescent="0.2">
      <c r="A92" s="889" t="s">
        <v>60</v>
      </c>
      <c r="B92" s="890">
        <v>41471</v>
      </c>
      <c r="C92" s="884">
        <v>4100000</v>
      </c>
      <c r="D92" s="884">
        <v>3389600</v>
      </c>
      <c r="E92" s="884">
        <v>710400</v>
      </c>
      <c r="F92" s="888">
        <v>0.82673170731707313</v>
      </c>
      <c r="G92" s="121"/>
    </row>
    <row r="93" spans="1:7" s="111" customFormat="1" x14ac:dyDescent="0.2">
      <c r="A93" s="887" t="s">
        <v>120</v>
      </c>
      <c r="B93" s="890"/>
      <c r="C93" s="884"/>
      <c r="D93" s="884"/>
      <c r="E93" s="884"/>
      <c r="F93" s="888"/>
      <c r="G93" s="121"/>
    </row>
    <row r="94" spans="1:7" s="111" customFormat="1" x14ac:dyDescent="0.2">
      <c r="A94" s="889" t="s">
        <v>429</v>
      </c>
      <c r="B94" s="890">
        <v>41362</v>
      </c>
      <c r="C94" s="884">
        <v>20044800</v>
      </c>
      <c r="D94" s="884">
        <v>20044800</v>
      </c>
      <c r="E94" s="884">
        <v>0</v>
      </c>
      <c r="F94" s="888">
        <v>1</v>
      </c>
      <c r="G94" s="121"/>
    </row>
    <row r="95" spans="1:7" s="111" customFormat="1" x14ac:dyDescent="0.2">
      <c r="A95" s="887" t="s">
        <v>112</v>
      </c>
      <c r="B95" s="890"/>
      <c r="C95" s="884"/>
      <c r="D95" s="884"/>
      <c r="E95" s="884"/>
      <c r="F95" s="888"/>
      <c r="G95" s="121"/>
    </row>
    <row r="96" spans="1:7" s="111" customFormat="1" x14ac:dyDescent="0.2">
      <c r="A96" s="889" t="s">
        <v>430</v>
      </c>
      <c r="B96" s="890">
        <v>41323</v>
      </c>
      <c r="C96" s="884">
        <v>9976800</v>
      </c>
      <c r="D96" s="884">
        <v>9976596</v>
      </c>
      <c r="E96" s="884">
        <v>204</v>
      </c>
      <c r="F96" s="888">
        <v>0.99997955256194371</v>
      </c>
      <c r="G96" s="121"/>
    </row>
    <row r="97" spans="1:7" s="111" customFormat="1" x14ac:dyDescent="0.2">
      <c r="A97" s="887" t="s">
        <v>44</v>
      </c>
      <c r="B97" s="890"/>
      <c r="C97" s="884"/>
      <c r="D97" s="884"/>
      <c r="E97" s="884"/>
      <c r="F97" s="888"/>
      <c r="G97" s="121"/>
    </row>
    <row r="98" spans="1:7" s="111" customFormat="1" x14ac:dyDescent="0.2">
      <c r="A98" s="889" t="s">
        <v>1017</v>
      </c>
      <c r="B98" s="890">
        <v>41547</v>
      </c>
      <c r="C98" s="884">
        <v>8932201</v>
      </c>
      <c r="D98" s="884">
        <v>8906668</v>
      </c>
      <c r="E98" s="884">
        <v>25533</v>
      </c>
      <c r="F98" s="888">
        <v>0.99714146602836184</v>
      </c>
      <c r="G98" s="121"/>
    </row>
    <row r="99" spans="1:7" s="111" customFormat="1" x14ac:dyDescent="0.2">
      <c r="A99" s="887" t="s">
        <v>7</v>
      </c>
      <c r="B99" s="890"/>
      <c r="C99" s="884"/>
      <c r="D99" s="884"/>
      <c r="E99" s="884"/>
      <c r="F99" s="888"/>
      <c r="G99" s="121"/>
    </row>
    <row r="100" spans="1:7" s="111" customFormat="1" x14ac:dyDescent="0.2">
      <c r="A100" s="889" t="s">
        <v>8</v>
      </c>
      <c r="B100" s="890">
        <v>41458</v>
      </c>
      <c r="C100" s="884">
        <v>8545000</v>
      </c>
      <c r="D100" s="884">
        <v>4336000</v>
      </c>
      <c r="E100" s="884">
        <v>4209000</v>
      </c>
      <c r="F100" s="888">
        <v>0.50743124634289061</v>
      </c>
      <c r="G100" s="121"/>
    </row>
    <row r="101" spans="1:7" s="111" customFormat="1" x14ac:dyDescent="0.2">
      <c r="A101" s="887" t="s">
        <v>161</v>
      </c>
      <c r="B101" s="890"/>
      <c r="C101" s="884"/>
      <c r="D101" s="884"/>
      <c r="E101" s="884"/>
      <c r="F101" s="888"/>
      <c r="G101" s="121"/>
    </row>
    <row r="102" spans="1:7" s="111" customFormat="1" x14ac:dyDescent="0.2">
      <c r="A102" s="889" t="s">
        <v>162</v>
      </c>
      <c r="B102" s="890">
        <v>40922</v>
      </c>
      <c r="C102" s="884">
        <v>1306508</v>
      </c>
      <c r="D102" s="884">
        <v>1306508</v>
      </c>
      <c r="E102" s="884">
        <v>0</v>
      </c>
      <c r="F102" s="888">
        <v>1</v>
      </c>
      <c r="G102" s="121"/>
    </row>
    <row r="103" spans="1:7" s="111" customFormat="1" x14ac:dyDescent="0.2">
      <c r="A103" s="887" t="s">
        <v>5</v>
      </c>
      <c r="B103" s="890"/>
      <c r="C103" s="884"/>
      <c r="D103" s="884"/>
      <c r="E103" s="884"/>
      <c r="F103" s="888"/>
      <c r="G103" s="121"/>
    </row>
    <row r="104" spans="1:7" s="111" customFormat="1" x14ac:dyDescent="0.2">
      <c r="A104" s="889" t="s">
        <v>431</v>
      </c>
      <c r="B104" s="890">
        <v>41243</v>
      </c>
      <c r="C104" s="884">
        <v>102786079</v>
      </c>
      <c r="D104" s="884">
        <v>84046373</v>
      </c>
      <c r="E104" s="884">
        <v>18739706</v>
      </c>
      <c r="F104" s="888">
        <v>0.81768245094746728</v>
      </c>
      <c r="G104" s="121"/>
    </row>
    <row r="105" spans="1:7" s="111" customFormat="1" x14ac:dyDescent="0.2">
      <c r="A105" s="887" t="s">
        <v>6</v>
      </c>
      <c r="B105" s="890"/>
      <c r="C105" s="884"/>
      <c r="D105" s="884"/>
      <c r="E105" s="884"/>
      <c r="F105" s="888"/>
      <c r="G105" s="121"/>
    </row>
    <row r="106" spans="1:7" s="111" customFormat="1" x14ac:dyDescent="0.2">
      <c r="A106" s="889" t="s">
        <v>1018</v>
      </c>
      <c r="B106" s="890">
        <v>41445</v>
      </c>
      <c r="C106" s="884">
        <v>242578353</v>
      </c>
      <c r="D106" s="884">
        <v>218264339</v>
      </c>
      <c r="E106" s="884">
        <v>24314014</v>
      </c>
      <c r="F106" s="888">
        <v>0.89976841008562702</v>
      </c>
      <c r="G106" s="121"/>
    </row>
    <row r="107" spans="1:7" s="111" customFormat="1" x14ac:dyDescent="0.2">
      <c r="A107" s="887" t="s">
        <v>35</v>
      </c>
      <c r="B107" s="890"/>
      <c r="C107" s="884"/>
      <c r="D107" s="884"/>
      <c r="E107" s="884"/>
      <c r="F107" s="888"/>
      <c r="G107" s="121"/>
    </row>
    <row r="108" spans="1:7" s="111" customFormat="1" x14ac:dyDescent="0.2">
      <c r="A108" s="889" t="s">
        <v>36</v>
      </c>
      <c r="B108" s="890">
        <v>41414</v>
      </c>
      <c r="C108" s="884">
        <v>4493000</v>
      </c>
      <c r="D108" s="884">
        <v>3309000</v>
      </c>
      <c r="E108" s="884">
        <v>1184000</v>
      </c>
      <c r="F108" s="888">
        <v>0.73647896728243933</v>
      </c>
      <c r="G108" s="121"/>
    </row>
    <row r="109" spans="1:7" s="111" customFormat="1" x14ac:dyDescent="0.2">
      <c r="A109" s="887" t="s">
        <v>37</v>
      </c>
      <c r="B109" s="890"/>
      <c r="C109" s="884"/>
      <c r="D109" s="884"/>
      <c r="E109" s="884"/>
      <c r="F109" s="888"/>
      <c r="G109" s="121"/>
    </row>
    <row r="110" spans="1:7" s="111" customFormat="1" x14ac:dyDescent="0.2">
      <c r="A110" s="889" t="s">
        <v>38</v>
      </c>
      <c r="B110" s="890">
        <v>41425</v>
      </c>
      <c r="C110" s="884">
        <v>24726000</v>
      </c>
      <c r="D110" s="884">
        <v>24725958</v>
      </c>
      <c r="E110" s="884">
        <v>42</v>
      </c>
      <c r="F110" s="888">
        <v>0.99999830138315948</v>
      </c>
      <c r="G110" s="121"/>
    </row>
    <row r="111" spans="1:7" s="111" customFormat="1" x14ac:dyDescent="0.2">
      <c r="A111" s="887" t="s">
        <v>9</v>
      </c>
      <c r="B111" s="890"/>
      <c r="C111" s="884"/>
      <c r="D111" s="884"/>
      <c r="E111" s="884"/>
      <c r="F111" s="888"/>
      <c r="G111" s="121"/>
    </row>
    <row r="112" spans="1:7" s="111" customFormat="1" x14ac:dyDescent="0.2">
      <c r="A112" s="889" t="s">
        <v>1019</v>
      </c>
      <c r="B112" s="890">
        <v>41409</v>
      </c>
      <c r="C112" s="884">
        <v>20923575</v>
      </c>
      <c r="D112" s="884">
        <v>19912200</v>
      </c>
      <c r="E112" s="884">
        <v>1011375</v>
      </c>
      <c r="F112" s="888">
        <v>0.95166337492517417</v>
      </c>
      <c r="G112" s="121"/>
    </row>
    <row r="113" spans="1:7" s="111" customFormat="1" x14ac:dyDescent="0.2">
      <c r="A113" s="887" t="s">
        <v>63</v>
      </c>
      <c r="B113" s="890"/>
      <c r="C113" s="884"/>
      <c r="D113" s="884"/>
      <c r="E113" s="884"/>
      <c r="F113" s="888"/>
      <c r="G113" s="121"/>
    </row>
    <row r="114" spans="1:7" s="111" customFormat="1" x14ac:dyDescent="0.2">
      <c r="A114" s="889" t="s">
        <v>64</v>
      </c>
      <c r="B114" s="890">
        <v>41441</v>
      </c>
      <c r="C114" s="884">
        <v>282073266</v>
      </c>
      <c r="D114" s="884">
        <v>282073266</v>
      </c>
      <c r="E114" s="884">
        <v>0</v>
      </c>
      <c r="F114" s="888">
        <v>1</v>
      </c>
      <c r="G114" s="121"/>
    </row>
    <row r="115" spans="1:7" s="111" customFormat="1" x14ac:dyDescent="0.2">
      <c r="A115" s="887" t="s">
        <v>110</v>
      </c>
      <c r="B115" s="890"/>
      <c r="C115" s="884"/>
      <c r="D115" s="884"/>
      <c r="E115" s="884"/>
      <c r="F115" s="888"/>
      <c r="G115" s="121"/>
    </row>
    <row r="116" spans="1:7" s="111" customFormat="1" x14ac:dyDescent="0.2">
      <c r="A116" s="889" t="s">
        <v>111</v>
      </c>
      <c r="B116" s="890">
        <v>41441</v>
      </c>
      <c r="C116" s="884">
        <v>50618751</v>
      </c>
      <c r="D116" s="884">
        <v>50618751</v>
      </c>
      <c r="E116" s="884">
        <v>0</v>
      </c>
      <c r="F116" s="888">
        <v>1</v>
      </c>
      <c r="G116" s="121"/>
    </row>
    <row r="117" spans="1:7" s="111" customFormat="1" x14ac:dyDescent="0.2">
      <c r="A117" s="887" t="s">
        <v>65</v>
      </c>
      <c r="B117" s="890"/>
      <c r="C117" s="884"/>
      <c r="D117" s="884"/>
      <c r="E117" s="884"/>
      <c r="F117" s="888"/>
      <c r="G117" s="121"/>
    </row>
    <row r="118" spans="1:7" s="111" customFormat="1" x14ac:dyDescent="0.2">
      <c r="A118" s="889" t="s">
        <v>66</v>
      </c>
      <c r="B118" s="890">
        <v>41486</v>
      </c>
      <c r="C118" s="884">
        <v>69900000</v>
      </c>
      <c r="D118" s="884">
        <v>69900000</v>
      </c>
      <c r="E118" s="884">
        <v>0</v>
      </c>
      <c r="F118" s="888">
        <v>1</v>
      </c>
      <c r="G118" s="121"/>
    </row>
    <row r="119" spans="1:7" s="111" customFormat="1" x14ac:dyDescent="0.2">
      <c r="A119" s="887" t="s">
        <v>69</v>
      </c>
      <c r="B119" s="890"/>
      <c r="C119" s="884"/>
      <c r="D119" s="884"/>
      <c r="E119" s="884"/>
      <c r="F119" s="888"/>
      <c r="G119" s="121"/>
    </row>
    <row r="120" spans="1:7" s="111" customFormat="1" x14ac:dyDescent="0.2">
      <c r="A120" s="889" t="s">
        <v>77</v>
      </c>
      <c r="B120" s="890">
        <v>41412</v>
      </c>
      <c r="C120" s="884">
        <v>500000000</v>
      </c>
      <c r="D120" s="884">
        <v>500000000</v>
      </c>
      <c r="E120" s="884">
        <v>0</v>
      </c>
      <c r="F120" s="888">
        <v>1</v>
      </c>
      <c r="G120" s="121"/>
    </row>
    <row r="121" spans="1:7" s="111" customFormat="1" x14ac:dyDescent="0.2">
      <c r="A121" s="887" t="s">
        <v>47</v>
      </c>
      <c r="B121" s="890"/>
      <c r="C121" s="884"/>
      <c r="D121" s="884"/>
      <c r="E121" s="884"/>
      <c r="F121" s="888"/>
      <c r="G121" s="121"/>
    </row>
    <row r="122" spans="1:7" s="111" customFormat="1" x14ac:dyDescent="0.2">
      <c r="A122" s="889" t="s">
        <v>48</v>
      </c>
      <c r="B122" s="890">
        <v>41481</v>
      </c>
      <c r="C122" s="884">
        <v>24824832</v>
      </c>
      <c r="D122" s="884">
        <v>24824832</v>
      </c>
      <c r="E122" s="884">
        <v>0</v>
      </c>
      <c r="F122" s="888">
        <v>1</v>
      </c>
      <c r="G122" s="121"/>
    </row>
    <row r="123" spans="1:7" s="111" customFormat="1" x14ac:dyDescent="0.2">
      <c r="A123" s="887" t="s">
        <v>39</v>
      </c>
      <c r="B123" s="890"/>
      <c r="C123" s="884"/>
      <c r="D123" s="884"/>
      <c r="E123" s="884"/>
      <c r="F123" s="888"/>
      <c r="G123" s="121"/>
    </row>
    <row r="124" spans="1:7" s="111" customFormat="1" x14ac:dyDescent="0.2">
      <c r="A124" s="889" t="s">
        <v>1020</v>
      </c>
      <c r="B124" s="890">
        <v>41558</v>
      </c>
      <c r="C124" s="884">
        <v>810000</v>
      </c>
      <c r="D124" s="884">
        <v>810000</v>
      </c>
      <c r="E124" s="884">
        <v>0</v>
      </c>
      <c r="F124" s="888">
        <v>1</v>
      </c>
      <c r="G124" s="121"/>
    </row>
    <row r="125" spans="1:7" s="111" customFormat="1" x14ac:dyDescent="0.2">
      <c r="A125" s="887" t="s">
        <v>49</v>
      </c>
      <c r="B125" s="890"/>
      <c r="C125" s="884"/>
      <c r="D125" s="884"/>
      <c r="E125" s="884"/>
      <c r="F125" s="888"/>
      <c r="G125" s="121"/>
    </row>
    <row r="126" spans="1:7" s="111" customFormat="1" x14ac:dyDescent="0.2">
      <c r="A126" s="889" t="s">
        <v>1021</v>
      </c>
      <c r="B126" s="890">
        <v>41451</v>
      </c>
      <c r="C126" s="884">
        <v>299287875</v>
      </c>
      <c r="D126" s="884">
        <v>160844981</v>
      </c>
      <c r="E126" s="884">
        <v>138442894</v>
      </c>
      <c r="F126" s="888">
        <v>0.53742565080526572</v>
      </c>
      <c r="G126" s="121"/>
    </row>
    <row r="127" spans="1:7" s="111" customFormat="1" x14ac:dyDescent="0.2">
      <c r="A127" s="887" t="s">
        <v>50</v>
      </c>
      <c r="B127" s="890"/>
      <c r="C127" s="884"/>
      <c r="D127" s="884"/>
      <c r="E127" s="884"/>
      <c r="F127" s="888"/>
      <c r="G127" s="121"/>
    </row>
    <row r="128" spans="1:7" s="111" customFormat="1" x14ac:dyDescent="0.2">
      <c r="A128" s="889" t="s">
        <v>1022</v>
      </c>
      <c r="B128" s="890">
        <v>41534</v>
      </c>
      <c r="C128" s="884">
        <v>1392000</v>
      </c>
      <c r="D128" s="884">
        <v>0</v>
      </c>
      <c r="E128" s="884">
        <v>1392000</v>
      </c>
      <c r="F128" s="888">
        <v>0</v>
      </c>
      <c r="G128" s="121"/>
    </row>
    <row r="129" spans="1:7" s="111" customFormat="1" x14ac:dyDescent="0.2">
      <c r="A129" s="887" t="s">
        <v>119</v>
      </c>
      <c r="B129" s="890"/>
      <c r="C129" s="884"/>
      <c r="D129" s="884"/>
      <c r="E129" s="884"/>
      <c r="F129" s="888"/>
      <c r="G129" s="121"/>
    </row>
    <row r="130" spans="1:7" s="111" customFormat="1" x14ac:dyDescent="0.2">
      <c r="A130" s="889" t="s">
        <v>398</v>
      </c>
      <c r="B130" s="890">
        <v>41390</v>
      </c>
      <c r="C130" s="884">
        <v>4056000</v>
      </c>
      <c r="D130" s="884">
        <v>4056000</v>
      </c>
      <c r="E130" s="884">
        <v>0</v>
      </c>
      <c r="F130" s="888">
        <v>1</v>
      </c>
      <c r="G130" s="121"/>
    </row>
    <row r="131" spans="1:7" s="111" customFormat="1" x14ac:dyDescent="0.2">
      <c r="A131" s="887" t="s">
        <v>589</v>
      </c>
      <c r="B131" s="890"/>
      <c r="C131" s="884"/>
      <c r="D131" s="884"/>
      <c r="E131" s="884"/>
      <c r="F131" s="888"/>
      <c r="G131" s="121"/>
    </row>
    <row r="132" spans="1:7" s="111" customFormat="1" x14ac:dyDescent="0.2">
      <c r="A132" s="889" t="s">
        <v>426</v>
      </c>
      <c r="B132" s="890">
        <v>41332</v>
      </c>
      <c r="C132" s="884">
        <v>12835200</v>
      </c>
      <c r="D132" s="884">
        <v>1092200</v>
      </c>
      <c r="E132" s="884">
        <v>11743000</v>
      </c>
      <c r="F132" s="888">
        <v>8.5094116180503609E-2</v>
      </c>
      <c r="G132" s="121"/>
    </row>
    <row r="133" spans="1:7" s="111" customFormat="1" x14ac:dyDescent="0.2">
      <c r="A133" s="887" t="s">
        <v>163</v>
      </c>
      <c r="B133" s="890"/>
      <c r="C133" s="884"/>
      <c r="D133" s="884"/>
      <c r="E133" s="884"/>
      <c r="F133" s="888"/>
      <c r="G133" s="121"/>
    </row>
    <row r="134" spans="1:7" s="111" customFormat="1" x14ac:dyDescent="0.2">
      <c r="A134" s="889" t="s">
        <v>432</v>
      </c>
      <c r="B134" s="890">
        <v>41312</v>
      </c>
      <c r="C134" s="884">
        <v>49376272</v>
      </c>
      <c r="D134" s="884">
        <v>49376272</v>
      </c>
      <c r="E134" s="884">
        <v>0</v>
      </c>
      <c r="F134" s="888">
        <v>1</v>
      </c>
      <c r="G134" s="121"/>
    </row>
    <row r="135" spans="1:7" s="111" customFormat="1" x14ac:dyDescent="0.2">
      <c r="A135" s="887" t="s">
        <v>51</v>
      </c>
      <c r="B135" s="890"/>
      <c r="C135" s="884"/>
      <c r="D135" s="884"/>
      <c r="E135" s="884"/>
      <c r="F135" s="888"/>
      <c r="G135" s="121"/>
    </row>
    <row r="136" spans="1:7" s="111" customFormat="1" x14ac:dyDescent="0.2">
      <c r="A136" s="889" t="s">
        <v>1023</v>
      </c>
      <c r="B136" s="890">
        <v>41579</v>
      </c>
      <c r="C136" s="884">
        <v>526745000</v>
      </c>
      <c r="D136" s="884">
        <v>526745000</v>
      </c>
      <c r="E136" s="884">
        <v>0</v>
      </c>
      <c r="F136" s="888">
        <v>1</v>
      </c>
      <c r="G136" s="121"/>
    </row>
    <row r="137" spans="1:7" s="111" customFormat="1" x14ac:dyDescent="0.2">
      <c r="A137" s="887" t="s">
        <v>597</v>
      </c>
      <c r="B137" s="890"/>
      <c r="C137" s="884"/>
      <c r="D137" s="884"/>
      <c r="E137" s="884"/>
      <c r="F137" s="888"/>
      <c r="G137" s="121"/>
    </row>
    <row r="138" spans="1:7" s="111" customFormat="1" x14ac:dyDescent="0.2">
      <c r="A138" s="889" t="s">
        <v>1024</v>
      </c>
      <c r="B138" s="890">
        <v>41562</v>
      </c>
      <c r="C138" s="884">
        <v>619289880</v>
      </c>
      <c r="D138" s="884">
        <v>619289880</v>
      </c>
      <c r="E138" s="884">
        <v>0</v>
      </c>
      <c r="F138" s="888">
        <v>1</v>
      </c>
      <c r="G138" s="121"/>
    </row>
    <row r="139" spans="1:7" s="111" customFormat="1" x14ac:dyDescent="0.2">
      <c r="A139" s="887" t="s">
        <v>52</v>
      </c>
      <c r="B139" s="890"/>
      <c r="C139" s="884"/>
      <c r="D139" s="884"/>
      <c r="E139" s="884"/>
      <c r="F139" s="888"/>
      <c r="G139" s="121"/>
    </row>
    <row r="140" spans="1:7" s="111" customFormat="1" x14ac:dyDescent="0.2">
      <c r="A140" s="889" t="s">
        <v>53</v>
      </c>
      <c r="B140" s="890">
        <v>41459</v>
      </c>
      <c r="C140" s="884">
        <v>13806000</v>
      </c>
      <c r="D140" s="884">
        <v>12439108</v>
      </c>
      <c r="E140" s="884">
        <v>1366892</v>
      </c>
      <c r="F140" s="888">
        <v>0.90099290163696943</v>
      </c>
      <c r="G140" s="121"/>
    </row>
    <row r="141" spans="1:7" s="111" customFormat="1" x14ac:dyDescent="0.2">
      <c r="A141" s="887" t="s">
        <v>598</v>
      </c>
      <c r="B141" s="890"/>
      <c r="C141" s="884"/>
      <c r="D141" s="884"/>
      <c r="E141" s="884"/>
      <c r="F141" s="888"/>
      <c r="G141" s="121"/>
    </row>
    <row r="142" spans="1:7" s="111" customFormat="1" x14ac:dyDescent="0.2">
      <c r="A142" s="889" t="s">
        <v>1025</v>
      </c>
      <c r="B142" s="890">
        <v>41446</v>
      </c>
      <c r="C142" s="884">
        <v>37359000</v>
      </c>
      <c r="D142" s="884">
        <v>37359000</v>
      </c>
      <c r="E142" s="884">
        <v>0</v>
      </c>
      <c r="F142" s="888">
        <v>1</v>
      </c>
      <c r="G142" s="121"/>
    </row>
    <row r="143" spans="1:7" s="111" customFormat="1" x14ac:dyDescent="0.2">
      <c r="A143" s="887" t="s">
        <v>399</v>
      </c>
      <c r="B143" s="890"/>
      <c r="C143" s="884"/>
      <c r="D143" s="884"/>
      <c r="E143" s="884"/>
      <c r="F143" s="888"/>
      <c r="G143" s="121"/>
    </row>
    <row r="144" spans="1:7" s="111" customFormat="1" x14ac:dyDescent="0.2">
      <c r="A144" s="889" t="s">
        <v>424</v>
      </c>
      <c r="B144" s="890">
        <v>41278</v>
      </c>
      <c r="C144" s="884">
        <v>4452000</v>
      </c>
      <c r="D144" s="884">
        <v>4452000</v>
      </c>
      <c r="E144" s="884">
        <v>0</v>
      </c>
      <c r="F144" s="888">
        <v>1</v>
      </c>
      <c r="G144" s="121"/>
    </row>
    <row r="145" spans="1:7" s="111" customFormat="1" x14ac:dyDescent="0.2">
      <c r="A145" s="887" t="s">
        <v>42</v>
      </c>
      <c r="B145" s="890"/>
      <c r="C145" s="884"/>
      <c r="D145" s="884"/>
      <c r="E145" s="884"/>
      <c r="F145" s="888"/>
      <c r="G145" s="121"/>
    </row>
    <row r="146" spans="1:7" s="111" customFormat="1" x14ac:dyDescent="0.2">
      <c r="A146" s="889" t="s">
        <v>43</v>
      </c>
      <c r="B146" s="890">
        <v>41452</v>
      </c>
      <c r="C146" s="884">
        <v>28420000</v>
      </c>
      <c r="D146" s="884">
        <v>28379400</v>
      </c>
      <c r="E146" s="884">
        <v>40600</v>
      </c>
      <c r="F146" s="888">
        <v>0.99857142857142855</v>
      </c>
      <c r="G146" s="121"/>
    </row>
    <row r="147" spans="1:7" s="111" customFormat="1" x14ac:dyDescent="0.2">
      <c r="A147" s="887" t="s">
        <v>67</v>
      </c>
      <c r="B147" s="890"/>
      <c r="C147" s="884"/>
      <c r="D147" s="884"/>
      <c r="E147" s="884"/>
      <c r="F147" s="888"/>
      <c r="G147" s="121"/>
    </row>
    <row r="148" spans="1:7" s="111" customFormat="1" x14ac:dyDescent="0.2">
      <c r="A148" s="889" t="s">
        <v>68</v>
      </c>
      <c r="B148" s="890">
        <v>41322</v>
      </c>
      <c r="C148" s="884">
        <v>58300000</v>
      </c>
      <c r="D148" s="884">
        <v>58300000</v>
      </c>
      <c r="E148" s="884">
        <v>0</v>
      </c>
      <c r="F148" s="888">
        <v>1</v>
      </c>
      <c r="G148" s="121"/>
    </row>
    <row r="149" spans="1:7" s="111" customFormat="1" x14ac:dyDescent="0.2">
      <c r="A149" s="887" t="s">
        <v>74</v>
      </c>
      <c r="B149" s="890"/>
      <c r="C149" s="884"/>
      <c r="D149" s="884"/>
      <c r="E149" s="884"/>
      <c r="F149" s="888"/>
      <c r="G149" s="121"/>
    </row>
    <row r="150" spans="1:7" s="111" customFormat="1" x14ac:dyDescent="0.2">
      <c r="A150" s="889" t="s">
        <v>75</v>
      </c>
      <c r="B150" s="890">
        <v>41593</v>
      </c>
      <c r="C150" s="884">
        <v>411000000</v>
      </c>
      <c r="D150" s="884">
        <v>411000000</v>
      </c>
      <c r="E150" s="884">
        <v>0</v>
      </c>
      <c r="F150" s="888">
        <v>1</v>
      </c>
      <c r="G150" s="121"/>
    </row>
    <row r="151" spans="1:7" s="111" customFormat="1" x14ac:dyDescent="0.2">
      <c r="A151" s="887" t="s">
        <v>54</v>
      </c>
      <c r="B151" s="890"/>
      <c r="C151" s="884"/>
      <c r="D151" s="884"/>
      <c r="E151" s="884"/>
      <c r="F151" s="888"/>
      <c r="G151" s="121"/>
    </row>
    <row r="152" spans="1:7" s="111" customFormat="1" x14ac:dyDescent="0.2">
      <c r="A152" s="889" t="s">
        <v>55</v>
      </c>
      <c r="B152" s="890">
        <v>41575</v>
      </c>
      <c r="C152" s="884">
        <v>10032000</v>
      </c>
      <c r="D152" s="884">
        <v>9339930</v>
      </c>
      <c r="E152" s="884">
        <v>692070</v>
      </c>
      <c r="F152" s="888">
        <v>0.93101375598086122</v>
      </c>
      <c r="G152" s="121"/>
    </row>
    <row r="153" spans="1:7" s="111" customFormat="1" x14ac:dyDescent="0.2">
      <c r="A153" s="887" t="s">
        <v>11</v>
      </c>
      <c r="B153" s="890"/>
      <c r="C153" s="884"/>
      <c r="D153" s="884"/>
      <c r="E153" s="884"/>
      <c r="F153" s="888"/>
      <c r="G153" s="121"/>
    </row>
    <row r="154" spans="1:7" s="111" customFormat="1" x14ac:dyDescent="0.2">
      <c r="A154" s="889" t="s">
        <v>12</v>
      </c>
      <c r="B154" s="890">
        <v>41711</v>
      </c>
      <c r="C154" s="884">
        <v>1918200</v>
      </c>
      <c r="D154" s="884">
        <v>1755170</v>
      </c>
      <c r="E154" s="884">
        <v>163030</v>
      </c>
      <c r="F154" s="888">
        <v>0.91500886247523716</v>
      </c>
      <c r="G154" s="121"/>
    </row>
    <row r="155" spans="1:7" s="111" customFormat="1" x14ac:dyDescent="0.2">
      <c r="A155" s="887" t="s">
        <v>4</v>
      </c>
      <c r="B155" s="890"/>
      <c r="C155" s="884"/>
      <c r="D155" s="884"/>
      <c r="E155" s="884"/>
      <c r="F155" s="888"/>
      <c r="G155" s="121"/>
    </row>
    <row r="156" spans="1:7" s="111" customFormat="1" x14ac:dyDescent="0.2">
      <c r="A156" s="889" t="s">
        <v>1028</v>
      </c>
      <c r="B156" s="890">
        <v>41608</v>
      </c>
      <c r="C156" s="884">
        <v>79213111</v>
      </c>
      <c r="D156" s="884">
        <v>65129800</v>
      </c>
      <c r="E156" s="884">
        <v>14083311</v>
      </c>
      <c r="F156" s="888">
        <v>0.82220984856913393</v>
      </c>
      <c r="G156" s="121"/>
    </row>
    <row r="157" spans="1:7" s="111" customFormat="1" x14ac:dyDescent="0.2">
      <c r="A157" s="887" t="s">
        <v>71</v>
      </c>
      <c r="B157" s="890"/>
      <c r="C157" s="884"/>
      <c r="D157" s="884"/>
      <c r="E157" s="884"/>
      <c r="F157" s="888"/>
      <c r="G157" s="121"/>
    </row>
    <row r="158" spans="1:7" s="111" customFormat="1" x14ac:dyDescent="0.2">
      <c r="A158" s="889" t="s">
        <v>1029</v>
      </c>
      <c r="B158" s="890">
        <v>41505</v>
      </c>
      <c r="C158" s="884">
        <v>75246412</v>
      </c>
      <c r="D158" s="884">
        <v>75232704</v>
      </c>
      <c r="E158" s="884">
        <v>13708</v>
      </c>
      <c r="F158" s="888">
        <v>0.99981782520075513</v>
      </c>
      <c r="G158" s="121"/>
    </row>
    <row r="159" spans="1:7" s="111" customFormat="1" x14ac:dyDescent="0.2">
      <c r="A159" s="887" t="s">
        <v>45</v>
      </c>
      <c r="B159" s="890"/>
      <c r="C159" s="884"/>
      <c r="D159" s="884"/>
      <c r="E159" s="884"/>
      <c r="F159" s="888"/>
      <c r="G159" s="121"/>
    </row>
    <row r="160" spans="1:7" s="111" customFormat="1" x14ac:dyDescent="0.2">
      <c r="A160" s="889" t="s">
        <v>46</v>
      </c>
      <c r="B160" s="890">
        <v>42052</v>
      </c>
      <c r="C160" s="884">
        <v>1062500</v>
      </c>
      <c r="D160" s="884">
        <v>1062500</v>
      </c>
      <c r="E160" s="884">
        <v>0</v>
      </c>
      <c r="F160" s="888">
        <v>1</v>
      </c>
      <c r="G160" s="121"/>
    </row>
    <row r="161" spans="1:7" s="111" customFormat="1" x14ac:dyDescent="0.2">
      <c r="A161" s="887" t="s">
        <v>25</v>
      </c>
      <c r="B161" s="890"/>
      <c r="C161" s="884"/>
      <c r="D161" s="884"/>
      <c r="E161" s="884"/>
      <c r="F161" s="888"/>
      <c r="G161" s="121"/>
    </row>
    <row r="162" spans="1:7" s="111" customFormat="1" x14ac:dyDescent="0.2">
      <c r="A162" s="889" t="s">
        <v>26</v>
      </c>
      <c r="B162" s="890">
        <v>41736</v>
      </c>
      <c r="C162" s="884">
        <v>115663600</v>
      </c>
      <c r="D162" s="884">
        <v>115663040</v>
      </c>
      <c r="E162" s="884">
        <v>560</v>
      </c>
      <c r="F162" s="888">
        <v>0.99999515837307507</v>
      </c>
      <c r="G162" s="121"/>
    </row>
    <row r="163" spans="1:7" s="111" customFormat="1" x14ac:dyDescent="0.2">
      <c r="A163" s="887" t="s">
        <v>116</v>
      </c>
      <c r="B163" s="890"/>
      <c r="C163" s="884"/>
      <c r="D163" s="884"/>
      <c r="E163" s="884"/>
      <c r="F163" s="888"/>
      <c r="G163" s="121"/>
    </row>
    <row r="164" spans="1:7" s="111" customFormat="1" x14ac:dyDescent="0.2">
      <c r="A164" s="889" t="s">
        <v>418</v>
      </c>
      <c r="B164" s="890">
        <v>41442</v>
      </c>
      <c r="C164" s="884">
        <v>36990000</v>
      </c>
      <c r="D164" s="884">
        <v>36990000</v>
      </c>
      <c r="E164" s="884">
        <v>0</v>
      </c>
      <c r="F164" s="888">
        <v>1</v>
      </c>
      <c r="G164" s="121"/>
    </row>
    <row r="165" spans="1:7" s="111" customFormat="1" x14ac:dyDescent="0.2">
      <c r="A165" s="887" t="s">
        <v>122</v>
      </c>
      <c r="B165" s="890"/>
      <c r="C165" s="884"/>
      <c r="D165" s="884"/>
      <c r="E165" s="884"/>
      <c r="F165" s="888"/>
      <c r="G165" s="121"/>
    </row>
    <row r="166" spans="1:7" s="111" customFormat="1" x14ac:dyDescent="0.2">
      <c r="A166" s="889" t="s">
        <v>244</v>
      </c>
      <c r="B166" s="890">
        <v>41680</v>
      </c>
      <c r="C166" s="884">
        <v>85314724</v>
      </c>
      <c r="D166" s="884">
        <v>85314724</v>
      </c>
      <c r="E166" s="884">
        <v>0</v>
      </c>
      <c r="F166" s="888">
        <v>1</v>
      </c>
      <c r="G166" s="121"/>
    </row>
    <row r="167" spans="1:7" s="111" customFormat="1" x14ac:dyDescent="0.2">
      <c r="A167" s="887" t="s">
        <v>182</v>
      </c>
      <c r="B167" s="890"/>
      <c r="C167" s="884"/>
      <c r="D167" s="884"/>
      <c r="E167" s="884"/>
      <c r="F167" s="888"/>
      <c r="G167" s="121"/>
    </row>
    <row r="168" spans="1:7" s="111" customFormat="1" x14ac:dyDescent="0.2">
      <c r="A168" s="889" t="s">
        <v>152</v>
      </c>
      <c r="B168" s="890">
        <v>41336</v>
      </c>
      <c r="C168" s="884">
        <v>507000000</v>
      </c>
      <c r="D168" s="884">
        <v>471070424</v>
      </c>
      <c r="E168" s="884">
        <v>35929576</v>
      </c>
      <c r="F168" s="888">
        <v>0.92913298619329387</v>
      </c>
      <c r="G168" s="121"/>
    </row>
    <row r="169" spans="1:7" s="111" customFormat="1" x14ac:dyDescent="0.2">
      <c r="A169" s="887" t="s">
        <v>78</v>
      </c>
      <c r="B169" s="890"/>
      <c r="C169" s="884"/>
      <c r="D169" s="884"/>
      <c r="E169" s="884"/>
      <c r="F169" s="888"/>
      <c r="G169" s="121"/>
    </row>
    <row r="170" spans="1:7" s="111" customFormat="1" x14ac:dyDescent="0.2">
      <c r="A170" s="889" t="s">
        <v>79</v>
      </c>
      <c r="B170" s="890">
        <v>41683</v>
      </c>
      <c r="C170" s="884">
        <v>123000000</v>
      </c>
      <c r="D170" s="884">
        <v>123000000</v>
      </c>
      <c r="E170" s="884">
        <v>0</v>
      </c>
      <c r="F170" s="888">
        <v>1</v>
      </c>
      <c r="G170" s="121"/>
    </row>
    <row r="171" spans="1:7" s="111" customFormat="1" x14ac:dyDescent="0.2">
      <c r="A171" s="887" t="s">
        <v>80</v>
      </c>
      <c r="B171" s="890"/>
      <c r="C171" s="884"/>
      <c r="D171" s="884"/>
      <c r="E171" s="884"/>
      <c r="F171" s="888"/>
      <c r="G171" s="121"/>
    </row>
    <row r="172" spans="1:7" s="111" customFormat="1" x14ac:dyDescent="0.2">
      <c r="A172" s="889" t="s">
        <v>81</v>
      </c>
      <c r="B172" s="890">
        <v>41711</v>
      </c>
      <c r="C172" s="884">
        <v>1113600</v>
      </c>
      <c r="D172" s="884">
        <v>1113600</v>
      </c>
      <c r="E172" s="884">
        <v>0</v>
      </c>
      <c r="F172" s="888">
        <v>1</v>
      </c>
      <c r="G172" s="121"/>
    </row>
    <row r="173" spans="1:7" s="111" customFormat="1" x14ac:dyDescent="0.2">
      <c r="A173" s="887" t="s">
        <v>82</v>
      </c>
      <c r="B173" s="890"/>
      <c r="C173" s="884"/>
      <c r="D173" s="884"/>
      <c r="E173" s="884"/>
      <c r="F173" s="888"/>
      <c r="G173" s="121"/>
    </row>
    <row r="174" spans="1:7" s="111" customFormat="1" x14ac:dyDescent="0.2">
      <c r="A174" s="889" t="s">
        <v>1030</v>
      </c>
      <c r="B174" s="890">
        <v>41652</v>
      </c>
      <c r="C174" s="884">
        <v>4967474</v>
      </c>
      <c r="D174" s="884">
        <v>4453683</v>
      </c>
      <c r="E174" s="884">
        <v>513791</v>
      </c>
      <c r="F174" s="888">
        <v>0.89656896040120193</v>
      </c>
      <c r="G174" s="121"/>
    </row>
    <row r="175" spans="1:7" s="111" customFormat="1" x14ac:dyDescent="0.2">
      <c r="A175" s="887" t="s">
        <v>83</v>
      </c>
      <c r="B175" s="890"/>
      <c r="C175" s="884"/>
      <c r="D175" s="884"/>
      <c r="E175" s="884"/>
      <c r="F175" s="888"/>
      <c r="G175" s="121"/>
    </row>
    <row r="176" spans="1:7" s="111" customFormat="1" x14ac:dyDescent="0.2">
      <c r="A176" s="889" t="s">
        <v>84</v>
      </c>
      <c r="B176" s="890">
        <v>41731</v>
      </c>
      <c r="C176" s="884">
        <v>15913500</v>
      </c>
      <c r="D176" s="884">
        <v>15453868</v>
      </c>
      <c r="E176" s="884">
        <v>459632</v>
      </c>
      <c r="F176" s="888">
        <v>0.971116850472869</v>
      </c>
      <c r="G176" s="121"/>
    </row>
    <row r="177" spans="1:7" s="111" customFormat="1" x14ac:dyDescent="0.2">
      <c r="A177" s="887" t="s">
        <v>85</v>
      </c>
      <c r="B177" s="890"/>
      <c r="C177" s="884"/>
      <c r="D177" s="884"/>
      <c r="E177" s="884"/>
      <c r="F177" s="888"/>
      <c r="G177" s="121"/>
    </row>
    <row r="178" spans="1:7" s="111" customFormat="1" x14ac:dyDescent="0.2">
      <c r="A178" s="889" t="s">
        <v>86</v>
      </c>
      <c r="B178" s="890">
        <v>41716</v>
      </c>
      <c r="C178" s="884">
        <v>1197000</v>
      </c>
      <c r="D178" s="884">
        <v>1197000</v>
      </c>
      <c r="E178" s="884">
        <v>0</v>
      </c>
      <c r="F178" s="888">
        <v>1</v>
      </c>
      <c r="G178" s="121"/>
    </row>
    <row r="179" spans="1:7" s="111" customFormat="1" x14ac:dyDescent="0.2">
      <c r="A179" s="887" t="s">
        <v>87</v>
      </c>
      <c r="B179" s="890"/>
      <c r="C179" s="884"/>
      <c r="D179" s="884"/>
      <c r="E179" s="884"/>
      <c r="F179" s="888"/>
      <c r="G179" s="121"/>
    </row>
    <row r="180" spans="1:7" s="111" customFormat="1" x14ac:dyDescent="0.2">
      <c r="A180" s="889" t="s">
        <v>435</v>
      </c>
      <c r="B180" s="890">
        <v>41764</v>
      </c>
      <c r="C180" s="884">
        <v>8360000</v>
      </c>
      <c r="D180" s="884">
        <v>7018000</v>
      </c>
      <c r="E180" s="884">
        <v>1342000</v>
      </c>
      <c r="F180" s="888">
        <v>0.83947368421052626</v>
      </c>
      <c r="G180" s="121"/>
    </row>
    <row r="181" spans="1:7" s="111" customFormat="1" x14ac:dyDescent="0.2">
      <c r="A181" s="887" t="s">
        <v>88</v>
      </c>
      <c r="B181" s="890"/>
      <c r="C181" s="884"/>
      <c r="D181" s="884"/>
      <c r="E181" s="884"/>
      <c r="F181" s="888"/>
      <c r="G181" s="121"/>
    </row>
    <row r="182" spans="1:7" s="111" customFormat="1" x14ac:dyDescent="0.2">
      <c r="A182" s="889" t="s">
        <v>1031</v>
      </c>
      <c r="B182" s="890">
        <v>41545</v>
      </c>
      <c r="C182" s="884">
        <v>3700000</v>
      </c>
      <c r="D182" s="884">
        <v>3700000</v>
      </c>
      <c r="E182" s="884">
        <v>0</v>
      </c>
      <c r="F182" s="888">
        <v>1</v>
      </c>
      <c r="G182" s="121"/>
    </row>
    <row r="183" spans="1:7" s="111" customFormat="1" x14ac:dyDescent="0.2">
      <c r="A183" s="887" t="s">
        <v>91</v>
      </c>
      <c r="B183" s="890"/>
      <c r="C183" s="884"/>
      <c r="D183" s="884"/>
      <c r="E183" s="884"/>
      <c r="F183" s="888"/>
      <c r="G183" s="121"/>
    </row>
    <row r="184" spans="1:7" s="111" customFormat="1" x14ac:dyDescent="0.2">
      <c r="A184" s="889" t="s">
        <v>1032</v>
      </c>
      <c r="B184" s="890">
        <v>41692</v>
      </c>
      <c r="C184" s="884">
        <v>50000000</v>
      </c>
      <c r="D184" s="884">
        <v>50000000</v>
      </c>
      <c r="E184" s="884">
        <v>0</v>
      </c>
      <c r="F184" s="888">
        <v>1</v>
      </c>
      <c r="G184" s="121"/>
    </row>
    <row r="185" spans="1:7" s="111" customFormat="1" x14ac:dyDescent="0.2">
      <c r="A185" s="887" t="s">
        <v>93</v>
      </c>
      <c r="B185" s="890"/>
      <c r="C185" s="884"/>
      <c r="D185" s="884"/>
      <c r="E185" s="884"/>
      <c r="F185" s="888"/>
      <c r="G185" s="121"/>
    </row>
    <row r="186" spans="1:7" s="111" customFormat="1" x14ac:dyDescent="0.2">
      <c r="A186" s="889" t="s">
        <v>1033</v>
      </c>
      <c r="B186" s="890">
        <v>41699</v>
      </c>
      <c r="C186" s="884">
        <v>41600000</v>
      </c>
      <c r="D186" s="884">
        <v>41600000</v>
      </c>
      <c r="E186" s="884">
        <v>0</v>
      </c>
      <c r="F186" s="888">
        <v>1</v>
      </c>
      <c r="G186" s="121"/>
    </row>
    <row r="187" spans="1:7" s="111" customFormat="1" x14ac:dyDescent="0.2">
      <c r="A187" s="887" t="s">
        <v>94</v>
      </c>
      <c r="B187" s="890"/>
      <c r="C187" s="884"/>
      <c r="D187" s="884"/>
      <c r="E187" s="884"/>
      <c r="F187" s="888"/>
      <c r="G187" s="121"/>
    </row>
    <row r="188" spans="1:7" s="111" customFormat="1" x14ac:dyDescent="0.2">
      <c r="A188" s="889" t="s">
        <v>433</v>
      </c>
      <c r="B188" s="890">
        <v>41508</v>
      </c>
      <c r="C188" s="884">
        <v>240000000</v>
      </c>
      <c r="D188" s="884">
        <v>239999964</v>
      </c>
      <c r="E188" s="884">
        <v>36</v>
      </c>
      <c r="F188" s="888">
        <v>0.99999985000000002</v>
      </c>
      <c r="G188" s="121"/>
    </row>
    <row r="189" spans="1:7" s="111" customFormat="1" x14ac:dyDescent="0.2">
      <c r="A189" s="887" t="s">
        <v>95</v>
      </c>
      <c r="B189" s="890"/>
      <c r="C189" s="884"/>
      <c r="D189" s="884"/>
      <c r="E189" s="884"/>
      <c r="F189" s="888"/>
      <c r="G189" s="121"/>
    </row>
    <row r="190" spans="1:7" s="111" customFormat="1" x14ac:dyDescent="0.2">
      <c r="A190" s="889" t="s">
        <v>41</v>
      </c>
      <c r="B190" s="890">
        <v>41890</v>
      </c>
      <c r="C190" s="884">
        <v>67179000</v>
      </c>
      <c r="D190" s="884">
        <v>67115300</v>
      </c>
      <c r="E190" s="884">
        <v>63700</v>
      </c>
      <c r="F190" s="888">
        <v>0.9990517870167761</v>
      </c>
      <c r="G190" s="121"/>
    </row>
    <row r="191" spans="1:7" s="111" customFormat="1" x14ac:dyDescent="0.2">
      <c r="A191" s="887" t="s">
        <v>96</v>
      </c>
      <c r="B191" s="890"/>
      <c r="C191" s="884"/>
      <c r="D191" s="884"/>
      <c r="E191" s="884"/>
      <c r="F191" s="888"/>
      <c r="G191" s="121"/>
    </row>
    <row r="192" spans="1:7" s="111" customFormat="1" x14ac:dyDescent="0.2">
      <c r="A192" s="889" t="s">
        <v>3</v>
      </c>
      <c r="B192" s="890">
        <v>41820</v>
      </c>
      <c r="C192" s="884">
        <v>473134060</v>
      </c>
      <c r="D192" s="884">
        <v>473133510</v>
      </c>
      <c r="E192" s="884">
        <v>550</v>
      </c>
      <c r="F192" s="888">
        <v>0.99999883753877283</v>
      </c>
      <c r="G192" s="121"/>
    </row>
    <row r="193" spans="1:7" s="111" customFormat="1" x14ac:dyDescent="0.2">
      <c r="A193" s="887" t="s">
        <v>97</v>
      </c>
      <c r="B193" s="890"/>
      <c r="C193" s="884"/>
      <c r="D193" s="884"/>
      <c r="E193" s="884"/>
      <c r="F193" s="888"/>
      <c r="G193" s="121"/>
    </row>
    <row r="194" spans="1:7" s="111" customFormat="1" x14ac:dyDescent="0.2">
      <c r="A194" s="889" t="s">
        <v>98</v>
      </c>
      <c r="B194" s="890">
        <v>41692</v>
      </c>
      <c r="C194" s="884">
        <v>2096276</v>
      </c>
      <c r="D194" s="884">
        <v>2086672</v>
      </c>
      <c r="E194" s="884">
        <v>9604</v>
      </c>
      <c r="F194" s="888">
        <v>0.99541854221486104</v>
      </c>
      <c r="G194" s="121"/>
    </row>
    <row r="195" spans="1:7" s="111" customFormat="1" x14ac:dyDescent="0.2">
      <c r="A195" s="887" t="s">
        <v>99</v>
      </c>
      <c r="B195" s="890"/>
      <c r="C195" s="884"/>
      <c r="D195" s="884"/>
      <c r="E195" s="884"/>
      <c r="F195" s="888"/>
      <c r="G195" s="121"/>
    </row>
    <row r="196" spans="1:7" s="111" customFormat="1" x14ac:dyDescent="0.2">
      <c r="A196" s="889" t="s">
        <v>100</v>
      </c>
      <c r="B196" s="890">
        <v>41660</v>
      </c>
      <c r="C196" s="884">
        <v>18744000</v>
      </c>
      <c r="D196" s="884">
        <v>18286734</v>
      </c>
      <c r="E196" s="884">
        <v>457266</v>
      </c>
      <c r="F196" s="888">
        <v>0.9756046734955186</v>
      </c>
      <c r="G196" s="121"/>
    </row>
    <row r="197" spans="1:7" s="111" customFormat="1" x14ac:dyDescent="0.2">
      <c r="A197" s="887" t="s">
        <v>121</v>
      </c>
      <c r="B197" s="890"/>
      <c r="C197" s="884"/>
      <c r="D197" s="884"/>
      <c r="E197" s="884"/>
      <c r="F197" s="888"/>
      <c r="G197" s="121"/>
    </row>
    <row r="198" spans="1:7" s="111" customFormat="1" x14ac:dyDescent="0.2">
      <c r="A198" s="889" t="s">
        <v>15</v>
      </c>
      <c r="B198" s="890">
        <v>41774</v>
      </c>
      <c r="C198" s="884">
        <v>7740000</v>
      </c>
      <c r="D198" s="884">
        <v>7740000</v>
      </c>
      <c r="E198" s="884">
        <v>0</v>
      </c>
      <c r="F198" s="888">
        <v>1</v>
      </c>
      <c r="G198" s="121"/>
    </row>
    <row r="199" spans="1:7" s="111" customFormat="1" x14ac:dyDescent="0.2">
      <c r="A199" s="887" t="s">
        <v>123</v>
      </c>
      <c r="B199" s="890"/>
      <c r="C199" s="884"/>
      <c r="D199" s="884"/>
      <c r="E199" s="884"/>
      <c r="F199" s="888"/>
      <c r="G199" s="121"/>
    </row>
    <row r="200" spans="1:7" s="111" customFormat="1" x14ac:dyDescent="0.2">
      <c r="A200" s="889" t="s">
        <v>124</v>
      </c>
      <c r="B200" s="890">
        <v>41713</v>
      </c>
      <c r="C200" s="884">
        <v>50000000</v>
      </c>
      <c r="D200" s="884">
        <v>27500000</v>
      </c>
      <c r="E200" s="884">
        <v>22500000</v>
      </c>
      <c r="F200" s="888">
        <v>0.55000000000000004</v>
      </c>
      <c r="G200" s="121"/>
    </row>
    <row r="201" spans="1:7" s="111" customFormat="1" x14ac:dyDescent="0.2">
      <c r="A201" s="887" t="s">
        <v>125</v>
      </c>
      <c r="B201" s="890"/>
      <c r="C201" s="884"/>
      <c r="D201" s="884"/>
      <c r="E201" s="884"/>
      <c r="F201" s="888"/>
      <c r="G201" s="121"/>
    </row>
    <row r="202" spans="1:7" s="111" customFormat="1" x14ac:dyDescent="0.2">
      <c r="A202" s="889" t="s">
        <v>126</v>
      </c>
      <c r="B202" s="890">
        <v>41698</v>
      </c>
      <c r="C202" s="884">
        <v>9366000</v>
      </c>
      <c r="D202" s="884">
        <v>7783682</v>
      </c>
      <c r="E202" s="884">
        <v>1582318</v>
      </c>
      <c r="F202" s="888">
        <v>0.83105722827247486</v>
      </c>
      <c r="G202" s="121"/>
    </row>
    <row r="203" spans="1:7" s="111" customFormat="1" x14ac:dyDescent="0.2">
      <c r="A203" s="887" t="s">
        <v>129</v>
      </c>
      <c r="B203" s="890"/>
      <c r="C203" s="884"/>
      <c r="D203" s="884"/>
      <c r="E203" s="884"/>
      <c r="F203" s="888"/>
      <c r="G203" s="121"/>
    </row>
    <row r="204" spans="1:7" s="111" customFormat="1" x14ac:dyDescent="0.2">
      <c r="A204" s="889" t="s">
        <v>1019</v>
      </c>
      <c r="B204" s="890">
        <v>41806</v>
      </c>
      <c r="C204" s="884">
        <v>33120000</v>
      </c>
      <c r="D204" s="884">
        <v>32832950</v>
      </c>
      <c r="E204" s="884">
        <v>287050</v>
      </c>
      <c r="F204" s="888">
        <v>0.99133303140096618</v>
      </c>
      <c r="G204" s="121"/>
    </row>
    <row r="205" spans="1:7" s="111" customFormat="1" x14ac:dyDescent="0.2">
      <c r="A205" s="887" t="s">
        <v>89</v>
      </c>
      <c r="B205" s="890"/>
      <c r="C205" s="884"/>
      <c r="D205" s="884"/>
      <c r="E205" s="884"/>
      <c r="F205" s="888"/>
      <c r="G205" s="121"/>
    </row>
    <row r="206" spans="1:7" s="111" customFormat="1" x14ac:dyDescent="0.2">
      <c r="A206" s="889" t="s">
        <v>90</v>
      </c>
      <c r="B206" s="890">
        <v>41802</v>
      </c>
      <c r="C206" s="884">
        <v>1030000</v>
      </c>
      <c r="D206" s="884">
        <v>1030000</v>
      </c>
      <c r="E206" s="884">
        <v>0</v>
      </c>
      <c r="F206" s="888">
        <v>1</v>
      </c>
      <c r="G206" s="121"/>
    </row>
    <row r="207" spans="1:7" s="111" customFormat="1" x14ac:dyDescent="0.2">
      <c r="A207" s="887" t="s">
        <v>130</v>
      </c>
      <c r="B207" s="890"/>
      <c r="C207" s="884"/>
      <c r="D207" s="884"/>
      <c r="E207" s="884"/>
      <c r="F207" s="888"/>
      <c r="G207" s="121"/>
    </row>
    <row r="208" spans="1:7" s="111" customFormat="1" x14ac:dyDescent="0.2">
      <c r="A208" s="889" t="s">
        <v>1111</v>
      </c>
      <c r="B208" s="890">
        <v>41897</v>
      </c>
      <c r="C208" s="884">
        <v>1552431776</v>
      </c>
      <c r="D208" s="884">
        <v>1552431775</v>
      </c>
      <c r="E208" s="884">
        <v>1</v>
      </c>
      <c r="F208" s="888">
        <v>0.99999999935584927</v>
      </c>
      <c r="G208" s="121"/>
    </row>
    <row r="209" spans="1:7" s="111" customFormat="1" x14ac:dyDescent="0.2">
      <c r="A209" s="887" t="s">
        <v>132</v>
      </c>
      <c r="B209" s="890"/>
      <c r="C209" s="884"/>
      <c r="D209" s="884"/>
      <c r="E209" s="884"/>
      <c r="F209" s="888"/>
      <c r="G209" s="121"/>
    </row>
    <row r="210" spans="1:7" s="111" customFormat="1" x14ac:dyDescent="0.2">
      <c r="A210" s="889" t="s">
        <v>27</v>
      </c>
      <c r="B210" s="890">
        <v>41969</v>
      </c>
      <c r="C210" s="884">
        <v>849000</v>
      </c>
      <c r="D210" s="884">
        <v>849000</v>
      </c>
      <c r="E210" s="884">
        <v>0</v>
      </c>
      <c r="F210" s="888">
        <v>1</v>
      </c>
      <c r="G210" s="121"/>
    </row>
    <row r="211" spans="1:7" s="111" customFormat="1" x14ac:dyDescent="0.2">
      <c r="A211" s="887" t="s">
        <v>133</v>
      </c>
      <c r="B211" s="890"/>
      <c r="C211" s="884"/>
      <c r="D211" s="884"/>
      <c r="E211" s="884"/>
      <c r="F211" s="888"/>
      <c r="G211" s="121"/>
    </row>
    <row r="212" spans="1:7" s="111" customFormat="1" x14ac:dyDescent="0.2">
      <c r="A212" s="889" t="s">
        <v>134</v>
      </c>
      <c r="B212" s="890">
        <v>41823</v>
      </c>
      <c r="C212" s="884">
        <v>15000000</v>
      </c>
      <c r="D212" s="884">
        <v>5368620</v>
      </c>
      <c r="E212" s="884">
        <v>9631380</v>
      </c>
      <c r="F212" s="888">
        <v>0.357908</v>
      </c>
      <c r="G212" s="121"/>
    </row>
    <row r="213" spans="1:7" s="111" customFormat="1" x14ac:dyDescent="0.2">
      <c r="A213" s="887" t="s">
        <v>135</v>
      </c>
      <c r="B213" s="890"/>
      <c r="C213" s="884"/>
      <c r="D213" s="884"/>
      <c r="E213" s="884"/>
      <c r="F213" s="888"/>
      <c r="G213" s="121"/>
    </row>
    <row r="214" spans="1:7" s="111" customFormat="1" x14ac:dyDescent="0.2">
      <c r="A214" s="889" t="s">
        <v>38</v>
      </c>
      <c r="B214" s="890">
        <v>41820</v>
      </c>
      <c r="C214" s="884">
        <v>35904847</v>
      </c>
      <c r="D214" s="884">
        <v>35904845</v>
      </c>
      <c r="E214" s="884">
        <v>2</v>
      </c>
      <c r="F214" s="888">
        <v>0.99999994429721428</v>
      </c>
      <c r="G214" s="121"/>
    </row>
    <row r="215" spans="1:7" s="111" customFormat="1" x14ac:dyDescent="0.2">
      <c r="A215" s="887" t="s">
        <v>136</v>
      </c>
      <c r="B215" s="890"/>
      <c r="C215" s="884"/>
      <c r="D215" s="884"/>
      <c r="E215" s="884"/>
      <c r="F215" s="888"/>
      <c r="G215" s="121"/>
    </row>
    <row r="216" spans="1:7" s="111" customFormat="1" x14ac:dyDescent="0.2">
      <c r="A216" s="889" t="s">
        <v>137</v>
      </c>
      <c r="B216" s="890">
        <v>41660</v>
      </c>
      <c r="C216" s="884">
        <v>40000000</v>
      </c>
      <c r="D216" s="884">
        <v>16667000</v>
      </c>
      <c r="E216" s="884">
        <v>23333000</v>
      </c>
      <c r="F216" s="888">
        <v>0.41667500000000002</v>
      </c>
      <c r="G216" s="121"/>
    </row>
    <row r="217" spans="1:7" s="111" customFormat="1" x14ac:dyDescent="0.2">
      <c r="A217" s="887" t="s">
        <v>202</v>
      </c>
      <c r="B217" s="890"/>
      <c r="C217" s="884"/>
      <c r="D217" s="884"/>
      <c r="E217" s="884"/>
      <c r="F217" s="888"/>
      <c r="G217" s="121"/>
    </row>
    <row r="218" spans="1:7" s="111" customFormat="1" x14ac:dyDescent="0.2">
      <c r="A218" s="889" t="s">
        <v>203</v>
      </c>
      <c r="B218" s="890">
        <v>41578</v>
      </c>
      <c r="C218" s="884">
        <v>4524000</v>
      </c>
      <c r="D218" s="884">
        <v>4524000</v>
      </c>
      <c r="E218" s="884">
        <v>0</v>
      </c>
      <c r="F218" s="888">
        <v>1</v>
      </c>
      <c r="G218" s="121"/>
    </row>
    <row r="219" spans="1:7" s="111" customFormat="1" x14ac:dyDescent="0.2">
      <c r="A219" s="887" t="s">
        <v>138</v>
      </c>
      <c r="B219" s="890"/>
      <c r="C219" s="884"/>
      <c r="D219" s="884"/>
      <c r="E219" s="884"/>
      <c r="F219" s="888"/>
      <c r="G219" s="121"/>
    </row>
    <row r="220" spans="1:7" s="111" customFormat="1" x14ac:dyDescent="0.2">
      <c r="A220" s="889" t="s">
        <v>1034</v>
      </c>
      <c r="B220" s="890">
        <v>41665</v>
      </c>
      <c r="C220" s="884">
        <v>20800000</v>
      </c>
      <c r="D220" s="884">
        <v>20800000</v>
      </c>
      <c r="E220" s="884">
        <v>0</v>
      </c>
      <c r="F220" s="888">
        <v>1</v>
      </c>
      <c r="G220" s="121"/>
    </row>
    <row r="221" spans="1:7" s="111" customFormat="1" x14ac:dyDescent="0.2">
      <c r="A221" s="887" t="s">
        <v>139</v>
      </c>
      <c r="B221" s="890"/>
      <c r="C221" s="884"/>
      <c r="D221" s="884"/>
      <c r="E221" s="884"/>
      <c r="F221" s="888"/>
      <c r="G221" s="121"/>
    </row>
    <row r="222" spans="1:7" s="111" customFormat="1" x14ac:dyDescent="0.2">
      <c r="A222" s="889" t="s">
        <v>140</v>
      </c>
      <c r="B222" s="890">
        <v>41667</v>
      </c>
      <c r="C222" s="884">
        <v>28000000</v>
      </c>
      <c r="D222" s="884">
        <v>28000000</v>
      </c>
      <c r="E222" s="884">
        <v>0</v>
      </c>
      <c r="F222" s="888">
        <v>1</v>
      </c>
      <c r="G222" s="121"/>
    </row>
    <row r="223" spans="1:7" s="111" customFormat="1" x14ac:dyDescent="0.2">
      <c r="A223" s="887" t="s">
        <v>141</v>
      </c>
      <c r="B223" s="890"/>
      <c r="C223" s="884"/>
      <c r="D223" s="884"/>
      <c r="E223" s="884"/>
      <c r="F223" s="888"/>
      <c r="G223" s="121"/>
    </row>
    <row r="224" spans="1:7" s="111" customFormat="1" x14ac:dyDescent="0.2">
      <c r="A224" s="889" t="s">
        <v>142</v>
      </c>
      <c r="B224" s="890">
        <v>41501</v>
      </c>
      <c r="C224" s="884">
        <v>266580829</v>
      </c>
      <c r="D224" s="884">
        <v>266580829</v>
      </c>
      <c r="E224" s="884">
        <v>0</v>
      </c>
      <c r="F224" s="888">
        <v>1</v>
      </c>
      <c r="G224" s="121"/>
    </row>
    <row r="225" spans="1:7" s="111" customFormat="1" x14ac:dyDescent="0.2">
      <c r="A225" s="887" t="s">
        <v>143</v>
      </c>
      <c r="B225" s="890"/>
      <c r="C225" s="884"/>
      <c r="D225" s="884"/>
      <c r="E225" s="884"/>
      <c r="F225" s="888"/>
      <c r="G225" s="121"/>
    </row>
    <row r="226" spans="1:7" s="111" customFormat="1" x14ac:dyDescent="0.2">
      <c r="A226" s="889" t="s">
        <v>144</v>
      </c>
      <c r="B226" s="890">
        <v>41849</v>
      </c>
      <c r="C226" s="884">
        <v>348897514</v>
      </c>
      <c r="D226" s="884">
        <v>348897514</v>
      </c>
      <c r="E226" s="884">
        <v>0</v>
      </c>
      <c r="F226" s="888">
        <v>1</v>
      </c>
      <c r="G226" s="121"/>
    </row>
    <row r="227" spans="1:7" s="111" customFormat="1" x14ac:dyDescent="0.2">
      <c r="A227" s="887" t="s">
        <v>145</v>
      </c>
      <c r="B227" s="890"/>
      <c r="C227" s="884"/>
      <c r="D227" s="884"/>
      <c r="E227" s="884"/>
      <c r="F227" s="888"/>
      <c r="G227" s="121"/>
    </row>
    <row r="228" spans="1:7" s="111" customFormat="1" x14ac:dyDescent="0.2">
      <c r="A228" s="889" t="s">
        <v>43</v>
      </c>
      <c r="B228" s="890">
        <v>41736</v>
      </c>
      <c r="C228" s="884">
        <v>23246000</v>
      </c>
      <c r="D228" s="884">
        <v>19772977</v>
      </c>
      <c r="E228" s="884">
        <v>3473023</v>
      </c>
      <c r="F228" s="888">
        <v>0.85059696291835152</v>
      </c>
      <c r="G228" s="121"/>
    </row>
    <row r="229" spans="1:7" s="111" customFormat="1" x14ac:dyDescent="0.2">
      <c r="A229" s="887" t="s">
        <v>146</v>
      </c>
      <c r="B229" s="890"/>
      <c r="C229" s="884"/>
      <c r="D229" s="884"/>
      <c r="E229" s="884"/>
      <c r="F229" s="888"/>
      <c r="G229" s="121"/>
    </row>
    <row r="230" spans="1:7" s="111" customFormat="1" x14ac:dyDescent="0.2">
      <c r="A230" s="889" t="s">
        <v>1018</v>
      </c>
      <c r="B230" s="890">
        <v>41810</v>
      </c>
      <c r="C230" s="884">
        <v>321573359</v>
      </c>
      <c r="D230" s="884">
        <v>317232018</v>
      </c>
      <c r="E230" s="884">
        <v>4341341</v>
      </c>
      <c r="F230" s="888">
        <v>0.98649968699677015</v>
      </c>
      <c r="G230" s="121"/>
    </row>
    <row r="231" spans="1:7" x14ac:dyDescent="0.2">
      <c r="A231" s="887" t="s">
        <v>147</v>
      </c>
      <c r="B231" s="890"/>
      <c r="C231" s="884"/>
      <c r="D231" s="884"/>
      <c r="E231" s="884"/>
      <c r="F231" s="888"/>
    </row>
    <row r="232" spans="1:7" x14ac:dyDescent="0.2">
      <c r="A232" s="889" t="s">
        <v>148</v>
      </c>
      <c r="B232" s="890">
        <v>41851</v>
      </c>
      <c r="C232" s="884">
        <v>22292691</v>
      </c>
      <c r="D232" s="884">
        <v>22292692</v>
      </c>
      <c r="E232" s="884">
        <v>-1</v>
      </c>
      <c r="F232" s="888">
        <v>1.0000000448577517</v>
      </c>
    </row>
    <row r="233" spans="1:7" x14ac:dyDescent="0.2">
      <c r="A233" s="887" t="s">
        <v>155</v>
      </c>
      <c r="B233" s="890"/>
      <c r="C233" s="884"/>
      <c r="D233" s="884"/>
      <c r="E233" s="884"/>
      <c r="F233" s="888"/>
    </row>
    <row r="234" spans="1:7" x14ac:dyDescent="0.2">
      <c r="A234" s="889" t="s">
        <v>1035</v>
      </c>
      <c r="B234" s="890">
        <v>41671</v>
      </c>
      <c r="C234" s="884">
        <v>23989000</v>
      </c>
      <c r="D234" s="884">
        <v>23989000</v>
      </c>
      <c r="E234" s="884">
        <v>0</v>
      </c>
      <c r="F234" s="888">
        <v>1</v>
      </c>
    </row>
    <row r="235" spans="1:7" x14ac:dyDescent="0.2">
      <c r="A235" s="887" t="s">
        <v>156</v>
      </c>
      <c r="B235" s="890"/>
      <c r="C235" s="884"/>
      <c r="D235" s="884"/>
      <c r="E235" s="884"/>
      <c r="F235" s="888"/>
    </row>
    <row r="236" spans="1:7" x14ac:dyDescent="0.2">
      <c r="A236" s="889" t="s">
        <v>53</v>
      </c>
      <c r="B236" s="890">
        <v>41712</v>
      </c>
      <c r="C236" s="884">
        <v>19576000</v>
      </c>
      <c r="D236" s="884">
        <v>19571370</v>
      </c>
      <c r="E236" s="884">
        <v>4630</v>
      </c>
      <c r="F236" s="888">
        <v>0.99976348590110342</v>
      </c>
    </row>
    <row r="237" spans="1:7" x14ac:dyDescent="0.2">
      <c r="A237" s="887" t="s">
        <v>157</v>
      </c>
      <c r="B237" s="890"/>
      <c r="C237" s="884"/>
      <c r="D237" s="884"/>
      <c r="E237" s="884"/>
      <c r="F237" s="888"/>
    </row>
    <row r="238" spans="1:7" x14ac:dyDescent="0.2">
      <c r="A238" s="889" t="s">
        <v>158</v>
      </c>
      <c r="B238" s="890">
        <v>41562</v>
      </c>
      <c r="C238" s="884">
        <v>6499930</v>
      </c>
      <c r="D238" s="884">
        <v>6499930</v>
      </c>
      <c r="E238" s="884">
        <v>0</v>
      </c>
      <c r="F238" s="888">
        <v>1</v>
      </c>
    </row>
    <row r="239" spans="1:7" x14ac:dyDescent="0.2">
      <c r="A239" s="887" t="s">
        <v>159</v>
      </c>
      <c r="B239" s="890"/>
      <c r="C239" s="884"/>
      <c r="D239" s="884"/>
      <c r="E239" s="884"/>
      <c r="F239" s="888"/>
    </row>
    <row r="240" spans="1:7" x14ac:dyDescent="0.2">
      <c r="A240" s="889" t="s">
        <v>160</v>
      </c>
      <c r="B240" s="890">
        <v>41533</v>
      </c>
      <c r="C240" s="884">
        <v>2367000</v>
      </c>
      <c r="D240" s="884">
        <v>2367000</v>
      </c>
      <c r="E240" s="884">
        <v>0</v>
      </c>
      <c r="F240" s="888">
        <v>1</v>
      </c>
    </row>
    <row r="241" spans="1:6" x14ac:dyDescent="0.2">
      <c r="A241" s="887" t="s">
        <v>164</v>
      </c>
      <c r="B241" s="890"/>
      <c r="C241" s="884"/>
      <c r="D241" s="884"/>
      <c r="E241" s="884"/>
      <c r="F241" s="888"/>
    </row>
    <row r="242" spans="1:6" x14ac:dyDescent="0.2">
      <c r="A242" s="889" t="s">
        <v>165</v>
      </c>
      <c r="B242" s="890">
        <v>41820</v>
      </c>
      <c r="C242" s="884">
        <v>269441460</v>
      </c>
      <c r="D242" s="884">
        <v>265223666</v>
      </c>
      <c r="E242" s="884">
        <v>4217794</v>
      </c>
      <c r="F242" s="888">
        <v>0.98434615815992088</v>
      </c>
    </row>
    <row r="243" spans="1:6" x14ac:dyDescent="0.2">
      <c r="A243" s="887" t="s">
        <v>190</v>
      </c>
      <c r="B243" s="890"/>
      <c r="C243" s="884"/>
      <c r="D243" s="884"/>
      <c r="E243" s="884"/>
      <c r="F243" s="888"/>
    </row>
    <row r="244" spans="1:6" x14ac:dyDescent="0.2">
      <c r="A244" s="889" t="s">
        <v>29</v>
      </c>
      <c r="B244" s="890">
        <v>41895</v>
      </c>
      <c r="C244" s="884">
        <v>840000</v>
      </c>
      <c r="D244" s="884">
        <v>840000</v>
      </c>
      <c r="E244" s="884">
        <v>0</v>
      </c>
      <c r="F244" s="888">
        <v>1</v>
      </c>
    </row>
    <row r="245" spans="1:6" x14ac:dyDescent="0.2">
      <c r="A245" s="887" t="s">
        <v>166</v>
      </c>
      <c r="B245" s="890"/>
      <c r="C245" s="884"/>
      <c r="D245" s="884"/>
      <c r="E245" s="884"/>
      <c r="F245" s="888"/>
    </row>
    <row r="246" spans="1:6" x14ac:dyDescent="0.2">
      <c r="A246" s="889" t="s">
        <v>1025</v>
      </c>
      <c r="B246" s="890">
        <v>41714</v>
      </c>
      <c r="C246" s="884">
        <v>38271000</v>
      </c>
      <c r="D246" s="884">
        <v>38271000</v>
      </c>
      <c r="E246" s="884">
        <v>0</v>
      </c>
      <c r="F246" s="888">
        <v>1</v>
      </c>
    </row>
    <row r="247" spans="1:6" x14ac:dyDescent="0.2">
      <c r="A247" s="887" t="s">
        <v>175</v>
      </c>
      <c r="B247" s="890"/>
      <c r="C247" s="884"/>
      <c r="D247" s="884"/>
      <c r="E247" s="884"/>
      <c r="F247" s="888"/>
    </row>
    <row r="248" spans="1:6" x14ac:dyDescent="0.2">
      <c r="A248" s="889" t="s">
        <v>176</v>
      </c>
      <c r="B248" s="890">
        <v>42082</v>
      </c>
      <c r="C248" s="884">
        <v>4001000</v>
      </c>
      <c r="D248" s="884">
        <v>4001000</v>
      </c>
      <c r="E248" s="884">
        <v>0</v>
      </c>
      <c r="F248" s="888">
        <v>1</v>
      </c>
    </row>
    <row r="249" spans="1:6" x14ac:dyDescent="0.2">
      <c r="A249" s="887" t="s">
        <v>197</v>
      </c>
      <c r="B249" s="890"/>
      <c r="C249" s="884"/>
      <c r="D249" s="884"/>
      <c r="E249" s="884"/>
      <c r="F249" s="888"/>
    </row>
    <row r="250" spans="1:6" x14ac:dyDescent="0.2">
      <c r="A250" s="889" t="s">
        <v>198</v>
      </c>
      <c r="B250" s="890">
        <v>41790</v>
      </c>
      <c r="C250" s="884">
        <v>10222000</v>
      </c>
      <c r="D250" s="884">
        <v>10208006</v>
      </c>
      <c r="E250" s="884">
        <v>13994</v>
      </c>
      <c r="F250" s="888">
        <v>0.99863099197808647</v>
      </c>
    </row>
    <row r="251" spans="1:6" x14ac:dyDescent="0.2">
      <c r="A251" s="887" t="s">
        <v>167</v>
      </c>
      <c r="B251" s="890"/>
      <c r="C251" s="884"/>
      <c r="D251" s="884"/>
      <c r="E251" s="884"/>
      <c r="F251" s="888"/>
    </row>
    <row r="252" spans="1:6" x14ac:dyDescent="0.2">
      <c r="A252" s="889" t="s">
        <v>1515</v>
      </c>
      <c r="B252" s="890">
        <v>41691</v>
      </c>
      <c r="C252" s="884">
        <v>23989000</v>
      </c>
      <c r="D252" s="884">
        <v>23989000</v>
      </c>
      <c r="E252" s="884">
        <v>0</v>
      </c>
      <c r="F252" s="888">
        <v>1</v>
      </c>
    </row>
    <row r="253" spans="1:6" x14ac:dyDescent="0.2">
      <c r="A253" s="887" t="s">
        <v>178</v>
      </c>
      <c r="B253" s="890"/>
      <c r="C253" s="884"/>
      <c r="D253" s="884"/>
      <c r="E253" s="884"/>
      <c r="F253" s="888"/>
    </row>
    <row r="254" spans="1:6" x14ac:dyDescent="0.2">
      <c r="A254" s="889" t="s">
        <v>33</v>
      </c>
      <c r="B254" s="890">
        <v>41911</v>
      </c>
      <c r="C254" s="884">
        <v>795000</v>
      </c>
      <c r="D254" s="884">
        <v>795000</v>
      </c>
      <c r="E254" s="884">
        <v>0</v>
      </c>
      <c r="F254" s="888">
        <v>1</v>
      </c>
    </row>
    <row r="255" spans="1:6" x14ac:dyDescent="0.2">
      <c r="A255" s="887" t="s">
        <v>189</v>
      </c>
      <c r="B255" s="890"/>
      <c r="C255" s="884"/>
      <c r="D255" s="884"/>
      <c r="E255" s="884"/>
      <c r="F255" s="888"/>
    </row>
    <row r="256" spans="1:6" x14ac:dyDescent="0.2">
      <c r="A256" s="889" t="s">
        <v>13</v>
      </c>
      <c r="B256" s="890">
        <v>41892</v>
      </c>
      <c r="C256" s="884">
        <v>936000</v>
      </c>
      <c r="D256" s="884">
        <v>936000</v>
      </c>
      <c r="E256" s="884">
        <v>0</v>
      </c>
      <c r="F256" s="888">
        <v>1</v>
      </c>
    </row>
    <row r="257" spans="1:6" x14ac:dyDescent="0.2">
      <c r="A257" s="887" t="s">
        <v>168</v>
      </c>
      <c r="B257" s="890"/>
      <c r="C257" s="884"/>
      <c r="D257" s="884"/>
      <c r="E257" s="884"/>
      <c r="F257" s="888"/>
    </row>
    <row r="258" spans="1:6" x14ac:dyDescent="0.2">
      <c r="A258" s="889" t="s">
        <v>169</v>
      </c>
      <c r="B258" s="890">
        <v>41858</v>
      </c>
      <c r="C258" s="884">
        <v>3847300</v>
      </c>
      <c r="D258" s="884">
        <v>3847300</v>
      </c>
      <c r="E258" s="884">
        <v>0</v>
      </c>
      <c r="F258" s="888">
        <v>1</v>
      </c>
    </row>
    <row r="259" spans="1:6" x14ac:dyDescent="0.2">
      <c r="A259" s="887" t="s">
        <v>172</v>
      </c>
      <c r="B259" s="890"/>
      <c r="C259" s="884"/>
      <c r="D259" s="884"/>
      <c r="E259" s="884"/>
      <c r="F259" s="888"/>
    </row>
    <row r="260" spans="1:6" x14ac:dyDescent="0.2">
      <c r="A260" s="889" t="s">
        <v>152</v>
      </c>
      <c r="B260" s="890">
        <v>41864</v>
      </c>
      <c r="C260" s="884">
        <v>60693200</v>
      </c>
      <c r="D260" s="884">
        <v>59391828</v>
      </c>
      <c r="E260" s="884">
        <v>1301372</v>
      </c>
      <c r="F260" s="888">
        <v>0.97855819103293284</v>
      </c>
    </row>
    <row r="261" spans="1:6" x14ac:dyDescent="0.2">
      <c r="A261" s="887" t="s">
        <v>173</v>
      </c>
      <c r="B261" s="890"/>
      <c r="C261" s="884"/>
      <c r="D261" s="884"/>
      <c r="E261" s="884"/>
      <c r="F261" s="888"/>
    </row>
    <row r="262" spans="1:6" x14ac:dyDescent="0.2">
      <c r="A262" s="889" t="s">
        <v>174</v>
      </c>
      <c r="B262" s="890">
        <v>41876</v>
      </c>
      <c r="C262" s="884">
        <v>4393120</v>
      </c>
      <c r="D262" s="884">
        <v>2578000</v>
      </c>
      <c r="E262" s="884">
        <v>1815120</v>
      </c>
      <c r="F262" s="888">
        <v>0.58682667443639147</v>
      </c>
    </row>
    <row r="263" spans="1:6" x14ac:dyDescent="0.2">
      <c r="A263" s="887" t="s">
        <v>187</v>
      </c>
      <c r="B263" s="890"/>
      <c r="C263" s="884"/>
      <c r="D263" s="884"/>
      <c r="E263" s="884"/>
      <c r="F263" s="888"/>
    </row>
    <row r="264" spans="1:6" x14ac:dyDescent="0.2">
      <c r="A264" s="889" t="s">
        <v>188</v>
      </c>
      <c r="B264" s="890">
        <v>42099</v>
      </c>
      <c r="C264" s="884">
        <v>25204000</v>
      </c>
      <c r="D264" s="884">
        <v>25201450</v>
      </c>
      <c r="E264" s="884">
        <v>2550</v>
      </c>
      <c r="F264" s="888">
        <v>0.99989882558324072</v>
      </c>
    </row>
    <row r="265" spans="1:6" x14ac:dyDescent="0.2">
      <c r="A265" s="887" t="s">
        <v>183</v>
      </c>
      <c r="B265" s="890"/>
      <c r="C265" s="884"/>
      <c r="D265" s="884"/>
      <c r="E265" s="884"/>
      <c r="F265" s="888"/>
    </row>
    <row r="266" spans="1:6" x14ac:dyDescent="0.2">
      <c r="A266" s="889" t="s">
        <v>184</v>
      </c>
      <c r="B266" s="890">
        <v>42055</v>
      </c>
      <c r="C266" s="884">
        <v>130384697</v>
      </c>
      <c r="D266" s="884">
        <v>96359635</v>
      </c>
      <c r="E266" s="884">
        <v>34025062</v>
      </c>
      <c r="F266" s="888">
        <v>0.7390409857684449</v>
      </c>
    </row>
    <row r="267" spans="1:6" x14ac:dyDescent="0.2">
      <c r="A267" s="887" t="s">
        <v>185</v>
      </c>
      <c r="B267" s="890"/>
      <c r="C267" s="884"/>
      <c r="D267" s="884"/>
      <c r="E267" s="884"/>
      <c r="F267" s="888"/>
    </row>
    <row r="268" spans="1:6" x14ac:dyDescent="0.2">
      <c r="A268" s="889" t="s">
        <v>186</v>
      </c>
      <c r="B268" s="890">
        <v>41897</v>
      </c>
      <c r="C268" s="884">
        <v>45056000</v>
      </c>
      <c r="D268" s="884">
        <v>25056000</v>
      </c>
      <c r="E268" s="884">
        <v>20000000</v>
      </c>
      <c r="F268" s="888">
        <v>0.55610795454545459</v>
      </c>
    </row>
    <row r="269" spans="1:6" x14ac:dyDescent="0.2">
      <c r="A269" s="887" t="s">
        <v>195</v>
      </c>
      <c r="B269" s="890"/>
      <c r="C269" s="884"/>
      <c r="D269" s="884"/>
      <c r="E269" s="884"/>
      <c r="F269" s="888"/>
    </row>
    <row r="270" spans="1:6" x14ac:dyDescent="0.2">
      <c r="A270" s="889" t="s">
        <v>1037</v>
      </c>
      <c r="B270" s="890">
        <v>41782</v>
      </c>
      <c r="C270" s="884">
        <v>114225288</v>
      </c>
      <c r="D270" s="884">
        <v>114217068</v>
      </c>
      <c r="E270" s="884">
        <v>8220</v>
      </c>
      <c r="F270" s="888">
        <v>0.99992803695097709</v>
      </c>
    </row>
    <row r="271" spans="1:6" x14ac:dyDescent="0.2">
      <c r="A271" s="887" t="s">
        <v>191</v>
      </c>
      <c r="B271" s="890"/>
      <c r="C271" s="884"/>
      <c r="D271" s="884"/>
      <c r="E271" s="884"/>
      <c r="F271" s="888"/>
    </row>
    <row r="272" spans="1:6" x14ac:dyDescent="0.2">
      <c r="A272" s="889" t="s">
        <v>192</v>
      </c>
      <c r="B272" s="890">
        <v>41615</v>
      </c>
      <c r="C272" s="884">
        <v>4715000</v>
      </c>
      <c r="D272" s="884">
        <v>4715000</v>
      </c>
      <c r="E272" s="884">
        <v>0</v>
      </c>
      <c r="F272" s="888">
        <v>1</v>
      </c>
    </row>
    <row r="273" spans="1:6" x14ac:dyDescent="0.2">
      <c r="A273" s="887" t="s">
        <v>199</v>
      </c>
      <c r="B273" s="890"/>
      <c r="C273" s="884"/>
      <c r="D273" s="884"/>
      <c r="E273" s="884"/>
      <c r="F273" s="888"/>
    </row>
    <row r="274" spans="1:6" x14ac:dyDescent="0.2">
      <c r="A274" s="889" t="s">
        <v>1038</v>
      </c>
      <c r="B274" s="890">
        <v>41890</v>
      </c>
      <c r="C274" s="884">
        <v>457000000</v>
      </c>
      <c r="D274" s="884">
        <v>416287285</v>
      </c>
      <c r="E274" s="884">
        <v>40712715</v>
      </c>
      <c r="F274" s="888">
        <v>0.91091309628008754</v>
      </c>
    </row>
    <row r="275" spans="1:6" x14ac:dyDescent="0.2">
      <c r="A275" s="887" t="s">
        <v>177</v>
      </c>
      <c r="B275" s="890"/>
      <c r="C275" s="884"/>
      <c r="D275" s="884"/>
      <c r="E275" s="884"/>
      <c r="F275" s="888"/>
    </row>
    <row r="276" spans="1:6" x14ac:dyDescent="0.2">
      <c r="A276" s="889" t="s">
        <v>1039</v>
      </c>
      <c r="B276" s="890">
        <v>41645</v>
      </c>
      <c r="C276" s="884">
        <v>3356320</v>
      </c>
      <c r="D276" s="884">
        <v>3356320</v>
      </c>
      <c r="E276" s="884">
        <v>0</v>
      </c>
      <c r="F276" s="888">
        <v>1</v>
      </c>
    </row>
    <row r="277" spans="1:6" x14ac:dyDescent="0.2">
      <c r="A277" s="887" t="s">
        <v>193</v>
      </c>
      <c r="B277" s="890"/>
      <c r="C277" s="884"/>
      <c r="D277" s="884"/>
      <c r="E277" s="884"/>
      <c r="F277" s="888"/>
    </row>
    <row r="278" spans="1:6" x14ac:dyDescent="0.2">
      <c r="A278" s="889" t="s">
        <v>194</v>
      </c>
      <c r="B278" s="890">
        <v>41935</v>
      </c>
      <c r="C278" s="884">
        <v>19965572</v>
      </c>
      <c r="D278" s="884">
        <v>19965572</v>
      </c>
      <c r="E278" s="884">
        <v>0</v>
      </c>
      <c r="F278" s="888">
        <v>1</v>
      </c>
    </row>
    <row r="279" spans="1:6" x14ac:dyDescent="0.2">
      <c r="A279" s="887" t="s">
        <v>196</v>
      </c>
      <c r="B279" s="890"/>
      <c r="C279" s="884"/>
      <c r="D279" s="884"/>
      <c r="E279" s="884"/>
      <c r="F279" s="888"/>
    </row>
    <row r="280" spans="1:6" x14ac:dyDescent="0.2">
      <c r="A280" s="889" t="s">
        <v>22</v>
      </c>
      <c r="B280" s="890">
        <v>41926</v>
      </c>
      <c r="C280" s="884">
        <v>38280000</v>
      </c>
      <c r="D280" s="884">
        <v>38280000</v>
      </c>
      <c r="E280" s="884">
        <v>0</v>
      </c>
      <c r="F280" s="888">
        <v>1</v>
      </c>
    </row>
    <row r="281" spans="1:6" x14ac:dyDescent="0.2">
      <c r="A281" s="887" t="s">
        <v>200</v>
      </c>
      <c r="B281" s="890"/>
      <c r="C281" s="884"/>
      <c r="D281" s="884"/>
      <c r="E281" s="884"/>
      <c r="F281" s="888"/>
    </row>
    <row r="282" spans="1:6" x14ac:dyDescent="0.2">
      <c r="A282" s="889" t="s">
        <v>201</v>
      </c>
      <c r="B282" s="890">
        <v>41592</v>
      </c>
      <c r="C282" s="884">
        <v>26073552</v>
      </c>
      <c r="D282" s="884">
        <v>26073552</v>
      </c>
      <c r="E282" s="884">
        <v>0</v>
      </c>
      <c r="F282" s="888">
        <v>1</v>
      </c>
    </row>
    <row r="283" spans="1:6" x14ac:dyDescent="0.2">
      <c r="A283" s="887" t="s">
        <v>204</v>
      </c>
      <c r="B283" s="890"/>
      <c r="C283" s="884"/>
      <c r="D283" s="884"/>
      <c r="E283" s="884"/>
      <c r="F283" s="888"/>
    </row>
    <row r="284" spans="1:6" x14ac:dyDescent="0.2">
      <c r="A284" s="889" t="s">
        <v>205</v>
      </c>
      <c r="B284" s="890">
        <v>41692</v>
      </c>
      <c r="C284" s="884">
        <v>17262940</v>
      </c>
      <c r="D284" s="884">
        <v>17262940</v>
      </c>
      <c r="E284" s="884">
        <v>0</v>
      </c>
      <c r="F284" s="888">
        <v>1</v>
      </c>
    </row>
    <row r="285" spans="1:6" x14ac:dyDescent="0.2">
      <c r="A285" s="887" t="s">
        <v>206</v>
      </c>
      <c r="B285" s="890"/>
      <c r="C285" s="884"/>
      <c r="D285" s="884"/>
      <c r="E285" s="884"/>
      <c r="F285" s="888"/>
    </row>
    <row r="286" spans="1:6" x14ac:dyDescent="0.2">
      <c r="A286" s="889" t="s">
        <v>1020</v>
      </c>
      <c r="B286" s="890">
        <v>41939</v>
      </c>
      <c r="C286" s="884">
        <v>810000</v>
      </c>
      <c r="D286" s="884">
        <v>810000</v>
      </c>
      <c r="E286" s="884">
        <v>0</v>
      </c>
      <c r="F286" s="888">
        <v>1</v>
      </c>
    </row>
    <row r="287" spans="1:6" x14ac:dyDescent="0.2">
      <c r="A287" s="887" t="s">
        <v>211</v>
      </c>
      <c r="B287" s="890"/>
      <c r="C287" s="884"/>
      <c r="D287" s="884"/>
      <c r="E287" s="884"/>
      <c r="F287" s="888"/>
    </row>
    <row r="288" spans="1:6" x14ac:dyDescent="0.2">
      <c r="A288" s="889" t="s">
        <v>212</v>
      </c>
      <c r="B288" s="890">
        <v>41650</v>
      </c>
      <c r="C288" s="884">
        <v>5545000</v>
      </c>
      <c r="D288" s="884">
        <v>5545000</v>
      </c>
      <c r="E288" s="884">
        <v>0</v>
      </c>
      <c r="F288" s="888">
        <v>1</v>
      </c>
    </row>
    <row r="289" spans="1:6" x14ac:dyDescent="0.2">
      <c r="A289" s="887" t="s">
        <v>209</v>
      </c>
      <c r="B289" s="890"/>
      <c r="C289" s="884"/>
      <c r="D289" s="884"/>
      <c r="E289" s="884"/>
      <c r="F289" s="888"/>
    </row>
    <row r="290" spans="1:6" x14ac:dyDescent="0.2">
      <c r="A290" s="889" t="s">
        <v>210</v>
      </c>
      <c r="B290" s="890">
        <v>41650</v>
      </c>
      <c r="C290" s="884">
        <v>19360400</v>
      </c>
      <c r="D290" s="884">
        <v>19360400</v>
      </c>
      <c r="E290" s="884">
        <v>0</v>
      </c>
      <c r="F290" s="888">
        <v>1</v>
      </c>
    </row>
    <row r="291" spans="1:6" x14ac:dyDescent="0.2">
      <c r="A291" s="887" t="s">
        <v>207</v>
      </c>
      <c r="B291" s="890"/>
      <c r="C291" s="884"/>
      <c r="D291" s="884"/>
      <c r="E291" s="884"/>
      <c r="F291" s="888"/>
    </row>
    <row r="292" spans="1:6" x14ac:dyDescent="0.2">
      <c r="A292" s="889" t="s">
        <v>208</v>
      </c>
      <c r="B292" s="890">
        <v>41814</v>
      </c>
      <c r="C292" s="884">
        <v>502280800</v>
      </c>
      <c r="D292" s="884">
        <v>502247588</v>
      </c>
      <c r="E292" s="884">
        <v>33212</v>
      </c>
      <c r="F292" s="888">
        <v>0.99993387762383112</v>
      </c>
    </row>
    <row r="293" spans="1:6" x14ac:dyDescent="0.2">
      <c r="A293" s="887" t="s">
        <v>213</v>
      </c>
      <c r="B293" s="890"/>
      <c r="C293" s="884"/>
      <c r="D293" s="884"/>
      <c r="E293" s="884"/>
      <c r="F293" s="888"/>
    </row>
    <row r="294" spans="1:6" x14ac:dyDescent="0.2">
      <c r="A294" s="889" t="s">
        <v>1040</v>
      </c>
      <c r="B294" s="890">
        <v>41975</v>
      </c>
      <c r="C294" s="884">
        <v>692839272</v>
      </c>
      <c r="D294" s="884">
        <v>678164443</v>
      </c>
      <c r="E294" s="884">
        <v>14674829</v>
      </c>
      <c r="F294" s="888">
        <v>0.97881928811910646</v>
      </c>
    </row>
    <row r="295" spans="1:6" x14ac:dyDescent="0.2">
      <c r="A295" s="887" t="s">
        <v>258</v>
      </c>
      <c r="B295" s="890"/>
      <c r="C295" s="884"/>
      <c r="D295" s="884"/>
      <c r="E295" s="884"/>
      <c r="F295" s="888"/>
    </row>
    <row r="296" spans="1:6" x14ac:dyDescent="0.2">
      <c r="A296" s="889" t="s">
        <v>259</v>
      </c>
      <c r="B296" s="890">
        <v>42425</v>
      </c>
      <c r="C296" s="884">
        <v>0</v>
      </c>
      <c r="D296" s="884">
        <v>0</v>
      </c>
      <c r="E296" s="884">
        <v>0</v>
      </c>
      <c r="F296" s="888" t="e">
        <v>#DIV/0!</v>
      </c>
    </row>
    <row r="297" spans="1:6" x14ac:dyDescent="0.2">
      <c r="A297" s="887" t="s">
        <v>309</v>
      </c>
      <c r="B297" s="890"/>
      <c r="C297" s="884"/>
      <c r="D297" s="884"/>
      <c r="E297" s="884"/>
      <c r="F297" s="888"/>
    </row>
    <row r="298" spans="1:6" x14ac:dyDescent="0.2">
      <c r="A298" s="889" t="s">
        <v>77</v>
      </c>
      <c r="B298" s="890">
        <v>42321</v>
      </c>
      <c r="C298" s="884">
        <v>398614000</v>
      </c>
      <c r="D298" s="884">
        <v>398614000</v>
      </c>
      <c r="E298" s="884">
        <v>0</v>
      </c>
      <c r="F298" s="888">
        <v>1</v>
      </c>
    </row>
    <row r="299" spans="1:6" x14ac:dyDescent="0.2">
      <c r="A299" s="887" t="s">
        <v>234</v>
      </c>
      <c r="B299" s="890"/>
      <c r="C299" s="884"/>
      <c r="D299" s="884"/>
      <c r="E299" s="884"/>
      <c r="F299" s="888"/>
    </row>
    <row r="300" spans="1:6" x14ac:dyDescent="0.2">
      <c r="A300" s="889" t="s">
        <v>235</v>
      </c>
      <c r="B300" s="890">
        <v>41748</v>
      </c>
      <c r="C300" s="884">
        <v>430036764</v>
      </c>
      <c r="D300" s="884">
        <v>430036600</v>
      </c>
      <c r="E300" s="884">
        <v>164</v>
      </c>
      <c r="F300" s="888">
        <v>0.99999961863725684</v>
      </c>
    </row>
    <row r="301" spans="1:6" x14ac:dyDescent="0.2">
      <c r="A301" s="887" t="s">
        <v>214</v>
      </c>
      <c r="B301" s="890"/>
      <c r="C301" s="884"/>
      <c r="D301" s="884"/>
      <c r="E301" s="884"/>
      <c r="F301" s="888"/>
    </row>
    <row r="302" spans="1:6" x14ac:dyDescent="0.2">
      <c r="A302" s="889" t="s">
        <v>31</v>
      </c>
      <c r="B302" s="890">
        <v>41681</v>
      </c>
      <c r="C302" s="884">
        <v>6000000</v>
      </c>
      <c r="D302" s="884">
        <v>6000000</v>
      </c>
      <c r="E302" s="884">
        <v>0</v>
      </c>
      <c r="F302" s="888">
        <v>1</v>
      </c>
    </row>
    <row r="303" spans="1:6" x14ac:dyDescent="0.2">
      <c r="A303" s="887" t="s">
        <v>232</v>
      </c>
      <c r="B303" s="890"/>
      <c r="C303" s="884"/>
      <c r="D303" s="884"/>
      <c r="E303" s="884"/>
      <c r="F303" s="888"/>
    </row>
    <row r="304" spans="1:6" x14ac:dyDescent="0.2">
      <c r="A304" s="889" t="s">
        <v>233</v>
      </c>
      <c r="B304" s="890">
        <v>42005</v>
      </c>
      <c r="C304" s="884">
        <v>7937504</v>
      </c>
      <c r="D304" s="884">
        <v>5992064</v>
      </c>
      <c r="E304" s="884">
        <v>1945440</v>
      </c>
      <c r="F304" s="888">
        <v>0.75490532036267322</v>
      </c>
    </row>
    <row r="305" spans="1:6" x14ac:dyDescent="0.2">
      <c r="A305" s="887" t="s">
        <v>215</v>
      </c>
      <c r="B305" s="890"/>
      <c r="C305" s="884"/>
      <c r="D305" s="884"/>
      <c r="E305" s="884"/>
      <c r="F305" s="888"/>
    </row>
    <row r="306" spans="1:6" x14ac:dyDescent="0.2">
      <c r="A306" s="889" t="s">
        <v>1596</v>
      </c>
      <c r="B306" s="890">
        <v>41658</v>
      </c>
      <c r="C306" s="884">
        <v>15000000</v>
      </c>
      <c r="D306" s="884">
        <v>15000000</v>
      </c>
      <c r="E306" s="884">
        <v>0</v>
      </c>
      <c r="F306" s="888">
        <v>1</v>
      </c>
    </row>
    <row r="307" spans="1:6" x14ac:dyDescent="0.2">
      <c r="A307" s="887" t="s">
        <v>216</v>
      </c>
      <c r="B307" s="890"/>
      <c r="C307" s="884"/>
      <c r="D307" s="884"/>
      <c r="E307" s="884"/>
      <c r="F307" s="888"/>
    </row>
    <row r="308" spans="1:6" x14ac:dyDescent="0.2">
      <c r="A308" s="889" t="s">
        <v>217</v>
      </c>
      <c r="B308" s="890">
        <v>41985</v>
      </c>
      <c r="C308" s="884">
        <v>452974000</v>
      </c>
      <c r="D308" s="884">
        <v>355062557</v>
      </c>
      <c r="E308" s="884">
        <v>97911443</v>
      </c>
      <c r="F308" s="888">
        <v>0.7838475431260955</v>
      </c>
    </row>
    <row r="309" spans="1:6" x14ac:dyDescent="0.2">
      <c r="A309" s="887" t="s">
        <v>218</v>
      </c>
      <c r="B309" s="890"/>
      <c r="C309" s="884"/>
      <c r="D309" s="884"/>
      <c r="E309" s="884"/>
      <c r="F309" s="888"/>
    </row>
    <row r="310" spans="1:6" x14ac:dyDescent="0.2">
      <c r="A310" s="889" t="s">
        <v>219</v>
      </c>
      <c r="B310" s="890">
        <v>41980</v>
      </c>
      <c r="C310" s="884">
        <v>95000000</v>
      </c>
      <c r="D310" s="884">
        <v>88983693</v>
      </c>
      <c r="E310" s="884">
        <v>6016307</v>
      </c>
      <c r="F310" s="888">
        <v>0.936670452631579</v>
      </c>
    </row>
    <row r="311" spans="1:6" x14ac:dyDescent="0.2">
      <c r="A311" s="887" t="s">
        <v>220</v>
      </c>
      <c r="B311" s="890"/>
      <c r="C311" s="884"/>
      <c r="D311" s="884"/>
      <c r="E311" s="884"/>
      <c r="F311" s="888"/>
    </row>
    <row r="312" spans="1:6" x14ac:dyDescent="0.2">
      <c r="A312" s="889" t="s">
        <v>1149</v>
      </c>
      <c r="B312" s="890">
        <v>41641</v>
      </c>
      <c r="C312" s="884">
        <v>63128000</v>
      </c>
      <c r="D312" s="884">
        <v>63128000</v>
      </c>
      <c r="E312" s="884">
        <v>0</v>
      </c>
      <c r="F312" s="888">
        <v>1</v>
      </c>
    </row>
    <row r="313" spans="1:6" x14ac:dyDescent="0.2">
      <c r="A313" s="887" t="s">
        <v>227</v>
      </c>
      <c r="B313" s="890"/>
      <c r="C313" s="884"/>
      <c r="D313" s="884"/>
      <c r="E313" s="884"/>
      <c r="F313" s="888"/>
    </row>
    <row r="314" spans="1:6" x14ac:dyDescent="0.2">
      <c r="A314" s="889" t="s">
        <v>228</v>
      </c>
      <c r="B314" s="890">
        <v>41658</v>
      </c>
      <c r="C314" s="884">
        <v>5000000</v>
      </c>
      <c r="D314" s="884">
        <v>5000000</v>
      </c>
      <c r="E314" s="884">
        <v>0</v>
      </c>
      <c r="F314" s="888">
        <v>1</v>
      </c>
    </row>
    <row r="315" spans="1:6" x14ac:dyDescent="0.2">
      <c r="A315" s="887" t="s">
        <v>223</v>
      </c>
      <c r="B315" s="890"/>
      <c r="C315" s="884"/>
      <c r="D315" s="884"/>
      <c r="E315" s="884"/>
      <c r="F315" s="888"/>
    </row>
    <row r="316" spans="1:6" x14ac:dyDescent="0.2">
      <c r="A316" s="889" t="s">
        <v>224</v>
      </c>
      <c r="B316" s="890">
        <v>41658</v>
      </c>
      <c r="C316" s="884">
        <v>5000000</v>
      </c>
      <c r="D316" s="884">
        <v>5000000</v>
      </c>
      <c r="E316" s="884">
        <v>0</v>
      </c>
      <c r="F316" s="888">
        <v>1</v>
      </c>
    </row>
    <row r="317" spans="1:6" x14ac:dyDescent="0.2">
      <c r="A317" s="887" t="s">
        <v>231</v>
      </c>
      <c r="B317" s="890"/>
      <c r="C317" s="884"/>
      <c r="D317" s="884"/>
      <c r="E317" s="884"/>
      <c r="F317" s="888"/>
    </row>
    <row r="318" spans="1:6" x14ac:dyDescent="0.2">
      <c r="A318" s="889" t="s">
        <v>1042</v>
      </c>
      <c r="B318" s="890">
        <v>41797</v>
      </c>
      <c r="C318" s="884">
        <v>70000000</v>
      </c>
      <c r="D318" s="884">
        <v>69658711</v>
      </c>
      <c r="E318" s="884">
        <v>341289</v>
      </c>
      <c r="F318" s="888">
        <v>0.99512444285714285</v>
      </c>
    </row>
    <row r="319" spans="1:6" x14ac:dyDescent="0.2">
      <c r="A319" s="887" t="s">
        <v>225</v>
      </c>
      <c r="B319" s="890"/>
      <c r="C319" s="884"/>
      <c r="D319" s="884"/>
      <c r="E319" s="884"/>
      <c r="F319" s="888"/>
    </row>
    <row r="320" spans="1:6" x14ac:dyDescent="0.2">
      <c r="A320" s="889" t="s">
        <v>226</v>
      </c>
      <c r="B320" s="890">
        <v>41658</v>
      </c>
      <c r="C320" s="884">
        <v>5000000</v>
      </c>
      <c r="D320" s="884">
        <v>5000000</v>
      </c>
      <c r="E320" s="884">
        <v>0</v>
      </c>
      <c r="F320" s="888">
        <v>1</v>
      </c>
    </row>
    <row r="321" spans="1:6" x14ac:dyDescent="0.2">
      <c r="A321" s="887" t="s">
        <v>221</v>
      </c>
      <c r="B321" s="890"/>
      <c r="C321" s="884"/>
      <c r="D321" s="884"/>
      <c r="E321" s="884"/>
      <c r="F321" s="888"/>
    </row>
    <row r="322" spans="1:6" x14ac:dyDescent="0.2">
      <c r="A322" s="889" t="s">
        <v>222</v>
      </c>
      <c r="B322" s="890">
        <v>41658</v>
      </c>
      <c r="C322" s="884">
        <v>5000000</v>
      </c>
      <c r="D322" s="884">
        <v>5000000</v>
      </c>
      <c r="E322" s="884">
        <v>0</v>
      </c>
      <c r="F322" s="888">
        <v>1</v>
      </c>
    </row>
    <row r="323" spans="1:6" x14ac:dyDescent="0.2">
      <c r="A323" s="887" t="s">
        <v>242</v>
      </c>
      <c r="B323" s="890"/>
      <c r="C323" s="884"/>
      <c r="D323" s="884"/>
      <c r="E323" s="884"/>
      <c r="F323" s="888"/>
    </row>
    <row r="324" spans="1:6" x14ac:dyDescent="0.2">
      <c r="A324" s="889" t="s">
        <v>235</v>
      </c>
      <c r="B324" s="890">
        <v>41751</v>
      </c>
      <c r="C324" s="884">
        <v>3017160</v>
      </c>
      <c r="D324" s="884">
        <v>3017160</v>
      </c>
      <c r="E324" s="884">
        <v>0</v>
      </c>
      <c r="F324" s="888">
        <v>1</v>
      </c>
    </row>
    <row r="325" spans="1:6" x14ac:dyDescent="0.2">
      <c r="A325" s="887" t="s">
        <v>240</v>
      </c>
      <c r="B325" s="890"/>
      <c r="C325" s="884"/>
      <c r="D325" s="884"/>
      <c r="E325" s="884"/>
      <c r="F325" s="888"/>
    </row>
    <row r="326" spans="1:6" x14ac:dyDescent="0.2">
      <c r="A326" s="889" t="s">
        <v>290</v>
      </c>
      <c r="B326" s="890">
        <v>42019</v>
      </c>
      <c r="C326" s="884">
        <v>90000000</v>
      </c>
      <c r="D326" s="884">
        <v>42574877.200000003</v>
      </c>
      <c r="E326" s="884">
        <v>47425122.799999997</v>
      </c>
      <c r="F326" s="888">
        <v>0.47305419111111113</v>
      </c>
    </row>
    <row r="327" spans="1:6" x14ac:dyDescent="0.2">
      <c r="A327" s="887" t="s">
        <v>229</v>
      </c>
      <c r="B327" s="890"/>
      <c r="C327" s="884"/>
      <c r="D327" s="884"/>
      <c r="E327" s="884"/>
      <c r="F327" s="888"/>
    </row>
    <row r="328" spans="1:6" x14ac:dyDescent="0.2">
      <c r="A328" s="889" t="s">
        <v>1043</v>
      </c>
      <c r="B328" s="890">
        <v>41664</v>
      </c>
      <c r="C328" s="884">
        <v>5000000</v>
      </c>
      <c r="D328" s="884">
        <v>5000000</v>
      </c>
      <c r="E328" s="884">
        <v>0</v>
      </c>
      <c r="F328" s="888">
        <v>1</v>
      </c>
    </row>
    <row r="329" spans="1:6" x14ac:dyDescent="0.2">
      <c r="A329" s="887" t="s">
        <v>239</v>
      </c>
      <c r="B329" s="890"/>
      <c r="C329" s="884"/>
      <c r="D329" s="884"/>
      <c r="E329" s="884"/>
      <c r="F329" s="888"/>
    </row>
    <row r="330" spans="1:6" x14ac:dyDescent="0.2">
      <c r="A330" s="889" t="s">
        <v>152</v>
      </c>
      <c r="B330" s="890">
        <v>41754</v>
      </c>
      <c r="C330" s="884">
        <v>3743343</v>
      </c>
      <c r="D330" s="884">
        <v>3743343</v>
      </c>
      <c r="E330" s="884">
        <v>0</v>
      </c>
      <c r="F330" s="888">
        <v>1</v>
      </c>
    </row>
    <row r="331" spans="1:6" x14ac:dyDescent="0.2">
      <c r="A331" s="887" t="s">
        <v>405</v>
      </c>
      <c r="B331" s="890"/>
      <c r="C331" s="884"/>
      <c r="D331" s="884"/>
      <c r="E331" s="884"/>
      <c r="F331" s="888"/>
    </row>
    <row r="332" spans="1:6" x14ac:dyDescent="0.2">
      <c r="A332" s="889" t="s">
        <v>238</v>
      </c>
      <c r="B332" s="890">
        <v>42026</v>
      </c>
      <c r="C332" s="884">
        <v>1620000</v>
      </c>
      <c r="D332" s="884">
        <v>354000</v>
      </c>
      <c r="E332" s="884">
        <v>1266000</v>
      </c>
      <c r="F332" s="888">
        <v>0.21851851851851853</v>
      </c>
    </row>
    <row r="333" spans="1:6" x14ac:dyDescent="0.2">
      <c r="A333" s="887" t="s">
        <v>236</v>
      </c>
      <c r="B333" s="890"/>
      <c r="C333" s="884"/>
      <c r="D333" s="884"/>
      <c r="E333" s="884"/>
      <c r="F333" s="888"/>
    </row>
    <row r="334" spans="1:6" x14ac:dyDescent="0.2">
      <c r="A334" s="889" t="s">
        <v>186</v>
      </c>
      <c r="B334" s="890">
        <v>41713</v>
      </c>
      <c r="C334" s="884">
        <v>32048480</v>
      </c>
      <c r="D334" s="884">
        <v>32048480</v>
      </c>
      <c r="E334" s="884">
        <v>0</v>
      </c>
      <c r="F334" s="888">
        <v>1</v>
      </c>
    </row>
    <row r="335" spans="1:6" x14ac:dyDescent="0.2">
      <c r="A335" s="887" t="s">
        <v>241</v>
      </c>
      <c r="B335" s="890"/>
      <c r="C335" s="884"/>
      <c r="D335" s="884"/>
      <c r="E335" s="884"/>
      <c r="F335" s="888"/>
    </row>
    <row r="336" spans="1:6" x14ac:dyDescent="0.2">
      <c r="A336" s="889" t="s">
        <v>1044</v>
      </c>
      <c r="B336" s="890">
        <v>41720</v>
      </c>
      <c r="C336" s="884">
        <v>3480000</v>
      </c>
      <c r="D336" s="884">
        <v>3480000</v>
      </c>
      <c r="E336" s="884">
        <v>0</v>
      </c>
      <c r="F336" s="888">
        <v>1</v>
      </c>
    </row>
    <row r="337" spans="1:6" x14ac:dyDescent="0.2">
      <c r="A337" s="887" t="s">
        <v>237</v>
      </c>
      <c r="B337" s="890"/>
      <c r="C337" s="884"/>
      <c r="D337" s="884"/>
      <c r="E337" s="884"/>
      <c r="F337" s="888"/>
    </row>
    <row r="338" spans="1:6" x14ac:dyDescent="0.2">
      <c r="A338" s="889" t="s">
        <v>186</v>
      </c>
      <c r="B338" s="890">
        <v>41736</v>
      </c>
      <c r="C338" s="884">
        <v>126308000</v>
      </c>
      <c r="D338" s="884">
        <v>126308000</v>
      </c>
      <c r="E338" s="884">
        <v>0</v>
      </c>
      <c r="F338" s="888">
        <v>1</v>
      </c>
    </row>
    <row r="339" spans="1:6" x14ac:dyDescent="0.2">
      <c r="A339" s="887" t="s">
        <v>230</v>
      </c>
      <c r="B339" s="890"/>
      <c r="C339" s="884"/>
      <c r="D339" s="884"/>
      <c r="E339" s="884"/>
      <c r="F339" s="888"/>
    </row>
    <row r="340" spans="1:6" x14ac:dyDescent="0.2">
      <c r="A340" s="889" t="s">
        <v>1045</v>
      </c>
      <c r="B340" s="890">
        <v>41668</v>
      </c>
      <c r="C340" s="884">
        <v>3500000</v>
      </c>
      <c r="D340" s="884">
        <v>3500000</v>
      </c>
      <c r="E340" s="884">
        <v>0</v>
      </c>
      <c r="F340" s="888">
        <v>1</v>
      </c>
    </row>
    <row r="341" spans="1:6" x14ac:dyDescent="0.2">
      <c r="A341" s="887" t="s">
        <v>243</v>
      </c>
      <c r="B341" s="890"/>
      <c r="C341" s="884"/>
      <c r="D341" s="884"/>
      <c r="E341" s="884"/>
      <c r="F341" s="888"/>
    </row>
    <row r="342" spans="1:6" x14ac:dyDescent="0.2">
      <c r="A342" s="889" t="s">
        <v>244</v>
      </c>
      <c r="B342" s="890">
        <v>41789</v>
      </c>
      <c r="C342" s="884">
        <v>803432165</v>
      </c>
      <c r="D342" s="884">
        <v>741115935</v>
      </c>
      <c r="E342" s="884">
        <v>62316230</v>
      </c>
      <c r="F342" s="888">
        <v>0.92243747174349189</v>
      </c>
    </row>
    <row r="343" spans="1:6" x14ac:dyDescent="0.2">
      <c r="A343" s="887" t="s">
        <v>278</v>
      </c>
      <c r="B343" s="890"/>
      <c r="C343" s="884"/>
      <c r="D343" s="884"/>
      <c r="E343" s="884"/>
      <c r="F343" s="888"/>
    </row>
    <row r="344" spans="1:6" x14ac:dyDescent="0.2">
      <c r="A344" s="889" t="s">
        <v>15</v>
      </c>
      <c r="B344" s="890">
        <v>42139</v>
      </c>
      <c r="C344" s="884">
        <v>7740000</v>
      </c>
      <c r="D344" s="884">
        <v>7740000</v>
      </c>
      <c r="E344" s="884">
        <v>0</v>
      </c>
      <c r="F344" s="888">
        <v>1</v>
      </c>
    </row>
    <row r="345" spans="1:6" x14ac:dyDescent="0.2">
      <c r="A345" s="887" t="s">
        <v>171</v>
      </c>
      <c r="B345" s="890"/>
      <c r="C345" s="884"/>
      <c r="D345" s="884"/>
      <c r="E345" s="884"/>
      <c r="F345" s="888"/>
    </row>
    <row r="346" spans="1:6" x14ac:dyDescent="0.2">
      <c r="A346" s="889" t="s">
        <v>1034</v>
      </c>
      <c r="B346" s="890">
        <v>42008</v>
      </c>
      <c r="C346" s="884">
        <v>29819999</v>
      </c>
      <c r="D346" s="884">
        <v>29819999</v>
      </c>
      <c r="E346" s="884">
        <v>0</v>
      </c>
      <c r="F346" s="888">
        <v>1</v>
      </c>
    </row>
    <row r="347" spans="1:6" x14ac:dyDescent="0.2">
      <c r="A347" s="887" t="s">
        <v>252</v>
      </c>
      <c r="B347" s="890"/>
      <c r="C347" s="884"/>
      <c r="D347" s="884"/>
      <c r="E347" s="884"/>
      <c r="F347" s="888"/>
    </row>
    <row r="348" spans="1:6" x14ac:dyDescent="0.2">
      <c r="A348" s="889" t="s">
        <v>86</v>
      </c>
      <c r="B348" s="890">
        <v>42081</v>
      </c>
      <c r="C348" s="884">
        <v>1197000</v>
      </c>
      <c r="D348" s="884">
        <v>1197000</v>
      </c>
      <c r="E348" s="884">
        <v>0</v>
      </c>
      <c r="F348" s="888">
        <v>1</v>
      </c>
    </row>
    <row r="349" spans="1:6" x14ac:dyDescent="0.2">
      <c r="A349" s="887" t="s">
        <v>270</v>
      </c>
      <c r="B349" s="890"/>
      <c r="C349" s="884"/>
      <c r="D349" s="884"/>
      <c r="E349" s="884"/>
      <c r="F349" s="888"/>
    </row>
    <row r="350" spans="1:6" x14ac:dyDescent="0.2">
      <c r="A350" s="889" t="s">
        <v>1031</v>
      </c>
      <c r="B350" s="890">
        <v>41891</v>
      </c>
      <c r="C350" s="884">
        <v>4000000</v>
      </c>
      <c r="D350" s="884">
        <v>4000000</v>
      </c>
      <c r="E350" s="884">
        <v>0</v>
      </c>
      <c r="F350" s="888">
        <v>1</v>
      </c>
    </row>
    <row r="351" spans="1:6" x14ac:dyDescent="0.2">
      <c r="A351" s="887" t="s">
        <v>254</v>
      </c>
      <c r="B351" s="890"/>
      <c r="C351" s="884"/>
      <c r="D351" s="884"/>
      <c r="E351" s="884"/>
      <c r="F351" s="888"/>
    </row>
    <row r="352" spans="1:6" x14ac:dyDescent="0.2">
      <c r="A352" s="889" t="s">
        <v>1033</v>
      </c>
      <c r="B352" s="890">
        <v>42006</v>
      </c>
      <c r="C352" s="884">
        <v>42800000</v>
      </c>
      <c r="D352" s="884">
        <v>42800000</v>
      </c>
      <c r="E352" s="884">
        <v>0</v>
      </c>
      <c r="F352" s="888">
        <v>1</v>
      </c>
    </row>
    <row r="353" spans="1:6" x14ac:dyDescent="0.2">
      <c r="A353" s="887" t="s">
        <v>267</v>
      </c>
      <c r="B353" s="890"/>
      <c r="C353" s="884"/>
      <c r="D353" s="884"/>
      <c r="E353" s="884"/>
      <c r="F353" s="888"/>
    </row>
    <row r="354" spans="1:6" x14ac:dyDescent="0.2">
      <c r="A354" s="889" t="s">
        <v>1515</v>
      </c>
      <c r="B354" s="890">
        <v>42013</v>
      </c>
      <c r="C354" s="884">
        <v>38830000</v>
      </c>
      <c r="D354" s="884">
        <v>38830000</v>
      </c>
      <c r="E354" s="884">
        <v>0</v>
      </c>
      <c r="F354" s="888">
        <v>1</v>
      </c>
    </row>
    <row r="355" spans="1:6" x14ac:dyDescent="0.2">
      <c r="A355" s="887" t="s">
        <v>257</v>
      </c>
      <c r="B355" s="890"/>
      <c r="C355" s="884"/>
      <c r="D355" s="884"/>
      <c r="E355" s="884"/>
      <c r="F355" s="888"/>
    </row>
    <row r="356" spans="1:6" x14ac:dyDescent="0.2">
      <c r="A356" s="889" t="s">
        <v>1035</v>
      </c>
      <c r="B356" s="890">
        <v>42008</v>
      </c>
      <c r="C356" s="884">
        <v>40997000</v>
      </c>
      <c r="D356" s="884">
        <v>40997000</v>
      </c>
      <c r="E356" s="884">
        <v>0</v>
      </c>
      <c r="F356" s="888">
        <v>1</v>
      </c>
    </row>
    <row r="357" spans="1:6" x14ac:dyDescent="0.2">
      <c r="A357" s="887" t="s">
        <v>245</v>
      </c>
      <c r="B357" s="890"/>
      <c r="C357" s="884"/>
      <c r="D357" s="884"/>
      <c r="E357" s="884"/>
      <c r="F357" s="888"/>
    </row>
    <row r="358" spans="1:6" x14ac:dyDescent="0.2">
      <c r="A358" s="889" t="s">
        <v>226</v>
      </c>
      <c r="B358" s="890">
        <v>42008</v>
      </c>
      <c r="C358" s="884">
        <v>55000000</v>
      </c>
      <c r="D358" s="884">
        <v>54333333</v>
      </c>
      <c r="E358" s="884">
        <v>666667</v>
      </c>
      <c r="F358" s="888">
        <v>0.98787878181818178</v>
      </c>
    </row>
    <row r="359" spans="1:6" x14ac:dyDescent="0.2">
      <c r="A359" s="887" t="s">
        <v>247</v>
      </c>
      <c r="B359" s="890"/>
      <c r="C359" s="884"/>
      <c r="D359" s="884"/>
      <c r="E359" s="884"/>
      <c r="F359" s="888"/>
    </row>
    <row r="360" spans="1:6" x14ac:dyDescent="0.2">
      <c r="A360" s="889" t="s">
        <v>1514</v>
      </c>
      <c r="B360" s="890">
        <v>42008</v>
      </c>
      <c r="C360" s="884">
        <v>55000000</v>
      </c>
      <c r="D360" s="884">
        <v>54666666</v>
      </c>
      <c r="E360" s="884">
        <v>333334</v>
      </c>
      <c r="F360" s="888">
        <v>0.99393938181818187</v>
      </c>
    </row>
    <row r="361" spans="1:6" x14ac:dyDescent="0.2">
      <c r="A361" s="887" t="s">
        <v>249</v>
      </c>
      <c r="B361" s="890"/>
      <c r="C361" s="884"/>
      <c r="D361" s="884"/>
      <c r="E361" s="884"/>
      <c r="F361" s="888"/>
    </row>
    <row r="362" spans="1:6" x14ac:dyDescent="0.2">
      <c r="A362" s="889" t="s">
        <v>1045</v>
      </c>
      <c r="B362" s="890">
        <v>42008</v>
      </c>
      <c r="C362" s="884">
        <v>38500000</v>
      </c>
      <c r="D362" s="884">
        <v>38500000</v>
      </c>
      <c r="E362" s="884">
        <v>0</v>
      </c>
      <c r="F362" s="888">
        <v>1</v>
      </c>
    </row>
    <row r="363" spans="1:6" x14ac:dyDescent="0.2">
      <c r="A363" s="887" t="s">
        <v>246</v>
      </c>
      <c r="B363" s="890"/>
      <c r="C363" s="884"/>
      <c r="D363" s="884"/>
      <c r="E363" s="884"/>
      <c r="F363" s="888"/>
    </row>
    <row r="364" spans="1:6" x14ac:dyDescent="0.2">
      <c r="A364" s="889" t="s">
        <v>228</v>
      </c>
      <c r="B364" s="890">
        <v>42008</v>
      </c>
      <c r="C364" s="884">
        <v>55000000</v>
      </c>
      <c r="D364" s="884">
        <v>55000000</v>
      </c>
      <c r="E364" s="884">
        <v>0</v>
      </c>
      <c r="F364" s="888">
        <v>1</v>
      </c>
    </row>
    <row r="365" spans="1:6" x14ac:dyDescent="0.2">
      <c r="A365" s="887" t="s">
        <v>248</v>
      </c>
      <c r="B365" s="890"/>
      <c r="C365" s="884"/>
      <c r="D365" s="884"/>
      <c r="E365" s="884"/>
      <c r="F365" s="888"/>
    </row>
    <row r="366" spans="1:6" x14ac:dyDescent="0.2">
      <c r="A366" s="889" t="s">
        <v>224</v>
      </c>
      <c r="B366" s="890">
        <v>42008</v>
      </c>
      <c r="C366" s="884">
        <v>55000000</v>
      </c>
      <c r="D366" s="884">
        <v>55000000</v>
      </c>
      <c r="E366" s="884">
        <v>0</v>
      </c>
      <c r="F366" s="888">
        <v>1</v>
      </c>
    </row>
    <row r="367" spans="1:6" x14ac:dyDescent="0.2">
      <c r="A367" s="887" t="s">
        <v>268</v>
      </c>
      <c r="B367" s="890"/>
      <c r="C367" s="884"/>
      <c r="D367" s="884"/>
      <c r="E367" s="884"/>
      <c r="F367" s="888"/>
    </row>
    <row r="368" spans="1:6" x14ac:dyDescent="0.2">
      <c r="A368" s="889" t="s">
        <v>269</v>
      </c>
      <c r="B368" s="890">
        <v>42096</v>
      </c>
      <c r="C368" s="884">
        <v>16555000</v>
      </c>
      <c r="D368" s="884">
        <v>15762669</v>
      </c>
      <c r="E368" s="884">
        <v>792331</v>
      </c>
      <c r="F368" s="888">
        <v>0.95213947447900937</v>
      </c>
    </row>
    <row r="369" spans="1:6" x14ac:dyDescent="0.2">
      <c r="A369" s="887" t="s">
        <v>253</v>
      </c>
      <c r="B369" s="890"/>
      <c r="C369" s="884"/>
      <c r="D369" s="884"/>
      <c r="E369" s="884"/>
      <c r="F369" s="888"/>
    </row>
    <row r="370" spans="1:6" x14ac:dyDescent="0.2">
      <c r="A370" s="889" t="s">
        <v>140</v>
      </c>
      <c r="B370" s="890">
        <v>42008</v>
      </c>
      <c r="C370" s="884">
        <v>39600000</v>
      </c>
      <c r="D370" s="884">
        <v>24720000</v>
      </c>
      <c r="E370" s="884">
        <v>14880000</v>
      </c>
      <c r="F370" s="888">
        <v>0.62424242424242427</v>
      </c>
    </row>
    <row r="371" spans="1:6" x14ac:dyDescent="0.2">
      <c r="A371" s="887" t="s">
        <v>255</v>
      </c>
      <c r="B371" s="890"/>
      <c r="C371" s="884"/>
      <c r="D371" s="884"/>
      <c r="E371" s="884"/>
      <c r="F371" s="888"/>
    </row>
    <row r="372" spans="1:6" x14ac:dyDescent="0.2">
      <c r="A372" s="889" t="s">
        <v>1032</v>
      </c>
      <c r="B372" s="890">
        <v>41887</v>
      </c>
      <c r="C372" s="884">
        <v>51500000</v>
      </c>
      <c r="D372" s="884">
        <v>32788333</v>
      </c>
      <c r="E372" s="884">
        <v>18711667</v>
      </c>
      <c r="F372" s="888">
        <v>0.63666666019417473</v>
      </c>
    </row>
    <row r="373" spans="1:6" x14ac:dyDescent="0.2">
      <c r="A373" s="887" t="s">
        <v>250</v>
      </c>
      <c r="B373" s="890"/>
      <c r="C373" s="884"/>
      <c r="D373" s="884"/>
      <c r="E373" s="884"/>
      <c r="F373" s="888"/>
    </row>
    <row r="374" spans="1:6" x14ac:dyDescent="0.2">
      <c r="A374" s="889" t="s">
        <v>251</v>
      </c>
      <c r="B374" s="890">
        <v>42008</v>
      </c>
      <c r="C374" s="884">
        <v>16500000</v>
      </c>
      <c r="D374" s="884">
        <v>10300000</v>
      </c>
      <c r="E374" s="884">
        <v>6200000</v>
      </c>
      <c r="F374" s="888">
        <v>0.62424242424242427</v>
      </c>
    </row>
    <row r="375" spans="1:6" x14ac:dyDescent="0.2">
      <c r="A375" s="887" t="s">
        <v>256</v>
      </c>
      <c r="B375" s="890"/>
      <c r="C375" s="884"/>
      <c r="D375" s="884"/>
      <c r="E375" s="884"/>
      <c r="F375" s="888"/>
    </row>
    <row r="376" spans="1:6" x14ac:dyDescent="0.2">
      <c r="A376" s="889" t="s">
        <v>1394</v>
      </c>
      <c r="B376" s="890">
        <v>42006</v>
      </c>
      <c r="C376" s="884">
        <v>61800000</v>
      </c>
      <c r="D376" s="884">
        <v>54933333</v>
      </c>
      <c r="E376" s="884">
        <v>6866667</v>
      </c>
      <c r="F376" s="888">
        <v>0.88888888349514561</v>
      </c>
    </row>
    <row r="377" spans="1:6" x14ac:dyDescent="0.2">
      <c r="A377" s="887" t="s">
        <v>264</v>
      </c>
      <c r="B377" s="890"/>
      <c r="C377" s="884"/>
      <c r="D377" s="884"/>
      <c r="E377" s="884"/>
      <c r="F377" s="888"/>
    </row>
    <row r="378" spans="1:6" x14ac:dyDescent="0.2">
      <c r="A378" s="889" t="s">
        <v>186</v>
      </c>
      <c r="B378" s="890">
        <v>41748</v>
      </c>
      <c r="C378" s="884">
        <v>340808000</v>
      </c>
      <c r="D378" s="884">
        <v>340808000</v>
      </c>
      <c r="E378" s="884">
        <v>0</v>
      </c>
      <c r="F378" s="888">
        <v>1</v>
      </c>
    </row>
    <row r="379" spans="1:6" x14ac:dyDescent="0.2">
      <c r="A379" s="887" t="s">
        <v>262</v>
      </c>
      <c r="B379" s="890"/>
      <c r="C379" s="884"/>
      <c r="D379" s="884"/>
      <c r="E379" s="884"/>
      <c r="F379" s="888"/>
    </row>
    <row r="380" spans="1:6" x14ac:dyDescent="0.2">
      <c r="A380" s="889" t="s">
        <v>263</v>
      </c>
      <c r="B380" s="890">
        <v>41748</v>
      </c>
      <c r="C380" s="884">
        <v>28900000</v>
      </c>
      <c r="D380" s="884">
        <v>28900000</v>
      </c>
      <c r="E380" s="884">
        <v>0</v>
      </c>
      <c r="F380" s="888">
        <v>1</v>
      </c>
    </row>
    <row r="381" spans="1:6" x14ac:dyDescent="0.2">
      <c r="A381" s="887" t="s">
        <v>260</v>
      </c>
      <c r="B381" s="890"/>
      <c r="C381" s="884"/>
      <c r="D381" s="884"/>
      <c r="E381" s="884"/>
      <c r="F381" s="888"/>
    </row>
    <row r="382" spans="1:6" x14ac:dyDescent="0.2">
      <c r="A382" s="889" t="s">
        <v>261</v>
      </c>
      <c r="B382" s="890">
        <v>41738</v>
      </c>
      <c r="C382" s="884">
        <v>325128875</v>
      </c>
      <c r="D382" s="884">
        <v>325028452</v>
      </c>
      <c r="E382" s="884">
        <v>100423</v>
      </c>
      <c r="F382" s="888">
        <v>0.99969112863322274</v>
      </c>
    </row>
    <row r="383" spans="1:6" x14ac:dyDescent="0.2">
      <c r="A383" s="887" t="s">
        <v>273</v>
      </c>
      <c r="B383" s="890"/>
      <c r="C383" s="884"/>
      <c r="D383" s="884"/>
      <c r="E383" s="884"/>
      <c r="F383" s="888"/>
    </row>
    <row r="384" spans="1:6" x14ac:dyDescent="0.2">
      <c r="A384" s="889" t="s">
        <v>126</v>
      </c>
      <c r="B384" s="890">
        <v>42012</v>
      </c>
      <c r="C384" s="884">
        <v>11000000</v>
      </c>
      <c r="D384" s="884">
        <v>2672466</v>
      </c>
      <c r="E384" s="884">
        <v>8327534</v>
      </c>
      <c r="F384" s="888">
        <v>0.24295145454545455</v>
      </c>
    </row>
    <row r="385" spans="1:6" x14ac:dyDescent="0.2">
      <c r="A385" s="887" t="s">
        <v>288</v>
      </c>
      <c r="B385" s="890"/>
      <c r="C385" s="884"/>
      <c r="D385" s="884"/>
      <c r="E385" s="884"/>
      <c r="F385" s="888"/>
    </row>
    <row r="386" spans="1:6" x14ac:dyDescent="0.2">
      <c r="A386" s="889" t="s">
        <v>12</v>
      </c>
      <c r="B386" s="890">
        <v>42102</v>
      </c>
      <c r="C386" s="884">
        <v>1607400</v>
      </c>
      <c r="D386" s="884">
        <v>0</v>
      </c>
      <c r="E386" s="884">
        <v>1607400</v>
      </c>
      <c r="F386" s="888">
        <v>0</v>
      </c>
    </row>
    <row r="387" spans="1:6" x14ac:dyDescent="0.2">
      <c r="A387" s="887" t="s">
        <v>266</v>
      </c>
      <c r="B387" s="890"/>
      <c r="C387" s="884"/>
      <c r="D387" s="884"/>
      <c r="E387" s="884"/>
      <c r="F387" s="888"/>
    </row>
    <row r="388" spans="1:6" x14ac:dyDescent="0.2">
      <c r="A388" s="889" t="s">
        <v>1030</v>
      </c>
      <c r="B388" s="890">
        <v>41969</v>
      </c>
      <c r="C388" s="884">
        <v>4982000</v>
      </c>
      <c r="D388" s="884">
        <v>2832000</v>
      </c>
      <c r="E388" s="884">
        <v>2150000</v>
      </c>
      <c r="F388" s="888">
        <v>0.56844640706543559</v>
      </c>
    </row>
    <row r="389" spans="1:6" x14ac:dyDescent="0.2">
      <c r="A389" s="887" t="s">
        <v>271</v>
      </c>
      <c r="B389" s="890"/>
      <c r="C389" s="884"/>
      <c r="D389" s="884"/>
      <c r="E389" s="884"/>
      <c r="F389" s="888"/>
    </row>
    <row r="390" spans="1:6" x14ac:dyDescent="0.2">
      <c r="A390" s="889" t="s">
        <v>272</v>
      </c>
      <c r="B390" s="890">
        <v>41951</v>
      </c>
      <c r="C390" s="884">
        <v>28000000</v>
      </c>
      <c r="D390" s="884">
        <v>10978240</v>
      </c>
      <c r="E390" s="884">
        <v>17021760</v>
      </c>
      <c r="F390" s="888">
        <v>0.39207999999999998</v>
      </c>
    </row>
    <row r="391" spans="1:6" x14ac:dyDescent="0.2">
      <c r="A391" s="887" t="s">
        <v>400</v>
      </c>
      <c r="B391" s="890"/>
      <c r="C391" s="884"/>
      <c r="D391" s="884"/>
      <c r="E391" s="884"/>
      <c r="F391" s="888"/>
    </row>
    <row r="392" spans="1:6" x14ac:dyDescent="0.2">
      <c r="A392" s="889" t="s">
        <v>198</v>
      </c>
      <c r="B392" s="890">
        <v>42096</v>
      </c>
      <c r="C392" s="884">
        <v>10564000</v>
      </c>
      <c r="D392" s="884">
        <v>10055157</v>
      </c>
      <c r="E392" s="884">
        <v>508843</v>
      </c>
      <c r="F392" s="888">
        <v>0.95183235516849674</v>
      </c>
    </row>
    <row r="393" spans="1:6" x14ac:dyDescent="0.2">
      <c r="A393" s="887" t="s">
        <v>274</v>
      </c>
      <c r="B393" s="890"/>
      <c r="C393" s="884"/>
      <c r="D393" s="884"/>
      <c r="E393" s="884"/>
      <c r="F393" s="888"/>
    </row>
    <row r="394" spans="1:6" x14ac:dyDescent="0.2">
      <c r="A394" s="889" t="s">
        <v>275</v>
      </c>
      <c r="B394" s="890">
        <v>42116</v>
      </c>
      <c r="C394" s="884">
        <v>2122000</v>
      </c>
      <c r="D394" s="884">
        <v>2122000</v>
      </c>
      <c r="E394" s="884">
        <v>0</v>
      </c>
      <c r="F394" s="888">
        <v>1</v>
      </c>
    </row>
    <row r="395" spans="1:6" x14ac:dyDescent="0.2">
      <c r="A395" s="887" t="s">
        <v>279</v>
      </c>
      <c r="B395" s="890"/>
      <c r="C395" s="884"/>
      <c r="D395" s="884"/>
      <c r="E395" s="884"/>
      <c r="F395" s="888"/>
    </row>
    <row r="396" spans="1:6" x14ac:dyDescent="0.2">
      <c r="A396" s="889" t="s">
        <v>53</v>
      </c>
      <c r="B396" s="890">
        <v>42091</v>
      </c>
      <c r="C396" s="884">
        <v>31218000</v>
      </c>
      <c r="D396" s="884">
        <v>29571427</v>
      </c>
      <c r="E396" s="884">
        <v>1646573</v>
      </c>
      <c r="F396" s="888">
        <v>0.9472556537894804</v>
      </c>
    </row>
    <row r="397" spans="1:6" x14ac:dyDescent="0.2">
      <c r="A397" s="887" t="s">
        <v>282</v>
      </c>
      <c r="B397" s="890"/>
      <c r="C397" s="884"/>
      <c r="D397" s="884"/>
      <c r="E397" s="884"/>
      <c r="F397" s="888"/>
    </row>
    <row r="398" spans="1:6" x14ac:dyDescent="0.2">
      <c r="A398" s="889" t="s">
        <v>418</v>
      </c>
      <c r="B398" s="890">
        <v>41901</v>
      </c>
      <c r="C398" s="884">
        <v>18217800</v>
      </c>
      <c r="D398" s="884">
        <v>18217800</v>
      </c>
      <c r="E398" s="884">
        <v>0</v>
      </c>
      <c r="F398" s="888">
        <v>1</v>
      </c>
    </row>
    <row r="399" spans="1:6" x14ac:dyDescent="0.2">
      <c r="A399" s="887" t="s">
        <v>280</v>
      </c>
      <c r="B399" s="890"/>
      <c r="C399" s="884"/>
      <c r="D399" s="884"/>
      <c r="E399" s="884"/>
      <c r="F399" s="888"/>
    </row>
    <row r="400" spans="1:6" x14ac:dyDescent="0.2">
      <c r="A400" s="889" t="s">
        <v>281</v>
      </c>
      <c r="B400" s="890">
        <v>41817</v>
      </c>
      <c r="C400" s="884">
        <v>1700007</v>
      </c>
      <c r="D400" s="884">
        <v>1700000</v>
      </c>
      <c r="E400" s="884">
        <v>7</v>
      </c>
      <c r="F400" s="888">
        <v>0.99999588236989612</v>
      </c>
    </row>
    <row r="401" spans="1:6" x14ac:dyDescent="0.2">
      <c r="A401" s="887" t="s">
        <v>276</v>
      </c>
      <c r="B401" s="890"/>
      <c r="C401" s="884"/>
      <c r="D401" s="884"/>
      <c r="E401" s="884"/>
      <c r="F401" s="888"/>
    </row>
    <row r="402" spans="1:6" x14ac:dyDescent="0.2">
      <c r="A402" s="889" t="s">
        <v>277</v>
      </c>
      <c r="B402" s="890">
        <v>42117</v>
      </c>
      <c r="C402" s="884">
        <v>32631000</v>
      </c>
      <c r="D402" s="884">
        <v>32594631</v>
      </c>
      <c r="E402" s="884">
        <v>36369</v>
      </c>
      <c r="F402" s="888">
        <v>0.99888544635469334</v>
      </c>
    </row>
    <row r="403" spans="1:6" x14ac:dyDescent="0.2">
      <c r="A403" s="887" t="s">
        <v>283</v>
      </c>
      <c r="B403" s="890"/>
      <c r="C403" s="884"/>
      <c r="D403" s="884"/>
      <c r="E403" s="884"/>
      <c r="F403" s="888"/>
    </row>
    <row r="404" spans="1:6" x14ac:dyDescent="0.2">
      <c r="A404" s="889" t="s">
        <v>284</v>
      </c>
      <c r="B404" s="890">
        <v>42128</v>
      </c>
      <c r="C404" s="884">
        <v>45100746</v>
      </c>
      <c r="D404" s="884">
        <v>45045000</v>
      </c>
      <c r="E404" s="884">
        <v>55746</v>
      </c>
      <c r="F404" s="888">
        <v>0.99876396723016514</v>
      </c>
    </row>
    <row r="405" spans="1:6" x14ac:dyDescent="0.2">
      <c r="A405" s="887" t="s">
        <v>289</v>
      </c>
      <c r="B405" s="890"/>
      <c r="C405" s="884"/>
      <c r="D405" s="884"/>
      <c r="E405" s="884"/>
      <c r="F405" s="888"/>
    </row>
    <row r="406" spans="1:6" x14ac:dyDescent="0.2">
      <c r="A406" s="889" t="s">
        <v>290</v>
      </c>
      <c r="B406" s="890">
        <v>41855</v>
      </c>
      <c r="C406" s="884">
        <v>9998117</v>
      </c>
      <c r="D406" s="884">
        <v>9998097</v>
      </c>
      <c r="E406" s="884">
        <v>20</v>
      </c>
      <c r="F406" s="888">
        <v>0.99999799962332903</v>
      </c>
    </row>
    <row r="407" spans="1:6" x14ac:dyDescent="0.2">
      <c r="A407" s="887" t="s">
        <v>300</v>
      </c>
      <c r="B407" s="890"/>
      <c r="C407" s="884"/>
      <c r="D407" s="884"/>
      <c r="E407" s="884"/>
      <c r="F407" s="888"/>
    </row>
    <row r="408" spans="1:6" x14ac:dyDescent="0.2">
      <c r="A408" s="889" t="s">
        <v>1568</v>
      </c>
      <c r="B408" s="890">
        <v>42312</v>
      </c>
      <c r="C408" s="884">
        <v>12000000</v>
      </c>
      <c r="D408" s="884">
        <v>10800000</v>
      </c>
      <c r="E408" s="884">
        <v>1200000</v>
      </c>
      <c r="F408" s="888">
        <v>0.9</v>
      </c>
    </row>
    <row r="409" spans="1:6" x14ac:dyDescent="0.2">
      <c r="A409" s="887" t="s">
        <v>401</v>
      </c>
      <c r="B409" s="890"/>
      <c r="C409" s="884"/>
      <c r="D409" s="884"/>
      <c r="E409" s="884"/>
      <c r="F409" s="888"/>
    </row>
    <row r="410" spans="1:6" x14ac:dyDescent="0.2">
      <c r="A410" s="889" t="s">
        <v>547</v>
      </c>
      <c r="B410" s="890">
        <v>42216</v>
      </c>
      <c r="C410" s="884">
        <v>249991314</v>
      </c>
      <c r="D410" s="884">
        <v>248275406</v>
      </c>
      <c r="E410" s="884">
        <v>1715908</v>
      </c>
      <c r="F410" s="888">
        <v>0.99313612952168406</v>
      </c>
    </row>
    <row r="411" spans="1:6" x14ac:dyDescent="0.2">
      <c r="A411" s="887" t="s">
        <v>296</v>
      </c>
      <c r="B411" s="890"/>
      <c r="C411" s="884"/>
      <c r="D411" s="884"/>
      <c r="E411" s="884"/>
      <c r="F411" s="888"/>
    </row>
    <row r="412" spans="1:6" x14ac:dyDescent="0.2">
      <c r="A412" s="889" t="s">
        <v>1039</v>
      </c>
      <c r="B412" s="890">
        <v>41867</v>
      </c>
      <c r="C412" s="884">
        <v>5719790</v>
      </c>
      <c r="D412" s="884">
        <v>5719790</v>
      </c>
      <c r="E412" s="884">
        <v>0</v>
      </c>
      <c r="F412" s="888">
        <v>1</v>
      </c>
    </row>
    <row r="413" spans="1:6" x14ac:dyDescent="0.2">
      <c r="A413" s="887" t="s">
        <v>287</v>
      </c>
      <c r="B413" s="890"/>
      <c r="C413" s="884"/>
      <c r="D413" s="884"/>
      <c r="E413" s="884"/>
      <c r="F413" s="888"/>
    </row>
    <row r="414" spans="1:6" x14ac:dyDescent="0.2">
      <c r="A414" s="889" t="s">
        <v>1018</v>
      </c>
      <c r="B414" s="890">
        <v>42186</v>
      </c>
      <c r="C414" s="884">
        <v>337487000</v>
      </c>
      <c r="D414" s="884">
        <v>306295677</v>
      </c>
      <c r="E414" s="884">
        <v>31191323</v>
      </c>
      <c r="F414" s="888">
        <v>0.907577705215312</v>
      </c>
    </row>
    <row r="415" spans="1:6" x14ac:dyDescent="0.2">
      <c r="A415" s="887" t="s">
        <v>291</v>
      </c>
      <c r="B415" s="890"/>
      <c r="C415" s="884"/>
      <c r="D415" s="884"/>
      <c r="E415" s="884"/>
      <c r="F415" s="888"/>
    </row>
    <row r="416" spans="1:6" x14ac:dyDescent="0.2">
      <c r="A416" s="889" t="s">
        <v>1048</v>
      </c>
      <c r="B416" s="890">
        <v>42116</v>
      </c>
      <c r="C416" s="884">
        <v>3463454100</v>
      </c>
      <c r="D416" s="884">
        <v>3320263630</v>
      </c>
      <c r="E416" s="884">
        <v>143190470</v>
      </c>
      <c r="F416" s="888">
        <v>0.95865674385579414</v>
      </c>
    </row>
    <row r="417" spans="1:6" x14ac:dyDescent="0.2">
      <c r="A417" s="887" t="s">
        <v>305</v>
      </c>
      <c r="B417" s="890"/>
      <c r="C417" s="884"/>
      <c r="D417" s="884"/>
      <c r="E417" s="884"/>
      <c r="F417" s="888"/>
    </row>
    <row r="418" spans="1:6" x14ac:dyDescent="0.2">
      <c r="A418" s="889" t="s">
        <v>306</v>
      </c>
      <c r="B418" s="890">
        <v>41872</v>
      </c>
      <c r="C418" s="884">
        <v>330000</v>
      </c>
      <c r="D418" s="884">
        <v>330000</v>
      </c>
      <c r="E418" s="884">
        <v>0</v>
      </c>
      <c r="F418" s="888">
        <v>1</v>
      </c>
    </row>
    <row r="419" spans="1:6" x14ac:dyDescent="0.2">
      <c r="A419" s="887" t="s">
        <v>285</v>
      </c>
      <c r="B419" s="890"/>
      <c r="C419" s="884"/>
      <c r="D419" s="884"/>
      <c r="E419" s="884"/>
      <c r="F419" s="888"/>
    </row>
    <row r="420" spans="1:6" x14ac:dyDescent="0.2">
      <c r="A420" s="889" t="s">
        <v>3</v>
      </c>
      <c r="B420" s="890">
        <v>41959</v>
      </c>
      <c r="C420" s="884">
        <v>251750000</v>
      </c>
      <c r="D420" s="884">
        <v>180186681</v>
      </c>
      <c r="E420" s="884">
        <v>71563319</v>
      </c>
      <c r="F420" s="888">
        <v>0.71573656802383312</v>
      </c>
    </row>
    <row r="421" spans="1:6" x14ac:dyDescent="0.2">
      <c r="A421" s="887" t="s">
        <v>299</v>
      </c>
      <c r="B421" s="890"/>
      <c r="C421" s="884"/>
      <c r="D421" s="884"/>
      <c r="E421" s="884"/>
      <c r="F421" s="888"/>
    </row>
    <row r="422" spans="1:6" x14ac:dyDescent="0.2">
      <c r="A422" s="889" t="s">
        <v>1049</v>
      </c>
      <c r="B422" s="890">
        <v>41852</v>
      </c>
      <c r="C422" s="884">
        <v>2962640</v>
      </c>
      <c r="D422" s="884">
        <v>2962640</v>
      </c>
      <c r="E422" s="884">
        <v>0</v>
      </c>
      <c r="F422" s="888">
        <v>1</v>
      </c>
    </row>
    <row r="423" spans="1:6" x14ac:dyDescent="0.2">
      <c r="A423" s="887" t="s">
        <v>294</v>
      </c>
      <c r="B423" s="890"/>
      <c r="C423" s="884"/>
      <c r="D423" s="884"/>
      <c r="E423" s="884"/>
      <c r="F423" s="888"/>
    </row>
    <row r="424" spans="1:6" x14ac:dyDescent="0.2">
      <c r="A424" s="889" t="s">
        <v>295</v>
      </c>
      <c r="B424" s="890">
        <v>42186</v>
      </c>
      <c r="C424" s="884">
        <v>36581760</v>
      </c>
      <c r="D424" s="884">
        <v>34363318</v>
      </c>
      <c r="E424" s="884">
        <v>2218442</v>
      </c>
      <c r="F424" s="888">
        <v>0.93935660832064938</v>
      </c>
    </row>
    <row r="425" spans="1:6" x14ac:dyDescent="0.2">
      <c r="A425" s="887" t="s">
        <v>292</v>
      </c>
      <c r="B425" s="890"/>
      <c r="C425" s="884"/>
      <c r="D425" s="884"/>
      <c r="E425" s="884"/>
      <c r="F425" s="888"/>
    </row>
    <row r="426" spans="1:6" x14ac:dyDescent="0.2">
      <c r="A426" s="889" t="s">
        <v>293</v>
      </c>
      <c r="B426" s="890">
        <v>42247</v>
      </c>
      <c r="C426" s="884">
        <v>18714400</v>
      </c>
      <c r="D426" s="884">
        <v>17075400</v>
      </c>
      <c r="E426" s="884">
        <v>1639000</v>
      </c>
      <c r="F426" s="888">
        <v>0.91242038216560506</v>
      </c>
    </row>
    <row r="427" spans="1:6" x14ac:dyDescent="0.2">
      <c r="A427" s="887" t="s">
        <v>298</v>
      </c>
      <c r="B427" s="890"/>
      <c r="C427" s="884"/>
      <c r="D427" s="884"/>
      <c r="E427" s="884"/>
      <c r="F427" s="888"/>
    </row>
    <row r="428" spans="1:6" x14ac:dyDescent="0.2">
      <c r="A428" s="889" t="s">
        <v>90</v>
      </c>
      <c r="B428" s="890">
        <v>42203</v>
      </c>
      <c r="C428" s="884">
        <v>683000</v>
      </c>
      <c r="D428" s="884">
        <v>683000</v>
      </c>
      <c r="E428" s="884">
        <v>0</v>
      </c>
      <c r="F428" s="888">
        <v>1</v>
      </c>
    </row>
    <row r="429" spans="1:6" x14ac:dyDescent="0.2">
      <c r="A429" s="887" t="s">
        <v>302</v>
      </c>
      <c r="B429" s="890"/>
      <c r="C429" s="884"/>
      <c r="D429" s="884"/>
      <c r="E429" s="884"/>
      <c r="F429" s="888"/>
    </row>
    <row r="430" spans="1:6" x14ac:dyDescent="0.2">
      <c r="A430" s="889" t="s">
        <v>303</v>
      </c>
      <c r="B430" s="890">
        <v>42050</v>
      </c>
      <c r="C430" s="884">
        <v>4672000</v>
      </c>
      <c r="D430" s="884">
        <v>1806200</v>
      </c>
      <c r="E430" s="884">
        <v>2865800</v>
      </c>
      <c r="F430" s="888">
        <v>0.38660102739726027</v>
      </c>
    </row>
    <row r="431" spans="1:6" x14ac:dyDescent="0.2">
      <c r="A431" s="887" t="s">
        <v>297</v>
      </c>
      <c r="B431" s="890"/>
      <c r="C431" s="884"/>
      <c r="D431" s="884"/>
      <c r="E431" s="884"/>
      <c r="F431" s="888"/>
    </row>
    <row r="432" spans="1:6" x14ac:dyDescent="0.2">
      <c r="A432" s="889" t="s">
        <v>999</v>
      </c>
      <c r="B432" s="890">
        <v>42139</v>
      </c>
      <c r="C432" s="884">
        <v>97800000</v>
      </c>
      <c r="D432" s="884">
        <v>97794518</v>
      </c>
      <c r="E432" s="884">
        <v>5482</v>
      </c>
      <c r="F432" s="888">
        <v>0.99994394683026588</v>
      </c>
    </row>
    <row r="433" spans="1:6" x14ac:dyDescent="0.2">
      <c r="A433" s="887" t="s">
        <v>304</v>
      </c>
      <c r="B433" s="890"/>
      <c r="C433" s="884"/>
      <c r="D433" s="884"/>
      <c r="E433" s="884"/>
      <c r="F433" s="888"/>
    </row>
    <row r="434" spans="1:6" x14ac:dyDescent="0.2">
      <c r="A434" s="889" t="s">
        <v>1006</v>
      </c>
      <c r="B434" s="890">
        <v>41965</v>
      </c>
      <c r="C434" s="884">
        <v>2228070</v>
      </c>
      <c r="D434" s="884">
        <v>2228070</v>
      </c>
      <c r="E434" s="884">
        <v>0</v>
      </c>
      <c r="F434" s="888">
        <v>1</v>
      </c>
    </row>
    <row r="435" spans="1:6" x14ac:dyDescent="0.2">
      <c r="A435" s="887" t="s">
        <v>308</v>
      </c>
      <c r="B435" s="890"/>
      <c r="C435" s="884"/>
      <c r="D435" s="884"/>
      <c r="E435" s="884"/>
      <c r="F435" s="888"/>
    </row>
    <row r="436" spans="1:6" x14ac:dyDescent="0.2">
      <c r="A436" s="889" t="s">
        <v>1050</v>
      </c>
      <c r="B436" s="890">
        <v>41923</v>
      </c>
      <c r="C436" s="884">
        <v>2260000</v>
      </c>
      <c r="D436" s="884">
        <v>1595000</v>
      </c>
      <c r="E436" s="884">
        <v>665000</v>
      </c>
      <c r="F436" s="888">
        <v>0.70575221238938057</v>
      </c>
    </row>
    <row r="437" spans="1:6" x14ac:dyDescent="0.2">
      <c r="A437" s="887" t="s">
        <v>307</v>
      </c>
      <c r="B437" s="890"/>
      <c r="C437" s="884"/>
      <c r="D437" s="884"/>
      <c r="E437" s="884"/>
      <c r="F437" s="888"/>
    </row>
    <row r="438" spans="1:6" x14ac:dyDescent="0.2">
      <c r="A438" s="889" t="s">
        <v>144</v>
      </c>
      <c r="B438" s="890">
        <v>42108</v>
      </c>
      <c r="C438" s="884">
        <v>290648563</v>
      </c>
      <c r="D438" s="884">
        <v>290648563</v>
      </c>
      <c r="E438" s="884">
        <v>0</v>
      </c>
      <c r="F438" s="888">
        <v>1</v>
      </c>
    </row>
    <row r="439" spans="1:6" x14ac:dyDescent="0.2">
      <c r="A439" s="887" t="s">
        <v>546</v>
      </c>
      <c r="B439" s="890"/>
      <c r="C439" s="884"/>
      <c r="D439" s="884"/>
      <c r="E439" s="884"/>
      <c r="F439" s="888"/>
    </row>
    <row r="440" spans="1:6" x14ac:dyDescent="0.2">
      <c r="A440" s="889" t="s">
        <v>310</v>
      </c>
      <c r="B440" s="890">
        <v>41932</v>
      </c>
      <c r="C440" s="884">
        <v>14975600</v>
      </c>
      <c r="D440" s="884">
        <v>14975600</v>
      </c>
      <c r="E440" s="884">
        <v>0</v>
      </c>
      <c r="F440" s="888">
        <v>1</v>
      </c>
    </row>
    <row r="441" spans="1:6" x14ac:dyDescent="0.2">
      <c r="A441" s="887" t="s">
        <v>548</v>
      </c>
      <c r="B441" s="890"/>
      <c r="C441" s="884"/>
      <c r="D441" s="884"/>
      <c r="E441" s="884"/>
      <c r="F441" s="888"/>
    </row>
    <row r="442" spans="1:6" x14ac:dyDescent="0.2">
      <c r="A442" s="889" t="s">
        <v>13</v>
      </c>
      <c r="B442" s="890">
        <v>42258</v>
      </c>
      <c r="C442" s="884">
        <v>936000</v>
      </c>
      <c r="D442" s="884">
        <v>936000</v>
      </c>
      <c r="E442" s="884">
        <v>0</v>
      </c>
      <c r="F442" s="888">
        <v>1</v>
      </c>
    </row>
    <row r="443" spans="1:6" x14ac:dyDescent="0.2">
      <c r="A443" s="887" t="s">
        <v>551</v>
      </c>
      <c r="B443" s="890"/>
      <c r="C443" s="884"/>
      <c r="D443" s="884"/>
      <c r="E443" s="884"/>
      <c r="F443" s="888"/>
    </row>
    <row r="444" spans="1:6" x14ac:dyDescent="0.2">
      <c r="A444" s="889" t="s">
        <v>29</v>
      </c>
      <c r="B444" s="890">
        <v>42261</v>
      </c>
      <c r="C444" s="884">
        <v>855000</v>
      </c>
      <c r="D444" s="884">
        <v>855000</v>
      </c>
      <c r="E444" s="884">
        <v>0</v>
      </c>
      <c r="F444" s="888">
        <v>1</v>
      </c>
    </row>
    <row r="445" spans="1:6" x14ac:dyDescent="0.2">
      <c r="A445" s="887" t="s">
        <v>553</v>
      </c>
      <c r="B445" s="890"/>
      <c r="C445" s="884"/>
      <c r="D445" s="884"/>
      <c r="E445" s="884"/>
      <c r="F445" s="888"/>
    </row>
    <row r="446" spans="1:6" x14ac:dyDescent="0.2">
      <c r="A446" s="889" t="s">
        <v>554</v>
      </c>
      <c r="B446" s="890">
        <v>42009</v>
      </c>
      <c r="C446" s="884">
        <v>19356282</v>
      </c>
      <c r="D446" s="884">
        <v>19356282</v>
      </c>
      <c r="E446" s="884">
        <v>0</v>
      </c>
      <c r="F446" s="888">
        <v>1</v>
      </c>
    </row>
    <row r="447" spans="1:6" x14ac:dyDescent="0.2">
      <c r="A447" s="887" t="s">
        <v>555</v>
      </c>
      <c r="B447" s="890"/>
      <c r="C447" s="884"/>
      <c r="D447" s="884"/>
      <c r="E447" s="884"/>
      <c r="F447" s="888"/>
    </row>
    <row r="448" spans="1:6" x14ac:dyDescent="0.2">
      <c r="A448" s="889" t="s">
        <v>1067</v>
      </c>
      <c r="B448" s="890">
        <v>42013</v>
      </c>
      <c r="C448" s="884">
        <v>25000000</v>
      </c>
      <c r="D448" s="884">
        <v>25000000</v>
      </c>
      <c r="E448" s="884">
        <v>0</v>
      </c>
      <c r="F448" s="888">
        <v>1</v>
      </c>
    </row>
    <row r="449" spans="1:6" x14ac:dyDescent="0.2">
      <c r="A449" s="887" t="s">
        <v>556</v>
      </c>
      <c r="B449" s="890"/>
      <c r="C449" s="884"/>
      <c r="D449" s="884"/>
      <c r="E449" s="884"/>
      <c r="F449" s="888"/>
    </row>
    <row r="450" spans="1:6" x14ac:dyDescent="0.2">
      <c r="A450" s="889" t="s">
        <v>1004</v>
      </c>
      <c r="B450" s="890">
        <v>42046</v>
      </c>
      <c r="C450" s="884">
        <v>25000000</v>
      </c>
      <c r="D450" s="884">
        <v>25000000</v>
      </c>
      <c r="E450" s="884">
        <v>0</v>
      </c>
      <c r="F450" s="888">
        <v>1</v>
      </c>
    </row>
    <row r="451" spans="1:6" x14ac:dyDescent="0.2">
      <c r="A451" s="887" t="s">
        <v>1069</v>
      </c>
      <c r="B451" s="890"/>
      <c r="C451" s="884"/>
      <c r="D451" s="884"/>
      <c r="E451" s="884"/>
      <c r="F451" s="888"/>
    </row>
    <row r="452" spans="1:6" x14ac:dyDescent="0.2">
      <c r="A452" s="889" t="s">
        <v>1070</v>
      </c>
      <c r="B452" s="890">
        <v>42053</v>
      </c>
      <c r="C452" s="884">
        <v>17500000</v>
      </c>
      <c r="D452" s="884">
        <v>17500000</v>
      </c>
      <c r="E452" s="884">
        <v>0</v>
      </c>
      <c r="F452" s="888">
        <v>1</v>
      </c>
    </row>
    <row r="453" spans="1:6" x14ac:dyDescent="0.2">
      <c r="A453" s="887" t="s">
        <v>1071</v>
      </c>
      <c r="B453" s="890"/>
      <c r="C453" s="884"/>
      <c r="D453" s="884"/>
      <c r="E453" s="884"/>
      <c r="F453" s="888"/>
    </row>
    <row r="454" spans="1:6" x14ac:dyDescent="0.2">
      <c r="A454" s="889" t="s">
        <v>1072</v>
      </c>
      <c r="B454" s="890">
        <v>42033</v>
      </c>
      <c r="C454" s="884">
        <v>10000000</v>
      </c>
      <c r="D454" s="884">
        <v>10000000</v>
      </c>
      <c r="E454" s="884">
        <v>0</v>
      </c>
      <c r="F454" s="888">
        <v>1</v>
      </c>
    </row>
    <row r="455" spans="1:6" x14ac:dyDescent="0.2">
      <c r="A455" s="887" t="s">
        <v>1101</v>
      </c>
      <c r="B455" s="890"/>
      <c r="C455" s="884"/>
      <c r="D455" s="884"/>
      <c r="E455" s="884"/>
      <c r="F455" s="888"/>
    </row>
    <row r="456" spans="1:6" x14ac:dyDescent="0.2">
      <c r="A456" s="889" t="s">
        <v>435</v>
      </c>
      <c r="B456" s="890">
        <v>42207</v>
      </c>
      <c r="C456" s="884">
        <v>6252000</v>
      </c>
      <c r="D456" s="884">
        <v>5665189</v>
      </c>
      <c r="E456" s="884">
        <v>586811</v>
      </c>
      <c r="F456" s="888">
        <v>0.90614027511196416</v>
      </c>
    </row>
    <row r="457" spans="1:6" x14ac:dyDescent="0.2">
      <c r="A457" s="887" t="s">
        <v>1333</v>
      </c>
      <c r="B457" s="890"/>
      <c r="C457" s="884"/>
      <c r="D457" s="884"/>
      <c r="E457" s="884"/>
      <c r="F457" s="888"/>
    </row>
    <row r="458" spans="1:6" x14ac:dyDescent="0.2">
      <c r="A458" s="889" t="s">
        <v>1334</v>
      </c>
      <c r="B458" s="890">
        <v>42027</v>
      </c>
      <c r="C458" s="884">
        <v>4136000</v>
      </c>
      <c r="D458" s="884">
        <v>2251047</v>
      </c>
      <c r="E458" s="884">
        <v>1884953</v>
      </c>
      <c r="F458" s="888">
        <v>0.54425701160541584</v>
      </c>
    </row>
    <row r="459" spans="1:6" x14ac:dyDescent="0.2">
      <c r="A459" s="887" t="s">
        <v>919</v>
      </c>
      <c r="B459" s="890"/>
      <c r="C459" s="884"/>
      <c r="D459" s="884"/>
      <c r="E459" s="884"/>
      <c r="F459" s="888"/>
    </row>
    <row r="460" spans="1:6" x14ac:dyDescent="0.2">
      <c r="A460" s="889" t="s">
        <v>1104</v>
      </c>
      <c r="B460" s="890">
        <v>42202</v>
      </c>
      <c r="C460" s="884">
        <v>3846133</v>
      </c>
      <c r="D460" s="884">
        <v>0</v>
      </c>
      <c r="E460" s="884">
        <v>3846133</v>
      </c>
      <c r="F460" s="888">
        <v>0</v>
      </c>
    </row>
    <row r="461" spans="1:6" x14ac:dyDescent="0.2">
      <c r="A461" s="887" t="s">
        <v>1106</v>
      </c>
      <c r="B461" s="890"/>
      <c r="C461" s="884"/>
      <c r="D461" s="884"/>
      <c r="E461" s="884"/>
      <c r="F461" s="888"/>
    </row>
    <row r="462" spans="1:6" x14ac:dyDescent="0.2">
      <c r="A462" s="889" t="s">
        <v>100</v>
      </c>
      <c r="B462" s="890">
        <v>42129</v>
      </c>
      <c r="C462" s="884">
        <v>30000000</v>
      </c>
      <c r="D462" s="884">
        <v>28330110</v>
      </c>
      <c r="E462" s="884">
        <v>1669890</v>
      </c>
      <c r="F462" s="888">
        <v>0.94433699999999998</v>
      </c>
    </row>
    <row r="463" spans="1:6" x14ac:dyDescent="0.2">
      <c r="A463" s="887" t="s">
        <v>1108</v>
      </c>
      <c r="B463" s="890"/>
      <c r="C463" s="884"/>
      <c r="D463" s="884"/>
      <c r="E463" s="884"/>
      <c r="F463" s="888"/>
    </row>
    <row r="464" spans="1:6" x14ac:dyDescent="0.2">
      <c r="A464" s="889" t="s">
        <v>222</v>
      </c>
      <c r="B464" s="890">
        <v>42008</v>
      </c>
      <c r="C464" s="884">
        <v>55000000</v>
      </c>
      <c r="D464" s="884">
        <v>55000000</v>
      </c>
      <c r="E464" s="884">
        <v>0</v>
      </c>
      <c r="F464" s="888">
        <v>1</v>
      </c>
    </row>
    <row r="465" spans="1:6" x14ac:dyDescent="0.2">
      <c r="A465" s="887" t="s">
        <v>1113</v>
      </c>
      <c r="B465" s="890"/>
      <c r="C465" s="884"/>
      <c r="D465" s="884"/>
      <c r="E465" s="884"/>
      <c r="F465" s="888"/>
    </row>
    <row r="466" spans="1:6" x14ac:dyDescent="0.2">
      <c r="A466" s="889" t="s">
        <v>1114</v>
      </c>
      <c r="B466" s="890">
        <v>42021</v>
      </c>
      <c r="C466" s="884">
        <v>14153603</v>
      </c>
      <c r="D466" s="884">
        <v>14153603</v>
      </c>
      <c r="E466" s="884">
        <v>0</v>
      </c>
      <c r="F466" s="888">
        <v>1</v>
      </c>
    </row>
    <row r="467" spans="1:6" x14ac:dyDescent="0.2">
      <c r="A467" s="887" t="s">
        <v>1119</v>
      </c>
      <c r="B467" s="890"/>
      <c r="C467" s="884"/>
      <c r="D467" s="884"/>
      <c r="E467" s="884"/>
      <c r="F467" s="888"/>
    </row>
    <row r="468" spans="1:6" x14ac:dyDescent="0.2">
      <c r="A468" s="889" t="s">
        <v>1120</v>
      </c>
      <c r="B468" s="890">
        <v>42004</v>
      </c>
      <c r="C468" s="884">
        <v>812500</v>
      </c>
      <c r="D468" s="884">
        <v>812500</v>
      </c>
      <c r="E468" s="884">
        <v>0</v>
      </c>
      <c r="F468" s="888">
        <v>1</v>
      </c>
    </row>
    <row r="469" spans="1:6" x14ac:dyDescent="0.2">
      <c r="A469" s="887" t="s">
        <v>1110</v>
      </c>
      <c r="B469" s="890"/>
      <c r="C469" s="884"/>
      <c r="D469" s="884"/>
      <c r="E469" s="884"/>
      <c r="F469" s="888"/>
    </row>
    <row r="470" spans="1:6" x14ac:dyDescent="0.2">
      <c r="A470" s="889" t="s">
        <v>1111</v>
      </c>
      <c r="B470" s="890">
        <v>42116</v>
      </c>
      <c r="C470" s="884">
        <v>818527824</v>
      </c>
      <c r="D470" s="884">
        <v>800790708</v>
      </c>
      <c r="E470" s="884">
        <v>17737116</v>
      </c>
      <c r="F470" s="888">
        <v>0.97833046662565259</v>
      </c>
    </row>
    <row r="471" spans="1:6" x14ac:dyDescent="0.2">
      <c r="A471" s="887" t="s">
        <v>1116</v>
      </c>
      <c r="B471" s="890"/>
      <c r="C471" s="884"/>
      <c r="D471" s="884"/>
      <c r="E471" s="884"/>
      <c r="F471" s="888"/>
    </row>
    <row r="472" spans="1:6" x14ac:dyDescent="0.2">
      <c r="A472" s="889" t="s">
        <v>1117</v>
      </c>
      <c r="B472" s="890">
        <v>42369</v>
      </c>
      <c r="C472" s="884">
        <v>75520000</v>
      </c>
      <c r="D472" s="884">
        <v>75519999</v>
      </c>
      <c r="E472" s="884">
        <v>1</v>
      </c>
      <c r="F472" s="888">
        <v>0.99999998675847457</v>
      </c>
    </row>
    <row r="473" spans="1:6" x14ac:dyDescent="0.2">
      <c r="A473" s="887" t="s">
        <v>1162</v>
      </c>
      <c r="B473" s="890"/>
      <c r="C473" s="884"/>
      <c r="D473" s="884"/>
      <c r="E473" s="884"/>
      <c r="F473" s="888"/>
    </row>
    <row r="474" spans="1:6" x14ac:dyDescent="0.2">
      <c r="A474" s="889" t="s">
        <v>1163</v>
      </c>
      <c r="B474" s="890">
        <v>42301</v>
      </c>
      <c r="C474" s="884">
        <v>16592327</v>
      </c>
      <c r="D474" s="884">
        <v>14933095</v>
      </c>
      <c r="E474" s="884">
        <v>1659232</v>
      </c>
      <c r="F474" s="888">
        <v>0.90000004218817531</v>
      </c>
    </row>
    <row r="475" spans="1:6" x14ac:dyDescent="0.2">
      <c r="A475" s="887" t="s">
        <v>1155</v>
      </c>
      <c r="B475" s="890"/>
      <c r="C475" s="884"/>
      <c r="D475" s="884"/>
      <c r="E475" s="884"/>
      <c r="F475" s="888"/>
    </row>
    <row r="476" spans="1:6" x14ac:dyDescent="0.2">
      <c r="A476" s="889" t="s">
        <v>33</v>
      </c>
      <c r="B476" s="890">
        <v>42277</v>
      </c>
      <c r="C476" s="884">
        <v>807000</v>
      </c>
      <c r="D476" s="884">
        <v>807000</v>
      </c>
      <c r="E476" s="884">
        <v>0</v>
      </c>
      <c r="F476" s="888">
        <v>1</v>
      </c>
    </row>
    <row r="477" spans="1:6" x14ac:dyDescent="0.2">
      <c r="A477" s="887" t="s">
        <v>1160</v>
      </c>
      <c r="B477" s="890"/>
      <c r="C477" s="884"/>
      <c r="D477" s="884"/>
      <c r="E477" s="884"/>
      <c r="F477" s="888"/>
    </row>
    <row r="478" spans="1:6" x14ac:dyDescent="0.2">
      <c r="A478" s="889" t="s">
        <v>1161</v>
      </c>
      <c r="B478" s="890">
        <v>42138</v>
      </c>
      <c r="C478" s="884">
        <v>41850000</v>
      </c>
      <c r="D478" s="884">
        <v>26363000</v>
      </c>
      <c r="E478" s="884">
        <v>15487000</v>
      </c>
      <c r="F478" s="888">
        <v>0.6299402628434887</v>
      </c>
    </row>
    <row r="479" spans="1:6" x14ac:dyDescent="0.2">
      <c r="A479" s="887" t="s">
        <v>1157</v>
      </c>
      <c r="B479" s="890"/>
      <c r="C479" s="884"/>
      <c r="D479" s="884"/>
      <c r="E479" s="884"/>
      <c r="F479" s="888"/>
    </row>
    <row r="480" spans="1:6" x14ac:dyDescent="0.2">
      <c r="A480" s="889" t="s">
        <v>186</v>
      </c>
      <c r="B480" s="890">
        <v>41996</v>
      </c>
      <c r="C480" s="884">
        <v>311460000</v>
      </c>
      <c r="D480" s="884">
        <v>93438000</v>
      </c>
      <c r="E480" s="884">
        <v>218022000</v>
      </c>
      <c r="F480" s="888">
        <v>0.3</v>
      </c>
    </row>
    <row r="481" spans="1:6" x14ac:dyDescent="0.2">
      <c r="A481" s="887" t="s">
        <v>1158</v>
      </c>
      <c r="B481" s="890"/>
      <c r="C481" s="884"/>
      <c r="D481" s="884"/>
      <c r="E481" s="884"/>
      <c r="F481" s="888"/>
    </row>
    <row r="482" spans="1:6" x14ac:dyDescent="0.2">
      <c r="A482" s="889" t="s">
        <v>22</v>
      </c>
      <c r="B482" s="890">
        <v>42477</v>
      </c>
      <c r="C482" s="884">
        <v>66816000</v>
      </c>
      <c r="D482" s="884">
        <v>66816000</v>
      </c>
      <c r="E482" s="884">
        <v>0</v>
      </c>
      <c r="F482" s="888">
        <v>1</v>
      </c>
    </row>
    <row r="483" spans="1:6" x14ac:dyDescent="0.2">
      <c r="A483" s="887" t="s">
        <v>599</v>
      </c>
      <c r="B483" s="890"/>
      <c r="C483" s="884"/>
      <c r="D483" s="884"/>
      <c r="E483" s="884"/>
      <c r="F483" s="888"/>
    </row>
    <row r="484" spans="1:6" x14ac:dyDescent="0.2">
      <c r="A484" s="889" t="s">
        <v>1026</v>
      </c>
      <c r="B484" s="890">
        <v>41580</v>
      </c>
      <c r="C484" s="884">
        <v>9037264</v>
      </c>
      <c r="D484" s="884">
        <v>7492420</v>
      </c>
      <c r="E484" s="884">
        <v>1544844</v>
      </c>
      <c r="F484" s="888">
        <v>0.82905844069621071</v>
      </c>
    </row>
    <row r="485" spans="1:6" x14ac:dyDescent="0.2">
      <c r="A485" s="887" t="s">
        <v>857</v>
      </c>
      <c r="B485" s="890"/>
      <c r="C485" s="884"/>
      <c r="D485" s="884"/>
      <c r="E485" s="884"/>
      <c r="F485" s="888"/>
    </row>
    <row r="486" spans="1:6" x14ac:dyDescent="0.2">
      <c r="A486" s="889" t="s">
        <v>1338</v>
      </c>
      <c r="B486" s="890">
        <v>41975</v>
      </c>
      <c r="C486" s="884">
        <v>150000000</v>
      </c>
      <c r="D486" s="884">
        <v>0</v>
      </c>
      <c r="E486" s="884">
        <v>150000000</v>
      </c>
      <c r="F486" s="888">
        <v>0</v>
      </c>
    </row>
    <row r="487" spans="1:6" x14ac:dyDescent="0.2">
      <c r="A487" s="887" t="s">
        <v>1329</v>
      </c>
      <c r="B487" s="890"/>
      <c r="C487" s="884"/>
      <c r="D487" s="884"/>
      <c r="E487" s="884"/>
      <c r="F487" s="888"/>
    </row>
    <row r="488" spans="1:6" x14ac:dyDescent="0.2">
      <c r="A488" s="889" t="s">
        <v>1020</v>
      </c>
      <c r="B488" s="890">
        <v>42305</v>
      </c>
      <c r="C488" s="884">
        <v>810000</v>
      </c>
      <c r="D488" s="884">
        <v>810000</v>
      </c>
      <c r="E488" s="884">
        <v>0</v>
      </c>
      <c r="F488" s="888">
        <v>1</v>
      </c>
    </row>
    <row r="489" spans="1:6" x14ac:dyDescent="0.2">
      <c r="A489" s="887" t="s">
        <v>1336</v>
      </c>
      <c r="B489" s="890"/>
      <c r="C489" s="884"/>
      <c r="D489" s="884"/>
      <c r="E489" s="884"/>
      <c r="F489" s="888"/>
    </row>
    <row r="490" spans="1:6" x14ac:dyDescent="0.2">
      <c r="A490" s="889" t="s">
        <v>203</v>
      </c>
      <c r="B490" s="890">
        <v>42085</v>
      </c>
      <c r="C490" s="884">
        <v>4621440</v>
      </c>
      <c r="D490" s="884">
        <v>4621440</v>
      </c>
      <c r="E490" s="884">
        <v>0</v>
      </c>
      <c r="F490" s="888">
        <v>1</v>
      </c>
    </row>
    <row r="491" spans="1:6" x14ac:dyDescent="0.2">
      <c r="A491" s="887" t="s">
        <v>1331</v>
      </c>
      <c r="B491" s="890"/>
      <c r="C491" s="884"/>
      <c r="D491" s="884"/>
      <c r="E491" s="884"/>
      <c r="F491" s="888"/>
    </row>
    <row r="492" spans="1:6" x14ac:dyDescent="0.2">
      <c r="A492" s="889" t="s">
        <v>212</v>
      </c>
      <c r="B492" s="890">
        <v>41970</v>
      </c>
      <c r="C492" s="884">
        <v>324800</v>
      </c>
      <c r="D492" s="884">
        <v>324800</v>
      </c>
      <c r="E492" s="884">
        <v>0</v>
      </c>
      <c r="F492" s="888">
        <v>1</v>
      </c>
    </row>
    <row r="493" spans="1:6" x14ac:dyDescent="0.2">
      <c r="A493" s="887" t="s">
        <v>1344</v>
      </c>
      <c r="B493" s="890"/>
      <c r="C493" s="884"/>
      <c r="D493" s="884"/>
      <c r="E493" s="884"/>
      <c r="F493" s="888"/>
    </row>
    <row r="494" spans="1:6" x14ac:dyDescent="0.2">
      <c r="A494" s="889" t="s">
        <v>1345</v>
      </c>
      <c r="B494" s="890">
        <v>42241</v>
      </c>
      <c r="C494" s="884">
        <v>2459960</v>
      </c>
      <c r="D494" s="884">
        <v>2457884</v>
      </c>
      <c r="E494" s="884">
        <v>2076</v>
      </c>
      <c r="F494" s="888">
        <v>0.99915608383876164</v>
      </c>
    </row>
    <row r="495" spans="1:6" x14ac:dyDescent="0.2">
      <c r="A495" s="887" t="s">
        <v>1347</v>
      </c>
      <c r="B495" s="890"/>
      <c r="C495" s="884"/>
      <c r="D495" s="884"/>
      <c r="E495" s="884"/>
      <c r="F495" s="888"/>
    </row>
    <row r="496" spans="1:6" x14ac:dyDescent="0.2">
      <c r="A496" s="889" t="s">
        <v>1348</v>
      </c>
      <c r="B496" s="890">
        <v>42077</v>
      </c>
      <c r="C496" s="884">
        <v>20188000</v>
      </c>
      <c r="D496" s="884">
        <v>20188000</v>
      </c>
      <c r="E496" s="884">
        <v>0</v>
      </c>
      <c r="F496" s="888">
        <v>1</v>
      </c>
    </row>
    <row r="497" spans="1:6" x14ac:dyDescent="0.2">
      <c r="A497" s="887" t="s">
        <v>2253</v>
      </c>
      <c r="B497" s="890"/>
      <c r="C497" s="884"/>
      <c r="D497" s="884"/>
      <c r="E497" s="884"/>
      <c r="F497" s="888"/>
    </row>
    <row r="498" spans="1:6" x14ac:dyDescent="0.2">
      <c r="A498" s="889" t="s">
        <v>3</v>
      </c>
      <c r="B498" s="890">
        <v>41452</v>
      </c>
      <c r="C498" s="884">
        <v>315000000</v>
      </c>
      <c r="D498" s="884">
        <v>314473887</v>
      </c>
      <c r="E498" s="884">
        <v>526113</v>
      </c>
      <c r="F498" s="888">
        <v>0.99832980000000004</v>
      </c>
    </row>
    <row r="499" spans="1:6" x14ac:dyDescent="0.2">
      <c r="A499" s="887" t="s">
        <v>1351</v>
      </c>
      <c r="B499" s="890"/>
      <c r="C499" s="884"/>
      <c r="D499" s="884"/>
      <c r="E499" s="884"/>
      <c r="F499" s="888"/>
    </row>
    <row r="500" spans="1:6" x14ac:dyDescent="0.2">
      <c r="A500" s="889" t="s">
        <v>1352</v>
      </c>
      <c r="B500" s="890">
        <v>42184</v>
      </c>
      <c r="C500" s="884">
        <v>59383678</v>
      </c>
      <c r="D500" s="884">
        <v>27770152</v>
      </c>
      <c r="E500" s="884">
        <v>31613526</v>
      </c>
      <c r="F500" s="888">
        <v>0.46763947494124564</v>
      </c>
    </row>
    <row r="501" spans="1:6" x14ac:dyDescent="0.2">
      <c r="A501" s="887" t="s">
        <v>1354</v>
      </c>
      <c r="B501" s="890"/>
      <c r="C501" s="884"/>
      <c r="D501" s="884"/>
      <c r="E501" s="884"/>
      <c r="F501" s="888"/>
    </row>
    <row r="502" spans="1:6" x14ac:dyDescent="0.2">
      <c r="A502" s="889" t="s">
        <v>27</v>
      </c>
      <c r="B502" s="890">
        <v>42335</v>
      </c>
      <c r="C502" s="884">
        <v>764100</v>
      </c>
      <c r="D502" s="884">
        <v>764100</v>
      </c>
      <c r="E502" s="884">
        <v>0</v>
      </c>
      <c r="F502" s="888">
        <v>1</v>
      </c>
    </row>
    <row r="503" spans="1:6" x14ac:dyDescent="0.2">
      <c r="A503" s="887" t="s">
        <v>1356</v>
      </c>
      <c r="B503" s="890"/>
      <c r="C503" s="884"/>
      <c r="D503" s="884"/>
      <c r="E503" s="884"/>
      <c r="F503" s="888"/>
    </row>
    <row r="504" spans="1:6" x14ac:dyDescent="0.2">
      <c r="A504" s="889" t="s">
        <v>1357</v>
      </c>
      <c r="B504" s="890">
        <v>42208</v>
      </c>
      <c r="C504" s="884">
        <v>162856033</v>
      </c>
      <c r="D504" s="884">
        <v>20799042</v>
      </c>
      <c r="E504" s="884">
        <v>142056991</v>
      </c>
      <c r="F504" s="888">
        <v>0.12771428615113078</v>
      </c>
    </row>
    <row r="505" spans="1:6" x14ac:dyDescent="0.2">
      <c r="A505" s="887" t="s">
        <v>1359</v>
      </c>
      <c r="B505" s="890"/>
      <c r="C505" s="884"/>
      <c r="D505" s="884"/>
      <c r="E505" s="884"/>
      <c r="F505" s="888"/>
    </row>
    <row r="506" spans="1:6" x14ac:dyDescent="0.2">
      <c r="A506" s="889" t="s">
        <v>1360</v>
      </c>
      <c r="B506" s="890">
        <v>42334</v>
      </c>
      <c r="C506" s="884">
        <v>27235640</v>
      </c>
      <c r="D506" s="884">
        <v>17369840</v>
      </c>
      <c r="E506" s="884">
        <v>9865800</v>
      </c>
      <c r="F506" s="888">
        <v>0.63776140380765789</v>
      </c>
    </row>
    <row r="507" spans="1:6" x14ac:dyDescent="0.2">
      <c r="A507" s="887" t="s">
        <v>1366</v>
      </c>
      <c r="B507" s="890"/>
      <c r="C507" s="884"/>
      <c r="D507" s="884"/>
      <c r="E507" s="884"/>
      <c r="F507" s="888"/>
    </row>
    <row r="508" spans="1:6" x14ac:dyDescent="0.2">
      <c r="A508" s="889" t="s">
        <v>1367</v>
      </c>
      <c r="B508" s="890">
        <v>42504</v>
      </c>
      <c r="C508" s="884">
        <v>39999999</v>
      </c>
      <c r="D508" s="884">
        <v>39999998</v>
      </c>
      <c r="E508" s="884">
        <v>1</v>
      </c>
      <c r="F508" s="888">
        <v>0.99999997499999937</v>
      </c>
    </row>
    <row r="509" spans="1:6" x14ac:dyDescent="0.2">
      <c r="A509" s="887" t="s">
        <v>1364</v>
      </c>
      <c r="B509" s="890"/>
      <c r="C509" s="884"/>
      <c r="D509" s="884"/>
      <c r="E509" s="884"/>
      <c r="F509" s="888"/>
    </row>
    <row r="510" spans="1:6" x14ac:dyDescent="0.2">
      <c r="A510" s="889" t="s">
        <v>1535</v>
      </c>
      <c r="B510" s="890">
        <v>42063</v>
      </c>
      <c r="C510" s="884">
        <v>17664500</v>
      </c>
      <c r="D510" s="884">
        <v>17664500</v>
      </c>
      <c r="E510" s="884">
        <v>0</v>
      </c>
      <c r="F510" s="888">
        <v>1</v>
      </c>
    </row>
    <row r="511" spans="1:6" x14ac:dyDescent="0.2">
      <c r="A511" s="887" t="s">
        <v>1419</v>
      </c>
      <c r="B511" s="890"/>
      <c r="C511" s="884"/>
      <c r="D511" s="884"/>
      <c r="E511" s="884"/>
      <c r="F511" s="888"/>
    </row>
    <row r="512" spans="1:6" x14ac:dyDescent="0.2">
      <c r="A512" s="889" t="s">
        <v>1420</v>
      </c>
      <c r="B512" s="890">
        <v>42060</v>
      </c>
      <c r="C512" s="884">
        <v>4750000</v>
      </c>
      <c r="D512" s="884">
        <v>3978684</v>
      </c>
      <c r="E512" s="884">
        <v>771316</v>
      </c>
      <c r="F512" s="888">
        <v>0.83761768421052629</v>
      </c>
    </row>
    <row r="513" spans="1:6" x14ac:dyDescent="0.2">
      <c r="A513" s="887" t="s">
        <v>1424</v>
      </c>
      <c r="B513" s="890"/>
      <c r="C513" s="884"/>
      <c r="D513" s="884"/>
      <c r="E513" s="884"/>
      <c r="F513" s="888"/>
    </row>
    <row r="514" spans="1:6" x14ac:dyDescent="0.2">
      <c r="A514" s="889" t="s">
        <v>428</v>
      </c>
      <c r="B514" s="890">
        <v>42205</v>
      </c>
      <c r="C514" s="884">
        <v>668707669</v>
      </c>
      <c r="D514" s="884">
        <v>665337830</v>
      </c>
      <c r="E514" s="884">
        <v>3369839</v>
      </c>
      <c r="F514" s="888">
        <v>0.99496066942818329</v>
      </c>
    </row>
    <row r="515" spans="1:6" x14ac:dyDescent="0.2">
      <c r="A515" s="887" t="s">
        <v>1474</v>
      </c>
      <c r="B515" s="890"/>
      <c r="C515" s="884"/>
      <c r="D515" s="884"/>
      <c r="E515" s="884"/>
      <c r="F515" s="888"/>
    </row>
    <row r="516" spans="1:6" x14ac:dyDescent="0.2">
      <c r="A516" s="889" t="s">
        <v>64</v>
      </c>
      <c r="B516" s="890">
        <v>42335</v>
      </c>
      <c r="C516" s="884">
        <v>401058400</v>
      </c>
      <c r="D516" s="884">
        <v>401058400</v>
      </c>
      <c r="E516" s="884">
        <v>0</v>
      </c>
      <c r="F516" s="888">
        <v>1</v>
      </c>
    </row>
    <row r="517" spans="1:6" x14ac:dyDescent="0.2">
      <c r="A517" s="887" t="s">
        <v>1477</v>
      </c>
      <c r="B517" s="890"/>
      <c r="C517" s="884"/>
      <c r="D517" s="884"/>
      <c r="E517" s="884"/>
      <c r="F517" s="888"/>
    </row>
    <row r="518" spans="1:6" x14ac:dyDescent="0.2">
      <c r="A518" s="889" t="s">
        <v>3</v>
      </c>
      <c r="B518" s="890">
        <v>42063</v>
      </c>
      <c r="C518" s="884">
        <v>171253333</v>
      </c>
      <c r="D518" s="884">
        <v>123537109</v>
      </c>
      <c r="E518" s="884">
        <v>47716224</v>
      </c>
      <c r="F518" s="888">
        <v>0.72137053823063402</v>
      </c>
    </row>
    <row r="519" spans="1:6" x14ac:dyDescent="0.2">
      <c r="A519" s="887" t="s">
        <v>1485</v>
      </c>
      <c r="B519" s="890"/>
      <c r="C519" s="884"/>
      <c r="D519" s="884"/>
      <c r="E519" s="884"/>
      <c r="F519" s="888"/>
    </row>
    <row r="520" spans="1:6" x14ac:dyDescent="0.2">
      <c r="A520" s="889" t="s">
        <v>1596</v>
      </c>
      <c r="B520" s="890">
        <v>42044</v>
      </c>
      <c r="C520" s="884">
        <v>12700000</v>
      </c>
      <c r="D520" s="884">
        <v>12458400</v>
      </c>
      <c r="E520" s="884">
        <v>241600</v>
      </c>
      <c r="F520" s="888">
        <v>0.98097637795275594</v>
      </c>
    </row>
    <row r="521" spans="1:6" x14ac:dyDescent="0.2">
      <c r="A521" s="887" t="s">
        <v>1481</v>
      </c>
      <c r="B521" s="890"/>
      <c r="C521" s="884"/>
      <c r="D521" s="884"/>
      <c r="E521" s="884"/>
      <c r="F521" s="888"/>
    </row>
    <row r="522" spans="1:6" x14ac:dyDescent="0.2">
      <c r="A522" s="889" t="s">
        <v>1482</v>
      </c>
      <c r="B522" s="890">
        <v>42013</v>
      </c>
      <c r="C522" s="884">
        <v>39424000</v>
      </c>
      <c r="D522" s="884">
        <v>39424000</v>
      </c>
      <c r="E522" s="884">
        <v>0</v>
      </c>
      <c r="F522" s="888">
        <v>1</v>
      </c>
    </row>
    <row r="523" spans="1:6" x14ac:dyDescent="0.2">
      <c r="A523" s="887" t="s">
        <v>1497</v>
      </c>
      <c r="B523" s="890"/>
      <c r="C523" s="884"/>
      <c r="D523" s="884"/>
      <c r="E523" s="884"/>
      <c r="F523" s="888"/>
    </row>
    <row r="524" spans="1:6" x14ac:dyDescent="0.2">
      <c r="A524" s="889" t="s">
        <v>418</v>
      </c>
      <c r="B524" s="890">
        <v>42102</v>
      </c>
      <c r="C524" s="884">
        <v>187940000</v>
      </c>
      <c r="D524" s="884">
        <v>187940000</v>
      </c>
      <c r="E524" s="884">
        <v>0</v>
      </c>
      <c r="F524" s="888">
        <v>1</v>
      </c>
    </row>
    <row r="525" spans="1:6" x14ac:dyDescent="0.2">
      <c r="A525" s="887" t="s">
        <v>1491</v>
      </c>
      <c r="B525" s="890"/>
      <c r="C525" s="884"/>
      <c r="D525" s="884"/>
      <c r="E525" s="884"/>
      <c r="F525" s="888"/>
    </row>
    <row r="526" spans="1:6" x14ac:dyDescent="0.2">
      <c r="A526" s="889" t="s">
        <v>1492</v>
      </c>
      <c r="B526" s="890">
        <v>42140</v>
      </c>
      <c r="C526" s="884">
        <v>300000000</v>
      </c>
      <c r="D526" s="884">
        <v>238626484</v>
      </c>
      <c r="E526" s="884">
        <v>61373516</v>
      </c>
      <c r="F526" s="888">
        <v>0.79542161333333339</v>
      </c>
    </row>
    <row r="527" spans="1:6" x14ac:dyDescent="0.2">
      <c r="A527" s="887" t="s">
        <v>1494</v>
      </c>
      <c r="B527" s="890"/>
      <c r="C527" s="884"/>
      <c r="D527" s="884"/>
      <c r="E527" s="884"/>
      <c r="F527" s="888"/>
    </row>
    <row r="528" spans="1:6" x14ac:dyDescent="0.2">
      <c r="A528" s="889" t="s">
        <v>1420</v>
      </c>
      <c r="B528" s="890">
        <v>42109</v>
      </c>
      <c r="C528" s="884">
        <v>29997466</v>
      </c>
      <c r="D528" s="884">
        <v>29997466</v>
      </c>
      <c r="E528" s="884">
        <v>0</v>
      </c>
      <c r="F528" s="888">
        <v>1</v>
      </c>
    </row>
    <row r="529" spans="1:6" x14ac:dyDescent="0.2">
      <c r="A529" s="887" t="s">
        <v>1501</v>
      </c>
      <c r="B529" s="890"/>
      <c r="C529" s="884"/>
      <c r="D529" s="884"/>
      <c r="E529" s="884"/>
      <c r="F529" s="888"/>
    </row>
    <row r="530" spans="1:6" x14ac:dyDescent="0.2">
      <c r="A530" s="889" t="s">
        <v>1502</v>
      </c>
      <c r="B530" s="890">
        <v>42279</v>
      </c>
      <c r="C530" s="884">
        <v>1624000</v>
      </c>
      <c r="D530" s="884">
        <v>0</v>
      </c>
      <c r="E530" s="884">
        <v>1624000</v>
      </c>
      <c r="F530" s="888">
        <v>0</v>
      </c>
    </row>
    <row r="531" spans="1:6" x14ac:dyDescent="0.2">
      <c r="A531" s="887" t="s">
        <v>1516</v>
      </c>
      <c r="B531" s="890"/>
      <c r="C531" s="884"/>
      <c r="D531" s="884"/>
      <c r="E531" s="884"/>
      <c r="F531" s="888"/>
    </row>
    <row r="532" spans="1:6" x14ac:dyDescent="0.2">
      <c r="A532" s="889" t="s">
        <v>1517</v>
      </c>
      <c r="B532" s="890">
        <v>42348</v>
      </c>
      <c r="C532" s="884">
        <v>64621280</v>
      </c>
      <c r="D532" s="884">
        <v>64621280</v>
      </c>
      <c r="E532" s="884">
        <v>0</v>
      </c>
      <c r="F532" s="888">
        <v>1</v>
      </c>
    </row>
    <row r="533" spans="1:6" x14ac:dyDescent="0.2">
      <c r="A533" s="887" t="s">
        <v>1525</v>
      </c>
      <c r="B533" s="890"/>
      <c r="C533" s="884"/>
      <c r="D533" s="884"/>
      <c r="E533" s="884"/>
      <c r="F533" s="888"/>
    </row>
    <row r="534" spans="1:6" x14ac:dyDescent="0.2">
      <c r="A534" s="889" t="s">
        <v>1360</v>
      </c>
      <c r="B534" s="890">
        <v>42383</v>
      </c>
      <c r="C534" s="884">
        <v>137450000</v>
      </c>
      <c r="D534" s="884">
        <v>137449999</v>
      </c>
      <c r="E534" s="884">
        <v>1</v>
      </c>
      <c r="F534" s="888">
        <v>0.99999999272462714</v>
      </c>
    </row>
    <row r="535" spans="1:6" x14ac:dyDescent="0.2">
      <c r="A535" s="887" t="s">
        <v>1529</v>
      </c>
      <c r="B535" s="890"/>
      <c r="C535" s="884"/>
      <c r="D535" s="884"/>
      <c r="E535" s="884"/>
      <c r="F535" s="888"/>
    </row>
    <row r="536" spans="1:6" x14ac:dyDescent="0.2">
      <c r="A536" s="889" t="s">
        <v>1530</v>
      </c>
      <c r="B536" s="890">
        <v>42338</v>
      </c>
      <c r="C536" s="884">
        <v>309210000</v>
      </c>
      <c r="D536" s="884">
        <v>309210000</v>
      </c>
      <c r="E536" s="884">
        <v>0</v>
      </c>
      <c r="F536" s="888">
        <v>1</v>
      </c>
    </row>
    <row r="537" spans="1:6" x14ac:dyDescent="0.2">
      <c r="A537" s="887" t="s">
        <v>1536</v>
      </c>
      <c r="B537" s="890"/>
      <c r="C537" s="884"/>
      <c r="D537" s="884"/>
      <c r="E537" s="884"/>
      <c r="F537" s="888"/>
    </row>
    <row r="538" spans="1:6" x14ac:dyDescent="0.2">
      <c r="A538" s="889" t="s">
        <v>2022</v>
      </c>
      <c r="B538" s="890">
        <v>42396</v>
      </c>
      <c r="C538" s="884">
        <v>84000000</v>
      </c>
      <c r="D538" s="884">
        <v>84000000</v>
      </c>
      <c r="E538" s="884">
        <v>0</v>
      </c>
      <c r="F538" s="888">
        <v>1</v>
      </c>
    </row>
    <row r="539" spans="1:6" x14ac:dyDescent="0.2">
      <c r="A539" s="887" t="s">
        <v>1537</v>
      </c>
      <c r="B539" s="890"/>
      <c r="C539" s="884"/>
      <c r="D539" s="884"/>
      <c r="E539" s="884"/>
      <c r="F539" s="888"/>
    </row>
    <row r="540" spans="1:6" x14ac:dyDescent="0.2">
      <c r="A540" s="889" t="s">
        <v>1538</v>
      </c>
      <c r="B540" s="890">
        <v>42423</v>
      </c>
      <c r="C540" s="884">
        <v>4961088</v>
      </c>
      <c r="D540" s="884">
        <v>0</v>
      </c>
      <c r="E540" s="884">
        <v>4961088</v>
      </c>
      <c r="F540" s="888">
        <v>0</v>
      </c>
    </row>
    <row r="541" spans="1:6" x14ac:dyDescent="0.2">
      <c r="A541" s="887" t="s">
        <v>1540</v>
      </c>
      <c r="B541" s="890"/>
      <c r="C541" s="884"/>
      <c r="D541" s="884"/>
      <c r="E541" s="884"/>
      <c r="F541" s="888"/>
    </row>
    <row r="542" spans="1:6" x14ac:dyDescent="0.2">
      <c r="A542" s="889" t="s">
        <v>1541</v>
      </c>
      <c r="B542" s="890">
        <v>42079</v>
      </c>
      <c r="C542" s="884">
        <v>10075000</v>
      </c>
      <c r="D542" s="884">
        <v>10075000</v>
      </c>
      <c r="E542" s="884">
        <v>0</v>
      </c>
      <c r="F542" s="888">
        <v>1</v>
      </c>
    </row>
    <row r="543" spans="1:6" x14ac:dyDescent="0.2">
      <c r="A543" s="887" t="s">
        <v>1543</v>
      </c>
      <c r="B543" s="890"/>
      <c r="C543" s="884"/>
      <c r="D543" s="884"/>
      <c r="E543" s="884"/>
      <c r="F543" s="888"/>
    </row>
    <row r="544" spans="1:6" x14ac:dyDescent="0.2">
      <c r="A544" s="889" t="s">
        <v>1035</v>
      </c>
      <c r="B544" s="890">
        <v>42402</v>
      </c>
      <c r="C544" s="884">
        <v>46068000</v>
      </c>
      <c r="D544" s="884">
        <v>46068000</v>
      </c>
      <c r="E544" s="884">
        <v>0</v>
      </c>
      <c r="F544" s="888">
        <v>1</v>
      </c>
    </row>
    <row r="545" spans="1:6" x14ac:dyDescent="0.2">
      <c r="A545" s="887" t="s">
        <v>1546</v>
      </c>
      <c r="B545" s="890"/>
      <c r="C545" s="884"/>
      <c r="D545" s="884"/>
      <c r="E545" s="884"/>
      <c r="F545" s="888"/>
    </row>
    <row r="546" spans="1:6" x14ac:dyDescent="0.2">
      <c r="A546" s="889" t="s">
        <v>77</v>
      </c>
      <c r="B546" s="890">
        <v>42046</v>
      </c>
      <c r="C546" s="884">
        <v>0</v>
      </c>
      <c r="D546" s="884">
        <v>0</v>
      </c>
      <c r="E546" s="884">
        <v>0</v>
      </c>
      <c r="F546" s="888" t="e">
        <v>#DIV/0!</v>
      </c>
    </row>
    <row r="547" spans="1:6" x14ac:dyDescent="0.2">
      <c r="A547" s="887" t="s">
        <v>1550</v>
      </c>
      <c r="B547" s="890"/>
      <c r="C547" s="884"/>
      <c r="D547" s="884"/>
      <c r="E547" s="884"/>
      <c r="F547" s="888"/>
    </row>
    <row r="548" spans="1:6" x14ac:dyDescent="0.2">
      <c r="A548" s="889" t="s">
        <v>1033</v>
      </c>
      <c r="B548" s="890">
        <v>42410</v>
      </c>
      <c r="C548" s="884">
        <v>60000000</v>
      </c>
      <c r="D548" s="884">
        <v>60000000</v>
      </c>
      <c r="E548" s="884">
        <v>0</v>
      </c>
      <c r="F548" s="888">
        <v>1</v>
      </c>
    </row>
    <row r="549" spans="1:6" x14ac:dyDescent="0.2">
      <c r="A549" s="887" t="s">
        <v>1552</v>
      </c>
      <c r="B549" s="890"/>
      <c r="C549" s="884"/>
      <c r="D549" s="884"/>
      <c r="E549" s="884"/>
      <c r="F549" s="888"/>
    </row>
    <row r="550" spans="1:6" x14ac:dyDescent="0.2">
      <c r="A550" s="889" t="s">
        <v>2015</v>
      </c>
      <c r="B550" s="890">
        <v>42410</v>
      </c>
      <c r="C550" s="884">
        <v>63654000</v>
      </c>
      <c r="D550" s="884">
        <v>30235636</v>
      </c>
      <c r="E550" s="884">
        <v>33418364</v>
      </c>
      <c r="F550" s="888">
        <v>0.47499978006095456</v>
      </c>
    </row>
    <row r="551" spans="1:6" x14ac:dyDescent="0.2">
      <c r="A551" s="887" t="s">
        <v>1554</v>
      </c>
      <c r="B551" s="890"/>
      <c r="C551" s="884"/>
      <c r="D551" s="884"/>
      <c r="E551" s="884"/>
      <c r="F551" s="888"/>
    </row>
    <row r="552" spans="1:6" x14ac:dyDescent="0.2">
      <c r="A552" s="889" t="s">
        <v>1515</v>
      </c>
      <c r="B552" s="890">
        <v>42418</v>
      </c>
      <c r="C552" s="884">
        <v>48000000</v>
      </c>
      <c r="D552" s="884">
        <v>48000000</v>
      </c>
      <c r="E552" s="884">
        <v>0</v>
      </c>
      <c r="F552" s="888">
        <v>1</v>
      </c>
    </row>
    <row r="553" spans="1:6" x14ac:dyDescent="0.2">
      <c r="A553" s="887" t="s">
        <v>1567</v>
      </c>
      <c r="B553" s="890"/>
      <c r="C553" s="884"/>
      <c r="D553" s="884"/>
      <c r="E553" s="884"/>
      <c r="F553" s="888"/>
    </row>
    <row r="554" spans="1:6" x14ac:dyDescent="0.2">
      <c r="A554" s="889" t="s">
        <v>1566</v>
      </c>
      <c r="B554" s="890">
        <v>42419</v>
      </c>
      <c r="C554" s="884">
        <v>63654000</v>
      </c>
      <c r="D554" s="884">
        <v>63654000</v>
      </c>
      <c r="E554" s="884">
        <v>0</v>
      </c>
      <c r="F554" s="888">
        <v>1</v>
      </c>
    </row>
    <row r="555" spans="1:6" x14ac:dyDescent="0.2">
      <c r="A555" s="887" t="s">
        <v>1608</v>
      </c>
      <c r="B555" s="890"/>
      <c r="C555" s="884"/>
      <c r="D555" s="884"/>
      <c r="E555" s="884"/>
      <c r="F555" s="888"/>
    </row>
    <row r="556" spans="1:6" x14ac:dyDescent="0.2">
      <c r="A556" s="889" t="s">
        <v>2388</v>
      </c>
      <c r="B556" s="890">
        <v>42419</v>
      </c>
      <c r="C556" s="884">
        <v>60000000</v>
      </c>
      <c r="D556" s="884">
        <v>60000000</v>
      </c>
      <c r="E556" s="884">
        <v>0</v>
      </c>
      <c r="F556" s="888">
        <v>1</v>
      </c>
    </row>
    <row r="557" spans="1:6" x14ac:dyDescent="0.2">
      <c r="A557" s="887" t="s">
        <v>1557</v>
      </c>
      <c r="B557" s="890"/>
      <c r="C557" s="884"/>
      <c r="D557" s="884"/>
      <c r="E557" s="884"/>
      <c r="F557" s="888"/>
    </row>
    <row r="558" spans="1:6" x14ac:dyDescent="0.2">
      <c r="A558" s="889" t="s">
        <v>1070</v>
      </c>
      <c r="B558" s="890">
        <v>42425</v>
      </c>
      <c r="C558" s="884">
        <v>43260000</v>
      </c>
      <c r="D558" s="884">
        <v>43260000</v>
      </c>
      <c r="E558" s="884">
        <v>0</v>
      </c>
      <c r="F558" s="888">
        <v>1</v>
      </c>
    </row>
    <row r="559" spans="1:6" x14ac:dyDescent="0.2">
      <c r="A559" s="887" t="s">
        <v>1558</v>
      </c>
      <c r="B559" s="890"/>
      <c r="C559" s="884"/>
      <c r="D559" s="884"/>
      <c r="E559" s="884"/>
      <c r="F559" s="888"/>
    </row>
    <row r="560" spans="1:6" x14ac:dyDescent="0.2">
      <c r="A560" s="889" t="s">
        <v>2437</v>
      </c>
      <c r="B560" s="890">
        <v>42530</v>
      </c>
      <c r="C560" s="884">
        <v>63654000</v>
      </c>
      <c r="D560" s="884">
        <v>62769917</v>
      </c>
      <c r="E560" s="884">
        <v>884083</v>
      </c>
      <c r="F560" s="888">
        <v>0.98611111634775506</v>
      </c>
    </row>
    <row r="561" spans="1:6" x14ac:dyDescent="0.2">
      <c r="A561" s="887" t="s">
        <v>1576</v>
      </c>
      <c r="B561" s="890"/>
      <c r="C561" s="884"/>
      <c r="D561" s="884"/>
      <c r="E561" s="884"/>
      <c r="F561" s="888"/>
    </row>
    <row r="562" spans="1:6" x14ac:dyDescent="0.2">
      <c r="A562" s="889" t="s">
        <v>1577</v>
      </c>
      <c r="B562" s="890">
        <v>42431</v>
      </c>
      <c r="C562" s="884">
        <v>30900000</v>
      </c>
      <c r="D562" s="884">
        <v>30814167</v>
      </c>
      <c r="E562" s="884">
        <v>85833</v>
      </c>
      <c r="F562" s="888">
        <v>0.99722223300970869</v>
      </c>
    </row>
    <row r="563" spans="1:6" x14ac:dyDescent="0.2">
      <c r="A563" s="887" t="s">
        <v>1579</v>
      </c>
      <c r="B563" s="890"/>
      <c r="C563" s="884"/>
      <c r="D563" s="884"/>
      <c r="E563" s="884"/>
      <c r="F563" s="888"/>
    </row>
    <row r="564" spans="1:6" x14ac:dyDescent="0.2">
      <c r="A564" s="889" t="s">
        <v>3</v>
      </c>
      <c r="B564" s="890">
        <v>42339</v>
      </c>
      <c r="C564" s="884">
        <v>444600000</v>
      </c>
      <c r="D564" s="884">
        <v>365337152</v>
      </c>
      <c r="E564" s="884">
        <v>79262848</v>
      </c>
      <c r="F564" s="888">
        <v>0.82172098965362128</v>
      </c>
    </row>
    <row r="565" spans="1:6" x14ac:dyDescent="0.2">
      <c r="A565" s="887" t="s">
        <v>1580</v>
      </c>
      <c r="B565" s="890"/>
      <c r="C565" s="884"/>
      <c r="D565" s="884"/>
      <c r="E565" s="884"/>
      <c r="F565" s="888"/>
    </row>
    <row r="566" spans="1:6" x14ac:dyDescent="0.2">
      <c r="A566" s="889" t="s">
        <v>1034</v>
      </c>
      <c r="B566" s="890">
        <v>42439</v>
      </c>
      <c r="C566" s="884">
        <v>38400000</v>
      </c>
      <c r="D566" s="884">
        <v>38400000</v>
      </c>
      <c r="E566" s="884">
        <v>0</v>
      </c>
      <c r="F566" s="888">
        <v>1</v>
      </c>
    </row>
    <row r="567" spans="1:6" x14ac:dyDescent="0.2">
      <c r="A567" s="887" t="s">
        <v>1581</v>
      </c>
      <c r="B567" s="890"/>
      <c r="C567" s="884"/>
      <c r="D567" s="884"/>
      <c r="E567" s="884"/>
      <c r="F567" s="888"/>
    </row>
    <row r="568" spans="1:6" x14ac:dyDescent="0.2">
      <c r="A568" s="889" t="s">
        <v>1582</v>
      </c>
      <c r="B568" s="890">
        <v>42432</v>
      </c>
      <c r="C568" s="884">
        <v>78000000</v>
      </c>
      <c r="D568" s="884">
        <v>78000000</v>
      </c>
      <c r="E568" s="884">
        <v>0</v>
      </c>
      <c r="F568" s="888">
        <v>1</v>
      </c>
    </row>
    <row r="569" spans="1:6" x14ac:dyDescent="0.2">
      <c r="A569" s="887" t="s">
        <v>1584</v>
      </c>
      <c r="B569" s="890"/>
      <c r="C569" s="884"/>
      <c r="D569" s="884"/>
      <c r="E569" s="884"/>
      <c r="F569" s="888"/>
    </row>
    <row r="570" spans="1:6" x14ac:dyDescent="0.2">
      <c r="A570" s="889" t="s">
        <v>1585</v>
      </c>
      <c r="B570" s="890">
        <v>42439</v>
      </c>
      <c r="C570" s="884">
        <v>30900000</v>
      </c>
      <c r="D570" s="884">
        <v>30900000</v>
      </c>
      <c r="E570" s="884">
        <v>0</v>
      </c>
      <c r="F570" s="888">
        <v>1</v>
      </c>
    </row>
    <row r="571" spans="1:6" x14ac:dyDescent="0.2">
      <c r="A571" s="887" t="s">
        <v>1603</v>
      </c>
      <c r="B571" s="890"/>
      <c r="C571" s="884"/>
      <c r="D571" s="884"/>
      <c r="E571" s="884"/>
      <c r="F571" s="888"/>
    </row>
    <row r="572" spans="1:6" x14ac:dyDescent="0.2">
      <c r="A572" s="889" t="s">
        <v>1338</v>
      </c>
      <c r="B572" s="890">
        <v>42456</v>
      </c>
      <c r="C572" s="884">
        <v>150000000</v>
      </c>
      <c r="D572" s="884">
        <v>150000000</v>
      </c>
      <c r="E572" s="884">
        <v>0</v>
      </c>
      <c r="F572" s="888">
        <v>1</v>
      </c>
    </row>
    <row r="573" spans="1:6" x14ac:dyDescent="0.2">
      <c r="A573" s="887" t="s">
        <v>1592</v>
      </c>
      <c r="B573" s="890"/>
      <c r="C573" s="884"/>
      <c r="D573" s="884"/>
      <c r="E573" s="884"/>
      <c r="F573" s="888"/>
    </row>
    <row r="574" spans="1:6" x14ac:dyDescent="0.2">
      <c r="A574" s="889" t="s">
        <v>1031</v>
      </c>
      <c r="B574" s="890">
        <v>42241</v>
      </c>
      <c r="C574" s="884">
        <v>4100000</v>
      </c>
      <c r="D574" s="884">
        <v>4100000</v>
      </c>
      <c r="E574" s="884">
        <v>0</v>
      </c>
      <c r="F574" s="888">
        <v>1</v>
      </c>
    </row>
    <row r="575" spans="1:6" x14ac:dyDescent="0.2">
      <c r="A575" s="887" t="s">
        <v>1594</v>
      </c>
      <c r="B575" s="890"/>
      <c r="C575" s="884"/>
      <c r="D575" s="884"/>
      <c r="E575" s="884"/>
      <c r="F575" s="888"/>
    </row>
    <row r="576" spans="1:6" x14ac:dyDescent="0.2">
      <c r="A576" s="889" t="s">
        <v>86</v>
      </c>
      <c r="B576" s="890">
        <v>42447</v>
      </c>
      <c r="C576" s="884">
        <v>1226994</v>
      </c>
      <c r="D576" s="884">
        <v>1226994</v>
      </c>
      <c r="E576" s="884">
        <v>0</v>
      </c>
      <c r="F576" s="888">
        <v>1</v>
      </c>
    </row>
    <row r="577" spans="1:6" x14ac:dyDescent="0.2">
      <c r="A577" s="887" t="s">
        <v>1598</v>
      </c>
      <c r="B577" s="890"/>
      <c r="C577" s="884"/>
      <c r="D577" s="884"/>
      <c r="E577" s="884"/>
      <c r="F577" s="888"/>
    </row>
    <row r="578" spans="1:6" x14ac:dyDescent="0.2">
      <c r="A578" s="889" t="s">
        <v>1599</v>
      </c>
      <c r="B578" s="890">
        <v>42348</v>
      </c>
      <c r="C578" s="884">
        <v>334080000</v>
      </c>
      <c r="D578" s="884">
        <v>334080000</v>
      </c>
      <c r="E578" s="884">
        <v>0</v>
      </c>
      <c r="F578" s="888">
        <v>1</v>
      </c>
    </row>
    <row r="579" spans="1:6" x14ac:dyDescent="0.2">
      <c r="A579" s="887" t="s">
        <v>1610</v>
      </c>
      <c r="B579" s="890"/>
      <c r="C579" s="884"/>
      <c r="D579" s="884"/>
      <c r="E579" s="884"/>
      <c r="F579" s="888"/>
    </row>
    <row r="580" spans="1:6" x14ac:dyDescent="0.2">
      <c r="A580" s="889" t="s">
        <v>1611</v>
      </c>
      <c r="B580" s="890">
        <v>42477</v>
      </c>
      <c r="C580" s="884">
        <v>7442000</v>
      </c>
      <c r="D580" s="884">
        <v>2788000</v>
      </c>
      <c r="E580" s="884">
        <v>4654000</v>
      </c>
      <c r="F580" s="888">
        <v>0.37463047567858104</v>
      </c>
    </row>
    <row r="581" spans="1:6" x14ac:dyDescent="0.2">
      <c r="A581" s="887" t="s">
        <v>1615</v>
      </c>
      <c r="B581" s="890"/>
      <c r="C581" s="884"/>
      <c r="D581" s="884"/>
      <c r="E581" s="884"/>
      <c r="F581" s="888"/>
    </row>
    <row r="582" spans="1:6" x14ac:dyDescent="0.2">
      <c r="A582" s="889" t="s">
        <v>144</v>
      </c>
      <c r="B582" s="890">
        <v>42582</v>
      </c>
      <c r="C582" s="884">
        <v>559200000</v>
      </c>
      <c r="D582" s="884">
        <v>559200000</v>
      </c>
      <c r="E582" s="884">
        <v>0</v>
      </c>
      <c r="F582" s="888">
        <v>1</v>
      </c>
    </row>
    <row r="583" spans="1:6" x14ac:dyDescent="0.2">
      <c r="A583" s="887" t="s">
        <v>1620</v>
      </c>
      <c r="B583" s="890"/>
      <c r="C583" s="884"/>
      <c r="D583" s="884"/>
      <c r="E583" s="884"/>
      <c r="F583" s="888"/>
    </row>
    <row r="584" spans="1:6" x14ac:dyDescent="0.2">
      <c r="A584" s="889" t="s">
        <v>1621</v>
      </c>
      <c r="B584" s="890">
        <v>42487</v>
      </c>
      <c r="C584" s="884">
        <v>3035520</v>
      </c>
      <c r="D584" s="884">
        <v>2009011</v>
      </c>
      <c r="E584" s="884">
        <v>1026509</v>
      </c>
      <c r="F584" s="888">
        <v>0.66183421621336702</v>
      </c>
    </row>
    <row r="585" spans="1:6" x14ac:dyDescent="0.2">
      <c r="A585" s="887" t="s">
        <v>1625</v>
      </c>
      <c r="B585" s="890"/>
      <c r="C585" s="884"/>
      <c r="D585" s="884"/>
      <c r="E585" s="884"/>
      <c r="F585" s="888"/>
    </row>
    <row r="586" spans="1:6" x14ac:dyDescent="0.2">
      <c r="A586" s="889" t="s">
        <v>1626</v>
      </c>
      <c r="B586" s="890">
        <v>42451</v>
      </c>
      <c r="C586" s="884">
        <v>4721200</v>
      </c>
      <c r="D586" s="884">
        <v>4721200</v>
      </c>
      <c r="E586" s="884">
        <v>0</v>
      </c>
      <c r="F586" s="888">
        <v>1</v>
      </c>
    </row>
    <row r="587" spans="1:6" x14ac:dyDescent="0.2">
      <c r="A587" s="887" t="s">
        <v>1630</v>
      </c>
      <c r="B587" s="890"/>
      <c r="C587" s="884"/>
      <c r="D587" s="884"/>
      <c r="E587" s="884"/>
      <c r="F587" s="888"/>
    </row>
    <row r="588" spans="1:6" x14ac:dyDescent="0.2">
      <c r="A588" s="889" t="s">
        <v>1025</v>
      </c>
      <c r="B588" s="890">
        <v>42482</v>
      </c>
      <c r="C588" s="884">
        <v>28000000</v>
      </c>
      <c r="D588" s="884">
        <v>27999337</v>
      </c>
      <c r="E588" s="884">
        <v>663</v>
      </c>
      <c r="F588" s="888">
        <v>0.9999763214285714</v>
      </c>
    </row>
    <row r="589" spans="1:6" x14ac:dyDescent="0.2">
      <c r="A589" s="887" t="s">
        <v>1636</v>
      </c>
      <c r="B589" s="890"/>
      <c r="C589" s="884"/>
      <c r="D589" s="884"/>
      <c r="E589" s="884"/>
      <c r="F589" s="888"/>
    </row>
    <row r="590" spans="1:6" x14ac:dyDescent="0.2">
      <c r="A590" s="889" t="s">
        <v>1637</v>
      </c>
      <c r="B590" s="890">
        <v>42468</v>
      </c>
      <c r="C590" s="884">
        <v>4174276985</v>
      </c>
      <c r="D590" s="884">
        <v>3756849288</v>
      </c>
      <c r="E590" s="884">
        <v>417427697</v>
      </c>
      <c r="F590" s="888">
        <v>0.90000000035934369</v>
      </c>
    </row>
    <row r="591" spans="1:6" x14ac:dyDescent="0.2">
      <c r="A591" s="887" t="s">
        <v>1639</v>
      </c>
      <c r="B591" s="890"/>
      <c r="C591" s="884"/>
      <c r="D591" s="884"/>
      <c r="E591" s="884"/>
      <c r="F591" s="888"/>
    </row>
    <row r="592" spans="1:6" x14ac:dyDescent="0.2">
      <c r="A592" s="889" t="s">
        <v>53</v>
      </c>
      <c r="B592" s="890">
        <v>42531</v>
      </c>
      <c r="C592" s="884">
        <v>41620000</v>
      </c>
      <c r="D592" s="884">
        <v>35165145</v>
      </c>
      <c r="E592" s="884">
        <v>6454855</v>
      </c>
      <c r="F592" s="888">
        <v>0.84490977895242669</v>
      </c>
    </row>
    <row r="593" spans="1:6" x14ac:dyDescent="0.2">
      <c r="A593" s="887" t="s">
        <v>1743</v>
      </c>
      <c r="B593" s="890"/>
      <c r="C593" s="884"/>
      <c r="D593" s="884"/>
      <c r="E593" s="884"/>
      <c r="F593" s="888"/>
    </row>
    <row r="594" spans="1:6" x14ac:dyDescent="0.2">
      <c r="A594" s="889" t="s">
        <v>284</v>
      </c>
      <c r="B594" s="890">
        <v>42510</v>
      </c>
      <c r="C594" s="884">
        <v>33500000</v>
      </c>
      <c r="D594" s="884">
        <v>28680629</v>
      </c>
      <c r="E594" s="884">
        <v>4819371</v>
      </c>
      <c r="F594" s="888">
        <v>0.85613817910447765</v>
      </c>
    </row>
    <row r="595" spans="1:6" x14ac:dyDescent="0.2">
      <c r="A595" s="887" t="s">
        <v>1748</v>
      </c>
      <c r="B595" s="890"/>
      <c r="C595" s="884"/>
      <c r="D595" s="884"/>
      <c r="E595" s="884"/>
      <c r="F595" s="888"/>
    </row>
    <row r="596" spans="1:6" x14ac:dyDescent="0.2">
      <c r="A596" s="889" t="s">
        <v>1749</v>
      </c>
      <c r="B596" s="890">
        <v>42258</v>
      </c>
      <c r="C596" s="884">
        <v>12975945</v>
      </c>
      <c r="D596" s="884">
        <v>12975945</v>
      </c>
      <c r="E596" s="884">
        <v>0</v>
      </c>
      <c r="F596" s="888">
        <v>1</v>
      </c>
    </row>
    <row r="597" spans="1:6" x14ac:dyDescent="0.2">
      <c r="A597" s="887" t="s">
        <v>1755</v>
      </c>
      <c r="B597" s="890"/>
      <c r="C597" s="884"/>
      <c r="D597" s="884"/>
      <c r="E597" s="884"/>
      <c r="F597" s="888"/>
    </row>
    <row r="598" spans="1:6" x14ac:dyDescent="0.2">
      <c r="A598" s="889" t="s">
        <v>1756</v>
      </c>
      <c r="B598" s="890">
        <v>42532</v>
      </c>
      <c r="C598" s="884">
        <v>11000000</v>
      </c>
      <c r="D598" s="884">
        <v>4179537</v>
      </c>
      <c r="E598" s="884">
        <v>6820463</v>
      </c>
      <c r="F598" s="888">
        <v>0.3799579090909091</v>
      </c>
    </row>
    <row r="599" spans="1:6" x14ac:dyDescent="0.2">
      <c r="A599" s="887" t="s">
        <v>1761</v>
      </c>
      <c r="B599" s="890"/>
      <c r="C599" s="884"/>
      <c r="D599" s="884"/>
      <c r="E599" s="884"/>
      <c r="F599" s="888"/>
    </row>
    <row r="600" spans="1:6" x14ac:dyDescent="0.2">
      <c r="A600" s="889" t="s">
        <v>290</v>
      </c>
      <c r="B600" s="890">
        <v>42147</v>
      </c>
      <c r="C600" s="884">
        <v>10514762</v>
      </c>
      <c r="D600" s="884">
        <v>10514762</v>
      </c>
      <c r="E600" s="884">
        <v>0</v>
      </c>
      <c r="F600" s="888">
        <v>1</v>
      </c>
    </row>
    <row r="601" spans="1:6" x14ac:dyDescent="0.2">
      <c r="A601" s="887" t="s">
        <v>1976</v>
      </c>
      <c r="B601" s="890"/>
      <c r="C601" s="884"/>
      <c r="D601" s="884"/>
      <c r="E601" s="884"/>
      <c r="F601" s="888"/>
    </row>
    <row r="602" spans="1:6" x14ac:dyDescent="0.2">
      <c r="A602" s="889" t="s">
        <v>272</v>
      </c>
      <c r="B602" s="890">
        <v>42515</v>
      </c>
      <c r="C602" s="884">
        <v>5874000</v>
      </c>
      <c r="D602" s="884">
        <v>4940614</v>
      </c>
      <c r="E602" s="884">
        <v>933386</v>
      </c>
      <c r="F602" s="888">
        <v>0.84109874021109976</v>
      </c>
    </row>
    <row r="603" spans="1:6" x14ac:dyDescent="0.2">
      <c r="A603" s="887" t="s">
        <v>1856</v>
      </c>
      <c r="B603" s="890"/>
      <c r="C603" s="884"/>
      <c r="D603" s="884"/>
      <c r="E603" s="884"/>
      <c r="F603" s="888"/>
    </row>
    <row r="604" spans="1:6" x14ac:dyDescent="0.2">
      <c r="A604" s="889" t="s">
        <v>1857</v>
      </c>
      <c r="B604" s="890">
        <v>42454</v>
      </c>
      <c r="C604" s="884">
        <v>18836508</v>
      </c>
      <c r="D604" s="884">
        <v>18291633</v>
      </c>
      <c r="E604" s="884">
        <v>544875</v>
      </c>
      <c r="F604" s="888">
        <v>0.97107346011267059</v>
      </c>
    </row>
    <row r="605" spans="1:6" x14ac:dyDescent="0.2">
      <c r="A605" s="887" t="s">
        <v>1859</v>
      </c>
      <c r="B605" s="890"/>
      <c r="C605" s="884"/>
      <c r="D605" s="884"/>
      <c r="E605" s="884"/>
      <c r="F605" s="888"/>
    </row>
    <row r="606" spans="1:6" x14ac:dyDescent="0.2">
      <c r="A606" s="889" t="s">
        <v>203</v>
      </c>
      <c r="B606" s="890">
        <v>42236</v>
      </c>
      <c r="C606" s="884">
        <v>7714000</v>
      </c>
      <c r="D606" s="884">
        <v>7714000</v>
      </c>
      <c r="E606" s="884">
        <v>0</v>
      </c>
      <c r="F606" s="888">
        <v>1</v>
      </c>
    </row>
    <row r="607" spans="1:6" x14ac:dyDescent="0.2">
      <c r="A607" s="887" t="s">
        <v>1869</v>
      </c>
      <c r="B607" s="890"/>
      <c r="C607" s="884"/>
      <c r="D607" s="884"/>
      <c r="E607" s="884"/>
      <c r="F607" s="888"/>
    </row>
    <row r="608" spans="1:6" x14ac:dyDescent="0.2">
      <c r="A608" s="889" t="s">
        <v>1870</v>
      </c>
      <c r="B608" s="890">
        <v>42455</v>
      </c>
      <c r="C608" s="884">
        <v>2000000</v>
      </c>
      <c r="D608" s="884">
        <v>824760</v>
      </c>
      <c r="E608" s="884">
        <v>1175240</v>
      </c>
      <c r="F608" s="888">
        <v>0.41238000000000002</v>
      </c>
    </row>
    <row r="609" spans="1:6" x14ac:dyDescent="0.2">
      <c r="A609" s="887" t="s">
        <v>1875</v>
      </c>
      <c r="B609" s="890"/>
      <c r="C609" s="884"/>
      <c r="D609" s="884"/>
      <c r="E609" s="884"/>
      <c r="F609" s="888"/>
    </row>
    <row r="610" spans="1:6" x14ac:dyDescent="0.2">
      <c r="A610" s="889" t="s">
        <v>1876</v>
      </c>
      <c r="B610" s="890">
        <v>42582</v>
      </c>
      <c r="C610" s="884">
        <v>566000000</v>
      </c>
      <c r="D610" s="884">
        <v>429459129</v>
      </c>
      <c r="E610" s="884">
        <v>136540871</v>
      </c>
      <c r="F610" s="888">
        <v>0.75876171201413423</v>
      </c>
    </row>
    <row r="611" spans="1:6" x14ac:dyDescent="0.2">
      <c r="A611" s="887" t="s">
        <v>1880</v>
      </c>
      <c r="B611" s="890"/>
      <c r="C611" s="884"/>
      <c r="D611" s="884"/>
      <c r="E611" s="884"/>
      <c r="F611" s="888"/>
    </row>
    <row r="612" spans="1:6" x14ac:dyDescent="0.2">
      <c r="A612" s="889" t="s">
        <v>1881</v>
      </c>
      <c r="B612" s="890">
        <v>42413</v>
      </c>
      <c r="C612" s="884">
        <v>18000000</v>
      </c>
      <c r="D612" s="884">
        <v>18000000</v>
      </c>
      <c r="E612" s="884">
        <v>0</v>
      </c>
      <c r="F612" s="888">
        <v>1</v>
      </c>
    </row>
    <row r="613" spans="1:6" x14ac:dyDescent="0.2">
      <c r="A613" s="887" t="s">
        <v>1888</v>
      </c>
      <c r="B613" s="890"/>
      <c r="C613" s="884"/>
      <c r="D613" s="884"/>
      <c r="E613" s="884"/>
      <c r="F613" s="888"/>
    </row>
    <row r="614" spans="1:6" x14ac:dyDescent="0.2">
      <c r="A614" s="889" t="s">
        <v>1111</v>
      </c>
      <c r="B614" s="890">
        <v>42450</v>
      </c>
      <c r="C614" s="884">
        <v>1433352777</v>
      </c>
      <c r="D614" s="884">
        <v>1433352777</v>
      </c>
      <c r="E614" s="884">
        <v>0</v>
      </c>
      <c r="F614" s="888">
        <v>1</v>
      </c>
    </row>
    <row r="615" spans="1:6" x14ac:dyDescent="0.2">
      <c r="A615" s="887" t="s">
        <v>1892</v>
      </c>
      <c r="B615" s="890"/>
      <c r="C615" s="884"/>
      <c r="D615" s="884"/>
      <c r="E615" s="884"/>
      <c r="F615" s="888"/>
    </row>
    <row r="616" spans="1:6" x14ac:dyDescent="0.2">
      <c r="A616" s="889" t="s">
        <v>1893</v>
      </c>
      <c r="B616" s="890">
        <v>42511</v>
      </c>
      <c r="C616" s="884">
        <v>7800000</v>
      </c>
      <c r="D616" s="884">
        <v>7800000</v>
      </c>
      <c r="E616" s="884">
        <v>0</v>
      </c>
      <c r="F616" s="888">
        <v>1</v>
      </c>
    </row>
    <row r="617" spans="1:6" x14ac:dyDescent="0.2">
      <c r="A617" s="887" t="s">
        <v>1905</v>
      </c>
      <c r="B617" s="890"/>
      <c r="C617" s="884"/>
      <c r="D617" s="884"/>
      <c r="E617" s="884"/>
      <c r="F617" s="888"/>
    </row>
    <row r="618" spans="1:6" x14ac:dyDescent="0.2">
      <c r="A618" s="889" t="s">
        <v>1906</v>
      </c>
      <c r="B618" s="890">
        <v>42546</v>
      </c>
      <c r="C618" s="884">
        <v>28000000</v>
      </c>
      <c r="D618" s="884">
        <v>26596777</v>
      </c>
      <c r="E618" s="884">
        <v>1403223</v>
      </c>
      <c r="F618" s="888">
        <v>0.94988489285714284</v>
      </c>
    </row>
    <row r="619" spans="1:6" x14ac:dyDescent="0.2">
      <c r="A619" s="887" t="s">
        <v>1949</v>
      </c>
      <c r="B619" s="890"/>
      <c r="C619" s="884"/>
      <c r="D619" s="884"/>
      <c r="E619" s="884"/>
      <c r="F619" s="888"/>
    </row>
    <row r="620" spans="1:6" x14ac:dyDescent="0.2">
      <c r="A620" s="889" t="s">
        <v>1950</v>
      </c>
      <c r="B620" s="890">
        <v>42226</v>
      </c>
      <c r="C620" s="884">
        <v>8086410</v>
      </c>
      <c r="D620" s="884">
        <v>8086406</v>
      </c>
      <c r="E620" s="884">
        <v>4</v>
      </c>
      <c r="F620" s="888">
        <v>0.99999950534291482</v>
      </c>
    </row>
    <row r="621" spans="1:6" x14ac:dyDescent="0.2">
      <c r="A621" s="887" t="s">
        <v>1954</v>
      </c>
      <c r="B621" s="890"/>
      <c r="C621" s="884"/>
      <c r="D621" s="884"/>
      <c r="E621" s="884"/>
      <c r="F621" s="888"/>
    </row>
    <row r="622" spans="1:6" x14ac:dyDescent="0.2">
      <c r="A622" s="889" t="s">
        <v>1955</v>
      </c>
      <c r="B622" s="890">
        <v>42252</v>
      </c>
      <c r="C622" s="884">
        <v>5000000</v>
      </c>
      <c r="D622" s="884">
        <v>3489976</v>
      </c>
      <c r="E622" s="884">
        <v>1510024</v>
      </c>
      <c r="F622" s="888">
        <v>0.69799520000000004</v>
      </c>
    </row>
    <row r="623" spans="1:6" x14ac:dyDescent="0.2">
      <c r="A623" s="887" t="s">
        <v>1961</v>
      </c>
      <c r="B623" s="890"/>
      <c r="C623" s="884"/>
      <c r="D623" s="884"/>
      <c r="E623" s="884"/>
      <c r="F623" s="888"/>
    </row>
    <row r="624" spans="1:6" x14ac:dyDescent="0.2">
      <c r="A624" s="889" t="s">
        <v>38</v>
      </c>
      <c r="B624" s="890">
        <v>42582</v>
      </c>
      <c r="C624" s="884">
        <v>41552000</v>
      </c>
      <c r="D624" s="884">
        <v>34550825</v>
      </c>
      <c r="E624" s="884">
        <v>7001175</v>
      </c>
      <c r="F624" s="888">
        <v>0.83150811031959959</v>
      </c>
    </row>
    <row r="625" spans="1:6" x14ac:dyDescent="0.2">
      <c r="A625" s="887" t="s">
        <v>1964</v>
      </c>
      <c r="B625" s="890"/>
      <c r="C625" s="884"/>
      <c r="D625" s="884"/>
      <c r="E625" s="884"/>
      <c r="F625" s="888"/>
    </row>
    <row r="626" spans="1:6" x14ac:dyDescent="0.2">
      <c r="A626" s="889" t="s">
        <v>1965</v>
      </c>
      <c r="B626" s="890">
        <v>42443</v>
      </c>
      <c r="C626" s="884">
        <v>61200000</v>
      </c>
      <c r="D626" s="884">
        <v>61200000</v>
      </c>
      <c r="E626" s="884">
        <v>0</v>
      </c>
      <c r="F626" s="888">
        <v>1</v>
      </c>
    </row>
    <row r="627" spans="1:6" x14ac:dyDescent="0.2">
      <c r="A627" s="887" t="s">
        <v>1970</v>
      </c>
      <c r="B627" s="890"/>
      <c r="C627" s="884"/>
      <c r="D627" s="884"/>
      <c r="E627" s="884"/>
      <c r="F627" s="888"/>
    </row>
    <row r="628" spans="1:6" x14ac:dyDescent="0.2">
      <c r="A628" s="889" t="s">
        <v>1971</v>
      </c>
      <c r="B628" s="890">
        <v>42296</v>
      </c>
      <c r="C628" s="884">
        <v>2365972</v>
      </c>
      <c r="D628" s="884">
        <v>2365972</v>
      </c>
      <c r="E628" s="884">
        <v>0</v>
      </c>
      <c r="F628" s="888">
        <v>1</v>
      </c>
    </row>
    <row r="629" spans="1:6" x14ac:dyDescent="0.2">
      <c r="A629" s="887" t="s">
        <v>1984</v>
      </c>
      <c r="B629" s="890"/>
      <c r="C629" s="884"/>
      <c r="D629" s="884"/>
      <c r="E629" s="884"/>
      <c r="F629" s="888"/>
    </row>
    <row r="630" spans="1:6" x14ac:dyDescent="0.2">
      <c r="A630" s="889" t="s">
        <v>1985</v>
      </c>
      <c r="B630" s="890">
        <v>42447</v>
      </c>
      <c r="C630" s="884">
        <v>18000000</v>
      </c>
      <c r="D630" s="884">
        <v>18000000</v>
      </c>
      <c r="E630" s="884">
        <v>0</v>
      </c>
      <c r="F630" s="888">
        <v>1</v>
      </c>
    </row>
    <row r="631" spans="1:6" x14ac:dyDescent="0.2">
      <c r="A631" s="887" t="s">
        <v>1987</v>
      </c>
      <c r="B631" s="890"/>
      <c r="C631" s="884"/>
      <c r="D631" s="884"/>
      <c r="E631" s="884"/>
      <c r="F631" s="888"/>
    </row>
    <row r="632" spans="1:6" x14ac:dyDescent="0.2">
      <c r="A632" s="889" t="s">
        <v>1988</v>
      </c>
      <c r="B632" s="890">
        <v>42250</v>
      </c>
      <c r="C632" s="884">
        <v>11167296</v>
      </c>
      <c r="D632" s="884">
        <v>0</v>
      </c>
      <c r="E632" s="884">
        <v>11167296</v>
      </c>
      <c r="F632" s="888">
        <v>0</v>
      </c>
    </row>
    <row r="633" spans="1:6" x14ac:dyDescent="0.2">
      <c r="A633" s="887" t="s">
        <v>1993</v>
      </c>
      <c r="B633" s="890"/>
      <c r="C633" s="884"/>
      <c r="D633" s="884"/>
      <c r="E633" s="884"/>
      <c r="F633" s="888"/>
    </row>
    <row r="634" spans="1:6" x14ac:dyDescent="0.2">
      <c r="A634" s="889" t="s">
        <v>1994</v>
      </c>
      <c r="B634" s="890">
        <v>42545</v>
      </c>
      <c r="C634" s="884">
        <v>43417333</v>
      </c>
      <c r="D634" s="884">
        <v>39667287</v>
      </c>
      <c r="E634" s="884">
        <v>3750046</v>
      </c>
      <c r="F634" s="888">
        <v>0.91362790524236026</v>
      </c>
    </row>
    <row r="635" spans="1:6" x14ac:dyDescent="0.2">
      <c r="A635" s="887" t="s">
        <v>1996</v>
      </c>
      <c r="B635" s="890"/>
      <c r="C635" s="884"/>
      <c r="D635" s="884"/>
      <c r="E635" s="884"/>
      <c r="F635" s="888"/>
    </row>
    <row r="636" spans="1:6" x14ac:dyDescent="0.2">
      <c r="A636" s="889" t="s">
        <v>1997</v>
      </c>
      <c r="B636" s="890">
        <v>42357</v>
      </c>
      <c r="C636" s="884">
        <v>12000000</v>
      </c>
      <c r="D636" s="884">
        <v>12000000</v>
      </c>
      <c r="E636" s="884">
        <v>0</v>
      </c>
      <c r="F636" s="888">
        <v>1</v>
      </c>
    </row>
    <row r="637" spans="1:6" x14ac:dyDescent="0.2">
      <c r="A637" s="887" t="s">
        <v>2003</v>
      </c>
      <c r="B637" s="890"/>
      <c r="C637" s="884"/>
      <c r="D637" s="884"/>
      <c r="E637" s="884"/>
      <c r="F637" s="888"/>
    </row>
    <row r="638" spans="1:6" x14ac:dyDescent="0.2">
      <c r="A638" s="889" t="s">
        <v>2004</v>
      </c>
      <c r="B638" s="890">
        <v>42567</v>
      </c>
      <c r="C638" s="884">
        <v>1607400</v>
      </c>
      <c r="D638" s="884">
        <v>1586586</v>
      </c>
      <c r="E638" s="884">
        <v>20814</v>
      </c>
      <c r="F638" s="888">
        <v>0.98705113848450909</v>
      </c>
    </row>
    <row r="639" spans="1:6" x14ac:dyDescent="0.2">
      <c r="A639" s="887" t="s">
        <v>2007</v>
      </c>
      <c r="B639" s="890"/>
      <c r="C639" s="884"/>
      <c r="D639" s="884"/>
      <c r="E639" s="884"/>
      <c r="F639" s="888"/>
    </row>
    <row r="640" spans="1:6" x14ac:dyDescent="0.2">
      <c r="A640" s="889" t="s">
        <v>2008</v>
      </c>
      <c r="B640" s="890">
        <v>42522</v>
      </c>
      <c r="C640" s="884">
        <v>124930204</v>
      </c>
      <c r="D640" s="884">
        <v>124874187</v>
      </c>
      <c r="E640" s="884">
        <v>56017</v>
      </c>
      <c r="F640" s="888">
        <v>0.99955161363540235</v>
      </c>
    </row>
    <row r="641" spans="1:6" x14ac:dyDescent="0.2">
      <c r="A641" s="887" t="s">
        <v>2023</v>
      </c>
      <c r="B641" s="890"/>
      <c r="C641" s="884"/>
      <c r="D641" s="884"/>
      <c r="E641" s="884"/>
      <c r="F641" s="888"/>
    </row>
    <row r="642" spans="1:6" x14ac:dyDescent="0.2">
      <c r="A642" s="889" t="s">
        <v>2024</v>
      </c>
      <c r="B642" s="890">
        <v>42537</v>
      </c>
      <c r="C642" s="884">
        <v>213397762</v>
      </c>
      <c r="D642" s="884">
        <v>213397758</v>
      </c>
      <c r="E642" s="884">
        <v>4</v>
      </c>
      <c r="F642" s="888">
        <v>0.99999998125566092</v>
      </c>
    </row>
    <row r="643" spans="1:6" x14ac:dyDescent="0.2">
      <c r="A643" s="887" t="s">
        <v>2027</v>
      </c>
      <c r="B643" s="890"/>
      <c r="C643" s="884"/>
      <c r="D643" s="884"/>
      <c r="E643" s="884"/>
      <c r="F643" s="888"/>
    </row>
    <row r="644" spans="1:6" x14ac:dyDescent="0.2">
      <c r="A644" s="889" t="s">
        <v>2028</v>
      </c>
      <c r="B644" s="890">
        <v>42370</v>
      </c>
      <c r="C644" s="884">
        <v>10800000</v>
      </c>
      <c r="D644" s="884">
        <v>7200000</v>
      </c>
      <c r="E644" s="884">
        <v>3600000</v>
      </c>
      <c r="F644" s="888">
        <v>0.66666666666666663</v>
      </c>
    </row>
    <row r="645" spans="1:6" x14ac:dyDescent="0.2">
      <c r="A645" s="887" t="s">
        <v>2030</v>
      </c>
      <c r="B645" s="890"/>
      <c r="C645" s="884"/>
      <c r="D645" s="884"/>
      <c r="E645" s="884"/>
      <c r="F645" s="888"/>
    </row>
    <row r="646" spans="1:6" x14ac:dyDescent="0.2">
      <c r="A646" s="889" t="s">
        <v>2031</v>
      </c>
      <c r="B646" s="890">
        <v>42461</v>
      </c>
      <c r="C646" s="884">
        <v>32400000</v>
      </c>
      <c r="D646" s="884">
        <v>28800000</v>
      </c>
      <c r="E646" s="884">
        <v>3600000</v>
      </c>
      <c r="F646" s="888">
        <v>0.88888888888888884</v>
      </c>
    </row>
    <row r="647" spans="1:6" x14ac:dyDescent="0.2">
      <c r="A647" s="887" t="s">
        <v>2033</v>
      </c>
      <c r="B647" s="890"/>
      <c r="C647" s="884"/>
      <c r="D647" s="884"/>
      <c r="E647" s="884"/>
      <c r="F647" s="888"/>
    </row>
    <row r="648" spans="1:6" x14ac:dyDescent="0.2">
      <c r="A648" s="889" t="s">
        <v>2034</v>
      </c>
      <c r="B648" s="890">
        <v>42370</v>
      </c>
      <c r="C648" s="884">
        <v>10800000</v>
      </c>
      <c r="D648" s="884">
        <v>9000000</v>
      </c>
      <c r="E648" s="884">
        <v>1800000</v>
      </c>
      <c r="F648" s="888">
        <v>0.83333333333333337</v>
      </c>
    </row>
    <row r="649" spans="1:6" x14ac:dyDescent="0.2">
      <c r="A649" s="887" t="s">
        <v>2035</v>
      </c>
      <c r="B649" s="890"/>
      <c r="C649" s="884"/>
      <c r="D649" s="884"/>
      <c r="E649" s="884"/>
      <c r="F649" s="888"/>
    </row>
    <row r="650" spans="1:6" x14ac:dyDescent="0.2">
      <c r="A650" s="889" t="s">
        <v>2036</v>
      </c>
      <c r="B650" s="890">
        <v>42370</v>
      </c>
      <c r="C650" s="884">
        <v>10800000</v>
      </c>
      <c r="D650" s="884">
        <v>10800000</v>
      </c>
      <c r="E650" s="884">
        <v>0</v>
      </c>
      <c r="F650" s="888">
        <v>1</v>
      </c>
    </row>
    <row r="651" spans="1:6" x14ac:dyDescent="0.2">
      <c r="A651" s="887" t="s">
        <v>2038</v>
      </c>
      <c r="B651" s="890"/>
      <c r="C651" s="884"/>
      <c r="D651" s="884"/>
      <c r="E651" s="884"/>
      <c r="F651" s="888"/>
    </row>
    <row r="652" spans="1:6" x14ac:dyDescent="0.2">
      <c r="A652" s="889" t="s">
        <v>2039</v>
      </c>
      <c r="B652" s="890">
        <v>42370</v>
      </c>
      <c r="C652" s="884">
        <v>10800000</v>
      </c>
      <c r="D652" s="884">
        <v>10800000</v>
      </c>
      <c r="E652" s="884">
        <v>0</v>
      </c>
      <c r="F652" s="888">
        <v>1</v>
      </c>
    </row>
    <row r="653" spans="1:6" x14ac:dyDescent="0.2">
      <c r="A653" s="887" t="s">
        <v>2040</v>
      </c>
      <c r="B653" s="890"/>
      <c r="C653" s="884"/>
      <c r="D653" s="884"/>
      <c r="E653" s="884"/>
      <c r="F653" s="888"/>
    </row>
    <row r="654" spans="1:6" x14ac:dyDescent="0.2">
      <c r="A654" s="889" t="s">
        <v>2041</v>
      </c>
      <c r="B654" s="890">
        <v>42370</v>
      </c>
      <c r="C654" s="884">
        <v>10800000</v>
      </c>
      <c r="D654" s="884">
        <v>10800000</v>
      </c>
      <c r="E654" s="884">
        <v>0</v>
      </c>
      <c r="F654" s="888">
        <v>1</v>
      </c>
    </row>
    <row r="655" spans="1:6" x14ac:dyDescent="0.2">
      <c r="A655" s="887" t="s">
        <v>2043</v>
      </c>
      <c r="B655" s="890"/>
      <c r="C655" s="884"/>
      <c r="D655" s="884"/>
      <c r="E655" s="884"/>
      <c r="F655" s="888"/>
    </row>
    <row r="656" spans="1:6" x14ac:dyDescent="0.2">
      <c r="A656" s="889" t="s">
        <v>2044</v>
      </c>
      <c r="B656" s="890">
        <v>42461</v>
      </c>
      <c r="C656" s="884">
        <v>47700000</v>
      </c>
      <c r="D656" s="884">
        <v>47700000</v>
      </c>
      <c r="E656" s="884">
        <v>0</v>
      </c>
      <c r="F656" s="888">
        <v>1</v>
      </c>
    </row>
    <row r="657" spans="1:6" x14ac:dyDescent="0.2">
      <c r="A657" s="887" t="s">
        <v>2046</v>
      </c>
      <c r="B657" s="890"/>
      <c r="C657" s="884"/>
      <c r="D657" s="884"/>
      <c r="E657" s="884"/>
      <c r="F657" s="888"/>
    </row>
    <row r="658" spans="1:6" x14ac:dyDescent="0.2">
      <c r="A658" s="889" t="s">
        <v>2047</v>
      </c>
      <c r="B658" s="890">
        <v>42370</v>
      </c>
      <c r="C658" s="884">
        <v>10800000</v>
      </c>
      <c r="D658" s="884">
        <v>10800000</v>
      </c>
      <c r="E658" s="884">
        <v>0</v>
      </c>
      <c r="F658" s="888">
        <v>1</v>
      </c>
    </row>
    <row r="659" spans="1:6" x14ac:dyDescent="0.2">
      <c r="A659" s="887" t="s">
        <v>2048</v>
      </c>
      <c r="B659" s="890"/>
      <c r="C659" s="884"/>
      <c r="D659" s="884"/>
      <c r="E659" s="884"/>
      <c r="F659" s="888"/>
    </row>
    <row r="660" spans="1:6" x14ac:dyDescent="0.2">
      <c r="A660" s="889" t="s">
        <v>2049</v>
      </c>
      <c r="B660" s="890">
        <v>42370</v>
      </c>
      <c r="C660" s="884">
        <v>31800000</v>
      </c>
      <c r="D660" s="884">
        <v>31800000</v>
      </c>
      <c r="E660" s="884">
        <v>0</v>
      </c>
      <c r="F660" s="888">
        <v>1</v>
      </c>
    </row>
    <row r="661" spans="1:6" x14ac:dyDescent="0.2">
      <c r="A661" s="887" t="s">
        <v>2054</v>
      </c>
      <c r="B661" s="890"/>
      <c r="C661" s="884"/>
      <c r="D661" s="884"/>
      <c r="E661" s="884"/>
      <c r="F661" s="888"/>
    </row>
    <row r="662" spans="1:6" x14ac:dyDescent="0.2">
      <c r="A662" s="889" t="s">
        <v>2055</v>
      </c>
      <c r="B662" s="890">
        <v>42475</v>
      </c>
      <c r="C662" s="884">
        <v>52390000</v>
      </c>
      <c r="D662" s="884">
        <v>49166000</v>
      </c>
      <c r="E662" s="884">
        <v>3224000</v>
      </c>
      <c r="F662" s="888">
        <v>0.93846153846153846</v>
      </c>
    </row>
    <row r="663" spans="1:6" x14ac:dyDescent="0.2">
      <c r="A663" s="887" t="s">
        <v>2066</v>
      </c>
      <c r="B663" s="890"/>
      <c r="C663" s="884"/>
      <c r="D663" s="884"/>
      <c r="E663" s="884"/>
      <c r="F663" s="888"/>
    </row>
    <row r="664" spans="1:6" x14ac:dyDescent="0.2">
      <c r="A664" s="889" t="s">
        <v>2065</v>
      </c>
      <c r="B664" s="890">
        <v>42382</v>
      </c>
      <c r="C664" s="884">
        <v>10800000</v>
      </c>
      <c r="D664" s="884">
        <v>2880000</v>
      </c>
      <c r="E664" s="884">
        <v>7920000</v>
      </c>
      <c r="F664" s="888">
        <v>0.26666666666666666</v>
      </c>
    </row>
    <row r="665" spans="1:6" x14ac:dyDescent="0.2">
      <c r="A665" s="887" t="s">
        <v>2067</v>
      </c>
      <c r="B665" s="890"/>
      <c r="C665" s="884"/>
      <c r="D665" s="884"/>
      <c r="E665" s="884"/>
      <c r="F665" s="888"/>
    </row>
    <row r="666" spans="1:6" x14ac:dyDescent="0.2">
      <c r="A666" s="889" t="s">
        <v>2068</v>
      </c>
      <c r="B666" s="890">
        <v>42311</v>
      </c>
      <c r="C666" s="884">
        <v>450880</v>
      </c>
      <c r="D666" s="884">
        <v>450880</v>
      </c>
      <c r="E666" s="884">
        <v>0</v>
      </c>
      <c r="F666" s="888">
        <v>1</v>
      </c>
    </row>
    <row r="667" spans="1:6" x14ac:dyDescent="0.2">
      <c r="A667" s="887" t="s">
        <v>2077</v>
      </c>
      <c r="B667" s="890"/>
      <c r="C667" s="884"/>
      <c r="D667" s="884"/>
      <c r="E667" s="884"/>
      <c r="F667" s="888"/>
    </row>
    <row r="668" spans="1:6" x14ac:dyDescent="0.2">
      <c r="A668" s="889" t="s">
        <v>186</v>
      </c>
      <c r="B668" s="890">
        <v>42575</v>
      </c>
      <c r="C668" s="884">
        <v>85933385</v>
      </c>
      <c r="D668" s="884">
        <v>36504992</v>
      </c>
      <c r="E668" s="884">
        <v>49428393</v>
      </c>
      <c r="F668" s="888">
        <v>0.42480570269633855</v>
      </c>
    </row>
    <row r="669" spans="1:6" x14ac:dyDescent="0.2">
      <c r="A669" s="887" t="s">
        <v>2081</v>
      </c>
      <c r="B669" s="890"/>
      <c r="C669" s="884"/>
      <c r="D669" s="884"/>
      <c r="E669" s="884"/>
      <c r="F669" s="888"/>
    </row>
    <row r="670" spans="1:6" x14ac:dyDescent="0.2">
      <c r="A670" s="889" t="s">
        <v>2082</v>
      </c>
      <c r="B670" s="890">
        <v>42387</v>
      </c>
      <c r="C670" s="884">
        <v>3608000</v>
      </c>
      <c r="D670" s="884">
        <v>0</v>
      </c>
      <c r="E670" s="884">
        <v>3608000</v>
      </c>
      <c r="F670" s="888">
        <v>0</v>
      </c>
    </row>
    <row r="671" spans="1:6" x14ac:dyDescent="0.2">
      <c r="A671" s="887" t="s">
        <v>2090</v>
      </c>
      <c r="B671" s="890"/>
      <c r="C671" s="884"/>
      <c r="D671" s="884"/>
      <c r="E671" s="884"/>
      <c r="F671" s="888"/>
    </row>
    <row r="672" spans="1:6" x14ac:dyDescent="0.2">
      <c r="A672" s="889" t="s">
        <v>2091</v>
      </c>
      <c r="B672" s="890">
        <v>42587</v>
      </c>
      <c r="C672" s="884">
        <v>715000</v>
      </c>
      <c r="D672" s="884">
        <v>715000</v>
      </c>
      <c r="E672" s="884">
        <v>0</v>
      </c>
      <c r="F672" s="888">
        <v>1</v>
      </c>
    </row>
    <row r="673" spans="1:6" x14ac:dyDescent="0.2">
      <c r="A673" s="887" t="s">
        <v>2094</v>
      </c>
      <c r="B673" s="890"/>
      <c r="C673" s="884"/>
      <c r="D673" s="884"/>
      <c r="E673" s="884"/>
      <c r="F673" s="888"/>
    </row>
    <row r="674" spans="1:6" x14ac:dyDescent="0.2">
      <c r="A674" s="889" t="s">
        <v>2095</v>
      </c>
      <c r="B674" s="890">
        <v>42565</v>
      </c>
      <c r="C674" s="884">
        <v>80041097</v>
      </c>
      <c r="D674" s="884">
        <v>72440780</v>
      </c>
      <c r="E674" s="884">
        <v>7600317</v>
      </c>
      <c r="F674" s="888">
        <v>0.90504481716436247</v>
      </c>
    </row>
    <row r="675" spans="1:6" x14ac:dyDescent="0.2">
      <c r="A675" s="887" t="s">
        <v>2099</v>
      </c>
      <c r="B675" s="890"/>
      <c r="C675" s="884"/>
      <c r="D675" s="884"/>
      <c r="E675" s="884"/>
      <c r="F675" s="888"/>
    </row>
    <row r="676" spans="1:6" x14ac:dyDescent="0.2">
      <c r="A676" s="889" t="s">
        <v>2101</v>
      </c>
      <c r="B676" s="890">
        <v>42587</v>
      </c>
      <c r="C676" s="884">
        <v>20136071</v>
      </c>
      <c r="D676" s="884">
        <v>10106062</v>
      </c>
      <c r="E676" s="884">
        <v>10030009</v>
      </c>
      <c r="F676" s="888">
        <v>0.50188847665465619</v>
      </c>
    </row>
    <row r="677" spans="1:6" x14ac:dyDescent="0.2">
      <c r="A677" s="887" t="s">
        <v>2103</v>
      </c>
      <c r="B677" s="890"/>
      <c r="C677" s="884"/>
      <c r="D677" s="884"/>
      <c r="E677" s="884"/>
      <c r="F677" s="888"/>
    </row>
    <row r="678" spans="1:6" x14ac:dyDescent="0.2">
      <c r="A678" s="889" t="s">
        <v>2436</v>
      </c>
      <c r="B678" s="890">
        <v>42524</v>
      </c>
      <c r="C678" s="884">
        <v>255421490</v>
      </c>
      <c r="D678" s="884">
        <v>166442592</v>
      </c>
      <c r="E678" s="884">
        <v>88978898</v>
      </c>
      <c r="F678" s="888">
        <v>0.65163895175773978</v>
      </c>
    </row>
    <row r="679" spans="1:6" x14ac:dyDescent="0.2">
      <c r="A679" s="887" t="s">
        <v>2110</v>
      </c>
      <c r="B679" s="890"/>
      <c r="C679" s="884"/>
      <c r="D679" s="884"/>
      <c r="E679" s="884"/>
      <c r="F679" s="888"/>
    </row>
    <row r="680" spans="1:6" x14ac:dyDescent="0.2">
      <c r="A680" s="889" t="s">
        <v>2111</v>
      </c>
      <c r="B680" s="890">
        <v>42265</v>
      </c>
      <c r="C680" s="884">
        <v>812000</v>
      </c>
      <c r="D680" s="884">
        <v>812000</v>
      </c>
      <c r="E680" s="884">
        <v>0</v>
      </c>
      <c r="F680" s="888">
        <v>1</v>
      </c>
    </row>
    <row r="681" spans="1:6" x14ac:dyDescent="0.2">
      <c r="A681" s="887" t="s">
        <v>2120</v>
      </c>
      <c r="B681" s="890"/>
      <c r="C681" s="884"/>
      <c r="D681" s="884"/>
      <c r="E681" s="884"/>
      <c r="F681" s="888"/>
    </row>
    <row r="682" spans="1:6" x14ac:dyDescent="0.2">
      <c r="A682" s="889" t="s">
        <v>2121</v>
      </c>
      <c r="B682" s="890">
        <v>42282</v>
      </c>
      <c r="C682" s="884">
        <v>31577404</v>
      </c>
      <c r="D682" s="884">
        <v>0</v>
      </c>
      <c r="E682" s="884">
        <v>31577404</v>
      </c>
      <c r="F682" s="888">
        <v>0</v>
      </c>
    </row>
    <row r="683" spans="1:6" x14ac:dyDescent="0.2">
      <c r="A683" s="887" t="s">
        <v>2187</v>
      </c>
      <c r="B683" s="890"/>
      <c r="C683" s="884"/>
      <c r="D683" s="884"/>
      <c r="E683" s="884"/>
      <c r="F683" s="888"/>
    </row>
    <row r="684" spans="1:6" x14ac:dyDescent="0.2">
      <c r="A684" s="889" t="s">
        <v>1535</v>
      </c>
      <c r="B684" s="890">
        <v>42431</v>
      </c>
      <c r="C684" s="884">
        <v>33000000</v>
      </c>
      <c r="D684" s="884">
        <v>38316666</v>
      </c>
      <c r="E684" s="884">
        <v>-5316666</v>
      </c>
      <c r="F684" s="888">
        <v>1.1611110909090909</v>
      </c>
    </row>
    <row r="685" spans="1:6" x14ac:dyDescent="0.2">
      <c r="A685" s="887" t="s">
        <v>2192</v>
      </c>
      <c r="B685" s="890"/>
      <c r="C685" s="884"/>
      <c r="D685" s="884"/>
      <c r="E685" s="884"/>
      <c r="F685" s="888"/>
    </row>
    <row r="686" spans="1:6" x14ac:dyDescent="0.2">
      <c r="A686" s="889" t="s">
        <v>2193</v>
      </c>
      <c r="B686" s="890">
        <v>42384</v>
      </c>
      <c r="C686" s="884">
        <v>19141000</v>
      </c>
      <c r="D686" s="884">
        <v>0</v>
      </c>
      <c r="E686" s="884">
        <v>19141000</v>
      </c>
      <c r="F686" s="888">
        <v>0</v>
      </c>
    </row>
    <row r="687" spans="1:6" x14ac:dyDescent="0.2">
      <c r="A687" s="887" t="s">
        <v>2197</v>
      </c>
      <c r="B687" s="890"/>
      <c r="C687" s="884"/>
      <c r="D687" s="884"/>
      <c r="E687" s="884"/>
      <c r="F687" s="888"/>
    </row>
    <row r="688" spans="1:6" x14ac:dyDescent="0.2">
      <c r="A688" s="889" t="s">
        <v>142</v>
      </c>
      <c r="B688" s="890">
        <v>42305</v>
      </c>
      <c r="C688" s="884">
        <v>72727824</v>
      </c>
      <c r="D688" s="884">
        <v>0</v>
      </c>
      <c r="E688" s="884">
        <v>72727824</v>
      </c>
      <c r="F688" s="888">
        <v>0</v>
      </c>
    </row>
    <row r="689" spans="1:6" x14ac:dyDescent="0.2">
      <c r="A689" s="887" t="s">
        <v>2215</v>
      </c>
      <c r="B689" s="890"/>
      <c r="C689" s="884"/>
      <c r="D689" s="884"/>
      <c r="E689" s="884"/>
      <c r="F689" s="888"/>
    </row>
    <row r="690" spans="1:6" x14ac:dyDescent="0.2">
      <c r="A690" s="889" t="s">
        <v>2216</v>
      </c>
      <c r="B690" s="890">
        <v>42352</v>
      </c>
      <c r="C690" s="884">
        <v>6000000</v>
      </c>
      <c r="D690" s="884">
        <v>5999890</v>
      </c>
      <c r="E690" s="884">
        <v>110</v>
      </c>
      <c r="F690" s="888">
        <v>0.99998166666666666</v>
      </c>
    </row>
    <row r="691" spans="1:6" x14ac:dyDescent="0.2">
      <c r="A691" s="887" t="s">
        <v>2224</v>
      </c>
      <c r="B691" s="890"/>
      <c r="C691" s="884"/>
      <c r="D691" s="884"/>
      <c r="E691" s="884"/>
      <c r="F691" s="888"/>
    </row>
    <row r="692" spans="1:6" x14ac:dyDescent="0.2">
      <c r="A692" s="889" t="s">
        <v>2225</v>
      </c>
      <c r="B692" s="890">
        <v>42364</v>
      </c>
      <c r="C692" s="884">
        <v>6660000</v>
      </c>
      <c r="D692" s="884">
        <v>6600000</v>
      </c>
      <c r="E692" s="884">
        <v>60000</v>
      </c>
      <c r="F692" s="888">
        <v>0.99099099099099097</v>
      </c>
    </row>
    <row r="693" spans="1:6" x14ac:dyDescent="0.2">
      <c r="A693" s="887" t="s">
        <v>2236</v>
      </c>
      <c r="B693" s="890"/>
      <c r="C693" s="884"/>
      <c r="D693" s="884"/>
      <c r="E693" s="884"/>
      <c r="F693" s="888"/>
    </row>
    <row r="694" spans="1:6" x14ac:dyDescent="0.2">
      <c r="A694" s="889" t="s">
        <v>1345</v>
      </c>
      <c r="B694" s="890">
        <v>42534</v>
      </c>
      <c r="C694" s="884">
        <v>2742000</v>
      </c>
      <c r="D694" s="884">
        <v>1625160</v>
      </c>
      <c r="E694" s="884">
        <v>1116840</v>
      </c>
      <c r="F694" s="888">
        <v>0.59269146608315093</v>
      </c>
    </row>
    <row r="695" spans="1:6" x14ac:dyDescent="0.2">
      <c r="A695" s="887" t="s">
        <v>2243</v>
      </c>
      <c r="B695" s="890"/>
      <c r="C695" s="884"/>
      <c r="D695" s="884"/>
      <c r="E695" s="884"/>
      <c r="F695" s="888"/>
    </row>
    <row r="696" spans="1:6" x14ac:dyDescent="0.2">
      <c r="A696" s="889" t="s">
        <v>2244</v>
      </c>
      <c r="B696" s="890">
        <v>42515</v>
      </c>
      <c r="C696" s="884">
        <v>1512217703</v>
      </c>
      <c r="D696" s="884">
        <v>1512217703</v>
      </c>
      <c r="E696" s="884">
        <v>0</v>
      </c>
      <c r="F696" s="888">
        <v>1</v>
      </c>
    </row>
    <row r="697" spans="1:6" x14ac:dyDescent="0.2">
      <c r="A697" s="887" t="s">
        <v>2249</v>
      </c>
      <c r="B697" s="890"/>
      <c r="C697" s="884"/>
      <c r="D697" s="884"/>
      <c r="E697" s="884"/>
      <c r="F697" s="888"/>
    </row>
    <row r="698" spans="1:6" x14ac:dyDescent="0.2">
      <c r="A698" s="889" t="s">
        <v>2250</v>
      </c>
      <c r="B698" s="890">
        <v>42544</v>
      </c>
      <c r="C698" s="884">
        <v>37372300</v>
      </c>
      <c r="D698" s="884">
        <v>29382355</v>
      </c>
      <c r="E698" s="884">
        <v>7989945</v>
      </c>
      <c r="F698" s="888">
        <v>0.78620676276279489</v>
      </c>
    </row>
    <row r="699" spans="1:6" x14ac:dyDescent="0.2">
      <c r="A699" s="887" t="s">
        <v>2268</v>
      </c>
      <c r="B699" s="890"/>
      <c r="C699" s="884"/>
      <c r="D699" s="884"/>
      <c r="E699" s="884"/>
      <c r="F699" s="888"/>
    </row>
    <row r="700" spans="1:6" x14ac:dyDescent="0.2">
      <c r="A700" s="889" t="s">
        <v>2267</v>
      </c>
      <c r="B700" s="890">
        <v>42399</v>
      </c>
      <c r="C700" s="884">
        <v>17340258</v>
      </c>
      <c r="D700" s="884">
        <v>17340258</v>
      </c>
      <c r="E700" s="884">
        <v>0</v>
      </c>
      <c r="F700" s="888">
        <v>1</v>
      </c>
    </row>
    <row r="701" spans="1:6" x14ac:dyDescent="0.2">
      <c r="A701" s="887" t="s">
        <v>2346</v>
      </c>
      <c r="B701" s="890"/>
      <c r="C701" s="884"/>
      <c r="D701" s="884"/>
      <c r="E701" s="884"/>
      <c r="F701" s="888"/>
    </row>
    <row r="702" spans="1:6" x14ac:dyDescent="0.2">
      <c r="A702" s="889" t="s">
        <v>2348</v>
      </c>
      <c r="B702" s="890">
        <v>42501</v>
      </c>
      <c r="C702" s="884">
        <v>27500000</v>
      </c>
      <c r="D702" s="884">
        <v>25850000</v>
      </c>
      <c r="E702" s="884">
        <v>1650000</v>
      </c>
      <c r="F702" s="888">
        <v>0.94</v>
      </c>
    </row>
    <row r="703" spans="1:6" x14ac:dyDescent="0.2">
      <c r="A703" s="887" t="s">
        <v>2361</v>
      </c>
      <c r="B703" s="890"/>
      <c r="C703" s="884"/>
      <c r="D703" s="884"/>
      <c r="E703" s="884"/>
      <c r="F703" s="888"/>
    </row>
    <row r="704" spans="1:6" x14ac:dyDescent="0.2">
      <c r="A704" s="889" t="s">
        <v>2362</v>
      </c>
      <c r="B704" s="890">
        <v>42524</v>
      </c>
      <c r="C704" s="884">
        <v>910786703.20000005</v>
      </c>
      <c r="D704" s="884">
        <v>910786703</v>
      </c>
      <c r="E704" s="884">
        <v>0.20000004768371582</v>
      </c>
      <c r="F704" s="888">
        <v>0.99999999978040954</v>
      </c>
    </row>
    <row r="705" spans="1:6" x14ac:dyDescent="0.2">
      <c r="A705" s="887" t="s">
        <v>2355</v>
      </c>
      <c r="B705" s="890"/>
      <c r="C705" s="884"/>
      <c r="D705" s="884"/>
      <c r="E705" s="884"/>
      <c r="F705" s="888"/>
    </row>
    <row r="706" spans="1:6" x14ac:dyDescent="0.2">
      <c r="A706" s="889" t="s">
        <v>2357</v>
      </c>
      <c r="B706" s="890">
        <v>42443</v>
      </c>
      <c r="C706" s="884">
        <v>8404000</v>
      </c>
      <c r="D706" s="884">
        <v>8404200</v>
      </c>
      <c r="E706" s="884">
        <v>-200</v>
      </c>
      <c r="F706" s="888">
        <v>1.0000237981913374</v>
      </c>
    </row>
    <row r="707" spans="1:6" x14ac:dyDescent="0.2">
      <c r="A707" s="887" t="s">
        <v>2375</v>
      </c>
      <c r="B707" s="890"/>
      <c r="C707" s="884"/>
      <c r="D707" s="884"/>
      <c r="E707" s="884"/>
      <c r="F707" s="888"/>
    </row>
    <row r="708" spans="1:6" x14ac:dyDescent="0.2">
      <c r="A708" s="889" t="s">
        <v>2362</v>
      </c>
      <c r="B708" s="890">
        <v>42532</v>
      </c>
      <c r="C708" s="884">
        <v>295840339</v>
      </c>
      <c r="D708" s="884">
        <v>0</v>
      </c>
      <c r="E708" s="884">
        <v>295840339</v>
      </c>
      <c r="F708" s="888">
        <v>0</v>
      </c>
    </row>
    <row r="709" spans="1:6" x14ac:dyDescent="0.2">
      <c r="A709" s="887" t="s">
        <v>2373</v>
      </c>
      <c r="B709" s="890"/>
      <c r="C709" s="884"/>
      <c r="D709" s="884"/>
      <c r="E709" s="884"/>
      <c r="F709" s="888"/>
    </row>
    <row r="710" spans="1:6" x14ac:dyDescent="0.2">
      <c r="A710" s="889" t="s">
        <v>2362</v>
      </c>
      <c r="B710" s="890">
        <v>42532</v>
      </c>
      <c r="C710" s="884">
        <v>188315358.83000001</v>
      </c>
      <c r="D710" s="884">
        <v>188315359</v>
      </c>
      <c r="E710" s="884">
        <v>-0.16999998688697815</v>
      </c>
      <c r="F710" s="888">
        <v>1.000000000902741</v>
      </c>
    </row>
    <row r="711" spans="1:6" x14ac:dyDescent="0.2">
      <c r="A711" s="887" t="s">
        <v>2377</v>
      </c>
      <c r="B711" s="890"/>
      <c r="C711" s="884"/>
      <c r="D711" s="884"/>
      <c r="E711" s="884"/>
      <c r="F711" s="888"/>
    </row>
    <row r="712" spans="1:6" x14ac:dyDescent="0.2">
      <c r="A712" s="889" t="s">
        <v>2378</v>
      </c>
      <c r="B712" s="890">
        <v>42536</v>
      </c>
      <c r="C712" s="884">
        <v>64250000</v>
      </c>
      <c r="D712" s="884">
        <v>0</v>
      </c>
      <c r="E712" s="884">
        <v>64250000</v>
      </c>
      <c r="F712" s="888">
        <v>0</v>
      </c>
    </row>
    <row r="713" spans="1:6" x14ac:dyDescent="0.2">
      <c r="A713" s="887" t="s">
        <v>2504</v>
      </c>
      <c r="B713" s="890"/>
      <c r="C713" s="884"/>
      <c r="D713" s="884"/>
      <c r="E713" s="884"/>
      <c r="F713" s="888"/>
    </row>
    <row r="714" spans="1:6" x14ac:dyDescent="0.2">
      <c r="A714" s="889" t="s">
        <v>2125</v>
      </c>
      <c r="B714" s="890">
        <v>42592</v>
      </c>
      <c r="C714" s="884">
        <v>20880000</v>
      </c>
      <c r="D714" s="884">
        <v>20880000</v>
      </c>
      <c r="E714" s="884">
        <v>0</v>
      </c>
      <c r="F714" s="888">
        <v>1</v>
      </c>
    </row>
    <row r="715" spans="1:6" x14ac:dyDescent="0.2">
      <c r="A715" s="887" t="s">
        <v>2418</v>
      </c>
      <c r="B715" s="890"/>
      <c r="C715" s="884"/>
      <c r="D715" s="884"/>
      <c r="E715" s="884"/>
      <c r="F715" s="888"/>
    </row>
    <row r="716" spans="1:6" x14ac:dyDescent="0.2">
      <c r="A716" s="889" t="s">
        <v>2419</v>
      </c>
      <c r="B716" s="890">
        <v>42539</v>
      </c>
      <c r="C716" s="884">
        <v>601948308</v>
      </c>
      <c r="D716" s="884">
        <v>601948308</v>
      </c>
      <c r="E716" s="884">
        <v>0</v>
      </c>
      <c r="F716" s="888">
        <v>1</v>
      </c>
    </row>
    <row r="717" spans="1:6" x14ac:dyDescent="0.2">
      <c r="A717" s="887" t="s">
        <v>2467</v>
      </c>
      <c r="B717" s="890"/>
      <c r="C717" s="884"/>
      <c r="D717" s="884"/>
      <c r="E717" s="884"/>
      <c r="F717" s="888"/>
    </row>
    <row r="718" spans="1:6" x14ac:dyDescent="0.2">
      <c r="A718" s="889" t="s">
        <v>290</v>
      </c>
      <c r="B718" s="890">
        <v>42569</v>
      </c>
      <c r="C718" s="884">
        <v>6239000</v>
      </c>
      <c r="D718" s="884">
        <v>0</v>
      </c>
      <c r="E718" s="884">
        <v>6239000</v>
      </c>
      <c r="F718" s="888">
        <v>0</v>
      </c>
    </row>
    <row r="719" spans="1:6" x14ac:dyDescent="0.2">
      <c r="A719" s="887" t="s">
        <v>2513</v>
      </c>
      <c r="B719" s="890"/>
      <c r="C719" s="884"/>
      <c r="D719" s="884"/>
      <c r="E719" s="884"/>
      <c r="F719" s="888"/>
    </row>
    <row r="720" spans="1:6" x14ac:dyDescent="0.2">
      <c r="A720" s="889" t="s">
        <v>2514</v>
      </c>
      <c r="B720" s="890">
        <v>42579</v>
      </c>
      <c r="C720" s="884">
        <v>23000000</v>
      </c>
      <c r="D720" s="884">
        <v>0</v>
      </c>
      <c r="E720" s="884">
        <v>23000000</v>
      </c>
      <c r="F720" s="888">
        <v>0</v>
      </c>
    </row>
  </sheetData>
  <mergeCells count="1">
    <mergeCell ref="A4:E4"/>
  </mergeCells>
  <pageMargins left="0.7" right="0.7" top="0.75" bottom="0.75" header="0.3" footer="0.3"/>
  <pageSetup orientation="landscape" horizontalDpi="4294967293" verticalDpi="4294967293" r:id="rId2"/>
  <drawing r:id="rId3"/>
  <extLst>
    <ext xmlns:x14="http://schemas.microsoft.com/office/spreadsheetml/2009/9/main" uri="{A8765BA9-456A-4dab-B4F3-ACF838C121DE}">
      <x14:slicerList>
        <x14:slicer r:id="rId4"/>
      </x14:slicerList>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5"/>
  <sheetViews>
    <sheetView topLeftCell="A469" workbookViewId="0">
      <selection activeCell="D495" sqref="D495"/>
    </sheetView>
  </sheetViews>
  <sheetFormatPr baseColWidth="10" defaultColWidth="0" defaultRowHeight="15" x14ac:dyDescent="0.25"/>
  <cols>
    <col min="1" max="1" width="65.140625" style="59" customWidth="1"/>
    <col min="2" max="2" width="15" style="59" customWidth="1"/>
    <col min="3" max="5" width="11.42578125" style="59" customWidth="1"/>
    <col min="6" max="16384" width="11.42578125" style="59" hidden="1"/>
  </cols>
  <sheetData>
    <row r="1" spans="1:5" s="57" customFormat="1" x14ac:dyDescent="0.25">
      <c r="A1" s="59"/>
      <c r="B1" s="59"/>
      <c r="C1" s="59"/>
      <c r="D1" s="59"/>
      <c r="E1" s="59"/>
    </row>
    <row r="2" spans="1:5" s="57" customFormat="1" x14ac:dyDescent="0.25">
      <c r="A2" s="59"/>
      <c r="B2" s="59"/>
      <c r="C2" s="59"/>
      <c r="D2" s="59"/>
      <c r="E2" s="59"/>
    </row>
    <row r="3" spans="1:5" s="57" customFormat="1" x14ac:dyDescent="0.25">
      <c r="A3" s="59"/>
      <c r="B3" s="59"/>
      <c r="C3" s="59"/>
      <c r="D3" s="59"/>
      <c r="E3" s="59"/>
    </row>
    <row r="4" spans="1:5" s="57" customFormat="1" x14ac:dyDescent="0.25">
      <c r="A4" s="59"/>
      <c r="B4" s="59"/>
      <c r="C4" s="59"/>
      <c r="D4" s="59"/>
      <c r="E4" s="59"/>
    </row>
    <row r="5" spans="1:5" s="57" customFormat="1" x14ac:dyDescent="0.25">
      <c r="A5" s="59"/>
      <c r="B5" s="59"/>
      <c r="C5" s="59"/>
      <c r="D5" s="59"/>
      <c r="E5" s="59"/>
    </row>
    <row r="6" spans="1:5" s="57" customFormat="1" x14ac:dyDescent="0.25">
      <c r="A6" s="59"/>
      <c r="B6" s="59"/>
      <c r="C6" s="59"/>
      <c r="D6" s="59"/>
      <c r="E6" s="59"/>
    </row>
    <row r="7" spans="1:5" s="57" customFormat="1" x14ac:dyDescent="0.25">
      <c r="A7" s="59"/>
      <c r="B7" s="59"/>
      <c r="C7" s="59"/>
      <c r="D7" s="59"/>
      <c r="E7" s="59"/>
    </row>
    <row r="8" spans="1:5" s="57" customFormat="1" x14ac:dyDescent="0.25">
      <c r="A8" s="17" t="s">
        <v>1057</v>
      </c>
      <c r="B8" s="57" t="s">
        <v>392</v>
      </c>
      <c r="C8" s="59"/>
      <c r="D8" s="59"/>
      <c r="E8" s="59"/>
    </row>
    <row r="9" spans="1:5" customFormat="1" x14ac:dyDescent="0.25">
      <c r="A9" s="17" t="s">
        <v>389</v>
      </c>
      <c r="B9" s="57" t="s">
        <v>392</v>
      </c>
      <c r="C9" s="59"/>
      <c r="D9" s="59"/>
      <c r="E9" s="59"/>
    </row>
    <row r="10" spans="1:5" customFormat="1" x14ac:dyDescent="0.25">
      <c r="A10" s="59"/>
      <c r="B10" s="59"/>
      <c r="C10" s="59"/>
      <c r="D10" s="59"/>
      <c r="E10" s="59"/>
    </row>
    <row r="11" spans="1:5" customFormat="1" ht="45" x14ac:dyDescent="0.25">
      <c r="A11" s="22" t="s">
        <v>393</v>
      </c>
      <c r="B11" s="23" t="s">
        <v>1060</v>
      </c>
      <c r="C11" s="23" t="s">
        <v>959</v>
      </c>
      <c r="D11" s="23" t="s">
        <v>1065</v>
      </c>
      <c r="E11" s="59"/>
    </row>
    <row r="12" spans="1:5" customFormat="1" x14ac:dyDescent="0.25">
      <c r="A12" s="18" t="s">
        <v>92</v>
      </c>
      <c r="B12" s="63"/>
      <c r="C12" s="24"/>
      <c r="D12" s="24"/>
      <c r="E12" s="59"/>
    </row>
    <row r="13" spans="1:5" customFormat="1" x14ac:dyDescent="0.25">
      <c r="A13" s="19" t="s">
        <v>425</v>
      </c>
      <c r="B13" s="63">
        <v>41673</v>
      </c>
      <c r="C13" s="24">
        <v>0.84841864329684125</v>
      </c>
      <c r="D13" s="24">
        <v>1</v>
      </c>
      <c r="E13" s="59"/>
    </row>
    <row r="14" spans="1:5" customFormat="1" x14ac:dyDescent="0.25">
      <c r="A14" s="18" t="s">
        <v>151</v>
      </c>
      <c r="B14" s="63"/>
      <c r="C14" s="24"/>
      <c r="D14" s="24"/>
      <c r="E14" s="59"/>
    </row>
    <row r="15" spans="1:5" customFormat="1" x14ac:dyDescent="0.25">
      <c r="A15" s="19" t="s">
        <v>152</v>
      </c>
      <c r="B15" s="63">
        <v>41486</v>
      </c>
      <c r="C15" s="24">
        <v>0.98908542426434254</v>
      </c>
      <c r="D15" s="24">
        <v>1</v>
      </c>
      <c r="E15" s="59"/>
    </row>
    <row r="16" spans="1:5" customFormat="1" x14ac:dyDescent="0.25">
      <c r="A16" s="18" t="s">
        <v>149</v>
      </c>
      <c r="B16" s="63"/>
      <c r="C16" s="24"/>
      <c r="D16" s="24"/>
      <c r="E16" s="59"/>
    </row>
    <row r="17" spans="1:5" customFormat="1" x14ac:dyDescent="0.25">
      <c r="A17" s="19" t="s">
        <v>150</v>
      </c>
      <c r="B17" s="63">
        <v>41476</v>
      </c>
      <c r="C17" s="24">
        <v>4.6051299379407939E-3</v>
      </c>
      <c r="D17" s="24">
        <v>1</v>
      </c>
      <c r="E17" s="59"/>
    </row>
    <row r="18" spans="1:5" customFormat="1" x14ac:dyDescent="0.25">
      <c r="A18" s="18" t="s">
        <v>21</v>
      </c>
      <c r="B18" s="63"/>
      <c r="C18" s="24"/>
      <c r="D18" s="24"/>
      <c r="E18" s="59"/>
    </row>
    <row r="19" spans="1:5" customFormat="1" x14ac:dyDescent="0.25">
      <c r="A19" s="19" t="s">
        <v>22</v>
      </c>
      <c r="B19" s="63">
        <v>41513</v>
      </c>
      <c r="C19" s="24">
        <v>1</v>
      </c>
      <c r="D19" s="24">
        <v>1</v>
      </c>
      <c r="E19" s="59"/>
    </row>
    <row r="20" spans="1:5" customFormat="1" x14ac:dyDescent="0.25">
      <c r="A20" s="18" t="s">
        <v>103</v>
      </c>
      <c r="B20" s="63"/>
      <c r="C20" s="24"/>
      <c r="D20" s="24"/>
      <c r="E20" s="59"/>
    </row>
    <row r="21" spans="1:5" customFormat="1" x14ac:dyDescent="0.25">
      <c r="A21" s="19" t="s">
        <v>1633</v>
      </c>
      <c r="B21" s="63">
        <v>41274</v>
      </c>
      <c r="C21" s="24">
        <v>0</v>
      </c>
      <c r="D21" s="24">
        <v>1</v>
      </c>
      <c r="E21" s="59"/>
    </row>
    <row r="22" spans="1:5" customFormat="1" x14ac:dyDescent="0.25">
      <c r="A22" s="18" t="s">
        <v>179</v>
      </c>
      <c r="B22" s="63"/>
      <c r="C22" s="24"/>
      <c r="D22" s="24"/>
      <c r="E22" s="59"/>
    </row>
    <row r="23" spans="1:5" customFormat="1" x14ac:dyDescent="0.25">
      <c r="A23" s="19" t="s">
        <v>433</v>
      </c>
      <c r="B23" s="63">
        <v>41609</v>
      </c>
      <c r="C23" s="24">
        <v>0.79574612658130883</v>
      </c>
      <c r="D23" s="24">
        <v>1</v>
      </c>
      <c r="E23" s="59"/>
    </row>
    <row r="24" spans="1:5" customFormat="1" x14ac:dyDescent="0.25">
      <c r="A24" s="18" t="s">
        <v>180</v>
      </c>
      <c r="B24" s="63"/>
      <c r="C24" s="24"/>
      <c r="D24" s="24"/>
      <c r="E24" s="59"/>
    </row>
    <row r="25" spans="1:5" customFormat="1" x14ac:dyDescent="0.25">
      <c r="A25" s="19" t="s">
        <v>181</v>
      </c>
      <c r="B25" s="63">
        <v>41323</v>
      </c>
      <c r="C25" s="24">
        <v>1</v>
      </c>
      <c r="D25" s="24">
        <v>1</v>
      </c>
      <c r="E25" s="59"/>
    </row>
    <row r="26" spans="1:5" customFormat="1" x14ac:dyDescent="0.25">
      <c r="A26" s="18" t="s">
        <v>56</v>
      </c>
      <c r="B26" s="63"/>
      <c r="C26" s="24"/>
      <c r="D26" s="24"/>
      <c r="E26" s="59"/>
    </row>
    <row r="27" spans="1:5" customFormat="1" x14ac:dyDescent="0.25">
      <c r="A27" s="19" t="s">
        <v>57</v>
      </c>
      <c r="B27" s="63">
        <v>41623</v>
      </c>
      <c r="C27" s="24">
        <v>1</v>
      </c>
      <c r="D27" s="24">
        <v>1</v>
      </c>
      <c r="E27" s="59"/>
    </row>
    <row r="28" spans="1:5" customFormat="1" x14ac:dyDescent="0.25">
      <c r="A28" s="18" t="s">
        <v>19</v>
      </c>
      <c r="B28" s="63"/>
      <c r="C28" s="24"/>
      <c r="D28" s="24"/>
      <c r="E28" s="59"/>
    </row>
    <row r="29" spans="1:5" customFormat="1" x14ac:dyDescent="0.25">
      <c r="A29" s="19" t="s">
        <v>20</v>
      </c>
      <c r="B29" s="63">
        <v>41347</v>
      </c>
      <c r="C29" s="24">
        <v>0.8903394174757282</v>
      </c>
      <c r="D29" s="24">
        <v>1</v>
      </c>
      <c r="E29" s="59"/>
    </row>
    <row r="30" spans="1:5" customFormat="1" x14ac:dyDescent="0.25">
      <c r="A30" s="18" t="s">
        <v>23</v>
      </c>
      <c r="B30" s="63"/>
      <c r="C30" s="24"/>
      <c r="D30" s="24"/>
      <c r="E30" s="59"/>
    </row>
    <row r="31" spans="1:5" customFormat="1" x14ac:dyDescent="0.25">
      <c r="A31" s="19" t="s">
        <v>27</v>
      </c>
      <c r="B31" s="63">
        <v>41409</v>
      </c>
      <c r="C31" s="24">
        <v>1</v>
      </c>
      <c r="D31" s="24">
        <v>1</v>
      </c>
      <c r="E31" s="59"/>
    </row>
    <row r="32" spans="1:5" customFormat="1" x14ac:dyDescent="0.25">
      <c r="A32" s="18" t="s">
        <v>113</v>
      </c>
      <c r="B32" s="63"/>
      <c r="C32" s="24"/>
      <c r="D32" s="24"/>
      <c r="E32" s="59"/>
    </row>
    <row r="33" spans="1:5" customFormat="1" x14ac:dyDescent="0.25">
      <c r="A33" s="19" t="s">
        <v>434</v>
      </c>
      <c r="B33" s="63">
        <v>41333</v>
      </c>
      <c r="C33" s="24">
        <v>1</v>
      </c>
      <c r="D33" s="24">
        <v>1</v>
      </c>
      <c r="E33" s="59"/>
    </row>
    <row r="34" spans="1:5" customFormat="1" x14ac:dyDescent="0.25">
      <c r="A34" s="18" t="s">
        <v>101</v>
      </c>
      <c r="B34" s="63"/>
      <c r="C34" s="24"/>
      <c r="D34" s="24"/>
      <c r="E34" s="59"/>
    </row>
    <row r="35" spans="1:5" customFormat="1" x14ac:dyDescent="0.25">
      <c r="A35" s="19" t="s">
        <v>427</v>
      </c>
      <c r="B35" s="63">
        <v>41370</v>
      </c>
      <c r="C35" s="24">
        <v>0</v>
      </c>
      <c r="D35" s="24">
        <v>1</v>
      </c>
      <c r="E35" s="59"/>
    </row>
    <row r="36" spans="1:5" customFormat="1" x14ac:dyDescent="0.25">
      <c r="A36" s="18" t="s">
        <v>16</v>
      </c>
      <c r="B36" s="63"/>
      <c r="C36" s="24"/>
      <c r="D36" s="24"/>
      <c r="E36" s="59"/>
    </row>
    <row r="37" spans="1:5" customFormat="1" x14ac:dyDescent="0.25">
      <c r="A37" s="19" t="s">
        <v>435</v>
      </c>
      <c r="B37" s="63">
        <v>41328</v>
      </c>
      <c r="C37" s="24">
        <v>1</v>
      </c>
      <c r="D37" s="24">
        <v>1</v>
      </c>
      <c r="E37" s="59"/>
    </row>
    <row r="38" spans="1:5" customFormat="1" x14ac:dyDescent="0.25">
      <c r="A38" s="18" t="s">
        <v>107</v>
      </c>
      <c r="B38" s="63"/>
      <c r="C38" s="24"/>
      <c r="D38" s="24"/>
      <c r="E38" s="59"/>
    </row>
    <row r="39" spans="1:5" customFormat="1" x14ac:dyDescent="0.25">
      <c r="A39" s="19" t="s">
        <v>108</v>
      </c>
      <c r="B39" s="63">
        <v>41349</v>
      </c>
      <c r="C39" s="24">
        <v>0</v>
      </c>
      <c r="D39" s="24">
        <v>1</v>
      </c>
      <c r="E39" s="59"/>
    </row>
    <row r="40" spans="1:5" customFormat="1" x14ac:dyDescent="0.25">
      <c r="A40" s="18" t="s">
        <v>61</v>
      </c>
      <c r="B40" s="63"/>
      <c r="C40" s="24"/>
      <c r="D40" s="24"/>
      <c r="E40" s="59"/>
    </row>
    <row r="41" spans="1:5" customFormat="1" x14ac:dyDescent="0.25">
      <c r="A41" s="19" t="s">
        <v>436</v>
      </c>
      <c r="B41" s="63">
        <v>41531</v>
      </c>
      <c r="C41" s="24">
        <v>0.95016016280880577</v>
      </c>
      <c r="D41" s="24">
        <v>1</v>
      </c>
      <c r="E41" s="59"/>
    </row>
    <row r="42" spans="1:5" customFormat="1" x14ac:dyDescent="0.25">
      <c r="A42" s="18" t="s">
        <v>58</v>
      </c>
      <c r="B42" s="63"/>
      <c r="C42" s="24"/>
      <c r="D42" s="24"/>
      <c r="E42" s="59"/>
    </row>
    <row r="43" spans="1:5" customFormat="1" x14ac:dyDescent="0.25">
      <c r="A43" s="19" t="s">
        <v>437</v>
      </c>
      <c r="B43" s="63">
        <v>41623</v>
      </c>
      <c r="C43" s="24">
        <v>0.94671447735483449</v>
      </c>
      <c r="D43" s="24">
        <v>1</v>
      </c>
      <c r="E43" s="59"/>
    </row>
    <row r="44" spans="1:5" customFormat="1" x14ac:dyDescent="0.25">
      <c r="A44" s="18" t="s">
        <v>423</v>
      </c>
      <c r="B44" s="63"/>
      <c r="C44" s="24"/>
      <c r="D44" s="24"/>
      <c r="E44" s="59"/>
    </row>
    <row r="45" spans="1:5" customFormat="1" x14ac:dyDescent="0.25">
      <c r="A45" s="19" t="s">
        <v>13</v>
      </c>
      <c r="B45" s="63">
        <v>41527</v>
      </c>
      <c r="C45" s="24">
        <v>1</v>
      </c>
      <c r="D45" s="24">
        <v>1</v>
      </c>
      <c r="E45" s="59"/>
    </row>
    <row r="46" spans="1:5" customFormat="1" x14ac:dyDescent="0.25">
      <c r="A46" s="18" t="s">
        <v>28</v>
      </c>
      <c r="B46" s="63"/>
      <c r="C46" s="24"/>
      <c r="D46" s="24"/>
      <c r="E46" s="59"/>
    </row>
    <row r="47" spans="1:5" customFormat="1" x14ac:dyDescent="0.25">
      <c r="A47" s="19" t="s">
        <v>29</v>
      </c>
      <c r="B47" s="63">
        <v>41530</v>
      </c>
      <c r="C47" s="24">
        <v>1</v>
      </c>
      <c r="D47" s="24">
        <v>1</v>
      </c>
      <c r="E47" s="59"/>
    </row>
    <row r="48" spans="1:5" customFormat="1" x14ac:dyDescent="0.25">
      <c r="A48" s="18" t="s">
        <v>32</v>
      </c>
      <c r="B48" s="63"/>
      <c r="C48" s="24"/>
      <c r="D48" s="24"/>
      <c r="E48" s="59"/>
    </row>
    <row r="49" spans="1:5" customFormat="1" x14ac:dyDescent="0.25">
      <c r="A49" s="19" t="s">
        <v>33</v>
      </c>
      <c r="B49" s="63">
        <v>41545</v>
      </c>
      <c r="C49" s="24">
        <v>1</v>
      </c>
      <c r="D49" s="24">
        <v>1</v>
      </c>
      <c r="E49" s="59"/>
    </row>
    <row r="50" spans="1:5" customFormat="1" x14ac:dyDescent="0.25">
      <c r="A50" s="18" t="s">
        <v>109</v>
      </c>
      <c r="B50" s="63"/>
      <c r="C50" s="24"/>
      <c r="D50" s="24"/>
      <c r="E50" s="59"/>
    </row>
    <row r="51" spans="1:5" customFormat="1" x14ac:dyDescent="0.25">
      <c r="A51" s="19" t="s">
        <v>420</v>
      </c>
      <c r="B51" s="63">
        <v>41346</v>
      </c>
      <c r="C51" s="24">
        <v>0</v>
      </c>
      <c r="D51" s="24">
        <v>1</v>
      </c>
      <c r="E51" s="59"/>
    </row>
    <row r="52" spans="1:5" customFormat="1" x14ac:dyDescent="0.25">
      <c r="A52" s="18" t="s">
        <v>34</v>
      </c>
      <c r="B52" s="63"/>
      <c r="C52" s="24"/>
      <c r="D52" s="24"/>
      <c r="E52" s="59"/>
    </row>
    <row r="53" spans="1:5" customFormat="1" x14ac:dyDescent="0.25">
      <c r="A53" s="19" t="s">
        <v>1009</v>
      </c>
      <c r="B53" s="63">
        <v>41333</v>
      </c>
      <c r="C53" s="24">
        <v>1</v>
      </c>
      <c r="D53" s="24">
        <v>1</v>
      </c>
      <c r="E53" s="59"/>
    </row>
    <row r="54" spans="1:5" customFormat="1" x14ac:dyDescent="0.25">
      <c r="A54" s="18" t="s">
        <v>10</v>
      </c>
      <c r="B54" s="63"/>
      <c r="C54" s="24"/>
      <c r="D54" s="24"/>
      <c r="E54" s="59"/>
    </row>
    <row r="55" spans="1:5" customFormat="1" x14ac:dyDescent="0.25">
      <c r="A55" s="19" t="s">
        <v>1010</v>
      </c>
      <c r="B55" s="63">
        <v>41367</v>
      </c>
      <c r="C55" s="24">
        <v>0.99047620000000003</v>
      </c>
      <c r="D55" s="24">
        <v>1</v>
      </c>
      <c r="E55" s="59"/>
    </row>
    <row r="56" spans="1:5" customFormat="1" x14ac:dyDescent="0.25">
      <c r="A56" s="18" t="s">
        <v>114</v>
      </c>
      <c r="B56" s="63"/>
      <c r="C56" s="24"/>
      <c r="D56" s="24"/>
      <c r="E56" s="59"/>
    </row>
    <row r="57" spans="1:5" customFormat="1" x14ac:dyDescent="0.25">
      <c r="A57" s="19" t="s">
        <v>115</v>
      </c>
      <c r="B57" s="63">
        <v>41626</v>
      </c>
      <c r="C57" s="24">
        <v>1</v>
      </c>
      <c r="D57" s="24">
        <v>1</v>
      </c>
      <c r="E57" s="59"/>
    </row>
    <row r="58" spans="1:5" customFormat="1" x14ac:dyDescent="0.25">
      <c r="A58" s="18" t="s">
        <v>106</v>
      </c>
      <c r="B58" s="63"/>
      <c r="C58" s="24"/>
      <c r="D58" s="24"/>
      <c r="E58" s="59"/>
    </row>
    <row r="59" spans="1:5" customFormat="1" x14ac:dyDescent="0.25">
      <c r="A59" s="19" t="s">
        <v>1011</v>
      </c>
      <c r="B59" s="63">
        <v>41343</v>
      </c>
      <c r="C59" s="24">
        <v>1</v>
      </c>
      <c r="D59" s="24">
        <v>1</v>
      </c>
      <c r="E59" s="59"/>
    </row>
    <row r="60" spans="1:5" customFormat="1" x14ac:dyDescent="0.25">
      <c r="A60" s="18" t="s">
        <v>105</v>
      </c>
      <c r="B60" s="63"/>
      <c r="C60" s="24"/>
      <c r="D60" s="24"/>
      <c r="E60" s="59"/>
    </row>
    <row r="61" spans="1:5" customFormat="1" x14ac:dyDescent="0.25">
      <c r="A61" s="19" t="s">
        <v>1012</v>
      </c>
      <c r="B61" s="63">
        <v>41263</v>
      </c>
      <c r="C61" s="24">
        <v>0.95022288261515597</v>
      </c>
      <c r="D61" s="24">
        <v>1</v>
      </c>
      <c r="E61" s="59"/>
    </row>
    <row r="62" spans="1:5" customFormat="1" x14ac:dyDescent="0.25">
      <c r="A62" s="18" t="s">
        <v>17</v>
      </c>
      <c r="B62" s="63"/>
      <c r="C62" s="24"/>
      <c r="D62" s="24"/>
      <c r="E62" s="59"/>
    </row>
    <row r="63" spans="1:5" customFormat="1" x14ac:dyDescent="0.25">
      <c r="A63" s="19" t="s">
        <v>18</v>
      </c>
      <c r="B63" s="63">
        <v>41387</v>
      </c>
      <c r="C63" s="24">
        <v>0.9999998332977702</v>
      </c>
      <c r="D63" s="24">
        <v>1</v>
      </c>
      <c r="E63" s="59"/>
    </row>
    <row r="64" spans="1:5" customFormat="1" x14ac:dyDescent="0.25">
      <c r="A64" s="18" t="s">
        <v>24</v>
      </c>
      <c r="B64" s="63"/>
      <c r="C64" s="24"/>
      <c r="D64" s="24"/>
      <c r="E64" s="59"/>
    </row>
    <row r="65" spans="1:5" customFormat="1" x14ac:dyDescent="0.25">
      <c r="A65" s="19" t="s">
        <v>1013</v>
      </c>
      <c r="B65" s="63">
        <v>41369</v>
      </c>
      <c r="C65" s="24">
        <v>1</v>
      </c>
      <c r="D65" s="24">
        <v>1</v>
      </c>
      <c r="E65" s="59"/>
    </row>
    <row r="66" spans="1:5" customFormat="1" x14ac:dyDescent="0.25">
      <c r="A66" s="18" t="s">
        <v>118</v>
      </c>
      <c r="B66" s="63"/>
      <c r="C66" s="24"/>
      <c r="D66" s="24"/>
      <c r="E66" s="59"/>
    </row>
    <row r="67" spans="1:5" customFormat="1" x14ac:dyDescent="0.25">
      <c r="A67" s="19" t="s">
        <v>1014</v>
      </c>
      <c r="B67" s="63">
        <v>41308</v>
      </c>
      <c r="C67" s="24">
        <v>1</v>
      </c>
      <c r="D67" s="24">
        <v>1</v>
      </c>
      <c r="E67" s="59"/>
    </row>
    <row r="68" spans="1:5" customFormat="1" x14ac:dyDescent="0.25">
      <c r="A68" s="18" t="s">
        <v>62</v>
      </c>
      <c r="B68" s="63"/>
      <c r="C68" s="24"/>
      <c r="D68" s="24"/>
      <c r="E68" s="59"/>
    </row>
    <row r="69" spans="1:5" customFormat="1" x14ac:dyDescent="0.25">
      <c r="A69" s="19" t="s">
        <v>1015</v>
      </c>
      <c r="B69" s="63">
        <v>41452</v>
      </c>
      <c r="C69" s="24">
        <v>1</v>
      </c>
      <c r="D69" s="24">
        <v>1</v>
      </c>
      <c r="E69" s="59"/>
    </row>
    <row r="70" spans="1:5" customFormat="1" x14ac:dyDescent="0.25">
      <c r="A70" s="18" t="s">
        <v>30</v>
      </c>
      <c r="B70" s="63"/>
      <c r="C70" s="24"/>
      <c r="D70" s="24"/>
      <c r="E70" s="59"/>
    </row>
    <row r="71" spans="1:5" customFormat="1" x14ac:dyDescent="0.25">
      <c r="A71" s="19" t="s">
        <v>31</v>
      </c>
      <c r="B71" s="63">
        <v>41350</v>
      </c>
      <c r="C71" s="24">
        <v>1</v>
      </c>
      <c r="D71" s="24">
        <v>1</v>
      </c>
      <c r="E71" s="59"/>
    </row>
    <row r="72" spans="1:5" customFormat="1" x14ac:dyDescent="0.25">
      <c r="A72" s="18" t="s">
        <v>14</v>
      </c>
      <c r="B72" s="63"/>
      <c r="C72" s="24"/>
      <c r="D72" s="24"/>
      <c r="E72" s="59"/>
    </row>
    <row r="73" spans="1:5" customFormat="1" x14ac:dyDescent="0.25">
      <c r="A73" s="19" t="s">
        <v>15</v>
      </c>
      <c r="B73" s="63">
        <v>41472</v>
      </c>
      <c r="C73" s="24">
        <v>1</v>
      </c>
      <c r="D73" s="24">
        <v>1</v>
      </c>
      <c r="E73" s="59"/>
    </row>
    <row r="74" spans="1:5" customFormat="1" x14ac:dyDescent="0.25">
      <c r="A74" s="18" t="s">
        <v>40</v>
      </c>
      <c r="B74" s="63"/>
      <c r="C74" s="24"/>
      <c r="D74" s="24"/>
      <c r="E74" s="59"/>
    </row>
    <row r="75" spans="1:5" customFormat="1" x14ac:dyDescent="0.25">
      <c r="A75" s="19" t="s">
        <v>41</v>
      </c>
      <c r="B75" s="63">
        <v>41398</v>
      </c>
      <c r="C75" s="24">
        <v>0.87755319148936173</v>
      </c>
      <c r="D75" s="24">
        <v>1</v>
      </c>
      <c r="E75" s="59"/>
    </row>
    <row r="76" spans="1:5" customFormat="1" x14ac:dyDescent="0.25">
      <c r="A76" s="18" t="s">
        <v>72</v>
      </c>
      <c r="B76" s="63"/>
      <c r="C76" s="24"/>
      <c r="D76" s="24"/>
      <c r="E76" s="59"/>
    </row>
    <row r="77" spans="1:5" customFormat="1" x14ac:dyDescent="0.25">
      <c r="A77" s="19" t="s">
        <v>73</v>
      </c>
      <c r="B77" s="63">
        <v>41400</v>
      </c>
      <c r="C77" s="24">
        <v>1</v>
      </c>
      <c r="D77" s="24">
        <v>1</v>
      </c>
      <c r="E77" s="59"/>
    </row>
    <row r="78" spans="1:5" customFormat="1" x14ac:dyDescent="0.25">
      <c r="A78" s="18" t="s">
        <v>396</v>
      </c>
      <c r="B78" s="63"/>
      <c r="C78" s="24"/>
      <c r="D78" s="24"/>
      <c r="E78" s="59"/>
    </row>
    <row r="79" spans="1:5" customFormat="1" x14ac:dyDescent="0.25">
      <c r="A79" s="19" t="s">
        <v>203</v>
      </c>
      <c r="B79" s="63">
        <v>41312</v>
      </c>
      <c r="C79" s="24">
        <v>1</v>
      </c>
      <c r="D79" s="24">
        <v>1</v>
      </c>
      <c r="E79" s="59"/>
    </row>
    <row r="80" spans="1:5" customFormat="1" x14ac:dyDescent="0.25">
      <c r="A80" s="18" t="s">
        <v>153</v>
      </c>
      <c r="B80" s="63"/>
      <c r="C80" s="24"/>
      <c r="D80" s="24"/>
      <c r="E80" s="59"/>
    </row>
    <row r="81" spans="1:5" customFormat="1" x14ac:dyDescent="0.25">
      <c r="A81" s="19" t="s">
        <v>154</v>
      </c>
      <c r="B81" s="63">
        <v>41213</v>
      </c>
      <c r="C81" s="24">
        <v>1</v>
      </c>
      <c r="D81" s="24">
        <v>1</v>
      </c>
      <c r="E81" s="59"/>
    </row>
    <row r="82" spans="1:5" customFormat="1" x14ac:dyDescent="0.25">
      <c r="A82" s="18" t="s">
        <v>170</v>
      </c>
      <c r="B82" s="63"/>
      <c r="C82" s="24"/>
      <c r="D82" s="24"/>
      <c r="E82" s="59"/>
    </row>
    <row r="83" spans="1:5" customFormat="1" x14ac:dyDescent="0.25">
      <c r="A83" s="19" t="s">
        <v>428</v>
      </c>
      <c r="B83" s="63">
        <v>41112</v>
      </c>
      <c r="C83" s="24">
        <v>0.99785305231388333</v>
      </c>
      <c r="D83" s="24">
        <v>1</v>
      </c>
      <c r="E83" s="59"/>
    </row>
    <row r="84" spans="1:5" customFormat="1" x14ac:dyDescent="0.25">
      <c r="A84" s="18" t="s">
        <v>594</v>
      </c>
      <c r="B84" s="63"/>
      <c r="C84" s="24"/>
      <c r="D84" s="24"/>
      <c r="E84" s="59"/>
    </row>
    <row r="85" spans="1:5" customFormat="1" x14ac:dyDescent="0.25">
      <c r="A85" s="19" t="s">
        <v>1006</v>
      </c>
      <c r="B85" s="63">
        <v>41356</v>
      </c>
      <c r="C85" s="24">
        <v>1</v>
      </c>
      <c r="D85" s="24">
        <v>1</v>
      </c>
      <c r="E85" s="59"/>
    </row>
    <row r="86" spans="1:5" customFormat="1" x14ac:dyDescent="0.25">
      <c r="A86" s="18" t="s">
        <v>127</v>
      </c>
      <c r="B86" s="63"/>
      <c r="C86" s="24"/>
      <c r="D86" s="24"/>
      <c r="E86" s="59"/>
    </row>
    <row r="87" spans="1:5" customFormat="1" x14ac:dyDescent="0.25">
      <c r="A87" s="19" t="s">
        <v>128</v>
      </c>
      <c r="B87" s="63">
        <v>41364</v>
      </c>
      <c r="C87" s="24">
        <v>0.80386964675098127</v>
      </c>
      <c r="D87" s="24">
        <v>1</v>
      </c>
      <c r="E87" s="59"/>
    </row>
    <row r="88" spans="1:5" customFormat="1" x14ac:dyDescent="0.25">
      <c r="A88" s="18" t="s">
        <v>59</v>
      </c>
      <c r="B88" s="63"/>
      <c r="C88" s="24"/>
      <c r="D88" s="24"/>
      <c r="E88" s="59"/>
    </row>
    <row r="89" spans="1:5" customFormat="1" x14ac:dyDescent="0.25">
      <c r="A89" s="19" t="s">
        <v>60</v>
      </c>
      <c r="B89" s="63">
        <v>41471</v>
      </c>
      <c r="C89" s="24">
        <v>0.82673170731707313</v>
      </c>
      <c r="D89" s="24">
        <v>1</v>
      </c>
      <c r="E89" s="59"/>
    </row>
    <row r="90" spans="1:5" customFormat="1" x14ac:dyDescent="0.25">
      <c r="A90" s="18" t="s">
        <v>120</v>
      </c>
      <c r="B90" s="63"/>
      <c r="C90" s="24"/>
      <c r="D90" s="24"/>
      <c r="E90" s="59"/>
    </row>
    <row r="91" spans="1:5" customFormat="1" x14ac:dyDescent="0.25">
      <c r="A91" s="19" t="s">
        <v>429</v>
      </c>
      <c r="B91" s="63">
        <v>41362</v>
      </c>
      <c r="C91" s="24">
        <v>1</v>
      </c>
      <c r="D91" s="24">
        <v>1</v>
      </c>
      <c r="E91" s="59"/>
    </row>
    <row r="92" spans="1:5" customFormat="1" x14ac:dyDescent="0.25">
      <c r="A92" s="18" t="s">
        <v>112</v>
      </c>
      <c r="B92" s="63"/>
      <c r="C92" s="24"/>
      <c r="D92" s="24"/>
      <c r="E92" s="59"/>
    </row>
    <row r="93" spans="1:5" customFormat="1" x14ac:dyDescent="0.25">
      <c r="A93" s="19" t="s">
        <v>430</v>
      </c>
      <c r="B93" s="63">
        <v>41323</v>
      </c>
      <c r="C93" s="24">
        <v>0.99997955256194371</v>
      </c>
      <c r="D93" s="24">
        <v>1</v>
      </c>
      <c r="E93" s="59"/>
    </row>
    <row r="94" spans="1:5" customFormat="1" x14ac:dyDescent="0.25">
      <c r="A94" s="18" t="s">
        <v>44</v>
      </c>
      <c r="B94" s="63"/>
      <c r="C94" s="24"/>
      <c r="D94" s="24"/>
      <c r="E94" s="59"/>
    </row>
    <row r="95" spans="1:5" customFormat="1" x14ac:dyDescent="0.25">
      <c r="A95" s="19" t="s">
        <v>1017</v>
      </c>
      <c r="B95" s="63">
        <v>41547</v>
      </c>
      <c r="C95" s="24">
        <v>0.99714146602836184</v>
      </c>
      <c r="D95" s="24">
        <v>1</v>
      </c>
      <c r="E95" s="59"/>
    </row>
    <row r="96" spans="1:5" customFormat="1" x14ac:dyDescent="0.25">
      <c r="A96" s="18" t="s">
        <v>7</v>
      </c>
      <c r="B96" s="63"/>
      <c r="C96" s="24"/>
      <c r="D96" s="24"/>
      <c r="E96" s="59"/>
    </row>
    <row r="97" spans="1:5" customFormat="1" x14ac:dyDescent="0.25">
      <c r="A97" s="19" t="s">
        <v>8</v>
      </c>
      <c r="B97" s="63">
        <v>41458</v>
      </c>
      <c r="C97" s="24">
        <v>0.50743124634289061</v>
      </c>
      <c r="D97" s="24">
        <v>1</v>
      </c>
      <c r="E97" s="59"/>
    </row>
    <row r="98" spans="1:5" customFormat="1" x14ac:dyDescent="0.25">
      <c r="A98" s="18" t="s">
        <v>161</v>
      </c>
      <c r="B98" s="63"/>
      <c r="C98" s="24"/>
      <c r="D98" s="24"/>
      <c r="E98" s="59"/>
    </row>
    <row r="99" spans="1:5" customFormat="1" x14ac:dyDescent="0.25">
      <c r="A99" s="19" t="s">
        <v>162</v>
      </c>
      <c r="B99" s="63">
        <v>40922</v>
      </c>
      <c r="C99" s="24">
        <v>1</v>
      </c>
      <c r="D99" s="24">
        <v>1</v>
      </c>
      <c r="E99" s="59"/>
    </row>
    <row r="100" spans="1:5" customFormat="1" x14ac:dyDescent="0.25">
      <c r="A100" s="18" t="s">
        <v>5</v>
      </c>
      <c r="B100" s="63"/>
      <c r="C100" s="24"/>
      <c r="D100" s="24"/>
      <c r="E100" s="59"/>
    </row>
    <row r="101" spans="1:5" customFormat="1" x14ac:dyDescent="0.25">
      <c r="A101" s="19" t="s">
        <v>431</v>
      </c>
      <c r="B101" s="63">
        <v>41243</v>
      </c>
      <c r="C101" s="24">
        <v>0.81768245094746728</v>
      </c>
      <c r="D101" s="24">
        <v>1</v>
      </c>
      <c r="E101" s="59"/>
    </row>
    <row r="102" spans="1:5" customFormat="1" x14ac:dyDescent="0.25">
      <c r="A102" s="18" t="s">
        <v>6</v>
      </c>
      <c r="B102" s="63"/>
      <c r="C102" s="24"/>
      <c r="D102" s="24"/>
      <c r="E102" s="59"/>
    </row>
    <row r="103" spans="1:5" customFormat="1" x14ac:dyDescent="0.25">
      <c r="A103" s="19" t="s">
        <v>1018</v>
      </c>
      <c r="B103" s="63">
        <v>41445</v>
      </c>
      <c r="C103" s="24">
        <v>0.89976841008562702</v>
      </c>
      <c r="D103" s="24">
        <v>1</v>
      </c>
      <c r="E103" s="59"/>
    </row>
    <row r="104" spans="1:5" customFormat="1" x14ac:dyDescent="0.25">
      <c r="A104" s="18" t="s">
        <v>35</v>
      </c>
      <c r="B104" s="63"/>
      <c r="C104" s="24"/>
      <c r="D104" s="24"/>
      <c r="E104" s="59"/>
    </row>
    <row r="105" spans="1:5" customFormat="1" x14ac:dyDescent="0.25">
      <c r="A105" s="19" t="s">
        <v>36</v>
      </c>
      <c r="B105" s="63">
        <v>41414</v>
      </c>
      <c r="C105" s="24">
        <v>0.73647896728243933</v>
      </c>
      <c r="D105" s="24">
        <v>1</v>
      </c>
      <c r="E105" s="59"/>
    </row>
    <row r="106" spans="1:5" customFormat="1" x14ac:dyDescent="0.25">
      <c r="A106" s="18" t="s">
        <v>37</v>
      </c>
      <c r="B106" s="63"/>
      <c r="C106" s="24"/>
      <c r="D106" s="24"/>
      <c r="E106" s="59"/>
    </row>
    <row r="107" spans="1:5" customFormat="1" x14ac:dyDescent="0.25">
      <c r="A107" s="19" t="s">
        <v>38</v>
      </c>
      <c r="B107" s="63">
        <v>41425</v>
      </c>
      <c r="C107" s="24">
        <v>0.99999830138315948</v>
      </c>
      <c r="D107" s="24">
        <v>1</v>
      </c>
      <c r="E107" s="59"/>
    </row>
    <row r="108" spans="1:5" customFormat="1" x14ac:dyDescent="0.25">
      <c r="A108" s="18" t="s">
        <v>9</v>
      </c>
      <c r="B108" s="63"/>
      <c r="C108" s="24"/>
      <c r="D108" s="24"/>
      <c r="E108" s="59"/>
    </row>
    <row r="109" spans="1:5" customFormat="1" x14ac:dyDescent="0.25">
      <c r="A109" s="19" t="s">
        <v>1019</v>
      </c>
      <c r="B109" s="63">
        <v>41409</v>
      </c>
      <c r="C109" s="24">
        <v>0.95166337492517417</v>
      </c>
      <c r="D109" s="24">
        <v>1</v>
      </c>
      <c r="E109" s="59"/>
    </row>
    <row r="110" spans="1:5" customFormat="1" x14ac:dyDescent="0.25">
      <c r="A110" s="18" t="s">
        <v>63</v>
      </c>
      <c r="B110" s="63"/>
      <c r="C110" s="24"/>
      <c r="D110" s="24"/>
      <c r="E110" s="59"/>
    </row>
    <row r="111" spans="1:5" customFormat="1" x14ac:dyDescent="0.25">
      <c r="A111" s="19" t="s">
        <v>64</v>
      </c>
      <c r="B111" s="63">
        <v>41441</v>
      </c>
      <c r="C111" s="24">
        <v>1</v>
      </c>
      <c r="D111" s="24">
        <v>1</v>
      </c>
      <c r="E111" s="59"/>
    </row>
    <row r="112" spans="1:5" customFormat="1" x14ac:dyDescent="0.25">
      <c r="A112" s="18" t="s">
        <v>110</v>
      </c>
      <c r="B112" s="63"/>
      <c r="C112" s="24"/>
      <c r="D112" s="24"/>
      <c r="E112" s="59"/>
    </row>
    <row r="113" spans="1:5" customFormat="1" x14ac:dyDescent="0.25">
      <c r="A113" s="19" t="s">
        <v>111</v>
      </c>
      <c r="B113" s="63">
        <v>41441</v>
      </c>
      <c r="C113" s="24">
        <v>1</v>
      </c>
      <c r="D113" s="24">
        <v>1</v>
      </c>
      <c r="E113" s="59"/>
    </row>
    <row r="114" spans="1:5" customFormat="1" x14ac:dyDescent="0.25">
      <c r="A114" s="18" t="s">
        <v>65</v>
      </c>
      <c r="B114" s="63"/>
      <c r="C114" s="24"/>
      <c r="D114" s="24"/>
      <c r="E114" s="59"/>
    </row>
    <row r="115" spans="1:5" customFormat="1" x14ac:dyDescent="0.25">
      <c r="A115" s="19" t="s">
        <v>66</v>
      </c>
      <c r="B115" s="63">
        <v>41486</v>
      </c>
      <c r="C115" s="24">
        <v>1</v>
      </c>
      <c r="D115" s="24">
        <v>1</v>
      </c>
      <c r="E115" s="59"/>
    </row>
    <row r="116" spans="1:5" customFormat="1" x14ac:dyDescent="0.25">
      <c r="A116" s="18" t="s">
        <v>69</v>
      </c>
      <c r="B116" s="63"/>
      <c r="C116" s="24"/>
      <c r="D116" s="24"/>
      <c r="E116" s="59"/>
    </row>
    <row r="117" spans="1:5" customFormat="1" x14ac:dyDescent="0.25">
      <c r="A117" s="19" t="s">
        <v>77</v>
      </c>
      <c r="B117" s="63">
        <v>41412</v>
      </c>
      <c r="C117" s="24">
        <v>1</v>
      </c>
      <c r="D117" s="24">
        <v>1</v>
      </c>
      <c r="E117" s="59"/>
    </row>
    <row r="118" spans="1:5" customFormat="1" x14ac:dyDescent="0.25">
      <c r="A118" s="18" t="s">
        <v>47</v>
      </c>
      <c r="B118" s="63"/>
      <c r="C118" s="24"/>
      <c r="D118" s="24"/>
      <c r="E118" s="59"/>
    </row>
    <row r="119" spans="1:5" customFormat="1" x14ac:dyDescent="0.25">
      <c r="A119" s="19" t="s">
        <v>48</v>
      </c>
      <c r="B119" s="63">
        <v>41481</v>
      </c>
      <c r="C119" s="24">
        <v>1</v>
      </c>
      <c r="D119" s="24">
        <v>1</v>
      </c>
      <c r="E119" s="59"/>
    </row>
    <row r="120" spans="1:5" customFormat="1" x14ac:dyDescent="0.25">
      <c r="A120" s="18" t="s">
        <v>39</v>
      </c>
      <c r="B120" s="63"/>
      <c r="C120" s="24"/>
      <c r="D120" s="24"/>
      <c r="E120" s="59"/>
    </row>
    <row r="121" spans="1:5" customFormat="1" x14ac:dyDescent="0.25">
      <c r="A121" s="19" t="s">
        <v>1020</v>
      </c>
      <c r="B121" s="63">
        <v>41558</v>
      </c>
      <c r="C121" s="24">
        <v>1</v>
      </c>
      <c r="D121" s="24">
        <v>1</v>
      </c>
      <c r="E121" s="59"/>
    </row>
    <row r="122" spans="1:5" customFormat="1" x14ac:dyDescent="0.25">
      <c r="A122" s="18" t="s">
        <v>49</v>
      </c>
      <c r="B122" s="63"/>
      <c r="C122" s="24"/>
      <c r="D122" s="24"/>
      <c r="E122" s="59"/>
    </row>
    <row r="123" spans="1:5" customFormat="1" x14ac:dyDescent="0.25">
      <c r="A123" s="19" t="s">
        <v>1021</v>
      </c>
      <c r="B123" s="63">
        <v>41451</v>
      </c>
      <c r="C123" s="24">
        <v>0.53742565080526572</v>
      </c>
      <c r="D123" s="24">
        <v>1</v>
      </c>
      <c r="E123" s="59"/>
    </row>
    <row r="124" spans="1:5" customFormat="1" x14ac:dyDescent="0.25">
      <c r="A124" s="18" t="s">
        <v>50</v>
      </c>
      <c r="B124" s="63"/>
      <c r="C124" s="24"/>
      <c r="D124" s="24"/>
      <c r="E124" s="59"/>
    </row>
    <row r="125" spans="1:5" customFormat="1" x14ac:dyDescent="0.25">
      <c r="A125" s="19" t="s">
        <v>1022</v>
      </c>
      <c r="B125" s="63">
        <v>41534</v>
      </c>
      <c r="C125" s="24">
        <v>0</v>
      </c>
      <c r="D125" s="24">
        <v>1</v>
      </c>
      <c r="E125" s="59"/>
    </row>
    <row r="126" spans="1:5" customFormat="1" x14ac:dyDescent="0.25">
      <c r="A126" s="18" t="s">
        <v>119</v>
      </c>
      <c r="B126" s="63"/>
      <c r="C126" s="24"/>
      <c r="D126" s="24"/>
      <c r="E126" s="59"/>
    </row>
    <row r="127" spans="1:5" customFormat="1" x14ac:dyDescent="0.25">
      <c r="A127" s="19" t="s">
        <v>398</v>
      </c>
      <c r="B127" s="63">
        <v>41390</v>
      </c>
      <c r="C127" s="24">
        <v>1</v>
      </c>
      <c r="D127" s="24">
        <v>1</v>
      </c>
      <c r="E127" s="59"/>
    </row>
    <row r="128" spans="1:5" customFormat="1" x14ac:dyDescent="0.25">
      <c r="A128" s="18" t="s">
        <v>589</v>
      </c>
      <c r="B128" s="63"/>
      <c r="C128" s="24"/>
      <c r="D128" s="24"/>
      <c r="E128" s="59"/>
    </row>
    <row r="129" spans="1:5" customFormat="1" x14ac:dyDescent="0.25">
      <c r="A129" s="19" t="s">
        <v>426</v>
      </c>
      <c r="B129" s="63">
        <v>41332</v>
      </c>
      <c r="C129" s="24">
        <v>8.5094116180503609E-2</v>
      </c>
      <c r="D129" s="24">
        <v>1</v>
      </c>
      <c r="E129" s="59"/>
    </row>
    <row r="130" spans="1:5" customFormat="1" x14ac:dyDescent="0.25">
      <c r="A130" s="18" t="s">
        <v>163</v>
      </c>
      <c r="B130" s="63"/>
      <c r="C130" s="24"/>
      <c r="D130" s="24"/>
      <c r="E130" s="59"/>
    </row>
    <row r="131" spans="1:5" customFormat="1" x14ac:dyDescent="0.25">
      <c r="A131" s="19" t="s">
        <v>432</v>
      </c>
      <c r="B131" s="63">
        <v>41312</v>
      </c>
      <c r="C131" s="24">
        <v>1</v>
      </c>
      <c r="D131" s="24">
        <v>1</v>
      </c>
      <c r="E131" s="59"/>
    </row>
    <row r="132" spans="1:5" customFormat="1" x14ac:dyDescent="0.25">
      <c r="A132" s="18" t="s">
        <v>51</v>
      </c>
      <c r="B132" s="63"/>
      <c r="C132" s="24"/>
      <c r="D132" s="24"/>
      <c r="E132" s="59"/>
    </row>
    <row r="133" spans="1:5" customFormat="1" x14ac:dyDescent="0.25">
      <c r="A133" s="19" t="s">
        <v>1023</v>
      </c>
      <c r="B133" s="63">
        <v>41579</v>
      </c>
      <c r="C133" s="24">
        <v>1</v>
      </c>
      <c r="D133" s="24">
        <v>1</v>
      </c>
      <c r="E133" s="59"/>
    </row>
    <row r="134" spans="1:5" customFormat="1" x14ac:dyDescent="0.25">
      <c r="A134" s="18" t="s">
        <v>597</v>
      </c>
      <c r="B134" s="63"/>
      <c r="C134" s="24"/>
      <c r="D134" s="24"/>
      <c r="E134" s="59"/>
    </row>
    <row r="135" spans="1:5" customFormat="1" x14ac:dyDescent="0.25">
      <c r="A135" s="19" t="s">
        <v>1024</v>
      </c>
      <c r="B135" s="63">
        <v>41562</v>
      </c>
      <c r="C135" s="24">
        <v>1</v>
      </c>
      <c r="D135" s="24">
        <v>1</v>
      </c>
      <c r="E135" s="59"/>
    </row>
    <row r="136" spans="1:5" customFormat="1" x14ac:dyDescent="0.25">
      <c r="A136" s="18" t="s">
        <v>52</v>
      </c>
      <c r="B136" s="63"/>
      <c r="C136" s="24"/>
      <c r="D136" s="24"/>
      <c r="E136" s="59"/>
    </row>
    <row r="137" spans="1:5" customFormat="1" x14ac:dyDescent="0.25">
      <c r="A137" s="19" t="s">
        <v>53</v>
      </c>
      <c r="B137" s="63">
        <v>41459</v>
      </c>
      <c r="C137" s="24">
        <v>0.90099290163696943</v>
      </c>
      <c r="D137" s="24">
        <v>1</v>
      </c>
      <c r="E137" s="59"/>
    </row>
    <row r="138" spans="1:5" customFormat="1" x14ac:dyDescent="0.25">
      <c r="A138" s="18" t="s">
        <v>598</v>
      </c>
      <c r="B138" s="63"/>
      <c r="C138" s="24"/>
      <c r="D138" s="24"/>
      <c r="E138" s="59"/>
    </row>
    <row r="139" spans="1:5" customFormat="1" x14ac:dyDescent="0.25">
      <c r="A139" s="19" t="s">
        <v>1025</v>
      </c>
      <c r="B139" s="63">
        <v>41446</v>
      </c>
      <c r="C139" s="24">
        <v>1</v>
      </c>
      <c r="D139" s="24">
        <v>1</v>
      </c>
      <c r="E139" s="59"/>
    </row>
    <row r="140" spans="1:5" customFormat="1" x14ac:dyDescent="0.25">
      <c r="A140" s="18" t="s">
        <v>399</v>
      </c>
      <c r="B140" s="63"/>
      <c r="C140" s="24"/>
      <c r="D140" s="24"/>
      <c r="E140" s="59"/>
    </row>
    <row r="141" spans="1:5" customFormat="1" x14ac:dyDescent="0.25">
      <c r="A141" s="19" t="s">
        <v>424</v>
      </c>
      <c r="B141" s="63">
        <v>41278</v>
      </c>
      <c r="C141" s="24">
        <v>1</v>
      </c>
      <c r="D141" s="24">
        <v>1</v>
      </c>
      <c r="E141" s="59"/>
    </row>
    <row r="142" spans="1:5" customFormat="1" x14ac:dyDescent="0.25">
      <c r="A142" s="18" t="s">
        <v>42</v>
      </c>
      <c r="B142" s="63"/>
      <c r="C142" s="24"/>
      <c r="D142" s="24"/>
      <c r="E142" s="59"/>
    </row>
    <row r="143" spans="1:5" customFormat="1" x14ac:dyDescent="0.25">
      <c r="A143" s="19" t="s">
        <v>43</v>
      </c>
      <c r="B143" s="63">
        <v>41452</v>
      </c>
      <c r="C143" s="24">
        <v>0.99857142857142855</v>
      </c>
      <c r="D143" s="24">
        <v>1</v>
      </c>
      <c r="E143" s="59"/>
    </row>
    <row r="144" spans="1:5" customFormat="1" x14ac:dyDescent="0.25">
      <c r="A144" s="18" t="s">
        <v>67</v>
      </c>
      <c r="B144" s="63"/>
      <c r="C144" s="24"/>
      <c r="D144" s="24"/>
      <c r="E144" s="59"/>
    </row>
    <row r="145" spans="1:5" customFormat="1" x14ac:dyDescent="0.25">
      <c r="A145" s="19" t="s">
        <v>68</v>
      </c>
      <c r="B145" s="63">
        <v>41322</v>
      </c>
      <c r="C145" s="24">
        <v>1</v>
      </c>
      <c r="D145" s="24">
        <v>1</v>
      </c>
      <c r="E145" s="59"/>
    </row>
    <row r="146" spans="1:5" customFormat="1" x14ac:dyDescent="0.25">
      <c r="A146" s="18" t="s">
        <v>74</v>
      </c>
      <c r="B146" s="63"/>
      <c r="C146" s="24"/>
      <c r="D146" s="24"/>
      <c r="E146" s="59"/>
    </row>
    <row r="147" spans="1:5" customFormat="1" x14ac:dyDescent="0.25">
      <c r="A147" s="19" t="s">
        <v>75</v>
      </c>
      <c r="B147" s="63">
        <v>41593</v>
      </c>
      <c r="C147" s="24">
        <v>1</v>
      </c>
      <c r="D147" s="24">
        <v>1</v>
      </c>
      <c r="E147" s="59"/>
    </row>
    <row r="148" spans="1:5" customFormat="1" x14ac:dyDescent="0.25">
      <c r="A148" s="18" t="s">
        <v>54</v>
      </c>
      <c r="B148" s="63"/>
      <c r="C148" s="24"/>
      <c r="D148" s="24"/>
      <c r="E148" s="59"/>
    </row>
    <row r="149" spans="1:5" customFormat="1" x14ac:dyDescent="0.25">
      <c r="A149" s="19" t="s">
        <v>55</v>
      </c>
      <c r="B149" s="63">
        <v>41575</v>
      </c>
      <c r="C149" s="24">
        <v>0.93101375598086122</v>
      </c>
      <c r="D149" s="24">
        <v>1</v>
      </c>
      <c r="E149" s="59"/>
    </row>
    <row r="150" spans="1:5" customFormat="1" x14ac:dyDescent="0.25">
      <c r="A150" s="18" t="s">
        <v>11</v>
      </c>
      <c r="B150" s="63"/>
      <c r="C150" s="24"/>
      <c r="D150" s="24"/>
      <c r="E150" s="59"/>
    </row>
    <row r="151" spans="1:5" customFormat="1" x14ac:dyDescent="0.25">
      <c r="A151" s="19" t="s">
        <v>12</v>
      </c>
      <c r="B151" s="63">
        <v>41711</v>
      </c>
      <c r="C151" s="24">
        <v>0.91500886247523716</v>
      </c>
      <c r="D151" s="24">
        <v>1</v>
      </c>
      <c r="E151" s="59"/>
    </row>
    <row r="152" spans="1:5" customFormat="1" x14ac:dyDescent="0.25">
      <c r="A152" s="18" t="s">
        <v>4</v>
      </c>
      <c r="B152" s="63"/>
      <c r="C152" s="24"/>
      <c r="D152" s="24"/>
      <c r="E152" s="59"/>
    </row>
    <row r="153" spans="1:5" customFormat="1" x14ac:dyDescent="0.25">
      <c r="A153" s="19" t="s">
        <v>1028</v>
      </c>
      <c r="B153" s="63">
        <v>41608</v>
      </c>
      <c r="C153" s="24">
        <v>0.82220984856913393</v>
      </c>
      <c r="D153" s="24">
        <v>1</v>
      </c>
      <c r="E153" s="59"/>
    </row>
    <row r="154" spans="1:5" customFormat="1" x14ac:dyDescent="0.25">
      <c r="A154" s="18" t="s">
        <v>71</v>
      </c>
      <c r="B154" s="63"/>
      <c r="C154" s="24"/>
      <c r="D154" s="24"/>
      <c r="E154" s="59"/>
    </row>
    <row r="155" spans="1:5" customFormat="1" x14ac:dyDescent="0.25">
      <c r="A155" s="19" t="s">
        <v>1029</v>
      </c>
      <c r="B155" s="63">
        <v>41505</v>
      </c>
      <c r="C155" s="24">
        <v>0.99981782520075513</v>
      </c>
      <c r="D155" s="24">
        <v>1</v>
      </c>
      <c r="E155" s="59"/>
    </row>
    <row r="156" spans="1:5" customFormat="1" x14ac:dyDescent="0.25">
      <c r="A156" s="18" t="s">
        <v>76</v>
      </c>
      <c r="B156" s="63"/>
      <c r="C156" s="24"/>
      <c r="D156" s="24"/>
      <c r="E156" s="59"/>
    </row>
    <row r="157" spans="1:5" customFormat="1" x14ac:dyDescent="0.25">
      <c r="A157" s="19" t="s">
        <v>77</v>
      </c>
      <c r="B157" s="63">
        <v>43281</v>
      </c>
      <c r="C157" s="24">
        <v>0.17434304338314827</v>
      </c>
      <c r="D157" s="24">
        <v>1</v>
      </c>
      <c r="E157" s="59"/>
    </row>
    <row r="158" spans="1:5" customFormat="1" x14ac:dyDescent="0.25">
      <c r="A158" s="18" t="s">
        <v>45</v>
      </c>
      <c r="B158" s="63"/>
      <c r="C158" s="24"/>
      <c r="D158" s="24"/>
      <c r="E158" s="59"/>
    </row>
    <row r="159" spans="1:5" customFormat="1" x14ac:dyDescent="0.25">
      <c r="A159" s="19" t="s">
        <v>46</v>
      </c>
      <c r="B159" s="63">
        <v>41322</v>
      </c>
      <c r="C159" s="24">
        <v>1</v>
      </c>
      <c r="D159" s="24">
        <v>1</v>
      </c>
      <c r="E159" s="59"/>
    </row>
    <row r="160" spans="1:5" customFormat="1" x14ac:dyDescent="0.25">
      <c r="A160" s="18" t="s">
        <v>25</v>
      </c>
      <c r="B160" s="63"/>
      <c r="C160" s="24"/>
      <c r="D160" s="24"/>
      <c r="E160" s="59"/>
    </row>
    <row r="161" spans="1:5" customFormat="1" x14ac:dyDescent="0.25">
      <c r="A161" s="19" t="s">
        <v>26</v>
      </c>
      <c r="B161" s="63">
        <v>41736</v>
      </c>
      <c r="C161" s="24">
        <v>0.99999515837307507</v>
      </c>
      <c r="D161" s="24">
        <v>1</v>
      </c>
      <c r="E161" s="59"/>
    </row>
    <row r="162" spans="1:5" customFormat="1" x14ac:dyDescent="0.25">
      <c r="A162" s="18" t="s">
        <v>116</v>
      </c>
      <c r="B162" s="63"/>
      <c r="C162" s="24"/>
      <c r="D162" s="24"/>
      <c r="E162" s="59"/>
    </row>
    <row r="163" spans="1:5" customFormat="1" x14ac:dyDescent="0.25">
      <c r="A163" s="19" t="s">
        <v>418</v>
      </c>
      <c r="B163" s="63">
        <v>41442</v>
      </c>
      <c r="C163" s="24">
        <v>1</v>
      </c>
      <c r="D163" s="24">
        <v>1</v>
      </c>
      <c r="E163" s="59"/>
    </row>
    <row r="164" spans="1:5" customFormat="1" x14ac:dyDescent="0.25">
      <c r="A164" s="18" t="s">
        <v>122</v>
      </c>
      <c r="B164" s="63"/>
      <c r="C164" s="24"/>
      <c r="D164" s="24"/>
      <c r="E164" s="59"/>
    </row>
    <row r="165" spans="1:5" customFormat="1" x14ac:dyDescent="0.25">
      <c r="A165" s="19" t="s">
        <v>244</v>
      </c>
      <c r="B165" s="63">
        <v>41680</v>
      </c>
      <c r="C165" s="24">
        <v>1</v>
      </c>
      <c r="D165" s="24">
        <v>1</v>
      </c>
      <c r="E165" s="59"/>
    </row>
    <row r="166" spans="1:5" customFormat="1" x14ac:dyDescent="0.25">
      <c r="A166" s="18" t="s">
        <v>182</v>
      </c>
      <c r="B166" s="63"/>
      <c r="C166" s="24"/>
      <c r="D166" s="24"/>
      <c r="E166" s="59"/>
    </row>
    <row r="167" spans="1:5" customFormat="1" x14ac:dyDescent="0.25">
      <c r="A167" s="19" t="s">
        <v>152</v>
      </c>
      <c r="B167" s="63">
        <v>41336</v>
      </c>
      <c r="C167" s="24">
        <v>0.92913298619329387</v>
      </c>
      <c r="D167" s="24">
        <v>1</v>
      </c>
      <c r="E167" s="59"/>
    </row>
    <row r="168" spans="1:5" customFormat="1" x14ac:dyDescent="0.25">
      <c r="A168" s="18" t="s">
        <v>78</v>
      </c>
      <c r="B168" s="63"/>
      <c r="C168" s="24"/>
      <c r="D168" s="24"/>
      <c r="E168" s="59"/>
    </row>
    <row r="169" spans="1:5" customFormat="1" x14ac:dyDescent="0.25">
      <c r="A169" s="19" t="s">
        <v>79</v>
      </c>
      <c r="B169" s="63">
        <v>41683</v>
      </c>
      <c r="C169" s="24">
        <v>1</v>
      </c>
      <c r="D169" s="24">
        <v>1</v>
      </c>
      <c r="E169" s="59"/>
    </row>
    <row r="170" spans="1:5" customFormat="1" x14ac:dyDescent="0.25">
      <c r="A170" s="18" t="s">
        <v>80</v>
      </c>
      <c r="B170" s="63"/>
      <c r="C170" s="24"/>
      <c r="D170" s="24"/>
      <c r="E170" s="59"/>
    </row>
    <row r="171" spans="1:5" customFormat="1" x14ac:dyDescent="0.25">
      <c r="A171" s="19" t="s">
        <v>81</v>
      </c>
      <c r="B171" s="63">
        <v>41711</v>
      </c>
      <c r="C171" s="24">
        <v>1</v>
      </c>
      <c r="D171" s="24">
        <v>1</v>
      </c>
      <c r="E171" s="59"/>
    </row>
    <row r="172" spans="1:5" customFormat="1" x14ac:dyDescent="0.25">
      <c r="A172" s="18" t="s">
        <v>82</v>
      </c>
      <c r="B172" s="63"/>
      <c r="C172" s="24"/>
      <c r="D172" s="24"/>
      <c r="E172" s="59"/>
    </row>
    <row r="173" spans="1:5" customFormat="1" x14ac:dyDescent="0.25">
      <c r="A173" s="19" t="s">
        <v>1030</v>
      </c>
      <c r="B173" s="63">
        <v>41652</v>
      </c>
      <c r="C173" s="24">
        <v>0.89656896040120193</v>
      </c>
      <c r="D173" s="24">
        <v>1</v>
      </c>
      <c r="E173" s="59"/>
    </row>
    <row r="174" spans="1:5" customFormat="1" x14ac:dyDescent="0.25">
      <c r="A174" s="18" t="s">
        <v>83</v>
      </c>
      <c r="B174" s="63"/>
      <c r="C174" s="24"/>
      <c r="D174" s="24"/>
      <c r="E174" s="59"/>
    </row>
    <row r="175" spans="1:5" customFormat="1" x14ac:dyDescent="0.25">
      <c r="A175" s="19" t="s">
        <v>84</v>
      </c>
      <c r="B175" s="63">
        <v>41731</v>
      </c>
      <c r="C175" s="24">
        <v>0.971116850472869</v>
      </c>
      <c r="D175" s="24">
        <v>1</v>
      </c>
      <c r="E175" s="59"/>
    </row>
    <row r="176" spans="1:5" customFormat="1" x14ac:dyDescent="0.25">
      <c r="A176" s="18" t="s">
        <v>85</v>
      </c>
      <c r="B176" s="63"/>
      <c r="C176" s="24"/>
      <c r="D176" s="24"/>
      <c r="E176" s="59"/>
    </row>
    <row r="177" spans="1:5" customFormat="1" x14ac:dyDescent="0.25">
      <c r="A177" s="19" t="s">
        <v>86</v>
      </c>
      <c r="B177" s="63">
        <v>41716</v>
      </c>
      <c r="C177" s="24">
        <v>1</v>
      </c>
      <c r="D177" s="24">
        <v>1</v>
      </c>
      <c r="E177" s="59"/>
    </row>
    <row r="178" spans="1:5" customFormat="1" x14ac:dyDescent="0.25">
      <c r="A178" s="18" t="s">
        <v>87</v>
      </c>
      <c r="B178" s="63"/>
      <c r="C178" s="24"/>
      <c r="D178" s="24"/>
      <c r="E178" s="59"/>
    </row>
    <row r="179" spans="1:5" customFormat="1" x14ac:dyDescent="0.25">
      <c r="A179" s="19" t="s">
        <v>435</v>
      </c>
      <c r="B179" s="63">
        <v>41764</v>
      </c>
      <c r="C179" s="24">
        <v>0.83947368421052626</v>
      </c>
      <c r="D179" s="24">
        <v>1</v>
      </c>
      <c r="E179" s="59"/>
    </row>
    <row r="180" spans="1:5" customFormat="1" x14ac:dyDescent="0.25">
      <c r="A180" s="18" t="s">
        <v>88</v>
      </c>
      <c r="B180" s="63"/>
      <c r="C180" s="24"/>
      <c r="D180" s="24"/>
      <c r="E180" s="59"/>
    </row>
    <row r="181" spans="1:5" customFormat="1" x14ac:dyDescent="0.25">
      <c r="A181" s="19" t="s">
        <v>1031</v>
      </c>
      <c r="B181" s="63">
        <v>41545</v>
      </c>
      <c r="C181" s="24">
        <v>1</v>
      </c>
      <c r="D181" s="24">
        <v>1</v>
      </c>
      <c r="E181" s="59"/>
    </row>
    <row r="182" spans="1:5" customFormat="1" x14ac:dyDescent="0.25">
      <c r="A182" s="18" t="s">
        <v>91</v>
      </c>
      <c r="B182" s="63"/>
      <c r="C182" s="24"/>
      <c r="D182" s="24"/>
      <c r="E182" s="59"/>
    </row>
    <row r="183" spans="1:5" customFormat="1" x14ac:dyDescent="0.25">
      <c r="A183" s="19" t="s">
        <v>1032</v>
      </c>
      <c r="B183" s="63">
        <v>41692</v>
      </c>
      <c r="C183" s="24">
        <v>1</v>
      </c>
      <c r="D183" s="24">
        <v>1</v>
      </c>
      <c r="E183" s="59"/>
    </row>
    <row r="184" spans="1:5" customFormat="1" x14ac:dyDescent="0.25">
      <c r="A184" s="18" t="s">
        <v>93</v>
      </c>
      <c r="B184" s="63"/>
      <c r="C184" s="24"/>
      <c r="D184" s="24"/>
      <c r="E184" s="59"/>
    </row>
    <row r="185" spans="1:5" customFormat="1" x14ac:dyDescent="0.25">
      <c r="A185" s="19" t="s">
        <v>1033</v>
      </c>
      <c r="B185" s="63">
        <v>41699</v>
      </c>
      <c r="C185" s="24">
        <v>1</v>
      </c>
      <c r="D185" s="24">
        <v>1</v>
      </c>
      <c r="E185" s="59"/>
    </row>
    <row r="186" spans="1:5" customFormat="1" x14ac:dyDescent="0.25">
      <c r="A186" s="18" t="s">
        <v>94</v>
      </c>
      <c r="B186" s="63"/>
      <c r="C186" s="24"/>
      <c r="D186" s="24"/>
      <c r="E186" s="59"/>
    </row>
    <row r="187" spans="1:5" customFormat="1" x14ac:dyDescent="0.25">
      <c r="A187" s="19" t="s">
        <v>433</v>
      </c>
      <c r="B187" s="63">
        <v>41508</v>
      </c>
      <c r="C187" s="24">
        <v>0.99999985000000002</v>
      </c>
      <c r="D187" s="24">
        <v>1</v>
      </c>
      <c r="E187" s="59"/>
    </row>
    <row r="188" spans="1:5" customFormat="1" x14ac:dyDescent="0.25">
      <c r="A188" s="18" t="s">
        <v>95</v>
      </c>
      <c r="B188" s="63"/>
      <c r="C188" s="24"/>
      <c r="D188" s="24"/>
      <c r="E188" s="59"/>
    </row>
    <row r="189" spans="1:5" customFormat="1" x14ac:dyDescent="0.25">
      <c r="A189" s="19" t="s">
        <v>41</v>
      </c>
      <c r="B189" s="63">
        <v>41890</v>
      </c>
      <c r="C189" s="24">
        <v>0.9990517870167761</v>
      </c>
      <c r="D189" s="24">
        <v>1</v>
      </c>
      <c r="E189" s="59"/>
    </row>
    <row r="190" spans="1:5" customFormat="1" x14ac:dyDescent="0.25">
      <c r="A190" s="18" t="s">
        <v>96</v>
      </c>
      <c r="B190" s="63"/>
      <c r="C190" s="24"/>
      <c r="D190" s="24"/>
      <c r="E190" s="59"/>
    </row>
    <row r="191" spans="1:5" customFormat="1" x14ac:dyDescent="0.25">
      <c r="A191" s="19" t="s">
        <v>3</v>
      </c>
      <c r="B191" s="63">
        <v>41820</v>
      </c>
      <c r="C191" s="24">
        <v>0.99999883753877283</v>
      </c>
      <c r="D191" s="24">
        <v>1</v>
      </c>
      <c r="E191" s="59"/>
    </row>
    <row r="192" spans="1:5" customFormat="1" x14ac:dyDescent="0.25">
      <c r="A192" s="18" t="s">
        <v>97</v>
      </c>
      <c r="B192" s="63"/>
      <c r="C192" s="24"/>
      <c r="D192" s="24"/>
      <c r="E192" s="59"/>
    </row>
    <row r="193" spans="1:5" customFormat="1" x14ac:dyDescent="0.25">
      <c r="A193" s="19" t="s">
        <v>98</v>
      </c>
      <c r="B193" s="63">
        <v>41692</v>
      </c>
      <c r="C193" s="24">
        <v>0.99541854221486104</v>
      </c>
      <c r="D193" s="24">
        <v>1</v>
      </c>
      <c r="E193" s="59"/>
    </row>
    <row r="194" spans="1:5" customFormat="1" x14ac:dyDescent="0.25">
      <c r="A194" s="18" t="s">
        <v>99</v>
      </c>
      <c r="B194" s="63"/>
      <c r="C194" s="24"/>
      <c r="D194" s="24"/>
      <c r="E194" s="59"/>
    </row>
    <row r="195" spans="1:5" customFormat="1" x14ac:dyDescent="0.25">
      <c r="A195" s="19" t="s">
        <v>100</v>
      </c>
      <c r="B195" s="63">
        <v>41660</v>
      </c>
      <c r="C195" s="24">
        <v>0.9756046734955186</v>
      </c>
      <c r="D195" s="24">
        <v>1</v>
      </c>
      <c r="E195" s="59"/>
    </row>
    <row r="196" spans="1:5" customFormat="1" x14ac:dyDescent="0.25">
      <c r="A196" s="18" t="s">
        <v>121</v>
      </c>
      <c r="B196" s="63"/>
      <c r="C196" s="24"/>
      <c r="D196" s="24"/>
      <c r="E196" s="59"/>
    </row>
    <row r="197" spans="1:5" customFormat="1" x14ac:dyDescent="0.25">
      <c r="A197" s="19" t="s">
        <v>15</v>
      </c>
      <c r="B197" s="63">
        <v>41774</v>
      </c>
      <c r="C197" s="24">
        <v>1</v>
      </c>
      <c r="D197" s="24">
        <v>1</v>
      </c>
      <c r="E197" s="59"/>
    </row>
    <row r="198" spans="1:5" customFormat="1" x14ac:dyDescent="0.25">
      <c r="A198" s="18" t="s">
        <v>123</v>
      </c>
      <c r="B198" s="63"/>
      <c r="C198" s="24"/>
      <c r="D198" s="24"/>
      <c r="E198" s="59"/>
    </row>
    <row r="199" spans="1:5" customFormat="1" x14ac:dyDescent="0.25">
      <c r="A199" s="19" t="s">
        <v>124</v>
      </c>
      <c r="B199" s="63">
        <v>41713</v>
      </c>
      <c r="C199" s="24">
        <v>0.55000000000000004</v>
      </c>
      <c r="D199" s="24">
        <v>1</v>
      </c>
      <c r="E199" s="59"/>
    </row>
    <row r="200" spans="1:5" customFormat="1" x14ac:dyDescent="0.25">
      <c r="A200" s="18" t="s">
        <v>125</v>
      </c>
      <c r="B200" s="63"/>
      <c r="C200" s="24"/>
      <c r="D200" s="24"/>
      <c r="E200" s="59"/>
    </row>
    <row r="201" spans="1:5" customFormat="1" x14ac:dyDescent="0.25">
      <c r="A201" s="19" t="s">
        <v>126</v>
      </c>
      <c r="B201" s="63">
        <v>41698</v>
      </c>
      <c r="C201" s="24">
        <v>0.83105722827247486</v>
      </c>
      <c r="D201" s="24">
        <v>1</v>
      </c>
      <c r="E201" s="59"/>
    </row>
    <row r="202" spans="1:5" customFormat="1" x14ac:dyDescent="0.25">
      <c r="A202" s="18" t="s">
        <v>129</v>
      </c>
      <c r="B202" s="63"/>
      <c r="C202" s="24"/>
      <c r="D202" s="24"/>
      <c r="E202" s="59"/>
    </row>
    <row r="203" spans="1:5" customFormat="1" x14ac:dyDescent="0.25">
      <c r="A203" s="19" t="s">
        <v>1019</v>
      </c>
      <c r="B203" s="63">
        <v>41806</v>
      </c>
      <c r="C203" s="24">
        <v>0.99133303140096618</v>
      </c>
      <c r="D203" s="24">
        <v>1</v>
      </c>
      <c r="E203" s="59"/>
    </row>
    <row r="204" spans="1:5" customFormat="1" x14ac:dyDescent="0.25">
      <c r="A204" s="18" t="s">
        <v>89</v>
      </c>
      <c r="B204" s="63"/>
      <c r="C204" s="24"/>
      <c r="D204" s="24"/>
      <c r="E204" s="59"/>
    </row>
    <row r="205" spans="1:5" customFormat="1" x14ac:dyDescent="0.25">
      <c r="A205" s="19" t="s">
        <v>90</v>
      </c>
      <c r="B205" s="63">
        <v>41802</v>
      </c>
      <c r="C205" s="24">
        <v>1</v>
      </c>
      <c r="D205" s="24">
        <v>1</v>
      </c>
      <c r="E205" s="59"/>
    </row>
    <row r="206" spans="1:5" customFormat="1" x14ac:dyDescent="0.25">
      <c r="A206" s="18" t="s">
        <v>130</v>
      </c>
      <c r="B206" s="63"/>
      <c r="C206" s="24"/>
      <c r="D206" s="24"/>
      <c r="E206" s="59"/>
    </row>
    <row r="207" spans="1:5" customFormat="1" x14ac:dyDescent="0.25">
      <c r="A207" s="19" t="s">
        <v>1111</v>
      </c>
      <c r="B207" s="63">
        <v>41897</v>
      </c>
      <c r="C207" s="24">
        <v>0.99999999935584927</v>
      </c>
      <c r="D207" s="24">
        <v>1</v>
      </c>
      <c r="E207" s="59"/>
    </row>
    <row r="208" spans="1:5" customFormat="1" x14ac:dyDescent="0.25">
      <c r="A208" s="18" t="s">
        <v>132</v>
      </c>
      <c r="B208" s="63"/>
      <c r="C208" s="24"/>
      <c r="D208" s="24"/>
      <c r="E208" s="59"/>
    </row>
    <row r="209" spans="1:5" customFormat="1" x14ac:dyDescent="0.25">
      <c r="A209" s="19" t="s">
        <v>27</v>
      </c>
      <c r="B209" s="63">
        <v>41969</v>
      </c>
      <c r="C209" s="24">
        <v>1</v>
      </c>
      <c r="D209" s="24">
        <v>1</v>
      </c>
      <c r="E209" s="59"/>
    </row>
    <row r="210" spans="1:5" customFormat="1" x14ac:dyDescent="0.25">
      <c r="A210" s="18" t="s">
        <v>133</v>
      </c>
      <c r="B210" s="63"/>
      <c r="C210" s="24"/>
      <c r="D210" s="24"/>
      <c r="E210" s="59"/>
    </row>
    <row r="211" spans="1:5" customFormat="1" x14ac:dyDescent="0.25">
      <c r="A211" s="19" t="s">
        <v>134</v>
      </c>
      <c r="B211" s="63">
        <v>41823</v>
      </c>
      <c r="C211" s="24">
        <v>0.357908</v>
      </c>
      <c r="D211" s="24">
        <v>1</v>
      </c>
      <c r="E211" s="59"/>
    </row>
    <row r="212" spans="1:5" customFormat="1" x14ac:dyDescent="0.25">
      <c r="A212" s="18" t="s">
        <v>135</v>
      </c>
      <c r="B212" s="63"/>
      <c r="C212" s="24"/>
      <c r="D212" s="24"/>
      <c r="E212" s="59"/>
    </row>
    <row r="213" spans="1:5" customFormat="1" x14ac:dyDescent="0.25">
      <c r="A213" s="19" t="s">
        <v>38</v>
      </c>
      <c r="B213" s="63">
        <v>41820</v>
      </c>
      <c r="C213" s="24">
        <v>0.99999994429721428</v>
      </c>
      <c r="D213" s="24">
        <v>1</v>
      </c>
      <c r="E213" s="59"/>
    </row>
    <row r="214" spans="1:5" customFormat="1" x14ac:dyDescent="0.25">
      <c r="A214" s="18" t="s">
        <v>136</v>
      </c>
      <c r="B214" s="63"/>
      <c r="C214" s="24"/>
      <c r="D214" s="24"/>
      <c r="E214" s="59"/>
    </row>
    <row r="215" spans="1:5" customFormat="1" x14ac:dyDescent="0.25">
      <c r="A215" s="19" t="s">
        <v>137</v>
      </c>
      <c r="B215" s="63">
        <v>41660</v>
      </c>
      <c r="C215" s="24">
        <v>0.41667500000000002</v>
      </c>
      <c r="D215" s="24">
        <v>1</v>
      </c>
      <c r="E215" s="59"/>
    </row>
    <row r="216" spans="1:5" customFormat="1" x14ac:dyDescent="0.25">
      <c r="A216" s="18" t="s">
        <v>202</v>
      </c>
      <c r="B216" s="63"/>
      <c r="C216" s="24"/>
      <c r="D216" s="24"/>
      <c r="E216" s="59"/>
    </row>
    <row r="217" spans="1:5" customFormat="1" x14ac:dyDescent="0.25">
      <c r="A217" s="19" t="s">
        <v>203</v>
      </c>
      <c r="B217" s="63">
        <v>41578</v>
      </c>
      <c r="C217" s="24">
        <v>1</v>
      </c>
      <c r="D217" s="24">
        <v>1</v>
      </c>
      <c r="E217" s="59"/>
    </row>
    <row r="218" spans="1:5" customFormat="1" x14ac:dyDescent="0.25">
      <c r="A218" s="18" t="s">
        <v>138</v>
      </c>
      <c r="B218" s="63"/>
      <c r="C218" s="24"/>
      <c r="D218" s="24"/>
      <c r="E218" s="59"/>
    </row>
    <row r="219" spans="1:5" customFormat="1" x14ac:dyDescent="0.25">
      <c r="A219" s="19" t="s">
        <v>1034</v>
      </c>
      <c r="B219" s="63">
        <v>41665</v>
      </c>
      <c r="C219" s="24">
        <v>1</v>
      </c>
      <c r="D219" s="24">
        <v>1</v>
      </c>
      <c r="E219" s="59"/>
    </row>
    <row r="220" spans="1:5" customFormat="1" x14ac:dyDescent="0.25">
      <c r="A220" s="18" t="s">
        <v>139</v>
      </c>
      <c r="B220" s="63"/>
      <c r="C220" s="24"/>
      <c r="D220" s="24"/>
      <c r="E220" s="59"/>
    </row>
    <row r="221" spans="1:5" customFormat="1" x14ac:dyDescent="0.25">
      <c r="A221" s="19" t="s">
        <v>140</v>
      </c>
      <c r="B221" s="63">
        <v>41667</v>
      </c>
      <c r="C221" s="24">
        <v>1</v>
      </c>
      <c r="D221" s="24">
        <v>1</v>
      </c>
      <c r="E221" s="59"/>
    </row>
    <row r="222" spans="1:5" customFormat="1" x14ac:dyDescent="0.25">
      <c r="A222" s="18" t="s">
        <v>141</v>
      </c>
      <c r="B222" s="63"/>
      <c r="C222" s="24"/>
      <c r="D222" s="24"/>
      <c r="E222" s="59"/>
    </row>
    <row r="223" spans="1:5" customFormat="1" x14ac:dyDescent="0.25">
      <c r="A223" s="19" t="s">
        <v>142</v>
      </c>
      <c r="B223" s="63">
        <v>41501</v>
      </c>
      <c r="C223" s="24">
        <v>1</v>
      </c>
      <c r="D223" s="24">
        <v>1</v>
      </c>
      <c r="E223" s="59"/>
    </row>
    <row r="224" spans="1:5" customFormat="1" x14ac:dyDescent="0.25">
      <c r="A224" s="18" t="s">
        <v>143</v>
      </c>
      <c r="B224" s="63"/>
      <c r="C224" s="24"/>
      <c r="D224" s="24"/>
      <c r="E224" s="59"/>
    </row>
    <row r="225" spans="1:5" customFormat="1" x14ac:dyDescent="0.25">
      <c r="A225" s="19" t="s">
        <v>144</v>
      </c>
      <c r="B225" s="63">
        <v>41849</v>
      </c>
      <c r="C225" s="24">
        <v>1</v>
      </c>
      <c r="D225" s="24">
        <v>1</v>
      </c>
      <c r="E225" s="59"/>
    </row>
    <row r="226" spans="1:5" customFormat="1" x14ac:dyDescent="0.25">
      <c r="A226" s="18" t="s">
        <v>145</v>
      </c>
      <c r="B226" s="63"/>
      <c r="C226" s="24"/>
      <c r="D226" s="24"/>
      <c r="E226" s="59"/>
    </row>
    <row r="227" spans="1:5" customFormat="1" x14ac:dyDescent="0.25">
      <c r="A227" s="19" t="s">
        <v>43</v>
      </c>
      <c r="B227" s="63">
        <v>41736</v>
      </c>
      <c r="C227" s="24">
        <v>0.85059696291835152</v>
      </c>
      <c r="D227" s="24">
        <v>1</v>
      </c>
      <c r="E227" s="59"/>
    </row>
    <row r="228" spans="1:5" customFormat="1" x14ac:dyDescent="0.25">
      <c r="A228" s="18" t="s">
        <v>146</v>
      </c>
      <c r="B228" s="63"/>
      <c r="C228" s="24"/>
      <c r="D228" s="24"/>
      <c r="E228" s="59"/>
    </row>
    <row r="229" spans="1:5" customFormat="1" x14ac:dyDescent="0.25">
      <c r="A229" s="19" t="s">
        <v>1018</v>
      </c>
      <c r="B229" s="63">
        <v>41810</v>
      </c>
      <c r="C229" s="24">
        <v>0.98649968699677015</v>
      </c>
      <c r="D229" s="24">
        <v>1</v>
      </c>
      <c r="E229" s="59"/>
    </row>
    <row r="230" spans="1:5" customFormat="1" x14ac:dyDescent="0.25">
      <c r="A230" s="18" t="s">
        <v>147</v>
      </c>
      <c r="B230" s="63"/>
      <c r="C230" s="24"/>
      <c r="D230" s="24"/>
      <c r="E230" s="59"/>
    </row>
    <row r="231" spans="1:5" customFormat="1" x14ac:dyDescent="0.25">
      <c r="A231" s="19" t="s">
        <v>148</v>
      </c>
      <c r="B231" s="63">
        <v>41851</v>
      </c>
      <c r="C231" s="24">
        <v>1</v>
      </c>
      <c r="D231" s="24">
        <v>1</v>
      </c>
      <c r="E231" s="59"/>
    </row>
    <row r="232" spans="1:5" customFormat="1" x14ac:dyDescent="0.25">
      <c r="A232" s="18" t="s">
        <v>155</v>
      </c>
      <c r="B232" s="63"/>
      <c r="C232" s="24"/>
      <c r="D232" s="24"/>
      <c r="E232" s="59"/>
    </row>
    <row r="233" spans="1:5" customFormat="1" x14ac:dyDescent="0.25">
      <c r="A233" s="19" t="s">
        <v>1035</v>
      </c>
      <c r="B233" s="63">
        <v>41671</v>
      </c>
      <c r="C233" s="24">
        <v>1</v>
      </c>
      <c r="D233" s="24">
        <v>1</v>
      </c>
      <c r="E233" s="59"/>
    </row>
    <row r="234" spans="1:5" customFormat="1" x14ac:dyDescent="0.25">
      <c r="A234" s="18" t="s">
        <v>156</v>
      </c>
      <c r="B234" s="63"/>
      <c r="C234" s="24"/>
      <c r="D234" s="24"/>
      <c r="E234" s="59"/>
    </row>
    <row r="235" spans="1:5" customFormat="1" x14ac:dyDescent="0.25">
      <c r="A235" s="19" t="s">
        <v>53</v>
      </c>
      <c r="B235" s="63">
        <v>41712</v>
      </c>
      <c r="C235" s="24">
        <v>0.99976348590110342</v>
      </c>
      <c r="D235" s="24">
        <v>1</v>
      </c>
      <c r="E235" s="59"/>
    </row>
    <row r="236" spans="1:5" customFormat="1" x14ac:dyDescent="0.25">
      <c r="A236" s="18" t="s">
        <v>157</v>
      </c>
      <c r="B236" s="63"/>
      <c r="C236" s="24"/>
      <c r="D236" s="24"/>
      <c r="E236" s="59"/>
    </row>
    <row r="237" spans="1:5" customFormat="1" x14ac:dyDescent="0.25">
      <c r="A237" s="19" t="s">
        <v>158</v>
      </c>
      <c r="B237" s="63">
        <v>41562</v>
      </c>
      <c r="C237" s="24">
        <v>1</v>
      </c>
      <c r="D237" s="24">
        <v>1</v>
      </c>
      <c r="E237" s="59"/>
    </row>
    <row r="238" spans="1:5" customFormat="1" x14ac:dyDescent="0.25">
      <c r="A238" s="18" t="s">
        <v>159</v>
      </c>
      <c r="B238" s="63"/>
      <c r="C238" s="24"/>
      <c r="D238" s="24"/>
      <c r="E238" s="59"/>
    </row>
    <row r="239" spans="1:5" customFormat="1" x14ac:dyDescent="0.25">
      <c r="A239" s="19" t="s">
        <v>160</v>
      </c>
      <c r="B239" s="63">
        <v>41533</v>
      </c>
      <c r="C239" s="24">
        <v>1</v>
      </c>
      <c r="D239" s="24">
        <v>1</v>
      </c>
      <c r="E239" s="59"/>
    </row>
    <row r="240" spans="1:5" customFormat="1" x14ac:dyDescent="0.25">
      <c r="A240" s="18" t="s">
        <v>164</v>
      </c>
      <c r="B240" s="63"/>
      <c r="C240" s="24"/>
      <c r="D240" s="24"/>
      <c r="E240" s="59"/>
    </row>
    <row r="241" spans="1:5" customFormat="1" x14ac:dyDescent="0.25">
      <c r="A241" s="19" t="s">
        <v>165</v>
      </c>
      <c r="B241" s="63">
        <v>41820</v>
      </c>
      <c r="C241" s="24">
        <v>0.98434615815992088</v>
      </c>
      <c r="D241" s="24">
        <v>1</v>
      </c>
      <c r="E241" s="59"/>
    </row>
    <row r="242" spans="1:5" customFormat="1" x14ac:dyDescent="0.25">
      <c r="A242" s="18" t="s">
        <v>190</v>
      </c>
      <c r="B242" s="63"/>
      <c r="C242" s="24"/>
      <c r="D242" s="24"/>
      <c r="E242" s="59"/>
    </row>
    <row r="243" spans="1:5" customFormat="1" x14ac:dyDescent="0.25">
      <c r="A243" s="19" t="s">
        <v>29</v>
      </c>
      <c r="B243" s="63">
        <v>41895</v>
      </c>
      <c r="C243" s="24">
        <v>1</v>
      </c>
      <c r="D243" s="24">
        <v>1</v>
      </c>
      <c r="E243" s="59"/>
    </row>
    <row r="244" spans="1:5" customFormat="1" x14ac:dyDescent="0.25">
      <c r="A244" s="18" t="s">
        <v>166</v>
      </c>
      <c r="B244" s="63"/>
      <c r="C244" s="24"/>
      <c r="D244" s="24"/>
      <c r="E244" s="59"/>
    </row>
    <row r="245" spans="1:5" customFormat="1" x14ac:dyDescent="0.25">
      <c r="A245" s="19" t="s">
        <v>1025</v>
      </c>
      <c r="B245" s="63">
        <v>41714</v>
      </c>
      <c r="C245" s="24">
        <v>1</v>
      </c>
      <c r="D245" s="24">
        <v>1</v>
      </c>
      <c r="E245" s="59"/>
    </row>
    <row r="246" spans="1:5" customFormat="1" x14ac:dyDescent="0.25">
      <c r="A246" s="18" t="s">
        <v>175</v>
      </c>
      <c r="B246" s="63"/>
      <c r="C246" s="24"/>
      <c r="D246" s="24"/>
      <c r="E246" s="59"/>
    </row>
    <row r="247" spans="1:5" customFormat="1" x14ac:dyDescent="0.25">
      <c r="A247" s="19" t="s">
        <v>176</v>
      </c>
      <c r="B247" s="63">
        <v>42082</v>
      </c>
      <c r="C247" s="24">
        <v>1</v>
      </c>
      <c r="D247" s="24">
        <v>1</v>
      </c>
      <c r="E247" s="59"/>
    </row>
    <row r="248" spans="1:5" customFormat="1" x14ac:dyDescent="0.25">
      <c r="A248" s="18" t="s">
        <v>197</v>
      </c>
      <c r="B248" s="63"/>
      <c r="C248" s="24"/>
      <c r="D248" s="24"/>
      <c r="E248" s="59"/>
    </row>
    <row r="249" spans="1:5" customFormat="1" x14ac:dyDescent="0.25">
      <c r="A249" s="19" t="s">
        <v>198</v>
      </c>
      <c r="B249" s="63">
        <v>41790</v>
      </c>
      <c r="C249" s="24">
        <v>0.99863099197808647</v>
      </c>
      <c r="D249" s="24">
        <v>1</v>
      </c>
      <c r="E249" s="59"/>
    </row>
    <row r="250" spans="1:5" customFormat="1" x14ac:dyDescent="0.25">
      <c r="A250" s="18" t="s">
        <v>167</v>
      </c>
      <c r="B250" s="63"/>
      <c r="C250" s="24"/>
      <c r="D250" s="24"/>
      <c r="E250" s="59"/>
    </row>
    <row r="251" spans="1:5" customFormat="1" x14ac:dyDescent="0.25">
      <c r="A251" s="19" t="s">
        <v>1515</v>
      </c>
      <c r="B251" s="63">
        <v>41691</v>
      </c>
      <c r="C251" s="24">
        <v>1</v>
      </c>
      <c r="D251" s="24">
        <v>1</v>
      </c>
      <c r="E251" s="59"/>
    </row>
    <row r="252" spans="1:5" customFormat="1" x14ac:dyDescent="0.25">
      <c r="A252" s="18" t="s">
        <v>178</v>
      </c>
      <c r="B252" s="63"/>
      <c r="C252" s="24"/>
      <c r="D252" s="24"/>
      <c r="E252" s="59"/>
    </row>
    <row r="253" spans="1:5" customFormat="1" x14ac:dyDescent="0.25">
      <c r="A253" s="19" t="s">
        <v>33</v>
      </c>
      <c r="B253" s="63">
        <v>41911</v>
      </c>
      <c r="C253" s="24">
        <v>1</v>
      </c>
      <c r="D253" s="24">
        <v>1</v>
      </c>
      <c r="E253" s="59"/>
    </row>
    <row r="254" spans="1:5" customFormat="1" x14ac:dyDescent="0.25">
      <c r="A254" s="18" t="s">
        <v>189</v>
      </c>
      <c r="B254" s="63"/>
      <c r="C254" s="24"/>
      <c r="D254" s="24"/>
      <c r="E254" s="59"/>
    </row>
    <row r="255" spans="1:5" customFormat="1" x14ac:dyDescent="0.25">
      <c r="A255" s="19" t="s">
        <v>13</v>
      </c>
      <c r="B255" s="63">
        <v>41892</v>
      </c>
      <c r="C255" s="24">
        <v>1</v>
      </c>
      <c r="D255" s="24">
        <v>1</v>
      </c>
      <c r="E255" s="59"/>
    </row>
    <row r="256" spans="1:5" customFormat="1" x14ac:dyDescent="0.25">
      <c r="A256" s="18" t="s">
        <v>168</v>
      </c>
      <c r="B256" s="63"/>
      <c r="C256" s="24"/>
      <c r="D256" s="24"/>
      <c r="E256" s="59"/>
    </row>
    <row r="257" spans="1:5" customFormat="1" x14ac:dyDescent="0.25">
      <c r="A257" s="19" t="s">
        <v>169</v>
      </c>
      <c r="B257" s="63">
        <v>41858</v>
      </c>
      <c r="C257" s="24">
        <v>1</v>
      </c>
      <c r="D257" s="24">
        <v>1</v>
      </c>
      <c r="E257" s="59"/>
    </row>
    <row r="258" spans="1:5" customFormat="1" x14ac:dyDescent="0.25">
      <c r="A258" s="18" t="s">
        <v>172</v>
      </c>
      <c r="B258" s="63"/>
      <c r="C258" s="24"/>
      <c r="D258" s="24"/>
      <c r="E258" s="59"/>
    </row>
    <row r="259" spans="1:5" customFormat="1" x14ac:dyDescent="0.25">
      <c r="A259" s="19" t="s">
        <v>152</v>
      </c>
      <c r="B259" s="63">
        <v>41864</v>
      </c>
      <c r="C259" s="24">
        <v>0.97855819103293284</v>
      </c>
      <c r="D259" s="24">
        <v>1</v>
      </c>
      <c r="E259" s="59"/>
    </row>
    <row r="260" spans="1:5" customFormat="1" x14ac:dyDescent="0.25">
      <c r="A260" s="18" t="s">
        <v>173</v>
      </c>
      <c r="B260" s="63"/>
      <c r="C260" s="24"/>
      <c r="D260" s="24"/>
      <c r="E260" s="59"/>
    </row>
    <row r="261" spans="1:5" customFormat="1" x14ac:dyDescent="0.25">
      <c r="A261" s="19" t="s">
        <v>174</v>
      </c>
      <c r="B261" s="63">
        <v>41876</v>
      </c>
      <c r="C261" s="24">
        <v>0.58682667443639147</v>
      </c>
      <c r="D261" s="24">
        <v>1</v>
      </c>
      <c r="E261" s="59"/>
    </row>
    <row r="262" spans="1:5" customFormat="1" x14ac:dyDescent="0.25">
      <c r="A262" s="18" t="s">
        <v>187</v>
      </c>
      <c r="B262" s="63"/>
      <c r="C262" s="24"/>
      <c r="D262" s="24"/>
      <c r="E262" s="59"/>
    </row>
    <row r="263" spans="1:5" customFormat="1" x14ac:dyDescent="0.25">
      <c r="A263" s="19" t="s">
        <v>188</v>
      </c>
      <c r="B263" s="63">
        <v>42099</v>
      </c>
      <c r="C263" s="24">
        <v>0.99989882558324072</v>
      </c>
      <c r="D263" s="24">
        <v>1</v>
      </c>
      <c r="E263" s="59"/>
    </row>
    <row r="264" spans="1:5" customFormat="1" x14ac:dyDescent="0.25">
      <c r="A264" s="18" t="s">
        <v>183</v>
      </c>
      <c r="B264" s="63"/>
      <c r="C264" s="24"/>
      <c r="D264" s="24"/>
      <c r="E264" s="59"/>
    </row>
    <row r="265" spans="1:5" customFormat="1" x14ac:dyDescent="0.25">
      <c r="A265" s="19" t="s">
        <v>184</v>
      </c>
      <c r="B265" s="63">
        <v>42055</v>
      </c>
      <c r="C265" s="24">
        <v>0.7390409857684449</v>
      </c>
      <c r="D265" s="24">
        <v>1</v>
      </c>
      <c r="E265" s="59"/>
    </row>
    <row r="266" spans="1:5" customFormat="1" x14ac:dyDescent="0.25">
      <c r="A266" s="18" t="s">
        <v>185</v>
      </c>
      <c r="B266" s="63"/>
      <c r="C266" s="24"/>
      <c r="D266" s="24"/>
      <c r="E266" s="59"/>
    </row>
    <row r="267" spans="1:5" customFormat="1" x14ac:dyDescent="0.25">
      <c r="A267" s="19" t="s">
        <v>186</v>
      </c>
      <c r="B267" s="63">
        <v>41897</v>
      </c>
      <c r="C267" s="24">
        <v>0.55610795454545459</v>
      </c>
      <c r="D267" s="24">
        <v>1</v>
      </c>
      <c r="E267" s="59"/>
    </row>
    <row r="268" spans="1:5" customFormat="1" x14ac:dyDescent="0.25">
      <c r="A268" s="18" t="s">
        <v>195</v>
      </c>
      <c r="B268" s="63"/>
      <c r="C268" s="24"/>
      <c r="D268" s="24"/>
      <c r="E268" s="59"/>
    </row>
    <row r="269" spans="1:5" customFormat="1" x14ac:dyDescent="0.25">
      <c r="A269" s="19" t="s">
        <v>1037</v>
      </c>
      <c r="B269" s="63">
        <v>41782</v>
      </c>
      <c r="C269" s="24">
        <v>0.99992803695097709</v>
      </c>
      <c r="D269" s="24">
        <v>1</v>
      </c>
      <c r="E269" s="59"/>
    </row>
    <row r="270" spans="1:5" customFormat="1" x14ac:dyDescent="0.25">
      <c r="A270" s="18" t="s">
        <v>191</v>
      </c>
      <c r="B270" s="63"/>
      <c r="C270" s="24"/>
      <c r="D270" s="24"/>
      <c r="E270" s="59"/>
    </row>
    <row r="271" spans="1:5" customFormat="1" x14ac:dyDescent="0.25">
      <c r="A271" s="19" t="s">
        <v>192</v>
      </c>
      <c r="B271" s="63">
        <v>41615</v>
      </c>
      <c r="C271" s="24">
        <v>1</v>
      </c>
      <c r="D271" s="24">
        <v>1</v>
      </c>
      <c r="E271" s="59"/>
    </row>
    <row r="272" spans="1:5" customFormat="1" x14ac:dyDescent="0.25">
      <c r="A272" s="18" t="s">
        <v>199</v>
      </c>
      <c r="B272" s="63"/>
      <c r="C272" s="24"/>
      <c r="D272" s="24"/>
      <c r="E272" s="59"/>
    </row>
    <row r="273" spans="1:5" customFormat="1" x14ac:dyDescent="0.25">
      <c r="A273" s="19" t="s">
        <v>1038</v>
      </c>
      <c r="B273" s="63">
        <v>41890</v>
      </c>
      <c r="C273" s="24">
        <v>0.91091309628008754</v>
      </c>
      <c r="D273" s="24">
        <v>1</v>
      </c>
      <c r="E273" s="59"/>
    </row>
    <row r="274" spans="1:5" customFormat="1" x14ac:dyDescent="0.25">
      <c r="A274" s="18" t="s">
        <v>177</v>
      </c>
      <c r="B274" s="63"/>
      <c r="C274" s="24"/>
      <c r="D274" s="24"/>
      <c r="E274" s="59"/>
    </row>
    <row r="275" spans="1:5" customFormat="1" x14ac:dyDescent="0.25">
      <c r="A275" s="19" t="s">
        <v>1039</v>
      </c>
      <c r="B275" s="63">
        <v>41645</v>
      </c>
      <c r="C275" s="24">
        <v>1</v>
      </c>
      <c r="D275" s="24">
        <v>1</v>
      </c>
      <c r="E275" s="59"/>
    </row>
    <row r="276" spans="1:5" customFormat="1" x14ac:dyDescent="0.25">
      <c r="A276" s="18" t="s">
        <v>193</v>
      </c>
      <c r="B276" s="63"/>
      <c r="C276" s="24"/>
      <c r="D276" s="24"/>
      <c r="E276" s="59"/>
    </row>
    <row r="277" spans="1:5" customFormat="1" x14ac:dyDescent="0.25">
      <c r="A277" s="19" t="s">
        <v>194</v>
      </c>
      <c r="B277" s="63">
        <v>41935</v>
      </c>
      <c r="C277" s="24">
        <v>1</v>
      </c>
      <c r="D277" s="24">
        <v>1</v>
      </c>
      <c r="E277" s="59"/>
    </row>
    <row r="278" spans="1:5" customFormat="1" x14ac:dyDescent="0.25">
      <c r="A278" s="18" t="s">
        <v>196</v>
      </c>
      <c r="B278" s="63"/>
      <c r="C278" s="24"/>
      <c r="D278" s="24"/>
      <c r="E278" s="59"/>
    </row>
    <row r="279" spans="1:5" customFormat="1" x14ac:dyDescent="0.25">
      <c r="A279" s="19" t="s">
        <v>22</v>
      </c>
      <c r="B279" s="63">
        <v>41926</v>
      </c>
      <c r="C279" s="24">
        <v>1</v>
      </c>
      <c r="D279" s="24">
        <v>1</v>
      </c>
      <c r="E279" s="59"/>
    </row>
    <row r="280" spans="1:5" customFormat="1" x14ac:dyDescent="0.25">
      <c r="A280" s="18" t="s">
        <v>200</v>
      </c>
      <c r="B280" s="63"/>
      <c r="C280" s="24"/>
      <c r="D280" s="24"/>
      <c r="E280" s="59"/>
    </row>
    <row r="281" spans="1:5" customFormat="1" x14ac:dyDescent="0.25">
      <c r="A281" s="19" t="s">
        <v>201</v>
      </c>
      <c r="B281" s="63">
        <v>41592</v>
      </c>
      <c r="C281" s="24">
        <v>1</v>
      </c>
      <c r="D281" s="24">
        <v>1</v>
      </c>
      <c r="E281" s="59"/>
    </row>
    <row r="282" spans="1:5" customFormat="1" x14ac:dyDescent="0.25">
      <c r="A282" s="18" t="s">
        <v>204</v>
      </c>
      <c r="B282" s="63"/>
      <c r="C282" s="24"/>
      <c r="D282" s="24"/>
      <c r="E282" s="59"/>
    </row>
    <row r="283" spans="1:5" customFormat="1" x14ac:dyDescent="0.25">
      <c r="A283" s="19" t="s">
        <v>205</v>
      </c>
      <c r="B283" s="63">
        <v>41692</v>
      </c>
      <c r="C283" s="24">
        <v>1</v>
      </c>
      <c r="D283" s="24">
        <v>1</v>
      </c>
      <c r="E283" s="59"/>
    </row>
    <row r="284" spans="1:5" customFormat="1" x14ac:dyDescent="0.25">
      <c r="A284" s="18" t="s">
        <v>206</v>
      </c>
      <c r="B284" s="63"/>
      <c r="C284" s="24"/>
      <c r="D284" s="24"/>
      <c r="E284" s="59"/>
    </row>
    <row r="285" spans="1:5" customFormat="1" x14ac:dyDescent="0.25">
      <c r="A285" s="19" t="s">
        <v>1020</v>
      </c>
      <c r="B285" s="63">
        <v>41939</v>
      </c>
      <c r="C285" s="24">
        <v>1</v>
      </c>
      <c r="D285" s="24">
        <v>1</v>
      </c>
      <c r="E285" s="59"/>
    </row>
    <row r="286" spans="1:5" customFormat="1" x14ac:dyDescent="0.25">
      <c r="A286" s="18" t="s">
        <v>211</v>
      </c>
      <c r="B286" s="63"/>
      <c r="C286" s="24"/>
      <c r="D286" s="24"/>
      <c r="E286" s="59"/>
    </row>
    <row r="287" spans="1:5" customFormat="1" x14ac:dyDescent="0.25">
      <c r="A287" s="19" t="s">
        <v>212</v>
      </c>
      <c r="B287" s="63">
        <v>41650</v>
      </c>
      <c r="C287" s="24">
        <v>1</v>
      </c>
      <c r="D287" s="24">
        <v>1</v>
      </c>
      <c r="E287" s="59"/>
    </row>
    <row r="288" spans="1:5" customFormat="1" x14ac:dyDescent="0.25">
      <c r="A288" s="18" t="s">
        <v>209</v>
      </c>
      <c r="B288" s="63"/>
      <c r="C288" s="24"/>
      <c r="D288" s="24"/>
      <c r="E288" s="59"/>
    </row>
    <row r="289" spans="1:5" customFormat="1" x14ac:dyDescent="0.25">
      <c r="A289" s="19" t="s">
        <v>210</v>
      </c>
      <c r="B289" s="63">
        <v>41650</v>
      </c>
      <c r="C289" s="24">
        <v>1</v>
      </c>
      <c r="D289" s="24">
        <v>1</v>
      </c>
      <c r="E289" s="59"/>
    </row>
    <row r="290" spans="1:5" customFormat="1" x14ac:dyDescent="0.25">
      <c r="A290" s="18" t="s">
        <v>207</v>
      </c>
      <c r="B290" s="63"/>
      <c r="C290" s="24"/>
      <c r="D290" s="24"/>
      <c r="E290" s="59"/>
    </row>
    <row r="291" spans="1:5" customFormat="1" x14ac:dyDescent="0.25">
      <c r="A291" s="19" t="s">
        <v>208</v>
      </c>
      <c r="B291" s="63">
        <v>41814</v>
      </c>
      <c r="C291" s="24">
        <v>0.99993387762383112</v>
      </c>
      <c r="D291" s="24">
        <v>1</v>
      </c>
      <c r="E291" s="59"/>
    </row>
    <row r="292" spans="1:5" customFormat="1" x14ac:dyDescent="0.25">
      <c r="A292" s="18" t="s">
        <v>213</v>
      </c>
      <c r="B292" s="63"/>
      <c r="C292" s="24"/>
      <c r="D292" s="24"/>
      <c r="E292" s="59"/>
    </row>
    <row r="293" spans="1:5" customFormat="1" x14ac:dyDescent="0.25">
      <c r="A293" s="19" t="s">
        <v>1040</v>
      </c>
      <c r="B293" s="63">
        <v>41975</v>
      </c>
      <c r="C293" s="24">
        <v>0.97881928811910646</v>
      </c>
      <c r="D293" s="24">
        <v>1</v>
      </c>
      <c r="E293" s="59"/>
    </row>
    <row r="294" spans="1:5" customFormat="1" x14ac:dyDescent="0.25">
      <c r="A294" s="18" t="s">
        <v>258</v>
      </c>
      <c r="B294" s="63"/>
      <c r="C294" s="24"/>
      <c r="D294" s="24"/>
      <c r="E294" s="59"/>
    </row>
    <row r="295" spans="1:5" customFormat="1" x14ac:dyDescent="0.25">
      <c r="A295" s="19" t="s">
        <v>259</v>
      </c>
      <c r="B295" s="63">
        <v>42425</v>
      </c>
      <c r="C295" s="24" t="e">
        <v>#DIV/0!</v>
      </c>
      <c r="D295" s="24">
        <v>1</v>
      </c>
      <c r="E295" s="59"/>
    </row>
    <row r="296" spans="1:5" customFormat="1" x14ac:dyDescent="0.25">
      <c r="A296" s="18" t="s">
        <v>309</v>
      </c>
      <c r="B296" s="63"/>
      <c r="C296" s="24"/>
      <c r="D296" s="24"/>
      <c r="E296" s="59"/>
    </row>
    <row r="297" spans="1:5" customFormat="1" x14ac:dyDescent="0.25">
      <c r="A297" s="19" t="s">
        <v>77</v>
      </c>
      <c r="B297" s="63">
        <v>42321</v>
      </c>
      <c r="C297" s="24">
        <v>1</v>
      </c>
      <c r="D297" s="24">
        <v>1</v>
      </c>
      <c r="E297" s="59"/>
    </row>
    <row r="298" spans="1:5" customFormat="1" x14ac:dyDescent="0.25">
      <c r="A298" s="18" t="s">
        <v>234</v>
      </c>
      <c r="B298" s="63"/>
      <c r="C298" s="24"/>
      <c r="D298" s="24"/>
      <c r="E298" s="59"/>
    </row>
    <row r="299" spans="1:5" customFormat="1" x14ac:dyDescent="0.25">
      <c r="A299" s="19" t="s">
        <v>235</v>
      </c>
      <c r="B299" s="63">
        <v>41748</v>
      </c>
      <c r="C299" s="24">
        <v>0.99999961863725684</v>
      </c>
      <c r="D299" s="24">
        <v>1</v>
      </c>
      <c r="E299" s="59"/>
    </row>
    <row r="300" spans="1:5" customFormat="1" x14ac:dyDescent="0.25">
      <c r="A300" s="18" t="s">
        <v>214</v>
      </c>
      <c r="B300" s="63"/>
      <c r="C300" s="24"/>
      <c r="D300" s="24"/>
      <c r="E300" s="59"/>
    </row>
    <row r="301" spans="1:5" customFormat="1" x14ac:dyDescent="0.25">
      <c r="A301" s="19" t="s">
        <v>31</v>
      </c>
      <c r="B301" s="63">
        <v>41681</v>
      </c>
      <c r="C301" s="24">
        <v>1</v>
      </c>
      <c r="D301" s="24">
        <v>1</v>
      </c>
      <c r="E301" s="59"/>
    </row>
    <row r="302" spans="1:5" customFormat="1" x14ac:dyDescent="0.25">
      <c r="A302" s="18" t="s">
        <v>232</v>
      </c>
      <c r="B302" s="63"/>
      <c r="C302" s="24"/>
      <c r="D302" s="24"/>
      <c r="E302" s="59"/>
    </row>
    <row r="303" spans="1:5" customFormat="1" x14ac:dyDescent="0.25">
      <c r="A303" s="19" t="s">
        <v>233</v>
      </c>
      <c r="B303" s="63">
        <v>42005</v>
      </c>
      <c r="C303" s="24">
        <v>0.75490532036267322</v>
      </c>
      <c r="D303" s="24">
        <v>1</v>
      </c>
      <c r="E303" s="59"/>
    </row>
    <row r="304" spans="1:5" customFormat="1" x14ac:dyDescent="0.25">
      <c r="A304" s="18" t="s">
        <v>215</v>
      </c>
      <c r="B304" s="63"/>
      <c r="C304" s="24"/>
      <c r="D304" s="24"/>
      <c r="E304" s="59"/>
    </row>
    <row r="305" spans="1:5" customFormat="1" x14ac:dyDescent="0.25">
      <c r="A305" s="19" t="s">
        <v>1596</v>
      </c>
      <c r="B305" s="63">
        <v>41658</v>
      </c>
      <c r="C305" s="24">
        <v>1</v>
      </c>
      <c r="D305" s="24">
        <v>1</v>
      </c>
      <c r="E305" s="59"/>
    </row>
    <row r="306" spans="1:5" customFormat="1" x14ac:dyDescent="0.25">
      <c r="A306" s="18" t="s">
        <v>216</v>
      </c>
      <c r="B306" s="63"/>
      <c r="C306" s="24"/>
      <c r="D306" s="24"/>
      <c r="E306" s="59"/>
    </row>
    <row r="307" spans="1:5" customFormat="1" x14ac:dyDescent="0.25">
      <c r="A307" s="19" t="s">
        <v>217</v>
      </c>
      <c r="B307" s="63">
        <v>41985</v>
      </c>
      <c r="C307" s="24">
        <v>0.99999999558473551</v>
      </c>
      <c r="D307" s="24">
        <v>1</v>
      </c>
      <c r="E307" s="59"/>
    </row>
    <row r="308" spans="1:5" customFormat="1" x14ac:dyDescent="0.25">
      <c r="A308" s="18" t="s">
        <v>218</v>
      </c>
      <c r="B308" s="63"/>
      <c r="C308" s="24"/>
      <c r="D308" s="24"/>
      <c r="E308" s="59"/>
    </row>
    <row r="309" spans="1:5" customFormat="1" x14ac:dyDescent="0.25">
      <c r="A309" s="19" t="s">
        <v>219</v>
      </c>
      <c r="B309" s="63">
        <v>41980</v>
      </c>
      <c r="C309" s="24">
        <v>0.936670452631579</v>
      </c>
      <c r="D309" s="24">
        <v>1</v>
      </c>
      <c r="E309" s="59"/>
    </row>
    <row r="310" spans="1:5" customFormat="1" x14ac:dyDescent="0.25">
      <c r="A310" s="18" t="s">
        <v>220</v>
      </c>
      <c r="B310" s="63"/>
      <c r="C310" s="24"/>
      <c r="D310" s="24"/>
      <c r="E310" s="59"/>
    </row>
    <row r="311" spans="1:5" customFormat="1" x14ac:dyDescent="0.25">
      <c r="A311" s="19" t="s">
        <v>1149</v>
      </c>
      <c r="B311" s="63">
        <v>41641</v>
      </c>
      <c r="C311" s="24">
        <v>1</v>
      </c>
      <c r="D311" s="24">
        <v>1</v>
      </c>
      <c r="E311" s="59"/>
    </row>
    <row r="312" spans="1:5" customFormat="1" x14ac:dyDescent="0.25">
      <c r="A312" s="18" t="s">
        <v>227</v>
      </c>
      <c r="B312" s="63"/>
      <c r="C312" s="24"/>
      <c r="D312" s="24"/>
      <c r="E312" s="59"/>
    </row>
    <row r="313" spans="1:5" customFormat="1" x14ac:dyDescent="0.25">
      <c r="A313" s="19" t="s">
        <v>228</v>
      </c>
      <c r="B313" s="63">
        <v>41658</v>
      </c>
      <c r="C313" s="24">
        <v>1</v>
      </c>
      <c r="D313" s="24">
        <v>1</v>
      </c>
      <c r="E313" s="59"/>
    </row>
    <row r="314" spans="1:5" customFormat="1" x14ac:dyDescent="0.25">
      <c r="A314" s="18" t="s">
        <v>223</v>
      </c>
      <c r="B314" s="63"/>
      <c r="C314" s="24"/>
      <c r="D314" s="24"/>
      <c r="E314" s="59"/>
    </row>
    <row r="315" spans="1:5" customFormat="1" x14ac:dyDescent="0.25">
      <c r="A315" s="19" t="s">
        <v>224</v>
      </c>
      <c r="B315" s="63">
        <v>41658</v>
      </c>
      <c r="C315" s="24">
        <v>1</v>
      </c>
      <c r="D315" s="24">
        <v>1</v>
      </c>
      <c r="E315" s="59"/>
    </row>
    <row r="316" spans="1:5" customFormat="1" x14ac:dyDescent="0.25">
      <c r="A316" s="18" t="s">
        <v>231</v>
      </c>
      <c r="B316" s="63"/>
      <c r="C316" s="24"/>
      <c r="D316" s="24"/>
      <c r="E316" s="59"/>
    </row>
    <row r="317" spans="1:5" customFormat="1" x14ac:dyDescent="0.25">
      <c r="A317" s="19" t="s">
        <v>1042</v>
      </c>
      <c r="B317" s="63">
        <v>41797</v>
      </c>
      <c r="C317" s="24">
        <v>0.99512444285714285</v>
      </c>
      <c r="D317" s="24">
        <v>1</v>
      </c>
      <c r="E317" s="59"/>
    </row>
    <row r="318" spans="1:5" customFormat="1" x14ac:dyDescent="0.25">
      <c r="A318" s="18" t="s">
        <v>225</v>
      </c>
      <c r="B318" s="63"/>
      <c r="C318" s="24"/>
      <c r="D318" s="24"/>
      <c r="E318" s="59"/>
    </row>
    <row r="319" spans="1:5" customFormat="1" x14ac:dyDescent="0.25">
      <c r="A319" s="19" t="s">
        <v>226</v>
      </c>
      <c r="B319" s="63">
        <v>41658</v>
      </c>
      <c r="C319" s="24">
        <v>1</v>
      </c>
      <c r="D319" s="24">
        <v>1</v>
      </c>
      <c r="E319" s="59"/>
    </row>
    <row r="320" spans="1:5" customFormat="1" x14ac:dyDescent="0.25">
      <c r="A320" s="18" t="s">
        <v>221</v>
      </c>
      <c r="B320" s="63"/>
      <c r="C320" s="24"/>
      <c r="D320" s="24"/>
      <c r="E320" s="59"/>
    </row>
    <row r="321" spans="1:5" customFormat="1" x14ac:dyDescent="0.25">
      <c r="A321" s="19" t="s">
        <v>222</v>
      </c>
      <c r="B321" s="63">
        <v>41658</v>
      </c>
      <c r="C321" s="24">
        <v>1</v>
      </c>
      <c r="D321" s="24">
        <v>1</v>
      </c>
      <c r="E321" s="59"/>
    </row>
    <row r="322" spans="1:5" customFormat="1" x14ac:dyDescent="0.25">
      <c r="A322" s="18" t="s">
        <v>242</v>
      </c>
      <c r="B322" s="63"/>
      <c r="C322" s="24"/>
      <c r="D322" s="24"/>
      <c r="E322" s="59"/>
    </row>
    <row r="323" spans="1:5" customFormat="1" x14ac:dyDescent="0.25">
      <c r="A323" s="19" t="s">
        <v>235</v>
      </c>
      <c r="B323" s="63">
        <v>41751</v>
      </c>
      <c r="C323" s="24">
        <v>1</v>
      </c>
      <c r="D323" s="24">
        <v>1</v>
      </c>
      <c r="E323" s="59"/>
    </row>
    <row r="324" spans="1:5" customFormat="1" x14ac:dyDescent="0.25">
      <c r="A324" s="18" t="s">
        <v>240</v>
      </c>
      <c r="B324" s="63"/>
      <c r="C324" s="24"/>
      <c r="D324" s="24"/>
      <c r="E324" s="59"/>
    </row>
    <row r="325" spans="1:5" customFormat="1" x14ac:dyDescent="0.25">
      <c r="A325" s="19" t="s">
        <v>290</v>
      </c>
      <c r="B325" s="63">
        <v>42019</v>
      </c>
      <c r="C325" s="24">
        <v>0.47305419111111113</v>
      </c>
      <c r="D325" s="24">
        <v>1</v>
      </c>
      <c r="E325" s="59"/>
    </row>
    <row r="326" spans="1:5" customFormat="1" x14ac:dyDescent="0.25">
      <c r="A326" s="18" t="s">
        <v>229</v>
      </c>
      <c r="B326" s="63"/>
      <c r="C326" s="24"/>
      <c r="D326" s="24"/>
      <c r="E326" s="59"/>
    </row>
    <row r="327" spans="1:5" customFormat="1" x14ac:dyDescent="0.25">
      <c r="A327" s="19" t="s">
        <v>1043</v>
      </c>
      <c r="B327" s="63">
        <v>41664</v>
      </c>
      <c r="C327" s="24">
        <v>1</v>
      </c>
      <c r="D327" s="24">
        <v>1</v>
      </c>
      <c r="E327" s="59"/>
    </row>
    <row r="328" spans="1:5" customFormat="1" x14ac:dyDescent="0.25">
      <c r="A328" s="18" t="s">
        <v>239</v>
      </c>
      <c r="B328" s="63"/>
      <c r="C328" s="24"/>
      <c r="D328" s="24"/>
      <c r="E328" s="59"/>
    </row>
    <row r="329" spans="1:5" customFormat="1" x14ac:dyDescent="0.25">
      <c r="A329" s="19" t="s">
        <v>152</v>
      </c>
      <c r="B329" s="63">
        <v>41754</v>
      </c>
      <c r="C329" s="24">
        <v>1</v>
      </c>
      <c r="D329" s="24">
        <v>1</v>
      </c>
      <c r="E329" s="59"/>
    </row>
    <row r="330" spans="1:5" customFormat="1" x14ac:dyDescent="0.25">
      <c r="A330" s="18" t="s">
        <v>405</v>
      </c>
      <c r="B330" s="63"/>
      <c r="C330" s="24"/>
      <c r="D330" s="24"/>
      <c r="E330" s="59"/>
    </row>
    <row r="331" spans="1:5" customFormat="1" x14ac:dyDescent="0.25">
      <c r="A331" s="19" t="s">
        <v>238</v>
      </c>
      <c r="B331" s="63">
        <v>42026</v>
      </c>
      <c r="C331" s="24">
        <v>0.21851851851851853</v>
      </c>
      <c r="D331" s="24">
        <v>1</v>
      </c>
      <c r="E331" s="59"/>
    </row>
    <row r="332" spans="1:5" customFormat="1" x14ac:dyDescent="0.25">
      <c r="A332" s="18" t="s">
        <v>236</v>
      </c>
      <c r="B332" s="63"/>
      <c r="C332" s="24"/>
      <c r="D332" s="24"/>
      <c r="E332" s="59"/>
    </row>
    <row r="333" spans="1:5" customFormat="1" x14ac:dyDescent="0.25">
      <c r="A333" s="19" t="s">
        <v>186</v>
      </c>
      <c r="B333" s="63">
        <v>41713</v>
      </c>
      <c r="C333" s="24">
        <v>1</v>
      </c>
      <c r="D333" s="24">
        <v>1</v>
      </c>
      <c r="E333" s="59"/>
    </row>
    <row r="334" spans="1:5" customFormat="1" x14ac:dyDescent="0.25">
      <c r="A334" s="18" t="s">
        <v>241</v>
      </c>
      <c r="B334" s="63"/>
      <c r="C334" s="24"/>
      <c r="D334" s="24"/>
      <c r="E334" s="59"/>
    </row>
    <row r="335" spans="1:5" customFormat="1" x14ac:dyDescent="0.25">
      <c r="A335" s="19" t="s">
        <v>1044</v>
      </c>
      <c r="B335" s="63">
        <v>41720</v>
      </c>
      <c r="C335" s="24">
        <v>1</v>
      </c>
      <c r="D335" s="24">
        <v>1</v>
      </c>
      <c r="E335" s="59"/>
    </row>
    <row r="336" spans="1:5" customFormat="1" x14ac:dyDescent="0.25">
      <c r="A336" s="18" t="s">
        <v>237</v>
      </c>
      <c r="B336" s="63"/>
      <c r="C336" s="24"/>
      <c r="D336" s="24"/>
      <c r="E336" s="59"/>
    </row>
    <row r="337" spans="1:5" customFormat="1" x14ac:dyDescent="0.25">
      <c r="A337" s="19" t="s">
        <v>186</v>
      </c>
      <c r="B337" s="63">
        <v>41736</v>
      </c>
      <c r="C337" s="24">
        <v>1</v>
      </c>
      <c r="D337" s="24">
        <v>1</v>
      </c>
      <c r="E337" s="59"/>
    </row>
    <row r="338" spans="1:5" customFormat="1" x14ac:dyDescent="0.25">
      <c r="A338" s="18" t="s">
        <v>230</v>
      </c>
      <c r="B338" s="63"/>
      <c r="C338" s="24"/>
      <c r="D338" s="24"/>
      <c r="E338" s="59"/>
    </row>
    <row r="339" spans="1:5" customFormat="1" x14ac:dyDescent="0.25">
      <c r="A339" s="19" t="s">
        <v>1045</v>
      </c>
      <c r="B339" s="63">
        <v>41668</v>
      </c>
      <c r="C339" s="24">
        <v>1</v>
      </c>
      <c r="D339" s="24">
        <v>1</v>
      </c>
      <c r="E339" s="59"/>
    </row>
    <row r="340" spans="1:5" customFormat="1" x14ac:dyDescent="0.25">
      <c r="A340" s="18" t="s">
        <v>243</v>
      </c>
      <c r="B340" s="63"/>
      <c r="C340" s="24"/>
      <c r="D340" s="24"/>
      <c r="E340" s="59"/>
    </row>
    <row r="341" spans="1:5" customFormat="1" x14ac:dyDescent="0.25">
      <c r="A341" s="19" t="s">
        <v>244</v>
      </c>
      <c r="B341" s="63">
        <v>41789</v>
      </c>
      <c r="C341" s="24">
        <v>0.92243747174349189</v>
      </c>
      <c r="D341" s="24">
        <v>1</v>
      </c>
      <c r="E341" s="59"/>
    </row>
    <row r="342" spans="1:5" customFormat="1" x14ac:dyDescent="0.25">
      <c r="A342" s="18" t="s">
        <v>278</v>
      </c>
      <c r="B342" s="63"/>
      <c r="C342" s="24"/>
      <c r="D342" s="24"/>
      <c r="E342" s="59"/>
    </row>
    <row r="343" spans="1:5" customFormat="1" x14ac:dyDescent="0.25">
      <c r="A343" s="19" t="s">
        <v>15</v>
      </c>
      <c r="B343" s="63">
        <v>42139</v>
      </c>
      <c r="C343" s="24">
        <v>1</v>
      </c>
      <c r="D343" s="24">
        <v>1</v>
      </c>
      <c r="E343" s="59"/>
    </row>
    <row r="344" spans="1:5" customFormat="1" x14ac:dyDescent="0.25">
      <c r="A344" s="18" t="s">
        <v>171</v>
      </c>
      <c r="B344" s="63"/>
      <c r="C344" s="24"/>
      <c r="D344" s="24"/>
      <c r="E344" s="59"/>
    </row>
    <row r="345" spans="1:5" customFormat="1" x14ac:dyDescent="0.25">
      <c r="A345" s="19" t="s">
        <v>1034</v>
      </c>
      <c r="B345" s="63">
        <v>42008</v>
      </c>
      <c r="C345" s="24">
        <v>1</v>
      </c>
      <c r="D345" s="24">
        <v>1</v>
      </c>
      <c r="E345" s="59"/>
    </row>
    <row r="346" spans="1:5" customFormat="1" x14ac:dyDescent="0.25">
      <c r="A346" s="18" t="s">
        <v>252</v>
      </c>
      <c r="B346" s="63"/>
      <c r="C346" s="24"/>
      <c r="D346" s="24"/>
      <c r="E346" s="59"/>
    </row>
    <row r="347" spans="1:5" customFormat="1" x14ac:dyDescent="0.25">
      <c r="A347" s="19" t="s">
        <v>86</v>
      </c>
      <c r="B347" s="63">
        <v>42081</v>
      </c>
      <c r="C347" s="24">
        <v>1</v>
      </c>
      <c r="D347" s="24">
        <v>1</v>
      </c>
      <c r="E347" s="59"/>
    </row>
    <row r="348" spans="1:5" customFormat="1" x14ac:dyDescent="0.25">
      <c r="A348" s="18" t="s">
        <v>270</v>
      </c>
      <c r="B348" s="63"/>
      <c r="C348" s="24"/>
      <c r="D348" s="24"/>
      <c r="E348" s="59"/>
    </row>
    <row r="349" spans="1:5" customFormat="1" x14ac:dyDescent="0.25">
      <c r="A349" s="19" t="s">
        <v>1031</v>
      </c>
      <c r="B349" s="63">
        <v>41891</v>
      </c>
      <c r="C349" s="24">
        <v>1</v>
      </c>
      <c r="D349" s="24">
        <v>1</v>
      </c>
      <c r="E349" s="59"/>
    </row>
    <row r="350" spans="1:5" customFormat="1" x14ac:dyDescent="0.25">
      <c r="A350" s="18" t="s">
        <v>254</v>
      </c>
      <c r="B350" s="63"/>
      <c r="C350" s="24"/>
      <c r="D350" s="24"/>
      <c r="E350" s="59"/>
    </row>
    <row r="351" spans="1:5" customFormat="1" x14ac:dyDescent="0.25">
      <c r="A351" s="19" t="s">
        <v>1033</v>
      </c>
      <c r="B351" s="63">
        <v>42006</v>
      </c>
      <c r="C351" s="24">
        <v>1</v>
      </c>
      <c r="D351" s="24">
        <v>1</v>
      </c>
      <c r="E351" s="59"/>
    </row>
    <row r="352" spans="1:5" customFormat="1" x14ac:dyDescent="0.25">
      <c r="A352" s="18" t="s">
        <v>267</v>
      </c>
      <c r="B352" s="63"/>
      <c r="C352" s="24"/>
      <c r="D352" s="24"/>
      <c r="E352" s="59"/>
    </row>
    <row r="353" spans="1:5" customFormat="1" x14ac:dyDescent="0.25">
      <c r="A353" s="19" t="s">
        <v>1515</v>
      </c>
      <c r="B353" s="63">
        <v>42013</v>
      </c>
      <c r="C353" s="24">
        <v>1</v>
      </c>
      <c r="D353" s="24">
        <v>1</v>
      </c>
      <c r="E353" s="59"/>
    </row>
    <row r="354" spans="1:5" customFormat="1" x14ac:dyDescent="0.25">
      <c r="A354" s="18" t="s">
        <v>257</v>
      </c>
      <c r="B354" s="63"/>
      <c r="C354" s="24"/>
      <c r="D354" s="24"/>
      <c r="E354" s="59"/>
    </row>
    <row r="355" spans="1:5" customFormat="1" x14ac:dyDescent="0.25">
      <c r="A355" s="19" t="s">
        <v>1035</v>
      </c>
      <c r="B355" s="63">
        <v>42008</v>
      </c>
      <c r="C355" s="24">
        <v>1</v>
      </c>
      <c r="D355" s="24">
        <v>1</v>
      </c>
      <c r="E355" s="59"/>
    </row>
    <row r="356" spans="1:5" customFormat="1" x14ac:dyDescent="0.25">
      <c r="A356" s="18" t="s">
        <v>245</v>
      </c>
      <c r="B356" s="63"/>
      <c r="C356" s="24"/>
      <c r="D356" s="24"/>
      <c r="E356" s="59"/>
    </row>
    <row r="357" spans="1:5" customFormat="1" x14ac:dyDescent="0.25">
      <c r="A357" s="19" t="s">
        <v>226</v>
      </c>
      <c r="B357" s="63">
        <v>42008</v>
      </c>
      <c r="C357" s="24">
        <v>0.98787878181818178</v>
      </c>
      <c r="D357" s="24">
        <v>1</v>
      </c>
      <c r="E357" s="59"/>
    </row>
    <row r="358" spans="1:5" customFormat="1" x14ac:dyDescent="0.25">
      <c r="A358" s="18" t="s">
        <v>247</v>
      </c>
      <c r="B358" s="63"/>
      <c r="C358" s="24"/>
      <c r="D358" s="24"/>
      <c r="E358" s="59"/>
    </row>
    <row r="359" spans="1:5" customFormat="1" x14ac:dyDescent="0.25">
      <c r="A359" s="19" t="s">
        <v>1514</v>
      </c>
      <c r="B359" s="63">
        <v>42008</v>
      </c>
      <c r="C359" s="24">
        <v>0.99393938181818187</v>
      </c>
      <c r="D359" s="24">
        <v>1</v>
      </c>
      <c r="E359" s="59"/>
    </row>
    <row r="360" spans="1:5" customFormat="1" x14ac:dyDescent="0.25">
      <c r="A360" s="18" t="s">
        <v>249</v>
      </c>
      <c r="B360" s="63"/>
      <c r="C360" s="24"/>
      <c r="D360" s="24"/>
      <c r="E360" s="59"/>
    </row>
    <row r="361" spans="1:5" customFormat="1" x14ac:dyDescent="0.25">
      <c r="A361" s="19" t="s">
        <v>1045</v>
      </c>
      <c r="B361" s="63">
        <v>42008</v>
      </c>
      <c r="C361" s="24">
        <v>1</v>
      </c>
      <c r="D361" s="24">
        <v>1</v>
      </c>
      <c r="E361" s="59"/>
    </row>
    <row r="362" spans="1:5" customFormat="1" x14ac:dyDescent="0.25">
      <c r="A362" s="18" t="s">
        <v>246</v>
      </c>
      <c r="B362" s="63"/>
      <c r="C362" s="24"/>
      <c r="D362" s="24"/>
      <c r="E362" s="59"/>
    </row>
    <row r="363" spans="1:5" customFormat="1" x14ac:dyDescent="0.25">
      <c r="A363" s="19" t="s">
        <v>228</v>
      </c>
      <c r="B363" s="63">
        <v>42008</v>
      </c>
      <c r="C363" s="24">
        <v>1</v>
      </c>
      <c r="D363" s="24">
        <v>1</v>
      </c>
      <c r="E363" s="59"/>
    </row>
    <row r="364" spans="1:5" customFormat="1" x14ac:dyDescent="0.25">
      <c r="A364" s="18" t="s">
        <v>248</v>
      </c>
      <c r="B364" s="63"/>
      <c r="C364" s="24"/>
      <c r="D364" s="24"/>
      <c r="E364" s="59"/>
    </row>
    <row r="365" spans="1:5" customFormat="1" x14ac:dyDescent="0.25">
      <c r="A365" s="19" t="s">
        <v>224</v>
      </c>
      <c r="B365" s="63">
        <v>42008</v>
      </c>
      <c r="C365" s="24">
        <v>1</v>
      </c>
      <c r="D365" s="24">
        <v>1</v>
      </c>
      <c r="E365" s="59"/>
    </row>
    <row r="366" spans="1:5" customFormat="1" x14ac:dyDescent="0.25">
      <c r="A366" s="18" t="s">
        <v>268</v>
      </c>
      <c r="B366" s="63"/>
      <c r="C366" s="24"/>
      <c r="D366" s="24"/>
      <c r="E366" s="59"/>
    </row>
    <row r="367" spans="1:5" customFormat="1" x14ac:dyDescent="0.25">
      <c r="A367" s="19" t="s">
        <v>269</v>
      </c>
      <c r="B367" s="63">
        <v>42096</v>
      </c>
      <c r="C367" s="24">
        <v>0.95213947447900937</v>
      </c>
      <c r="D367" s="24">
        <v>1</v>
      </c>
      <c r="E367" s="59"/>
    </row>
    <row r="368" spans="1:5" customFormat="1" x14ac:dyDescent="0.25">
      <c r="A368" s="18" t="s">
        <v>253</v>
      </c>
      <c r="B368" s="63"/>
      <c r="C368" s="24"/>
      <c r="D368" s="24"/>
      <c r="E368" s="59"/>
    </row>
    <row r="369" spans="1:5" customFormat="1" x14ac:dyDescent="0.25">
      <c r="A369" s="19" t="s">
        <v>140</v>
      </c>
      <c r="B369" s="63">
        <v>42008</v>
      </c>
      <c r="C369" s="24">
        <v>0.62424242424242427</v>
      </c>
      <c r="D369" s="24">
        <v>1</v>
      </c>
      <c r="E369" s="59"/>
    </row>
    <row r="370" spans="1:5" customFormat="1" x14ac:dyDescent="0.25">
      <c r="A370" s="18" t="s">
        <v>255</v>
      </c>
      <c r="B370" s="63"/>
      <c r="C370" s="24"/>
      <c r="D370" s="24"/>
      <c r="E370" s="59"/>
    </row>
    <row r="371" spans="1:5" customFormat="1" x14ac:dyDescent="0.25">
      <c r="A371" s="19" t="s">
        <v>1032</v>
      </c>
      <c r="B371" s="63">
        <v>41887</v>
      </c>
      <c r="C371" s="24">
        <v>0.63666666019417473</v>
      </c>
      <c r="D371" s="24">
        <v>1</v>
      </c>
      <c r="E371" s="59"/>
    </row>
    <row r="372" spans="1:5" customFormat="1" x14ac:dyDescent="0.25">
      <c r="A372" s="18" t="s">
        <v>250</v>
      </c>
      <c r="B372" s="63"/>
      <c r="C372" s="24"/>
      <c r="D372" s="24"/>
      <c r="E372" s="59"/>
    </row>
    <row r="373" spans="1:5" customFormat="1" x14ac:dyDescent="0.25">
      <c r="A373" s="19" t="s">
        <v>251</v>
      </c>
      <c r="B373" s="63">
        <v>42008</v>
      </c>
      <c r="C373" s="24">
        <v>0.62424242424242427</v>
      </c>
      <c r="D373" s="24">
        <v>1</v>
      </c>
      <c r="E373" s="59"/>
    </row>
    <row r="374" spans="1:5" customFormat="1" x14ac:dyDescent="0.25">
      <c r="A374" s="18" t="s">
        <v>256</v>
      </c>
      <c r="B374" s="63"/>
      <c r="C374" s="24"/>
      <c r="D374" s="24"/>
      <c r="E374" s="59"/>
    </row>
    <row r="375" spans="1:5" customFormat="1" x14ac:dyDescent="0.25">
      <c r="A375" s="19" t="s">
        <v>1394</v>
      </c>
      <c r="B375" s="63">
        <v>42006</v>
      </c>
      <c r="C375" s="24">
        <v>0.88888888349514561</v>
      </c>
      <c r="D375" s="24">
        <v>1</v>
      </c>
      <c r="E375" s="59"/>
    </row>
    <row r="376" spans="1:5" customFormat="1" x14ac:dyDescent="0.25">
      <c r="A376" s="18" t="s">
        <v>264</v>
      </c>
      <c r="B376" s="63"/>
      <c r="C376" s="24"/>
      <c r="D376" s="24"/>
      <c r="E376" s="59"/>
    </row>
    <row r="377" spans="1:5" customFormat="1" x14ac:dyDescent="0.25">
      <c r="A377" s="19" t="s">
        <v>186</v>
      </c>
      <c r="B377" s="63">
        <v>41748</v>
      </c>
      <c r="C377" s="24">
        <v>1</v>
      </c>
      <c r="D377" s="24">
        <v>1</v>
      </c>
      <c r="E377" s="59"/>
    </row>
    <row r="378" spans="1:5" customFormat="1" x14ac:dyDescent="0.25">
      <c r="A378" s="18" t="s">
        <v>262</v>
      </c>
      <c r="B378" s="63"/>
      <c r="C378" s="24"/>
      <c r="D378" s="24"/>
      <c r="E378" s="59"/>
    </row>
    <row r="379" spans="1:5" customFormat="1" x14ac:dyDescent="0.25">
      <c r="A379" s="19" t="s">
        <v>263</v>
      </c>
      <c r="B379" s="63">
        <v>41748</v>
      </c>
      <c r="C379" s="24">
        <v>1</v>
      </c>
      <c r="D379" s="24">
        <v>1</v>
      </c>
      <c r="E379" s="59"/>
    </row>
    <row r="380" spans="1:5" customFormat="1" x14ac:dyDescent="0.25">
      <c r="A380" s="18" t="s">
        <v>260</v>
      </c>
      <c r="B380" s="63"/>
      <c r="C380" s="24"/>
      <c r="D380" s="24"/>
      <c r="E380" s="59"/>
    </row>
    <row r="381" spans="1:5" customFormat="1" x14ac:dyDescent="0.25">
      <c r="A381" s="19" t="s">
        <v>261</v>
      </c>
      <c r="B381" s="63">
        <v>41738</v>
      </c>
      <c r="C381" s="24">
        <v>0.99969112863322274</v>
      </c>
      <c r="D381" s="24">
        <v>1</v>
      </c>
      <c r="E381" s="59"/>
    </row>
    <row r="382" spans="1:5" customFormat="1" x14ac:dyDescent="0.25">
      <c r="A382" s="18" t="s">
        <v>273</v>
      </c>
      <c r="B382" s="63"/>
      <c r="C382" s="24"/>
      <c r="D382" s="24"/>
      <c r="E382" s="59"/>
    </row>
    <row r="383" spans="1:5" customFormat="1" x14ac:dyDescent="0.25">
      <c r="A383" s="19" t="s">
        <v>126</v>
      </c>
      <c r="B383" s="63">
        <v>42012</v>
      </c>
      <c r="C383" s="24">
        <v>0.24295145454545455</v>
      </c>
      <c r="D383" s="24">
        <v>1</v>
      </c>
      <c r="E383" s="59"/>
    </row>
    <row r="384" spans="1:5" customFormat="1" x14ac:dyDescent="0.25">
      <c r="A384" s="18" t="s">
        <v>288</v>
      </c>
      <c r="B384" s="63"/>
      <c r="C384" s="24"/>
      <c r="D384" s="24"/>
      <c r="E384" s="59"/>
    </row>
    <row r="385" spans="1:5" customFormat="1" x14ac:dyDescent="0.25">
      <c r="A385" s="19" t="s">
        <v>12</v>
      </c>
      <c r="B385" s="63">
        <v>42102</v>
      </c>
      <c r="C385" s="24">
        <v>0</v>
      </c>
      <c r="D385" s="24">
        <v>1</v>
      </c>
      <c r="E385" s="59"/>
    </row>
    <row r="386" spans="1:5" customFormat="1" x14ac:dyDescent="0.25">
      <c r="A386" s="18" t="s">
        <v>266</v>
      </c>
      <c r="B386" s="63"/>
      <c r="C386" s="24"/>
      <c r="D386" s="24"/>
      <c r="E386" s="59"/>
    </row>
    <row r="387" spans="1:5" customFormat="1" x14ac:dyDescent="0.25">
      <c r="A387" s="19" t="s">
        <v>1030</v>
      </c>
      <c r="B387" s="63">
        <v>41969</v>
      </c>
      <c r="C387" s="24">
        <v>0.56844640706543559</v>
      </c>
      <c r="D387" s="24">
        <v>1</v>
      </c>
      <c r="E387" s="59"/>
    </row>
    <row r="388" spans="1:5" customFormat="1" x14ac:dyDescent="0.25">
      <c r="A388" s="18" t="s">
        <v>271</v>
      </c>
      <c r="B388" s="63"/>
      <c r="C388" s="24"/>
      <c r="D388" s="24"/>
      <c r="E388" s="59"/>
    </row>
    <row r="389" spans="1:5" customFormat="1" x14ac:dyDescent="0.25">
      <c r="A389" s="19" t="s">
        <v>272</v>
      </c>
      <c r="B389" s="63">
        <v>41951</v>
      </c>
      <c r="C389" s="24">
        <v>0.39207999999999998</v>
      </c>
      <c r="D389" s="24">
        <v>1</v>
      </c>
      <c r="E389" s="59"/>
    </row>
    <row r="390" spans="1:5" customFormat="1" x14ac:dyDescent="0.25">
      <c r="A390" s="18" t="s">
        <v>400</v>
      </c>
      <c r="B390" s="63"/>
      <c r="C390" s="24"/>
      <c r="D390" s="24"/>
      <c r="E390" s="59"/>
    </row>
    <row r="391" spans="1:5" customFormat="1" x14ac:dyDescent="0.25">
      <c r="A391" s="19" t="s">
        <v>198</v>
      </c>
      <c r="B391" s="63">
        <v>42096</v>
      </c>
      <c r="C391" s="24">
        <v>0.95183235516849674</v>
      </c>
      <c r="D391" s="24">
        <v>1</v>
      </c>
      <c r="E391" s="59"/>
    </row>
    <row r="392" spans="1:5" customFormat="1" x14ac:dyDescent="0.25">
      <c r="A392" s="18" t="s">
        <v>274</v>
      </c>
      <c r="B392" s="63"/>
      <c r="C392" s="24"/>
      <c r="D392" s="24"/>
      <c r="E392" s="59"/>
    </row>
    <row r="393" spans="1:5" customFormat="1" x14ac:dyDescent="0.25">
      <c r="A393" s="19" t="s">
        <v>275</v>
      </c>
      <c r="B393" s="63">
        <v>42116</v>
      </c>
      <c r="C393" s="24">
        <v>1</v>
      </c>
      <c r="D393" s="24">
        <v>1</v>
      </c>
      <c r="E393" s="59"/>
    </row>
    <row r="394" spans="1:5" customFormat="1" x14ac:dyDescent="0.25">
      <c r="A394" s="18" t="s">
        <v>279</v>
      </c>
      <c r="B394" s="63"/>
      <c r="C394" s="24"/>
      <c r="D394" s="24"/>
      <c r="E394" s="59"/>
    </row>
    <row r="395" spans="1:5" customFormat="1" x14ac:dyDescent="0.25">
      <c r="A395" s="19" t="s">
        <v>53</v>
      </c>
      <c r="B395" s="63">
        <v>42091</v>
      </c>
      <c r="C395" s="24">
        <v>0.9472556537894804</v>
      </c>
      <c r="D395" s="24">
        <v>1</v>
      </c>
      <c r="E395" s="59"/>
    </row>
    <row r="396" spans="1:5" customFormat="1" x14ac:dyDescent="0.25">
      <c r="A396" s="18" t="s">
        <v>282</v>
      </c>
      <c r="B396" s="63"/>
      <c r="C396" s="24"/>
      <c r="D396" s="24"/>
      <c r="E396" s="59"/>
    </row>
    <row r="397" spans="1:5" customFormat="1" x14ac:dyDescent="0.25">
      <c r="A397" s="19" t="s">
        <v>418</v>
      </c>
      <c r="B397" s="63">
        <v>41901</v>
      </c>
      <c r="C397" s="24">
        <v>1</v>
      </c>
      <c r="D397" s="24">
        <v>1</v>
      </c>
      <c r="E397" s="59"/>
    </row>
    <row r="398" spans="1:5" customFormat="1" x14ac:dyDescent="0.25">
      <c r="A398" s="18" t="s">
        <v>280</v>
      </c>
      <c r="B398" s="63"/>
      <c r="C398" s="24"/>
      <c r="D398" s="24"/>
      <c r="E398" s="59"/>
    </row>
    <row r="399" spans="1:5" customFormat="1" x14ac:dyDescent="0.25">
      <c r="A399" s="19" t="s">
        <v>281</v>
      </c>
      <c r="B399" s="63">
        <v>41817</v>
      </c>
      <c r="C399" s="24">
        <v>0.99999588236989612</v>
      </c>
      <c r="D399" s="24">
        <v>1</v>
      </c>
      <c r="E399" s="59"/>
    </row>
    <row r="400" spans="1:5" customFormat="1" x14ac:dyDescent="0.25">
      <c r="A400" s="18" t="s">
        <v>276</v>
      </c>
      <c r="B400" s="63"/>
      <c r="C400" s="24"/>
      <c r="D400" s="24"/>
      <c r="E400" s="59"/>
    </row>
    <row r="401" spans="1:5" customFormat="1" x14ac:dyDescent="0.25">
      <c r="A401" s="19" t="s">
        <v>277</v>
      </c>
      <c r="B401" s="63">
        <v>42117</v>
      </c>
      <c r="C401" s="24">
        <v>0.99888544635469334</v>
      </c>
      <c r="D401" s="24">
        <v>1</v>
      </c>
      <c r="E401" s="59"/>
    </row>
    <row r="402" spans="1:5" customFormat="1" x14ac:dyDescent="0.25">
      <c r="A402" s="18" t="s">
        <v>283</v>
      </c>
      <c r="B402" s="63"/>
      <c r="C402" s="24"/>
      <c r="D402" s="24"/>
      <c r="E402" s="59"/>
    </row>
    <row r="403" spans="1:5" customFormat="1" x14ac:dyDescent="0.25">
      <c r="A403" s="19" t="s">
        <v>284</v>
      </c>
      <c r="B403" s="63">
        <v>42128</v>
      </c>
      <c r="C403" s="24">
        <v>0.99876396723016514</v>
      </c>
      <c r="D403" s="24">
        <v>1</v>
      </c>
      <c r="E403" s="59"/>
    </row>
    <row r="404" spans="1:5" customFormat="1" x14ac:dyDescent="0.25">
      <c r="A404" s="18" t="s">
        <v>289</v>
      </c>
      <c r="B404" s="63"/>
      <c r="C404" s="24"/>
      <c r="D404" s="24"/>
      <c r="E404" s="59"/>
    </row>
    <row r="405" spans="1:5" customFormat="1" x14ac:dyDescent="0.25">
      <c r="A405" s="19" t="s">
        <v>290</v>
      </c>
      <c r="B405" s="63">
        <v>41855</v>
      </c>
      <c r="C405" s="24">
        <v>0.99999799962332903</v>
      </c>
      <c r="D405" s="24">
        <v>1</v>
      </c>
      <c r="E405" s="59"/>
    </row>
    <row r="406" spans="1:5" customFormat="1" x14ac:dyDescent="0.25">
      <c r="A406" s="18" t="s">
        <v>300</v>
      </c>
      <c r="B406" s="63"/>
      <c r="C406" s="24"/>
      <c r="D406" s="24"/>
      <c r="E406" s="59"/>
    </row>
    <row r="407" spans="1:5" customFormat="1" x14ac:dyDescent="0.25">
      <c r="A407" s="19" t="s">
        <v>1568</v>
      </c>
      <c r="B407" s="63">
        <v>42312</v>
      </c>
      <c r="C407" s="24">
        <v>0.9</v>
      </c>
      <c r="D407" s="24">
        <v>1</v>
      </c>
      <c r="E407" s="59"/>
    </row>
    <row r="408" spans="1:5" customFormat="1" x14ac:dyDescent="0.25">
      <c r="A408" s="18" t="s">
        <v>401</v>
      </c>
      <c r="B408" s="63"/>
      <c r="C408" s="24"/>
      <c r="D408" s="24"/>
      <c r="E408" s="59"/>
    </row>
    <row r="409" spans="1:5" customFormat="1" x14ac:dyDescent="0.25">
      <c r="A409" s="19" t="s">
        <v>547</v>
      </c>
      <c r="B409" s="63">
        <v>42216</v>
      </c>
      <c r="C409" s="24">
        <v>0.99313612952168406</v>
      </c>
      <c r="D409" s="24">
        <v>1</v>
      </c>
      <c r="E409" s="59"/>
    </row>
    <row r="410" spans="1:5" customFormat="1" x14ac:dyDescent="0.25">
      <c r="A410" s="18" t="s">
        <v>296</v>
      </c>
      <c r="B410" s="63"/>
      <c r="C410" s="24"/>
      <c r="D410" s="24"/>
      <c r="E410" s="59"/>
    </row>
    <row r="411" spans="1:5" customFormat="1" x14ac:dyDescent="0.25">
      <c r="A411" s="19" t="s">
        <v>1039</v>
      </c>
      <c r="B411" s="63">
        <v>41867</v>
      </c>
      <c r="C411" s="24">
        <v>1</v>
      </c>
      <c r="D411" s="24">
        <v>1</v>
      </c>
      <c r="E411" s="59"/>
    </row>
    <row r="412" spans="1:5" customFormat="1" x14ac:dyDescent="0.25">
      <c r="A412" s="18" t="s">
        <v>287</v>
      </c>
      <c r="B412" s="63"/>
      <c r="C412" s="24"/>
      <c r="D412" s="24"/>
      <c r="E412" s="59"/>
    </row>
    <row r="413" spans="1:5" customFormat="1" x14ac:dyDescent="0.25">
      <c r="A413" s="19" t="s">
        <v>1018</v>
      </c>
      <c r="B413" s="63">
        <v>42186</v>
      </c>
      <c r="C413" s="24">
        <v>0.99999999407384577</v>
      </c>
      <c r="D413" s="24">
        <v>1</v>
      </c>
      <c r="E413" s="59"/>
    </row>
    <row r="414" spans="1:5" customFormat="1" x14ac:dyDescent="0.25">
      <c r="A414" s="18" t="s">
        <v>291</v>
      </c>
      <c r="B414" s="63"/>
      <c r="C414" s="24"/>
      <c r="D414" s="24"/>
      <c r="E414" s="59"/>
    </row>
    <row r="415" spans="1:5" customFormat="1" x14ac:dyDescent="0.25">
      <c r="A415" s="19" t="s">
        <v>1048</v>
      </c>
      <c r="B415" s="63">
        <v>42116</v>
      </c>
      <c r="C415" s="24">
        <v>0.95865674385579414</v>
      </c>
      <c r="D415" s="24">
        <v>1</v>
      </c>
      <c r="E415" s="59"/>
    </row>
    <row r="416" spans="1:5" customFormat="1" x14ac:dyDescent="0.25">
      <c r="A416" s="18" t="s">
        <v>305</v>
      </c>
      <c r="B416" s="63"/>
      <c r="C416" s="24"/>
      <c r="D416" s="24"/>
      <c r="E416" s="59"/>
    </row>
    <row r="417" spans="1:5" customFormat="1" x14ac:dyDescent="0.25">
      <c r="A417" s="19" t="s">
        <v>306</v>
      </c>
      <c r="B417" s="63">
        <v>41872</v>
      </c>
      <c r="C417" s="24">
        <v>1</v>
      </c>
      <c r="D417" s="24">
        <v>1</v>
      </c>
      <c r="E417" s="59"/>
    </row>
    <row r="418" spans="1:5" customFormat="1" x14ac:dyDescent="0.25">
      <c r="A418" s="18" t="s">
        <v>285</v>
      </c>
      <c r="B418" s="63"/>
      <c r="C418" s="24"/>
      <c r="D418" s="24"/>
      <c r="E418" s="59"/>
    </row>
    <row r="419" spans="1:5" customFormat="1" x14ac:dyDescent="0.25">
      <c r="A419" s="19" t="s">
        <v>3</v>
      </c>
      <c r="B419" s="63">
        <v>41959</v>
      </c>
      <c r="C419" s="24">
        <v>0.71573656802383312</v>
      </c>
      <c r="D419" s="24">
        <v>1</v>
      </c>
      <c r="E419" s="59"/>
    </row>
    <row r="420" spans="1:5" customFormat="1" x14ac:dyDescent="0.25">
      <c r="A420" s="18" t="s">
        <v>299</v>
      </c>
      <c r="B420" s="63"/>
      <c r="C420" s="24"/>
      <c r="D420" s="24"/>
      <c r="E420" s="59"/>
    </row>
    <row r="421" spans="1:5" customFormat="1" x14ac:dyDescent="0.25">
      <c r="A421" s="19" t="s">
        <v>1049</v>
      </c>
      <c r="B421" s="63">
        <v>41852</v>
      </c>
      <c r="C421" s="24">
        <v>1</v>
      </c>
      <c r="D421" s="24">
        <v>1</v>
      </c>
      <c r="E421" s="59"/>
    </row>
    <row r="422" spans="1:5" customFormat="1" x14ac:dyDescent="0.25">
      <c r="A422" s="18" t="s">
        <v>294</v>
      </c>
      <c r="B422" s="63"/>
      <c r="C422" s="24"/>
      <c r="D422" s="24"/>
      <c r="E422" s="59"/>
    </row>
    <row r="423" spans="1:5" customFormat="1" x14ac:dyDescent="0.25">
      <c r="A423" s="19" t="s">
        <v>295</v>
      </c>
      <c r="B423" s="63">
        <v>42186</v>
      </c>
      <c r="C423" s="24">
        <v>0.93935660832064938</v>
      </c>
      <c r="D423" s="24">
        <v>1</v>
      </c>
      <c r="E423" s="59"/>
    </row>
    <row r="424" spans="1:5" customFormat="1" x14ac:dyDescent="0.25">
      <c r="A424" s="18" t="s">
        <v>292</v>
      </c>
      <c r="B424" s="63"/>
      <c r="C424" s="24"/>
      <c r="D424" s="24"/>
      <c r="E424" s="59"/>
    </row>
    <row r="425" spans="1:5" customFormat="1" x14ac:dyDescent="0.25">
      <c r="A425" s="19" t="s">
        <v>293</v>
      </c>
      <c r="B425" s="63">
        <v>42247</v>
      </c>
      <c r="C425" s="24">
        <v>1</v>
      </c>
      <c r="D425" s="24">
        <v>1</v>
      </c>
      <c r="E425" s="59"/>
    </row>
    <row r="426" spans="1:5" customFormat="1" x14ac:dyDescent="0.25">
      <c r="A426" s="18" t="s">
        <v>298</v>
      </c>
      <c r="B426" s="63"/>
      <c r="C426" s="24"/>
      <c r="D426" s="24"/>
      <c r="E426" s="59"/>
    </row>
    <row r="427" spans="1:5" customFormat="1" x14ac:dyDescent="0.25">
      <c r="A427" s="19" t="s">
        <v>90</v>
      </c>
      <c r="B427" s="63">
        <v>42203</v>
      </c>
      <c r="C427" s="24">
        <v>1</v>
      </c>
      <c r="D427" s="24">
        <v>1</v>
      </c>
      <c r="E427" s="59"/>
    </row>
    <row r="428" spans="1:5" customFormat="1" x14ac:dyDescent="0.25">
      <c r="A428" s="18" t="s">
        <v>302</v>
      </c>
      <c r="B428" s="63"/>
      <c r="C428" s="24"/>
      <c r="D428" s="24"/>
      <c r="E428" s="59"/>
    </row>
    <row r="429" spans="1:5" customFormat="1" x14ac:dyDescent="0.25">
      <c r="A429" s="19" t="s">
        <v>303</v>
      </c>
      <c r="B429" s="63">
        <v>42050</v>
      </c>
      <c r="C429" s="24">
        <v>0.38660102739726027</v>
      </c>
      <c r="D429" s="24">
        <v>1</v>
      </c>
      <c r="E429" s="59"/>
    </row>
    <row r="430" spans="1:5" customFormat="1" x14ac:dyDescent="0.25">
      <c r="A430" s="18" t="s">
        <v>297</v>
      </c>
      <c r="B430" s="63"/>
      <c r="C430" s="24"/>
      <c r="D430" s="24"/>
      <c r="E430" s="59"/>
    </row>
    <row r="431" spans="1:5" customFormat="1" x14ac:dyDescent="0.25">
      <c r="A431" s="19" t="s">
        <v>999</v>
      </c>
      <c r="B431" s="63">
        <v>42139</v>
      </c>
      <c r="C431" s="24">
        <v>0.99994394683026588</v>
      </c>
      <c r="D431" s="24">
        <v>1</v>
      </c>
      <c r="E431" s="59"/>
    </row>
    <row r="432" spans="1:5" customFormat="1" x14ac:dyDescent="0.25">
      <c r="A432" s="18" t="s">
        <v>304</v>
      </c>
      <c r="B432" s="63"/>
      <c r="C432" s="24"/>
      <c r="D432" s="24"/>
      <c r="E432" s="59"/>
    </row>
    <row r="433" spans="1:5" customFormat="1" x14ac:dyDescent="0.25">
      <c r="A433" s="19" t="s">
        <v>1006</v>
      </c>
      <c r="B433" s="63">
        <v>41965</v>
      </c>
      <c r="C433" s="24">
        <v>1</v>
      </c>
      <c r="D433" s="24">
        <v>1</v>
      </c>
      <c r="E433" s="59"/>
    </row>
    <row r="434" spans="1:5" customFormat="1" x14ac:dyDescent="0.25">
      <c r="A434" s="18" t="s">
        <v>308</v>
      </c>
      <c r="B434" s="63"/>
      <c r="C434" s="24"/>
      <c r="D434" s="24"/>
      <c r="E434" s="59"/>
    </row>
    <row r="435" spans="1:5" customFormat="1" x14ac:dyDescent="0.25">
      <c r="A435" s="19" t="s">
        <v>1050</v>
      </c>
      <c r="B435" s="63">
        <v>41923</v>
      </c>
      <c r="C435" s="24">
        <v>0.70575221238938057</v>
      </c>
      <c r="D435" s="24">
        <v>1</v>
      </c>
      <c r="E435" s="59"/>
    </row>
    <row r="436" spans="1:5" customFormat="1" x14ac:dyDescent="0.25">
      <c r="A436" s="18" t="s">
        <v>307</v>
      </c>
      <c r="B436" s="63"/>
      <c r="C436" s="24"/>
      <c r="D436" s="24"/>
      <c r="E436" s="59"/>
    </row>
    <row r="437" spans="1:5" customFormat="1" x14ac:dyDescent="0.25">
      <c r="A437" s="19" t="s">
        <v>144</v>
      </c>
      <c r="B437" s="63">
        <v>42108</v>
      </c>
      <c r="C437" s="24">
        <v>1</v>
      </c>
      <c r="D437" s="24">
        <v>1</v>
      </c>
      <c r="E437" s="59"/>
    </row>
    <row r="438" spans="1:5" customFormat="1" x14ac:dyDescent="0.25">
      <c r="A438" s="18" t="s">
        <v>546</v>
      </c>
      <c r="B438" s="63"/>
      <c r="C438" s="24"/>
      <c r="D438" s="24"/>
      <c r="E438" s="59"/>
    </row>
    <row r="439" spans="1:5" customFormat="1" x14ac:dyDescent="0.25">
      <c r="A439" s="19" t="s">
        <v>310</v>
      </c>
      <c r="B439" s="63">
        <v>41932</v>
      </c>
      <c r="C439" s="24">
        <v>1</v>
      </c>
      <c r="D439" s="24">
        <v>1</v>
      </c>
      <c r="E439" s="59"/>
    </row>
    <row r="440" spans="1:5" customFormat="1" x14ac:dyDescent="0.25">
      <c r="A440" s="18" t="s">
        <v>548</v>
      </c>
      <c r="B440" s="63"/>
      <c r="C440" s="24"/>
      <c r="D440" s="24"/>
      <c r="E440" s="59"/>
    </row>
    <row r="441" spans="1:5" customFormat="1" x14ac:dyDescent="0.25">
      <c r="A441" s="19" t="s">
        <v>13</v>
      </c>
      <c r="B441" s="63">
        <v>42258</v>
      </c>
      <c r="C441" s="24">
        <v>1</v>
      </c>
      <c r="D441" s="24">
        <v>1</v>
      </c>
      <c r="E441" s="59"/>
    </row>
    <row r="442" spans="1:5" customFormat="1" x14ac:dyDescent="0.25">
      <c r="A442" s="18" t="s">
        <v>551</v>
      </c>
      <c r="B442" s="63"/>
      <c r="C442" s="24"/>
      <c r="D442" s="24"/>
      <c r="E442" s="59"/>
    </row>
    <row r="443" spans="1:5" customFormat="1" x14ac:dyDescent="0.25">
      <c r="A443" s="19" t="s">
        <v>29</v>
      </c>
      <c r="B443" s="63">
        <v>42261</v>
      </c>
      <c r="C443" s="24">
        <v>1</v>
      </c>
      <c r="D443" s="24">
        <v>1</v>
      </c>
      <c r="E443" s="59"/>
    </row>
    <row r="444" spans="1:5" customFormat="1" x14ac:dyDescent="0.25">
      <c r="A444" s="18" t="s">
        <v>553</v>
      </c>
      <c r="B444" s="63"/>
      <c r="C444" s="24"/>
      <c r="D444" s="24"/>
      <c r="E444" s="59"/>
    </row>
    <row r="445" spans="1:5" customFormat="1" x14ac:dyDescent="0.25">
      <c r="A445" s="19" t="s">
        <v>554</v>
      </c>
      <c r="B445" s="63">
        <v>42009</v>
      </c>
      <c r="C445" s="24">
        <v>1</v>
      </c>
      <c r="D445" s="24">
        <v>1</v>
      </c>
      <c r="E445" s="59"/>
    </row>
    <row r="446" spans="1:5" customFormat="1" x14ac:dyDescent="0.25">
      <c r="A446" s="18" t="s">
        <v>555</v>
      </c>
      <c r="B446" s="63"/>
      <c r="C446" s="24"/>
      <c r="D446" s="24"/>
      <c r="E446" s="59"/>
    </row>
    <row r="447" spans="1:5" customFormat="1" x14ac:dyDescent="0.25">
      <c r="A447" s="19" t="s">
        <v>1067</v>
      </c>
      <c r="B447" s="63">
        <v>42013</v>
      </c>
      <c r="C447" s="24">
        <v>1</v>
      </c>
      <c r="D447" s="24">
        <v>1</v>
      </c>
      <c r="E447" s="59"/>
    </row>
    <row r="448" spans="1:5" customFormat="1" x14ac:dyDescent="0.25">
      <c r="A448" s="18" t="s">
        <v>556</v>
      </c>
      <c r="B448" s="63"/>
      <c r="C448" s="24"/>
      <c r="D448" s="24"/>
      <c r="E448" s="59"/>
    </row>
    <row r="449" spans="1:5" customFormat="1" x14ac:dyDescent="0.25">
      <c r="A449" s="19" t="s">
        <v>1004</v>
      </c>
      <c r="B449" s="63">
        <v>42046</v>
      </c>
      <c r="C449" s="24">
        <v>1</v>
      </c>
      <c r="D449" s="24">
        <v>1</v>
      </c>
      <c r="E449" s="59"/>
    </row>
    <row r="450" spans="1:5" customFormat="1" x14ac:dyDescent="0.25">
      <c r="A450" s="18" t="s">
        <v>1069</v>
      </c>
      <c r="B450" s="63"/>
      <c r="C450" s="24"/>
      <c r="D450" s="24"/>
      <c r="E450" s="59"/>
    </row>
    <row r="451" spans="1:5" customFormat="1" x14ac:dyDescent="0.25">
      <c r="A451" s="19" t="s">
        <v>1070</v>
      </c>
      <c r="B451" s="63">
        <v>42053</v>
      </c>
      <c r="C451" s="24">
        <v>1</v>
      </c>
      <c r="D451" s="24">
        <v>1</v>
      </c>
      <c r="E451" s="59"/>
    </row>
    <row r="452" spans="1:5" customFormat="1" x14ac:dyDescent="0.25">
      <c r="A452" s="18" t="s">
        <v>1071</v>
      </c>
      <c r="B452" s="63"/>
      <c r="C452" s="24"/>
      <c r="D452" s="24"/>
      <c r="E452" s="59"/>
    </row>
    <row r="453" spans="1:5" customFormat="1" x14ac:dyDescent="0.25">
      <c r="A453" s="19" t="s">
        <v>1072</v>
      </c>
      <c r="B453" s="63">
        <v>42033</v>
      </c>
      <c r="C453" s="24">
        <v>1</v>
      </c>
      <c r="D453" s="24">
        <v>1</v>
      </c>
      <c r="E453" s="59"/>
    </row>
    <row r="454" spans="1:5" customFormat="1" x14ac:dyDescent="0.25">
      <c r="A454" s="18" t="s">
        <v>1097</v>
      </c>
      <c r="B454" s="63"/>
      <c r="C454" s="24"/>
      <c r="D454" s="24"/>
      <c r="E454" s="59"/>
    </row>
    <row r="455" spans="1:5" customFormat="1" x14ac:dyDescent="0.25">
      <c r="A455" s="19" t="s">
        <v>1098</v>
      </c>
      <c r="B455" s="63">
        <v>43890</v>
      </c>
      <c r="C455" s="24" t="e">
        <v>#DIV/0!</v>
      </c>
      <c r="D455" s="24">
        <v>0.99437229437229435</v>
      </c>
      <c r="E455" s="59"/>
    </row>
    <row r="456" spans="1:5" customFormat="1" x14ac:dyDescent="0.25">
      <c r="A456" s="18" t="s">
        <v>1101</v>
      </c>
      <c r="B456" s="63"/>
      <c r="C456" s="24"/>
      <c r="D456" s="24"/>
      <c r="E456" s="59"/>
    </row>
    <row r="457" spans="1:5" customFormat="1" x14ac:dyDescent="0.25">
      <c r="A457" s="19" t="s">
        <v>435</v>
      </c>
      <c r="B457" s="63">
        <v>42207</v>
      </c>
      <c r="C457" s="24">
        <v>0.90614027511196416</v>
      </c>
      <c r="D457" s="24">
        <v>1</v>
      </c>
      <c r="E457" s="59"/>
    </row>
    <row r="458" spans="1:5" customFormat="1" x14ac:dyDescent="0.25">
      <c r="A458" s="18" t="s">
        <v>1333</v>
      </c>
      <c r="B458" s="63"/>
      <c r="C458" s="24"/>
      <c r="D458" s="24"/>
      <c r="E458" s="59"/>
    </row>
    <row r="459" spans="1:5" customFormat="1" x14ac:dyDescent="0.25">
      <c r="A459" s="19" t="s">
        <v>1334</v>
      </c>
      <c r="B459" s="63">
        <v>42027</v>
      </c>
      <c r="C459" s="24">
        <v>0.54425701160541584</v>
      </c>
      <c r="D459" s="24">
        <v>1</v>
      </c>
      <c r="E459" s="59"/>
    </row>
    <row r="460" spans="1:5" customFormat="1" x14ac:dyDescent="0.25">
      <c r="A460" s="18" t="s">
        <v>919</v>
      </c>
      <c r="B460" s="63"/>
      <c r="C460" s="24"/>
      <c r="D460" s="24"/>
      <c r="E460" s="59"/>
    </row>
    <row r="461" spans="1:5" x14ac:dyDescent="0.25">
      <c r="A461" s="19" t="s">
        <v>1104</v>
      </c>
      <c r="B461" s="63">
        <v>42202</v>
      </c>
      <c r="C461" s="24">
        <v>0</v>
      </c>
      <c r="D461" s="24">
        <v>1</v>
      </c>
    </row>
    <row r="462" spans="1:5" x14ac:dyDescent="0.25">
      <c r="A462" s="18" t="s">
        <v>1106</v>
      </c>
      <c r="B462" s="63"/>
      <c r="C462" s="24"/>
      <c r="D462" s="24"/>
    </row>
    <row r="463" spans="1:5" x14ac:dyDescent="0.25">
      <c r="A463" s="19" t="s">
        <v>100</v>
      </c>
      <c r="B463" s="63">
        <v>42129</v>
      </c>
      <c r="C463" s="24">
        <v>0.94433699999999998</v>
      </c>
      <c r="D463" s="24">
        <v>1</v>
      </c>
    </row>
    <row r="464" spans="1:5" x14ac:dyDescent="0.25">
      <c r="A464" s="18" t="s">
        <v>1108</v>
      </c>
      <c r="B464" s="63"/>
      <c r="C464" s="24"/>
      <c r="D464" s="24"/>
    </row>
    <row r="465" spans="1:4" x14ac:dyDescent="0.25">
      <c r="A465" s="19" t="s">
        <v>222</v>
      </c>
      <c r="B465" s="63">
        <v>42008</v>
      </c>
      <c r="C465" s="24">
        <v>1</v>
      </c>
      <c r="D465" s="24">
        <v>1</v>
      </c>
    </row>
    <row r="466" spans="1:4" x14ac:dyDescent="0.25">
      <c r="A466" s="18" t="s">
        <v>1113</v>
      </c>
      <c r="B466" s="63"/>
      <c r="C466" s="24"/>
      <c r="D466" s="24"/>
    </row>
    <row r="467" spans="1:4" x14ac:dyDescent="0.25">
      <c r="A467" s="19" t="s">
        <v>1114</v>
      </c>
      <c r="B467" s="63">
        <v>42021</v>
      </c>
      <c r="C467" s="24">
        <v>1</v>
      </c>
      <c r="D467" s="24">
        <v>1</v>
      </c>
    </row>
    <row r="468" spans="1:4" x14ac:dyDescent="0.25">
      <c r="A468" s="18" t="s">
        <v>1119</v>
      </c>
      <c r="B468" s="63"/>
      <c r="C468" s="24"/>
      <c r="D468" s="24"/>
    </row>
    <row r="469" spans="1:4" x14ac:dyDescent="0.25">
      <c r="A469" s="19" t="s">
        <v>1120</v>
      </c>
      <c r="B469" s="63">
        <v>42004</v>
      </c>
      <c r="C469" s="24">
        <v>1</v>
      </c>
      <c r="D469" s="24">
        <v>1</v>
      </c>
    </row>
    <row r="470" spans="1:4" x14ac:dyDescent="0.25">
      <c r="A470" s="18" t="s">
        <v>1110</v>
      </c>
      <c r="B470" s="63"/>
      <c r="C470" s="24"/>
      <c r="D470" s="24"/>
    </row>
    <row r="471" spans="1:4" x14ac:dyDescent="0.25">
      <c r="A471" s="19" t="s">
        <v>1111</v>
      </c>
      <c r="B471" s="63">
        <v>42116</v>
      </c>
      <c r="C471" s="24">
        <v>0.97833046662565259</v>
      </c>
      <c r="D471" s="24">
        <v>1</v>
      </c>
    </row>
    <row r="472" spans="1:4" x14ac:dyDescent="0.25">
      <c r="A472" s="18" t="s">
        <v>1116</v>
      </c>
      <c r="B472" s="63"/>
      <c r="C472" s="24"/>
      <c r="D472" s="24"/>
    </row>
    <row r="473" spans="1:4" x14ac:dyDescent="0.25">
      <c r="A473" s="19" t="s">
        <v>1117</v>
      </c>
      <c r="B473" s="63">
        <v>42369</v>
      </c>
      <c r="C473" s="24">
        <v>0.99999998675847457</v>
      </c>
      <c r="D473" s="24">
        <v>1</v>
      </c>
    </row>
    <row r="474" spans="1:4" x14ac:dyDescent="0.25">
      <c r="A474" s="18" t="s">
        <v>1162</v>
      </c>
      <c r="B474" s="63"/>
      <c r="C474" s="24"/>
      <c r="D474" s="24"/>
    </row>
    <row r="475" spans="1:4" x14ac:dyDescent="0.25">
      <c r="A475" s="19" t="s">
        <v>1163</v>
      </c>
      <c r="B475" s="63">
        <v>42301</v>
      </c>
      <c r="C475" s="24">
        <v>0.90000004218817531</v>
      </c>
      <c r="D475" s="24">
        <v>1</v>
      </c>
    </row>
    <row r="476" spans="1:4" x14ac:dyDescent="0.25">
      <c r="A476" s="18" t="s">
        <v>1155</v>
      </c>
      <c r="B476" s="63"/>
      <c r="C476" s="24"/>
      <c r="D476" s="24"/>
    </row>
    <row r="477" spans="1:4" x14ac:dyDescent="0.25">
      <c r="A477" s="19" t="s">
        <v>33</v>
      </c>
      <c r="B477" s="63">
        <v>42277</v>
      </c>
      <c r="C477" s="24">
        <v>1</v>
      </c>
      <c r="D477" s="24">
        <v>1</v>
      </c>
    </row>
    <row r="478" spans="1:4" x14ac:dyDescent="0.25">
      <c r="A478" s="18" t="s">
        <v>1160</v>
      </c>
      <c r="B478" s="63"/>
      <c r="C478" s="24"/>
      <c r="D478" s="24"/>
    </row>
    <row r="479" spans="1:4" x14ac:dyDescent="0.25">
      <c r="A479" s="19" t="s">
        <v>1161</v>
      </c>
      <c r="B479" s="63">
        <v>42138</v>
      </c>
      <c r="C479" s="24">
        <v>0.6299402628434887</v>
      </c>
      <c r="D479" s="24">
        <v>1</v>
      </c>
    </row>
    <row r="480" spans="1:4" x14ac:dyDescent="0.25">
      <c r="A480" s="18" t="s">
        <v>1157</v>
      </c>
      <c r="B480" s="63"/>
      <c r="C480" s="24"/>
      <c r="D480" s="24"/>
    </row>
    <row r="481" spans="1:4" x14ac:dyDescent="0.25">
      <c r="A481" s="19" t="s">
        <v>186</v>
      </c>
      <c r="B481" s="63">
        <v>41996</v>
      </c>
      <c r="C481" s="24">
        <v>1</v>
      </c>
      <c r="D481" s="24">
        <v>1</v>
      </c>
    </row>
    <row r="482" spans="1:4" x14ac:dyDescent="0.25">
      <c r="A482" s="18" t="s">
        <v>1158</v>
      </c>
      <c r="B482" s="63"/>
      <c r="C482" s="24"/>
      <c r="D482" s="24"/>
    </row>
    <row r="483" spans="1:4" x14ac:dyDescent="0.25">
      <c r="A483" s="19" t="s">
        <v>22</v>
      </c>
      <c r="B483" s="63">
        <v>42477</v>
      </c>
      <c r="C483" s="24">
        <v>1</v>
      </c>
      <c r="D483" s="24">
        <v>1</v>
      </c>
    </row>
    <row r="484" spans="1:4" x14ac:dyDescent="0.25">
      <c r="A484" s="18" t="s">
        <v>599</v>
      </c>
      <c r="B484" s="63"/>
      <c r="C484" s="24"/>
      <c r="D484" s="24"/>
    </row>
    <row r="485" spans="1:4" x14ac:dyDescent="0.25">
      <c r="A485" s="19" t="s">
        <v>1026</v>
      </c>
      <c r="B485" s="63">
        <v>41580</v>
      </c>
      <c r="C485" s="24">
        <v>0.82905844069621071</v>
      </c>
      <c r="D485" s="24">
        <v>1</v>
      </c>
    </row>
    <row r="486" spans="1:4" x14ac:dyDescent="0.25">
      <c r="A486" s="18" t="s">
        <v>857</v>
      </c>
      <c r="B486" s="63"/>
      <c r="C486" s="24"/>
      <c r="D486" s="24"/>
    </row>
    <row r="487" spans="1:4" x14ac:dyDescent="0.25">
      <c r="A487" s="19" t="s">
        <v>1338</v>
      </c>
      <c r="B487" s="63">
        <v>41975</v>
      </c>
      <c r="C487" s="24">
        <v>0</v>
      </c>
      <c r="D487" s="24">
        <v>1</v>
      </c>
    </row>
    <row r="488" spans="1:4" x14ac:dyDescent="0.25">
      <c r="A488" s="18" t="s">
        <v>1329</v>
      </c>
      <c r="B488" s="63"/>
      <c r="C488" s="24"/>
      <c r="D488" s="24"/>
    </row>
    <row r="489" spans="1:4" x14ac:dyDescent="0.25">
      <c r="A489" s="19" t="s">
        <v>1020</v>
      </c>
      <c r="B489" s="63">
        <v>42305</v>
      </c>
      <c r="C489" s="24">
        <v>1</v>
      </c>
      <c r="D489" s="24">
        <v>1</v>
      </c>
    </row>
    <row r="490" spans="1:4" x14ac:dyDescent="0.25">
      <c r="A490" s="18" t="s">
        <v>1336</v>
      </c>
      <c r="B490" s="63"/>
      <c r="C490" s="24"/>
      <c r="D490" s="24"/>
    </row>
    <row r="491" spans="1:4" x14ac:dyDescent="0.25">
      <c r="A491" s="19" t="s">
        <v>203</v>
      </c>
      <c r="B491" s="63">
        <v>42085</v>
      </c>
      <c r="C491" s="24">
        <v>1</v>
      </c>
      <c r="D491" s="24">
        <v>1</v>
      </c>
    </row>
    <row r="492" spans="1:4" x14ac:dyDescent="0.25">
      <c r="A492" s="18" t="s">
        <v>1331</v>
      </c>
      <c r="B492" s="63"/>
      <c r="C492" s="24"/>
      <c r="D492" s="24"/>
    </row>
    <row r="493" spans="1:4" x14ac:dyDescent="0.25">
      <c r="A493" s="19" t="s">
        <v>212</v>
      </c>
      <c r="B493" s="63">
        <v>41970</v>
      </c>
      <c r="C493" s="24">
        <v>1</v>
      </c>
      <c r="D493" s="24">
        <v>1</v>
      </c>
    </row>
    <row r="494" spans="1:4" x14ac:dyDescent="0.25">
      <c r="A494" s="18" t="s">
        <v>2253</v>
      </c>
      <c r="B494" s="63"/>
      <c r="C494" s="24"/>
      <c r="D494" s="24"/>
    </row>
    <row r="495" spans="1:4" x14ac:dyDescent="0.25">
      <c r="A495" s="19" t="s">
        <v>3</v>
      </c>
      <c r="B495" s="63">
        <v>41452</v>
      </c>
      <c r="C495" s="24">
        <v>0.99832980000000004</v>
      </c>
      <c r="D495" s="24">
        <v>1</v>
      </c>
    </row>
  </sheetData>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BA1048323"/>
  <sheetViews>
    <sheetView tabSelected="1" zoomScale="106" zoomScaleNormal="106" workbookViewId="0">
      <pane xSplit="7" ySplit="6" topLeftCell="AM794" activePane="bottomRight" state="frozen"/>
      <selection activeCell="B476" sqref="B476"/>
      <selection pane="topRight" activeCell="B476" sqref="B476"/>
      <selection pane="bottomLeft" activeCell="B476" sqref="B476"/>
      <selection pane="bottomRight" activeCell="E800" sqref="E800:AT800"/>
    </sheetView>
  </sheetViews>
  <sheetFormatPr baseColWidth="10" defaultRowHeight="15" x14ac:dyDescent="0.25"/>
  <cols>
    <col min="1" max="1" width="1.85546875" style="14" bestFit="1" customWidth="1"/>
    <col min="2" max="2" width="4.42578125" style="720" bestFit="1" customWidth="1"/>
    <col min="3" max="3" width="4.5703125" style="435" customWidth="1"/>
    <col min="4" max="4" width="9.5703125" style="435" hidden="1" customWidth="1"/>
    <col min="5" max="5" width="18.42578125" style="242" bestFit="1" customWidth="1"/>
    <col min="6" max="6" width="26.5703125" style="243" customWidth="1"/>
    <col min="7" max="7" width="10.7109375" style="242" bestFit="1" customWidth="1"/>
    <col min="8" max="8" width="48.42578125" style="1006" customWidth="1"/>
    <col min="9" max="9" width="15.85546875" style="244" bestFit="1" customWidth="1"/>
    <col min="10" max="10" width="15.140625" style="728" customWidth="1"/>
    <col min="11" max="11" width="16" style="245" bestFit="1" customWidth="1"/>
    <col min="12" max="12" width="13.7109375" style="242" bestFit="1" customWidth="1"/>
    <col min="13" max="13" width="15.85546875" style="246" bestFit="1" customWidth="1"/>
    <col min="14" max="14" width="13.42578125" style="246" bestFit="1" customWidth="1"/>
    <col min="15" max="15" width="13" style="242" bestFit="1" customWidth="1"/>
    <col min="16" max="16" width="14.7109375" style="242" bestFit="1" customWidth="1"/>
    <col min="17" max="17" width="13" style="245" bestFit="1" customWidth="1"/>
    <col min="18" max="18" width="13.7109375" style="242" bestFit="1" customWidth="1"/>
    <col min="19" max="19" width="15.85546875" style="242" bestFit="1" customWidth="1"/>
    <col min="20" max="20" width="15.7109375" style="242" bestFit="1" customWidth="1"/>
    <col min="21" max="21" width="15.42578125" style="242" bestFit="1" customWidth="1"/>
    <col min="22" max="22" width="12.85546875" style="242" bestFit="1" customWidth="1"/>
    <col min="23" max="23" width="13.7109375" style="242" bestFit="1" customWidth="1"/>
    <col min="24" max="24" width="26.140625" style="421" customWidth="1"/>
    <col min="25" max="26" width="14" style="242" bestFit="1" customWidth="1"/>
    <col min="27" max="27" width="12.5703125" style="242" bestFit="1" customWidth="1"/>
    <col min="28" max="28" width="15.5703125" style="242" bestFit="1" customWidth="1"/>
    <col min="29" max="29" width="12.28515625" style="242" bestFit="1" customWidth="1"/>
    <col min="30" max="30" width="15.7109375" style="242" bestFit="1" customWidth="1"/>
    <col min="31" max="31" width="15.85546875" style="302" bestFit="1" customWidth="1"/>
    <col min="32" max="32" width="24.42578125" style="302" bestFit="1" customWidth="1"/>
    <col min="33" max="33" width="23.28515625" style="242" bestFit="1" customWidth="1"/>
    <col min="34" max="34" width="23.7109375" style="242" bestFit="1" customWidth="1"/>
    <col min="35" max="35" width="21.28515625" style="242" bestFit="1" customWidth="1"/>
    <col min="36" max="36" width="25.7109375" style="242" bestFit="1" customWidth="1"/>
    <col min="37" max="37" width="18.42578125" style="243" bestFit="1" customWidth="1"/>
    <col min="38" max="38" width="23.85546875" style="243" bestFit="1" customWidth="1"/>
    <col min="39" max="39" width="19.42578125" style="108" bestFit="1" customWidth="1"/>
    <col min="40" max="40" width="12.140625" style="108" bestFit="1" customWidth="1"/>
    <col min="41" max="41" width="16.28515625" style="919" bestFit="1" customWidth="1"/>
    <col min="42" max="42" width="14" style="108" bestFit="1" customWidth="1"/>
    <col min="43" max="43" width="14.42578125" style="108" bestFit="1" customWidth="1"/>
    <col min="44" max="44" width="22.5703125" style="245" customWidth="1"/>
    <col min="45" max="45" width="13.140625" style="23" bestFit="1" customWidth="1"/>
    <col min="46" max="46" width="15" style="1" customWidth="1"/>
    <col min="47" max="47" width="20.28515625" style="1" customWidth="1"/>
    <col min="48" max="48" width="32.140625" style="1" bestFit="1" customWidth="1"/>
    <col min="49" max="50" width="11.42578125" style="1"/>
    <col min="51" max="51" width="18.28515625" style="1" customWidth="1"/>
    <col min="52" max="52" width="0" style="1" hidden="1" customWidth="1"/>
    <col min="53" max="16384" width="11.42578125" style="1"/>
  </cols>
  <sheetData>
    <row r="1" spans="1:52" ht="15.75" thickBot="1" x14ac:dyDescent="0.3">
      <c r="B1" s="14"/>
      <c r="E1" s="31"/>
      <c r="F1" s="275" t="s">
        <v>2545</v>
      </c>
      <c r="G1" s="25"/>
      <c r="H1" s="989"/>
      <c r="I1" s="25"/>
      <c r="J1" s="724"/>
      <c r="K1" s="79"/>
      <c r="L1" s="25"/>
      <c r="M1" s="25"/>
      <c r="N1" s="25"/>
      <c r="O1" s="25"/>
      <c r="P1" s="25"/>
      <c r="Q1" s="79"/>
      <c r="R1" s="14"/>
      <c r="S1" s="14"/>
      <c r="T1" s="14"/>
      <c r="U1" s="14"/>
      <c r="V1" s="14"/>
      <c r="W1" s="14"/>
      <c r="X1" s="417"/>
      <c r="Y1" s="14"/>
      <c r="Z1" s="25"/>
      <c r="AA1" s="25"/>
      <c r="AB1" s="25"/>
      <c r="AC1" s="14"/>
      <c r="AD1" s="14"/>
      <c r="AE1" s="297"/>
      <c r="AF1" s="297"/>
      <c r="AG1" s="14"/>
      <c r="AH1" s="14"/>
      <c r="AI1" s="14"/>
      <c r="AJ1" s="14"/>
      <c r="AK1" s="273"/>
      <c r="AL1" s="14"/>
      <c r="AM1" s="85"/>
      <c r="AN1" s="85"/>
      <c r="AO1" s="85"/>
      <c r="AP1" s="85"/>
      <c r="AQ1" s="85"/>
      <c r="AR1" s="85"/>
      <c r="AS1" s="303"/>
    </row>
    <row r="2" spans="1:52" ht="24.75" thickTop="1" thickBot="1" x14ac:dyDescent="0.3">
      <c r="B2" s="14"/>
      <c r="E2" s="69"/>
      <c r="F2" s="274"/>
      <c r="G2" s="32"/>
      <c r="H2" s="1105" t="s">
        <v>387</v>
      </c>
      <c r="I2" s="1105"/>
      <c r="J2" s="1105"/>
      <c r="K2" s="1105"/>
      <c r="L2" s="1105"/>
      <c r="M2" s="1105"/>
      <c r="N2" s="1105"/>
      <c r="O2" s="1105"/>
      <c r="P2" s="1105"/>
      <c r="Q2" s="1105"/>
      <c r="R2" s="1105"/>
      <c r="S2" s="1105"/>
      <c r="T2" s="1105"/>
      <c r="U2" s="1105"/>
      <c r="V2" s="1105"/>
      <c r="W2" s="1105"/>
      <c r="X2" s="1106"/>
      <c r="Y2" s="1105"/>
      <c r="Z2" s="32"/>
      <c r="AA2" s="32"/>
      <c r="AB2" s="32"/>
      <c r="AC2" s="32"/>
      <c r="AD2" s="32"/>
      <c r="AE2" s="298"/>
      <c r="AF2" s="298"/>
      <c r="AG2" s="32"/>
      <c r="AH2" s="32"/>
      <c r="AI2" s="32"/>
      <c r="AJ2" s="32"/>
      <c r="AK2" s="274"/>
      <c r="AL2" s="82"/>
      <c r="AM2" s="1111" t="s">
        <v>1054</v>
      </c>
      <c r="AN2" s="1112"/>
      <c r="AO2" s="1112"/>
      <c r="AP2" s="1112"/>
      <c r="AQ2" s="1112"/>
      <c r="AR2" s="1113"/>
      <c r="AS2" s="303"/>
    </row>
    <row r="3" spans="1:52" ht="24" thickBot="1" x14ac:dyDescent="0.3">
      <c r="B3" s="25"/>
      <c r="C3" s="436"/>
      <c r="D3" s="436"/>
      <c r="E3" s="100" t="s">
        <v>1058</v>
      </c>
      <c r="F3" s="277">
        <f ca="1">TODAY()</f>
        <v>43643</v>
      </c>
      <c r="G3" s="25"/>
      <c r="H3" s="1107" t="s">
        <v>4666</v>
      </c>
      <c r="I3" s="1107"/>
      <c r="J3" s="1107"/>
      <c r="K3" s="1107"/>
      <c r="L3" s="1107"/>
      <c r="M3" s="1107"/>
      <c r="N3" s="1107"/>
      <c r="O3" s="1107"/>
      <c r="P3" s="1107"/>
      <c r="Q3" s="1107"/>
      <c r="R3" s="1107"/>
      <c r="S3" s="1107"/>
      <c r="T3" s="1107"/>
      <c r="U3" s="1107"/>
      <c r="V3" s="1107"/>
      <c r="W3" s="1107"/>
      <c r="X3" s="1108"/>
      <c r="Y3" s="1107"/>
      <c r="Z3" s="25"/>
      <c r="AA3" s="25"/>
      <c r="AB3" s="25"/>
      <c r="AC3" s="25"/>
      <c r="AD3" s="25"/>
      <c r="AE3" s="299"/>
      <c r="AF3" s="299"/>
      <c r="AG3" s="25"/>
      <c r="AH3" s="25"/>
      <c r="AI3" s="25"/>
      <c r="AJ3" s="25"/>
      <c r="AK3" s="275"/>
      <c r="AL3" s="83"/>
      <c r="AM3" s="1114"/>
      <c r="AN3" s="1115"/>
      <c r="AO3" s="1115"/>
      <c r="AP3" s="1115"/>
      <c r="AQ3" s="1115"/>
      <c r="AR3" s="1116"/>
      <c r="AS3" s="303"/>
    </row>
    <row r="4" spans="1:52" ht="15.75" thickBot="1" x14ac:dyDescent="0.3">
      <c r="B4" s="14"/>
      <c r="E4" s="99" t="s">
        <v>388</v>
      </c>
      <c r="F4" s="278">
        <f>+Inicio!S6</f>
        <v>43637</v>
      </c>
      <c r="G4" s="70"/>
      <c r="H4" s="990"/>
      <c r="I4" s="31"/>
      <c r="J4" s="725"/>
      <c r="K4" s="81"/>
      <c r="L4" s="31"/>
      <c r="M4" s="31"/>
      <c r="N4" s="31"/>
      <c r="O4" s="31"/>
      <c r="P4" s="31"/>
      <c r="Q4" s="81"/>
      <c r="R4" s="31"/>
      <c r="S4" s="31"/>
      <c r="T4" s="31"/>
      <c r="U4" s="31"/>
      <c r="V4" s="31"/>
      <c r="W4" s="31"/>
      <c r="X4" s="418"/>
      <c r="Y4" s="25"/>
      <c r="Z4" s="25"/>
      <c r="AA4" s="25"/>
      <c r="AB4" s="25"/>
      <c r="AC4" s="25"/>
      <c r="AD4" s="25"/>
      <c r="AE4" s="300"/>
      <c r="AF4" s="300"/>
      <c r="AG4" s="31"/>
      <c r="AH4" s="31"/>
      <c r="AI4" s="31"/>
      <c r="AJ4" s="31"/>
      <c r="AK4" s="276"/>
      <c r="AL4" s="84"/>
      <c r="AM4" s="1117"/>
      <c r="AN4" s="1118"/>
      <c r="AO4" s="1118"/>
      <c r="AP4" s="1118"/>
      <c r="AQ4" s="1118"/>
      <c r="AR4" s="1119"/>
      <c r="AS4" s="303"/>
    </row>
    <row r="5" spans="1:52" ht="15.75" thickTop="1" x14ac:dyDescent="0.25">
      <c r="B5" s="14"/>
      <c r="E5" s="916" t="s">
        <v>3506</v>
      </c>
      <c r="F5" s="920" t="s">
        <v>3505</v>
      </c>
      <c r="G5" s="917" t="s">
        <v>927</v>
      </c>
      <c r="H5" s="991" t="s">
        <v>3507</v>
      </c>
      <c r="I5" s="918" t="s">
        <v>3512</v>
      </c>
      <c r="J5" s="125"/>
      <c r="K5" s="85"/>
      <c r="L5" s="14"/>
      <c r="M5" s="14"/>
      <c r="N5" s="14"/>
      <c r="O5" s="1109" t="s">
        <v>965</v>
      </c>
      <c r="P5" s="1109"/>
      <c r="Q5" s="1109"/>
      <c r="R5" s="1109"/>
      <c r="S5" s="1110"/>
      <c r="T5" s="75"/>
      <c r="U5" s="14"/>
      <c r="V5" s="1120" t="s">
        <v>1055</v>
      </c>
      <c r="W5" s="1120"/>
      <c r="X5" s="1121"/>
      <c r="Y5" s="1120"/>
      <c r="Z5" s="1120"/>
      <c r="AA5" s="1120"/>
      <c r="AB5" s="1120"/>
      <c r="AC5" s="1122"/>
      <c r="AD5" s="759"/>
      <c r="AE5" s="297"/>
      <c r="AF5" s="297"/>
      <c r="AG5" s="14"/>
      <c r="AH5" s="14"/>
      <c r="AI5" s="14"/>
      <c r="AJ5" s="14"/>
      <c r="AK5" s="273"/>
      <c r="AL5" s="14"/>
      <c r="AM5" s="85"/>
      <c r="AN5" s="85"/>
      <c r="AO5" s="85"/>
      <c r="AP5" s="85"/>
      <c r="AQ5" s="85"/>
      <c r="AR5" s="85"/>
      <c r="AS5" s="303"/>
    </row>
    <row r="6" spans="1:52" s="303" customFormat="1" ht="45" x14ac:dyDescent="0.25">
      <c r="A6" s="85"/>
      <c r="B6" s="85"/>
      <c r="C6" s="33" t="s">
        <v>1721</v>
      </c>
      <c r="D6" s="33" t="s">
        <v>2354</v>
      </c>
      <c r="E6" s="33" t="s">
        <v>0</v>
      </c>
      <c r="F6" s="33" t="s">
        <v>1</v>
      </c>
      <c r="G6" s="33" t="s">
        <v>394</v>
      </c>
      <c r="H6" s="992" t="s">
        <v>311</v>
      </c>
      <c r="I6" s="34" t="s">
        <v>386</v>
      </c>
      <c r="J6" s="34" t="s">
        <v>1947</v>
      </c>
      <c r="K6" s="34" t="s">
        <v>1533</v>
      </c>
      <c r="L6" s="34" t="s">
        <v>1847</v>
      </c>
      <c r="M6" s="35" t="s">
        <v>374</v>
      </c>
      <c r="N6" s="35" t="s">
        <v>375</v>
      </c>
      <c r="O6" s="46" t="s">
        <v>972</v>
      </c>
      <c r="P6" s="46" t="s">
        <v>971</v>
      </c>
      <c r="Q6" s="46" t="s">
        <v>973</v>
      </c>
      <c r="R6" s="46" t="s">
        <v>1005</v>
      </c>
      <c r="S6" s="46" t="s">
        <v>1066</v>
      </c>
      <c r="T6" s="35" t="s">
        <v>979</v>
      </c>
      <c r="U6" s="35" t="s">
        <v>385</v>
      </c>
      <c r="V6" s="34" t="s">
        <v>384</v>
      </c>
      <c r="W6" s="34" t="s">
        <v>383</v>
      </c>
      <c r="X6" s="1047" t="s">
        <v>1208</v>
      </c>
      <c r="Y6" s="34" t="s">
        <v>376</v>
      </c>
      <c r="Z6" s="35" t="s">
        <v>1000</v>
      </c>
      <c r="AA6" s="35" t="s">
        <v>389</v>
      </c>
      <c r="AB6" s="35" t="s">
        <v>1094</v>
      </c>
      <c r="AC6" s="35" t="s">
        <v>1057</v>
      </c>
      <c r="AD6" s="35" t="s">
        <v>2186</v>
      </c>
      <c r="AE6" s="35" t="s">
        <v>1480</v>
      </c>
      <c r="AF6" s="35" t="s">
        <v>1121</v>
      </c>
      <c r="AG6" s="35" t="s">
        <v>1122</v>
      </c>
      <c r="AH6" s="35" t="s">
        <v>1123</v>
      </c>
      <c r="AI6" s="35" t="s">
        <v>566</v>
      </c>
      <c r="AJ6" s="35" t="s">
        <v>595</v>
      </c>
      <c r="AK6" s="35" t="s">
        <v>567</v>
      </c>
      <c r="AL6" s="35" t="s">
        <v>569</v>
      </c>
      <c r="AM6" s="35" t="s">
        <v>991</v>
      </c>
      <c r="AN6" s="35" t="s">
        <v>927</v>
      </c>
      <c r="AO6" s="35" t="s">
        <v>3513</v>
      </c>
      <c r="AP6" s="35" t="s">
        <v>1948</v>
      </c>
      <c r="AQ6" s="35" t="s">
        <v>984</v>
      </c>
      <c r="AR6" s="35" t="s">
        <v>3782</v>
      </c>
      <c r="AS6" s="35" t="s">
        <v>3783</v>
      </c>
      <c r="AT6" s="35" t="s">
        <v>3724</v>
      </c>
      <c r="AU6" s="35" t="s">
        <v>4617</v>
      </c>
      <c r="AV6" s="35" t="s">
        <v>4616</v>
      </c>
      <c r="AZ6" s="1"/>
    </row>
    <row r="7" spans="1:52" ht="47.25" customHeight="1" x14ac:dyDescent="0.25">
      <c r="A7" s="15">
        <v>1</v>
      </c>
      <c r="B7" s="15">
        <v>1</v>
      </c>
      <c r="C7" s="437"/>
      <c r="D7" s="437" t="str">
        <f t="shared" ref="D7:D70" si="0">K7&amp;C7</f>
        <v>2008</v>
      </c>
      <c r="E7" s="132" t="s">
        <v>92</v>
      </c>
      <c r="F7" s="132" t="s">
        <v>425</v>
      </c>
      <c r="G7" s="133"/>
      <c r="H7" s="993" t="s">
        <v>438</v>
      </c>
      <c r="I7" s="134">
        <v>7329236109</v>
      </c>
      <c r="J7" s="134" t="s">
        <v>1088</v>
      </c>
      <c r="K7" s="135">
        <v>2008</v>
      </c>
      <c r="L7" s="546" t="s">
        <v>1088</v>
      </c>
      <c r="M7" s="136">
        <v>39724</v>
      </c>
      <c r="N7" s="136">
        <v>41673</v>
      </c>
      <c r="O7" s="127">
        <f>COUNTA(Modificaciones!I7,Modificaciones!K7,Modificaciones!M7,Modificaciones!O7)</f>
        <v>0</v>
      </c>
      <c r="P7" s="128">
        <f>VLOOKUP(E7,Modificaciones!$B$7:$Q$300,16,0)</f>
        <v>0</v>
      </c>
      <c r="Q7" s="129">
        <f>COUNTA(Modificaciones!S7,Modificaciones!U7,Modificaciones!W7,Modificaciones!Y7)</f>
        <v>0</v>
      </c>
      <c r="R7" s="130" t="str">
        <f>IF(Modificaciones!Z7=0,"",VLOOKUP(E7,Modificaciones!$B$7:$AA$400,25,0))</f>
        <v/>
      </c>
      <c r="S7" s="131" t="str">
        <f>IF(Modificaciones!AA7=0,"",VLOOKUP(E7,Modificaciones!$B$7:$AA$400,26,0))</f>
        <v/>
      </c>
      <c r="T7" s="7">
        <f t="shared" ref="T7:T38" si="1">MAX(N7,S7)</f>
        <v>41673</v>
      </c>
      <c r="U7" s="62">
        <f t="shared" ref="U7:U70" si="2">I7+P7</f>
        <v>7329236109</v>
      </c>
      <c r="V7" s="172">
        <f>VLOOKUP(E7,Modificaciones!$B$7:$AU$300,46,0)</f>
        <v>6218260556</v>
      </c>
      <c r="W7" s="93">
        <f t="shared" ref="W7:W70" si="3">U7-V7</f>
        <v>1110975553</v>
      </c>
      <c r="X7" s="309"/>
      <c r="Y7" s="42">
        <f t="shared" ref="Y7:Y70" si="4">(V7*100%)/U7</f>
        <v>0.84841864329684125</v>
      </c>
      <c r="Z7" s="42">
        <f t="shared" ref="Z7:Z70" ca="1" si="5">IF((($F$3-M7)*100%/(T7-M7))&gt;100%,100%,(($F$3-M7)*100%/(T7-M7)))</f>
        <v>1</v>
      </c>
      <c r="AA7" s="43">
        <f t="shared" ref="AA7:AA70" ca="1" si="6">Z7-Y7</f>
        <v>0.15158135670315875</v>
      </c>
      <c r="AB7" s="202" t="str">
        <f t="shared" ref="AB7:AB70" ca="1" si="7">IF(Z7&lt;100%,T7-$F$3,"")</f>
        <v/>
      </c>
      <c r="AC7" s="44" t="str">
        <f t="shared" ref="AC7:AC70" si="8">IF(Y7&lt;=99.9%,"NO","SI")</f>
        <v>NO</v>
      </c>
      <c r="AD7" s="44"/>
      <c r="AE7" s="173"/>
      <c r="AF7" s="173" t="s">
        <v>1318</v>
      </c>
      <c r="AG7" s="173"/>
      <c r="AH7" s="173" t="s">
        <v>560</v>
      </c>
      <c r="AI7" s="174"/>
      <c r="AJ7" s="175"/>
      <c r="AK7" s="181" t="str">
        <f t="shared" ref="AK7:AK70" ca="1" si="9">IF(T7&gt;=$F$3,"EN EJECUCIÓN","TERMINO")</f>
        <v>TERMINO</v>
      </c>
      <c r="AL7" s="175"/>
      <c r="AM7" s="176"/>
      <c r="AN7" s="848" t="str">
        <f>IFERROR(VLOOKUP(E7,'liquidaciones '!$B$2:$C$1048576,2,0),"NO")</f>
        <v>NO</v>
      </c>
      <c r="AO7" s="944" t="str">
        <f>IFERROR(VLOOKUP(E7,'liquidaciones '!$B$2:$I$1048576,8,0)=0,"")</f>
        <v/>
      </c>
      <c r="AP7" s="334"/>
      <c r="AQ7" s="177" t="str">
        <f t="shared" ref="AQ7:AQ13" ca="1" si="10">IF((TODAY()-T7&lt;900),"SI","NO")</f>
        <v>NO</v>
      </c>
      <c r="AR7" s="177" t="s">
        <v>2076</v>
      </c>
      <c r="AS7" s="433"/>
      <c r="AT7" s="964"/>
      <c r="AU7" s="964"/>
      <c r="AV7" s="964"/>
      <c r="AX7" s="16"/>
      <c r="AY7" s="16"/>
      <c r="AZ7" s="1" t="s">
        <v>390</v>
      </c>
    </row>
    <row r="8" spans="1:52" ht="47.25" customHeight="1" x14ac:dyDescent="0.25">
      <c r="A8" s="41">
        <v>2</v>
      </c>
      <c r="B8" s="15">
        <v>2</v>
      </c>
      <c r="C8" s="437"/>
      <c r="D8" s="437" t="str">
        <f t="shared" si="0"/>
        <v>2008</v>
      </c>
      <c r="E8" s="132" t="s">
        <v>151</v>
      </c>
      <c r="F8" s="132" t="s">
        <v>152</v>
      </c>
      <c r="G8" s="137">
        <v>800015583</v>
      </c>
      <c r="H8" s="993" t="s">
        <v>439</v>
      </c>
      <c r="I8" s="134">
        <v>2026575001</v>
      </c>
      <c r="J8" s="134" t="s">
        <v>1088</v>
      </c>
      <c r="K8" s="135">
        <v>2008</v>
      </c>
      <c r="L8" s="546">
        <v>39808</v>
      </c>
      <c r="M8" s="138">
        <v>39904</v>
      </c>
      <c r="N8" s="138">
        <v>41486</v>
      </c>
      <c r="O8" s="127">
        <f>COUNTA(Modificaciones!I8,Modificaciones!K8,Modificaciones!M8,Modificaciones!O8)</f>
        <v>1</v>
      </c>
      <c r="P8" s="128">
        <f>VLOOKUP(E8,Modificaciones!$B$7:$Q$300,16,0)</f>
        <v>1073825676</v>
      </c>
      <c r="Q8" s="129">
        <f>COUNTA(Modificaciones!S8,Modificaciones!U8,Modificaciones!W8,Modificaciones!Y8)</f>
        <v>0</v>
      </c>
      <c r="R8" s="130" t="str">
        <f>IF(Modificaciones!Z8=0,"",VLOOKUP(E8,Modificaciones!$B$7:$AA$400,25,0))</f>
        <v/>
      </c>
      <c r="S8" s="131" t="str">
        <f>IF(Modificaciones!AA8=0,"",VLOOKUP(E8,Modificaciones!$B$7:$AA$400,26,0))</f>
        <v/>
      </c>
      <c r="T8" s="7">
        <f t="shared" si="1"/>
        <v>41486</v>
      </c>
      <c r="U8" s="61">
        <f t="shared" si="2"/>
        <v>3100400677</v>
      </c>
      <c r="V8" s="172">
        <f>VLOOKUP(E8,Modificaciones!$B$7:$AU$300,46,0)</f>
        <v>3066561119</v>
      </c>
      <c r="W8" s="98">
        <f t="shared" si="3"/>
        <v>33839558</v>
      </c>
      <c r="X8" s="419"/>
      <c r="Y8" s="94">
        <f t="shared" si="4"/>
        <v>0.98908542426434254</v>
      </c>
      <c r="Z8" s="42">
        <f t="shared" ca="1" si="5"/>
        <v>1</v>
      </c>
      <c r="AA8" s="95">
        <f t="shared" ca="1" si="6"/>
        <v>1.0914575735657461E-2</v>
      </c>
      <c r="AB8" s="202" t="str">
        <f t="shared" ca="1" si="7"/>
        <v/>
      </c>
      <c r="AC8" s="96" t="str">
        <f t="shared" si="8"/>
        <v>NO</v>
      </c>
      <c r="AD8" s="96"/>
      <c r="AE8" s="173" t="s">
        <v>1257</v>
      </c>
      <c r="AF8" s="178" t="s">
        <v>1463</v>
      </c>
      <c r="AG8" s="173" t="s">
        <v>1439</v>
      </c>
      <c r="AH8" s="281" t="s">
        <v>560</v>
      </c>
      <c r="AI8" s="179"/>
      <c r="AJ8" s="698" t="s">
        <v>1946</v>
      </c>
      <c r="AK8" s="181" t="str">
        <f t="shared" ca="1" si="9"/>
        <v>TERMINO</v>
      </c>
      <c r="AL8" s="175"/>
      <c r="AM8" s="180" t="s">
        <v>390</v>
      </c>
      <c r="AN8" s="848" t="str">
        <f>IFERROR(VLOOKUP(E8,'liquidaciones '!$B$2:$C$1048576,2,0),"NO")</f>
        <v>LIQUIDADO</v>
      </c>
      <c r="AO8" s="944">
        <f>IFERROR(VLOOKUP(E8,'liquidaciones '!$B$2:$I$1048576,8,0),"")</f>
        <v>0</v>
      </c>
      <c r="AP8" s="335">
        <v>42149</v>
      </c>
      <c r="AQ8" s="177" t="str">
        <f t="shared" ca="1" si="10"/>
        <v>NO</v>
      </c>
      <c r="AR8" s="177" t="s">
        <v>1571</v>
      </c>
      <c r="AS8" s="433"/>
      <c r="AT8" s="964"/>
      <c r="AU8" s="964"/>
      <c r="AV8" s="964"/>
      <c r="AX8" s="16"/>
      <c r="AY8" s="16"/>
      <c r="AZ8" s="1" t="s">
        <v>391</v>
      </c>
    </row>
    <row r="9" spans="1:52" ht="47.25" customHeight="1" x14ac:dyDescent="0.25">
      <c r="A9" s="15">
        <v>2</v>
      </c>
      <c r="B9" s="15">
        <v>3</v>
      </c>
      <c r="C9" s="437"/>
      <c r="D9" s="437" t="str">
        <f t="shared" si="0"/>
        <v>2008</v>
      </c>
      <c r="E9" s="132" t="s">
        <v>149</v>
      </c>
      <c r="F9" s="132" t="s">
        <v>150</v>
      </c>
      <c r="G9" s="133"/>
      <c r="H9" s="993" t="s">
        <v>1276</v>
      </c>
      <c r="I9" s="134">
        <v>2909992591</v>
      </c>
      <c r="J9" s="134" t="s">
        <v>1088</v>
      </c>
      <c r="K9" s="135">
        <v>2008</v>
      </c>
      <c r="L9" s="546" t="s">
        <v>1088</v>
      </c>
      <c r="M9" s="138">
        <v>39864</v>
      </c>
      <c r="N9" s="138">
        <v>41476</v>
      </c>
      <c r="O9" s="127">
        <f>COUNTA(Modificaciones!I9,Modificaciones!K9,Modificaciones!M9,Modificaciones!O9)</f>
        <v>0</v>
      </c>
      <c r="P9" s="128">
        <f>VLOOKUP(E9,Modificaciones!$B$7:$Q$300,16,0)</f>
        <v>0</v>
      </c>
      <c r="Q9" s="129">
        <f>COUNTA(Modificaciones!S9,Modificaciones!U9,Modificaciones!W9,Modificaciones!Y9)</f>
        <v>0</v>
      </c>
      <c r="R9" s="130" t="str">
        <f>IF(Modificaciones!Z9=0,"",VLOOKUP(E9,Modificaciones!$B$7:$AA$400,25,0))</f>
        <v/>
      </c>
      <c r="S9" s="131" t="str">
        <f>IF(Modificaciones!AA9=0,"",VLOOKUP(E9,Modificaciones!$B$7:$AA$400,26,0))</f>
        <v/>
      </c>
      <c r="T9" s="7">
        <f t="shared" si="1"/>
        <v>41476</v>
      </c>
      <c r="U9" s="62">
        <f t="shared" si="2"/>
        <v>2909992591</v>
      </c>
      <c r="V9" s="172">
        <f>VLOOKUP(E9,Modificaciones!$B$7:$AU$300,46,0)</f>
        <v>13400894</v>
      </c>
      <c r="W9" s="93">
        <f t="shared" si="3"/>
        <v>2896591697</v>
      </c>
      <c r="X9" s="309"/>
      <c r="Y9" s="42">
        <f t="shared" si="4"/>
        <v>4.6051299379407939E-3</v>
      </c>
      <c r="Z9" s="42">
        <f t="shared" ca="1" si="5"/>
        <v>1</v>
      </c>
      <c r="AA9" s="43">
        <f t="shared" ca="1" si="6"/>
        <v>0.99539487006205918</v>
      </c>
      <c r="AB9" s="202" t="str">
        <f t="shared" ca="1" si="7"/>
        <v/>
      </c>
      <c r="AC9" s="44" t="str">
        <f t="shared" si="8"/>
        <v>NO</v>
      </c>
      <c r="AD9" s="44"/>
      <c r="AE9" s="173" t="s">
        <v>1257</v>
      </c>
      <c r="AF9" s="173" t="s">
        <v>1278</v>
      </c>
      <c r="AG9" s="173" t="s">
        <v>1439</v>
      </c>
      <c r="AH9" s="281" t="s">
        <v>560</v>
      </c>
      <c r="AI9" s="174"/>
      <c r="AJ9" s="175"/>
      <c r="AK9" s="181" t="str">
        <f t="shared" ca="1" si="9"/>
        <v>TERMINO</v>
      </c>
      <c r="AL9" s="175"/>
      <c r="AM9" s="176"/>
      <c r="AN9" s="848" t="str">
        <f>IFERROR(VLOOKUP(E9,'liquidaciones '!$B$2:$C$1048576,2,0),"NO")</f>
        <v>NO</v>
      </c>
      <c r="AO9" s="944" t="str">
        <f>IFERROR(VLOOKUP(E9,'liquidaciones '!$B$2:$I$1048576,8,0),"")</f>
        <v/>
      </c>
      <c r="AP9" s="334"/>
      <c r="AQ9" s="177" t="str">
        <f t="shared" ca="1" si="10"/>
        <v>NO</v>
      </c>
      <c r="AR9" s="177" t="s">
        <v>1571</v>
      </c>
      <c r="AS9" s="433"/>
      <c r="AT9" s="964"/>
      <c r="AU9" s="964"/>
      <c r="AV9" s="964"/>
      <c r="AX9" s="16"/>
      <c r="AY9" s="16"/>
      <c r="AZ9" s="1" t="s">
        <v>590</v>
      </c>
    </row>
    <row r="10" spans="1:52" ht="47.25" customHeight="1" x14ac:dyDescent="0.25">
      <c r="A10" s="15">
        <v>2</v>
      </c>
      <c r="B10" s="15">
        <v>4</v>
      </c>
      <c r="C10" s="437"/>
      <c r="D10" s="437" t="str">
        <f t="shared" si="0"/>
        <v>2009</v>
      </c>
      <c r="E10" s="139" t="s">
        <v>180</v>
      </c>
      <c r="F10" s="132" t="s">
        <v>181</v>
      </c>
      <c r="G10" s="133"/>
      <c r="H10" s="993" t="s">
        <v>440</v>
      </c>
      <c r="I10" s="140">
        <v>234495075</v>
      </c>
      <c r="J10" s="134" t="s">
        <v>1088</v>
      </c>
      <c r="K10" s="157">
        <v>2009</v>
      </c>
      <c r="L10" s="546" t="s">
        <v>1088</v>
      </c>
      <c r="M10" s="138">
        <v>40197</v>
      </c>
      <c r="N10" s="138">
        <v>41323</v>
      </c>
      <c r="O10" s="127">
        <f>COUNTA(Modificaciones!I10,Modificaciones!K10,Modificaciones!M10,Modificaciones!O10)</f>
        <v>0</v>
      </c>
      <c r="P10" s="128">
        <f>VLOOKUP(E10,Modificaciones!$B$7:$Q$300,16,0)</f>
        <v>0</v>
      </c>
      <c r="Q10" s="129">
        <f>COUNTA(Modificaciones!S10,Modificaciones!U10,Modificaciones!W10,Modificaciones!Y10)</f>
        <v>0</v>
      </c>
      <c r="R10" s="130" t="str">
        <f>IF(Modificaciones!Z10=0,"",VLOOKUP(E10,Modificaciones!$B$7:$AA$400,25,0))</f>
        <v/>
      </c>
      <c r="S10" s="131" t="str">
        <f>IF(Modificaciones!AA10=0,"",VLOOKUP(E10,Modificaciones!$B$7:$AA$400,26,0))</f>
        <v/>
      </c>
      <c r="T10" s="7">
        <f t="shared" si="1"/>
        <v>41323</v>
      </c>
      <c r="U10" s="62">
        <f t="shared" si="2"/>
        <v>234495075</v>
      </c>
      <c r="V10" s="172">
        <f>VLOOKUP(E10,Modificaciones!$B$7:$AU$300,46,0)</f>
        <v>234495075</v>
      </c>
      <c r="W10" s="93">
        <f t="shared" si="3"/>
        <v>0</v>
      </c>
      <c r="X10" s="309"/>
      <c r="Y10" s="42">
        <f t="shared" si="4"/>
        <v>1</v>
      </c>
      <c r="Z10" s="42">
        <f t="shared" ca="1" si="5"/>
        <v>1</v>
      </c>
      <c r="AA10" s="43">
        <f t="shared" ca="1" si="6"/>
        <v>0</v>
      </c>
      <c r="AB10" s="202" t="str">
        <f t="shared" ca="1" si="7"/>
        <v/>
      </c>
      <c r="AC10" s="44" t="str">
        <f t="shared" si="8"/>
        <v>SI</v>
      </c>
      <c r="AD10" s="44"/>
      <c r="AE10" s="173" t="s">
        <v>1257</v>
      </c>
      <c r="AF10" s="173" t="s">
        <v>1277</v>
      </c>
      <c r="AG10" s="173" t="s">
        <v>1439</v>
      </c>
      <c r="AH10" s="281" t="s">
        <v>560</v>
      </c>
      <c r="AI10" s="174"/>
      <c r="AJ10" s="175"/>
      <c r="AK10" s="181" t="str">
        <f t="shared" ca="1" si="9"/>
        <v>TERMINO</v>
      </c>
      <c r="AL10" s="175"/>
      <c r="AM10" s="176"/>
      <c r="AN10" s="848" t="str">
        <f>IFERROR(VLOOKUP(E10,'liquidaciones '!$B$2:$C$1048576,2,0),"NO")</f>
        <v>NO</v>
      </c>
      <c r="AO10" s="944" t="str">
        <f>IFERROR(VLOOKUP(E10,'liquidaciones '!$B$2:$I$1048576,8,0),"")</f>
        <v/>
      </c>
      <c r="AP10" s="334"/>
      <c r="AQ10" s="177" t="str">
        <f t="shared" ca="1" si="10"/>
        <v>NO</v>
      </c>
      <c r="AR10" s="177" t="s">
        <v>1571</v>
      </c>
      <c r="AS10" s="433"/>
      <c r="AT10" s="964"/>
      <c r="AU10" s="964"/>
      <c r="AV10" s="964"/>
      <c r="AX10" s="16"/>
      <c r="AY10" s="16"/>
    </row>
    <row r="11" spans="1:52" ht="47.25" customHeight="1" x14ac:dyDescent="0.25">
      <c r="A11" s="15">
        <v>2</v>
      </c>
      <c r="B11" s="15">
        <v>5</v>
      </c>
      <c r="C11" s="437"/>
      <c r="D11" s="437" t="str">
        <f t="shared" si="0"/>
        <v>2009</v>
      </c>
      <c r="E11" s="139" t="s">
        <v>182</v>
      </c>
      <c r="F11" s="132" t="s">
        <v>152</v>
      </c>
      <c r="G11" s="133">
        <v>800015583</v>
      </c>
      <c r="H11" s="993" t="s">
        <v>441</v>
      </c>
      <c r="I11" s="140">
        <v>507000000</v>
      </c>
      <c r="J11" s="134" t="s">
        <v>1088</v>
      </c>
      <c r="K11" s="135">
        <v>2009</v>
      </c>
      <c r="L11" s="546" t="s">
        <v>1088</v>
      </c>
      <c r="M11" s="138">
        <v>40150</v>
      </c>
      <c r="N11" s="138">
        <v>41336</v>
      </c>
      <c r="O11" s="127">
        <f>COUNTA(Modificaciones!I11,Modificaciones!K11,Modificaciones!M11,Modificaciones!O11)</f>
        <v>0</v>
      </c>
      <c r="P11" s="128">
        <f>VLOOKUP(E11,Modificaciones!$B$7:$Q$300,16,0)</f>
        <v>0</v>
      </c>
      <c r="Q11" s="129">
        <f>COUNTA(Modificaciones!S11,Modificaciones!U11,Modificaciones!W11,Modificaciones!Y11)</f>
        <v>0</v>
      </c>
      <c r="R11" s="130" t="str">
        <f>IF(Modificaciones!Z11=0,"",VLOOKUP(E11,Modificaciones!$B$7:$AA$400,25,0))</f>
        <v/>
      </c>
      <c r="S11" s="131" t="str">
        <f>IF(Modificaciones!AA11=0,"",VLOOKUP(E11,Modificaciones!$B$7:$AA$400,26,0))</f>
        <v/>
      </c>
      <c r="T11" s="7">
        <f t="shared" si="1"/>
        <v>41336</v>
      </c>
      <c r="U11" s="62">
        <f t="shared" si="2"/>
        <v>507000000</v>
      </c>
      <c r="V11" s="172">
        <f>VLOOKUP(E11,Modificaciones!$B$7:$AU$300,46,0)</f>
        <v>471070424</v>
      </c>
      <c r="W11" s="93">
        <f t="shared" si="3"/>
        <v>35929576</v>
      </c>
      <c r="X11" s="309"/>
      <c r="Y11" s="42">
        <f t="shared" si="4"/>
        <v>0.92913298619329387</v>
      </c>
      <c r="Z11" s="42">
        <f t="shared" ca="1" si="5"/>
        <v>1</v>
      </c>
      <c r="AA11" s="43">
        <f t="shared" ca="1" si="6"/>
        <v>7.0867013806706125E-2</v>
      </c>
      <c r="AB11" s="202" t="str">
        <f t="shared" ca="1" si="7"/>
        <v/>
      </c>
      <c r="AC11" s="44" t="str">
        <f t="shared" si="8"/>
        <v>NO</v>
      </c>
      <c r="AD11" s="44"/>
      <c r="AE11" s="173" t="s">
        <v>1257</v>
      </c>
      <c r="AF11" s="173" t="s">
        <v>1277</v>
      </c>
      <c r="AG11" s="173" t="s">
        <v>1439</v>
      </c>
      <c r="AH11" s="281" t="s">
        <v>560</v>
      </c>
      <c r="AI11" s="174"/>
      <c r="AJ11" s="175"/>
      <c r="AK11" s="181" t="str">
        <f t="shared" ca="1" si="9"/>
        <v>TERMINO</v>
      </c>
      <c r="AL11" s="175"/>
      <c r="AM11" s="176"/>
      <c r="AN11" s="848" t="str">
        <f>IFERROR(VLOOKUP(E11,'liquidaciones '!$B$2:$C$1048576,2,0),"NO")</f>
        <v>NO</v>
      </c>
      <c r="AO11" s="944" t="str">
        <f>IFERROR(VLOOKUP(E11,'liquidaciones '!$B$2:$I$1048576,8,0),"")</f>
        <v/>
      </c>
      <c r="AP11" s="334"/>
      <c r="AQ11" s="177" t="str">
        <f t="shared" ca="1" si="10"/>
        <v>NO</v>
      </c>
      <c r="AR11" s="177" t="s">
        <v>1571</v>
      </c>
      <c r="AS11" s="433"/>
      <c r="AT11" s="964"/>
      <c r="AU11" s="964"/>
      <c r="AV11" s="964"/>
      <c r="AX11" s="16"/>
      <c r="AY11" s="16"/>
    </row>
    <row r="12" spans="1:52" ht="47.25" customHeight="1" x14ac:dyDescent="0.25">
      <c r="A12" s="15">
        <v>2</v>
      </c>
      <c r="B12" s="15">
        <v>6</v>
      </c>
      <c r="C12" s="437"/>
      <c r="D12" s="437" t="str">
        <f t="shared" si="0"/>
        <v>2011</v>
      </c>
      <c r="E12" s="142" t="s">
        <v>589</v>
      </c>
      <c r="F12" s="132" t="s">
        <v>426</v>
      </c>
      <c r="G12" s="143">
        <v>900231022</v>
      </c>
      <c r="H12" s="993" t="s">
        <v>442</v>
      </c>
      <c r="I12" s="134">
        <v>12835200</v>
      </c>
      <c r="J12" s="850" t="s">
        <v>4075</v>
      </c>
      <c r="K12" s="135">
        <v>2011</v>
      </c>
      <c r="L12" s="546" t="s">
        <v>1088</v>
      </c>
      <c r="M12" s="138">
        <v>40966</v>
      </c>
      <c r="N12" s="138">
        <v>41332</v>
      </c>
      <c r="O12" s="127">
        <f>COUNTA(Modificaciones!I12,Modificaciones!K12,Modificaciones!M12,Modificaciones!O12)</f>
        <v>0</v>
      </c>
      <c r="P12" s="128">
        <f>VLOOKUP(E12,Modificaciones!$B$7:$Q$300,16,0)</f>
        <v>0</v>
      </c>
      <c r="Q12" s="129">
        <f>COUNTA(Modificaciones!S12,Modificaciones!U12,Modificaciones!W12,Modificaciones!Y12)</f>
        <v>0</v>
      </c>
      <c r="R12" s="130" t="str">
        <f>IF(Modificaciones!Z12=0,"",VLOOKUP(E12,Modificaciones!$B$7:$AA$400,25,0))</f>
        <v/>
      </c>
      <c r="S12" s="131" t="str">
        <f>IF(Modificaciones!AA12=0,"",VLOOKUP(E12,Modificaciones!$B$7:$AA$400,26,0))</f>
        <v/>
      </c>
      <c r="T12" s="7">
        <f t="shared" si="1"/>
        <v>41332</v>
      </c>
      <c r="U12" s="62">
        <f t="shared" si="2"/>
        <v>12835200</v>
      </c>
      <c r="V12" s="172">
        <f>VLOOKUP(E12,Modificaciones!$B$7:$AU$300,46,0)</f>
        <v>1092200</v>
      </c>
      <c r="W12" s="93">
        <f t="shared" si="3"/>
        <v>11743000</v>
      </c>
      <c r="X12" s="309"/>
      <c r="Y12" s="42">
        <f t="shared" si="4"/>
        <v>8.5094116180503609E-2</v>
      </c>
      <c r="Z12" s="42">
        <f t="shared" ca="1" si="5"/>
        <v>1</v>
      </c>
      <c r="AA12" s="43">
        <f t="shared" ca="1" si="6"/>
        <v>0.91490588381949634</v>
      </c>
      <c r="AB12" s="202" t="str">
        <f t="shared" ca="1" si="7"/>
        <v/>
      </c>
      <c r="AC12" s="44" t="str">
        <f t="shared" si="8"/>
        <v>NO</v>
      </c>
      <c r="AD12" s="44"/>
      <c r="AE12" s="173"/>
      <c r="AF12" s="173" t="s">
        <v>1279</v>
      </c>
      <c r="AG12" s="173"/>
      <c r="AH12" s="281" t="s">
        <v>560</v>
      </c>
      <c r="AI12" s="174"/>
      <c r="AJ12" s="181"/>
      <c r="AK12" s="181" t="str">
        <f t="shared" ca="1" si="9"/>
        <v>TERMINO</v>
      </c>
      <c r="AL12" s="181" t="s">
        <v>576</v>
      </c>
      <c r="AM12" s="176" t="s">
        <v>390</v>
      </c>
      <c r="AN12" s="848" t="str">
        <f>IFERROR(VLOOKUP(E12,'liquidaciones '!$B$2:$C$1048576,2,0),"NO")</f>
        <v>LIQUIDADO</v>
      </c>
      <c r="AO12" s="944">
        <f>IFERROR(VLOOKUP(E12,'liquidaciones '!$B$2:$I$1048576,8,0),"")</f>
        <v>0</v>
      </c>
      <c r="AP12" s="336"/>
      <c r="AQ12" s="177" t="str">
        <f t="shared" ca="1" si="10"/>
        <v>NO</v>
      </c>
      <c r="AR12" s="177" t="s">
        <v>1571</v>
      </c>
      <c r="AS12" s="433"/>
      <c r="AT12" s="964"/>
      <c r="AU12" s="964"/>
      <c r="AV12" s="964"/>
      <c r="AX12" s="16"/>
      <c r="AY12" s="16"/>
    </row>
    <row r="13" spans="1:52" ht="47.25" customHeight="1" x14ac:dyDescent="0.25">
      <c r="A13" s="15">
        <v>1</v>
      </c>
      <c r="B13" s="15">
        <v>7</v>
      </c>
      <c r="C13" s="437"/>
      <c r="D13" s="437" t="str">
        <f t="shared" si="0"/>
        <v>2011</v>
      </c>
      <c r="E13" s="144" t="s">
        <v>101</v>
      </c>
      <c r="F13" s="145" t="s">
        <v>427</v>
      </c>
      <c r="G13" s="133">
        <v>800109177</v>
      </c>
      <c r="H13" s="994" t="s">
        <v>443</v>
      </c>
      <c r="I13" s="146">
        <v>1750000</v>
      </c>
      <c r="J13" s="134" t="s">
        <v>1088</v>
      </c>
      <c r="K13" s="135">
        <v>2011</v>
      </c>
      <c r="L13" s="546" t="s">
        <v>1088</v>
      </c>
      <c r="M13" s="147">
        <v>40822</v>
      </c>
      <c r="N13" s="148">
        <v>41188</v>
      </c>
      <c r="O13" s="127">
        <f>COUNTA(Modificaciones!I13,Modificaciones!K13,Modificaciones!M13,Modificaciones!O13)</f>
        <v>1</v>
      </c>
      <c r="P13" s="128">
        <f>VLOOKUP(E13,Modificaciones!$B$7:$Q$300,16,0)</f>
        <v>875000</v>
      </c>
      <c r="Q13" s="129">
        <f>COUNTA(Modificaciones!S13,Modificaciones!U13,Modificaciones!W13,Modificaciones!Y13)</f>
        <v>1</v>
      </c>
      <c r="R13" s="130" t="str">
        <f>IF(Modificaciones!Z13=0,"",VLOOKUP(E13,Modificaciones!$B$7:$AA$400,25,0))</f>
        <v>6 meses</v>
      </c>
      <c r="S13" s="131">
        <f>IF(Modificaciones!AA13=0,"",VLOOKUP(E13,Modificaciones!$B$7:$AA$400,26,0))</f>
        <v>41370</v>
      </c>
      <c r="T13" s="7">
        <f t="shared" si="1"/>
        <v>41370</v>
      </c>
      <c r="U13" s="62">
        <f t="shared" si="2"/>
        <v>2625000</v>
      </c>
      <c r="V13" s="172">
        <f>VLOOKUP(E13,Modificaciones!$B$7:$AU$300,46,0)</f>
        <v>0</v>
      </c>
      <c r="W13" s="93">
        <f t="shared" si="3"/>
        <v>2625000</v>
      </c>
      <c r="X13" s="309"/>
      <c r="Y13" s="42">
        <f t="shared" si="4"/>
        <v>0</v>
      </c>
      <c r="Z13" s="42">
        <f t="shared" ca="1" si="5"/>
        <v>1</v>
      </c>
      <c r="AA13" s="43">
        <f t="shared" ca="1" si="6"/>
        <v>1</v>
      </c>
      <c r="AB13" s="202" t="str">
        <f t="shared" ca="1" si="7"/>
        <v/>
      </c>
      <c r="AC13" s="44" t="str">
        <f t="shared" si="8"/>
        <v>NO</v>
      </c>
      <c r="AD13" s="44"/>
      <c r="AE13" s="173" t="s">
        <v>1256</v>
      </c>
      <c r="AF13" s="301" t="s">
        <v>1142</v>
      </c>
      <c r="AG13" s="173" t="s">
        <v>1430</v>
      </c>
      <c r="AH13" s="281" t="s">
        <v>564</v>
      </c>
      <c r="AI13" s="174"/>
      <c r="AJ13" s="175"/>
      <c r="AK13" s="181" t="str">
        <f t="shared" ca="1" si="9"/>
        <v>TERMINO</v>
      </c>
      <c r="AL13" s="181" t="s">
        <v>576</v>
      </c>
      <c r="AM13" s="176" t="s">
        <v>390</v>
      </c>
      <c r="AN13" s="848" t="str">
        <f>IFERROR(VLOOKUP(E13,'liquidaciones '!$B$2:$C$1048576,2,0),"NO")</f>
        <v>NO</v>
      </c>
      <c r="AO13" s="944" t="str">
        <f>IFERROR(VLOOKUP(E13,'liquidaciones '!$B$2:$I$1048576,8,0),"")</f>
        <v/>
      </c>
      <c r="AP13" s="334"/>
      <c r="AQ13" s="177" t="str">
        <f t="shared" ca="1" si="10"/>
        <v>NO</v>
      </c>
      <c r="AR13" s="177" t="s">
        <v>1571</v>
      </c>
      <c r="AS13" s="433"/>
      <c r="AT13" s="964"/>
      <c r="AU13" s="964"/>
      <c r="AV13" s="964"/>
      <c r="AX13" s="16"/>
      <c r="AY13" s="16"/>
    </row>
    <row r="14" spans="1:52" ht="47.25" customHeight="1" x14ac:dyDescent="0.25">
      <c r="B14" s="15">
        <v>8</v>
      </c>
      <c r="C14" s="437"/>
      <c r="D14" s="437" t="str">
        <f t="shared" si="0"/>
        <v>2011</v>
      </c>
      <c r="E14" s="139" t="s">
        <v>170</v>
      </c>
      <c r="F14" s="132" t="s">
        <v>428</v>
      </c>
      <c r="G14" s="143">
        <v>830050919</v>
      </c>
      <c r="H14" s="993" t="s">
        <v>444</v>
      </c>
      <c r="I14" s="140">
        <v>497000000</v>
      </c>
      <c r="J14" s="134" t="s">
        <v>1088</v>
      </c>
      <c r="K14" s="135">
        <v>2011</v>
      </c>
      <c r="L14" s="546" t="s">
        <v>1088</v>
      </c>
      <c r="M14" s="138">
        <v>40746</v>
      </c>
      <c r="N14" s="138">
        <v>41112</v>
      </c>
      <c r="O14" s="127">
        <f>COUNTA(Modificaciones!I14,Modificaciones!K14,Modificaciones!M14,Modificaciones!O14)</f>
        <v>0</v>
      </c>
      <c r="P14" s="128">
        <f>VLOOKUP(E14,Modificaciones!$B$7:$Q$300,16,0)</f>
        <v>0</v>
      </c>
      <c r="Q14" s="129">
        <f>COUNTA(Modificaciones!S14,Modificaciones!U14,Modificaciones!W14,Modificaciones!Y14)</f>
        <v>0</v>
      </c>
      <c r="R14" s="130" t="str">
        <f>IF(Modificaciones!Z14=0,"",VLOOKUP(E14,Modificaciones!$B$7:$AA$400,25,0))</f>
        <v/>
      </c>
      <c r="S14" s="131" t="str">
        <f>IF(Modificaciones!AA14=0,"",VLOOKUP(E14,Modificaciones!$B$7:$AA$400,26,0))</f>
        <v/>
      </c>
      <c r="T14" s="7">
        <f t="shared" si="1"/>
        <v>41112</v>
      </c>
      <c r="U14" s="62">
        <f t="shared" si="2"/>
        <v>497000000</v>
      </c>
      <c r="V14" s="172">
        <f>VLOOKUP(E14,Modificaciones!$B$7:$AU$300,46,0)</f>
        <v>495932967</v>
      </c>
      <c r="W14" s="93">
        <f t="shared" si="3"/>
        <v>1067033</v>
      </c>
      <c r="X14" s="309"/>
      <c r="Y14" s="42">
        <f t="shared" si="4"/>
        <v>0.99785305231388333</v>
      </c>
      <c r="Z14" s="42">
        <f t="shared" ca="1" si="5"/>
        <v>1</v>
      </c>
      <c r="AA14" s="43">
        <f t="shared" ca="1" si="6"/>
        <v>2.1469476861166736E-3</v>
      </c>
      <c r="AB14" s="202" t="str">
        <f t="shared" ca="1" si="7"/>
        <v/>
      </c>
      <c r="AC14" s="44" t="str">
        <f t="shared" si="8"/>
        <v>NO</v>
      </c>
      <c r="AD14" s="44"/>
      <c r="AE14" s="173" t="s">
        <v>1256</v>
      </c>
      <c r="AF14" s="281" t="s">
        <v>1426</v>
      </c>
      <c r="AG14" s="173" t="s">
        <v>1435</v>
      </c>
      <c r="AH14" s="281" t="s">
        <v>560</v>
      </c>
      <c r="AI14" s="174"/>
      <c r="AJ14" s="181" t="str">
        <f>VLOOKUP(E14,[1]Hoja1!$F$4:$G$48,2,0)</f>
        <v>Elbert Wisner Espitia Olaya</v>
      </c>
      <c r="AK14" s="181" t="str">
        <f t="shared" ca="1" si="9"/>
        <v>TERMINO</v>
      </c>
      <c r="AL14" s="181" t="s">
        <v>574</v>
      </c>
      <c r="AM14" s="176" t="s">
        <v>390</v>
      </c>
      <c r="AN14" s="848" t="str">
        <f>IFERROR(VLOOKUP(E14,'liquidaciones '!$B$2:$C$1048576,2,0),"NO")</f>
        <v>NO</v>
      </c>
      <c r="AO14" s="944" t="str">
        <f>IFERROR(VLOOKUP(E14,'liquidaciones '!$B$2:$I$1048576,8,0),"")</f>
        <v/>
      </c>
      <c r="AP14" s="336"/>
      <c r="AQ14" s="177" t="str">
        <f ca="1">IF((TODAY()-T14&lt;910),"SI","NO")</f>
        <v>NO</v>
      </c>
      <c r="AR14" s="177" t="s">
        <v>982</v>
      </c>
      <c r="AS14" s="433"/>
      <c r="AT14" s="964"/>
      <c r="AU14" s="964"/>
      <c r="AV14" s="964"/>
      <c r="AX14" s="16"/>
      <c r="AY14" s="16"/>
    </row>
    <row r="15" spans="1:52" ht="47.25" customHeight="1" x14ac:dyDescent="0.25">
      <c r="A15" s="15"/>
      <c r="B15" s="15">
        <v>9</v>
      </c>
      <c r="C15" s="437"/>
      <c r="D15" s="437" t="str">
        <f t="shared" si="0"/>
        <v>2011</v>
      </c>
      <c r="E15" s="139" t="s">
        <v>594</v>
      </c>
      <c r="F15" s="132" t="s">
        <v>1006</v>
      </c>
      <c r="G15" s="143">
        <v>830040274</v>
      </c>
      <c r="H15" s="993" t="s">
        <v>363</v>
      </c>
      <c r="I15" s="140">
        <v>9425000</v>
      </c>
      <c r="J15" s="134" t="s">
        <v>1088</v>
      </c>
      <c r="K15" s="135">
        <v>2011</v>
      </c>
      <c r="L15" s="546" t="s">
        <v>1088</v>
      </c>
      <c r="M15" s="138">
        <v>40870</v>
      </c>
      <c r="N15" s="138">
        <v>41236</v>
      </c>
      <c r="O15" s="127">
        <f>COUNTA(Modificaciones!I15,Modificaciones!K15,Modificaciones!M15,Modificaciones!O15)</f>
        <v>0</v>
      </c>
      <c r="P15" s="128">
        <f>VLOOKUP(E15,Modificaciones!$B$7:$Q$300,16,0)</f>
        <v>0</v>
      </c>
      <c r="Q15" s="129">
        <f>COUNTA(Modificaciones!S15,Modificaciones!U15,Modificaciones!W15,Modificaciones!Y15)</f>
        <v>1</v>
      </c>
      <c r="R15" s="130" t="str">
        <f>IF(Modificaciones!Z15=0,"",VLOOKUP(E15,Modificaciones!$B$7:$AA$400,25,0))</f>
        <v>4 meses</v>
      </c>
      <c r="S15" s="131">
        <f>IF(Modificaciones!AA15=0,"",VLOOKUP(E15,Modificaciones!$B$7:$AA$400,26,0))</f>
        <v>41356</v>
      </c>
      <c r="T15" s="7">
        <f t="shared" si="1"/>
        <v>41356</v>
      </c>
      <c r="U15" s="62">
        <f t="shared" si="2"/>
        <v>9425000</v>
      </c>
      <c r="V15" s="172">
        <f>VLOOKUP(E15,Modificaciones!$B$7:$AU$300,46,0)</f>
        <v>9425000</v>
      </c>
      <c r="W15" s="93">
        <f t="shared" si="3"/>
        <v>0</v>
      </c>
      <c r="X15" s="309"/>
      <c r="Y15" s="42">
        <f t="shared" si="4"/>
        <v>1</v>
      </c>
      <c r="Z15" s="42">
        <f t="shared" ca="1" si="5"/>
        <v>1</v>
      </c>
      <c r="AA15" s="43">
        <f t="shared" ca="1" si="6"/>
        <v>0</v>
      </c>
      <c r="AB15" s="202" t="str">
        <f t="shared" ca="1" si="7"/>
        <v/>
      </c>
      <c r="AC15" s="44" t="str">
        <f t="shared" si="8"/>
        <v>SI</v>
      </c>
      <c r="AD15" s="44"/>
      <c r="AE15" s="173" t="s">
        <v>1256</v>
      </c>
      <c r="AF15" s="173" t="s">
        <v>1145</v>
      </c>
      <c r="AG15" s="173"/>
      <c r="AH15" s="281"/>
      <c r="AI15" s="174"/>
      <c r="AJ15" s="181" t="s">
        <v>593</v>
      </c>
      <c r="AK15" s="181" t="str">
        <f t="shared" ca="1" si="9"/>
        <v>TERMINO</v>
      </c>
      <c r="AL15" s="181" t="s">
        <v>574</v>
      </c>
      <c r="AM15" s="176" t="s">
        <v>390</v>
      </c>
      <c r="AN15" s="848" t="str">
        <f>IFERROR(VLOOKUP(E15,'liquidaciones '!$B$2:$C$1048576,2,0),"NO")</f>
        <v>NO</v>
      </c>
      <c r="AO15" s="944" t="str">
        <f>IFERROR(VLOOKUP(E15,'liquidaciones '!$B$2:$I$1048576,8,0),"")</f>
        <v/>
      </c>
      <c r="AP15" s="336">
        <v>42201</v>
      </c>
      <c r="AQ15" s="177" t="str">
        <f t="shared" ref="AQ15:AQ78" ca="1" si="11">IF((TODAY()-T15&lt;900),"SI","NO")</f>
        <v>NO</v>
      </c>
      <c r="AR15" s="177" t="s">
        <v>983</v>
      </c>
      <c r="AS15" s="433"/>
      <c r="AT15" s="964"/>
      <c r="AU15" s="964"/>
      <c r="AV15" s="964"/>
      <c r="AX15" s="16"/>
      <c r="AY15" s="16"/>
    </row>
    <row r="16" spans="1:52" ht="47.25" customHeight="1" x14ac:dyDescent="0.25">
      <c r="A16" s="15">
        <v>1</v>
      </c>
      <c r="B16" s="15">
        <v>10</v>
      </c>
      <c r="C16" s="437"/>
      <c r="D16" s="437" t="str">
        <f t="shared" si="0"/>
        <v>2011</v>
      </c>
      <c r="E16" s="145" t="s">
        <v>127</v>
      </c>
      <c r="F16" s="145" t="s">
        <v>128</v>
      </c>
      <c r="G16" s="143">
        <v>900340597</v>
      </c>
      <c r="H16" s="994" t="s">
        <v>355</v>
      </c>
      <c r="I16" s="146">
        <v>15000000</v>
      </c>
      <c r="J16" s="134" t="s">
        <v>1088</v>
      </c>
      <c r="K16" s="135">
        <v>2011</v>
      </c>
      <c r="L16" s="546" t="s">
        <v>1088</v>
      </c>
      <c r="M16" s="149">
        <v>40863</v>
      </c>
      <c r="N16" s="150">
        <v>41364</v>
      </c>
      <c r="O16" s="127">
        <f>COUNTA(Modificaciones!I16,Modificaciones!K16,Modificaciones!M16,Modificaciones!O16)</f>
        <v>1</v>
      </c>
      <c r="P16" s="128">
        <f>VLOOKUP(E16,Modificaciones!$B$7:$Q$300,16,0)</f>
        <v>7930000</v>
      </c>
      <c r="Q16" s="129">
        <f>COUNTA(Modificaciones!S16,Modificaciones!U16,Modificaciones!W16,Modificaciones!Y16)</f>
        <v>0</v>
      </c>
      <c r="R16" s="130" t="str">
        <f>IF(Modificaciones!Z16=0,"",VLOOKUP(E16,Modificaciones!$B$7:$AA$400,25,0))</f>
        <v/>
      </c>
      <c r="S16" s="131" t="str">
        <f>IF(Modificaciones!AA16=0,"",VLOOKUP(E16,Modificaciones!$B$7:$AA$400,26,0))</f>
        <v/>
      </c>
      <c r="T16" s="7">
        <f t="shared" si="1"/>
        <v>41364</v>
      </c>
      <c r="U16" s="62">
        <f t="shared" si="2"/>
        <v>22930000</v>
      </c>
      <c r="V16" s="172">
        <f>VLOOKUP(E16,Modificaciones!$B$7:$AU$300,46,0)</f>
        <v>18432731</v>
      </c>
      <c r="W16" s="93">
        <f t="shared" si="3"/>
        <v>4497269</v>
      </c>
      <c r="X16" s="309"/>
      <c r="Y16" s="42">
        <f t="shared" si="4"/>
        <v>0.80386964675098127</v>
      </c>
      <c r="Z16" s="42">
        <f t="shared" ca="1" si="5"/>
        <v>1</v>
      </c>
      <c r="AA16" s="43">
        <f t="shared" ca="1" si="6"/>
        <v>0.19613035324901873</v>
      </c>
      <c r="AB16" s="202" t="str">
        <f t="shared" ca="1" si="7"/>
        <v/>
      </c>
      <c r="AC16" s="44" t="str">
        <f t="shared" si="8"/>
        <v>NO</v>
      </c>
      <c r="AD16" s="44"/>
      <c r="AE16" s="173"/>
      <c r="AF16" s="173" t="s">
        <v>1126</v>
      </c>
      <c r="AG16" s="173" t="s">
        <v>1442</v>
      </c>
      <c r="AH16" s="281" t="s">
        <v>560</v>
      </c>
      <c r="AI16" s="174"/>
      <c r="AJ16" s="181" t="s">
        <v>596</v>
      </c>
      <c r="AK16" s="181" t="str">
        <f t="shared" ca="1" si="9"/>
        <v>TERMINO</v>
      </c>
      <c r="AL16" s="181" t="s">
        <v>576</v>
      </c>
      <c r="AM16" s="176" t="s">
        <v>390</v>
      </c>
      <c r="AN16" s="848" t="str">
        <f>IFERROR(VLOOKUP(E16,'liquidaciones '!$B$2:$C$1048576,2,0),"NO")</f>
        <v>LIQUIDADO</v>
      </c>
      <c r="AO16" s="944">
        <f>IFERROR(VLOOKUP(E16,'liquidaciones '!$B$2:$I$1048576,8,0),"")</f>
        <v>0</v>
      </c>
      <c r="AP16" s="336">
        <v>42094</v>
      </c>
      <c r="AQ16" s="177" t="str">
        <f t="shared" ca="1" si="11"/>
        <v>NO</v>
      </c>
      <c r="AR16" s="177" t="s">
        <v>983</v>
      </c>
      <c r="AS16" s="433"/>
      <c r="AT16" s="964"/>
      <c r="AU16" s="964"/>
      <c r="AV16" s="964"/>
      <c r="AX16" s="16"/>
      <c r="AY16" s="16"/>
    </row>
    <row r="17" spans="1:51" ht="47.25" customHeight="1" x14ac:dyDescent="0.25">
      <c r="A17" s="15">
        <v>2</v>
      </c>
      <c r="B17" s="15">
        <v>11</v>
      </c>
      <c r="C17" s="437"/>
      <c r="D17" s="437" t="str">
        <f t="shared" si="0"/>
        <v>2011</v>
      </c>
      <c r="E17" s="142" t="s">
        <v>120</v>
      </c>
      <c r="F17" s="132" t="s">
        <v>429</v>
      </c>
      <c r="G17" s="133">
        <v>860403052</v>
      </c>
      <c r="H17" s="993" t="s">
        <v>445</v>
      </c>
      <c r="I17" s="134">
        <v>15063760</v>
      </c>
      <c r="J17" s="134" t="s">
        <v>1088</v>
      </c>
      <c r="K17" s="135">
        <v>2011</v>
      </c>
      <c r="L17" s="546" t="s">
        <v>1088</v>
      </c>
      <c r="M17" s="136">
        <v>40862</v>
      </c>
      <c r="N17" s="136">
        <v>41242</v>
      </c>
      <c r="O17" s="127">
        <f>COUNTA(Modificaciones!I17,Modificaciones!K17,Modificaciones!M17,Modificaciones!O17)</f>
        <v>1</v>
      </c>
      <c r="P17" s="128">
        <f>VLOOKUP(E17,Modificaciones!$B$7:$Q$300,16,0)</f>
        <v>4981040</v>
      </c>
      <c r="Q17" s="129">
        <f>COUNTA(Modificaciones!S17,Modificaciones!U17,Modificaciones!W17,Modificaciones!Y17)</f>
        <v>1</v>
      </c>
      <c r="R17" s="130" t="str">
        <f>IF(Modificaciones!Z17=0,"",VLOOKUP(E17,Modificaciones!$B$7:$AA$400,25,0))</f>
        <v/>
      </c>
      <c r="S17" s="131">
        <f>IF(Modificaciones!AA17=0,"",VLOOKUP(E17,Modificaciones!$B$7:$AA$400,26,0))</f>
        <v>41362</v>
      </c>
      <c r="T17" s="7">
        <f t="shared" si="1"/>
        <v>41362</v>
      </c>
      <c r="U17" s="62">
        <f t="shared" si="2"/>
        <v>20044800</v>
      </c>
      <c r="V17" s="172">
        <f>VLOOKUP(E17,Modificaciones!$B$7:$AU$300,46,0)</f>
        <v>20044800</v>
      </c>
      <c r="W17" s="93">
        <f t="shared" si="3"/>
        <v>0</v>
      </c>
      <c r="X17" s="309"/>
      <c r="Y17" s="42">
        <f t="shared" si="4"/>
        <v>1</v>
      </c>
      <c r="Z17" s="42">
        <f t="shared" ca="1" si="5"/>
        <v>1</v>
      </c>
      <c r="AA17" s="43">
        <f t="shared" ca="1" si="6"/>
        <v>0</v>
      </c>
      <c r="AB17" s="202" t="str">
        <f t="shared" ca="1" si="7"/>
        <v/>
      </c>
      <c r="AC17" s="44" t="str">
        <f t="shared" si="8"/>
        <v>SI</v>
      </c>
      <c r="AD17" s="44"/>
      <c r="AE17" s="173" t="s">
        <v>1257</v>
      </c>
      <c r="AF17" s="173" t="s">
        <v>1467</v>
      </c>
      <c r="AG17" s="173" t="s">
        <v>1439</v>
      </c>
      <c r="AH17" s="281" t="s">
        <v>560</v>
      </c>
      <c r="AI17" s="174"/>
      <c r="AJ17" s="181"/>
      <c r="AK17" s="181" t="str">
        <f t="shared" ca="1" si="9"/>
        <v>TERMINO</v>
      </c>
      <c r="AL17" s="181" t="s">
        <v>576</v>
      </c>
      <c r="AM17" s="176" t="s">
        <v>390</v>
      </c>
      <c r="AN17" s="848" t="str">
        <f>IFERROR(VLOOKUP(E17,'liquidaciones '!$B$2:$C$1048576,2,0),"NO")</f>
        <v>LIQUIDADO</v>
      </c>
      <c r="AO17" s="944" t="str">
        <f>IFERROR(VLOOKUP(E17,'liquidaciones '!$B$2:$I$1048576,8,0),"")</f>
        <v>GIOVANNI SUAREZ</v>
      </c>
      <c r="AP17" s="336"/>
      <c r="AQ17" s="177" t="str">
        <f t="shared" ca="1" si="11"/>
        <v>NO</v>
      </c>
      <c r="AR17" s="177" t="s">
        <v>983</v>
      </c>
      <c r="AS17" s="433"/>
      <c r="AT17" s="964"/>
      <c r="AU17" s="964"/>
      <c r="AV17" s="964"/>
      <c r="AX17" s="16"/>
      <c r="AY17" s="16"/>
    </row>
    <row r="18" spans="1:51" ht="47.25" customHeight="1" x14ac:dyDescent="0.25">
      <c r="A18" s="15">
        <v>1</v>
      </c>
      <c r="B18" s="15">
        <v>12</v>
      </c>
      <c r="C18" s="437"/>
      <c r="D18" s="437" t="str">
        <f t="shared" si="0"/>
        <v>2011</v>
      </c>
      <c r="E18" s="144" t="s">
        <v>112</v>
      </c>
      <c r="F18" s="145" t="s">
        <v>430</v>
      </c>
      <c r="G18" s="151">
        <v>800045609</v>
      </c>
      <c r="H18" s="994" t="s">
        <v>446</v>
      </c>
      <c r="I18" s="146">
        <v>8506800</v>
      </c>
      <c r="J18" s="850" t="s">
        <v>4076</v>
      </c>
      <c r="K18" s="135">
        <v>2011</v>
      </c>
      <c r="L18" s="546" t="s">
        <v>1088</v>
      </c>
      <c r="M18" s="147">
        <v>40865</v>
      </c>
      <c r="N18" s="148">
        <v>41231</v>
      </c>
      <c r="O18" s="127">
        <f>COUNTA(Modificaciones!I18,Modificaciones!K18,Modificaciones!M18,Modificaciones!O18)</f>
        <v>1</v>
      </c>
      <c r="P18" s="128">
        <f>VLOOKUP(E18,Modificaciones!$B$7:$Q$300,16,0)</f>
        <v>1470000</v>
      </c>
      <c r="Q18" s="129">
        <f>COUNTA(Modificaciones!S18,Modificaciones!U18,Modificaciones!W18,Modificaciones!Y18)</f>
        <v>1</v>
      </c>
      <c r="R18" s="130" t="str">
        <f>IF(Modificaciones!Z18=0,"",VLOOKUP(E18,Modificaciones!$B$7:$AA$400,25,0))</f>
        <v/>
      </c>
      <c r="S18" s="131">
        <f>IF(Modificaciones!AA18=0,"",VLOOKUP(E18,Modificaciones!$B$7:$AA$400,26,0))</f>
        <v>41323</v>
      </c>
      <c r="T18" s="7">
        <f t="shared" si="1"/>
        <v>41323</v>
      </c>
      <c r="U18" s="62">
        <f t="shared" si="2"/>
        <v>9976800</v>
      </c>
      <c r="V18" s="172">
        <f>VLOOKUP(E18,Modificaciones!$B$7:$AU$300,46,0)</f>
        <v>9976596</v>
      </c>
      <c r="W18" s="93">
        <f t="shared" si="3"/>
        <v>204</v>
      </c>
      <c r="X18" s="309"/>
      <c r="Y18" s="42">
        <f t="shared" si="4"/>
        <v>0.99997955256194371</v>
      </c>
      <c r="Z18" s="42">
        <f t="shared" ca="1" si="5"/>
        <v>1</v>
      </c>
      <c r="AA18" s="43">
        <f t="shared" ca="1" si="6"/>
        <v>2.0447438056292455E-5</v>
      </c>
      <c r="AB18" s="202" t="str">
        <f t="shared" ca="1" si="7"/>
        <v/>
      </c>
      <c r="AC18" s="44" t="str">
        <f t="shared" si="8"/>
        <v>SI</v>
      </c>
      <c r="AD18" s="44"/>
      <c r="AE18" s="173" t="s">
        <v>1256</v>
      </c>
      <c r="AF18" s="173" t="s">
        <v>1465</v>
      </c>
      <c r="AG18" s="173"/>
      <c r="AH18" s="281"/>
      <c r="AI18" s="174"/>
      <c r="AJ18" s="181" t="s">
        <v>593</v>
      </c>
      <c r="AK18" s="181" t="str">
        <f t="shared" ca="1" si="9"/>
        <v>TERMINO</v>
      </c>
      <c r="AL18" s="181" t="s">
        <v>576</v>
      </c>
      <c r="AM18" s="176" t="s">
        <v>390</v>
      </c>
      <c r="AN18" s="848" t="str">
        <f>IFERROR(VLOOKUP(E18,'liquidaciones '!$B$2:$C$1048576,2,0),"NO")</f>
        <v>LIQUIDADO</v>
      </c>
      <c r="AO18" s="944">
        <f>IFERROR(VLOOKUP(E18,'liquidaciones '!$B$2:$I$1048576,8,0),"")</f>
        <v>0</v>
      </c>
      <c r="AP18" s="336"/>
      <c r="AQ18" s="177" t="str">
        <f t="shared" ca="1" si="11"/>
        <v>NO</v>
      </c>
      <c r="AR18" s="177" t="s">
        <v>1571</v>
      </c>
      <c r="AS18" s="433"/>
      <c r="AT18" s="964"/>
      <c r="AU18" s="964"/>
      <c r="AV18" s="964"/>
      <c r="AX18" s="16"/>
      <c r="AY18" s="16"/>
    </row>
    <row r="19" spans="1:51" ht="47.25" customHeight="1" x14ac:dyDescent="0.25">
      <c r="A19" s="15">
        <v>2</v>
      </c>
      <c r="B19" s="15">
        <v>13</v>
      </c>
      <c r="C19" s="437"/>
      <c r="D19" s="437" t="str">
        <f t="shared" si="0"/>
        <v>2011</v>
      </c>
      <c r="E19" s="142" t="s">
        <v>161</v>
      </c>
      <c r="F19" s="132" t="s">
        <v>162</v>
      </c>
      <c r="G19" s="143">
        <v>830073623</v>
      </c>
      <c r="H19" s="993" t="s">
        <v>360</v>
      </c>
      <c r="I19" s="134">
        <v>1306508</v>
      </c>
      <c r="J19" s="134" t="s">
        <v>1088</v>
      </c>
      <c r="K19" s="135">
        <v>2011</v>
      </c>
      <c r="L19" s="546" t="s">
        <v>1088</v>
      </c>
      <c r="M19" s="138">
        <v>40891</v>
      </c>
      <c r="N19" s="138">
        <v>40922</v>
      </c>
      <c r="O19" s="127">
        <f>COUNTA(Modificaciones!I19,Modificaciones!K19,Modificaciones!M19,Modificaciones!O19)</f>
        <v>0</v>
      </c>
      <c r="P19" s="128">
        <f>VLOOKUP(E19,Modificaciones!$B$7:$Q$300,16,0)</f>
        <v>0</v>
      </c>
      <c r="Q19" s="129">
        <f>COUNTA(Modificaciones!S19,Modificaciones!U19,Modificaciones!W19,Modificaciones!Y19)</f>
        <v>0</v>
      </c>
      <c r="R19" s="130" t="str">
        <f>IF(Modificaciones!Z19=0,"",VLOOKUP(E19,Modificaciones!$B$7:$AA$400,25,0))</f>
        <v/>
      </c>
      <c r="S19" s="131" t="str">
        <f>IF(Modificaciones!AA19=0,"",VLOOKUP(E19,Modificaciones!$B$7:$AA$400,26,0))</f>
        <v/>
      </c>
      <c r="T19" s="7">
        <f t="shared" si="1"/>
        <v>40922</v>
      </c>
      <c r="U19" s="62">
        <f t="shared" si="2"/>
        <v>1306508</v>
      </c>
      <c r="V19" s="172">
        <f>VLOOKUP(E19,Modificaciones!$B$7:$AU$300,46,0)</f>
        <v>1306508</v>
      </c>
      <c r="W19" s="93">
        <f t="shared" si="3"/>
        <v>0</v>
      </c>
      <c r="X19" s="309"/>
      <c r="Y19" s="42">
        <f t="shared" si="4"/>
        <v>1</v>
      </c>
      <c r="Z19" s="42">
        <f t="shared" ca="1" si="5"/>
        <v>1</v>
      </c>
      <c r="AA19" s="43">
        <f t="shared" ca="1" si="6"/>
        <v>0</v>
      </c>
      <c r="AB19" s="202" t="str">
        <f t="shared" ca="1" si="7"/>
        <v/>
      </c>
      <c r="AC19" s="44" t="str">
        <f t="shared" si="8"/>
        <v>SI</v>
      </c>
      <c r="AD19" s="44"/>
      <c r="AE19" s="173" t="s">
        <v>1257</v>
      </c>
      <c r="AF19" s="173" t="s">
        <v>1296</v>
      </c>
      <c r="AG19" s="173" t="s">
        <v>1439</v>
      </c>
      <c r="AH19" s="281"/>
      <c r="AI19" s="174"/>
      <c r="AJ19" s="181"/>
      <c r="AK19" s="181" t="str">
        <f t="shared" ca="1" si="9"/>
        <v>TERMINO</v>
      </c>
      <c r="AL19" s="181" t="s">
        <v>576</v>
      </c>
      <c r="AM19" s="176" t="s">
        <v>391</v>
      </c>
      <c r="AN19" s="848" t="str">
        <f>IFERROR(VLOOKUP(E19,'liquidaciones '!$B$2:$C$1048576,2,0),"NO")</f>
        <v>NO</v>
      </c>
      <c r="AO19" s="944" t="str">
        <f>IFERROR(VLOOKUP(E19,'liquidaciones '!$B$2:$I$1048576,8,0),"")</f>
        <v/>
      </c>
      <c r="AP19" s="334"/>
      <c r="AQ19" s="177" t="str">
        <f t="shared" ca="1" si="11"/>
        <v>NO</v>
      </c>
      <c r="AR19" s="177" t="s">
        <v>1571</v>
      </c>
      <c r="AS19" s="433"/>
      <c r="AT19" s="964"/>
      <c r="AU19" s="964"/>
      <c r="AV19" s="964"/>
      <c r="AX19" s="16"/>
      <c r="AY19" s="16"/>
    </row>
    <row r="20" spans="1:51" ht="47.25" customHeight="1" x14ac:dyDescent="0.25">
      <c r="A20" s="15">
        <v>1</v>
      </c>
      <c r="B20" s="15">
        <v>14</v>
      </c>
      <c r="C20" s="437"/>
      <c r="D20" s="437" t="str">
        <f t="shared" si="0"/>
        <v>2011</v>
      </c>
      <c r="E20" s="145" t="s">
        <v>5</v>
      </c>
      <c r="F20" s="145" t="s">
        <v>431</v>
      </c>
      <c r="G20" s="133">
        <v>860053274</v>
      </c>
      <c r="H20" s="994" t="s">
        <v>312</v>
      </c>
      <c r="I20" s="146">
        <v>102786079</v>
      </c>
      <c r="J20" s="134" t="s">
        <v>1088</v>
      </c>
      <c r="K20" s="135">
        <v>2011</v>
      </c>
      <c r="L20" s="546" t="s">
        <v>1088</v>
      </c>
      <c r="M20" s="147">
        <v>40897</v>
      </c>
      <c r="N20" s="148">
        <v>41110</v>
      </c>
      <c r="O20" s="127">
        <f>COUNTA(Modificaciones!I20,Modificaciones!K20,Modificaciones!M20,Modificaciones!O20)</f>
        <v>0</v>
      </c>
      <c r="P20" s="128">
        <f>VLOOKUP(E20,Modificaciones!$B$7:$Q$300,16,0)</f>
        <v>0</v>
      </c>
      <c r="Q20" s="129">
        <f>COUNTA(Modificaciones!S20,Modificaciones!U20,Modificaciones!W20,Modificaciones!Y20)</f>
        <v>1</v>
      </c>
      <c r="R20" s="130" t="str">
        <f>IF(Modificaciones!Z20=0,"",VLOOKUP(E20,Modificaciones!$B$7:$AA$400,25,0))</f>
        <v>4 meses y 10 días</v>
      </c>
      <c r="S20" s="131">
        <f>IF(Modificaciones!AA20=0,"",VLOOKUP(E20,Modificaciones!$B$7:$AA$400,26,0))</f>
        <v>41243</v>
      </c>
      <c r="T20" s="7">
        <f t="shared" si="1"/>
        <v>41243</v>
      </c>
      <c r="U20" s="62">
        <f t="shared" si="2"/>
        <v>102786079</v>
      </c>
      <c r="V20" s="172">
        <f>VLOOKUP(E20,Modificaciones!$B$7:$AU$300,46,0)</f>
        <v>84046373</v>
      </c>
      <c r="W20" s="93">
        <f t="shared" si="3"/>
        <v>18739706</v>
      </c>
      <c r="X20" s="309"/>
      <c r="Y20" s="42">
        <f t="shared" si="4"/>
        <v>0.81768245094746728</v>
      </c>
      <c r="Z20" s="42">
        <f t="shared" ca="1" si="5"/>
        <v>1</v>
      </c>
      <c r="AA20" s="43">
        <f t="shared" ca="1" si="6"/>
        <v>0.18231754905253272</v>
      </c>
      <c r="AB20" s="202" t="str">
        <f t="shared" ca="1" si="7"/>
        <v/>
      </c>
      <c r="AC20" s="44" t="str">
        <f t="shared" si="8"/>
        <v>NO</v>
      </c>
      <c r="AD20" s="44"/>
      <c r="AE20" s="173" t="s">
        <v>1256</v>
      </c>
      <c r="AF20" s="173" t="s">
        <v>1130</v>
      </c>
      <c r="AG20" s="173" t="s">
        <v>1442</v>
      </c>
      <c r="AH20" s="281" t="s">
        <v>560</v>
      </c>
      <c r="AI20" s="179" t="s">
        <v>1379</v>
      </c>
      <c r="AJ20" s="181" t="s">
        <v>593</v>
      </c>
      <c r="AK20" s="181" t="str">
        <f t="shared" ca="1" si="9"/>
        <v>TERMINO</v>
      </c>
      <c r="AL20" s="181" t="s">
        <v>574</v>
      </c>
      <c r="AM20" s="176" t="s">
        <v>390</v>
      </c>
      <c r="AN20" s="848" t="str">
        <f>IFERROR(VLOOKUP(E20,'liquidaciones '!$B$2:$C$1048576,2,0),"NO")</f>
        <v>NO</v>
      </c>
      <c r="AO20" s="944" t="str">
        <f>IFERROR(VLOOKUP(E20,'liquidaciones '!$B$2:$I$1048576,8,0),"")</f>
        <v/>
      </c>
      <c r="AP20" s="336"/>
      <c r="AQ20" s="177" t="str">
        <f t="shared" ca="1" si="11"/>
        <v>NO</v>
      </c>
      <c r="AR20" s="177" t="s">
        <v>1571</v>
      </c>
      <c r="AS20" s="433"/>
      <c r="AT20" s="964"/>
      <c r="AU20" s="964"/>
      <c r="AV20" s="964"/>
      <c r="AX20" s="16"/>
      <c r="AY20" s="16"/>
    </row>
    <row r="21" spans="1:51" ht="47.25" customHeight="1" x14ac:dyDescent="0.25">
      <c r="A21" s="15">
        <v>2</v>
      </c>
      <c r="B21" s="15">
        <v>15</v>
      </c>
      <c r="C21" s="437"/>
      <c r="D21" s="437" t="str">
        <f t="shared" si="0"/>
        <v>2011</v>
      </c>
      <c r="E21" s="142" t="s">
        <v>163</v>
      </c>
      <c r="F21" s="132" t="s">
        <v>432</v>
      </c>
      <c r="G21" s="143">
        <v>860518574</v>
      </c>
      <c r="H21" s="993" t="s">
        <v>447</v>
      </c>
      <c r="I21" s="134">
        <v>49376272</v>
      </c>
      <c r="J21" s="850" t="s">
        <v>4439</v>
      </c>
      <c r="K21" s="135">
        <v>2011</v>
      </c>
      <c r="L21" s="546" t="s">
        <v>1088</v>
      </c>
      <c r="M21" s="138">
        <v>40946</v>
      </c>
      <c r="N21" s="138">
        <v>41312</v>
      </c>
      <c r="O21" s="127">
        <f>COUNTA(Modificaciones!I21,Modificaciones!K21,Modificaciones!M21,Modificaciones!O21)</f>
        <v>0</v>
      </c>
      <c r="P21" s="128">
        <f>VLOOKUP(E21,Modificaciones!$B$7:$Q$300,16,0)</f>
        <v>0</v>
      </c>
      <c r="Q21" s="129">
        <f>COUNTA(Modificaciones!S21,Modificaciones!U21,Modificaciones!W21,Modificaciones!Y21)</f>
        <v>0</v>
      </c>
      <c r="R21" s="130" t="str">
        <f>IF(Modificaciones!Z21=0,"",VLOOKUP(E21,Modificaciones!$B$7:$AA$400,25,0))</f>
        <v/>
      </c>
      <c r="S21" s="131" t="str">
        <f>IF(Modificaciones!AA21=0,"",VLOOKUP(E21,Modificaciones!$B$7:$AA$400,26,0))</f>
        <v/>
      </c>
      <c r="T21" s="7">
        <f t="shared" si="1"/>
        <v>41312</v>
      </c>
      <c r="U21" s="62">
        <f t="shared" si="2"/>
        <v>49376272</v>
      </c>
      <c r="V21" s="172">
        <f>VLOOKUP(E21,Modificaciones!$B$7:$AU$300,46,0)</f>
        <v>49376272</v>
      </c>
      <c r="W21" s="93">
        <f t="shared" si="3"/>
        <v>0</v>
      </c>
      <c r="X21" s="309"/>
      <c r="Y21" s="42">
        <f t="shared" si="4"/>
        <v>1</v>
      </c>
      <c r="Z21" s="42">
        <f t="shared" ca="1" si="5"/>
        <v>1</v>
      </c>
      <c r="AA21" s="43">
        <f t="shared" ca="1" si="6"/>
        <v>0</v>
      </c>
      <c r="AB21" s="202" t="str">
        <f t="shared" ca="1" si="7"/>
        <v/>
      </c>
      <c r="AC21" s="44" t="str">
        <f t="shared" si="8"/>
        <v>SI</v>
      </c>
      <c r="AD21" s="44"/>
      <c r="AE21" s="173" t="s">
        <v>1256</v>
      </c>
      <c r="AF21" s="173" t="s">
        <v>1281</v>
      </c>
      <c r="AG21" s="173"/>
      <c r="AH21" s="281"/>
      <c r="AI21" s="174"/>
      <c r="AJ21" s="181" t="s">
        <v>593</v>
      </c>
      <c r="AK21" s="181" t="str">
        <f t="shared" ca="1" si="9"/>
        <v>TERMINO</v>
      </c>
      <c r="AL21" s="181" t="s">
        <v>576</v>
      </c>
      <c r="AM21" s="176" t="s">
        <v>390</v>
      </c>
      <c r="AN21" s="848" t="str">
        <f>IFERROR(VLOOKUP(E21,'liquidaciones '!$B$2:$C$1048576,2,0),"NO")</f>
        <v>LIQUIDADO</v>
      </c>
      <c r="AO21" s="944" t="str">
        <f>IFERROR(VLOOKUP(E21,'liquidaciones '!$B$2:$I$1048576,8,0),"")</f>
        <v>GIOVANNI SUAREZ</v>
      </c>
      <c r="AP21" s="336"/>
      <c r="AQ21" s="177" t="str">
        <f t="shared" ca="1" si="11"/>
        <v>NO</v>
      </c>
      <c r="AR21" s="177" t="s">
        <v>1571</v>
      </c>
      <c r="AS21" s="433"/>
      <c r="AT21" s="964"/>
      <c r="AU21" s="964"/>
      <c r="AV21" s="964"/>
      <c r="AX21" s="16"/>
      <c r="AY21" s="16"/>
    </row>
    <row r="22" spans="1:51" ht="47.25" customHeight="1" x14ac:dyDescent="0.25">
      <c r="A22" s="15">
        <v>2</v>
      </c>
      <c r="B22" s="15">
        <v>16</v>
      </c>
      <c r="C22" s="437"/>
      <c r="D22" s="437" t="str">
        <f t="shared" si="0"/>
        <v>2012</v>
      </c>
      <c r="E22" s="132" t="s">
        <v>21</v>
      </c>
      <c r="F22" s="132" t="s">
        <v>22</v>
      </c>
      <c r="G22" s="133">
        <v>830112518</v>
      </c>
      <c r="H22" s="993" t="s">
        <v>321</v>
      </c>
      <c r="I22" s="134">
        <v>79634000</v>
      </c>
      <c r="J22" s="850" t="s">
        <v>4000</v>
      </c>
      <c r="K22" s="152">
        <v>2012</v>
      </c>
      <c r="L22" s="546" t="s">
        <v>1088</v>
      </c>
      <c r="M22" s="138">
        <v>41087</v>
      </c>
      <c r="N22" s="138">
        <v>41452</v>
      </c>
      <c r="O22" s="127">
        <f>COUNTA(Modificaciones!I22,Modificaciones!K22,Modificaciones!M22,Modificaciones!O22)</f>
        <v>0</v>
      </c>
      <c r="P22" s="128">
        <f>VLOOKUP(E22,Modificaciones!$B$7:$Q$300,16,0)</f>
        <v>0</v>
      </c>
      <c r="Q22" s="129">
        <f>COUNTA(Modificaciones!S22,Modificaciones!U22,Modificaciones!W22,Modificaciones!Y22)</f>
        <v>1</v>
      </c>
      <c r="R22" s="130" t="str">
        <f>IF(Modificaciones!Z22=0,"",VLOOKUP(E22,Modificaciones!$B$7:$AA$400,25,0))</f>
        <v>2 meses</v>
      </c>
      <c r="S22" s="131">
        <f>IF(Modificaciones!AA22=0,"",VLOOKUP(E22,Modificaciones!$B$7:$AA$400,26,0))</f>
        <v>41513</v>
      </c>
      <c r="T22" s="7">
        <f t="shared" si="1"/>
        <v>41513</v>
      </c>
      <c r="U22" s="62">
        <f t="shared" si="2"/>
        <v>79634000</v>
      </c>
      <c r="V22" s="172">
        <f>VLOOKUP(E22,Modificaciones!$B$7:$AU$300,46,0)</f>
        <v>79634000</v>
      </c>
      <c r="W22" s="93">
        <f t="shared" si="3"/>
        <v>0</v>
      </c>
      <c r="X22" s="309"/>
      <c r="Y22" s="42">
        <f t="shared" si="4"/>
        <v>1</v>
      </c>
      <c r="Z22" s="42">
        <f t="shared" ca="1" si="5"/>
        <v>1</v>
      </c>
      <c r="AA22" s="43">
        <f t="shared" ca="1" si="6"/>
        <v>0</v>
      </c>
      <c r="AB22" s="202" t="str">
        <f t="shared" ca="1" si="7"/>
        <v/>
      </c>
      <c r="AC22" s="44" t="str">
        <f t="shared" si="8"/>
        <v>SI</v>
      </c>
      <c r="AD22" s="44"/>
      <c r="AE22" s="173" t="s">
        <v>1257</v>
      </c>
      <c r="AF22" s="173" t="s">
        <v>1174</v>
      </c>
      <c r="AG22" s="173" t="s">
        <v>1439</v>
      </c>
      <c r="AH22" s="281" t="s">
        <v>560</v>
      </c>
      <c r="AI22" s="174"/>
      <c r="AJ22" s="181" t="s">
        <v>600</v>
      </c>
      <c r="AK22" s="181" t="str">
        <f t="shared" ca="1" si="9"/>
        <v>TERMINO</v>
      </c>
      <c r="AL22" s="181" t="s">
        <v>582</v>
      </c>
      <c r="AM22" s="176" t="s">
        <v>390</v>
      </c>
      <c r="AN22" s="848" t="str">
        <f>IFERROR(VLOOKUP(E22,'liquidaciones '!$B$2:$C$1048576,2,0),"NO")</f>
        <v>LIQUIDADO</v>
      </c>
      <c r="AO22" s="944">
        <f>IFERROR(VLOOKUP(E22,'liquidaciones '!$B$2:$I$1048576,8,0),"")</f>
        <v>0</v>
      </c>
      <c r="AP22" s="336">
        <v>41977</v>
      </c>
      <c r="AQ22" s="177" t="str">
        <f t="shared" ca="1" si="11"/>
        <v>NO</v>
      </c>
      <c r="AR22" s="177" t="s">
        <v>983</v>
      </c>
      <c r="AS22" s="433"/>
      <c r="AT22" s="964"/>
      <c r="AU22" s="964"/>
      <c r="AV22" s="964"/>
      <c r="AX22" s="16"/>
      <c r="AY22" s="16"/>
    </row>
    <row r="23" spans="1:51" ht="47.25" customHeight="1" x14ac:dyDescent="0.25">
      <c r="A23" s="15">
        <v>3</v>
      </c>
      <c r="B23" s="15">
        <v>17</v>
      </c>
      <c r="C23" s="437"/>
      <c r="D23" s="437" t="str">
        <f t="shared" si="0"/>
        <v>2012</v>
      </c>
      <c r="E23" s="142" t="s">
        <v>103</v>
      </c>
      <c r="F23" s="132" t="s">
        <v>1633</v>
      </c>
      <c r="G23" s="133">
        <v>20546554</v>
      </c>
      <c r="H23" s="993" t="s">
        <v>448</v>
      </c>
      <c r="I23" s="134">
        <v>4206160</v>
      </c>
      <c r="J23" s="850" t="s">
        <v>4030</v>
      </c>
      <c r="K23" s="152">
        <v>2012</v>
      </c>
      <c r="L23" s="546" t="s">
        <v>1088</v>
      </c>
      <c r="M23" s="136">
        <v>41213</v>
      </c>
      <c r="N23" s="136">
        <v>41274</v>
      </c>
      <c r="O23" s="127">
        <f>COUNTA(Modificaciones!I23,Modificaciones!K23,Modificaciones!M23,Modificaciones!O23)</f>
        <v>0</v>
      </c>
      <c r="P23" s="128">
        <f>VLOOKUP(E23,Modificaciones!$B$7:$Q$300,16,0)</f>
        <v>0</v>
      </c>
      <c r="Q23" s="129">
        <f>COUNTA(Modificaciones!S23,Modificaciones!U23,Modificaciones!W23,Modificaciones!Y23)</f>
        <v>0</v>
      </c>
      <c r="R23" s="130" t="str">
        <f>IF(Modificaciones!Z23=0,"",VLOOKUP(E23,Modificaciones!$B$7:$AA$400,25,0))</f>
        <v/>
      </c>
      <c r="S23" s="131" t="str">
        <f>IF(Modificaciones!AA23=0,"",VLOOKUP(E23,Modificaciones!$B$7:$AA$400,26,0))</f>
        <v/>
      </c>
      <c r="T23" s="7">
        <f t="shared" si="1"/>
        <v>41274</v>
      </c>
      <c r="U23" s="62">
        <f t="shared" si="2"/>
        <v>4206160</v>
      </c>
      <c r="V23" s="172">
        <f>VLOOKUP(E23,Modificaciones!$B$7:$AU$300,46,0)</f>
        <v>0</v>
      </c>
      <c r="W23" s="93">
        <f t="shared" si="3"/>
        <v>4206160</v>
      </c>
      <c r="X23" s="309"/>
      <c r="Y23" s="42">
        <f t="shared" si="4"/>
        <v>0</v>
      </c>
      <c r="Z23" s="42">
        <f t="shared" ca="1" si="5"/>
        <v>1</v>
      </c>
      <c r="AA23" s="43">
        <f t="shared" ca="1" si="6"/>
        <v>1</v>
      </c>
      <c r="AB23" s="202" t="str">
        <f t="shared" ca="1" si="7"/>
        <v/>
      </c>
      <c r="AC23" s="44" t="str">
        <f t="shared" si="8"/>
        <v>NO</v>
      </c>
      <c r="AD23" s="44"/>
      <c r="AE23" s="173" t="s">
        <v>1257</v>
      </c>
      <c r="AF23" s="173" t="s">
        <v>1296</v>
      </c>
      <c r="AG23" s="173" t="s">
        <v>1439</v>
      </c>
      <c r="AH23" s="281" t="s">
        <v>560</v>
      </c>
      <c r="AI23" s="174"/>
      <c r="AJ23" s="181" t="s">
        <v>600</v>
      </c>
      <c r="AK23" s="181" t="str">
        <f t="shared" ca="1" si="9"/>
        <v>TERMINO</v>
      </c>
      <c r="AL23" s="175" t="s">
        <v>576</v>
      </c>
      <c r="AM23" s="182" t="s">
        <v>391</v>
      </c>
      <c r="AN23" s="848" t="str">
        <f>IFERROR(VLOOKUP(E23,'liquidaciones '!$B$2:$C$1048576,2,0),"NO")</f>
        <v>EN TRÁMITE</v>
      </c>
      <c r="AO23" s="944" t="str">
        <f>IFERROR(VLOOKUP(E23,'liquidaciones '!$B$2:$I$1048576,8,0),"")</f>
        <v>JUAN DIEGO ESPITIA</v>
      </c>
      <c r="AP23" s="422">
        <v>41270</v>
      </c>
      <c r="AQ23" s="177" t="str">
        <f t="shared" ca="1" si="11"/>
        <v>NO</v>
      </c>
      <c r="AR23" s="177" t="s">
        <v>2601</v>
      </c>
      <c r="AS23" s="433"/>
      <c r="AT23" s="964"/>
      <c r="AU23" s="964"/>
      <c r="AV23" s="964"/>
      <c r="AX23" s="16"/>
      <c r="AY23" s="16"/>
    </row>
    <row r="24" spans="1:51" ht="47.25" customHeight="1" x14ac:dyDescent="0.25">
      <c r="A24" s="15">
        <v>2</v>
      </c>
      <c r="B24" s="15">
        <v>18</v>
      </c>
      <c r="C24" s="437"/>
      <c r="D24" s="437" t="str">
        <f t="shared" si="0"/>
        <v>2012</v>
      </c>
      <c r="E24" s="139" t="s">
        <v>179</v>
      </c>
      <c r="F24" s="132" t="s">
        <v>433</v>
      </c>
      <c r="G24" s="133">
        <v>899999115</v>
      </c>
      <c r="H24" s="993" t="s">
        <v>449</v>
      </c>
      <c r="I24" s="140">
        <v>726335435</v>
      </c>
      <c r="J24" s="134" t="s">
        <v>1088</v>
      </c>
      <c r="K24" s="152">
        <v>2012</v>
      </c>
      <c r="L24" s="546" t="s">
        <v>1088</v>
      </c>
      <c r="M24" s="138">
        <v>41206</v>
      </c>
      <c r="N24" s="138">
        <v>41609</v>
      </c>
      <c r="O24" s="127">
        <f>COUNTA(Modificaciones!I24,Modificaciones!K24,Modificaciones!M24,Modificaciones!O24)</f>
        <v>0</v>
      </c>
      <c r="P24" s="128">
        <f>VLOOKUP(E24,Modificaciones!$B$7:$Q$300,16,0)</f>
        <v>0</v>
      </c>
      <c r="Q24" s="129">
        <f>COUNTA(Modificaciones!S24,Modificaciones!U24,Modificaciones!W24,Modificaciones!Y24)</f>
        <v>0</v>
      </c>
      <c r="R24" s="130" t="str">
        <f>IF(Modificaciones!Z24=0,"",VLOOKUP(E24,Modificaciones!$B$7:$AA$400,25,0))</f>
        <v/>
      </c>
      <c r="S24" s="131" t="str">
        <f>IF(Modificaciones!AA24=0,"",VLOOKUP(E24,Modificaciones!$B$7:$AA$400,26,0))</f>
        <v/>
      </c>
      <c r="T24" s="7">
        <f t="shared" si="1"/>
        <v>41609</v>
      </c>
      <c r="U24" s="62">
        <f t="shared" si="2"/>
        <v>726335435</v>
      </c>
      <c r="V24" s="172">
        <f>VLOOKUP(E24,Modificaciones!$B$7:$AU$300,46,0)</f>
        <v>577978609</v>
      </c>
      <c r="W24" s="93">
        <f t="shared" si="3"/>
        <v>148356826</v>
      </c>
      <c r="X24" s="309"/>
      <c r="Y24" s="42">
        <f t="shared" si="4"/>
        <v>0.79574612658130883</v>
      </c>
      <c r="Z24" s="42">
        <f t="shared" ca="1" si="5"/>
        <v>1</v>
      </c>
      <c r="AA24" s="43">
        <f t="shared" ca="1" si="6"/>
        <v>0.20425387341869117</v>
      </c>
      <c r="AB24" s="202" t="str">
        <f t="shared" ca="1" si="7"/>
        <v/>
      </c>
      <c r="AC24" s="44" t="str">
        <f t="shared" si="8"/>
        <v>NO</v>
      </c>
      <c r="AD24" s="44"/>
      <c r="AE24" s="173" t="s">
        <v>1257</v>
      </c>
      <c r="AF24" s="173" t="s">
        <v>1129</v>
      </c>
      <c r="AG24" s="173"/>
      <c r="AH24" s="281"/>
      <c r="AI24" s="174"/>
      <c r="AJ24" s="181" t="s">
        <v>1007</v>
      </c>
      <c r="AK24" s="181" t="str">
        <f t="shared" ca="1" si="9"/>
        <v>TERMINO</v>
      </c>
      <c r="AL24" s="181" t="s">
        <v>582</v>
      </c>
      <c r="AM24" s="176" t="s">
        <v>390</v>
      </c>
      <c r="AN24" s="848" t="str">
        <f>IFERROR(VLOOKUP(E24,'liquidaciones '!$B$2:$C$1048576,2,0),"NO")</f>
        <v>NO</v>
      </c>
      <c r="AO24" s="944" t="str">
        <f>IFERROR(VLOOKUP(E24,'liquidaciones '!$B$2:$I$1048576,8,0),"")</f>
        <v/>
      </c>
      <c r="AP24" s="336"/>
      <c r="AQ24" s="177" t="str">
        <f t="shared" ca="1" si="11"/>
        <v>NO</v>
      </c>
      <c r="AR24" s="177" t="s">
        <v>1571</v>
      </c>
      <c r="AS24" s="433"/>
      <c r="AT24" s="964"/>
      <c r="AU24" s="964"/>
      <c r="AV24" s="964"/>
      <c r="AX24" s="16"/>
      <c r="AY24" s="16"/>
    </row>
    <row r="25" spans="1:51" ht="47.25" customHeight="1" x14ac:dyDescent="0.25">
      <c r="A25" s="15">
        <v>1</v>
      </c>
      <c r="B25" s="15">
        <v>19</v>
      </c>
      <c r="C25" s="437"/>
      <c r="D25" s="437" t="str">
        <f t="shared" si="0"/>
        <v>2012</v>
      </c>
      <c r="E25" s="132" t="s">
        <v>56</v>
      </c>
      <c r="F25" s="132" t="s">
        <v>57</v>
      </c>
      <c r="G25" s="133">
        <v>860026518</v>
      </c>
      <c r="H25" s="993" t="s">
        <v>335</v>
      </c>
      <c r="I25" s="134">
        <v>48720000</v>
      </c>
      <c r="J25" s="134" t="s">
        <v>1088</v>
      </c>
      <c r="K25" s="152">
        <v>2012</v>
      </c>
      <c r="L25" s="546" t="s">
        <v>1088</v>
      </c>
      <c r="M25" s="136">
        <v>41025</v>
      </c>
      <c r="N25" s="136">
        <v>41455</v>
      </c>
      <c r="O25" s="127">
        <f>COUNTA(Modificaciones!I25,Modificaciones!K25,Modificaciones!M25,Modificaciones!O25)</f>
        <v>3</v>
      </c>
      <c r="P25" s="128">
        <f>VLOOKUP(E25,Modificaciones!$B$7:$Q$300,16,0)</f>
        <v>22376157</v>
      </c>
      <c r="Q25" s="129">
        <f>COUNTA(Modificaciones!S25,Modificaciones!U25,Modificaciones!W25,Modificaciones!Y25)</f>
        <v>2</v>
      </c>
      <c r="R25" s="130" t="str">
        <f>IF(Modificaciones!Z25=0,"",VLOOKUP(E25,Modificaciones!$B$7:$AA$400,25,0))</f>
        <v>5 meses y 15 días</v>
      </c>
      <c r="S25" s="131">
        <f>IF(Modificaciones!AA25=0,"",VLOOKUP(E25,Modificaciones!$B$7:$AA$400,26,0))</f>
        <v>41623</v>
      </c>
      <c r="T25" s="7">
        <f t="shared" si="1"/>
        <v>41623</v>
      </c>
      <c r="U25" s="62">
        <f t="shared" si="2"/>
        <v>71096157</v>
      </c>
      <c r="V25" s="172">
        <f>VLOOKUP(E25,Modificaciones!$B$7:$AU$300,46,0)</f>
        <v>71096157</v>
      </c>
      <c r="W25" s="93">
        <f t="shared" si="3"/>
        <v>0</v>
      </c>
      <c r="X25" s="309"/>
      <c r="Y25" s="42">
        <f t="shared" si="4"/>
        <v>1</v>
      </c>
      <c r="Z25" s="42">
        <f t="shared" ca="1" si="5"/>
        <v>1</v>
      </c>
      <c r="AA25" s="43">
        <f t="shared" ca="1" si="6"/>
        <v>0</v>
      </c>
      <c r="AB25" s="202" t="str">
        <f t="shared" ca="1" si="7"/>
        <v/>
      </c>
      <c r="AC25" s="44" t="str">
        <f t="shared" si="8"/>
        <v>SI</v>
      </c>
      <c r="AD25" s="44"/>
      <c r="AE25" s="173" t="s">
        <v>1256</v>
      </c>
      <c r="AF25" s="173" t="s">
        <v>1513</v>
      </c>
      <c r="AG25" s="173"/>
      <c r="AH25" s="281"/>
      <c r="AI25" s="174"/>
      <c r="AJ25" s="181" t="s">
        <v>600</v>
      </c>
      <c r="AK25" s="181" t="str">
        <f t="shared" ca="1" si="9"/>
        <v>TERMINO</v>
      </c>
      <c r="AL25" s="181" t="s">
        <v>576</v>
      </c>
      <c r="AM25" s="176" t="s">
        <v>390</v>
      </c>
      <c r="AN25" s="848" t="str">
        <f>IFERROR(VLOOKUP(E25,'liquidaciones '!$B$2:$C$1048576,2,0),"NO")</f>
        <v>NO</v>
      </c>
      <c r="AO25" s="944" t="str">
        <f>IFERROR(VLOOKUP(E25,'liquidaciones '!$B$2:$I$1048576,8,0),"")</f>
        <v/>
      </c>
      <c r="AP25" s="336"/>
      <c r="AQ25" s="177" t="str">
        <f t="shared" ca="1" si="11"/>
        <v>NO</v>
      </c>
      <c r="AR25" s="177" t="s">
        <v>1571</v>
      </c>
      <c r="AS25" s="433"/>
      <c r="AT25" s="964"/>
      <c r="AU25" s="964"/>
      <c r="AV25" s="964"/>
      <c r="AX25" s="16"/>
      <c r="AY25" s="16"/>
    </row>
    <row r="26" spans="1:51" ht="47.25" customHeight="1" x14ac:dyDescent="0.25">
      <c r="A26" s="15">
        <v>1</v>
      </c>
      <c r="B26" s="15">
        <v>20</v>
      </c>
      <c r="C26" s="437"/>
      <c r="D26" s="437" t="str">
        <f t="shared" si="0"/>
        <v>2012</v>
      </c>
      <c r="E26" s="145" t="s">
        <v>19</v>
      </c>
      <c r="F26" s="145" t="s">
        <v>20</v>
      </c>
      <c r="G26" s="133">
        <v>860025639</v>
      </c>
      <c r="H26" s="994" t="s">
        <v>320</v>
      </c>
      <c r="I26" s="146">
        <v>11587500</v>
      </c>
      <c r="J26" s="134" t="s">
        <v>1088</v>
      </c>
      <c r="K26" s="152">
        <v>2012</v>
      </c>
      <c r="L26" s="546" t="s">
        <v>1088</v>
      </c>
      <c r="M26" s="149">
        <v>41074</v>
      </c>
      <c r="N26" s="150">
        <v>41347</v>
      </c>
      <c r="O26" s="127">
        <f>COUNTA(Modificaciones!I26,Modificaciones!K26,Modificaciones!M26,Modificaciones!O26)</f>
        <v>0</v>
      </c>
      <c r="P26" s="128">
        <f>VLOOKUP(E26,Modificaciones!$B$7:$Q$300,16,0)</f>
        <v>0</v>
      </c>
      <c r="Q26" s="129">
        <f>COUNTA(Modificaciones!S26,Modificaciones!U26,Modificaciones!W26,Modificaciones!Y26)</f>
        <v>0</v>
      </c>
      <c r="R26" s="130" t="str">
        <f>IF(Modificaciones!Z26=0,"",VLOOKUP(E26,Modificaciones!$B$7:$AA$400,25,0))</f>
        <v/>
      </c>
      <c r="S26" s="131" t="str">
        <f>IF(Modificaciones!AA26=0,"",VLOOKUP(E26,Modificaciones!$B$7:$AA$400,26,0))</f>
        <v/>
      </c>
      <c r="T26" s="7">
        <f t="shared" si="1"/>
        <v>41347</v>
      </c>
      <c r="U26" s="62">
        <f t="shared" si="2"/>
        <v>11587500</v>
      </c>
      <c r="V26" s="172">
        <f>VLOOKUP(E26,Modificaciones!$B$7:$AU$300,46,0)</f>
        <v>10316808</v>
      </c>
      <c r="W26" s="93">
        <f t="shared" si="3"/>
        <v>1270692</v>
      </c>
      <c r="X26" s="309"/>
      <c r="Y26" s="42">
        <f t="shared" si="4"/>
        <v>0.8903394174757282</v>
      </c>
      <c r="Z26" s="42">
        <f t="shared" ca="1" si="5"/>
        <v>1</v>
      </c>
      <c r="AA26" s="43">
        <f t="shared" ca="1" si="6"/>
        <v>0.1096605825242718</v>
      </c>
      <c r="AB26" s="202" t="str">
        <f t="shared" ca="1" si="7"/>
        <v/>
      </c>
      <c r="AC26" s="44" t="str">
        <f t="shared" si="8"/>
        <v>NO</v>
      </c>
      <c r="AD26" s="44"/>
      <c r="AE26" s="173" t="s">
        <v>1256</v>
      </c>
      <c r="AF26" s="173" t="s">
        <v>1170</v>
      </c>
      <c r="AG26" s="173" t="s">
        <v>1442</v>
      </c>
      <c r="AH26" s="281" t="s">
        <v>560</v>
      </c>
      <c r="AI26" s="174"/>
      <c r="AJ26" s="181" t="s">
        <v>600</v>
      </c>
      <c r="AK26" s="181" t="str">
        <f t="shared" ca="1" si="9"/>
        <v>TERMINO</v>
      </c>
      <c r="AL26" s="181" t="s">
        <v>582</v>
      </c>
      <c r="AM26" s="176" t="s">
        <v>390</v>
      </c>
      <c r="AN26" s="848" t="str">
        <f>IFERROR(VLOOKUP(E26,'liquidaciones '!$B$2:$C$1048576,2,0),"NO")</f>
        <v>NO</v>
      </c>
      <c r="AO26" s="944" t="str">
        <f>IFERROR(VLOOKUP(E26,'liquidaciones '!$B$2:$I$1048576,8,0),"")</f>
        <v/>
      </c>
      <c r="AP26" s="336"/>
      <c r="AQ26" s="177" t="str">
        <f t="shared" ca="1" si="11"/>
        <v>NO</v>
      </c>
      <c r="AR26" s="177" t="s">
        <v>1571</v>
      </c>
      <c r="AS26" s="433"/>
      <c r="AT26" s="964"/>
      <c r="AU26" s="964"/>
      <c r="AV26" s="964"/>
      <c r="AX26" s="16"/>
      <c r="AY26" s="16"/>
    </row>
    <row r="27" spans="1:51" ht="47.25" customHeight="1" x14ac:dyDescent="0.25">
      <c r="A27" s="15">
        <v>1</v>
      </c>
      <c r="B27" s="15">
        <v>21</v>
      </c>
      <c r="C27" s="437"/>
      <c r="D27" s="437" t="str">
        <f t="shared" si="0"/>
        <v>2012</v>
      </c>
      <c r="E27" s="132" t="s">
        <v>399</v>
      </c>
      <c r="F27" s="132" t="s">
        <v>424</v>
      </c>
      <c r="G27" s="145">
        <v>900281089</v>
      </c>
      <c r="H27" s="993" t="s">
        <v>322</v>
      </c>
      <c r="I27" s="134">
        <v>4452000</v>
      </c>
      <c r="J27" s="850" t="s">
        <v>4306</v>
      </c>
      <c r="K27" s="152">
        <v>2012</v>
      </c>
      <c r="L27" s="546" t="s">
        <v>1088</v>
      </c>
      <c r="M27" s="138">
        <v>41235</v>
      </c>
      <c r="N27" s="138">
        <v>41278</v>
      </c>
      <c r="O27" s="127">
        <f>COUNTA(Modificaciones!I27,Modificaciones!K27,Modificaciones!M27,Modificaciones!O27)</f>
        <v>0</v>
      </c>
      <c r="P27" s="128">
        <f>VLOOKUP(E27,Modificaciones!$B$7:$Q$300,16,0)</f>
        <v>0</v>
      </c>
      <c r="Q27" s="129">
        <f>COUNTA(Modificaciones!S27,Modificaciones!U27,Modificaciones!W27,Modificaciones!Y27)</f>
        <v>0</v>
      </c>
      <c r="R27" s="130" t="str">
        <f>IF(Modificaciones!Z27=0,"",VLOOKUP(E27,Modificaciones!$B$7:$AA$400,25,0))</f>
        <v/>
      </c>
      <c r="S27" s="131" t="str">
        <f>IF(Modificaciones!AA27=0,"",VLOOKUP(E27,Modificaciones!$B$7:$AA$400,26,0))</f>
        <v/>
      </c>
      <c r="T27" s="7">
        <f t="shared" si="1"/>
        <v>41278</v>
      </c>
      <c r="U27" s="62">
        <f t="shared" si="2"/>
        <v>4452000</v>
      </c>
      <c r="V27" s="172">
        <f>VLOOKUP(E27,Modificaciones!$B$7:$AU$300,46,0)</f>
        <v>4452000</v>
      </c>
      <c r="W27" s="93">
        <f t="shared" si="3"/>
        <v>0</v>
      </c>
      <c r="X27" s="309"/>
      <c r="Y27" s="42">
        <f t="shared" si="4"/>
        <v>1</v>
      </c>
      <c r="Z27" s="42">
        <f t="shared" ca="1" si="5"/>
        <v>1</v>
      </c>
      <c r="AA27" s="43">
        <f t="shared" ca="1" si="6"/>
        <v>0</v>
      </c>
      <c r="AB27" s="202" t="str">
        <f t="shared" ca="1" si="7"/>
        <v/>
      </c>
      <c r="AC27" s="44" t="str">
        <f t="shared" si="8"/>
        <v>SI</v>
      </c>
      <c r="AD27" s="44"/>
      <c r="AE27" s="173" t="s">
        <v>1256</v>
      </c>
      <c r="AF27" s="173" t="s">
        <v>1282</v>
      </c>
      <c r="AG27" s="173"/>
      <c r="AH27" s="281"/>
      <c r="AI27" s="174"/>
      <c r="AJ27" s="181" t="s">
        <v>600</v>
      </c>
      <c r="AK27" s="181" t="str">
        <f t="shared" ca="1" si="9"/>
        <v>TERMINO</v>
      </c>
      <c r="AL27" s="181" t="s">
        <v>576</v>
      </c>
      <c r="AM27" s="176" t="s">
        <v>390</v>
      </c>
      <c r="AN27" s="848" t="str">
        <f>IFERROR(VLOOKUP(E27,'liquidaciones '!$B$2:$C$1048576,2,0),"NO")</f>
        <v>LIQUIDADO</v>
      </c>
      <c r="AO27" s="944" t="str">
        <f>IFERROR(VLOOKUP(E27,'liquidaciones '!$B$2:$I$1048576,8,0),"")</f>
        <v>LEIDY RIVERA</v>
      </c>
      <c r="AP27" s="336"/>
      <c r="AQ27" s="177" t="str">
        <f t="shared" ca="1" si="11"/>
        <v>NO</v>
      </c>
      <c r="AR27" s="177" t="s">
        <v>1571</v>
      </c>
      <c r="AS27" s="433"/>
      <c r="AT27" s="964"/>
      <c r="AU27" s="964"/>
      <c r="AV27" s="964"/>
      <c r="AX27" s="16"/>
      <c r="AY27" s="16"/>
    </row>
    <row r="28" spans="1:51" ht="47.25" customHeight="1" x14ac:dyDescent="0.25">
      <c r="A28" s="15">
        <v>1</v>
      </c>
      <c r="B28" s="15">
        <v>22</v>
      </c>
      <c r="C28" s="437"/>
      <c r="D28" s="437" t="str">
        <f t="shared" si="0"/>
        <v>2012</v>
      </c>
      <c r="E28" s="132" t="s">
        <v>23</v>
      </c>
      <c r="F28" s="132" t="s">
        <v>27</v>
      </c>
      <c r="G28" s="133">
        <v>860009759</v>
      </c>
      <c r="H28" s="993" t="s">
        <v>450</v>
      </c>
      <c r="I28" s="134">
        <v>849000</v>
      </c>
      <c r="J28" s="134" t="s">
        <v>1088</v>
      </c>
      <c r="K28" s="152">
        <v>2012</v>
      </c>
      <c r="L28" s="546" t="s">
        <v>1088</v>
      </c>
      <c r="M28" s="136">
        <v>41044</v>
      </c>
      <c r="N28" s="136">
        <v>41409</v>
      </c>
      <c r="O28" s="127">
        <f>COUNTA(Modificaciones!I28,Modificaciones!K28,Modificaciones!M28,Modificaciones!O28)</f>
        <v>0</v>
      </c>
      <c r="P28" s="128">
        <f>VLOOKUP(E28,Modificaciones!$B$7:$Q$300,16,0)</f>
        <v>0</v>
      </c>
      <c r="Q28" s="129">
        <f>COUNTA(Modificaciones!S28,Modificaciones!U28,Modificaciones!W28,Modificaciones!Y28)</f>
        <v>0</v>
      </c>
      <c r="R28" s="130" t="str">
        <f>IF(Modificaciones!Z28=0,"",VLOOKUP(E28,Modificaciones!$B$7:$AA$400,25,0))</f>
        <v/>
      </c>
      <c r="S28" s="131" t="str">
        <f>IF(Modificaciones!AA28=0,"",VLOOKUP(E28,Modificaciones!$B$7:$AA$400,26,0))</f>
        <v/>
      </c>
      <c r="T28" s="7">
        <f t="shared" si="1"/>
        <v>41409</v>
      </c>
      <c r="U28" s="62">
        <f t="shared" si="2"/>
        <v>849000</v>
      </c>
      <c r="V28" s="172">
        <f>VLOOKUP(E28,Modificaciones!$B$7:$AU$300,46,0)</f>
        <v>849000</v>
      </c>
      <c r="W28" s="93">
        <f t="shared" si="3"/>
        <v>0</v>
      </c>
      <c r="X28" s="309"/>
      <c r="Y28" s="42">
        <f t="shared" si="4"/>
        <v>1</v>
      </c>
      <c r="Z28" s="42">
        <f t="shared" ca="1" si="5"/>
        <v>1</v>
      </c>
      <c r="AA28" s="43">
        <f t="shared" ca="1" si="6"/>
        <v>0</v>
      </c>
      <c r="AB28" s="202" t="str">
        <f t="shared" ca="1" si="7"/>
        <v/>
      </c>
      <c r="AC28" s="44" t="str">
        <f t="shared" si="8"/>
        <v>SI</v>
      </c>
      <c r="AD28" s="44"/>
      <c r="AE28" s="173" t="s">
        <v>1256</v>
      </c>
      <c r="AF28" s="173" t="s">
        <v>1125</v>
      </c>
      <c r="AG28" s="173"/>
      <c r="AH28" s="281"/>
      <c r="AI28" s="174"/>
      <c r="AJ28" s="181" t="s">
        <v>901</v>
      </c>
      <c r="AK28" s="181" t="str">
        <f t="shared" ca="1" si="9"/>
        <v>TERMINO</v>
      </c>
      <c r="AL28" s="181" t="s">
        <v>582</v>
      </c>
      <c r="AM28" s="176" t="s">
        <v>390</v>
      </c>
      <c r="AN28" s="848" t="str">
        <f>IFERROR(VLOOKUP(E28,'liquidaciones '!$B$2:$C$1048576,2,0),"NO")</f>
        <v>LIQUIDADO</v>
      </c>
      <c r="AO28" s="944">
        <f>IFERROR(VLOOKUP(E28,'liquidaciones '!$B$2:$I$1048576,8,0),"")</f>
        <v>0</v>
      </c>
      <c r="AP28" s="334">
        <v>41652</v>
      </c>
      <c r="AQ28" s="177" t="str">
        <f t="shared" ca="1" si="11"/>
        <v>NO</v>
      </c>
      <c r="AR28" s="177" t="s">
        <v>1510</v>
      </c>
      <c r="AS28" s="433"/>
      <c r="AT28" s="964"/>
      <c r="AU28" s="964"/>
      <c r="AV28" s="964"/>
      <c r="AX28" s="16"/>
      <c r="AY28" s="16"/>
    </row>
    <row r="29" spans="1:51" ht="47.25" customHeight="1" x14ac:dyDescent="0.25">
      <c r="A29" s="15">
        <v>1</v>
      </c>
      <c r="B29" s="15">
        <v>23</v>
      </c>
      <c r="C29" s="437"/>
      <c r="D29" s="437" t="str">
        <f t="shared" si="0"/>
        <v>2012</v>
      </c>
      <c r="E29" s="142" t="s">
        <v>113</v>
      </c>
      <c r="F29" s="132" t="s">
        <v>434</v>
      </c>
      <c r="G29" s="133">
        <v>830107673</v>
      </c>
      <c r="H29" s="995" t="s">
        <v>1371</v>
      </c>
      <c r="I29" s="134">
        <v>7192000</v>
      </c>
      <c r="J29" s="134" t="s">
        <v>1088</v>
      </c>
      <c r="K29" s="152">
        <v>2012</v>
      </c>
      <c r="L29" s="546" t="s">
        <v>1088</v>
      </c>
      <c r="M29" s="136">
        <v>41089</v>
      </c>
      <c r="N29" s="136">
        <v>41333</v>
      </c>
      <c r="O29" s="127">
        <f>COUNTA(Modificaciones!I29,Modificaciones!K29,Modificaciones!M29,Modificaciones!O29)</f>
        <v>0</v>
      </c>
      <c r="P29" s="128">
        <f>VLOOKUP(E29,Modificaciones!$B$7:$Q$300,16,0)</f>
        <v>0</v>
      </c>
      <c r="Q29" s="129">
        <f>COUNTA(Modificaciones!S29,Modificaciones!U29,Modificaciones!W29,Modificaciones!Y29)</f>
        <v>0</v>
      </c>
      <c r="R29" s="130" t="str">
        <f>IF(Modificaciones!Z29=0,"",VLOOKUP(E29,Modificaciones!$B$7:$AA$400,25,0))</f>
        <v/>
      </c>
      <c r="S29" s="131" t="str">
        <f>IF(Modificaciones!AA29=0,"",VLOOKUP(E29,Modificaciones!$B$7:$AA$400,26,0))</f>
        <v/>
      </c>
      <c r="T29" s="7">
        <f t="shared" si="1"/>
        <v>41333</v>
      </c>
      <c r="U29" s="62">
        <f t="shared" si="2"/>
        <v>7192000</v>
      </c>
      <c r="V29" s="172">
        <f>VLOOKUP(E29,Modificaciones!$B$7:$AU$300,46,0)</f>
        <v>7192000</v>
      </c>
      <c r="W29" s="93">
        <f t="shared" si="3"/>
        <v>0</v>
      </c>
      <c r="X29" s="309"/>
      <c r="Y29" s="42">
        <f t="shared" si="4"/>
        <v>1</v>
      </c>
      <c r="Z29" s="42">
        <f t="shared" ca="1" si="5"/>
        <v>1</v>
      </c>
      <c r="AA29" s="43">
        <f t="shared" ca="1" si="6"/>
        <v>0</v>
      </c>
      <c r="AB29" s="202" t="str">
        <f t="shared" ca="1" si="7"/>
        <v/>
      </c>
      <c r="AC29" s="44" t="str">
        <f t="shared" si="8"/>
        <v>SI</v>
      </c>
      <c r="AD29" s="44"/>
      <c r="AE29" s="173" t="s">
        <v>1256</v>
      </c>
      <c r="AF29" s="173" t="s">
        <v>1468</v>
      </c>
      <c r="AG29" s="173"/>
      <c r="AH29" s="281"/>
      <c r="AI29" s="174"/>
      <c r="AJ29" s="181" t="s">
        <v>600</v>
      </c>
      <c r="AK29" s="181" t="str">
        <f t="shared" ca="1" si="9"/>
        <v>TERMINO</v>
      </c>
      <c r="AL29" s="181" t="s">
        <v>576</v>
      </c>
      <c r="AM29" s="176" t="s">
        <v>390</v>
      </c>
      <c r="AN29" s="848" t="str">
        <f>IFERROR(VLOOKUP(E29,'liquidaciones '!$B$2:$C$1048576,2,0),"NO")</f>
        <v>NO</v>
      </c>
      <c r="AO29" s="944" t="str">
        <f>IFERROR(VLOOKUP(E29,'liquidaciones '!$B$2:$I$1048576,8,0),"")</f>
        <v/>
      </c>
      <c r="AP29" s="336">
        <v>42074</v>
      </c>
      <c r="AQ29" s="177" t="str">
        <f t="shared" ca="1" si="11"/>
        <v>NO</v>
      </c>
      <c r="AR29" s="177" t="s">
        <v>983</v>
      </c>
      <c r="AS29" s="433"/>
      <c r="AT29" s="964"/>
      <c r="AU29" s="964"/>
      <c r="AV29" s="964"/>
      <c r="AX29" s="16"/>
      <c r="AY29" s="16"/>
    </row>
    <row r="30" spans="1:51" ht="47.25" customHeight="1" x14ac:dyDescent="0.25">
      <c r="A30" s="15">
        <v>1</v>
      </c>
      <c r="B30" s="15">
        <v>24</v>
      </c>
      <c r="C30" s="437"/>
      <c r="D30" s="437" t="str">
        <f t="shared" si="0"/>
        <v>2012</v>
      </c>
      <c r="E30" s="132" t="s">
        <v>16</v>
      </c>
      <c r="F30" s="132" t="s">
        <v>435</v>
      </c>
      <c r="G30" s="145">
        <v>900152368</v>
      </c>
      <c r="H30" s="993" t="s">
        <v>318</v>
      </c>
      <c r="I30" s="134">
        <v>4839200</v>
      </c>
      <c r="J30" s="134" t="s">
        <v>1088</v>
      </c>
      <c r="K30" s="152">
        <v>2012</v>
      </c>
      <c r="L30" s="546" t="s">
        <v>1088</v>
      </c>
      <c r="M30" s="136">
        <v>41144</v>
      </c>
      <c r="N30" s="136">
        <v>41328</v>
      </c>
      <c r="O30" s="127">
        <f>COUNTA(Modificaciones!I30,Modificaciones!K30,Modificaciones!M30,Modificaciones!O30)</f>
        <v>0</v>
      </c>
      <c r="P30" s="128">
        <f>VLOOKUP(E30,Modificaciones!$B$7:$Q$300,16,0)</f>
        <v>0</v>
      </c>
      <c r="Q30" s="129">
        <f>COUNTA(Modificaciones!S30,Modificaciones!U30,Modificaciones!W30,Modificaciones!Y30)</f>
        <v>0</v>
      </c>
      <c r="R30" s="130" t="str">
        <f>IF(Modificaciones!Z30=0,"",VLOOKUP(E30,Modificaciones!$B$7:$AA$400,25,0))</f>
        <v/>
      </c>
      <c r="S30" s="131" t="str">
        <f>IF(Modificaciones!AA30=0,"",VLOOKUP(E30,Modificaciones!$B$7:$AA$400,26,0))</f>
        <v/>
      </c>
      <c r="T30" s="7">
        <f t="shared" si="1"/>
        <v>41328</v>
      </c>
      <c r="U30" s="62">
        <f t="shared" si="2"/>
        <v>4839200</v>
      </c>
      <c r="V30" s="172">
        <f>VLOOKUP(E30,Modificaciones!$B$7:$AU$300,46,0)</f>
        <v>4839200</v>
      </c>
      <c r="W30" s="93">
        <f t="shared" si="3"/>
        <v>0</v>
      </c>
      <c r="X30" s="309"/>
      <c r="Y30" s="42">
        <f t="shared" si="4"/>
        <v>1</v>
      </c>
      <c r="Z30" s="42">
        <f t="shared" ca="1" si="5"/>
        <v>1</v>
      </c>
      <c r="AA30" s="43">
        <f t="shared" ca="1" si="6"/>
        <v>0</v>
      </c>
      <c r="AB30" s="202" t="str">
        <f t="shared" ca="1" si="7"/>
        <v/>
      </c>
      <c r="AC30" s="44" t="str">
        <f t="shared" si="8"/>
        <v>SI</v>
      </c>
      <c r="AD30" s="44"/>
      <c r="AE30" s="173" t="s">
        <v>1256</v>
      </c>
      <c r="AF30" s="173" t="s">
        <v>1172</v>
      </c>
      <c r="AG30" s="173"/>
      <c r="AH30" s="281"/>
      <c r="AI30" s="174"/>
      <c r="AJ30" s="181" t="s">
        <v>600</v>
      </c>
      <c r="AK30" s="181" t="str">
        <f t="shared" ca="1" si="9"/>
        <v>TERMINO</v>
      </c>
      <c r="AL30" s="181" t="s">
        <v>576</v>
      </c>
      <c r="AM30" s="176" t="s">
        <v>390</v>
      </c>
      <c r="AN30" s="848" t="str">
        <f>IFERROR(VLOOKUP(E30,'liquidaciones '!$B$2:$C$1048576,2,0),"NO")</f>
        <v>NO</v>
      </c>
      <c r="AO30" s="944" t="str">
        <f>IFERROR(VLOOKUP(E30,'liquidaciones '!$B$2:$I$1048576,8,0),"")</f>
        <v/>
      </c>
      <c r="AP30" s="336"/>
      <c r="AQ30" s="177" t="str">
        <f t="shared" ca="1" si="11"/>
        <v>NO</v>
      </c>
      <c r="AR30" s="177" t="s">
        <v>983</v>
      </c>
      <c r="AS30" s="433"/>
      <c r="AT30" s="964"/>
      <c r="AU30" s="964"/>
      <c r="AV30" s="964"/>
      <c r="AX30" s="16"/>
      <c r="AY30" s="16"/>
    </row>
    <row r="31" spans="1:51" ht="47.25" customHeight="1" x14ac:dyDescent="0.25">
      <c r="A31" s="15">
        <v>1</v>
      </c>
      <c r="B31" s="15">
        <v>25</v>
      </c>
      <c r="C31" s="437"/>
      <c r="D31" s="437" t="str">
        <f t="shared" si="0"/>
        <v>2012</v>
      </c>
      <c r="E31" s="144" t="s">
        <v>107</v>
      </c>
      <c r="F31" s="145" t="s">
        <v>108</v>
      </c>
      <c r="G31" s="143">
        <v>830038886</v>
      </c>
      <c r="H31" s="994" t="s">
        <v>348</v>
      </c>
      <c r="I31" s="146">
        <v>13527752</v>
      </c>
      <c r="J31" s="134" t="s">
        <v>1088</v>
      </c>
      <c r="K31" s="152">
        <v>2012</v>
      </c>
      <c r="L31" s="546" t="s">
        <v>1088</v>
      </c>
      <c r="M31" s="147">
        <v>41137</v>
      </c>
      <c r="N31" s="148">
        <v>41349</v>
      </c>
      <c r="O31" s="127">
        <f>COUNTA(Modificaciones!I31,Modificaciones!K31,Modificaciones!M31,Modificaciones!O31)</f>
        <v>0</v>
      </c>
      <c r="P31" s="128">
        <f>VLOOKUP(E31,Modificaciones!$B$7:$Q$300,16,0)</f>
        <v>0</v>
      </c>
      <c r="Q31" s="129">
        <f>COUNTA(Modificaciones!S31,Modificaciones!U31,Modificaciones!W31,Modificaciones!Y31)</f>
        <v>0</v>
      </c>
      <c r="R31" s="130" t="str">
        <f>IF(Modificaciones!Z31=0,"",VLOOKUP(E31,Modificaciones!$B$7:$AA$400,25,0))</f>
        <v/>
      </c>
      <c r="S31" s="131" t="str">
        <f>IF(Modificaciones!AA31=0,"",VLOOKUP(E31,Modificaciones!$B$7:$AA$400,26,0))</f>
        <v/>
      </c>
      <c r="T31" s="7">
        <f t="shared" si="1"/>
        <v>41349</v>
      </c>
      <c r="U31" s="62">
        <f t="shared" si="2"/>
        <v>13527752</v>
      </c>
      <c r="V31" s="172">
        <f>VLOOKUP(E31,Modificaciones!$B$7:$AU$300,46,0)</f>
        <v>0</v>
      </c>
      <c r="W31" s="93">
        <f t="shared" si="3"/>
        <v>13527752</v>
      </c>
      <c r="X31" s="309"/>
      <c r="Y31" s="42">
        <f t="shared" si="4"/>
        <v>0</v>
      </c>
      <c r="Z31" s="42">
        <f t="shared" ca="1" si="5"/>
        <v>1</v>
      </c>
      <c r="AA31" s="43">
        <f t="shared" ca="1" si="6"/>
        <v>1</v>
      </c>
      <c r="AB31" s="202" t="str">
        <f t="shared" ca="1" si="7"/>
        <v/>
      </c>
      <c r="AC31" s="44" t="str">
        <f t="shared" si="8"/>
        <v>NO</v>
      </c>
      <c r="AD31" s="44"/>
      <c r="AE31" s="173" t="s">
        <v>1256</v>
      </c>
      <c r="AF31" s="173" t="s">
        <v>1126</v>
      </c>
      <c r="AG31" s="173" t="s">
        <v>1442</v>
      </c>
      <c r="AH31" s="281" t="s">
        <v>560</v>
      </c>
      <c r="AI31" s="174"/>
      <c r="AJ31" s="181" t="s">
        <v>992</v>
      </c>
      <c r="AK31" s="181" t="str">
        <f t="shared" ca="1" si="9"/>
        <v>TERMINO</v>
      </c>
      <c r="AL31" s="181" t="s">
        <v>576</v>
      </c>
      <c r="AM31" s="176" t="s">
        <v>390</v>
      </c>
      <c r="AN31" s="848" t="str">
        <f>IFERROR(VLOOKUP(E31,'liquidaciones '!$B$2:$C$1048576,2,0),"NO")</f>
        <v>NO</v>
      </c>
      <c r="AO31" s="944" t="str">
        <f>IFERROR(VLOOKUP(E31,'liquidaciones '!$B$2:$I$1048576,8,0),"")</f>
        <v/>
      </c>
      <c r="AP31" s="336">
        <v>41444</v>
      </c>
      <c r="AQ31" s="177" t="str">
        <f t="shared" ca="1" si="11"/>
        <v>NO</v>
      </c>
      <c r="AR31" s="177" t="s">
        <v>1056</v>
      </c>
      <c r="AS31" s="433"/>
      <c r="AT31" s="964"/>
      <c r="AU31" s="964"/>
      <c r="AV31" s="964"/>
      <c r="AX31" s="16"/>
      <c r="AY31" s="16"/>
    </row>
    <row r="32" spans="1:51" ht="47.25" customHeight="1" x14ac:dyDescent="0.25">
      <c r="A32" s="41">
        <v>1</v>
      </c>
      <c r="B32" s="15">
        <v>26</v>
      </c>
      <c r="C32" s="437"/>
      <c r="D32" s="437" t="str">
        <f t="shared" si="0"/>
        <v>2012</v>
      </c>
      <c r="E32" s="142" t="s">
        <v>61</v>
      </c>
      <c r="F32" s="132" t="s">
        <v>436</v>
      </c>
      <c r="G32" s="137">
        <v>860011153</v>
      </c>
      <c r="H32" s="993" t="s">
        <v>1372</v>
      </c>
      <c r="I32" s="134">
        <v>85219000</v>
      </c>
      <c r="J32" s="850" t="s">
        <v>4071</v>
      </c>
      <c r="K32" s="135">
        <v>2012</v>
      </c>
      <c r="L32" s="546" t="s">
        <v>1088</v>
      </c>
      <c r="M32" s="136">
        <v>41122</v>
      </c>
      <c r="N32" s="136">
        <v>41531</v>
      </c>
      <c r="O32" s="127">
        <f>COUNTA(Modificaciones!I32,Modificaciones!K32,Modificaciones!M32,Modificaciones!O32)</f>
        <v>1</v>
      </c>
      <c r="P32" s="128">
        <f>VLOOKUP(E32,Modificaciones!$B$7:$Q$300,16,0)</f>
        <v>15102355</v>
      </c>
      <c r="Q32" s="129">
        <f>COUNTA(Modificaciones!S32,Modificaciones!U32,Modificaciones!W32,Modificaciones!Y32)</f>
        <v>0</v>
      </c>
      <c r="R32" s="130" t="str">
        <f>IF(Modificaciones!Z32=0,"",VLOOKUP(E32,Modificaciones!$B$7:$AA$400,25,0))</f>
        <v/>
      </c>
      <c r="S32" s="131" t="str">
        <f>IF(Modificaciones!AA32=0,"",VLOOKUP(E32,Modificaciones!$B$7:$AA$400,26,0))</f>
        <v/>
      </c>
      <c r="T32" s="7">
        <f t="shared" si="1"/>
        <v>41531</v>
      </c>
      <c r="U32" s="62">
        <f t="shared" si="2"/>
        <v>100321355</v>
      </c>
      <c r="V32" s="172">
        <f>VLOOKUP(E32,Modificaciones!$B$7:$AU$300,46,0)</f>
        <v>95321355</v>
      </c>
      <c r="W32" s="93">
        <f t="shared" si="3"/>
        <v>5000000</v>
      </c>
      <c r="X32" s="309"/>
      <c r="Y32" s="42">
        <f t="shared" si="4"/>
        <v>0.95016016280880577</v>
      </c>
      <c r="Z32" s="42">
        <f t="shared" ca="1" si="5"/>
        <v>1</v>
      </c>
      <c r="AA32" s="43">
        <f t="shared" ca="1" si="6"/>
        <v>4.9839837191194225E-2</v>
      </c>
      <c r="AB32" s="202" t="str">
        <f t="shared" ca="1" si="7"/>
        <v/>
      </c>
      <c r="AC32" s="44" t="str">
        <f t="shared" si="8"/>
        <v>NO</v>
      </c>
      <c r="AD32" s="44"/>
      <c r="AE32" s="173" t="s">
        <v>1256</v>
      </c>
      <c r="AF32" s="173" t="s">
        <v>1513</v>
      </c>
      <c r="AG32" s="173"/>
      <c r="AH32" s="281"/>
      <c r="AI32" s="174"/>
      <c r="AJ32" s="181" t="s">
        <v>993</v>
      </c>
      <c r="AK32" s="181" t="str">
        <f t="shared" ca="1" si="9"/>
        <v>TERMINO</v>
      </c>
      <c r="AL32" s="181" t="s">
        <v>573</v>
      </c>
      <c r="AM32" s="176" t="s">
        <v>390</v>
      </c>
      <c r="AN32" s="848" t="str">
        <f>IFERROR(VLOOKUP(E32,'liquidaciones '!$B$2:$C$1048576,2,0),"NO")</f>
        <v>LIQUIDADO</v>
      </c>
      <c r="AO32" s="944">
        <f>IFERROR(VLOOKUP(E32,'liquidaciones '!$B$2:$I$1048576,8,0),"")</f>
        <v>0</v>
      </c>
      <c r="AP32" s="336">
        <v>42004</v>
      </c>
      <c r="AQ32" s="177" t="str">
        <f t="shared" ca="1" si="11"/>
        <v>NO</v>
      </c>
      <c r="AR32" s="177"/>
      <c r="AS32" s="433"/>
      <c r="AT32" s="964"/>
      <c r="AU32" s="964"/>
      <c r="AV32" s="964"/>
      <c r="AX32" s="16"/>
      <c r="AY32" s="16"/>
    </row>
    <row r="33" spans="1:51" ht="47.25" customHeight="1" x14ac:dyDescent="0.25">
      <c r="A33" s="41">
        <v>1</v>
      </c>
      <c r="B33" s="15">
        <v>27</v>
      </c>
      <c r="C33" s="437"/>
      <c r="D33" s="437" t="str">
        <f t="shared" si="0"/>
        <v>2012</v>
      </c>
      <c r="E33" s="132" t="s">
        <v>58</v>
      </c>
      <c r="F33" s="132" t="s">
        <v>437</v>
      </c>
      <c r="G33" s="137"/>
      <c r="H33" s="993" t="s">
        <v>1008</v>
      </c>
      <c r="I33" s="134">
        <v>81888094</v>
      </c>
      <c r="J33" s="134" t="s">
        <v>1088</v>
      </c>
      <c r="K33" s="135">
        <v>2012</v>
      </c>
      <c r="L33" s="546" t="s">
        <v>1088</v>
      </c>
      <c r="M33" s="136">
        <v>41122</v>
      </c>
      <c r="N33" s="136">
        <v>41516</v>
      </c>
      <c r="O33" s="127">
        <f>COUNTA(Modificaciones!I33,Modificaciones!K33,Modificaciones!M33,Modificaciones!O33)</f>
        <v>1</v>
      </c>
      <c r="P33" s="128">
        <f>VLOOKUP(E33,Modificaciones!$B$7:$Q$300,16,0)</f>
        <v>17234233</v>
      </c>
      <c r="Q33" s="129">
        <f>COUNTA(Modificaciones!S33,Modificaciones!U33,Modificaciones!W33,Modificaciones!Y33)</f>
        <v>2</v>
      </c>
      <c r="R33" s="130" t="str">
        <f>IF(Modificaciones!Z33=0,"",VLOOKUP(E33,Modificaciones!$B$7:$AA$400,25,0))</f>
        <v>107 días calendario</v>
      </c>
      <c r="S33" s="131">
        <f>IF(Modificaciones!AA33=0,"",VLOOKUP(E33,Modificaciones!$B$7:$AA$400,26,0))</f>
        <v>41623</v>
      </c>
      <c r="T33" s="7">
        <f t="shared" si="1"/>
        <v>41623</v>
      </c>
      <c r="U33" s="62">
        <f t="shared" si="2"/>
        <v>99122327</v>
      </c>
      <c r="V33" s="172">
        <f>VLOOKUP(E33,Modificaciones!$B$7:$AU$300,46,0)</f>
        <v>93840542</v>
      </c>
      <c r="W33" s="93">
        <f t="shared" si="3"/>
        <v>5281785</v>
      </c>
      <c r="X33" s="309"/>
      <c r="Y33" s="42">
        <f t="shared" si="4"/>
        <v>0.94671447735483449</v>
      </c>
      <c r="Z33" s="42">
        <f t="shared" ca="1" si="5"/>
        <v>1</v>
      </c>
      <c r="AA33" s="43">
        <f t="shared" ca="1" si="6"/>
        <v>5.3285522645165506E-2</v>
      </c>
      <c r="AB33" s="202" t="str">
        <f t="shared" ca="1" si="7"/>
        <v/>
      </c>
      <c r="AC33" s="44" t="str">
        <f t="shared" si="8"/>
        <v>NO</v>
      </c>
      <c r="AD33" s="44"/>
      <c r="AE33" s="173" t="s">
        <v>1256</v>
      </c>
      <c r="AF33" s="173" t="s">
        <v>1513</v>
      </c>
      <c r="AG33" s="173"/>
      <c r="AH33" s="281"/>
      <c r="AI33" s="174"/>
      <c r="AJ33" s="181" t="s">
        <v>994</v>
      </c>
      <c r="AK33" s="181" t="str">
        <f t="shared" ca="1" si="9"/>
        <v>TERMINO</v>
      </c>
      <c r="AL33" s="181" t="s">
        <v>573</v>
      </c>
      <c r="AM33" s="176" t="s">
        <v>390</v>
      </c>
      <c r="AN33" s="848" t="str">
        <f>IFERROR(VLOOKUP(E33,'liquidaciones '!$B$2:$C$1048576,2,0),"NO")</f>
        <v>NO</v>
      </c>
      <c r="AO33" s="944" t="str">
        <f>IFERROR(VLOOKUP(E33,'liquidaciones '!$B$2:$I$1048576,8,0),"")</f>
        <v/>
      </c>
      <c r="AP33" s="336"/>
      <c r="AQ33" s="177" t="str">
        <f t="shared" ca="1" si="11"/>
        <v>NO</v>
      </c>
      <c r="AR33" s="177"/>
      <c r="AS33" s="433"/>
      <c r="AT33" s="964"/>
      <c r="AU33" s="964"/>
      <c r="AV33" s="964"/>
      <c r="AX33" s="16"/>
      <c r="AY33" s="16"/>
    </row>
    <row r="34" spans="1:51" ht="47.25" customHeight="1" x14ac:dyDescent="0.25">
      <c r="A34" s="15">
        <v>2</v>
      </c>
      <c r="B34" s="15">
        <v>28</v>
      </c>
      <c r="C34" s="437"/>
      <c r="D34" s="437" t="str">
        <f t="shared" si="0"/>
        <v>2012</v>
      </c>
      <c r="E34" s="132" t="s">
        <v>423</v>
      </c>
      <c r="F34" s="132" t="s">
        <v>13</v>
      </c>
      <c r="G34" s="153">
        <v>860007590</v>
      </c>
      <c r="H34" s="993" t="s">
        <v>451</v>
      </c>
      <c r="I34" s="134">
        <v>900000</v>
      </c>
      <c r="J34" s="134" t="s">
        <v>1088</v>
      </c>
      <c r="K34" s="152">
        <v>2012</v>
      </c>
      <c r="L34" s="546" t="s">
        <v>1088</v>
      </c>
      <c r="M34" s="138">
        <v>41162</v>
      </c>
      <c r="N34" s="138">
        <v>41527</v>
      </c>
      <c r="O34" s="127">
        <f>COUNTA(Modificaciones!I34,Modificaciones!K34,Modificaciones!M34,Modificaciones!O34)</f>
        <v>0</v>
      </c>
      <c r="P34" s="128">
        <f>VLOOKUP(E34,Modificaciones!$B$7:$Q$300,16,0)</f>
        <v>0</v>
      </c>
      <c r="Q34" s="129">
        <f>COUNTA(Modificaciones!S34,Modificaciones!U34,Modificaciones!W34,Modificaciones!Y34)</f>
        <v>0</v>
      </c>
      <c r="R34" s="130" t="str">
        <f>IF(Modificaciones!Z34=0,"",VLOOKUP(E34,Modificaciones!$B$7:$AA$400,25,0))</f>
        <v/>
      </c>
      <c r="S34" s="131" t="str">
        <f>IF(Modificaciones!AA34=0,"",VLOOKUP(E34,Modificaciones!$B$7:$AA$400,26,0))</f>
        <v/>
      </c>
      <c r="T34" s="7">
        <f t="shared" si="1"/>
        <v>41527</v>
      </c>
      <c r="U34" s="62">
        <f t="shared" si="2"/>
        <v>900000</v>
      </c>
      <c r="V34" s="172">
        <f>VLOOKUP(E34,Modificaciones!$B$7:$AU$300,46,0)</f>
        <v>900000</v>
      </c>
      <c r="W34" s="93">
        <f t="shared" si="3"/>
        <v>0</v>
      </c>
      <c r="X34" s="309"/>
      <c r="Y34" s="42">
        <f t="shared" si="4"/>
        <v>1</v>
      </c>
      <c r="Z34" s="42">
        <f t="shared" ca="1" si="5"/>
        <v>1</v>
      </c>
      <c r="AA34" s="43">
        <f t="shared" ca="1" si="6"/>
        <v>0</v>
      </c>
      <c r="AB34" s="202" t="str">
        <f t="shared" ca="1" si="7"/>
        <v/>
      </c>
      <c r="AC34" s="44" t="str">
        <f t="shared" si="8"/>
        <v>SI</v>
      </c>
      <c r="AD34" s="44"/>
      <c r="AE34" s="173" t="s">
        <v>1256</v>
      </c>
      <c r="AF34" s="173" t="s">
        <v>1125</v>
      </c>
      <c r="AG34" s="173"/>
      <c r="AH34" s="281"/>
      <c r="AI34" s="174"/>
      <c r="AJ34" s="181" t="s">
        <v>600</v>
      </c>
      <c r="AK34" s="181" t="str">
        <f t="shared" ca="1" si="9"/>
        <v>TERMINO</v>
      </c>
      <c r="AL34" s="181" t="s">
        <v>582</v>
      </c>
      <c r="AM34" s="176" t="s">
        <v>390</v>
      </c>
      <c r="AN34" s="848" t="str">
        <f>IFERROR(VLOOKUP(E34,'liquidaciones '!$B$2:$C$1048576,2,0),"NO")</f>
        <v>NO</v>
      </c>
      <c r="AO34" s="944" t="str">
        <f>IFERROR(VLOOKUP(E34,'liquidaciones '!$B$2:$I$1048576,8,0),"")</f>
        <v/>
      </c>
      <c r="AP34" s="336"/>
      <c r="AQ34" s="177" t="str">
        <f t="shared" ca="1" si="11"/>
        <v>NO</v>
      </c>
      <c r="AR34" s="177" t="s">
        <v>1571</v>
      </c>
      <c r="AS34" s="433"/>
      <c r="AT34" s="964"/>
      <c r="AU34" s="964"/>
      <c r="AV34" s="964"/>
    </row>
    <row r="35" spans="1:51" ht="47.25" customHeight="1" x14ac:dyDescent="0.25">
      <c r="A35" s="15">
        <v>1</v>
      </c>
      <c r="B35" s="15">
        <v>29</v>
      </c>
      <c r="C35" s="437"/>
      <c r="D35" s="437" t="str">
        <f t="shared" si="0"/>
        <v>2012</v>
      </c>
      <c r="E35" s="132" t="s">
        <v>28</v>
      </c>
      <c r="F35" s="132" t="s">
        <v>29</v>
      </c>
      <c r="G35" s="133">
        <v>860536029</v>
      </c>
      <c r="H35" s="993" t="s">
        <v>324</v>
      </c>
      <c r="I35" s="134">
        <v>840000</v>
      </c>
      <c r="J35" s="134" t="s">
        <v>1088</v>
      </c>
      <c r="K35" s="152">
        <v>2012</v>
      </c>
      <c r="L35" s="546" t="s">
        <v>1088</v>
      </c>
      <c r="M35" s="136">
        <v>41165</v>
      </c>
      <c r="N35" s="136">
        <v>41530</v>
      </c>
      <c r="O35" s="127">
        <f>COUNTA(Modificaciones!I35,Modificaciones!K35,Modificaciones!M35,Modificaciones!O35)</f>
        <v>0</v>
      </c>
      <c r="P35" s="128">
        <f>VLOOKUP(E35,Modificaciones!$B$7:$Q$300,16,0)</f>
        <v>0</v>
      </c>
      <c r="Q35" s="129">
        <f>COUNTA(Modificaciones!S35,Modificaciones!U35,Modificaciones!W35,Modificaciones!Y35)</f>
        <v>0</v>
      </c>
      <c r="R35" s="130" t="str">
        <f>IF(Modificaciones!Z35=0,"",VLOOKUP(E35,Modificaciones!$B$7:$AA$400,25,0))</f>
        <v/>
      </c>
      <c r="S35" s="131" t="str">
        <f>IF(Modificaciones!AA35=0,"",VLOOKUP(E35,Modificaciones!$B$7:$AA$400,26,0))</f>
        <v/>
      </c>
      <c r="T35" s="7">
        <f t="shared" si="1"/>
        <v>41530</v>
      </c>
      <c r="U35" s="62">
        <f t="shared" si="2"/>
        <v>840000</v>
      </c>
      <c r="V35" s="172">
        <f>VLOOKUP(E35,Modificaciones!$B$7:$AU$300,46,0)</f>
        <v>840000</v>
      </c>
      <c r="W35" s="93">
        <f t="shared" si="3"/>
        <v>0</v>
      </c>
      <c r="X35" s="309"/>
      <c r="Y35" s="42">
        <f t="shared" si="4"/>
        <v>1</v>
      </c>
      <c r="Z35" s="42">
        <f t="shared" ca="1" si="5"/>
        <v>1</v>
      </c>
      <c r="AA35" s="43">
        <f t="shared" ca="1" si="6"/>
        <v>0</v>
      </c>
      <c r="AB35" s="202" t="str">
        <f t="shared" ca="1" si="7"/>
        <v/>
      </c>
      <c r="AC35" s="44" t="str">
        <f t="shared" si="8"/>
        <v>SI</v>
      </c>
      <c r="AD35" s="44"/>
      <c r="AE35" s="173" t="s">
        <v>1256</v>
      </c>
      <c r="AF35" s="173" t="s">
        <v>1125</v>
      </c>
      <c r="AG35" s="173"/>
      <c r="AH35" s="281"/>
      <c r="AI35" s="174"/>
      <c r="AJ35" s="181" t="s">
        <v>600</v>
      </c>
      <c r="AK35" s="181" t="str">
        <f t="shared" ca="1" si="9"/>
        <v>TERMINO</v>
      </c>
      <c r="AL35" s="181" t="s">
        <v>582</v>
      </c>
      <c r="AM35" s="176" t="s">
        <v>390</v>
      </c>
      <c r="AN35" s="848" t="str">
        <f>IFERROR(VLOOKUP(E35,'liquidaciones '!$B$2:$C$1048576,2,0),"NO")</f>
        <v>NO</v>
      </c>
      <c r="AO35" s="944" t="str">
        <f>IFERROR(VLOOKUP(E35,'liquidaciones '!$B$2:$I$1048576,8,0),"")</f>
        <v/>
      </c>
      <c r="AP35" s="341">
        <v>41659</v>
      </c>
      <c r="AQ35" s="177" t="str">
        <f t="shared" ca="1" si="11"/>
        <v>NO</v>
      </c>
      <c r="AR35" s="177" t="s">
        <v>1165</v>
      </c>
      <c r="AS35" s="433"/>
      <c r="AT35" s="964"/>
      <c r="AU35" s="964"/>
      <c r="AV35" s="964"/>
    </row>
    <row r="36" spans="1:51" ht="47.25" customHeight="1" x14ac:dyDescent="0.25">
      <c r="A36" s="15">
        <v>1</v>
      </c>
      <c r="B36" s="41">
        <v>30</v>
      </c>
      <c r="C36" s="438"/>
      <c r="D36" s="437" t="str">
        <f t="shared" si="0"/>
        <v>2012</v>
      </c>
      <c r="E36" s="132" t="s">
        <v>32</v>
      </c>
      <c r="F36" s="132" t="s">
        <v>33</v>
      </c>
      <c r="G36" s="133">
        <v>860509265</v>
      </c>
      <c r="H36" s="993" t="s">
        <v>452</v>
      </c>
      <c r="I36" s="134">
        <v>795000</v>
      </c>
      <c r="J36" s="850" t="s">
        <v>4300</v>
      </c>
      <c r="K36" s="152">
        <v>2012</v>
      </c>
      <c r="L36" s="546" t="s">
        <v>1088</v>
      </c>
      <c r="M36" s="136">
        <v>41180</v>
      </c>
      <c r="N36" s="136">
        <v>41545</v>
      </c>
      <c r="O36" s="127">
        <f>COUNTA(Modificaciones!I36,Modificaciones!K36,Modificaciones!M36,Modificaciones!O36)</f>
        <v>0</v>
      </c>
      <c r="P36" s="128">
        <f>VLOOKUP(E36,Modificaciones!$B$7:$Q$300,16,0)</f>
        <v>0</v>
      </c>
      <c r="Q36" s="129">
        <f>COUNTA(Modificaciones!S36,Modificaciones!U36,Modificaciones!W36,Modificaciones!Y36)</f>
        <v>0</v>
      </c>
      <c r="R36" s="130" t="str">
        <f>IF(Modificaciones!Z36=0,"",VLOOKUP(E36,Modificaciones!$B$7:$AA$400,25,0))</f>
        <v/>
      </c>
      <c r="S36" s="131" t="str">
        <f>IF(Modificaciones!AA36=0,"",VLOOKUP(E36,Modificaciones!$B$7:$AA$400,26,0))</f>
        <v/>
      </c>
      <c r="T36" s="7">
        <f t="shared" si="1"/>
        <v>41545</v>
      </c>
      <c r="U36" s="62">
        <f t="shared" si="2"/>
        <v>795000</v>
      </c>
      <c r="V36" s="172">
        <f>VLOOKUP(E36,Modificaciones!$B$7:$AU$300,46,0)</f>
        <v>795000</v>
      </c>
      <c r="W36" s="93">
        <f t="shared" si="3"/>
        <v>0</v>
      </c>
      <c r="X36" s="309"/>
      <c r="Y36" s="42">
        <f t="shared" si="4"/>
        <v>1</v>
      </c>
      <c r="Z36" s="42">
        <f t="shared" ca="1" si="5"/>
        <v>1</v>
      </c>
      <c r="AA36" s="43">
        <f t="shared" ca="1" si="6"/>
        <v>0</v>
      </c>
      <c r="AB36" s="202" t="str">
        <f t="shared" ca="1" si="7"/>
        <v/>
      </c>
      <c r="AC36" s="44" t="str">
        <f t="shared" si="8"/>
        <v>SI</v>
      </c>
      <c r="AD36" s="44"/>
      <c r="AE36" s="173" t="s">
        <v>1256</v>
      </c>
      <c r="AF36" s="173" t="s">
        <v>1469</v>
      </c>
      <c r="AG36" s="173"/>
      <c r="AH36" s="281"/>
      <c r="AI36" s="174"/>
      <c r="AJ36" s="181" t="s">
        <v>600</v>
      </c>
      <c r="AK36" s="181" t="str">
        <f t="shared" ca="1" si="9"/>
        <v>TERMINO</v>
      </c>
      <c r="AL36" s="181" t="s">
        <v>582</v>
      </c>
      <c r="AM36" s="176" t="s">
        <v>390</v>
      </c>
      <c r="AN36" s="848" t="str">
        <f>IFERROR(VLOOKUP(E36,'liquidaciones '!$B$2:$C$1048576,2,0),"NO")</f>
        <v>LIQUIDADO</v>
      </c>
      <c r="AO36" s="944">
        <f>IFERROR(VLOOKUP(E36,'liquidaciones '!$B$2:$I$1048576,8,0),"")</f>
        <v>0</v>
      </c>
      <c r="AP36" s="336">
        <v>42208</v>
      </c>
      <c r="AQ36" s="177" t="str">
        <f t="shared" ca="1" si="11"/>
        <v>NO</v>
      </c>
      <c r="AR36" s="177" t="s">
        <v>1571</v>
      </c>
      <c r="AS36" s="433"/>
      <c r="AT36" s="964"/>
      <c r="AU36" s="964"/>
      <c r="AV36" s="964"/>
    </row>
    <row r="37" spans="1:51" ht="47.25" customHeight="1" x14ac:dyDescent="0.25">
      <c r="A37" s="15">
        <v>1</v>
      </c>
      <c r="B37" s="15">
        <v>31</v>
      </c>
      <c r="C37" s="437"/>
      <c r="D37" s="437" t="str">
        <f t="shared" si="0"/>
        <v>2012</v>
      </c>
      <c r="E37" s="144" t="s">
        <v>109</v>
      </c>
      <c r="F37" s="145" t="s">
        <v>420</v>
      </c>
      <c r="G37" s="133">
        <v>800008838</v>
      </c>
      <c r="H37" s="994" t="s">
        <v>349</v>
      </c>
      <c r="I37" s="146">
        <v>1818000</v>
      </c>
      <c r="J37" s="134" t="s">
        <v>1088</v>
      </c>
      <c r="K37" s="152">
        <v>2012</v>
      </c>
      <c r="L37" s="546" t="s">
        <v>1088</v>
      </c>
      <c r="M37" s="147">
        <v>41165</v>
      </c>
      <c r="N37" s="148">
        <v>41346</v>
      </c>
      <c r="O37" s="127">
        <f>COUNTA(Modificaciones!I37,Modificaciones!K37,Modificaciones!M37,Modificaciones!O37)</f>
        <v>0</v>
      </c>
      <c r="P37" s="128">
        <f>VLOOKUP(E37,Modificaciones!$B$7:$Q$300,16,0)</f>
        <v>0</v>
      </c>
      <c r="Q37" s="129">
        <f>COUNTA(Modificaciones!S37,Modificaciones!U37,Modificaciones!W37,Modificaciones!Y37)</f>
        <v>0</v>
      </c>
      <c r="R37" s="130" t="str">
        <f>IF(Modificaciones!Z37=0,"",VLOOKUP(E37,Modificaciones!$B$7:$AA$400,25,0))</f>
        <v/>
      </c>
      <c r="S37" s="131" t="str">
        <f>IF(Modificaciones!AA37=0,"",VLOOKUP(E37,Modificaciones!$B$7:$AA$400,26,0))</f>
        <v/>
      </c>
      <c r="T37" s="7">
        <f t="shared" si="1"/>
        <v>41346</v>
      </c>
      <c r="U37" s="62">
        <f t="shared" si="2"/>
        <v>1818000</v>
      </c>
      <c r="V37" s="172">
        <f>VLOOKUP(E37,Modificaciones!$B$7:$AU$300,46,0)</f>
        <v>0</v>
      </c>
      <c r="W37" s="93">
        <f t="shared" si="3"/>
        <v>1818000</v>
      </c>
      <c r="X37" s="309"/>
      <c r="Y37" s="42">
        <f t="shared" si="4"/>
        <v>0</v>
      </c>
      <c r="Z37" s="42">
        <f t="shared" ca="1" si="5"/>
        <v>1</v>
      </c>
      <c r="AA37" s="43">
        <f t="shared" ca="1" si="6"/>
        <v>1</v>
      </c>
      <c r="AB37" s="202" t="str">
        <f t="shared" ca="1" si="7"/>
        <v/>
      </c>
      <c r="AC37" s="44" t="str">
        <f t="shared" si="8"/>
        <v>NO</v>
      </c>
      <c r="AD37" s="44"/>
      <c r="AE37" s="173" t="s">
        <v>1256</v>
      </c>
      <c r="AF37" s="173" t="s">
        <v>1383</v>
      </c>
      <c r="AG37" s="173" t="s">
        <v>1442</v>
      </c>
      <c r="AH37" s="281" t="s">
        <v>560</v>
      </c>
      <c r="AI37" s="174"/>
      <c r="AJ37" s="181" t="s">
        <v>600</v>
      </c>
      <c r="AK37" s="181" t="str">
        <f t="shared" ca="1" si="9"/>
        <v>TERMINO</v>
      </c>
      <c r="AL37" s="181" t="s">
        <v>576</v>
      </c>
      <c r="AM37" s="176" t="s">
        <v>390</v>
      </c>
      <c r="AN37" s="848" t="str">
        <f>IFERROR(VLOOKUP(E37,'liquidaciones '!$B$2:$C$1048576,2,0),"NO")</f>
        <v>NO</v>
      </c>
      <c r="AO37" s="944" t="str">
        <f>IFERROR(VLOOKUP(E37,'liquidaciones '!$B$2:$I$1048576,8,0),"")</f>
        <v/>
      </c>
      <c r="AP37" s="336"/>
      <c r="AQ37" s="177" t="str">
        <f t="shared" ca="1" si="11"/>
        <v>NO</v>
      </c>
      <c r="AR37" s="177" t="s">
        <v>1571</v>
      </c>
      <c r="AS37" s="433"/>
      <c r="AT37" s="964"/>
      <c r="AU37" s="964"/>
      <c r="AV37" s="964"/>
    </row>
    <row r="38" spans="1:51" ht="47.25" customHeight="1" x14ac:dyDescent="0.25">
      <c r="A38" s="15">
        <v>3</v>
      </c>
      <c r="B38" s="15">
        <v>32</v>
      </c>
      <c r="C38" s="437"/>
      <c r="D38" s="437" t="str">
        <f t="shared" si="0"/>
        <v>2012</v>
      </c>
      <c r="E38" s="132" t="s">
        <v>34</v>
      </c>
      <c r="F38" s="132" t="s">
        <v>1009</v>
      </c>
      <c r="G38" s="133">
        <v>51979294</v>
      </c>
      <c r="H38" s="993" t="s">
        <v>453</v>
      </c>
      <c r="I38" s="134">
        <v>30000000</v>
      </c>
      <c r="J38" s="134" t="s">
        <v>1088</v>
      </c>
      <c r="K38" s="152">
        <v>2012</v>
      </c>
      <c r="L38" s="546" t="s">
        <v>1088</v>
      </c>
      <c r="M38" s="154">
        <v>41151</v>
      </c>
      <c r="N38" s="154">
        <v>41333</v>
      </c>
      <c r="O38" s="127">
        <f>COUNTA(Modificaciones!I38,Modificaciones!K38,Modificaciones!M38,Modificaciones!O38)</f>
        <v>0</v>
      </c>
      <c r="P38" s="128">
        <f>VLOOKUP(E38,Modificaciones!$B$7:$Q$300,16,0)</f>
        <v>0</v>
      </c>
      <c r="Q38" s="129">
        <f>COUNTA(Modificaciones!S38,Modificaciones!U38,Modificaciones!W38,Modificaciones!Y38)</f>
        <v>0</v>
      </c>
      <c r="R38" s="130" t="str">
        <f>IF(Modificaciones!Z38=0,"",VLOOKUP(E38,Modificaciones!$B$7:$AA$400,25,0))</f>
        <v/>
      </c>
      <c r="S38" s="131" t="str">
        <f>IF(Modificaciones!AA38=0,"",VLOOKUP(E38,Modificaciones!$B$7:$AA$400,26,0))</f>
        <v/>
      </c>
      <c r="T38" s="7">
        <f t="shared" si="1"/>
        <v>41333</v>
      </c>
      <c r="U38" s="62">
        <f t="shared" si="2"/>
        <v>30000000</v>
      </c>
      <c r="V38" s="172">
        <f>VLOOKUP(E38,Modificaciones!$B$7:$AU$300,46,0)</f>
        <v>30000000</v>
      </c>
      <c r="W38" s="93">
        <f t="shared" si="3"/>
        <v>0</v>
      </c>
      <c r="X38" s="309"/>
      <c r="Y38" s="42">
        <f t="shared" si="4"/>
        <v>1</v>
      </c>
      <c r="Z38" s="42">
        <f t="shared" ca="1" si="5"/>
        <v>1</v>
      </c>
      <c r="AA38" s="43">
        <f t="shared" ca="1" si="6"/>
        <v>0</v>
      </c>
      <c r="AB38" s="202" t="str">
        <f t="shared" ca="1" si="7"/>
        <v/>
      </c>
      <c r="AC38" s="44" t="str">
        <f t="shared" si="8"/>
        <v>SI</v>
      </c>
      <c r="AD38" s="44"/>
      <c r="AE38" s="173" t="s">
        <v>1256</v>
      </c>
      <c r="AF38" s="173" t="s">
        <v>1131</v>
      </c>
      <c r="AG38" s="173"/>
      <c r="AH38" s="281"/>
      <c r="AI38" s="174"/>
      <c r="AJ38" s="181" t="s">
        <v>600</v>
      </c>
      <c r="AK38" s="181" t="str">
        <f t="shared" ca="1" si="9"/>
        <v>TERMINO</v>
      </c>
      <c r="AL38" s="181" t="s">
        <v>582</v>
      </c>
      <c r="AM38" s="176" t="s">
        <v>391</v>
      </c>
      <c r="AN38" s="848" t="str">
        <f>IFERROR(VLOOKUP(E38,'liquidaciones '!$B$2:$C$1048576,2,0),"NO")</f>
        <v>LIQUIDADO</v>
      </c>
      <c r="AO38" s="944" t="str">
        <f>IFERROR(VLOOKUP(E38,'liquidaciones '!$B$2:$I$1048576,8,0),"")</f>
        <v>JUAN DIEGO ESPITIA</v>
      </c>
      <c r="AP38" s="334">
        <v>41845</v>
      </c>
      <c r="AQ38" s="177" t="str">
        <f t="shared" ca="1" si="11"/>
        <v>NO</v>
      </c>
      <c r="AR38" s="177" t="s">
        <v>983</v>
      </c>
      <c r="AS38" s="433"/>
      <c r="AT38" s="964"/>
      <c r="AU38" s="964"/>
      <c r="AV38" s="964"/>
    </row>
    <row r="39" spans="1:51" ht="47.25" customHeight="1" x14ac:dyDescent="0.25">
      <c r="A39" s="15">
        <v>3</v>
      </c>
      <c r="B39" s="15">
        <v>33</v>
      </c>
      <c r="C39" s="437"/>
      <c r="D39" s="437" t="str">
        <f t="shared" si="0"/>
        <v>2012</v>
      </c>
      <c r="E39" s="145" t="s">
        <v>10</v>
      </c>
      <c r="F39" s="145" t="s">
        <v>1010</v>
      </c>
      <c r="G39" s="133">
        <v>39753021</v>
      </c>
      <c r="H39" s="994" t="s">
        <v>454</v>
      </c>
      <c r="I39" s="146">
        <v>35000000</v>
      </c>
      <c r="J39" s="134" t="s">
        <v>1088</v>
      </c>
      <c r="K39" s="152">
        <v>2012</v>
      </c>
      <c r="L39" s="546" t="s">
        <v>1088</v>
      </c>
      <c r="M39" s="149">
        <v>41155</v>
      </c>
      <c r="N39" s="150">
        <v>41367</v>
      </c>
      <c r="O39" s="127">
        <f>COUNTA(Modificaciones!I39,Modificaciones!K39,Modificaciones!M39,Modificaciones!O39)</f>
        <v>0</v>
      </c>
      <c r="P39" s="128">
        <f>VLOOKUP(E39,Modificaciones!$B$7:$Q$300,16,0)</f>
        <v>0</v>
      </c>
      <c r="Q39" s="129">
        <f>COUNTA(Modificaciones!S39,Modificaciones!U39,Modificaciones!W39,Modificaciones!Y39)</f>
        <v>0</v>
      </c>
      <c r="R39" s="130" t="str">
        <f>IF(Modificaciones!Z39=0,"",VLOOKUP(E39,Modificaciones!$B$7:$AA$400,25,0))</f>
        <v/>
      </c>
      <c r="S39" s="131" t="str">
        <f>IF(Modificaciones!AA39=0,"",VLOOKUP(E39,Modificaciones!$B$7:$AA$400,26,0))</f>
        <v/>
      </c>
      <c r="T39" s="7">
        <f t="shared" ref="T39:T70" si="12">MAX(N39,S39)</f>
        <v>41367</v>
      </c>
      <c r="U39" s="62">
        <f t="shared" si="2"/>
        <v>35000000</v>
      </c>
      <c r="V39" s="172">
        <f>VLOOKUP(E39,Modificaciones!$B$7:$AU$300,46,0)</f>
        <v>34666667</v>
      </c>
      <c r="W39" s="93">
        <f t="shared" si="3"/>
        <v>333333</v>
      </c>
      <c r="X39" s="309"/>
      <c r="Y39" s="42">
        <f t="shared" si="4"/>
        <v>0.99047620000000003</v>
      </c>
      <c r="Z39" s="42">
        <f t="shared" ca="1" si="5"/>
        <v>1</v>
      </c>
      <c r="AA39" s="43">
        <f t="shared" ca="1" si="6"/>
        <v>9.5237999999999712E-3</v>
      </c>
      <c r="AB39" s="202" t="str">
        <f t="shared" ca="1" si="7"/>
        <v/>
      </c>
      <c r="AC39" s="44" t="str">
        <f t="shared" si="8"/>
        <v>NO</v>
      </c>
      <c r="AD39" s="44"/>
      <c r="AE39" s="173" t="s">
        <v>1256</v>
      </c>
      <c r="AF39" s="173" t="s">
        <v>1131</v>
      </c>
      <c r="AG39" s="173"/>
      <c r="AH39" s="281"/>
      <c r="AI39" s="174"/>
      <c r="AJ39" s="181" t="s">
        <v>600</v>
      </c>
      <c r="AK39" s="181" t="str">
        <f t="shared" ca="1" si="9"/>
        <v>TERMINO</v>
      </c>
      <c r="AL39" s="181" t="s">
        <v>582</v>
      </c>
      <c r="AM39" s="176" t="s">
        <v>391</v>
      </c>
      <c r="AN39" s="848" t="str">
        <f>IFERROR(VLOOKUP(E39,'liquidaciones '!$B$2:$C$1048576,2,0),"NO")</f>
        <v>NO</v>
      </c>
      <c r="AO39" s="944" t="str">
        <f>IFERROR(VLOOKUP(E39,'liquidaciones '!$B$2:$I$1048576,8,0),"")</f>
        <v/>
      </c>
      <c r="AP39" s="334">
        <v>42150</v>
      </c>
      <c r="AQ39" s="177" t="str">
        <f t="shared" ca="1" si="11"/>
        <v>NO</v>
      </c>
      <c r="AR39" s="177" t="s">
        <v>1056</v>
      </c>
      <c r="AS39" s="433"/>
      <c r="AT39" s="964"/>
      <c r="AU39" s="964"/>
      <c r="AV39" s="964"/>
    </row>
    <row r="40" spans="1:51" ht="47.25" customHeight="1" x14ac:dyDescent="0.25">
      <c r="A40" s="15">
        <v>1</v>
      </c>
      <c r="B40" s="15">
        <v>34</v>
      </c>
      <c r="C40" s="437"/>
      <c r="D40" s="437" t="str">
        <f t="shared" si="0"/>
        <v>2012</v>
      </c>
      <c r="E40" s="142" t="s">
        <v>114</v>
      </c>
      <c r="F40" s="132" t="s">
        <v>115</v>
      </c>
      <c r="G40" s="133">
        <v>830031631</v>
      </c>
      <c r="H40" s="993" t="s">
        <v>455</v>
      </c>
      <c r="I40" s="134">
        <v>8334226</v>
      </c>
      <c r="J40" s="134" t="s">
        <v>1088</v>
      </c>
      <c r="K40" s="152">
        <v>2012</v>
      </c>
      <c r="L40" s="546" t="s">
        <v>1088</v>
      </c>
      <c r="M40" s="136">
        <v>41170</v>
      </c>
      <c r="N40" s="136">
        <v>41626</v>
      </c>
      <c r="O40" s="127">
        <f>COUNTA(Modificaciones!I40,Modificaciones!K40,Modificaciones!M40,Modificaciones!O40)</f>
        <v>0</v>
      </c>
      <c r="P40" s="128">
        <f>VLOOKUP(E40,Modificaciones!$B$7:$Q$300,16,0)</f>
        <v>0</v>
      </c>
      <c r="Q40" s="129">
        <f>COUNTA(Modificaciones!S40,Modificaciones!U40,Modificaciones!W40,Modificaciones!Y40)</f>
        <v>0</v>
      </c>
      <c r="R40" s="130" t="str">
        <f>IF(Modificaciones!Z40=0,"",VLOOKUP(E40,Modificaciones!$B$7:$AA$400,25,0))</f>
        <v/>
      </c>
      <c r="S40" s="131" t="str">
        <f>IF(Modificaciones!AA40=0,"",VLOOKUP(E40,Modificaciones!$B$7:$AA$400,26,0))</f>
        <v/>
      </c>
      <c r="T40" s="7">
        <f t="shared" si="12"/>
        <v>41626</v>
      </c>
      <c r="U40" s="62">
        <f t="shared" si="2"/>
        <v>8334226</v>
      </c>
      <c r="V40" s="172">
        <f>VLOOKUP(E40,Modificaciones!$B$7:$AU$300,46,0)</f>
        <v>8334226</v>
      </c>
      <c r="W40" s="93">
        <f t="shared" si="3"/>
        <v>0</v>
      </c>
      <c r="X40" s="309"/>
      <c r="Y40" s="42">
        <f t="shared" si="4"/>
        <v>1</v>
      </c>
      <c r="Z40" s="42">
        <f t="shared" ca="1" si="5"/>
        <v>1</v>
      </c>
      <c r="AA40" s="43">
        <f t="shared" ca="1" si="6"/>
        <v>0</v>
      </c>
      <c r="AB40" s="202" t="str">
        <f t="shared" ca="1" si="7"/>
        <v/>
      </c>
      <c r="AC40" s="44" t="str">
        <f t="shared" si="8"/>
        <v>SI</v>
      </c>
      <c r="AD40" s="44"/>
      <c r="AE40" s="173" t="s">
        <v>1256</v>
      </c>
      <c r="AF40" s="173" t="s">
        <v>1304</v>
      </c>
      <c r="AG40" s="173" t="s">
        <v>1435</v>
      </c>
      <c r="AH40" s="281" t="s">
        <v>560</v>
      </c>
      <c r="AI40" s="174"/>
      <c r="AJ40" s="181" t="s">
        <v>600</v>
      </c>
      <c r="AK40" s="181" t="str">
        <f t="shared" ca="1" si="9"/>
        <v>TERMINO</v>
      </c>
      <c r="AL40" s="181" t="s">
        <v>576</v>
      </c>
      <c r="AM40" s="176" t="s">
        <v>390</v>
      </c>
      <c r="AN40" s="848" t="str">
        <f>IFERROR(VLOOKUP(E40,'liquidaciones '!$B$2:$C$1048576,2,0),"NO")</f>
        <v>NO</v>
      </c>
      <c r="AO40" s="944" t="str">
        <f>IFERROR(VLOOKUP(E40,'liquidaciones '!$B$2:$I$1048576,8,0),"")</f>
        <v/>
      </c>
      <c r="AP40" s="336"/>
      <c r="AQ40" s="177" t="str">
        <f t="shared" ca="1" si="11"/>
        <v>NO</v>
      </c>
      <c r="AR40" s="177" t="s">
        <v>983</v>
      </c>
      <c r="AS40" s="433"/>
      <c r="AT40" s="964"/>
      <c r="AU40" s="964"/>
      <c r="AV40" s="964"/>
    </row>
    <row r="41" spans="1:51" ht="47.25" customHeight="1" x14ac:dyDescent="0.25">
      <c r="A41" s="15">
        <v>1</v>
      </c>
      <c r="B41" s="15">
        <v>35</v>
      </c>
      <c r="C41" s="437"/>
      <c r="D41" s="437" t="str">
        <f t="shared" si="0"/>
        <v>2012</v>
      </c>
      <c r="E41" s="145" t="s">
        <v>2253</v>
      </c>
      <c r="F41" s="145" t="s">
        <v>3</v>
      </c>
      <c r="G41" s="133">
        <v>830095213</v>
      </c>
      <c r="H41" s="994" t="s">
        <v>456</v>
      </c>
      <c r="I41" s="146">
        <v>315000000</v>
      </c>
      <c r="J41" s="850" t="s">
        <v>4311</v>
      </c>
      <c r="K41" s="152">
        <v>2012</v>
      </c>
      <c r="L41" s="546" t="s">
        <v>1088</v>
      </c>
      <c r="M41" s="147">
        <v>41163</v>
      </c>
      <c r="N41" s="148">
        <v>41375</v>
      </c>
      <c r="O41" s="127">
        <f>COUNTA(Modificaciones!I41,Modificaciones!K41,Modificaciones!M41,Modificaciones!O41)</f>
        <v>0</v>
      </c>
      <c r="P41" s="128">
        <f>VLOOKUP(E41,Modificaciones!$B$7:$Q$300,16,0)</f>
        <v>0</v>
      </c>
      <c r="Q41" s="129">
        <f>COUNTA(Modificaciones!S41,Modificaciones!U41,Modificaciones!W41,Modificaciones!Y41)</f>
        <v>1</v>
      </c>
      <c r="R41" s="130" t="str">
        <f>IF(Modificaciones!Z41=0,"",VLOOKUP(E41,Modificaciones!$B$7:$AA$400,25,0))</f>
        <v>77 días</v>
      </c>
      <c r="S41" s="131">
        <f>IF(Modificaciones!AA41=0,"",VLOOKUP(E41,Modificaciones!$B$7:$AA$400,26,0))</f>
        <v>41452</v>
      </c>
      <c r="T41" s="7">
        <f t="shared" si="12"/>
        <v>41452</v>
      </c>
      <c r="U41" s="62">
        <f t="shared" si="2"/>
        <v>315000000</v>
      </c>
      <c r="V41" s="172">
        <f>VLOOKUP(E41,Modificaciones!$B$7:$AU$300,46,0)</f>
        <v>314473887</v>
      </c>
      <c r="W41" s="93">
        <f t="shared" si="3"/>
        <v>526113</v>
      </c>
      <c r="X41" s="309"/>
      <c r="Y41" s="42">
        <f t="shared" si="4"/>
        <v>0.99832980000000004</v>
      </c>
      <c r="Z41" s="42">
        <f t="shared" ca="1" si="5"/>
        <v>1</v>
      </c>
      <c r="AA41" s="43">
        <f t="shared" ca="1" si="6"/>
        <v>1.6701999999999551E-3</v>
      </c>
      <c r="AB41" s="202" t="str">
        <f t="shared" ca="1" si="7"/>
        <v/>
      </c>
      <c r="AC41" s="44" t="str">
        <f t="shared" si="8"/>
        <v>NO</v>
      </c>
      <c r="AD41" s="44"/>
      <c r="AE41" s="173" t="s">
        <v>1256</v>
      </c>
      <c r="AF41" s="173" t="s">
        <v>1139</v>
      </c>
      <c r="AG41" s="173" t="s">
        <v>1442</v>
      </c>
      <c r="AH41" s="281" t="s">
        <v>560</v>
      </c>
      <c r="AI41" s="174" t="s">
        <v>1319</v>
      </c>
      <c r="AJ41" s="181" t="s">
        <v>600</v>
      </c>
      <c r="AK41" s="181" t="str">
        <f t="shared" ca="1" si="9"/>
        <v>TERMINO</v>
      </c>
      <c r="AL41" s="181" t="s">
        <v>574</v>
      </c>
      <c r="AM41" s="176" t="s">
        <v>390</v>
      </c>
      <c r="AN41" s="848" t="str">
        <f>IFERROR(VLOOKUP(E41,'liquidaciones '!$B$2:$C$1048576,2,0),"NO")</f>
        <v>LIQUIDADO</v>
      </c>
      <c r="AO41" s="944">
        <f>IFERROR(VLOOKUP(E41,'liquidaciones '!$B$2:$I$1048576,8,0),"")</f>
        <v>0</v>
      </c>
      <c r="AP41" s="336">
        <v>42362</v>
      </c>
      <c r="AQ41" s="177" t="str">
        <f t="shared" ca="1" si="11"/>
        <v>NO</v>
      </c>
      <c r="AR41" s="177" t="s">
        <v>1571</v>
      </c>
      <c r="AS41" s="433"/>
      <c r="AT41" s="964"/>
      <c r="AU41" s="964"/>
      <c r="AV41" s="964"/>
    </row>
    <row r="42" spans="1:51" ht="47.25" customHeight="1" x14ac:dyDescent="0.25">
      <c r="A42" s="15">
        <v>3</v>
      </c>
      <c r="B42" s="15">
        <v>36</v>
      </c>
      <c r="C42" s="437"/>
      <c r="D42" s="437" t="str">
        <f t="shared" si="0"/>
        <v>2012</v>
      </c>
      <c r="E42" s="142" t="s">
        <v>106</v>
      </c>
      <c r="F42" s="132" t="s">
        <v>1011</v>
      </c>
      <c r="G42" s="133">
        <v>80089626</v>
      </c>
      <c r="H42" s="993" t="s">
        <v>457</v>
      </c>
      <c r="I42" s="134">
        <v>20565000</v>
      </c>
      <c r="J42" s="134" t="s">
        <v>1088</v>
      </c>
      <c r="K42" s="152">
        <v>2012</v>
      </c>
      <c r="L42" s="546" t="s">
        <v>1088</v>
      </c>
      <c r="M42" s="136">
        <v>41162</v>
      </c>
      <c r="N42" s="136">
        <v>41343</v>
      </c>
      <c r="O42" s="127">
        <f>COUNTA(Modificaciones!I42,Modificaciones!K42,Modificaciones!M42,Modificaciones!O42)</f>
        <v>0</v>
      </c>
      <c r="P42" s="128">
        <f>VLOOKUP(E42,Modificaciones!$B$7:$Q$300,16,0)</f>
        <v>0</v>
      </c>
      <c r="Q42" s="129">
        <f>COUNTA(Modificaciones!S42,Modificaciones!U42,Modificaciones!W42,Modificaciones!Y42)</f>
        <v>0</v>
      </c>
      <c r="R42" s="130" t="str">
        <f>IF(Modificaciones!Z42=0,"",VLOOKUP(E42,Modificaciones!$B$7:$AA$400,25,0))</f>
        <v/>
      </c>
      <c r="S42" s="131" t="str">
        <f>IF(Modificaciones!AA42=0,"",VLOOKUP(E42,Modificaciones!$B$7:$AA$400,26,0))</f>
        <v/>
      </c>
      <c r="T42" s="7">
        <f t="shared" si="12"/>
        <v>41343</v>
      </c>
      <c r="U42" s="62">
        <f t="shared" si="2"/>
        <v>20565000</v>
      </c>
      <c r="V42" s="172">
        <f>VLOOKUP(E42,Modificaciones!$B$7:$AU$300,46,0)</f>
        <v>20565000</v>
      </c>
      <c r="W42" s="93">
        <f t="shared" si="3"/>
        <v>0</v>
      </c>
      <c r="X42" s="309"/>
      <c r="Y42" s="42">
        <f t="shared" si="4"/>
        <v>1</v>
      </c>
      <c r="Z42" s="42">
        <f t="shared" ca="1" si="5"/>
        <v>1</v>
      </c>
      <c r="AA42" s="43">
        <f t="shared" ca="1" si="6"/>
        <v>0</v>
      </c>
      <c r="AB42" s="202" t="str">
        <f t="shared" ca="1" si="7"/>
        <v/>
      </c>
      <c r="AC42" s="44" t="str">
        <f t="shared" si="8"/>
        <v>SI</v>
      </c>
      <c r="AD42" s="44"/>
      <c r="AE42" s="173" t="s">
        <v>1257</v>
      </c>
      <c r="AF42" s="173" t="s">
        <v>1131</v>
      </c>
      <c r="AG42" s="173"/>
      <c r="AH42" s="281"/>
      <c r="AI42" s="174"/>
      <c r="AJ42" s="181" t="s">
        <v>600</v>
      </c>
      <c r="AK42" s="181" t="str">
        <f t="shared" ca="1" si="9"/>
        <v>TERMINO</v>
      </c>
      <c r="AL42" s="181" t="s">
        <v>582</v>
      </c>
      <c r="AM42" s="176" t="s">
        <v>391</v>
      </c>
      <c r="AN42" s="848" t="str">
        <f>IFERROR(VLOOKUP(E42,'liquidaciones '!$B$2:$C$1048576,2,0),"NO")</f>
        <v>NO</v>
      </c>
      <c r="AO42" s="944" t="str">
        <f>IFERROR(VLOOKUP(E42,'liquidaciones '!$B$2:$I$1048576,8,0),"")</f>
        <v/>
      </c>
      <c r="AP42" s="334">
        <v>41904</v>
      </c>
      <c r="AQ42" s="177" t="str">
        <f t="shared" ca="1" si="11"/>
        <v>NO</v>
      </c>
      <c r="AR42" s="177" t="s">
        <v>983</v>
      </c>
      <c r="AS42" s="433"/>
      <c r="AT42" s="964"/>
      <c r="AU42" s="964"/>
      <c r="AV42" s="964"/>
    </row>
    <row r="43" spans="1:51" ht="47.25" customHeight="1" x14ac:dyDescent="0.25">
      <c r="A43" s="15">
        <v>3</v>
      </c>
      <c r="B43" s="15">
        <v>37</v>
      </c>
      <c r="C43" s="437"/>
      <c r="D43" s="437" t="str">
        <f t="shared" si="0"/>
        <v>2012</v>
      </c>
      <c r="E43" s="142" t="s">
        <v>105</v>
      </c>
      <c r="F43" s="132" t="s">
        <v>1012</v>
      </c>
      <c r="G43" s="133">
        <v>52798119</v>
      </c>
      <c r="H43" s="993" t="s">
        <v>347</v>
      </c>
      <c r="I43" s="134">
        <v>6730000</v>
      </c>
      <c r="J43" s="134" t="s">
        <v>1088</v>
      </c>
      <c r="K43" s="152">
        <v>2012</v>
      </c>
      <c r="L43" s="546" t="s">
        <v>1088</v>
      </c>
      <c r="M43" s="136">
        <v>41193</v>
      </c>
      <c r="N43" s="136">
        <v>41254</v>
      </c>
      <c r="O43" s="127">
        <f>COUNTA(Modificaciones!I43,Modificaciones!K43,Modificaciones!M43,Modificaciones!O43)</f>
        <v>0</v>
      </c>
      <c r="P43" s="128">
        <f>VLOOKUP(E43,Modificaciones!$B$7:$Q$300,16,0)</f>
        <v>0</v>
      </c>
      <c r="Q43" s="129">
        <f>COUNTA(Modificaciones!S43,Modificaciones!U43,Modificaciones!W43,Modificaciones!Y43)</f>
        <v>1</v>
      </c>
      <c r="R43" s="130" t="str">
        <f>IF(Modificaciones!Z43=0,"",VLOOKUP(E43,Modificaciones!$B$7:$AA$400,25,0))</f>
        <v>9 días</v>
      </c>
      <c r="S43" s="131">
        <f>IF(Modificaciones!AA43=0,"",VLOOKUP(E43,Modificaciones!$B$7:$AA$400,26,0))</f>
        <v>41263</v>
      </c>
      <c r="T43" s="7">
        <f t="shared" si="12"/>
        <v>41263</v>
      </c>
      <c r="U43" s="62">
        <f t="shared" si="2"/>
        <v>6730000</v>
      </c>
      <c r="V43" s="172">
        <f>VLOOKUP(E43,Modificaciones!$B$7:$AU$300,46,0)</f>
        <v>6395000</v>
      </c>
      <c r="W43" s="93">
        <f t="shared" si="3"/>
        <v>335000</v>
      </c>
      <c r="X43" s="309"/>
      <c r="Y43" s="42">
        <f t="shared" si="4"/>
        <v>0.95022288261515597</v>
      </c>
      <c r="Z43" s="42">
        <f t="shared" ca="1" si="5"/>
        <v>1</v>
      </c>
      <c r="AA43" s="43">
        <f t="shared" ca="1" si="6"/>
        <v>4.9777117384844027E-2</v>
      </c>
      <c r="AB43" s="202" t="str">
        <f t="shared" ca="1" si="7"/>
        <v/>
      </c>
      <c r="AC43" s="44" t="str">
        <f t="shared" si="8"/>
        <v>NO</v>
      </c>
      <c r="AD43" s="44"/>
      <c r="AE43" s="173" t="s">
        <v>1256</v>
      </c>
      <c r="AF43" s="173" t="s">
        <v>1466</v>
      </c>
      <c r="AG43" s="173"/>
      <c r="AH43" s="281"/>
      <c r="AI43" s="174"/>
      <c r="AJ43" s="181" t="s">
        <v>600</v>
      </c>
      <c r="AK43" s="181" t="str">
        <f t="shared" ca="1" si="9"/>
        <v>TERMINO</v>
      </c>
      <c r="AL43" s="181" t="s">
        <v>576</v>
      </c>
      <c r="AM43" s="176" t="s">
        <v>390</v>
      </c>
      <c r="AN43" s="848" t="str">
        <f>IFERROR(VLOOKUP(E43,'liquidaciones '!$B$2:$C$1048576,2,0),"NO")</f>
        <v>NO</v>
      </c>
      <c r="AO43" s="944" t="str">
        <f>IFERROR(VLOOKUP(E43,'liquidaciones '!$B$2:$I$1048576,8,0),"")</f>
        <v/>
      </c>
      <c r="AP43" s="336"/>
      <c r="AQ43" s="177" t="str">
        <f t="shared" ca="1" si="11"/>
        <v>NO</v>
      </c>
      <c r="AR43" s="177" t="s">
        <v>983</v>
      </c>
      <c r="AS43" s="433"/>
      <c r="AT43" s="964"/>
      <c r="AU43" s="964"/>
      <c r="AV43" s="964"/>
    </row>
    <row r="44" spans="1:51" ht="47.25" customHeight="1" x14ac:dyDescent="0.25">
      <c r="A44" s="15">
        <v>3</v>
      </c>
      <c r="B44" s="15">
        <v>38</v>
      </c>
      <c r="C44" s="437"/>
      <c r="D44" s="437" t="str">
        <f t="shared" si="0"/>
        <v>2012</v>
      </c>
      <c r="E44" s="145" t="s">
        <v>17</v>
      </c>
      <c r="F44" s="145" t="s">
        <v>18</v>
      </c>
      <c r="G44" s="133">
        <v>79425541</v>
      </c>
      <c r="H44" s="994" t="s">
        <v>319</v>
      </c>
      <c r="I44" s="146">
        <v>23994880</v>
      </c>
      <c r="J44" s="850" t="s">
        <v>4305</v>
      </c>
      <c r="K44" s="152">
        <v>2012</v>
      </c>
      <c r="L44" s="546" t="s">
        <v>1088</v>
      </c>
      <c r="M44" s="149">
        <v>41205</v>
      </c>
      <c r="N44" s="150">
        <v>41387</v>
      </c>
      <c r="O44" s="127">
        <f>COUNTA(Modificaciones!I44,Modificaciones!K44,Modificaciones!M44,Modificaciones!O44)</f>
        <v>0</v>
      </c>
      <c r="P44" s="128">
        <f>VLOOKUP(E44,Modificaciones!$B$7:$Q$300,16,0)</f>
        <v>0</v>
      </c>
      <c r="Q44" s="129">
        <f>COUNTA(Modificaciones!S44,Modificaciones!U44,Modificaciones!W44,Modificaciones!Y44)</f>
        <v>0</v>
      </c>
      <c r="R44" s="130" t="str">
        <f>IF(Modificaciones!Z44=0,"",VLOOKUP(E44,Modificaciones!$B$7:$AA$400,25,0))</f>
        <v/>
      </c>
      <c r="S44" s="131" t="str">
        <f>IF(Modificaciones!AA44=0,"",VLOOKUP(E44,Modificaciones!$B$7:$AA$400,26,0))</f>
        <v/>
      </c>
      <c r="T44" s="7">
        <f t="shared" si="12"/>
        <v>41387</v>
      </c>
      <c r="U44" s="62">
        <f t="shared" si="2"/>
        <v>23994880</v>
      </c>
      <c r="V44" s="172">
        <f>VLOOKUP(E44,Modificaciones!$B$7:$AU$300,46,0)</f>
        <v>23994876</v>
      </c>
      <c r="W44" s="93">
        <f t="shared" si="3"/>
        <v>4</v>
      </c>
      <c r="X44" s="309"/>
      <c r="Y44" s="42">
        <f t="shared" si="4"/>
        <v>0.9999998332977702</v>
      </c>
      <c r="Z44" s="42">
        <f t="shared" ca="1" si="5"/>
        <v>1</v>
      </c>
      <c r="AA44" s="43">
        <f t="shared" ca="1" si="6"/>
        <v>1.66702229797977E-7</v>
      </c>
      <c r="AB44" s="202" t="str">
        <f t="shared" ca="1" si="7"/>
        <v/>
      </c>
      <c r="AC44" s="44" t="str">
        <f t="shared" si="8"/>
        <v>SI</v>
      </c>
      <c r="AD44" s="44"/>
      <c r="AE44" s="173" t="s">
        <v>1256</v>
      </c>
      <c r="AF44" s="173" t="s">
        <v>1131</v>
      </c>
      <c r="AG44" s="173"/>
      <c r="AH44" s="281"/>
      <c r="AI44" s="174"/>
      <c r="AJ44" s="181" t="s">
        <v>600</v>
      </c>
      <c r="AK44" s="181" t="str">
        <f t="shared" ca="1" si="9"/>
        <v>TERMINO</v>
      </c>
      <c r="AL44" s="181" t="s">
        <v>582</v>
      </c>
      <c r="AM44" s="176" t="s">
        <v>391</v>
      </c>
      <c r="AN44" s="848" t="str">
        <f>IFERROR(VLOOKUP(E44,'liquidaciones '!$B$2:$C$1048576,2,0),"NO")</f>
        <v>LIQUIDADO</v>
      </c>
      <c r="AO44" s="944">
        <f>IFERROR(VLOOKUP(E44,'liquidaciones '!$B$2:$I$1048576,8,0),"")</f>
        <v>0</v>
      </c>
      <c r="AP44" s="334">
        <v>41654</v>
      </c>
      <c r="AQ44" s="177" t="str">
        <f t="shared" ca="1" si="11"/>
        <v>NO</v>
      </c>
      <c r="AR44" s="177" t="s">
        <v>983</v>
      </c>
      <c r="AS44" s="433"/>
      <c r="AT44" s="964"/>
      <c r="AU44" s="964"/>
      <c r="AV44" s="964"/>
    </row>
    <row r="45" spans="1:51" ht="47.25" customHeight="1" x14ac:dyDescent="0.25">
      <c r="A45" s="15">
        <v>3</v>
      </c>
      <c r="B45" s="15">
        <v>39</v>
      </c>
      <c r="C45" s="437"/>
      <c r="D45" s="437" t="str">
        <f t="shared" si="0"/>
        <v>2012</v>
      </c>
      <c r="E45" s="132" t="s">
        <v>24</v>
      </c>
      <c r="F45" s="132" t="s">
        <v>1013</v>
      </c>
      <c r="G45" s="133">
        <v>5946865</v>
      </c>
      <c r="H45" s="993" t="s">
        <v>323</v>
      </c>
      <c r="I45" s="134">
        <v>38400000</v>
      </c>
      <c r="J45" s="134" t="s">
        <v>1088</v>
      </c>
      <c r="K45" s="152">
        <v>2012</v>
      </c>
      <c r="L45" s="546" t="s">
        <v>1088</v>
      </c>
      <c r="M45" s="136">
        <v>41187</v>
      </c>
      <c r="N45" s="136">
        <v>41369</v>
      </c>
      <c r="O45" s="127">
        <f>COUNTA(Modificaciones!I45,Modificaciones!K45,Modificaciones!M45,Modificaciones!O45)</f>
        <v>0</v>
      </c>
      <c r="P45" s="128">
        <f>VLOOKUP(E45,Modificaciones!$B$7:$Q$300,16,0)</f>
        <v>0</v>
      </c>
      <c r="Q45" s="129">
        <f>COUNTA(Modificaciones!S45,Modificaciones!U45,Modificaciones!W45,Modificaciones!Y45)</f>
        <v>0</v>
      </c>
      <c r="R45" s="130" t="str">
        <f>IF(Modificaciones!Z45=0,"",VLOOKUP(E45,Modificaciones!$B$7:$AA$400,25,0))</f>
        <v/>
      </c>
      <c r="S45" s="131" t="str">
        <f>IF(Modificaciones!AA45=0,"",VLOOKUP(E45,Modificaciones!$B$7:$AA$400,26,0))</f>
        <v/>
      </c>
      <c r="T45" s="7">
        <f t="shared" si="12"/>
        <v>41369</v>
      </c>
      <c r="U45" s="62">
        <f t="shared" si="2"/>
        <v>38400000</v>
      </c>
      <c r="V45" s="172">
        <f>VLOOKUP(E45,Modificaciones!$B$7:$AU$300,46,0)</f>
        <v>38400000</v>
      </c>
      <c r="W45" s="93">
        <f t="shared" si="3"/>
        <v>0</v>
      </c>
      <c r="X45" s="309"/>
      <c r="Y45" s="42">
        <f t="shared" si="4"/>
        <v>1</v>
      </c>
      <c r="Z45" s="42">
        <f t="shared" ca="1" si="5"/>
        <v>1</v>
      </c>
      <c r="AA45" s="43">
        <f t="shared" ca="1" si="6"/>
        <v>0</v>
      </c>
      <c r="AB45" s="202" t="str">
        <f t="shared" ca="1" si="7"/>
        <v/>
      </c>
      <c r="AC45" s="44" t="str">
        <f t="shared" si="8"/>
        <v>SI</v>
      </c>
      <c r="AD45" s="44"/>
      <c r="AE45" s="173" t="s">
        <v>1256</v>
      </c>
      <c r="AF45" s="173" t="s">
        <v>1131</v>
      </c>
      <c r="AG45" s="173"/>
      <c r="AH45" s="281"/>
      <c r="AI45" s="174"/>
      <c r="AJ45" s="181" t="s">
        <v>600</v>
      </c>
      <c r="AK45" s="181" t="str">
        <f t="shared" ca="1" si="9"/>
        <v>TERMINO</v>
      </c>
      <c r="AL45" s="181" t="s">
        <v>582</v>
      </c>
      <c r="AM45" s="176" t="s">
        <v>391</v>
      </c>
      <c r="AN45" s="848" t="str">
        <f>IFERROR(VLOOKUP(E45,'liquidaciones '!$B$2:$C$1048576,2,0),"NO")</f>
        <v>NO</v>
      </c>
      <c r="AO45" s="944" t="str">
        <f>IFERROR(VLOOKUP(E45,'liquidaciones '!$B$2:$I$1048576,8,0),"")</f>
        <v/>
      </c>
      <c r="AP45" s="334"/>
      <c r="AQ45" s="177" t="str">
        <f t="shared" ca="1" si="11"/>
        <v>NO</v>
      </c>
      <c r="AR45" s="177" t="s">
        <v>982</v>
      </c>
      <c r="AS45" s="433"/>
      <c r="AT45" s="964"/>
      <c r="AU45" s="964"/>
      <c r="AV45" s="964"/>
    </row>
    <row r="46" spans="1:51" ht="47.25" customHeight="1" x14ac:dyDescent="0.25">
      <c r="A46" s="15">
        <v>1</v>
      </c>
      <c r="B46" s="15">
        <v>40</v>
      </c>
      <c r="C46" s="437"/>
      <c r="D46" s="437" t="str">
        <f t="shared" si="0"/>
        <v>2012</v>
      </c>
      <c r="E46" s="144" t="s">
        <v>118</v>
      </c>
      <c r="F46" s="145" t="s">
        <v>1014</v>
      </c>
      <c r="G46" s="133">
        <v>900220190</v>
      </c>
      <c r="H46" s="994" t="s">
        <v>351</v>
      </c>
      <c r="I46" s="146">
        <v>3961330</v>
      </c>
      <c r="J46" s="134" t="s">
        <v>1088</v>
      </c>
      <c r="K46" s="152">
        <v>2012</v>
      </c>
      <c r="L46" s="546" t="s">
        <v>1088</v>
      </c>
      <c r="M46" s="147">
        <v>41246</v>
      </c>
      <c r="N46" s="148">
        <v>41308</v>
      </c>
      <c r="O46" s="127">
        <f>COUNTA(Modificaciones!I46,Modificaciones!K46,Modificaciones!M46,Modificaciones!O46)</f>
        <v>0</v>
      </c>
      <c r="P46" s="128">
        <f>VLOOKUP(E46,Modificaciones!$B$7:$Q$300,16,0)</f>
        <v>0</v>
      </c>
      <c r="Q46" s="129">
        <f>COUNTA(Modificaciones!S46,Modificaciones!U46,Modificaciones!W46,Modificaciones!Y46)</f>
        <v>0</v>
      </c>
      <c r="R46" s="130" t="str">
        <f>IF(Modificaciones!Z46=0,"",VLOOKUP(E46,Modificaciones!$B$7:$AA$400,25,0))</f>
        <v/>
      </c>
      <c r="S46" s="131" t="str">
        <f>IF(Modificaciones!AA46=0,"",VLOOKUP(E46,Modificaciones!$B$7:$AA$400,26,0))</f>
        <v/>
      </c>
      <c r="T46" s="7">
        <f t="shared" si="12"/>
        <v>41308</v>
      </c>
      <c r="U46" s="62">
        <f t="shared" si="2"/>
        <v>3961330</v>
      </c>
      <c r="V46" s="172">
        <f>VLOOKUP(E46,Modificaciones!$B$7:$AU$300,46,0)</f>
        <v>3961330</v>
      </c>
      <c r="W46" s="93">
        <f t="shared" si="3"/>
        <v>0</v>
      </c>
      <c r="X46" s="309"/>
      <c r="Y46" s="42">
        <f t="shared" si="4"/>
        <v>1</v>
      </c>
      <c r="Z46" s="42">
        <f t="shared" ca="1" si="5"/>
        <v>1</v>
      </c>
      <c r="AA46" s="43">
        <f t="shared" ca="1" si="6"/>
        <v>0</v>
      </c>
      <c r="AB46" s="202" t="str">
        <f t="shared" ca="1" si="7"/>
        <v/>
      </c>
      <c r="AC46" s="44" t="str">
        <f t="shared" si="8"/>
        <v>SI</v>
      </c>
      <c r="AD46" s="44"/>
      <c r="AE46" s="173" t="s">
        <v>1256</v>
      </c>
      <c r="AF46" s="173" t="s">
        <v>1302</v>
      </c>
      <c r="AG46" s="173"/>
      <c r="AH46" s="281"/>
      <c r="AI46" s="174"/>
      <c r="AJ46" s="181" t="s">
        <v>600</v>
      </c>
      <c r="AK46" s="181" t="str">
        <f t="shared" ca="1" si="9"/>
        <v>TERMINO</v>
      </c>
      <c r="AL46" s="181" t="s">
        <v>576</v>
      </c>
      <c r="AM46" s="176" t="s">
        <v>390</v>
      </c>
      <c r="AN46" s="848" t="str">
        <f>IFERROR(VLOOKUP(E46,'liquidaciones '!$B$2:$C$1048576,2,0),"NO")</f>
        <v>NO</v>
      </c>
      <c r="AO46" s="944" t="str">
        <f>IFERROR(VLOOKUP(E46,'liquidaciones '!$B$2:$I$1048576,8,0),"")</f>
        <v/>
      </c>
      <c r="AP46" s="336"/>
      <c r="AQ46" s="177" t="str">
        <f t="shared" ca="1" si="11"/>
        <v>NO</v>
      </c>
      <c r="AR46" s="177" t="s">
        <v>982</v>
      </c>
      <c r="AS46" s="433"/>
      <c r="AT46" s="964"/>
      <c r="AU46" s="964"/>
      <c r="AV46" s="964"/>
    </row>
    <row r="47" spans="1:51" ht="47.25" customHeight="1" x14ac:dyDescent="0.25">
      <c r="A47" s="15">
        <v>1</v>
      </c>
      <c r="B47" s="15">
        <v>41</v>
      </c>
      <c r="C47" s="437"/>
      <c r="D47" s="437" t="str">
        <f t="shared" si="0"/>
        <v>2012</v>
      </c>
      <c r="E47" s="142" t="s">
        <v>62</v>
      </c>
      <c r="F47" s="279" t="s">
        <v>1015</v>
      </c>
      <c r="G47" s="133">
        <v>900350416</v>
      </c>
      <c r="H47" s="993" t="s">
        <v>416</v>
      </c>
      <c r="I47" s="134">
        <v>24000000</v>
      </c>
      <c r="J47" s="850" t="s">
        <v>4316</v>
      </c>
      <c r="K47" s="152">
        <v>2012</v>
      </c>
      <c r="L47" s="546" t="s">
        <v>1088</v>
      </c>
      <c r="M47" s="136">
        <v>41270</v>
      </c>
      <c r="N47" s="136">
        <v>41452</v>
      </c>
      <c r="O47" s="127">
        <f>COUNTA(Modificaciones!I47,Modificaciones!K47,Modificaciones!M47,Modificaciones!O47)</f>
        <v>0</v>
      </c>
      <c r="P47" s="128">
        <f>VLOOKUP(E47,Modificaciones!$B$7:$Q$300,16,0)</f>
        <v>0</v>
      </c>
      <c r="Q47" s="129">
        <f>COUNTA(Modificaciones!S47,Modificaciones!U47,Modificaciones!W47,Modificaciones!Y47)</f>
        <v>0</v>
      </c>
      <c r="R47" s="130" t="str">
        <f>IF(Modificaciones!Z47=0,"",VLOOKUP(E47,Modificaciones!$B$7:$AA$400,25,0))</f>
        <v/>
      </c>
      <c r="S47" s="131" t="str">
        <f>IF(Modificaciones!AA47=0,"",VLOOKUP(E47,Modificaciones!$B$7:$AA$400,26,0))</f>
        <v/>
      </c>
      <c r="T47" s="7">
        <f t="shared" si="12"/>
        <v>41452</v>
      </c>
      <c r="U47" s="62">
        <f t="shared" si="2"/>
        <v>24000000</v>
      </c>
      <c r="V47" s="172">
        <f>VLOOKUP(E47,Modificaciones!$B$7:$AU$300,46,0)</f>
        <v>24000000</v>
      </c>
      <c r="W47" s="93">
        <f t="shared" si="3"/>
        <v>0</v>
      </c>
      <c r="X47" s="309"/>
      <c r="Y47" s="42">
        <f t="shared" si="4"/>
        <v>1</v>
      </c>
      <c r="Z47" s="42">
        <f t="shared" ca="1" si="5"/>
        <v>1</v>
      </c>
      <c r="AA47" s="43">
        <f t="shared" ca="1" si="6"/>
        <v>0</v>
      </c>
      <c r="AB47" s="202" t="str">
        <f t="shared" ca="1" si="7"/>
        <v/>
      </c>
      <c r="AC47" s="44" t="str">
        <f t="shared" si="8"/>
        <v>SI</v>
      </c>
      <c r="AD47" s="44"/>
      <c r="AE47" s="173" t="s">
        <v>1256</v>
      </c>
      <c r="AF47" s="173" t="s">
        <v>1283</v>
      </c>
      <c r="AG47" s="173"/>
      <c r="AH47" s="281"/>
      <c r="AI47" s="174"/>
      <c r="AJ47" s="181" t="s">
        <v>600</v>
      </c>
      <c r="AK47" s="181" t="str">
        <f t="shared" ca="1" si="9"/>
        <v>TERMINO</v>
      </c>
      <c r="AL47" s="181" t="s">
        <v>576</v>
      </c>
      <c r="AM47" s="176" t="s">
        <v>390</v>
      </c>
      <c r="AN47" s="848" t="str">
        <f>IFERROR(VLOOKUP(E47,'liquidaciones '!$B$2:$C$1048576,2,0),"NO")</f>
        <v>LIQUIDADO</v>
      </c>
      <c r="AO47" s="944">
        <f>IFERROR(VLOOKUP(E47,'liquidaciones '!$B$2:$I$1048576,8,0),"")</f>
        <v>0</v>
      </c>
      <c r="AP47" s="336">
        <v>42338</v>
      </c>
      <c r="AQ47" s="177" t="str">
        <f t="shared" ca="1" si="11"/>
        <v>NO</v>
      </c>
      <c r="AR47" s="177" t="s">
        <v>982</v>
      </c>
      <c r="AS47" s="433"/>
      <c r="AT47" s="964"/>
      <c r="AU47" s="964"/>
      <c r="AV47" s="964"/>
    </row>
    <row r="48" spans="1:51" ht="47.25" customHeight="1" x14ac:dyDescent="0.25">
      <c r="A48" s="15">
        <v>3</v>
      </c>
      <c r="B48" s="15">
        <v>42</v>
      </c>
      <c r="C48" s="437"/>
      <c r="D48" s="437" t="str">
        <f t="shared" si="0"/>
        <v>2012</v>
      </c>
      <c r="E48" s="132" t="s">
        <v>30</v>
      </c>
      <c r="F48" s="132" t="s">
        <v>31</v>
      </c>
      <c r="G48" s="133">
        <v>80725449</v>
      </c>
      <c r="H48" s="993" t="s">
        <v>325</v>
      </c>
      <c r="I48" s="134">
        <v>6000000</v>
      </c>
      <c r="J48" s="134" t="s">
        <v>1088</v>
      </c>
      <c r="K48" s="135">
        <v>2012</v>
      </c>
      <c r="L48" s="546" t="s">
        <v>1088</v>
      </c>
      <c r="M48" s="136">
        <v>41292</v>
      </c>
      <c r="N48" s="136">
        <v>41350</v>
      </c>
      <c r="O48" s="127">
        <f>COUNTA(Modificaciones!I48,Modificaciones!K48,Modificaciones!M48,Modificaciones!O48)</f>
        <v>0</v>
      </c>
      <c r="P48" s="128">
        <f>VLOOKUP(E48,Modificaciones!$B$7:$Q$300,16,0)</f>
        <v>0</v>
      </c>
      <c r="Q48" s="129">
        <f>COUNTA(Modificaciones!S48,Modificaciones!U48,Modificaciones!W48,Modificaciones!Y48)</f>
        <v>0</v>
      </c>
      <c r="R48" s="130" t="str">
        <f>IF(Modificaciones!Z48=0,"",VLOOKUP(E48,Modificaciones!$B$7:$AA$400,25,0))</f>
        <v/>
      </c>
      <c r="S48" s="131" t="str">
        <f>IF(Modificaciones!AA48=0,"",VLOOKUP(E48,Modificaciones!$B$7:$AA$400,26,0))</f>
        <v/>
      </c>
      <c r="T48" s="7">
        <f t="shared" si="12"/>
        <v>41350</v>
      </c>
      <c r="U48" s="62">
        <f t="shared" si="2"/>
        <v>6000000</v>
      </c>
      <c r="V48" s="172">
        <f>VLOOKUP(E48,Modificaciones!$B$7:$AU$300,46,0)</f>
        <v>6000000</v>
      </c>
      <c r="W48" s="93">
        <f t="shared" si="3"/>
        <v>0</v>
      </c>
      <c r="X48" s="309"/>
      <c r="Y48" s="42">
        <f t="shared" si="4"/>
        <v>1</v>
      </c>
      <c r="Z48" s="42">
        <f t="shared" ca="1" si="5"/>
        <v>1</v>
      </c>
      <c r="AA48" s="43">
        <f t="shared" ca="1" si="6"/>
        <v>0</v>
      </c>
      <c r="AB48" s="202" t="str">
        <f t="shared" ca="1" si="7"/>
        <v/>
      </c>
      <c r="AC48" s="44" t="str">
        <f t="shared" si="8"/>
        <v>SI</v>
      </c>
      <c r="AD48" s="44"/>
      <c r="AE48" s="173" t="s">
        <v>1256</v>
      </c>
      <c r="AF48" s="173" t="s">
        <v>1307</v>
      </c>
      <c r="AG48" s="173"/>
      <c r="AH48" s="281"/>
      <c r="AI48" s="174"/>
      <c r="AJ48" s="181" t="s">
        <v>600</v>
      </c>
      <c r="AK48" s="181" t="str">
        <f t="shared" ca="1" si="9"/>
        <v>TERMINO</v>
      </c>
      <c r="AL48" s="181" t="s">
        <v>582</v>
      </c>
      <c r="AM48" s="176" t="s">
        <v>391</v>
      </c>
      <c r="AN48" s="848" t="str">
        <f>IFERROR(VLOOKUP(E48,'liquidaciones '!$B$2:$C$1048576,2,0),"NO")</f>
        <v>NO</v>
      </c>
      <c r="AO48" s="944" t="str">
        <f>IFERROR(VLOOKUP(E48,'liquidaciones '!$B$2:$I$1048576,8,0),"")</f>
        <v/>
      </c>
      <c r="AP48" s="334"/>
      <c r="AQ48" s="177" t="str">
        <f t="shared" ca="1" si="11"/>
        <v>NO</v>
      </c>
      <c r="AR48" s="177" t="s">
        <v>1571</v>
      </c>
      <c r="AS48" s="433"/>
      <c r="AT48" s="964"/>
      <c r="AU48" s="964"/>
      <c r="AV48" s="964"/>
    </row>
    <row r="49" spans="1:48" ht="47.25" customHeight="1" x14ac:dyDescent="0.25">
      <c r="A49" s="15">
        <v>1</v>
      </c>
      <c r="B49" s="15">
        <v>43</v>
      </c>
      <c r="C49" s="437"/>
      <c r="D49" s="437" t="str">
        <f t="shared" si="0"/>
        <v>2012</v>
      </c>
      <c r="E49" s="132" t="s">
        <v>14</v>
      </c>
      <c r="F49" s="132" t="s">
        <v>15</v>
      </c>
      <c r="G49" s="143">
        <v>830067096</v>
      </c>
      <c r="H49" s="993" t="s">
        <v>317</v>
      </c>
      <c r="I49" s="134">
        <v>7740000</v>
      </c>
      <c r="J49" s="850" t="s">
        <v>4296</v>
      </c>
      <c r="K49" s="152">
        <v>2012</v>
      </c>
      <c r="L49" s="546" t="s">
        <v>1088</v>
      </c>
      <c r="M49" s="136">
        <v>41107</v>
      </c>
      <c r="N49" s="136">
        <v>41472</v>
      </c>
      <c r="O49" s="127">
        <f>COUNTA(Modificaciones!I49,Modificaciones!K49,Modificaciones!M49,Modificaciones!O49)</f>
        <v>0</v>
      </c>
      <c r="P49" s="128">
        <f>VLOOKUP(E49,Modificaciones!$B$7:$Q$300,16,0)</f>
        <v>0</v>
      </c>
      <c r="Q49" s="129">
        <f>COUNTA(Modificaciones!S49,Modificaciones!U49,Modificaciones!W49,Modificaciones!Y49)</f>
        <v>0</v>
      </c>
      <c r="R49" s="130" t="str">
        <f>IF(Modificaciones!Z49=0,"",VLOOKUP(E49,Modificaciones!$B$7:$AA$400,25,0))</f>
        <v/>
      </c>
      <c r="S49" s="131" t="str">
        <f>IF(Modificaciones!AA49=0,"",VLOOKUP(E49,Modificaciones!$B$7:$AA$400,26,0))</f>
        <v/>
      </c>
      <c r="T49" s="7">
        <f t="shared" si="12"/>
        <v>41472</v>
      </c>
      <c r="U49" s="62">
        <f t="shared" si="2"/>
        <v>7740000</v>
      </c>
      <c r="V49" s="172">
        <f>VLOOKUP(E49,Modificaciones!$B$7:$AU$300,46,0)</f>
        <v>7740000</v>
      </c>
      <c r="W49" s="93">
        <f t="shared" si="3"/>
        <v>0</v>
      </c>
      <c r="X49" s="309"/>
      <c r="Y49" s="42">
        <f t="shared" si="4"/>
        <v>1</v>
      </c>
      <c r="Z49" s="42">
        <f t="shared" ca="1" si="5"/>
        <v>1</v>
      </c>
      <c r="AA49" s="43">
        <f t="shared" ca="1" si="6"/>
        <v>0</v>
      </c>
      <c r="AB49" s="202" t="str">
        <f t="shared" ca="1" si="7"/>
        <v/>
      </c>
      <c r="AC49" s="44" t="str">
        <f t="shared" si="8"/>
        <v>SI</v>
      </c>
      <c r="AD49" s="44"/>
      <c r="AE49" s="173" t="s">
        <v>1256</v>
      </c>
      <c r="AF49" s="173" t="s">
        <v>1125</v>
      </c>
      <c r="AG49" s="173"/>
      <c r="AH49" s="281"/>
      <c r="AI49" s="174"/>
      <c r="AJ49" s="181" t="s">
        <v>600</v>
      </c>
      <c r="AK49" s="181" t="str">
        <f t="shared" ca="1" si="9"/>
        <v>TERMINO</v>
      </c>
      <c r="AL49" s="181" t="s">
        <v>582</v>
      </c>
      <c r="AM49" s="176" t="s">
        <v>390</v>
      </c>
      <c r="AN49" s="848" t="str">
        <f>IFERROR(VLOOKUP(E49,'liquidaciones '!$B$2:$C$1048576,2,0),"NO")</f>
        <v>LIQUIDADO</v>
      </c>
      <c r="AO49" s="944">
        <f>IFERROR(VLOOKUP(E49,'liquidaciones '!$B$2:$I$1048576,8,0),"")</f>
        <v>0</v>
      </c>
      <c r="AP49" s="334">
        <v>41653</v>
      </c>
      <c r="AQ49" s="177" t="str">
        <f t="shared" ca="1" si="11"/>
        <v>NO</v>
      </c>
      <c r="AR49" s="177" t="s">
        <v>1510</v>
      </c>
      <c r="AS49" s="433"/>
      <c r="AT49" s="964"/>
      <c r="AU49" s="964"/>
      <c r="AV49" s="964"/>
    </row>
    <row r="50" spans="1:48" ht="47.25" customHeight="1" x14ac:dyDescent="0.25">
      <c r="A50" s="15">
        <v>1</v>
      </c>
      <c r="B50" s="15">
        <v>44</v>
      </c>
      <c r="C50" s="437"/>
      <c r="D50" s="437" t="str">
        <f t="shared" si="0"/>
        <v>2012</v>
      </c>
      <c r="E50" s="145" t="s">
        <v>40</v>
      </c>
      <c r="F50" s="145" t="s">
        <v>41</v>
      </c>
      <c r="G50" s="143">
        <v>830034865</v>
      </c>
      <c r="H50" s="994" t="s">
        <v>458</v>
      </c>
      <c r="I50" s="146">
        <v>47000000</v>
      </c>
      <c r="J50" s="850" t="s">
        <v>4957</v>
      </c>
      <c r="K50" s="152">
        <v>2012</v>
      </c>
      <c r="L50" s="546" t="s">
        <v>1088</v>
      </c>
      <c r="M50" s="149">
        <v>41064</v>
      </c>
      <c r="N50" s="150">
        <v>41309</v>
      </c>
      <c r="O50" s="127">
        <f>COUNTA(Modificaciones!I50,Modificaciones!K50,Modificaciones!M50,Modificaciones!O50)</f>
        <v>0</v>
      </c>
      <c r="P50" s="128">
        <f>VLOOKUP(E50,Modificaciones!$B$7:$Q$300,16,0)</f>
        <v>0</v>
      </c>
      <c r="Q50" s="129">
        <f>COUNTA(Modificaciones!S50,Modificaciones!U50,Modificaciones!W50,Modificaciones!Y50)</f>
        <v>1</v>
      </c>
      <c r="R50" s="130" t="str">
        <f>IF(Modificaciones!Z50=0,"",VLOOKUP(E50,Modificaciones!$B$7:$AA$400,25,0))</f>
        <v>3 meses</v>
      </c>
      <c r="S50" s="131">
        <f>IF(Modificaciones!AA50=0,"",VLOOKUP(E50,Modificaciones!$B$7:$AA$400,26,0))</f>
        <v>41398</v>
      </c>
      <c r="T50" s="7">
        <f t="shared" si="12"/>
        <v>41398</v>
      </c>
      <c r="U50" s="62">
        <f t="shared" si="2"/>
        <v>47000000</v>
      </c>
      <c r="V50" s="172">
        <f>VLOOKUP(E50,Modificaciones!$B$7:$AU$300,46,0)</f>
        <v>41245000</v>
      </c>
      <c r="W50" s="93">
        <f t="shared" si="3"/>
        <v>5755000</v>
      </c>
      <c r="X50" s="309"/>
      <c r="Y50" s="42">
        <f t="shared" si="4"/>
        <v>0.87755319148936173</v>
      </c>
      <c r="Z50" s="42">
        <f t="shared" ca="1" si="5"/>
        <v>1</v>
      </c>
      <c r="AA50" s="43">
        <f t="shared" ca="1" si="6"/>
        <v>0.12244680851063827</v>
      </c>
      <c r="AB50" s="202" t="str">
        <f t="shared" ca="1" si="7"/>
        <v/>
      </c>
      <c r="AC50" s="44" t="str">
        <f t="shared" si="8"/>
        <v>NO</v>
      </c>
      <c r="AD50" s="44"/>
      <c r="AE50" s="173" t="s">
        <v>1256</v>
      </c>
      <c r="AF50" s="173" t="s">
        <v>1284</v>
      </c>
      <c r="AG50" s="173"/>
      <c r="AH50" s="281"/>
      <c r="AI50" s="174"/>
      <c r="AJ50" s="181" t="s">
        <v>1016</v>
      </c>
      <c r="AK50" s="181" t="str">
        <f t="shared" ca="1" si="9"/>
        <v>TERMINO</v>
      </c>
      <c r="AL50" s="181" t="s">
        <v>574</v>
      </c>
      <c r="AM50" s="176" t="s">
        <v>390</v>
      </c>
      <c r="AN50" s="848" t="str">
        <f>IFERROR(VLOOKUP(E50,'liquidaciones '!$B$2:$C$1048576,2,0),"NO")</f>
        <v>LIQUIDADO</v>
      </c>
      <c r="AO50" s="944">
        <f>IFERROR(VLOOKUP(E50,'liquidaciones '!$B$2:$I$1048576,8,0),"")</f>
        <v>0</v>
      </c>
      <c r="AP50" s="336">
        <v>41953</v>
      </c>
      <c r="AQ50" s="177" t="str">
        <f t="shared" ca="1" si="11"/>
        <v>NO</v>
      </c>
      <c r="AR50" s="177" t="s">
        <v>1165</v>
      </c>
      <c r="AS50" s="433"/>
      <c r="AT50" s="964"/>
      <c r="AU50" s="964"/>
      <c r="AV50" s="964"/>
    </row>
    <row r="51" spans="1:48" ht="47.25" customHeight="1" x14ac:dyDescent="0.25">
      <c r="A51" s="15">
        <v>1</v>
      </c>
      <c r="B51" s="15">
        <v>45</v>
      </c>
      <c r="C51" s="437"/>
      <c r="D51" s="437" t="str">
        <f t="shared" si="0"/>
        <v>2012</v>
      </c>
      <c r="E51" s="132" t="s">
        <v>72</v>
      </c>
      <c r="F51" s="132" t="s">
        <v>73</v>
      </c>
      <c r="G51" s="143">
        <v>830012587</v>
      </c>
      <c r="H51" s="993" t="s">
        <v>395</v>
      </c>
      <c r="I51" s="134">
        <v>950000000</v>
      </c>
      <c r="J51" s="850" t="s">
        <v>4304</v>
      </c>
      <c r="K51" s="152">
        <v>2012</v>
      </c>
      <c r="L51" s="546" t="s">
        <v>1088</v>
      </c>
      <c r="M51" s="138">
        <v>41053</v>
      </c>
      <c r="N51" s="138">
        <v>41388</v>
      </c>
      <c r="O51" s="127">
        <f>COUNTA(Modificaciones!I51,Modificaciones!K51,Modificaciones!M51,Modificaciones!O51)</f>
        <v>0</v>
      </c>
      <c r="P51" s="128">
        <f>VLOOKUP(E51,Modificaciones!$B$7:$Q$300,16,0)</f>
        <v>0</v>
      </c>
      <c r="Q51" s="129">
        <f>COUNTA(Modificaciones!S51,Modificaciones!U51,Modificaciones!W51,Modificaciones!Y51)</f>
        <v>1</v>
      </c>
      <c r="R51" s="130" t="str">
        <f>IF(Modificaciones!Z51=0,"",VLOOKUP(E51,Modificaciones!$B$7:$AA$400,25,0))</f>
        <v>12 días</v>
      </c>
      <c r="S51" s="131">
        <f>IF(Modificaciones!AA51=0,"",VLOOKUP(E51,Modificaciones!$B$7:$AA$400,26,0))</f>
        <v>41400</v>
      </c>
      <c r="T51" s="7">
        <f t="shared" si="12"/>
        <v>41400</v>
      </c>
      <c r="U51" s="62">
        <f t="shared" si="2"/>
        <v>950000000</v>
      </c>
      <c r="V51" s="172">
        <f>VLOOKUP(E51,Modificaciones!$B$7:$AU$300,46,0)</f>
        <v>950000000</v>
      </c>
      <c r="W51" s="93">
        <f t="shared" si="3"/>
        <v>0</v>
      </c>
      <c r="X51" s="309"/>
      <c r="Y51" s="42">
        <f t="shared" si="4"/>
        <v>1</v>
      </c>
      <c r="Z51" s="42">
        <f t="shared" ca="1" si="5"/>
        <v>1</v>
      </c>
      <c r="AA51" s="43">
        <f t="shared" ca="1" si="6"/>
        <v>0</v>
      </c>
      <c r="AB51" s="202" t="str">
        <f t="shared" ca="1" si="7"/>
        <v/>
      </c>
      <c r="AC51" s="44" t="str">
        <f t="shared" si="8"/>
        <v>SI</v>
      </c>
      <c r="AD51" s="44"/>
      <c r="AE51" s="173" t="s">
        <v>1256</v>
      </c>
      <c r="AF51" s="173" t="s">
        <v>1292</v>
      </c>
      <c r="AG51" s="173"/>
      <c r="AH51" s="281"/>
      <c r="AI51" s="174"/>
      <c r="AJ51" s="181" t="s">
        <v>600</v>
      </c>
      <c r="AK51" s="181" t="str">
        <f t="shared" ca="1" si="9"/>
        <v>TERMINO</v>
      </c>
      <c r="AL51" s="181" t="s">
        <v>582</v>
      </c>
      <c r="AM51" s="176" t="s">
        <v>390</v>
      </c>
      <c r="AN51" s="848" t="str">
        <f>IFERROR(VLOOKUP(E51,'liquidaciones '!$B$2:$C$1048576,2,0),"NO")</f>
        <v>LIQUIDADO</v>
      </c>
      <c r="AO51" s="944">
        <f>IFERROR(VLOOKUP(E51,'liquidaciones '!$B$2:$I$1048576,8,0),"")</f>
        <v>0</v>
      </c>
      <c r="AP51" s="334">
        <v>41565</v>
      </c>
      <c r="AQ51" s="177" t="str">
        <f t="shared" ca="1" si="11"/>
        <v>NO</v>
      </c>
      <c r="AR51" s="177" t="s">
        <v>982</v>
      </c>
      <c r="AS51" s="433"/>
      <c r="AT51" s="964"/>
      <c r="AU51" s="964"/>
      <c r="AV51" s="964"/>
    </row>
    <row r="52" spans="1:48" ht="47.25" customHeight="1" x14ac:dyDescent="0.25">
      <c r="A52" s="15">
        <v>2</v>
      </c>
      <c r="B52" s="15">
        <v>46</v>
      </c>
      <c r="C52" s="437"/>
      <c r="D52" s="437" t="str">
        <f t="shared" si="0"/>
        <v>2012</v>
      </c>
      <c r="E52" s="142" t="s">
        <v>153</v>
      </c>
      <c r="F52" s="132" t="s">
        <v>154</v>
      </c>
      <c r="G52" s="143">
        <v>900118932</v>
      </c>
      <c r="H52" s="993" t="s">
        <v>419</v>
      </c>
      <c r="I52" s="134">
        <v>27918648</v>
      </c>
      <c r="J52" s="134" t="s">
        <v>1088</v>
      </c>
      <c r="K52" s="152">
        <v>2012</v>
      </c>
      <c r="L52" s="546" t="s">
        <v>1088</v>
      </c>
      <c r="M52" s="138">
        <v>41081</v>
      </c>
      <c r="N52" s="138">
        <v>41132</v>
      </c>
      <c r="O52" s="127">
        <f>COUNTA(Modificaciones!I52,Modificaciones!K52,Modificaciones!M52,Modificaciones!O52)</f>
        <v>2</v>
      </c>
      <c r="P52" s="128">
        <f>VLOOKUP(E52,Modificaciones!$B$7:$Q$300,16,0)</f>
        <v>13786987</v>
      </c>
      <c r="Q52" s="129">
        <f>COUNTA(Modificaciones!S52,Modificaciones!U52,Modificaciones!W52,Modificaciones!Y52)</f>
        <v>2</v>
      </c>
      <c r="R52" s="130" t="str">
        <f>IF(Modificaciones!Z52=0,"",VLOOKUP(E52,Modificaciones!$B$7:$AA$400,25,0))</f>
        <v>1 mes y 20 días</v>
      </c>
      <c r="S52" s="131">
        <f>IF(Modificaciones!AA52=0,"",VLOOKUP(E52,Modificaciones!$B$7:$AA$400,26,0))</f>
        <v>41213</v>
      </c>
      <c r="T52" s="7">
        <f t="shared" si="12"/>
        <v>41213</v>
      </c>
      <c r="U52" s="62">
        <f t="shared" si="2"/>
        <v>41705635</v>
      </c>
      <c r="V52" s="172">
        <f>VLOOKUP(E52,Modificaciones!$B$7:$AU$300,46,0)</f>
        <v>41705635</v>
      </c>
      <c r="W52" s="93">
        <f t="shared" si="3"/>
        <v>0</v>
      </c>
      <c r="X52" s="309"/>
      <c r="Y52" s="42">
        <f t="shared" si="4"/>
        <v>1</v>
      </c>
      <c r="Z52" s="42">
        <f t="shared" ca="1" si="5"/>
        <v>1</v>
      </c>
      <c r="AA52" s="43">
        <f t="shared" ca="1" si="6"/>
        <v>0</v>
      </c>
      <c r="AB52" s="202" t="str">
        <f t="shared" ca="1" si="7"/>
        <v/>
      </c>
      <c r="AC52" s="44" t="str">
        <f t="shared" si="8"/>
        <v>SI</v>
      </c>
      <c r="AD52" s="44"/>
      <c r="AE52" s="173" t="s">
        <v>1256</v>
      </c>
      <c r="AF52" s="173" t="s">
        <v>1470</v>
      </c>
      <c r="AG52" s="173"/>
      <c r="AH52" s="281"/>
      <c r="AI52" s="174"/>
      <c r="AJ52" s="181" t="s">
        <v>600</v>
      </c>
      <c r="AK52" s="181" t="str">
        <f t="shared" ca="1" si="9"/>
        <v>TERMINO</v>
      </c>
      <c r="AL52" s="181" t="s">
        <v>576</v>
      </c>
      <c r="AM52" s="176" t="s">
        <v>390</v>
      </c>
      <c r="AN52" s="848" t="str">
        <f>IFERROR(VLOOKUP(E52,'liquidaciones '!$B$2:$C$1048576,2,0),"NO")</f>
        <v>NO</v>
      </c>
      <c r="AO52" s="944" t="str">
        <f>IFERROR(VLOOKUP(E52,'liquidaciones '!$B$2:$I$1048576,8,0),"")</f>
        <v/>
      </c>
      <c r="AP52" s="337"/>
      <c r="AQ52" s="177" t="str">
        <f t="shared" ca="1" si="11"/>
        <v>NO</v>
      </c>
      <c r="AR52" s="177" t="s">
        <v>1571</v>
      </c>
      <c r="AS52" s="433"/>
      <c r="AT52" s="964"/>
      <c r="AU52" s="964"/>
      <c r="AV52" s="964"/>
    </row>
    <row r="53" spans="1:48" ht="47.25" customHeight="1" x14ac:dyDescent="0.25">
      <c r="A53" s="15">
        <v>1</v>
      </c>
      <c r="B53" s="15">
        <v>47</v>
      </c>
      <c r="C53" s="437"/>
      <c r="D53" s="437" t="str">
        <f t="shared" si="0"/>
        <v>2012</v>
      </c>
      <c r="E53" s="145" t="s">
        <v>59</v>
      </c>
      <c r="F53" s="145" t="s">
        <v>60</v>
      </c>
      <c r="G53" s="143">
        <v>860009578</v>
      </c>
      <c r="H53" s="994" t="s">
        <v>336</v>
      </c>
      <c r="I53" s="146">
        <v>4100000</v>
      </c>
      <c r="J53" s="850" t="s">
        <v>4423</v>
      </c>
      <c r="K53" s="152">
        <v>2012</v>
      </c>
      <c r="L53" s="546" t="s">
        <v>1088</v>
      </c>
      <c r="M53" s="147">
        <v>41103</v>
      </c>
      <c r="N53" s="148">
        <v>41471</v>
      </c>
      <c r="O53" s="127">
        <f>COUNTA(Modificaciones!I53,Modificaciones!K53,Modificaciones!M53,Modificaciones!O53)</f>
        <v>0</v>
      </c>
      <c r="P53" s="128">
        <f>VLOOKUP(E53,Modificaciones!$B$7:$Q$300,16,0)</f>
        <v>0</v>
      </c>
      <c r="Q53" s="129">
        <f>COUNTA(Modificaciones!S53,Modificaciones!U53,Modificaciones!W53,Modificaciones!Y53)</f>
        <v>0</v>
      </c>
      <c r="R53" s="130" t="str">
        <f>IF(Modificaciones!Z53=0,"",VLOOKUP(E53,Modificaciones!$B$7:$AA$400,25,0))</f>
        <v/>
      </c>
      <c r="S53" s="131" t="str">
        <f>IF(Modificaciones!AA53=0,"",VLOOKUP(E53,Modificaciones!$B$7:$AA$400,26,0))</f>
        <v/>
      </c>
      <c r="T53" s="7">
        <f t="shared" si="12"/>
        <v>41471</v>
      </c>
      <c r="U53" s="62">
        <f t="shared" si="2"/>
        <v>4100000</v>
      </c>
      <c r="V53" s="172">
        <f>VLOOKUP(E53,Modificaciones!$B$7:$AU$300,46,0)</f>
        <v>3389600</v>
      </c>
      <c r="W53" s="93">
        <f t="shared" si="3"/>
        <v>710400</v>
      </c>
      <c r="X53" s="309"/>
      <c r="Y53" s="42">
        <f t="shared" si="4"/>
        <v>0.82673170731707313</v>
      </c>
      <c r="Z53" s="42">
        <f t="shared" ca="1" si="5"/>
        <v>1</v>
      </c>
      <c r="AA53" s="43">
        <f t="shared" ca="1" si="6"/>
        <v>0.17326829268292687</v>
      </c>
      <c r="AB53" s="202" t="str">
        <f t="shared" ca="1" si="7"/>
        <v/>
      </c>
      <c r="AC53" s="44" t="str">
        <f t="shared" si="8"/>
        <v>NO</v>
      </c>
      <c r="AD53" s="44"/>
      <c r="AE53" s="173" t="s">
        <v>1256</v>
      </c>
      <c r="AF53" s="173" t="s">
        <v>1512</v>
      </c>
      <c r="AG53" s="173"/>
      <c r="AH53" s="281"/>
      <c r="AI53" s="174"/>
      <c r="AJ53" s="181" t="s">
        <v>600</v>
      </c>
      <c r="AK53" s="181" t="str">
        <f t="shared" ca="1" si="9"/>
        <v>TERMINO</v>
      </c>
      <c r="AL53" s="181" t="s">
        <v>576</v>
      </c>
      <c r="AM53" s="176" t="s">
        <v>390</v>
      </c>
      <c r="AN53" s="848" t="str">
        <f>IFERROR(VLOOKUP(E53,'liquidaciones '!$B$2:$C$1048576,2,0),"NO")</f>
        <v>EN TRÁMITE</v>
      </c>
      <c r="AO53" s="944">
        <f>IFERROR(VLOOKUP(E53,'liquidaciones '!$B$2:$I$1048576,8,0),"")</f>
        <v>0</v>
      </c>
      <c r="AP53" s="336"/>
      <c r="AQ53" s="177" t="str">
        <f t="shared" ca="1" si="11"/>
        <v>NO</v>
      </c>
      <c r="AR53" s="177"/>
      <c r="AS53" s="433"/>
      <c r="AT53" s="964"/>
      <c r="AU53" s="964"/>
      <c r="AV53" s="964"/>
    </row>
    <row r="54" spans="1:48" ht="47.25" customHeight="1" x14ac:dyDescent="0.25">
      <c r="A54" s="15">
        <v>1</v>
      </c>
      <c r="B54" s="15">
        <v>48</v>
      </c>
      <c r="C54" s="437"/>
      <c r="D54" s="437" t="str">
        <f t="shared" si="0"/>
        <v>2012</v>
      </c>
      <c r="E54" s="132" t="s">
        <v>44</v>
      </c>
      <c r="F54" s="132" t="s">
        <v>1017</v>
      </c>
      <c r="G54" s="143">
        <v>900268429</v>
      </c>
      <c r="H54" s="993" t="s">
        <v>329</v>
      </c>
      <c r="I54" s="134">
        <v>8932201</v>
      </c>
      <c r="J54" s="134" t="s">
        <v>1088</v>
      </c>
      <c r="K54" s="152">
        <v>2012</v>
      </c>
      <c r="L54" s="546" t="s">
        <v>1088</v>
      </c>
      <c r="M54" s="136">
        <v>41151</v>
      </c>
      <c r="N54" s="136">
        <v>41424</v>
      </c>
      <c r="O54" s="127">
        <f>COUNTA(Modificaciones!I54,Modificaciones!K54,Modificaciones!M54,Modificaciones!O54)</f>
        <v>0</v>
      </c>
      <c r="P54" s="128">
        <f>VLOOKUP(E54,Modificaciones!$B$7:$Q$300,16,0)</f>
        <v>0</v>
      </c>
      <c r="Q54" s="129">
        <f>COUNTA(Modificaciones!S54,Modificaciones!U54,Modificaciones!W54,Modificaciones!Y54)</f>
        <v>1</v>
      </c>
      <c r="R54" s="130" t="str">
        <f>IF(Modificaciones!Z54=0,"",VLOOKUP(E54,Modificaciones!$B$7:$AA$400,25,0))</f>
        <v>4 meses</v>
      </c>
      <c r="S54" s="131">
        <f>IF(Modificaciones!AA54=0,"",VLOOKUP(E54,Modificaciones!$B$7:$AA$400,26,0))</f>
        <v>41547</v>
      </c>
      <c r="T54" s="7">
        <f t="shared" si="12"/>
        <v>41547</v>
      </c>
      <c r="U54" s="62">
        <f t="shared" si="2"/>
        <v>8932201</v>
      </c>
      <c r="V54" s="172">
        <f>VLOOKUP(E54,Modificaciones!$B$7:$AU$300,46,0)</f>
        <v>8906668</v>
      </c>
      <c r="W54" s="93">
        <f t="shared" si="3"/>
        <v>25533</v>
      </c>
      <c r="X54" s="309"/>
      <c r="Y54" s="42">
        <f t="shared" si="4"/>
        <v>0.99714146602836184</v>
      </c>
      <c r="Z54" s="42">
        <f t="shared" ca="1" si="5"/>
        <v>1</v>
      </c>
      <c r="AA54" s="43">
        <f t="shared" ca="1" si="6"/>
        <v>2.8585339716381553E-3</v>
      </c>
      <c r="AB54" s="202" t="str">
        <f t="shared" ca="1" si="7"/>
        <v/>
      </c>
      <c r="AC54" s="44" t="str">
        <f t="shared" si="8"/>
        <v>NO</v>
      </c>
      <c r="AD54" s="44"/>
      <c r="AE54" s="173" t="s">
        <v>1256</v>
      </c>
      <c r="AF54" s="173" t="s">
        <v>1285</v>
      </c>
      <c r="AG54" s="173"/>
      <c r="AH54" s="281"/>
      <c r="AI54" s="174"/>
      <c r="AJ54" s="181" t="s">
        <v>600</v>
      </c>
      <c r="AK54" s="181" t="str">
        <f t="shared" ca="1" si="9"/>
        <v>TERMINO</v>
      </c>
      <c r="AL54" s="181" t="s">
        <v>576</v>
      </c>
      <c r="AM54" s="176" t="s">
        <v>390</v>
      </c>
      <c r="AN54" s="848" t="str">
        <f>IFERROR(VLOOKUP(E54,'liquidaciones '!$B$2:$C$1048576,2,0),"NO")</f>
        <v>NO</v>
      </c>
      <c r="AO54" s="944" t="str">
        <f>IFERROR(VLOOKUP(E54,'liquidaciones '!$B$2:$I$1048576,8,0),"")</f>
        <v/>
      </c>
      <c r="AP54" s="336">
        <v>42160</v>
      </c>
      <c r="AQ54" s="177" t="str">
        <f t="shared" ca="1" si="11"/>
        <v>NO</v>
      </c>
      <c r="AR54" s="177" t="s">
        <v>1165</v>
      </c>
      <c r="AS54" s="433"/>
      <c r="AT54" s="964"/>
      <c r="AU54" s="964"/>
      <c r="AV54" s="964"/>
    </row>
    <row r="55" spans="1:48" ht="47.25" customHeight="1" x14ac:dyDescent="0.25">
      <c r="A55" s="15">
        <v>1</v>
      </c>
      <c r="B55" s="15">
        <v>49</v>
      </c>
      <c r="C55" s="437"/>
      <c r="D55" s="437" t="str">
        <f t="shared" si="0"/>
        <v>2012</v>
      </c>
      <c r="E55" s="145" t="s">
        <v>7</v>
      </c>
      <c r="F55" s="145" t="s">
        <v>8</v>
      </c>
      <c r="G55" s="143">
        <v>830006177</v>
      </c>
      <c r="H55" s="994" t="s">
        <v>314</v>
      </c>
      <c r="I55" s="146">
        <v>8545000</v>
      </c>
      <c r="J55" s="134" t="s">
        <v>1088</v>
      </c>
      <c r="K55" s="152">
        <v>2012</v>
      </c>
      <c r="L55" s="546" t="s">
        <v>1088</v>
      </c>
      <c r="M55" s="147">
        <v>41155</v>
      </c>
      <c r="N55" s="148">
        <v>41367</v>
      </c>
      <c r="O55" s="127">
        <f>COUNTA(Modificaciones!I55,Modificaciones!K55,Modificaciones!M55,Modificaciones!O55)</f>
        <v>0</v>
      </c>
      <c r="P55" s="128">
        <f>VLOOKUP(E55,Modificaciones!$B$7:$Q$300,16,0)</f>
        <v>0</v>
      </c>
      <c r="Q55" s="129">
        <f>COUNTA(Modificaciones!S55,Modificaciones!U55,Modificaciones!W55,Modificaciones!Y55)</f>
        <v>1</v>
      </c>
      <c r="R55" s="130" t="str">
        <f>IF(Modificaciones!Z55=0,"",VLOOKUP(E55,Modificaciones!$B$7:$AA$400,25,0))</f>
        <v>3 meses</v>
      </c>
      <c r="S55" s="131">
        <f>IF(Modificaciones!AA55=0,"",VLOOKUP(E55,Modificaciones!$B$7:$AA$400,26,0))</f>
        <v>41458</v>
      </c>
      <c r="T55" s="7">
        <f t="shared" si="12"/>
        <v>41458</v>
      </c>
      <c r="U55" s="62">
        <f t="shared" si="2"/>
        <v>8545000</v>
      </c>
      <c r="V55" s="172">
        <f>VLOOKUP(E55,Modificaciones!$B$7:$AU$300,46,0)</f>
        <v>4336000</v>
      </c>
      <c r="W55" s="93">
        <f t="shared" si="3"/>
        <v>4209000</v>
      </c>
      <c r="X55" s="309"/>
      <c r="Y55" s="42">
        <f t="shared" si="4"/>
        <v>0.50743124634289061</v>
      </c>
      <c r="Z55" s="42">
        <f t="shared" ca="1" si="5"/>
        <v>1</v>
      </c>
      <c r="AA55" s="43">
        <f t="shared" ca="1" si="6"/>
        <v>0.49256875365710939</v>
      </c>
      <c r="AB55" s="202" t="str">
        <f t="shared" ca="1" si="7"/>
        <v/>
      </c>
      <c r="AC55" s="44" t="str">
        <f t="shared" si="8"/>
        <v>NO</v>
      </c>
      <c r="AD55" s="44"/>
      <c r="AE55" s="173" t="s">
        <v>1256</v>
      </c>
      <c r="AF55" s="173" t="s">
        <v>1136</v>
      </c>
      <c r="AG55" s="173"/>
      <c r="AH55" s="281"/>
      <c r="AI55" s="174"/>
      <c r="AJ55" s="181" t="s">
        <v>600</v>
      </c>
      <c r="AK55" s="181" t="str">
        <f t="shared" ca="1" si="9"/>
        <v>TERMINO</v>
      </c>
      <c r="AL55" s="181" t="s">
        <v>576</v>
      </c>
      <c r="AM55" s="176" t="s">
        <v>390</v>
      </c>
      <c r="AN55" s="848" t="str">
        <f>IFERROR(VLOOKUP(E55,'liquidaciones '!$B$2:$C$1048576,2,0),"NO")</f>
        <v>LIQUIDADO</v>
      </c>
      <c r="AO55" s="944">
        <f>IFERROR(VLOOKUP(E55,'liquidaciones '!$B$2:$I$1048576,8,0),"")</f>
        <v>0</v>
      </c>
      <c r="AP55" s="336">
        <v>41971</v>
      </c>
      <c r="AQ55" s="177" t="str">
        <f t="shared" ca="1" si="11"/>
        <v>NO</v>
      </c>
      <c r="AR55" s="177" t="s">
        <v>982</v>
      </c>
      <c r="AS55" s="433"/>
      <c r="AT55" s="964"/>
      <c r="AU55" s="964"/>
      <c r="AV55" s="964"/>
    </row>
    <row r="56" spans="1:48" ht="47.25" customHeight="1" x14ac:dyDescent="0.25">
      <c r="A56" s="15">
        <v>1</v>
      </c>
      <c r="B56" s="15">
        <v>50</v>
      </c>
      <c r="C56" s="437"/>
      <c r="D56" s="437" t="str">
        <f t="shared" si="0"/>
        <v>2012</v>
      </c>
      <c r="E56" s="145" t="s">
        <v>6</v>
      </c>
      <c r="F56" s="145" t="s">
        <v>1018</v>
      </c>
      <c r="G56" s="143">
        <v>900548648</v>
      </c>
      <c r="H56" s="994" t="s">
        <v>541</v>
      </c>
      <c r="I56" s="134">
        <v>220839000</v>
      </c>
      <c r="J56" s="134" t="s">
        <v>1088</v>
      </c>
      <c r="K56" s="135">
        <v>2012</v>
      </c>
      <c r="L56" s="546" t="s">
        <v>1088</v>
      </c>
      <c r="M56" s="136">
        <v>41172</v>
      </c>
      <c r="N56" s="136">
        <v>41384</v>
      </c>
      <c r="O56" s="127">
        <f>COUNTA(Modificaciones!I56,Modificaciones!K56,Modificaciones!M56,Modificaciones!O56)</f>
        <v>1</v>
      </c>
      <c r="P56" s="128">
        <f>VLOOKUP(E56,Modificaciones!$B$7:$Q$300,16,0)</f>
        <v>21739353</v>
      </c>
      <c r="Q56" s="129">
        <f>COUNTA(Modificaciones!S56,Modificaciones!U56,Modificaciones!W56,Modificaciones!Y56)</f>
        <v>1</v>
      </c>
      <c r="R56" s="130" t="str">
        <f>IF(Modificaciones!Z56=0,"",VLOOKUP(E56,Modificaciones!$B$7:$AA$400,25,0))</f>
        <v>2 meses</v>
      </c>
      <c r="S56" s="131">
        <f>IF(Modificaciones!AA56=0,"",VLOOKUP(E56,Modificaciones!$B$7:$AA$400,26,0))</f>
        <v>41445</v>
      </c>
      <c r="T56" s="7">
        <f t="shared" si="12"/>
        <v>41445</v>
      </c>
      <c r="U56" s="62">
        <f t="shared" si="2"/>
        <v>242578353</v>
      </c>
      <c r="V56" s="172">
        <f>VLOOKUP(E56,Modificaciones!$B$7:$AU$300,46,0)</f>
        <v>218264339</v>
      </c>
      <c r="W56" s="93">
        <f t="shared" si="3"/>
        <v>24314014</v>
      </c>
      <c r="X56" s="309"/>
      <c r="Y56" s="42">
        <f t="shared" si="4"/>
        <v>0.89976841008562702</v>
      </c>
      <c r="Z56" s="42">
        <f t="shared" ca="1" si="5"/>
        <v>1</v>
      </c>
      <c r="AA56" s="43">
        <f t="shared" ca="1" si="6"/>
        <v>0.10023158991437298</v>
      </c>
      <c r="AB56" s="202" t="str">
        <f t="shared" ca="1" si="7"/>
        <v/>
      </c>
      <c r="AC56" s="44" t="str">
        <f t="shared" si="8"/>
        <v>NO</v>
      </c>
      <c r="AD56" s="44"/>
      <c r="AE56" s="173" t="s">
        <v>1256</v>
      </c>
      <c r="AF56" s="173" t="s">
        <v>1138</v>
      </c>
      <c r="AG56" s="173" t="s">
        <v>1442</v>
      </c>
      <c r="AH56" s="281" t="s">
        <v>560</v>
      </c>
      <c r="AI56" s="174" t="s">
        <v>1379</v>
      </c>
      <c r="AJ56" s="181" t="s">
        <v>600</v>
      </c>
      <c r="AK56" s="181" t="str">
        <f t="shared" ca="1" si="9"/>
        <v>TERMINO</v>
      </c>
      <c r="AL56" s="181" t="s">
        <v>921</v>
      </c>
      <c r="AM56" s="176" t="s">
        <v>390</v>
      </c>
      <c r="AN56" s="848" t="str">
        <f>IFERROR(VLOOKUP(E56,'liquidaciones '!$B$2:$C$1048576,2,0),"NO")</f>
        <v>NO</v>
      </c>
      <c r="AO56" s="944" t="str">
        <f>IFERROR(VLOOKUP(E56,'liquidaciones '!$B$2:$I$1048576,8,0),"")</f>
        <v/>
      </c>
      <c r="AP56" s="336"/>
      <c r="AQ56" s="177" t="str">
        <f t="shared" ca="1" si="11"/>
        <v>NO</v>
      </c>
      <c r="AR56" s="177" t="s">
        <v>1571</v>
      </c>
      <c r="AS56" s="433"/>
      <c r="AT56" s="964"/>
      <c r="AU56" s="964"/>
      <c r="AV56" s="964"/>
    </row>
    <row r="57" spans="1:48" ht="47.25" customHeight="1" x14ac:dyDescent="0.25">
      <c r="A57" s="15">
        <v>3</v>
      </c>
      <c r="B57" s="398">
        <v>51</v>
      </c>
      <c r="C57" s="439"/>
      <c r="D57" s="437" t="str">
        <f t="shared" si="0"/>
        <v>2012</v>
      </c>
      <c r="E57" s="145" t="s">
        <v>35</v>
      </c>
      <c r="F57" s="145" t="s">
        <v>36</v>
      </c>
      <c r="G57" s="143">
        <v>79661783</v>
      </c>
      <c r="H57" s="994" t="s">
        <v>326</v>
      </c>
      <c r="I57" s="146">
        <v>4493000</v>
      </c>
      <c r="J57" s="134" t="s">
        <v>1088</v>
      </c>
      <c r="K57" s="152">
        <v>2012</v>
      </c>
      <c r="L57" s="546" t="s">
        <v>1088</v>
      </c>
      <c r="M57" s="147">
        <v>41172</v>
      </c>
      <c r="N57" s="148">
        <v>41353</v>
      </c>
      <c r="O57" s="127">
        <f>COUNTA(Modificaciones!I57,Modificaciones!K57,Modificaciones!M57,Modificaciones!O57)</f>
        <v>0</v>
      </c>
      <c r="P57" s="128">
        <f>VLOOKUP(E57,Modificaciones!$B$7:$Q$300,16,0)</f>
        <v>0</v>
      </c>
      <c r="Q57" s="129">
        <f>COUNTA(Modificaciones!S57,Modificaciones!U57,Modificaciones!W57,Modificaciones!Y57)</f>
        <v>1</v>
      </c>
      <c r="R57" s="130" t="str">
        <f>IF(Modificaciones!Z57=0,"",VLOOKUP(E57,Modificaciones!$B$7:$AA$400,25,0))</f>
        <v>2 meses</v>
      </c>
      <c r="S57" s="131">
        <f>IF(Modificaciones!AA57=0,"",VLOOKUP(E57,Modificaciones!$B$7:$AA$400,26,0))</f>
        <v>41414</v>
      </c>
      <c r="T57" s="7">
        <f t="shared" si="12"/>
        <v>41414</v>
      </c>
      <c r="U57" s="62">
        <f t="shared" si="2"/>
        <v>4493000</v>
      </c>
      <c r="V57" s="172">
        <f>VLOOKUP(E57,Modificaciones!$B$7:$AU$300,46,0)</f>
        <v>3309000</v>
      </c>
      <c r="W57" s="93">
        <f t="shared" si="3"/>
        <v>1184000</v>
      </c>
      <c r="X57" s="309"/>
      <c r="Y57" s="42">
        <f t="shared" si="4"/>
        <v>0.73647896728243933</v>
      </c>
      <c r="Z57" s="42">
        <f t="shared" ca="1" si="5"/>
        <v>1</v>
      </c>
      <c r="AA57" s="43">
        <f t="shared" ca="1" si="6"/>
        <v>0.26352103271756067</v>
      </c>
      <c r="AB57" s="202" t="str">
        <f t="shared" ca="1" si="7"/>
        <v/>
      </c>
      <c r="AC57" s="44" t="str">
        <f t="shared" si="8"/>
        <v>NO</v>
      </c>
      <c r="AD57" s="44"/>
      <c r="AE57" s="173" t="s">
        <v>1256</v>
      </c>
      <c r="AF57" s="173" t="s">
        <v>1299</v>
      </c>
      <c r="AG57" s="173" t="s">
        <v>1440</v>
      </c>
      <c r="AH57" s="281" t="s">
        <v>562</v>
      </c>
      <c r="AI57" s="305" t="s">
        <v>1473</v>
      </c>
      <c r="AJ57" s="181" t="s">
        <v>600</v>
      </c>
      <c r="AK57" s="181" t="str">
        <f t="shared" ca="1" si="9"/>
        <v>TERMINO</v>
      </c>
      <c r="AL57" s="181" t="s">
        <v>576</v>
      </c>
      <c r="AM57" s="176" t="s">
        <v>390</v>
      </c>
      <c r="AN57" s="848" t="str">
        <f>IFERROR(VLOOKUP(E57,'liquidaciones '!$B$2:$C$1048576,2,0),"NO")</f>
        <v>LIQUIDADO</v>
      </c>
      <c r="AO57" s="944">
        <f>IFERROR(VLOOKUP(E57,'liquidaciones '!$B$2:$I$1048576,8,0),"")</f>
        <v>0</v>
      </c>
      <c r="AP57" s="336">
        <v>42023</v>
      </c>
      <c r="AQ57" s="177" t="str">
        <f t="shared" ca="1" si="11"/>
        <v>NO</v>
      </c>
      <c r="AR57" s="177" t="s">
        <v>983</v>
      </c>
      <c r="AS57" s="433"/>
      <c r="AT57" s="964"/>
      <c r="AU57" s="964"/>
      <c r="AV57" s="964"/>
    </row>
    <row r="58" spans="1:48" ht="47.25" customHeight="1" x14ac:dyDescent="0.25">
      <c r="A58" s="15">
        <v>1</v>
      </c>
      <c r="B58" s="15">
        <v>52</v>
      </c>
      <c r="C58" s="437"/>
      <c r="D58" s="437" t="str">
        <f t="shared" si="0"/>
        <v>2012</v>
      </c>
      <c r="E58" s="145" t="s">
        <v>37</v>
      </c>
      <c r="F58" s="145" t="s">
        <v>38</v>
      </c>
      <c r="G58" s="143">
        <v>830053669</v>
      </c>
      <c r="H58" s="994" t="s">
        <v>327</v>
      </c>
      <c r="I58" s="146">
        <v>22726000</v>
      </c>
      <c r="J58" s="134" t="s">
        <v>1088</v>
      </c>
      <c r="K58" s="152">
        <v>2012</v>
      </c>
      <c r="L58" s="546" t="s">
        <v>1088</v>
      </c>
      <c r="M58" s="147">
        <v>41163</v>
      </c>
      <c r="N58" s="148">
        <v>41375</v>
      </c>
      <c r="O58" s="127">
        <f>COUNTA(Modificaciones!I58,Modificaciones!K58,Modificaciones!M58,Modificaciones!O58)</f>
        <v>1</v>
      </c>
      <c r="P58" s="128">
        <f>VLOOKUP(E58,Modificaciones!$B$7:$Q$300,16,0)</f>
        <v>2000000</v>
      </c>
      <c r="Q58" s="129">
        <f>COUNTA(Modificaciones!S58,Modificaciones!U58,Modificaciones!W58,Modificaciones!Y58)</f>
        <v>1</v>
      </c>
      <c r="R58" s="130" t="str">
        <f>IF(Modificaciones!Z58=0,"",VLOOKUP(E58,Modificaciones!$B$7:$AA$400,25,0))</f>
        <v>1 mes y 20 días</v>
      </c>
      <c r="S58" s="131">
        <f>IF(Modificaciones!AA58=0,"",VLOOKUP(E58,Modificaciones!$B$7:$AA$400,26,0))</f>
        <v>41425</v>
      </c>
      <c r="T58" s="7">
        <f t="shared" si="12"/>
        <v>41425</v>
      </c>
      <c r="U58" s="62">
        <f t="shared" si="2"/>
        <v>24726000</v>
      </c>
      <c r="V58" s="172">
        <f>VLOOKUP(E58,Modificaciones!$B$7:$AU$300,46,0)</f>
        <v>24725958</v>
      </c>
      <c r="W58" s="93">
        <f t="shared" si="3"/>
        <v>42</v>
      </c>
      <c r="X58" s="309"/>
      <c r="Y58" s="42">
        <f t="shared" si="4"/>
        <v>0.99999830138315948</v>
      </c>
      <c r="Z58" s="42">
        <f t="shared" ca="1" si="5"/>
        <v>1</v>
      </c>
      <c r="AA58" s="43">
        <f t="shared" ca="1" si="6"/>
        <v>1.6986168405175306E-6</v>
      </c>
      <c r="AB58" s="202" t="str">
        <f t="shared" ca="1" si="7"/>
        <v/>
      </c>
      <c r="AC58" s="44" t="str">
        <f t="shared" si="8"/>
        <v>SI</v>
      </c>
      <c r="AD58" s="44"/>
      <c r="AE58" s="173" t="s">
        <v>1256</v>
      </c>
      <c r="AF58" s="173" t="s">
        <v>1140</v>
      </c>
      <c r="AG58" s="173" t="s">
        <v>1442</v>
      </c>
      <c r="AH58" s="281" t="s">
        <v>560</v>
      </c>
      <c r="AI58" s="174"/>
      <c r="AJ58" s="181" t="s">
        <v>600</v>
      </c>
      <c r="AK58" s="181" t="str">
        <f t="shared" ca="1" si="9"/>
        <v>TERMINO</v>
      </c>
      <c r="AL58" s="175" t="s">
        <v>575</v>
      </c>
      <c r="AM58" s="176" t="s">
        <v>390</v>
      </c>
      <c r="AN58" s="848" t="str">
        <f>IFERROR(VLOOKUP(E58,'liquidaciones '!$B$2:$C$1048576,2,0),"NO")</f>
        <v>LIQUIDADO</v>
      </c>
      <c r="AO58" s="944">
        <f>IFERROR(VLOOKUP(E58,'liquidaciones '!$B$2:$I$1048576,8,0),"")</f>
        <v>0</v>
      </c>
      <c r="AP58" s="336">
        <v>41977</v>
      </c>
      <c r="AQ58" s="177" t="str">
        <f t="shared" ca="1" si="11"/>
        <v>NO</v>
      </c>
      <c r="AR58" s="177" t="s">
        <v>1165</v>
      </c>
      <c r="AS58" s="433"/>
      <c r="AT58" s="964"/>
      <c r="AU58" s="964"/>
      <c r="AV58" s="964"/>
    </row>
    <row r="59" spans="1:48" ht="47.25" customHeight="1" x14ac:dyDescent="0.25">
      <c r="A59" s="15">
        <v>1</v>
      </c>
      <c r="B59" s="15">
        <v>53</v>
      </c>
      <c r="C59" s="437"/>
      <c r="D59" s="437" t="str">
        <f t="shared" si="0"/>
        <v>2012</v>
      </c>
      <c r="E59" s="145" t="s">
        <v>9</v>
      </c>
      <c r="F59" s="145" t="s">
        <v>1019</v>
      </c>
      <c r="G59" s="143">
        <v>900552779</v>
      </c>
      <c r="H59" s="994" t="s">
        <v>315</v>
      </c>
      <c r="I59" s="146">
        <v>19116000</v>
      </c>
      <c r="J59" s="850" t="s">
        <v>4953</v>
      </c>
      <c r="K59" s="152">
        <v>2012</v>
      </c>
      <c r="L59" s="546" t="s">
        <v>1088</v>
      </c>
      <c r="M59" s="149">
        <v>41176</v>
      </c>
      <c r="N59" s="150">
        <v>41388</v>
      </c>
      <c r="O59" s="127">
        <f>COUNTA(Modificaciones!I59,Modificaciones!K59,Modificaciones!M59,Modificaciones!O59)</f>
        <v>1</v>
      </c>
      <c r="P59" s="128">
        <f>VLOOKUP(E59,Modificaciones!$B$7:$Q$300,16,0)</f>
        <v>1807575</v>
      </c>
      <c r="Q59" s="129">
        <f>COUNTA(Modificaciones!S59,Modificaciones!U59,Modificaciones!W59,Modificaciones!Y59)</f>
        <v>1</v>
      </c>
      <c r="R59" s="130" t="str">
        <f>IF(Modificaciones!Z59=0,"",VLOOKUP(E59,Modificaciones!$B$7:$AA$400,25,0))</f>
        <v>21 días calendario</v>
      </c>
      <c r="S59" s="131">
        <f>IF(Modificaciones!AA59=0,"",VLOOKUP(E59,Modificaciones!$B$7:$AA$400,26,0))</f>
        <v>41409</v>
      </c>
      <c r="T59" s="7">
        <f t="shared" si="12"/>
        <v>41409</v>
      </c>
      <c r="U59" s="62">
        <f t="shared" si="2"/>
        <v>20923575</v>
      </c>
      <c r="V59" s="172">
        <f>VLOOKUP(E59,Modificaciones!$B$7:$AU$300,46,0)</f>
        <v>19912200</v>
      </c>
      <c r="W59" s="93">
        <f t="shared" si="3"/>
        <v>1011375</v>
      </c>
      <c r="X59" s="309"/>
      <c r="Y59" s="42">
        <f t="shared" si="4"/>
        <v>0.95166337492517417</v>
      </c>
      <c r="Z59" s="42">
        <f t="shared" ca="1" si="5"/>
        <v>1</v>
      </c>
      <c r="AA59" s="43">
        <f t="shared" ca="1" si="6"/>
        <v>4.8336625074825834E-2</v>
      </c>
      <c r="AB59" s="202" t="str">
        <f t="shared" ca="1" si="7"/>
        <v/>
      </c>
      <c r="AC59" s="44" t="str">
        <f t="shared" si="8"/>
        <v>NO</v>
      </c>
      <c r="AD59" s="44"/>
      <c r="AE59" s="173" t="s">
        <v>1256</v>
      </c>
      <c r="AF59" s="173" t="s">
        <v>1137</v>
      </c>
      <c r="AG59" s="173" t="s">
        <v>1436</v>
      </c>
      <c r="AH59" s="281" t="s">
        <v>562</v>
      </c>
      <c r="AI59" s="174"/>
      <c r="AJ59" s="181" t="s">
        <v>600</v>
      </c>
      <c r="AK59" s="181" t="str">
        <f t="shared" ca="1" si="9"/>
        <v>TERMINO</v>
      </c>
      <c r="AL59" s="181" t="s">
        <v>574</v>
      </c>
      <c r="AM59" s="176" t="s">
        <v>390</v>
      </c>
      <c r="AN59" s="848" t="str">
        <f>IFERROR(VLOOKUP(E59,'liquidaciones '!$B$2:$C$1048576,2,0),"NO")</f>
        <v>LIQUIDADO</v>
      </c>
      <c r="AO59" s="944">
        <f>IFERROR(VLOOKUP(E59,'liquidaciones '!$B$2:$I$1048576,8,0),"")</f>
        <v>0</v>
      </c>
      <c r="AP59" s="336">
        <v>42306</v>
      </c>
      <c r="AQ59" s="177" t="str">
        <f t="shared" ca="1" si="11"/>
        <v>NO</v>
      </c>
      <c r="AR59" s="177" t="s">
        <v>1165</v>
      </c>
      <c r="AS59" s="433"/>
      <c r="AT59" s="964"/>
      <c r="AU59" s="964"/>
      <c r="AV59" s="964"/>
    </row>
    <row r="60" spans="1:48" ht="47.25" customHeight="1" x14ac:dyDescent="0.25">
      <c r="A60" s="15">
        <v>1</v>
      </c>
      <c r="B60" s="15">
        <v>54</v>
      </c>
      <c r="C60" s="437"/>
      <c r="D60" s="437" t="str">
        <f t="shared" si="0"/>
        <v>2012</v>
      </c>
      <c r="E60" s="132" t="s">
        <v>63</v>
      </c>
      <c r="F60" s="132" t="s">
        <v>64</v>
      </c>
      <c r="G60" s="143">
        <v>830143378</v>
      </c>
      <c r="H60" s="993" t="s">
        <v>337</v>
      </c>
      <c r="I60" s="134">
        <v>282073266</v>
      </c>
      <c r="J60" s="134" t="s">
        <v>1088</v>
      </c>
      <c r="K60" s="152">
        <v>2012</v>
      </c>
      <c r="L60" s="546" t="s">
        <v>1088</v>
      </c>
      <c r="M60" s="136">
        <v>41198</v>
      </c>
      <c r="N60" s="136">
        <v>41441</v>
      </c>
      <c r="O60" s="127">
        <f>COUNTA(Modificaciones!I60,Modificaciones!K60,Modificaciones!M60,Modificaciones!O60)</f>
        <v>0</v>
      </c>
      <c r="P60" s="128">
        <f>VLOOKUP(E60,Modificaciones!$B$7:$Q$300,16,0)</f>
        <v>0</v>
      </c>
      <c r="Q60" s="129">
        <f>COUNTA(Modificaciones!S60,Modificaciones!U60,Modificaciones!W60,Modificaciones!Y60)</f>
        <v>0</v>
      </c>
      <c r="R60" s="130" t="str">
        <f>IF(Modificaciones!Z60=0,"",VLOOKUP(E60,Modificaciones!$B$7:$AA$400,25,0))</f>
        <v/>
      </c>
      <c r="S60" s="131" t="str">
        <f>IF(Modificaciones!AA60=0,"",VLOOKUP(E60,Modificaciones!$B$7:$AA$400,26,0))</f>
        <v/>
      </c>
      <c r="T60" s="7">
        <f t="shared" si="12"/>
        <v>41441</v>
      </c>
      <c r="U60" s="62">
        <f t="shared" si="2"/>
        <v>282073266</v>
      </c>
      <c r="V60" s="172">
        <f>VLOOKUP(E60,Modificaciones!$B$7:$AU$300,46,0)</f>
        <v>282073266</v>
      </c>
      <c r="W60" s="93">
        <f t="shared" si="3"/>
        <v>0</v>
      </c>
      <c r="X60" s="309"/>
      <c r="Y60" s="42">
        <f t="shared" si="4"/>
        <v>1</v>
      </c>
      <c r="Z60" s="42">
        <f t="shared" ca="1" si="5"/>
        <v>1</v>
      </c>
      <c r="AA60" s="43">
        <f t="shared" ca="1" si="6"/>
        <v>0</v>
      </c>
      <c r="AB60" s="202" t="str">
        <f t="shared" ca="1" si="7"/>
        <v/>
      </c>
      <c r="AC60" s="44" t="str">
        <f t="shared" si="8"/>
        <v>SI</v>
      </c>
      <c r="AD60" s="44"/>
      <c r="AE60" s="173" t="s">
        <v>1256</v>
      </c>
      <c r="AF60" s="173" t="s">
        <v>1283</v>
      </c>
      <c r="AG60" s="173"/>
      <c r="AH60" s="281"/>
      <c r="AI60" s="174"/>
      <c r="AJ60" s="181" t="s">
        <v>600</v>
      </c>
      <c r="AK60" s="181" t="str">
        <f t="shared" ca="1" si="9"/>
        <v>TERMINO</v>
      </c>
      <c r="AL60" s="181" t="s">
        <v>573</v>
      </c>
      <c r="AM60" s="176" t="s">
        <v>390</v>
      </c>
      <c r="AN60" s="848" t="str">
        <f>IFERROR(VLOOKUP(E60,'liquidaciones '!$B$2:$C$1048576,2,0),"NO")</f>
        <v>LIQUIDADO</v>
      </c>
      <c r="AO60" s="944">
        <f>IFERROR(VLOOKUP(E60,'liquidaciones '!$B$2:$I$1048576,8,0),"")</f>
        <v>0</v>
      </c>
      <c r="AP60" s="336">
        <v>41968</v>
      </c>
      <c r="AQ60" s="177" t="str">
        <f t="shared" ca="1" si="11"/>
        <v>NO</v>
      </c>
      <c r="AR60" s="177" t="s">
        <v>982</v>
      </c>
      <c r="AS60" s="433"/>
      <c r="AT60" s="964"/>
      <c r="AU60" s="964"/>
      <c r="AV60" s="964"/>
    </row>
    <row r="61" spans="1:48" ht="47.25" customHeight="1" x14ac:dyDescent="0.25">
      <c r="A61" s="15">
        <v>1</v>
      </c>
      <c r="B61" s="15">
        <v>55</v>
      </c>
      <c r="C61" s="437"/>
      <c r="D61" s="437" t="str">
        <f t="shared" si="0"/>
        <v>2012</v>
      </c>
      <c r="E61" s="142" t="s">
        <v>110</v>
      </c>
      <c r="F61" s="132" t="s">
        <v>111</v>
      </c>
      <c r="G61" s="133">
        <v>830126085</v>
      </c>
      <c r="H61" s="993" t="s">
        <v>1374</v>
      </c>
      <c r="I61" s="134">
        <v>50618751</v>
      </c>
      <c r="J61" s="134" t="s">
        <v>1088</v>
      </c>
      <c r="K61" s="152">
        <v>2012</v>
      </c>
      <c r="L61" s="546" t="s">
        <v>1088</v>
      </c>
      <c r="M61" s="136">
        <v>41198</v>
      </c>
      <c r="N61" s="136">
        <v>41441</v>
      </c>
      <c r="O61" s="127">
        <f>COUNTA(Modificaciones!I61,Modificaciones!K61,Modificaciones!M61,Modificaciones!O61)</f>
        <v>0</v>
      </c>
      <c r="P61" s="128">
        <f>VLOOKUP(E61,Modificaciones!$B$7:$Q$300,16,0)</f>
        <v>0</v>
      </c>
      <c r="Q61" s="129">
        <f>COUNTA(Modificaciones!S61,Modificaciones!U61,Modificaciones!W61,Modificaciones!Y61)</f>
        <v>0</v>
      </c>
      <c r="R61" s="130" t="str">
        <f>IF(Modificaciones!Z61=0,"",VLOOKUP(E61,Modificaciones!$B$7:$AA$400,25,0))</f>
        <v/>
      </c>
      <c r="S61" s="131" t="str">
        <f>IF(Modificaciones!AA61=0,"",VLOOKUP(E61,Modificaciones!$B$7:$AA$400,26,0))</f>
        <v/>
      </c>
      <c r="T61" s="7">
        <f t="shared" si="12"/>
        <v>41441</v>
      </c>
      <c r="U61" s="62">
        <f t="shared" si="2"/>
        <v>50618751</v>
      </c>
      <c r="V61" s="172">
        <f>VLOOKUP(E61,Modificaciones!$B$7:$AU$300,46,0)</f>
        <v>50618751</v>
      </c>
      <c r="W61" s="93">
        <f t="shared" si="3"/>
        <v>0</v>
      </c>
      <c r="X61" s="309"/>
      <c r="Y61" s="42">
        <f t="shared" si="4"/>
        <v>1</v>
      </c>
      <c r="Z61" s="42">
        <f t="shared" ca="1" si="5"/>
        <v>1</v>
      </c>
      <c r="AA61" s="43">
        <f t="shared" ca="1" si="6"/>
        <v>0</v>
      </c>
      <c r="AB61" s="202" t="str">
        <f t="shared" ca="1" si="7"/>
        <v/>
      </c>
      <c r="AC61" s="44" t="str">
        <f t="shared" si="8"/>
        <v>SI</v>
      </c>
      <c r="AD61" s="44"/>
      <c r="AE61" s="173" t="s">
        <v>1256</v>
      </c>
      <c r="AF61" s="173" t="s">
        <v>1283</v>
      </c>
      <c r="AG61" s="173"/>
      <c r="AH61" s="281"/>
      <c r="AI61" s="174"/>
      <c r="AJ61" s="181" t="s">
        <v>600</v>
      </c>
      <c r="AK61" s="181" t="str">
        <f t="shared" ca="1" si="9"/>
        <v>TERMINO</v>
      </c>
      <c r="AL61" s="181" t="s">
        <v>573</v>
      </c>
      <c r="AM61" s="176" t="s">
        <v>390</v>
      </c>
      <c r="AN61" s="848" t="str">
        <f>IFERROR(VLOOKUP(E61,'liquidaciones '!$B$2:$C$1048576,2,0),"NO")</f>
        <v>NO</v>
      </c>
      <c r="AO61" s="944" t="str">
        <f>IFERROR(VLOOKUP(E61,'liquidaciones '!$B$2:$I$1048576,8,0),"")</f>
        <v/>
      </c>
      <c r="AP61" s="336">
        <v>41984</v>
      </c>
      <c r="AQ61" s="177" t="str">
        <f t="shared" ca="1" si="11"/>
        <v>NO</v>
      </c>
      <c r="AR61" s="177" t="s">
        <v>982</v>
      </c>
      <c r="AS61" s="433"/>
      <c r="AT61" s="964"/>
      <c r="AU61" s="964"/>
      <c r="AV61" s="964"/>
    </row>
    <row r="62" spans="1:48" ht="47.25" customHeight="1" x14ac:dyDescent="0.25">
      <c r="A62" s="15">
        <v>1</v>
      </c>
      <c r="B62" s="15">
        <v>56</v>
      </c>
      <c r="C62" s="437"/>
      <c r="D62" s="437" t="str">
        <f t="shared" si="0"/>
        <v>2012</v>
      </c>
      <c r="E62" s="132" t="s">
        <v>65</v>
      </c>
      <c r="F62" s="132" t="s">
        <v>66</v>
      </c>
      <c r="G62" s="143">
        <v>860015685</v>
      </c>
      <c r="H62" s="993" t="s">
        <v>459</v>
      </c>
      <c r="I62" s="134">
        <v>69900000</v>
      </c>
      <c r="J62" s="134" t="s">
        <v>1088</v>
      </c>
      <c r="K62" s="152">
        <v>2012</v>
      </c>
      <c r="L62" s="546" t="s">
        <v>1088</v>
      </c>
      <c r="M62" s="138">
        <v>41202</v>
      </c>
      <c r="N62" s="138">
        <v>41445</v>
      </c>
      <c r="O62" s="127">
        <f>COUNTA(Modificaciones!I62,Modificaciones!K62,Modificaciones!M62,Modificaciones!O62)</f>
        <v>0</v>
      </c>
      <c r="P62" s="128">
        <f>VLOOKUP(E62,Modificaciones!$B$7:$Q$300,16,0)</f>
        <v>0</v>
      </c>
      <c r="Q62" s="129">
        <f>COUNTA(Modificaciones!S62,Modificaciones!U62,Modificaciones!W62,Modificaciones!Y62)</f>
        <v>0</v>
      </c>
      <c r="R62" s="130" t="str">
        <f>IF(Modificaciones!Z62=0,"",VLOOKUP(E62,Modificaciones!$B$7:$AA$400,25,0))</f>
        <v>41 días</v>
      </c>
      <c r="S62" s="131">
        <f>IF(Modificaciones!AA62=0,"",VLOOKUP(E62,Modificaciones!$B$7:$AA$400,26,0))</f>
        <v>41486</v>
      </c>
      <c r="T62" s="7">
        <f t="shared" si="12"/>
        <v>41486</v>
      </c>
      <c r="U62" s="62">
        <f t="shared" si="2"/>
        <v>69900000</v>
      </c>
      <c r="V62" s="172">
        <f>VLOOKUP(E62,Modificaciones!$B$7:$AU$300,46,0)</f>
        <v>69900000</v>
      </c>
      <c r="W62" s="93">
        <f t="shared" si="3"/>
        <v>0</v>
      </c>
      <c r="X62" s="309"/>
      <c r="Y62" s="42">
        <f t="shared" si="4"/>
        <v>1</v>
      </c>
      <c r="Z62" s="42">
        <f t="shared" ca="1" si="5"/>
        <v>1</v>
      </c>
      <c r="AA62" s="43">
        <f t="shared" ca="1" si="6"/>
        <v>0</v>
      </c>
      <c r="AB62" s="202" t="str">
        <f t="shared" ca="1" si="7"/>
        <v/>
      </c>
      <c r="AC62" s="44" t="str">
        <f t="shared" si="8"/>
        <v>SI</v>
      </c>
      <c r="AD62" s="44"/>
      <c r="AE62" s="173" t="s">
        <v>1256</v>
      </c>
      <c r="AF62" s="173" t="s">
        <v>1283</v>
      </c>
      <c r="AG62" s="173"/>
      <c r="AH62" s="281"/>
      <c r="AI62" s="174"/>
      <c r="AJ62" s="181" t="s">
        <v>600</v>
      </c>
      <c r="AK62" s="181" t="str">
        <f t="shared" ca="1" si="9"/>
        <v>TERMINO</v>
      </c>
      <c r="AL62" s="181" t="s">
        <v>573</v>
      </c>
      <c r="AM62" s="176" t="s">
        <v>390</v>
      </c>
      <c r="AN62" s="848" t="str">
        <f>IFERROR(VLOOKUP(E62,'liquidaciones '!$B$2:$C$1048576,2,0),"NO")</f>
        <v>LIQUIDADO</v>
      </c>
      <c r="AO62" s="944">
        <f>IFERROR(VLOOKUP(E62,'liquidaciones '!$B$2:$I$1048576,8,0),"")</f>
        <v>0</v>
      </c>
      <c r="AP62" s="336">
        <v>42017</v>
      </c>
      <c r="AQ62" s="177" t="str">
        <f t="shared" ca="1" si="11"/>
        <v>NO</v>
      </c>
      <c r="AR62" s="177" t="s">
        <v>1165</v>
      </c>
      <c r="AS62" s="433"/>
      <c r="AT62" s="964"/>
      <c r="AU62" s="964"/>
      <c r="AV62" s="964"/>
    </row>
    <row r="63" spans="1:48" ht="90.75" customHeight="1" x14ac:dyDescent="0.25">
      <c r="A63" s="15">
        <v>1</v>
      </c>
      <c r="B63" s="15">
        <v>57</v>
      </c>
      <c r="C63" s="437"/>
      <c r="D63" s="437" t="str">
        <f t="shared" si="0"/>
        <v>2012</v>
      </c>
      <c r="E63" s="142" t="s">
        <v>69</v>
      </c>
      <c r="F63" s="132" t="s">
        <v>77</v>
      </c>
      <c r="G63" s="153">
        <v>860506170</v>
      </c>
      <c r="H63" s="993" t="s">
        <v>397</v>
      </c>
      <c r="I63" s="134">
        <v>500000000</v>
      </c>
      <c r="J63" s="134" t="s">
        <v>1088</v>
      </c>
      <c r="K63" s="152">
        <v>2012</v>
      </c>
      <c r="L63" s="546" t="s">
        <v>1088</v>
      </c>
      <c r="M63" s="136">
        <v>41170</v>
      </c>
      <c r="N63" s="136">
        <v>41412</v>
      </c>
      <c r="O63" s="127">
        <f>COUNTA(Modificaciones!I63,Modificaciones!K63,Modificaciones!M63,Modificaciones!O63)</f>
        <v>0</v>
      </c>
      <c r="P63" s="128">
        <f>VLOOKUP(E63,Modificaciones!$B$7:$Q$300,16,0)</f>
        <v>0</v>
      </c>
      <c r="Q63" s="129">
        <f>COUNTA(Modificaciones!S63,Modificaciones!U63,Modificaciones!W63,Modificaciones!Y63)</f>
        <v>0</v>
      </c>
      <c r="R63" s="130" t="str">
        <f>IF(Modificaciones!Z63=0,"",VLOOKUP(E63,Modificaciones!$B$7:$AA$400,25,0))</f>
        <v/>
      </c>
      <c r="S63" s="131" t="str">
        <f>IF(Modificaciones!AA63=0,"",VLOOKUP(E63,Modificaciones!$B$7:$AA$400,26,0))</f>
        <v/>
      </c>
      <c r="T63" s="7">
        <f t="shared" si="12"/>
        <v>41412</v>
      </c>
      <c r="U63" s="62">
        <f t="shared" si="2"/>
        <v>500000000</v>
      </c>
      <c r="V63" s="172">
        <f>VLOOKUP(E63,Modificaciones!$B$7:$AU$300,46,0)</f>
        <v>500000000</v>
      </c>
      <c r="W63" s="93">
        <f t="shared" si="3"/>
        <v>0</v>
      </c>
      <c r="X63" s="309"/>
      <c r="Y63" s="42">
        <f t="shared" si="4"/>
        <v>1</v>
      </c>
      <c r="Z63" s="42">
        <f t="shared" ca="1" si="5"/>
        <v>1</v>
      </c>
      <c r="AA63" s="43">
        <f t="shared" ca="1" si="6"/>
        <v>0</v>
      </c>
      <c r="AB63" s="202" t="str">
        <f t="shared" ca="1" si="7"/>
        <v/>
      </c>
      <c r="AC63" s="44" t="str">
        <f t="shared" si="8"/>
        <v>SI</v>
      </c>
      <c r="AD63" s="44"/>
      <c r="AE63" s="173" t="s">
        <v>1256</v>
      </c>
      <c r="AF63" s="173"/>
      <c r="AG63" s="173"/>
      <c r="AH63" s="281"/>
      <c r="AI63" s="174"/>
      <c r="AJ63" s="181" t="s">
        <v>600</v>
      </c>
      <c r="AK63" s="181" t="str">
        <f t="shared" ca="1" si="9"/>
        <v>TERMINO</v>
      </c>
      <c r="AL63" s="181" t="s">
        <v>582</v>
      </c>
      <c r="AM63" s="176" t="s">
        <v>390</v>
      </c>
      <c r="AN63" s="848" t="str">
        <f>IFERROR(VLOOKUP(E63,'liquidaciones '!$B$2:$C$1048576,2,0),"NO")</f>
        <v>NO</v>
      </c>
      <c r="AO63" s="944" t="str">
        <f>IFERROR(VLOOKUP(E63,'liquidaciones '!$B$2:$I$1048576,8,0),"")</f>
        <v/>
      </c>
      <c r="AP63" s="336"/>
      <c r="AQ63" s="177" t="str">
        <f t="shared" ca="1" si="11"/>
        <v>NO</v>
      </c>
      <c r="AR63" s="177" t="s">
        <v>982</v>
      </c>
      <c r="AS63" s="433"/>
      <c r="AT63" s="964"/>
      <c r="AU63" s="964"/>
      <c r="AV63" s="964"/>
    </row>
    <row r="64" spans="1:48" ht="47.25" customHeight="1" x14ac:dyDescent="0.25">
      <c r="A64" s="15">
        <v>1</v>
      </c>
      <c r="B64" s="15">
        <v>58</v>
      </c>
      <c r="C64" s="437"/>
      <c r="D64" s="437" t="str">
        <f t="shared" si="0"/>
        <v>2012</v>
      </c>
      <c r="E64" s="142" t="s">
        <v>396</v>
      </c>
      <c r="F64" s="164" t="s">
        <v>203</v>
      </c>
      <c r="G64" s="153">
        <v>860049921</v>
      </c>
      <c r="H64" s="994" t="s">
        <v>346</v>
      </c>
      <c r="I64" s="146">
        <v>10440000</v>
      </c>
      <c r="J64" s="850" t="s">
        <v>4314</v>
      </c>
      <c r="K64" s="152">
        <v>2012</v>
      </c>
      <c r="L64" s="546" t="s">
        <v>1088</v>
      </c>
      <c r="M64" s="147">
        <v>41067</v>
      </c>
      <c r="N64" s="148">
        <v>41312</v>
      </c>
      <c r="O64" s="127">
        <f>COUNTA(Modificaciones!I64,Modificaciones!K64,Modificaciones!M64,Modificaciones!O64)</f>
        <v>0</v>
      </c>
      <c r="P64" s="128">
        <f>VLOOKUP(E64,Modificaciones!$B$7:$Q$300,16,0)</f>
        <v>0</v>
      </c>
      <c r="Q64" s="129">
        <f>COUNTA(Modificaciones!S64,Modificaciones!U64,Modificaciones!W64,Modificaciones!Y64)</f>
        <v>0</v>
      </c>
      <c r="R64" s="130" t="str">
        <f>IF(Modificaciones!Z64=0,"",VLOOKUP(E64,Modificaciones!$B$7:$AA$400,25,0))</f>
        <v/>
      </c>
      <c r="S64" s="131" t="str">
        <f>IF(Modificaciones!AA64=0,"",VLOOKUP(E64,Modificaciones!$B$7:$AA$400,26,0))</f>
        <v/>
      </c>
      <c r="T64" s="7">
        <f t="shared" si="12"/>
        <v>41312</v>
      </c>
      <c r="U64" s="62">
        <f t="shared" si="2"/>
        <v>10440000</v>
      </c>
      <c r="V64" s="172">
        <f>VLOOKUP(E64,Modificaciones!$B$7:$AU$300,46,0)</f>
        <v>10440000</v>
      </c>
      <c r="W64" s="93">
        <f t="shared" si="3"/>
        <v>0</v>
      </c>
      <c r="X64" s="309"/>
      <c r="Y64" s="42">
        <f t="shared" si="4"/>
        <v>1</v>
      </c>
      <c r="Z64" s="42">
        <f t="shared" ca="1" si="5"/>
        <v>1</v>
      </c>
      <c r="AA64" s="43">
        <f t="shared" ca="1" si="6"/>
        <v>0</v>
      </c>
      <c r="AB64" s="202" t="str">
        <f t="shared" ca="1" si="7"/>
        <v/>
      </c>
      <c r="AC64" s="44" t="str">
        <f t="shared" si="8"/>
        <v>SI</v>
      </c>
      <c r="AD64" s="44"/>
      <c r="AE64" s="173" t="s">
        <v>1256</v>
      </c>
      <c r="AF64" s="301" t="s">
        <v>1350</v>
      </c>
      <c r="AG64" s="173" t="s">
        <v>1431</v>
      </c>
      <c r="AH64" s="281" t="s">
        <v>563</v>
      </c>
      <c r="AI64" s="174"/>
      <c r="AJ64" s="181" t="s">
        <v>600</v>
      </c>
      <c r="AK64" s="181" t="str">
        <f t="shared" ca="1" si="9"/>
        <v>TERMINO</v>
      </c>
      <c r="AL64" s="181" t="s">
        <v>582</v>
      </c>
      <c r="AM64" s="176" t="s">
        <v>390</v>
      </c>
      <c r="AN64" s="848" t="str">
        <f>IFERROR(VLOOKUP(E64,'liquidaciones '!$B$2:$C$1048576,2,0),"NO")</f>
        <v>LIQUIDADO</v>
      </c>
      <c r="AO64" s="944">
        <f>IFERROR(VLOOKUP(E64,'liquidaciones '!$B$2:$I$1048576,8,0),"")</f>
        <v>0</v>
      </c>
      <c r="AP64" s="336">
        <v>42221</v>
      </c>
      <c r="AQ64" s="177" t="str">
        <f t="shared" ca="1" si="11"/>
        <v>NO</v>
      </c>
      <c r="AR64" s="177" t="s">
        <v>1571</v>
      </c>
      <c r="AS64" s="433"/>
      <c r="AT64" s="964"/>
      <c r="AU64" s="964"/>
      <c r="AV64" s="964"/>
    </row>
    <row r="65" spans="1:48" ht="47.25" customHeight="1" x14ac:dyDescent="0.25">
      <c r="A65" s="15">
        <v>1</v>
      </c>
      <c r="B65" s="15">
        <v>59</v>
      </c>
      <c r="C65" s="437"/>
      <c r="D65" s="437" t="str">
        <f t="shared" si="0"/>
        <v>2012</v>
      </c>
      <c r="E65" s="145" t="s">
        <v>47</v>
      </c>
      <c r="F65" s="145" t="s">
        <v>48</v>
      </c>
      <c r="G65" s="143">
        <v>830085352</v>
      </c>
      <c r="H65" s="994" t="s">
        <v>421</v>
      </c>
      <c r="I65" s="146">
        <v>24824832</v>
      </c>
      <c r="J65" s="850" t="s">
        <v>4424</v>
      </c>
      <c r="K65" s="152">
        <v>2012</v>
      </c>
      <c r="L65" s="546" t="s">
        <v>1088</v>
      </c>
      <c r="M65" s="147">
        <v>41208</v>
      </c>
      <c r="N65" s="148">
        <v>41481</v>
      </c>
      <c r="O65" s="127">
        <f>COUNTA(Modificaciones!I65,Modificaciones!K65,Modificaciones!M65,Modificaciones!O65)</f>
        <v>0</v>
      </c>
      <c r="P65" s="128">
        <f>VLOOKUP(E65,Modificaciones!$B$7:$Q$300,16,0)</f>
        <v>0</v>
      </c>
      <c r="Q65" s="129">
        <f>COUNTA(Modificaciones!S65,Modificaciones!U65,Modificaciones!W65,Modificaciones!Y65)</f>
        <v>0</v>
      </c>
      <c r="R65" s="130" t="str">
        <f>IF(Modificaciones!Z65=0,"",VLOOKUP(E65,Modificaciones!$B$7:$AA$400,25,0))</f>
        <v/>
      </c>
      <c r="S65" s="131" t="str">
        <f>IF(Modificaciones!AA65=0,"",VLOOKUP(E65,Modificaciones!$B$7:$AA$400,26,0))</f>
        <v/>
      </c>
      <c r="T65" s="7">
        <f t="shared" si="12"/>
        <v>41481</v>
      </c>
      <c r="U65" s="62">
        <f t="shared" si="2"/>
        <v>24824832</v>
      </c>
      <c r="V65" s="172">
        <f>VLOOKUP(E65,Modificaciones!$B$7:$AU$300,46,0)</f>
        <v>24824832</v>
      </c>
      <c r="W65" s="93">
        <f t="shared" si="3"/>
        <v>0</v>
      </c>
      <c r="X65" s="309"/>
      <c r="Y65" s="42">
        <f t="shared" si="4"/>
        <v>1</v>
      </c>
      <c r="Z65" s="42">
        <f t="shared" ca="1" si="5"/>
        <v>1</v>
      </c>
      <c r="AA65" s="43">
        <f t="shared" ca="1" si="6"/>
        <v>0</v>
      </c>
      <c r="AB65" s="202" t="str">
        <f t="shared" ca="1" si="7"/>
        <v/>
      </c>
      <c r="AC65" s="44" t="str">
        <f t="shared" si="8"/>
        <v>SI</v>
      </c>
      <c r="AD65" s="44"/>
      <c r="AE65" s="173" t="s">
        <v>1256</v>
      </c>
      <c r="AF65" s="173" t="s">
        <v>1141</v>
      </c>
      <c r="AG65" s="173"/>
      <c r="AH65" s="281"/>
      <c r="AI65" s="174"/>
      <c r="AJ65" s="181" t="s">
        <v>600</v>
      </c>
      <c r="AK65" s="181" t="str">
        <f t="shared" ca="1" si="9"/>
        <v>TERMINO</v>
      </c>
      <c r="AL65" s="181" t="s">
        <v>576</v>
      </c>
      <c r="AM65" s="176" t="s">
        <v>390</v>
      </c>
      <c r="AN65" s="848" t="str">
        <f>IFERROR(VLOOKUP(E65,'liquidaciones '!$B$2:$C$1048576,2,0),"NO")</f>
        <v>LIQUIDADO</v>
      </c>
      <c r="AO65" s="944">
        <f>IFERROR(VLOOKUP(E65,'liquidaciones '!$B$2:$I$1048576,8,0),"")</f>
        <v>0</v>
      </c>
      <c r="AP65" s="336">
        <v>41982</v>
      </c>
      <c r="AQ65" s="177" t="str">
        <f t="shared" ca="1" si="11"/>
        <v>NO</v>
      </c>
      <c r="AR65" s="177" t="s">
        <v>1571</v>
      </c>
      <c r="AS65" s="433"/>
      <c r="AT65" s="964"/>
      <c r="AU65" s="964"/>
      <c r="AV65" s="964"/>
    </row>
    <row r="66" spans="1:48" ht="47.25" customHeight="1" x14ac:dyDescent="0.25">
      <c r="A66" s="15">
        <v>1</v>
      </c>
      <c r="B66" s="15">
        <v>60</v>
      </c>
      <c r="C66" s="437"/>
      <c r="D66" s="437" t="str">
        <f t="shared" si="0"/>
        <v>2012</v>
      </c>
      <c r="E66" s="132" t="s">
        <v>39</v>
      </c>
      <c r="F66" s="132" t="s">
        <v>1020</v>
      </c>
      <c r="G66" s="143">
        <v>900169179</v>
      </c>
      <c r="H66" s="993" t="s">
        <v>328</v>
      </c>
      <c r="I66" s="134">
        <v>810000</v>
      </c>
      <c r="J66" s="134" t="s">
        <v>1088</v>
      </c>
      <c r="K66" s="152">
        <v>2012</v>
      </c>
      <c r="L66" s="546" t="s">
        <v>1088</v>
      </c>
      <c r="M66" s="138">
        <v>41193</v>
      </c>
      <c r="N66" s="138">
        <v>41558</v>
      </c>
      <c r="O66" s="127">
        <f>COUNTA(Modificaciones!I66,Modificaciones!K66,Modificaciones!M66,Modificaciones!O66)</f>
        <v>0</v>
      </c>
      <c r="P66" s="128">
        <f>VLOOKUP(E66,Modificaciones!$B$7:$Q$300,16,0)</f>
        <v>0</v>
      </c>
      <c r="Q66" s="129">
        <f>COUNTA(Modificaciones!S66,Modificaciones!U66,Modificaciones!W66,Modificaciones!Y66)</f>
        <v>0</v>
      </c>
      <c r="R66" s="130" t="str">
        <f>IF(Modificaciones!Z66=0,"",VLOOKUP(E66,Modificaciones!$B$7:$AA$400,25,0))</f>
        <v/>
      </c>
      <c r="S66" s="131" t="str">
        <f>IF(Modificaciones!AA66=0,"",VLOOKUP(E66,Modificaciones!$B$7:$AA$400,26,0))</f>
        <v/>
      </c>
      <c r="T66" s="7">
        <f t="shared" si="12"/>
        <v>41558</v>
      </c>
      <c r="U66" s="62">
        <f t="shared" si="2"/>
        <v>810000</v>
      </c>
      <c r="V66" s="172">
        <f>VLOOKUP(E66,Modificaciones!$B$7:$AU$300,46,0)</f>
        <v>810000</v>
      </c>
      <c r="W66" s="93">
        <f t="shared" si="3"/>
        <v>0</v>
      </c>
      <c r="X66" s="309"/>
      <c r="Y66" s="42">
        <f t="shared" si="4"/>
        <v>1</v>
      </c>
      <c r="Z66" s="42">
        <f t="shared" ca="1" si="5"/>
        <v>1</v>
      </c>
      <c r="AA66" s="43">
        <f t="shared" ca="1" si="6"/>
        <v>0</v>
      </c>
      <c r="AB66" s="202" t="str">
        <f t="shared" ca="1" si="7"/>
        <v/>
      </c>
      <c r="AC66" s="44" t="str">
        <f t="shared" si="8"/>
        <v>SI</v>
      </c>
      <c r="AD66" s="44"/>
      <c r="AE66" s="173" t="s">
        <v>1256</v>
      </c>
      <c r="AF66" s="173" t="s">
        <v>1125</v>
      </c>
      <c r="AG66" s="173"/>
      <c r="AH66" s="281"/>
      <c r="AI66" s="174"/>
      <c r="AJ66" s="181" t="s">
        <v>600</v>
      </c>
      <c r="AK66" s="181" t="str">
        <f t="shared" ca="1" si="9"/>
        <v>TERMINO</v>
      </c>
      <c r="AL66" s="181" t="s">
        <v>582</v>
      </c>
      <c r="AM66" s="176" t="s">
        <v>390</v>
      </c>
      <c r="AN66" s="848" t="str">
        <f>IFERROR(VLOOKUP(E66,'liquidaciones '!$B$2:$C$1048576,2,0),"NO")</f>
        <v>LIQUIDADO</v>
      </c>
      <c r="AO66" s="944">
        <f>IFERROR(VLOOKUP(E66,'liquidaciones '!$B$2:$I$1048576,8,0),"")</f>
        <v>0</v>
      </c>
      <c r="AP66" s="336"/>
      <c r="AQ66" s="177" t="str">
        <f t="shared" ca="1" si="11"/>
        <v>NO</v>
      </c>
      <c r="AR66" s="177" t="s">
        <v>1571</v>
      </c>
      <c r="AS66" s="433"/>
      <c r="AT66" s="964"/>
      <c r="AU66" s="964"/>
      <c r="AV66" s="964"/>
    </row>
    <row r="67" spans="1:48" ht="47.25" customHeight="1" x14ac:dyDescent="0.25">
      <c r="A67" s="15">
        <v>1</v>
      </c>
      <c r="B67" s="15">
        <v>61</v>
      </c>
      <c r="C67" s="437"/>
      <c r="D67" s="437" t="str">
        <f t="shared" si="0"/>
        <v>2012</v>
      </c>
      <c r="E67" s="144" t="s">
        <v>49</v>
      </c>
      <c r="F67" s="145" t="s">
        <v>1021</v>
      </c>
      <c r="G67" s="143">
        <v>830042460</v>
      </c>
      <c r="H67" s="994" t="s">
        <v>460</v>
      </c>
      <c r="I67" s="146">
        <v>299287875</v>
      </c>
      <c r="J67" s="850" t="s">
        <v>4295</v>
      </c>
      <c r="K67" s="152">
        <v>2012</v>
      </c>
      <c r="L67" s="546" t="s">
        <v>1088</v>
      </c>
      <c r="M67" s="147">
        <v>41208</v>
      </c>
      <c r="N67" s="148">
        <v>41451</v>
      </c>
      <c r="O67" s="127">
        <f>COUNTA(Modificaciones!I67,Modificaciones!K67,Modificaciones!M67,Modificaciones!O67)</f>
        <v>0</v>
      </c>
      <c r="P67" s="128">
        <f>VLOOKUP(E67,Modificaciones!$B$7:$Q$300,16,0)</f>
        <v>0</v>
      </c>
      <c r="Q67" s="129">
        <f>COUNTA(Modificaciones!S67,Modificaciones!U67,Modificaciones!W67,Modificaciones!Y67)</f>
        <v>0</v>
      </c>
      <c r="R67" s="130" t="str">
        <f>IF(Modificaciones!Z67=0,"",VLOOKUP(E67,Modificaciones!$B$7:$AA$400,25,0))</f>
        <v/>
      </c>
      <c r="S67" s="131" t="str">
        <f>IF(Modificaciones!AA67=0,"",VLOOKUP(E67,Modificaciones!$B$7:$AA$400,26,0))</f>
        <v/>
      </c>
      <c r="T67" s="7">
        <f t="shared" si="12"/>
        <v>41451</v>
      </c>
      <c r="U67" s="62">
        <f t="shared" si="2"/>
        <v>299287875</v>
      </c>
      <c r="V67" s="172">
        <f>VLOOKUP(E67,Modificaciones!$B$7:$AU$300,46,0)</f>
        <v>160844981</v>
      </c>
      <c r="W67" s="93">
        <f t="shared" si="3"/>
        <v>138442894</v>
      </c>
      <c r="X67" s="309"/>
      <c r="Y67" s="42">
        <f t="shared" si="4"/>
        <v>0.53742565080526572</v>
      </c>
      <c r="Z67" s="42">
        <f t="shared" ca="1" si="5"/>
        <v>1</v>
      </c>
      <c r="AA67" s="43">
        <f t="shared" ca="1" si="6"/>
        <v>0.46257434919473428</v>
      </c>
      <c r="AB67" s="202" t="str">
        <f t="shared" ca="1" si="7"/>
        <v/>
      </c>
      <c r="AC67" s="44" t="str">
        <f t="shared" si="8"/>
        <v>NO</v>
      </c>
      <c r="AD67" s="44"/>
      <c r="AE67" s="173" t="s">
        <v>1256</v>
      </c>
      <c r="AF67" s="173" t="s">
        <v>1286</v>
      </c>
      <c r="AG67" s="173"/>
      <c r="AH67" s="281"/>
      <c r="AI67" s="174"/>
      <c r="AJ67" s="181" t="s">
        <v>1343</v>
      </c>
      <c r="AK67" s="181" t="str">
        <f t="shared" ca="1" si="9"/>
        <v>TERMINO</v>
      </c>
      <c r="AL67" s="181" t="s">
        <v>574</v>
      </c>
      <c r="AM67" s="176" t="s">
        <v>390</v>
      </c>
      <c r="AN67" s="848" t="str">
        <f>IFERROR(VLOOKUP(E67,'liquidaciones '!$B$2:$C$1048576,2,0),"NO")</f>
        <v>LIQUIDADO</v>
      </c>
      <c r="AO67" s="944">
        <f>IFERROR(VLOOKUP(E67,'liquidaciones '!$B$2:$I$1048576,8,0),"")</f>
        <v>0</v>
      </c>
      <c r="AP67" s="336">
        <v>41799</v>
      </c>
      <c r="AQ67" s="177" t="str">
        <f t="shared" ca="1" si="11"/>
        <v>NO</v>
      </c>
      <c r="AR67" s="177" t="s">
        <v>1571</v>
      </c>
      <c r="AS67" s="433"/>
      <c r="AT67" s="964"/>
      <c r="AU67" s="964"/>
      <c r="AV67" s="964"/>
    </row>
    <row r="68" spans="1:48" ht="47.25" customHeight="1" x14ac:dyDescent="0.25">
      <c r="A68" s="15">
        <v>1</v>
      </c>
      <c r="B68" s="15">
        <v>62</v>
      </c>
      <c r="C68" s="437"/>
      <c r="D68" s="437" t="str">
        <f t="shared" si="0"/>
        <v>2012</v>
      </c>
      <c r="E68" s="145" t="s">
        <v>50</v>
      </c>
      <c r="F68" s="132" t="s">
        <v>1022</v>
      </c>
      <c r="G68" s="143">
        <v>830017796</v>
      </c>
      <c r="H68" s="994" t="s">
        <v>331</v>
      </c>
      <c r="I68" s="146">
        <v>1392000</v>
      </c>
      <c r="J68" s="850" t="s">
        <v>4281</v>
      </c>
      <c r="K68" s="152">
        <v>2012</v>
      </c>
      <c r="L68" s="546" t="s">
        <v>1088</v>
      </c>
      <c r="M68" s="147">
        <v>41242</v>
      </c>
      <c r="N68" s="148">
        <v>41303</v>
      </c>
      <c r="O68" s="127">
        <f>COUNTA(Modificaciones!I68,Modificaciones!K68,Modificaciones!M68,Modificaciones!O68)</f>
        <v>0</v>
      </c>
      <c r="P68" s="128">
        <f>VLOOKUP(E68,Modificaciones!$B$7:$Q$300,16,0)</f>
        <v>0</v>
      </c>
      <c r="Q68" s="129">
        <f>COUNTA(Modificaciones!S68,Modificaciones!U68,Modificaciones!W68,Modificaciones!Y68)</f>
        <v>4</v>
      </c>
      <c r="R68" s="130" t="str">
        <f>IF(Modificaciones!Z68=0,"",VLOOKUP(E68,Modificaciones!$B$7:$AA$400,25,0))</f>
        <v>9 meses</v>
      </c>
      <c r="S68" s="131">
        <f>IF(Modificaciones!AA68=0,"",VLOOKUP(E68,Modificaciones!$B$7:$AA$400,26,0))</f>
        <v>41534</v>
      </c>
      <c r="T68" s="7">
        <f t="shared" si="12"/>
        <v>41534</v>
      </c>
      <c r="U68" s="62">
        <f t="shared" si="2"/>
        <v>1392000</v>
      </c>
      <c r="V68" s="172">
        <f>VLOOKUP(E68,Modificaciones!$B$7:$AU$300,46,0)</f>
        <v>0</v>
      </c>
      <c r="W68" s="93">
        <f t="shared" si="3"/>
        <v>1392000</v>
      </c>
      <c r="X68" s="309"/>
      <c r="Y68" s="42">
        <f t="shared" si="4"/>
        <v>0</v>
      </c>
      <c r="Z68" s="42">
        <f t="shared" ca="1" si="5"/>
        <v>1</v>
      </c>
      <c r="AA68" s="43">
        <f t="shared" ca="1" si="6"/>
        <v>1</v>
      </c>
      <c r="AB68" s="202" t="str">
        <f t="shared" ca="1" si="7"/>
        <v/>
      </c>
      <c r="AC68" s="44" t="str">
        <f t="shared" si="8"/>
        <v>NO</v>
      </c>
      <c r="AD68" s="44"/>
      <c r="AE68" s="173" t="s">
        <v>1256</v>
      </c>
      <c r="AF68" s="173" t="s">
        <v>1170</v>
      </c>
      <c r="AG68" s="173" t="s">
        <v>1442</v>
      </c>
      <c r="AH68" s="281" t="s">
        <v>560</v>
      </c>
      <c r="AI68" s="174"/>
      <c r="AJ68" s="181" t="s">
        <v>600</v>
      </c>
      <c r="AK68" s="181" t="str">
        <f t="shared" ca="1" si="9"/>
        <v>TERMINO</v>
      </c>
      <c r="AL68" s="181" t="s">
        <v>576</v>
      </c>
      <c r="AM68" s="176" t="s">
        <v>390</v>
      </c>
      <c r="AN68" s="848" t="str">
        <f>IFERROR(VLOOKUP(E68,'liquidaciones '!$B$2:$C$1048576,2,0),"NO")</f>
        <v>LIQUIDADO</v>
      </c>
      <c r="AO68" s="944">
        <f>IFERROR(VLOOKUP(E68,'liquidaciones '!$B$2:$I$1048576,8,0),"")</f>
        <v>0</v>
      </c>
      <c r="AP68" s="336"/>
      <c r="AQ68" s="177" t="str">
        <f t="shared" ca="1" si="11"/>
        <v>NO</v>
      </c>
      <c r="AR68" s="177" t="s">
        <v>1571</v>
      </c>
      <c r="AS68" s="433"/>
      <c r="AT68" s="964"/>
      <c r="AU68" s="964"/>
      <c r="AV68" s="964"/>
    </row>
    <row r="69" spans="1:48" ht="47.25" customHeight="1" x14ac:dyDescent="0.25">
      <c r="A69" s="15">
        <v>1</v>
      </c>
      <c r="B69" s="15">
        <v>63</v>
      </c>
      <c r="C69" s="437"/>
      <c r="D69" s="437" t="str">
        <f t="shared" si="0"/>
        <v>2012</v>
      </c>
      <c r="E69" s="142" t="s">
        <v>119</v>
      </c>
      <c r="F69" s="132" t="s">
        <v>398</v>
      </c>
      <c r="G69" s="143">
        <v>830043839</v>
      </c>
      <c r="H69" s="993" t="s">
        <v>352</v>
      </c>
      <c r="I69" s="134">
        <v>4056000</v>
      </c>
      <c r="J69" s="850" t="s">
        <v>4066</v>
      </c>
      <c r="K69" s="152">
        <v>2012</v>
      </c>
      <c r="L69" s="546" t="s">
        <v>1088</v>
      </c>
      <c r="M69" s="136">
        <v>41208</v>
      </c>
      <c r="N69" s="136">
        <v>41390</v>
      </c>
      <c r="O69" s="127">
        <f>COUNTA(Modificaciones!I69,Modificaciones!K69,Modificaciones!M69,Modificaciones!O69)</f>
        <v>0</v>
      </c>
      <c r="P69" s="128">
        <f>VLOOKUP(E69,Modificaciones!$B$7:$Q$300,16,0)</f>
        <v>0</v>
      </c>
      <c r="Q69" s="129">
        <f>COUNTA(Modificaciones!S69,Modificaciones!U69,Modificaciones!W69,Modificaciones!Y69)</f>
        <v>0</v>
      </c>
      <c r="R69" s="130" t="str">
        <f>IF(Modificaciones!Z69=0,"",VLOOKUP(E69,Modificaciones!$B$7:$AA$400,25,0))</f>
        <v/>
      </c>
      <c r="S69" s="131" t="str">
        <f>IF(Modificaciones!AA69=0,"",VLOOKUP(E69,Modificaciones!$B$7:$AA$400,26,0))</f>
        <v/>
      </c>
      <c r="T69" s="7">
        <f t="shared" si="12"/>
        <v>41390</v>
      </c>
      <c r="U69" s="62">
        <f t="shared" si="2"/>
        <v>4056000</v>
      </c>
      <c r="V69" s="172">
        <f>VLOOKUP(E69,Modificaciones!$B$7:$AU$300,46,0)</f>
        <v>4056000</v>
      </c>
      <c r="W69" s="93">
        <f t="shared" si="3"/>
        <v>0</v>
      </c>
      <c r="X69" s="309"/>
      <c r="Y69" s="42">
        <f t="shared" si="4"/>
        <v>1</v>
      </c>
      <c r="Z69" s="42">
        <f t="shared" ca="1" si="5"/>
        <v>1</v>
      </c>
      <c r="AA69" s="43">
        <f t="shared" ca="1" si="6"/>
        <v>0</v>
      </c>
      <c r="AB69" s="202" t="str">
        <f t="shared" ca="1" si="7"/>
        <v/>
      </c>
      <c r="AC69" s="44" t="str">
        <f t="shared" si="8"/>
        <v>SI</v>
      </c>
      <c r="AD69" s="44"/>
      <c r="AE69" s="173" t="s">
        <v>1256</v>
      </c>
      <c r="AF69" s="173" t="s">
        <v>1511</v>
      </c>
      <c r="AG69" s="173" t="s">
        <v>1442</v>
      </c>
      <c r="AH69" s="281" t="s">
        <v>560</v>
      </c>
      <c r="AI69" s="174"/>
      <c r="AJ69" s="181" t="s">
        <v>600</v>
      </c>
      <c r="AK69" s="181" t="str">
        <f t="shared" ca="1" si="9"/>
        <v>TERMINO</v>
      </c>
      <c r="AL69" s="181" t="s">
        <v>576</v>
      </c>
      <c r="AM69" s="176" t="s">
        <v>390</v>
      </c>
      <c r="AN69" s="848" t="str">
        <f>IFERROR(VLOOKUP(E69,'liquidaciones '!$B$2:$C$1048576,2,0),"NO")</f>
        <v>LIQUIDADO</v>
      </c>
      <c r="AO69" s="944">
        <f>IFERROR(VLOOKUP(E69,'liquidaciones '!$B$2:$I$1048576,8,0),"")</f>
        <v>0</v>
      </c>
      <c r="AP69" s="336">
        <v>42303</v>
      </c>
      <c r="AQ69" s="177" t="str">
        <f t="shared" ca="1" si="11"/>
        <v>NO</v>
      </c>
      <c r="AR69" s="177" t="s">
        <v>1571</v>
      </c>
      <c r="AS69" s="433"/>
      <c r="AT69" s="964"/>
      <c r="AU69" s="964"/>
      <c r="AV69" s="964"/>
    </row>
    <row r="70" spans="1:48" ht="47.25" customHeight="1" x14ac:dyDescent="0.25">
      <c r="A70" s="15">
        <v>1</v>
      </c>
      <c r="B70" s="15">
        <v>64</v>
      </c>
      <c r="C70" s="437"/>
      <c r="D70" s="437" t="str">
        <f t="shared" si="0"/>
        <v>2012</v>
      </c>
      <c r="E70" s="145" t="s">
        <v>51</v>
      </c>
      <c r="F70" s="132" t="s">
        <v>1023</v>
      </c>
      <c r="G70" s="143">
        <v>900431177</v>
      </c>
      <c r="H70" s="994" t="s">
        <v>1375</v>
      </c>
      <c r="I70" s="146">
        <v>431745000</v>
      </c>
      <c r="J70" s="850" t="s">
        <v>4954</v>
      </c>
      <c r="K70" s="152">
        <v>2012</v>
      </c>
      <c r="L70" s="546" t="s">
        <v>1088</v>
      </c>
      <c r="M70" s="147">
        <v>41214</v>
      </c>
      <c r="N70" s="148">
        <v>41518</v>
      </c>
      <c r="O70" s="127">
        <f>COUNTA(Modificaciones!I70,Modificaciones!K70,Modificaciones!M70,Modificaciones!O70)</f>
        <v>1</v>
      </c>
      <c r="P70" s="128">
        <f>VLOOKUP(E70,Modificaciones!$B$7:$Q$300,16,0)</f>
        <v>95000000</v>
      </c>
      <c r="Q70" s="129">
        <f>COUNTA(Modificaciones!S70,Modificaciones!U70,Modificaciones!W70,Modificaciones!Y70)</f>
        <v>1</v>
      </c>
      <c r="R70" s="130" t="str">
        <f>IF(Modificaciones!Z70=0,"",VLOOKUP(E70,Modificaciones!$B$7:$AA$400,25,0))</f>
        <v>2 meses</v>
      </c>
      <c r="S70" s="131">
        <f>IF(Modificaciones!AA70=0,"",VLOOKUP(E70,Modificaciones!$B$7:$AA$400,26,0))</f>
        <v>41579</v>
      </c>
      <c r="T70" s="7">
        <f t="shared" si="12"/>
        <v>41579</v>
      </c>
      <c r="U70" s="62">
        <f t="shared" si="2"/>
        <v>526745000</v>
      </c>
      <c r="V70" s="172">
        <f>VLOOKUP(E70,Modificaciones!$B$7:$AU$300,46,0)</f>
        <v>526745000</v>
      </c>
      <c r="W70" s="93">
        <f t="shared" si="3"/>
        <v>0</v>
      </c>
      <c r="X70" s="309"/>
      <c r="Y70" s="42">
        <f t="shared" si="4"/>
        <v>1</v>
      </c>
      <c r="Z70" s="42">
        <f t="shared" ca="1" si="5"/>
        <v>1</v>
      </c>
      <c r="AA70" s="43">
        <f t="shared" ca="1" si="6"/>
        <v>0</v>
      </c>
      <c r="AB70" s="202" t="str">
        <f t="shared" ca="1" si="7"/>
        <v/>
      </c>
      <c r="AC70" s="44" t="str">
        <f t="shared" si="8"/>
        <v>SI</v>
      </c>
      <c r="AD70" s="44"/>
      <c r="AE70" s="173" t="s">
        <v>1256</v>
      </c>
      <c r="AF70" s="173" t="s">
        <v>1127</v>
      </c>
      <c r="AG70" s="173"/>
      <c r="AH70" s="281" t="s">
        <v>560</v>
      </c>
      <c r="AI70" s="174"/>
      <c r="AJ70" s="181" t="s">
        <v>600</v>
      </c>
      <c r="AK70" s="181" t="str">
        <f t="shared" ca="1" si="9"/>
        <v>TERMINO</v>
      </c>
      <c r="AL70" s="181" t="s">
        <v>573</v>
      </c>
      <c r="AM70" s="176" t="s">
        <v>390</v>
      </c>
      <c r="AN70" s="848" t="str">
        <f>IFERROR(VLOOKUP(E70,'liquidaciones '!$B$2:$C$1048576,2,0),"NO")</f>
        <v>NO</v>
      </c>
      <c r="AO70" s="944" t="str">
        <f>IFERROR(VLOOKUP(E70,'liquidaciones '!$B$2:$I$1048576,8,0),"")</f>
        <v/>
      </c>
      <c r="AP70" s="336"/>
      <c r="AQ70" s="177" t="str">
        <f t="shared" ca="1" si="11"/>
        <v>NO</v>
      </c>
      <c r="AR70" s="177" t="s">
        <v>1571</v>
      </c>
      <c r="AS70" s="433"/>
      <c r="AT70" s="964"/>
      <c r="AU70" s="964"/>
      <c r="AV70" s="964"/>
    </row>
    <row r="71" spans="1:48" ht="47.25" customHeight="1" x14ac:dyDescent="0.25">
      <c r="A71" s="15">
        <v>1</v>
      </c>
      <c r="B71" s="15">
        <v>65</v>
      </c>
      <c r="C71" s="437"/>
      <c r="D71" s="437" t="str">
        <f t="shared" ref="D71:D134" si="13">K71&amp;C71</f>
        <v>2012</v>
      </c>
      <c r="E71" s="132" t="s">
        <v>597</v>
      </c>
      <c r="F71" s="132" t="s">
        <v>1024</v>
      </c>
      <c r="G71" s="143">
        <v>860066942</v>
      </c>
      <c r="H71" s="993" t="s">
        <v>338</v>
      </c>
      <c r="I71" s="134">
        <v>407400000</v>
      </c>
      <c r="J71" s="134" t="s">
        <v>1088</v>
      </c>
      <c r="K71" s="152">
        <v>2012</v>
      </c>
      <c r="L71" s="546" t="s">
        <v>1088</v>
      </c>
      <c r="M71" s="136">
        <v>41232</v>
      </c>
      <c r="N71" s="136">
        <v>41383</v>
      </c>
      <c r="O71" s="127">
        <f>COUNTA(Modificaciones!I71,Modificaciones!K71,Modificaciones!M71,Modificaciones!O71)</f>
        <v>2</v>
      </c>
      <c r="P71" s="128">
        <f>VLOOKUP(E71,Modificaciones!$B$7:$Q$300,16,0)</f>
        <v>211889880</v>
      </c>
      <c r="Q71" s="129">
        <f>COUNTA(Modificaciones!S71,Modificaciones!U71,Modificaciones!W71,Modificaciones!Y71)</f>
        <v>4</v>
      </c>
      <c r="R71" s="130" t="str">
        <f>IF(Modificaciones!Z71=0,"",VLOOKUP(E71,Modificaciones!$B$7:$AA$400,25,0))</f>
        <v>5 meses y 27 días</v>
      </c>
      <c r="S71" s="131">
        <f>IF(Modificaciones!AA71=0,"",VLOOKUP(E71,Modificaciones!$B$7:$AA$400,26,0))</f>
        <v>41562</v>
      </c>
      <c r="T71" s="7">
        <f t="shared" ref="T71:T102" si="14">MAX(N71,S71)</f>
        <v>41562</v>
      </c>
      <c r="U71" s="62">
        <f t="shared" ref="U71:U134" si="15">I71+P71</f>
        <v>619289880</v>
      </c>
      <c r="V71" s="172">
        <f>VLOOKUP(E71,Modificaciones!$B$7:$AU$300,46,0)</f>
        <v>619289880</v>
      </c>
      <c r="W71" s="93">
        <f t="shared" ref="W71:W134" si="16">U71-V71</f>
        <v>0</v>
      </c>
      <c r="X71" s="309"/>
      <c r="Y71" s="42">
        <f t="shared" ref="Y71:Y134" si="17">(V71*100%)/U71</f>
        <v>1</v>
      </c>
      <c r="Z71" s="42">
        <f t="shared" ref="Z71:Z134" ca="1" si="18">IF((($F$3-M71)*100%/(T71-M71))&gt;100%,100%,(($F$3-M71)*100%/(T71-M71)))</f>
        <v>1</v>
      </c>
      <c r="AA71" s="43">
        <f t="shared" ref="AA71:AA134" ca="1" si="19">Z71-Y71</f>
        <v>0</v>
      </c>
      <c r="AB71" s="202" t="str">
        <f t="shared" ref="AB71:AB134" ca="1" si="20">IF(Z71&lt;100%,T71-$F$3,"")</f>
        <v/>
      </c>
      <c r="AC71" s="44" t="str">
        <f t="shared" ref="AC71:AC134" si="21">IF(Y71&lt;=99.9%,"NO","SI")</f>
        <v>SI</v>
      </c>
      <c r="AD71" s="44"/>
      <c r="AE71" s="173" t="s">
        <v>1256</v>
      </c>
      <c r="AF71" s="173" t="s">
        <v>1280</v>
      </c>
      <c r="AG71" s="173" t="s">
        <v>1435</v>
      </c>
      <c r="AH71" s="281" t="s">
        <v>560</v>
      </c>
      <c r="AI71" s="174"/>
      <c r="AJ71" s="181" t="s">
        <v>901</v>
      </c>
      <c r="AK71" s="181" t="str">
        <f t="shared" ref="AK71:AK134" ca="1" si="22">IF(T71&gt;=$F$3,"EN EJECUCIÓN","TERMINO")</f>
        <v>TERMINO</v>
      </c>
      <c r="AL71" s="181" t="s">
        <v>574</v>
      </c>
      <c r="AM71" s="176" t="s">
        <v>390</v>
      </c>
      <c r="AN71" s="848" t="str">
        <f>IFERROR(VLOOKUP(E71,'liquidaciones '!$B$2:$C$1048576,2,0),"NO")</f>
        <v>LIQUIDADO</v>
      </c>
      <c r="AO71" s="944">
        <f>IFERROR(VLOOKUP(E71,'liquidaciones '!$B$2:$I$1048576,8,0),"")</f>
        <v>0</v>
      </c>
      <c r="AP71" s="336">
        <v>42017</v>
      </c>
      <c r="AQ71" s="177" t="str">
        <f t="shared" ca="1" si="11"/>
        <v>NO</v>
      </c>
      <c r="AR71" s="177" t="s">
        <v>1571</v>
      </c>
      <c r="AS71" s="433"/>
      <c r="AT71" s="964"/>
      <c r="AU71" s="964"/>
      <c r="AV71" s="964"/>
    </row>
    <row r="72" spans="1:48" ht="47.25" customHeight="1" x14ac:dyDescent="0.25">
      <c r="A72" s="15">
        <v>3</v>
      </c>
      <c r="B72" s="15">
        <v>66</v>
      </c>
      <c r="C72" s="437"/>
      <c r="D72" s="437" t="str">
        <f t="shared" si="13"/>
        <v>2012</v>
      </c>
      <c r="E72" s="132" t="s">
        <v>598</v>
      </c>
      <c r="F72" s="132" t="s">
        <v>1025</v>
      </c>
      <c r="G72" s="143">
        <v>80199707</v>
      </c>
      <c r="H72" s="993" t="s">
        <v>333</v>
      </c>
      <c r="I72" s="134">
        <v>37359000</v>
      </c>
      <c r="J72" s="134" t="s">
        <v>1088</v>
      </c>
      <c r="K72" s="152">
        <v>2012</v>
      </c>
      <c r="L72" s="546" t="s">
        <v>1088</v>
      </c>
      <c r="M72" s="136">
        <v>41234</v>
      </c>
      <c r="N72" s="136">
        <v>41446</v>
      </c>
      <c r="O72" s="127">
        <f>COUNTA(Modificaciones!I72,Modificaciones!K72,Modificaciones!M72,Modificaciones!O72)</f>
        <v>0</v>
      </c>
      <c r="P72" s="128">
        <f>VLOOKUP(E72,Modificaciones!$B$7:$Q$300,16,0)</f>
        <v>0</v>
      </c>
      <c r="Q72" s="129">
        <f>COUNTA(Modificaciones!S72,Modificaciones!U72,Modificaciones!W72,Modificaciones!Y72)</f>
        <v>0</v>
      </c>
      <c r="R72" s="130" t="str">
        <f>IF(Modificaciones!Z72=0,"",VLOOKUP(E72,Modificaciones!$B$7:$AA$400,25,0))</f>
        <v/>
      </c>
      <c r="S72" s="131" t="str">
        <f>IF(Modificaciones!AA72=0,"",VLOOKUP(E72,Modificaciones!$B$7:$AA$400,26,0))</f>
        <v/>
      </c>
      <c r="T72" s="7">
        <f t="shared" si="14"/>
        <v>41446</v>
      </c>
      <c r="U72" s="62">
        <f t="shared" si="15"/>
        <v>37359000</v>
      </c>
      <c r="V72" s="172">
        <f>VLOOKUP(E72,Modificaciones!$B$7:$AU$300,46,0)</f>
        <v>37359000</v>
      </c>
      <c r="W72" s="93">
        <f t="shared" si="16"/>
        <v>0</v>
      </c>
      <c r="X72" s="309"/>
      <c r="Y72" s="42">
        <f t="shared" si="17"/>
        <v>1</v>
      </c>
      <c r="Z72" s="42">
        <f t="shared" ca="1" si="18"/>
        <v>1</v>
      </c>
      <c r="AA72" s="43">
        <f t="shared" ca="1" si="19"/>
        <v>0</v>
      </c>
      <c r="AB72" s="202" t="str">
        <f t="shared" ca="1" si="20"/>
        <v/>
      </c>
      <c r="AC72" s="44" t="str">
        <f t="shared" si="21"/>
        <v>SI</v>
      </c>
      <c r="AD72" s="44"/>
      <c r="AE72" s="173" t="s">
        <v>1256</v>
      </c>
      <c r="AF72" s="173" t="s">
        <v>1298</v>
      </c>
      <c r="AG72" s="173" t="s">
        <v>1442</v>
      </c>
      <c r="AH72" s="281" t="s">
        <v>560</v>
      </c>
      <c r="AI72" s="174"/>
      <c r="AJ72" s="181" t="s">
        <v>600</v>
      </c>
      <c r="AK72" s="181" t="str">
        <f t="shared" ca="1" si="22"/>
        <v>TERMINO</v>
      </c>
      <c r="AL72" s="181" t="s">
        <v>576</v>
      </c>
      <c r="AM72" s="176" t="s">
        <v>390</v>
      </c>
      <c r="AN72" s="848" t="str">
        <f>IFERROR(VLOOKUP(E72,'liquidaciones '!$B$2:$C$1048576,2,0),"NO")</f>
        <v>NO</v>
      </c>
      <c r="AO72" s="944" t="str">
        <f>IFERROR(VLOOKUP(E72,'liquidaciones '!$B$2:$I$1048576,8,0),"")</f>
        <v/>
      </c>
      <c r="AP72" s="336">
        <v>42234</v>
      </c>
      <c r="AQ72" s="177" t="str">
        <f t="shared" ca="1" si="11"/>
        <v>NO</v>
      </c>
      <c r="AR72" s="177" t="s">
        <v>1571</v>
      </c>
      <c r="AS72" s="433"/>
      <c r="AT72" s="964"/>
      <c r="AU72" s="964"/>
      <c r="AV72" s="964"/>
    </row>
    <row r="73" spans="1:48" ht="47.25" customHeight="1" x14ac:dyDescent="0.25">
      <c r="A73" s="15">
        <v>1</v>
      </c>
      <c r="B73" s="15">
        <v>67</v>
      </c>
      <c r="C73" s="437"/>
      <c r="D73" s="437" t="str">
        <f t="shared" si="13"/>
        <v>2012</v>
      </c>
      <c r="E73" s="145" t="s">
        <v>42</v>
      </c>
      <c r="F73" s="145" t="s">
        <v>43</v>
      </c>
      <c r="G73" s="143">
        <v>830100153</v>
      </c>
      <c r="H73" s="994" t="s">
        <v>1376</v>
      </c>
      <c r="I73" s="146">
        <v>20358000</v>
      </c>
      <c r="J73" s="134" t="s">
        <v>1088</v>
      </c>
      <c r="K73" s="152">
        <v>2012</v>
      </c>
      <c r="L73" s="546" t="s">
        <v>1088</v>
      </c>
      <c r="M73" s="149">
        <v>41240</v>
      </c>
      <c r="N73" s="150">
        <v>41421</v>
      </c>
      <c r="O73" s="127">
        <f>COUNTA(Modificaciones!I73,Modificaciones!K73,Modificaciones!M73,Modificaciones!O73)</f>
        <v>1</v>
      </c>
      <c r="P73" s="128">
        <f>VLOOKUP(E73,Modificaciones!$B$7:$Q$300,16,0)</f>
        <v>8062000</v>
      </c>
      <c r="Q73" s="129">
        <f>COUNTA(Modificaciones!S73,Modificaciones!U73,Modificaciones!W73,Modificaciones!Y73)</f>
        <v>1</v>
      </c>
      <c r="R73" s="130" t="str">
        <f>IF(Modificaciones!Z73=0,"",VLOOKUP(E73,Modificaciones!$B$7:$AA$400,25,0))</f>
        <v>1 mes</v>
      </c>
      <c r="S73" s="131">
        <f>IF(Modificaciones!AA73=0,"",VLOOKUP(E73,Modificaciones!$B$7:$AA$400,26,0))</f>
        <v>41452</v>
      </c>
      <c r="T73" s="7">
        <f t="shared" si="14"/>
        <v>41452</v>
      </c>
      <c r="U73" s="62">
        <f t="shared" si="15"/>
        <v>28420000</v>
      </c>
      <c r="V73" s="172">
        <f>VLOOKUP(E73,Modificaciones!$B$7:$AU$300,46,0)</f>
        <v>28379400</v>
      </c>
      <c r="W73" s="93">
        <f t="shared" si="16"/>
        <v>40600</v>
      </c>
      <c r="X73" s="309"/>
      <c r="Y73" s="42">
        <f t="shared" si="17"/>
        <v>0.99857142857142855</v>
      </c>
      <c r="Z73" s="42">
        <f t="shared" ca="1" si="18"/>
        <v>1</v>
      </c>
      <c r="AA73" s="43">
        <f t="shared" ca="1" si="19"/>
        <v>1.4285714285714457E-3</v>
      </c>
      <c r="AB73" s="202" t="str">
        <f t="shared" ca="1" si="20"/>
        <v/>
      </c>
      <c r="AC73" s="44" t="str">
        <f t="shared" si="21"/>
        <v>NO</v>
      </c>
      <c r="AD73" s="44"/>
      <c r="AE73" s="173" t="s">
        <v>1256</v>
      </c>
      <c r="AF73" s="173" t="s">
        <v>1135</v>
      </c>
      <c r="AG73" s="173"/>
      <c r="AH73" s="281" t="s">
        <v>562</v>
      </c>
      <c r="AI73" s="174" t="s">
        <v>1506</v>
      </c>
      <c r="AJ73" s="181" t="s">
        <v>600</v>
      </c>
      <c r="AK73" s="181" t="str">
        <f t="shared" ca="1" si="22"/>
        <v>TERMINO</v>
      </c>
      <c r="AL73" s="181" t="s">
        <v>576</v>
      </c>
      <c r="AM73" s="176" t="s">
        <v>390</v>
      </c>
      <c r="AN73" s="848" t="str">
        <f>IFERROR(VLOOKUP(E73,'liquidaciones '!$B$2:$C$1048576,2,0),"NO")</f>
        <v>LIQUIDADO</v>
      </c>
      <c r="AO73" s="944">
        <f>IFERROR(VLOOKUP(E73,'liquidaciones '!$B$2:$I$1048576,8,0),"")</f>
        <v>0</v>
      </c>
      <c r="AP73" s="336">
        <v>42107</v>
      </c>
      <c r="AQ73" s="177" t="str">
        <f t="shared" ca="1" si="11"/>
        <v>NO</v>
      </c>
      <c r="AR73" s="177" t="s">
        <v>1571</v>
      </c>
      <c r="AS73" s="433"/>
      <c r="AT73" s="964"/>
      <c r="AU73" s="964"/>
      <c r="AV73" s="964"/>
    </row>
    <row r="74" spans="1:48" ht="47.25" customHeight="1" x14ac:dyDescent="0.25">
      <c r="A74" s="15">
        <v>1</v>
      </c>
      <c r="B74" s="15">
        <v>68</v>
      </c>
      <c r="C74" s="437"/>
      <c r="D74" s="437" t="str">
        <f t="shared" si="13"/>
        <v>2012</v>
      </c>
      <c r="E74" s="145" t="s">
        <v>599</v>
      </c>
      <c r="F74" s="145" t="s">
        <v>1026</v>
      </c>
      <c r="G74" s="143">
        <v>860030197</v>
      </c>
      <c r="H74" s="994" t="s">
        <v>461</v>
      </c>
      <c r="I74" s="146">
        <v>6388708</v>
      </c>
      <c r="J74" s="850" t="s">
        <v>4069</v>
      </c>
      <c r="K74" s="152">
        <v>2012</v>
      </c>
      <c r="L74" s="546" t="s">
        <v>1088</v>
      </c>
      <c r="M74" s="147">
        <v>41248</v>
      </c>
      <c r="N74" s="148">
        <v>41500</v>
      </c>
      <c r="O74" s="127">
        <f>COUNTA(Modificaciones!I74,Modificaciones!K74,Modificaciones!M74,Modificaciones!O74)</f>
        <v>1</v>
      </c>
      <c r="P74" s="128">
        <f>VLOOKUP(E74,Modificaciones!$B$7:$Q$300,16,0)</f>
        <v>2648556</v>
      </c>
      <c r="Q74" s="129">
        <f>COUNTA(Modificaciones!S74,Modificaciones!U74,Modificaciones!W74,Modificaciones!Y74)</f>
        <v>3</v>
      </c>
      <c r="R74" s="130" t="str">
        <f>IF(Modificaciones!Z74=0,"",VLOOKUP(E74,Modificaciones!$B$7:$AA$400,25,0))</f>
        <v>3 meses y 20 días</v>
      </c>
      <c r="S74" s="131">
        <f>IF(Modificaciones!AA74=0,"",VLOOKUP(E74,Modificaciones!$B$7:$AA$400,26,0))</f>
        <v>41580</v>
      </c>
      <c r="T74" s="7">
        <f t="shared" si="14"/>
        <v>41580</v>
      </c>
      <c r="U74" s="62">
        <f t="shared" si="15"/>
        <v>9037264</v>
      </c>
      <c r="V74" s="172">
        <f>VLOOKUP(E74,Modificaciones!$B$7:$AU$300,46,0)</f>
        <v>7492420</v>
      </c>
      <c r="W74" s="93">
        <f t="shared" si="16"/>
        <v>1544844</v>
      </c>
      <c r="X74" s="309"/>
      <c r="Y74" s="42">
        <f t="shared" si="17"/>
        <v>0.82905844069621071</v>
      </c>
      <c r="Z74" s="42">
        <f t="shared" ca="1" si="18"/>
        <v>1</v>
      </c>
      <c r="AA74" s="43">
        <f t="shared" ca="1" si="19"/>
        <v>0.17094155930378929</v>
      </c>
      <c r="AB74" s="202" t="str">
        <f t="shared" ca="1" si="20"/>
        <v/>
      </c>
      <c r="AC74" s="44" t="str">
        <f t="shared" si="21"/>
        <v>NO</v>
      </c>
      <c r="AD74" s="44"/>
      <c r="AE74" s="173" t="s">
        <v>1256</v>
      </c>
      <c r="AF74" s="173" t="s">
        <v>1287</v>
      </c>
      <c r="AG74" s="173"/>
      <c r="AH74" s="281"/>
      <c r="AI74" s="174"/>
      <c r="AJ74" s="175" t="s">
        <v>901</v>
      </c>
      <c r="AK74" s="181" t="str">
        <f t="shared" ca="1" si="22"/>
        <v>TERMINO</v>
      </c>
      <c r="AL74" s="175"/>
      <c r="AM74" s="176" t="s">
        <v>390</v>
      </c>
      <c r="AN74" s="848" t="str">
        <f>IFERROR(VLOOKUP(E74,'liquidaciones '!$B$2:$C$1048576,2,0),"NO")</f>
        <v>LIQUIDADO</v>
      </c>
      <c r="AO74" s="944">
        <f>IFERROR(VLOOKUP(E74,'liquidaciones '!$B$2:$I$1048576,8,0),"")</f>
        <v>0</v>
      </c>
      <c r="AP74" s="336">
        <v>42278</v>
      </c>
      <c r="AQ74" s="177" t="str">
        <f t="shared" ca="1" si="11"/>
        <v>NO</v>
      </c>
      <c r="AR74" s="177" t="s">
        <v>1571</v>
      </c>
      <c r="AS74" s="433"/>
      <c r="AT74" s="964"/>
      <c r="AU74" s="964"/>
      <c r="AV74" s="964"/>
    </row>
    <row r="75" spans="1:48" ht="47.25" customHeight="1" x14ac:dyDescent="0.25">
      <c r="A75" s="15">
        <v>1</v>
      </c>
      <c r="B75" s="15">
        <v>69</v>
      </c>
      <c r="C75" s="437"/>
      <c r="D75" s="437" t="str">
        <f t="shared" si="13"/>
        <v>2012</v>
      </c>
      <c r="E75" s="132" t="s">
        <v>67</v>
      </c>
      <c r="F75" s="132" t="s">
        <v>68</v>
      </c>
      <c r="G75" s="143">
        <v>860007336</v>
      </c>
      <c r="H75" s="993" t="s">
        <v>462</v>
      </c>
      <c r="I75" s="134">
        <v>58300000</v>
      </c>
      <c r="J75" s="134" t="s">
        <v>1088</v>
      </c>
      <c r="K75" s="152">
        <v>2012</v>
      </c>
      <c r="L75" s="546" t="s">
        <v>1088</v>
      </c>
      <c r="M75" s="138">
        <v>41260</v>
      </c>
      <c r="N75" s="138">
        <v>41322</v>
      </c>
      <c r="O75" s="127">
        <f>COUNTA(Modificaciones!I75,Modificaciones!K75,Modificaciones!M75,Modificaciones!O75)</f>
        <v>0</v>
      </c>
      <c r="P75" s="128">
        <f>VLOOKUP(E75,Modificaciones!$B$7:$Q$300,16,0)</f>
        <v>0</v>
      </c>
      <c r="Q75" s="129">
        <f>COUNTA(Modificaciones!S75,Modificaciones!U75,Modificaciones!W75,Modificaciones!Y75)</f>
        <v>0</v>
      </c>
      <c r="R75" s="130" t="str">
        <f>IF(Modificaciones!Z75=0,"",VLOOKUP(E75,Modificaciones!$B$7:$AA$400,25,0))</f>
        <v/>
      </c>
      <c r="S75" s="131" t="str">
        <f>IF(Modificaciones!AA75=0,"",VLOOKUP(E75,Modificaciones!$B$7:$AA$400,26,0))</f>
        <v/>
      </c>
      <c r="T75" s="7">
        <f t="shared" si="14"/>
        <v>41322</v>
      </c>
      <c r="U75" s="62">
        <f t="shared" si="15"/>
        <v>58300000</v>
      </c>
      <c r="V75" s="172">
        <f>VLOOKUP(E75,Modificaciones!$B$7:$AU$300,46,0)</f>
        <v>58300000</v>
      </c>
      <c r="W75" s="93">
        <f t="shared" si="16"/>
        <v>0</v>
      </c>
      <c r="X75" s="309"/>
      <c r="Y75" s="42">
        <f t="shared" si="17"/>
        <v>1</v>
      </c>
      <c r="Z75" s="42">
        <f t="shared" ca="1" si="18"/>
        <v>1</v>
      </c>
      <c r="AA75" s="43">
        <f t="shared" ca="1" si="19"/>
        <v>0</v>
      </c>
      <c r="AB75" s="202" t="str">
        <f t="shared" ca="1" si="20"/>
        <v/>
      </c>
      <c r="AC75" s="44" t="str">
        <f t="shared" si="21"/>
        <v>SI</v>
      </c>
      <c r="AD75" s="44"/>
      <c r="AE75" s="173" t="s">
        <v>1256</v>
      </c>
      <c r="AF75" s="173" t="s">
        <v>1280</v>
      </c>
      <c r="AG75" s="173"/>
      <c r="AH75" s="281"/>
      <c r="AI75" s="174"/>
      <c r="AJ75" s="181" t="s">
        <v>600</v>
      </c>
      <c r="AK75" s="181" t="str">
        <f t="shared" ca="1" si="22"/>
        <v>TERMINO</v>
      </c>
      <c r="AL75" s="181" t="s">
        <v>574</v>
      </c>
      <c r="AM75" s="176" t="s">
        <v>390</v>
      </c>
      <c r="AN75" s="848" t="str">
        <f>IFERROR(VLOOKUP(E75,'liquidaciones '!$B$2:$C$1048576,2,0),"NO")</f>
        <v>LIQUIDADO</v>
      </c>
      <c r="AO75" s="944">
        <f>IFERROR(VLOOKUP(E75,'liquidaciones '!$B$2:$I$1048576,8,0),"")</f>
        <v>0</v>
      </c>
      <c r="AP75" s="336">
        <v>42121</v>
      </c>
      <c r="AQ75" s="177" t="str">
        <f t="shared" ca="1" si="11"/>
        <v>NO</v>
      </c>
      <c r="AR75" s="177" t="s">
        <v>1571</v>
      </c>
      <c r="AS75" s="433"/>
      <c r="AT75" s="964"/>
      <c r="AU75" s="964"/>
      <c r="AV75" s="964"/>
    </row>
    <row r="76" spans="1:48" ht="47.25" customHeight="1" x14ac:dyDescent="0.25">
      <c r="A76" s="15">
        <v>1</v>
      </c>
      <c r="B76" s="15">
        <v>70</v>
      </c>
      <c r="C76" s="437"/>
      <c r="D76" s="437" t="str">
        <f t="shared" si="13"/>
        <v>2012</v>
      </c>
      <c r="E76" s="145" t="s">
        <v>74</v>
      </c>
      <c r="F76" s="145" t="s">
        <v>75</v>
      </c>
      <c r="G76" s="143">
        <v>800045878</v>
      </c>
      <c r="H76" s="994" t="s">
        <v>415</v>
      </c>
      <c r="I76" s="146">
        <v>293000000</v>
      </c>
      <c r="J76" s="134" t="s">
        <v>1088</v>
      </c>
      <c r="K76" s="152">
        <v>2012</v>
      </c>
      <c r="L76" s="546" t="s">
        <v>1088</v>
      </c>
      <c r="M76" s="147">
        <v>41269</v>
      </c>
      <c r="N76" s="148">
        <v>41451</v>
      </c>
      <c r="O76" s="127">
        <f>COUNTA(Modificaciones!I76,Modificaciones!K76,Modificaciones!M76,Modificaciones!O76)</f>
        <v>2</v>
      </c>
      <c r="P76" s="128">
        <f>VLOOKUP(E76,Modificaciones!$B$7:$Q$300,16,0)</f>
        <v>118000000</v>
      </c>
      <c r="Q76" s="129">
        <f>COUNTA(Modificaciones!S76,Modificaciones!U76,Modificaciones!W76,Modificaciones!Y76)</f>
        <v>4</v>
      </c>
      <c r="R76" s="130" t="str">
        <f>IF(Modificaciones!Z76=0,"",VLOOKUP(E76,Modificaciones!$B$7:$AA$400,25,0))</f>
        <v>4 meses y 20 días</v>
      </c>
      <c r="S76" s="131">
        <f>IF(Modificaciones!AA76=0,"",VLOOKUP(E76,Modificaciones!$B$7:$AA$400,26,0))</f>
        <v>41593</v>
      </c>
      <c r="T76" s="7">
        <f t="shared" si="14"/>
        <v>41593</v>
      </c>
      <c r="U76" s="62">
        <f t="shared" si="15"/>
        <v>411000000</v>
      </c>
      <c r="V76" s="172">
        <f>VLOOKUP(E76,Modificaciones!$B$7:$AU$300,46,0)</f>
        <v>411000000</v>
      </c>
      <c r="W76" s="93">
        <f t="shared" si="16"/>
        <v>0</v>
      </c>
      <c r="X76" s="309"/>
      <c r="Y76" s="42">
        <f t="shared" si="17"/>
        <v>1</v>
      </c>
      <c r="Z76" s="42">
        <f t="shared" ca="1" si="18"/>
        <v>1</v>
      </c>
      <c r="AA76" s="43">
        <f t="shared" ca="1" si="19"/>
        <v>0</v>
      </c>
      <c r="AB76" s="202" t="str">
        <f t="shared" ca="1" si="20"/>
        <v/>
      </c>
      <c r="AC76" s="44" t="str">
        <f t="shared" si="21"/>
        <v>SI</v>
      </c>
      <c r="AD76" s="44"/>
      <c r="AE76" s="173" t="s">
        <v>1256</v>
      </c>
      <c r="AF76" s="173" t="s">
        <v>1129</v>
      </c>
      <c r="AG76" s="173"/>
      <c r="AH76" s="281"/>
      <c r="AI76" s="174"/>
      <c r="AJ76" s="181" t="s">
        <v>600</v>
      </c>
      <c r="AK76" s="181" t="str">
        <f t="shared" ca="1" si="22"/>
        <v>TERMINO</v>
      </c>
      <c r="AL76" s="181" t="s">
        <v>995</v>
      </c>
      <c r="AM76" s="176" t="s">
        <v>390</v>
      </c>
      <c r="AN76" s="848" t="str">
        <f>IFERROR(VLOOKUP(E76,'liquidaciones '!$B$2:$C$1048576,2,0),"NO")</f>
        <v>NO</v>
      </c>
      <c r="AO76" s="944" t="str">
        <f>IFERROR(VLOOKUP(E76,'liquidaciones '!$B$2:$I$1048576,8,0),"")</f>
        <v/>
      </c>
      <c r="AP76" s="336"/>
      <c r="AQ76" s="177" t="str">
        <f t="shared" ca="1" si="11"/>
        <v>NO</v>
      </c>
      <c r="AR76" s="177" t="s">
        <v>1571</v>
      </c>
      <c r="AS76" s="433"/>
      <c r="AT76" s="964"/>
      <c r="AU76" s="964"/>
      <c r="AV76" s="964"/>
    </row>
    <row r="77" spans="1:48" ht="47.25" customHeight="1" x14ac:dyDescent="0.25">
      <c r="A77" s="15">
        <v>1</v>
      </c>
      <c r="B77" s="15">
        <v>71</v>
      </c>
      <c r="C77" s="437"/>
      <c r="D77" s="437" t="str">
        <f t="shared" si="13"/>
        <v>2012</v>
      </c>
      <c r="E77" s="132" t="s">
        <v>54</v>
      </c>
      <c r="F77" s="132" t="s">
        <v>55</v>
      </c>
      <c r="G77" s="143">
        <v>830050320</v>
      </c>
      <c r="H77" s="993" t="s">
        <v>334</v>
      </c>
      <c r="I77" s="134">
        <v>10032000</v>
      </c>
      <c r="J77" s="850" t="s">
        <v>2255</v>
      </c>
      <c r="K77" s="152">
        <v>2012</v>
      </c>
      <c r="L77" s="546" t="s">
        <v>1088</v>
      </c>
      <c r="M77" s="138">
        <v>41271</v>
      </c>
      <c r="N77" s="138">
        <v>41514</v>
      </c>
      <c r="O77" s="127">
        <f>COUNTA(Modificaciones!I77,Modificaciones!K77,Modificaciones!M77,Modificaciones!O77)</f>
        <v>0</v>
      </c>
      <c r="P77" s="128">
        <f>VLOOKUP(E77,Modificaciones!$B$7:$Q$300,16,0)</f>
        <v>0</v>
      </c>
      <c r="Q77" s="129">
        <f>COUNTA(Modificaciones!S77,Modificaciones!U77,Modificaciones!W77,Modificaciones!Y77)</f>
        <v>1</v>
      </c>
      <c r="R77" s="130" t="str">
        <f>IF(Modificaciones!Z77=0,"",VLOOKUP(E77,Modificaciones!$B$7:$AA$400,25,0))</f>
        <v>2 meses</v>
      </c>
      <c r="S77" s="131">
        <f>IF(Modificaciones!AA77=0,"",VLOOKUP(E77,Modificaciones!$B$7:$AA$400,26,0))</f>
        <v>41575</v>
      </c>
      <c r="T77" s="7">
        <f t="shared" si="14"/>
        <v>41575</v>
      </c>
      <c r="U77" s="62">
        <f t="shared" si="15"/>
        <v>10032000</v>
      </c>
      <c r="V77" s="172">
        <f>VLOOKUP(E77,Modificaciones!$B$7:$AU$300,46,0)</f>
        <v>9339930</v>
      </c>
      <c r="W77" s="93">
        <f t="shared" si="16"/>
        <v>692070</v>
      </c>
      <c r="X77" s="309"/>
      <c r="Y77" s="42">
        <f t="shared" si="17"/>
        <v>0.93101375598086122</v>
      </c>
      <c r="Z77" s="42">
        <f t="shared" ca="1" si="18"/>
        <v>1</v>
      </c>
      <c r="AA77" s="43">
        <f t="shared" ca="1" si="19"/>
        <v>6.8986244019138776E-2</v>
      </c>
      <c r="AB77" s="202" t="str">
        <f t="shared" ca="1" si="20"/>
        <v/>
      </c>
      <c r="AC77" s="44" t="str">
        <f t="shared" si="21"/>
        <v>NO</v>
      </c>
      <c r="AD77" s="44"/>
      <c r="AE77" s="173" t="s">
        <v>1256</v>
      </c>
      <c r="AF77" s="173" t="s">
        <v>1168</v>
      </c>
      <c r="AG77" s="173" t="s">
        <v>1442</v>
      </c>
      <c r="AH77" s="281" t="s">
        <v>560</v>
      </c>
      <c r="AI77" s="174"/>
      <c r="AJ77" s="181" t="s">
        <v>600</v>
      </c>
      <c r="AK77" s="181" t="str">
        <f t="shared" ca="1" si="22"/>
        <v>TERMINO</v>
      </c>
      <c r="AL77" s="181" t="s">
        <v>576</v>
      </c>
      <c r="AM77" s="176" t="s">
        <v>390</v>
      </c>
      <c r="AN77" s="848" t="str">
        <f>IFERROR(VLOOKUP(E77,'liquidaciones '!$B$2:$C$1048576,2,0),"NO")</f>
        <v>LIQUIDADO</v>
      </c>
      <c r="AO77" s="944">
        <f>IFERROR(VLOOKUP(E77,'liquidaciones '!$B$2:$I$1048576,8,0),"")</f>
        <v>0</v>
      </c>
      <c r="AP77" s="336">
        <v>42321</v>
      </c>
      <c r="AQ77" s="177" t="str">
        <f t="shared" ca="1" si="11"/>
        <v>NO</v>
      </c>
      <c r="AR77" s="177" t="s">
        <v>1571</v>
      </c>
      <c r="AS77" s="433"/>
      <c r="AT77" s="964"/>
      <c r="AU77" s="964"/>
      <c r="AV77" s="964"/>
    </row>
    <row r="78" spans="1:48" ht="47.25" customHeight="1" x14ac:dyDescent="0.25">
      <c r="A78" s="15">
        <v>1</v>
      </c>
      <c r="B78" s="15">
        <v>72</v>
      </c>
      <c r="C78" s="437"/>
      <c r="D78" s="437" t="str">
        <f t="shared" si="13"/>
        <v>2012</v>
      </c>
      <c r="E78" s="132" t="s">
        <v>11</v>
      </c>
      <c r="F78" s="132" t="s">
        <v>12</v>
      </c>
      <c r="G78" s="143">
        <v>805006014</v>
      </c>
      <c r="H78" s="993" t="s">
        <v>316</v>
      </c>
      <c r="I78" s="134">
        <v>1633200</v>
      </c>
      <c r="J78" s="134" t="s">
        <v>1088</v>
      </c>
      <c r="K78" s="135">
        <v>2012</v>
      </c>
      <c r="L78" s="546" t="s">
        <v>1088</v>
      </c>
      <c r="M78" s="136">
        <v>41288</v>
      </c>
      <c r="N78" s="136">
        <v>41652</v>
      </c>
      <c r="O78" s="127">
        <f>COUNTA(Modificaciones!I78,Modificaciones!K78,Modificaciones!M78,Modificaciones!O78)</f>
        <v>1</v>
      </c>
      <c r="P78" s="128">
        <f>VLOOKUP(E78,Modificaciones!$B$7:$Q$300,16,0)</f>
        <v>285000</v>
      </c>
      <c r="Q78" s="129">
        <f>COUNTA(Modificaciones!S78,Modificaciones!U78,Modificaciones!W78,Modificaciones!Y78)</f>
        <v>1</v>
      </c>
      <c r="R78" s="130" t="str">
        <f>IF(Modificaciones!Z78=0,"",VLOOKUP(E78,Modificaciones!$B$7:$AA$400,25,0))</f>
        <v>2 meses</v>
      </c>
      <c r="S78" s="131">
        <f>IF(Modificaciones!AA78=0,"",VLOOKUP(E78,Modificaciones!$B$7:$AA$400,26,0))</f>
        <v>41711</v>
      </c>
      <c r="T78" s="7">
        <f t="shared" si="14"/>
        <v>41711</v>
      </c>
      <c r="U78" s="62">
        <f t="shared" si="15"/>
        <v>1918200</v>
      </c>
      <c r="V78" s="172">
        <f>VLOOKUP(E78,Modificaciones!$B$7:$AU$300,46,0)</f>
        <v>1755170</v>
      </c>
      <c r="W78" s="93">
        <f t="shared" si="16"/>
        <v>163030</v>
      </c>
      <c r="X78" s="309"/>
      <c r="Y78" s="42">
        <f t="shared" si="17"/>
        <v>0.91500886247523716</v>
      </c>
      <c r="Z78" s="42">
        <f t="shared" ca="1" si="18"/>
        <v>1</v>
      </c>
      <c r="AA78" s="43">
        <f t="shared" ca="1" si="19"/>
        <v>8.4991137524762839E-2</v>
      </c>
      <c r="AB78" s="202" t="str">
        <f t="shared" ca="1" si="20"/>
        <v/>
      </c>
      <c r="AC78" s="44" t="str">
        <f t="shared" si="21"/>
        <v>NO</v>
      </c>
      <c r="AD78" s="44"/>
      <c r="AE78" s="173" t="s">
        <v>1256</v>
      </c>
      <c r="AF78" s="173" t="s">
        <v>1133</v>
      </c>
      <c r="AG78" s="173" t="s">
        <v>1442</v>
      </c>
      <c r="AH78" s="281" t="s">
        <v>560</v>
      </c>
      <c r="AI78" s="174"/>
      <c r="AJ78" s="181" t="s">
        <v>600</v>
      </c>
      <c r="AK78" s="181" t="str">
        <f t="shared" ca="1" si="22"/>
        <v>TERMINO</v>
      </c>
      <c r="AL78" s="181" t="s">
        <v>576</v>
      </c>
      <c r="AM78" s="176" t="s">
        <v>390</v>
      </c>
      <c r="AN78" s="848" t="str">
        <f>IFERROR(VLOOKUP(E78,'liquidaciones '!$B$2:$C$1048576,2,0),"NO")</f>
        <v>NO</v>
      </c>
      <c r="AO78" s="944" t="str">
        <f>IFERROR(VLOOKUP(E78,'liquidaciones '!$B$2:$I$1048576,8,0),"")</f>
        <v/>
      </c>
      <c r="AP78" s="336"/>
      <c r="AQ78" s="177" t="str">
        <f t="shared" ca="1" si="11"/>
        <v>NO</v>
      </c>
      <c r="AR78" s="177" t="s">
        <v>1571</v>
      </c>
      <c r="AS78" s="433"/>
      <c r="AT78" s="964"/>
      <c r="AU78" s="964"/>
      <c r="AV78" s="964"/>
    </row>
    <row r="79" spans="1:48" ht="65.25" customHeight="1" x14ac:dyDescent="0.25">
      <c r="B79" s="15">
        <v>73</v>
      </c>
      <c r="C79" s="437"/>
      <c r="D79" s="437" t="str">
        <f t="shared" si="13"/>
        <v>2013</v>
      </c>
      <c r="E79" s="139" t="s">
        <v>309</v>
      </c>
      <c r="F79" s="132" t="s">
        <v>77</v>
      </c>
      <c r="G79" s="133">
        <v>860506170</v>
      </c>
      <c r="H79" s="993" t="s">
        <v>1887</v>
      </c>
      <c r="I79" s="140">
        <v>398614000</v>
      </c>
      <c r="J79" s="134" t="s">
        <v>1088</v>
      </c>
      <c r="K79" s="157">
        <v>2013</v>
      </c>
      <c r="L79" s="546" t="s">
        <v>1088</v>
      </c>
      <c r="M79" s="138">
        <v>41864</v>
      </c>
      <c r="N79" s="138">
        <v>42107</v>
      </c>
      <c r="O79" s="127">
        <f>COUNTA(Modificaciones!I79,Modificaciones!K79,Modificaciones!M79,Modificaciones!O79)</f>
        <v>0</v>
      </c>
      <c r="P79" s="128">
        <f>VLOOKUP(E79,Modificaciones!$B$7:$Q$300,16,0)</f>
        <v>0</v>
      </c>
      <c r="Q79" s="129">
        <f>COUNTA(Modificaciones!S79,Modificaciones!U79,Modificaciones!W79,Modificaciones!Y79)</f>
        <v>1</v>
      </c>
      <c r="R79" s="130" t="str">
        <f>IF(Modificaciones!Z79=0,"",VLOOKUP(E79,Modificaciones!$B$7:$AA$400,25,0))</f>
        <v>7 meses</v>
      </c>
      <c r="S79" s="131">
        <f>IF(Modificaciones!AA79=0,"",VLOOKUP(E79,Modificaciones!$B$7:$AA$400,26,0))</f>
        <v>42321</v>
      </c>
      <c r="T79" s="7">
        <f t="shared" si="14"/>
        <v>42321</v>
      </c>
      <c r="U79" s="62">
        <f t="shared" si="15"/>
        <v>398614000</v>
      </c>
      <c r="V79" s="172">
        <f>VLOOKUP(E79,Modificaciones!$B$7:$AU$300,46,0)</f>
        <v>398614000</v>
      </c>
      <c r="W79" s="93">
        <f t="shared" si="16"/>
        <v>0</v>
      </c>
      <c r="X79" s="312"/>
      <c r="Y79" s="101">
        <f t="shared" si="17"/>
        <v>1</v>
      </c>
      <c r="Z79" s="42">
        <f t="shared" ca="1" si="18"/>
        <v>1</v>
      </c>
      <c r="AA79" s="102">
        <f t="shared" ca="1" si="19"/>
        <v>0</v>
      </c>
      <c r="AB79" s="202" t="str">
        <f t="shared" ca="1" si="20"/>
        <v/>
      </c>
      <c r="AC79" s="44" t="str">
        <f t="shared" si="21"/>
        <v>SI</v>
      </c>
      <c r="AD79" s="44"/>
      <c r="AE79" s="173"/>
      <c r="AF79" s="301" t="s">
        <v>1124</v>
      </c>
      <c r="AG79" s="173" t="s">
        <v>1442</v>
      </c>
      <c r="AH79" s="281" t="s">
        <v>562</v>
      </c>
      <c r="AI79" s="174" t="s">
        <v>1393</v>
      </c>
      <c r="AJ79" s="181" t="s">
        <v>901</v>
      </c>
      <c r="AK79" s="181" t="str">
        <f t="shared" ca="1" si="22"/>
        <v>TERMINO</v>
      </c>
      <c r="AL79" s="181" t="s">
        <v>582</v>
      </c>
      <c r="AM79" s="176" t="s">
        <v>390</v>
      </c>
      <c r="AN79" s="848" t="str">
        <f>IFERROR(VLOOKUP(E79,'liquidaciones '!$B$2:$C$1048576,2,0),"NO")</f>
        <v>EN TRÁMITE</v>
      </c>
      <c r="AO79" s="944" t="str">
        <f>IFERROR(VLOOKUP(E79,'liquidaciones '!$B$2:$I$1048576,8,0),"")</f>
        <v>MANUEL ROJAS</v>
      </c>
      <c r="AP79" s="336"/>
      <c r="AQ79" s="177" t="str">
        <f t="shared" ref="AQ79:AQ142" ca="1" si="23">IF((TODAY()-T79&lt;900),"SI","NO")</f>
        <v>NO</v>
      </c>
      <c r="AR79" s="177" t="s">
        <v>1571</v>
      </c>
      <c r="AS79" s="433"/>
      <c r="AT79" s="964"/>
      <c r="AU79" s="964"/>
      <c r="AV79" s="964"/>
    </row>
    <row r="80" spans="1:48" ht="47.25" customHeight="1" x14ac:dyDescent="0.25">
      <c r="A80" s="15">
        <v>1</v>
      </c>
      <c r="B80" s="15">
        <v>74</v>
      </c>
      <c r="C80" s="437"/>
      <c r="D80" s="437" t="str">
        <f t="shared" si="13"/>
        <v>2012</v>
      </c>
      <c r="E80" s="132" t="s">
        <v>45</v>
      </c>
      <c r="F80" s="132" t="s">
        <v>46</v>
      </c>
      <c r="G80" s="143">
        <v>900006611</v>
      </c>
      <c r="H80" s="993" t="s">
        <v>330</v>
      </c>
      <c r="I80" s="134">
        <v>1062500</v>
      </c>
      <c r="J80" s="850" t="s">
        <v>4574</v>
      </c>
      <c r="K80" s="135">
        <v>2012</v>
      </c>
      <c r="L80" s="546" t="s">
        <v>1088</v>
      </c>
      <c r="M80" s="136">
        <v>41292</v>
      </c>
      <c r="N80" s="136">
        <v>41322</v>
      </c>
      <c r="O80" s="127">
        <f>COUNTA(Modificaciones!I80,Modificaciones!K80,Modificaciones!M80,Modificaciones!O80)</f>
        <v>0</v>
      </c>
      <c r="P80" s="128">
        <f>VLOOKUP(E80,Modificaciones!$B$7:$Q$300,16,0)</f>
        <v>0</v>
      </c>
      <c r="Q80" s="129">
        <f>COUNTA(Modificaciones!S80,Modificaciones!U80,Modificaciones!W80,Modificaciones!Y80)</f>
        <v>0</v>
      </c>
      <c r="R80" s="130" t="str">
        <f>IF(Modificaciones!Z80=0,"",VLOOKUP(E80,Modificaciones!$B$7:$AA$400,25,0))</f>
        <v/>
      </c>
      <c r="S80" s="131" t="str">
        <f>IF(Modificaciones!AA80=0,"",VLOOKUP(E80,Modificaciones!$B$7:$AA$400,26,0))</f>
        <v/>
      </c>
      <c r="T80" s="7">
        <f t="shared" si="14"/>
        <v>41322</v>
      </c>
      <c r="U80" s="62">
        <f t="shared" si="15"/>
        <v>1062500</v>
      </c>
      <c r="V80" s="172">
        <f>VLOOKUP(E80,Modificaciones!$B$7:$AU$300,46,0)</f>
        <v>1062500</v>
      </c>
      <c r="W80" s="93">
        <f t="shared" si="16"/>
        <v>0</v>
      </c>
      <c r="X80" s="420"/>
      <c r="Y80" s="101">
        <f t="shared" si="17"/>
        <v>1</v>
      </c>
      <c r="Z80" s="42">
        <f t="shared" ca="1" si="18"/>
        <v>1</v>
      </c>
      <c r="AA80" s="103">
        <f t="shared" ca="1" si="19"/>
        <v>0</v>
      </c>
      <c r="AB80" s="202" t="str">
        <f t="shared" ca="1" si="20"/>
        <v/>
      </c>
      <c r="AC80" s="44" t="str">
        <f t="shared" si="21"/>
        <v>SI</v>
      </c>
      <c r="AD80" s="44"/>
      <c r="AE80" s="173" t="s">
        <v>1256</v>
      </c>
      <c r="AF80" s="173" t="s">
        <v>1288</v>
      </c>
      <c r="AG80" s="173"/>
      <c r="AH80" s="281"/>
      <c r="AI80" s="174"/>
      <c r="AJ80" s="181" t="s">
        <v>600</v>
      </c>
      <c r="AK80" s="181" t="str">
        <f t="shared" ca="1" si="22"/>
        <v>TERMINO</v>
      </c>
      <c r="AL80" s="181" t="s">
        <v>576</v>
      </c>
      <c r="AM80" s="176" t="s">
        <v>391</v>
      </c>
      <c r="AN80" s="848" t="str">
        <f>IFERROR(VLOOKUP(E80,'liquidaciones '!$B$2:$C$1048576,2,0),"NO")</f>
        <v>EN TRÁMITE</v>
      </c>
      <c r="AO80" s="944" t="str">
        <f>IFERROR(VLOOKUP(E80,'liquidaciones '!$B$2:$I$1048576,8,0),"")</f>
        <v>JUAN DIEGO ESPITIA</v>
      </c>
      <c r="AP80" s="334"/>
      <c r="AQ80" s="177" t="str">
        <f t="shared" ca="1" si="23"/>
        <v>NO</v>
      </c>
      <c r="AR80" s="177" t="s">
        <v>1571</v>
      </c>
      <c r="AS80" s="433"/>
      <c r="AT80" s="964"/>
      <c r="AU80" s="964"/>
      <c r="AV80" s="964"/>
    </row>
    <row r="81" spans="1:48" ht="69" customHeight="1" x14ac:dyDescent="0.25">
      <c r="A81" s="15">
        <v>2</v>
      </c>
      <c r="B81" s="15">
        <v>75</v>
      </c>
      <c r="C81" s="437"/>
      <c r="D81" s="437" t="str">
        <f t="shared" si="13"/>
        <v>2012</v>
      </c>
      <c r="E81" s="132" t="s">
        <v>25</v>
      </c>
      <c r="F81" s="132" t="s">
        <v>26</v>
      </c>
      <c r="G81" s="143">
        <v>830039811</v>
      </c>
      <c r="H81" s="995" t="s">
        <v>1377</v>
      </c>
      <c r="I81" s="134">
        <v>80074800</v>
      </c>
      <c r="J81" s="134" t="s">
        <v>1088</v>
      </c>
      <c r="K81" s="135">
        <v>2012</v>
      </c>
      <c r="L81" s="546" t="s">
        <v>1088</v>
      </c>
      <c r="M81" s="138">
        <v>41313</v>
      </c>
      <c r="N81" s="138">
        <v>41705</v>
      </c>
      <c r="O81" s="127">
        <f>COUNTA(Modificaciones!I81,Modificaciones!K81,Modificaciones!M81,Modificaciones!O81)</f>
        <v>1</v>
      </c>
      <c r="P81" s="128">
        <f>VLOOKUP(E81,Modificaciones!$B$7:$Q$300,16,0)</f>
        <v>35588800</v>
      </c>
      <c r="Q81" s="129">
        <f>COUNTA(Modificaciones!S81,Modificaciones!U81,Modificaciones!W81,Modificaciones!Y81)</f>
        <v>1</v>
      </c>
      <c r="R81" s="130" t="str">
        <f>IF(Modificaciones!Z81=0,"",VLOOKUP(E81,Modificaciones!$B$7:$AA$400,25,0))</f>
        <v>1 mes</v>
      </c>
      <c r="S81" s="131">
        <f>IF(Modificaciones!AA81=0,"",VLOOKUP(E81,Modificaciones!$B$7:$AA$400,26,0))</f>
        <v>41736</v>
      </c>
      <c r="T81" s="7">
        <f t="shared" si="14"/>
        <v>41736</v>
      </c>
      <c r="U81" s="62">
        <f t="shared" si="15"/>
        <v>115663600</v>
      </c>
      <c r="V81" s="172">
        <f>VLOOKUP(E81,Modificaciones!$B$7:$AU$300,46,0)</f>
        <v>115663040</v>
      </c>
      <c r="W81" s="93">
        <f t="shared" si="16"/>
        <v>560</v>
      </c>
      <c r="X81" s="309"/>
      <c r="Y81" s="42">
        <f t="shared" si="17"/>
        <v>0.99999515837307507</v>
      </c>
      <c r="Z81" s="42">
        <f t="shared" ca="1" si="18"/>
        <v>1</v>
      </c>
      <c r="AA81" s="43">
        <f t="shared" ca="1" si="19"/>
        <v>4.8416269249340615E-6</v>
      </c>
      <c r="AB81" s="202" t="str">
        <f t="shared" ca="1" si="20"/>
        <v/>
      </c>
      <c r="AC81" s="44" t="str">
        <f t="shared" si="21"/>
        <v>SI</v>
      </c>
      <c r="AD81" s="44"/>
      <c r="AE81" s="173" t="s">
        <v>1257</v>
      </c>
      <c r="AF81" s="173" t="s">
        <v>1174</v>
      </c>
      <c r="AG81" s="173" t="s">
        <v>1439</v>
      </c>
      <c r="AH81" s="281" t="s">
        <v>560</v>
      </c>
      <c r="AI81" s="174"/>
      <c r="AJ81" s="181" t="s">
        <v>1027</v>
      </c>
      <c r="AK81" s="181" t="str">
        <f t="shared" ca="1" si="22"/>
        <v>TERMINO</v>
      </c>
      <c r="AL81" s="181" t="s">
        <v>574</v>
      </c>
      <c r="AM81" s="176" t="s">
        <v>390</v>
      </c>
      <c r="AN81" s="848" t="str">
        <f>IFERROR(VLOOKUP(E81,'liquidaciones '!$B$2:$C$1048576,2,0),"NO")</f>
        <v>NO</v>
      </c>
      <c r="AO81" s="944" t="str">
        <f>IFERROR(VLOOKUP(E81,'liquidaciones '!$B$2:$I$1048576,8,0),"")</f>
        <v/>
      </c>
      <c r="AP81" s="336">
        <v>42236</v>
      </c>
      <c r="AQ81" s="177" t="str">
        <f t="shared" ca="1" si="23"/>
        <v>NO</v>
      </c>
      <c r="AR81" s="177" t="s">
        <v>1571</v>
      </c>
      <c r="AS81" s="433"/>
      <c r="AT81" s="964"/>
      <c r="AU81" s="964"/>
      <c r="AV81" s="964"/>
    </row>
    <row r="82" spans="1:48" ht="47.25" customHeight="1" x14ac:dyDescent="0.25">
      <c r="A82" s="15">
        <v>3</v>
      </c>
      <c r="B82" s="15">
        <v>76</v>
      </c>
      <c r="C82" s="437"/>
      <c r="D82" s="437" t="str">
        <f t="shared" si="13"/>
        <v>2012</v>
      </c>
      <c r="E82" s="145" t="s">
        <v>52</v>
      </c>
      <c r="F82" s="145" t="s">
        <v>53</v>
      </c>
      <c r="G82" s="153">
        <v>4831</v>
      </c>
      <c r="H82" s="994" t="s">
        <v>332</v>
      </c>
      <c r="I82" s="146">
        <v>13806000</v>
      </c>
      <c r="J82" s="134" t="s">
        <v>1088</v>
      </c>
      <c r="K82" s="135">
        <v>2012</v>
      </c>
      <c r="L82" s="546" t="s">
        <v>1088</v>
      </c>
      <c r="M82" s="149">
        <v>41278</v>
      </c>
      <c r="N82" s="150">
        <v>41429</v>
      </c>
      <c r="O82" s="127">
        <f>COUNTA(Modificaciones!I82,Modificaciones!K82,Modificaciones!M82,Modificaciones!O82)</f>
        <v>0</v>
      </c>
      <c r="P82" s="128">
        <f>VLOOKUP(E82,Modificaciones!$B$7:$Q$300,16,0)</f>
        <v>0</v>
      </c>
      <c r="Q82" s="129">
        <f>COUNTA(Modificaciones!S82,Modificaciones!U82,Modificaciones!W82,Modificaciones!Y82)</f>
        <v>1</v>
      </c>
      <c r="R82" s="130" t="str">
        <f>IF(Modificaciones!Z82=0,"",VLOOKUP(E82,Modificaciones!$B$7:$AA$400,25,0))</f>
        <v>1 mes</v>
      </c>
      <c r="S82" s="131">
        <f>IF(Modificaciones!AA82=0,"",VLOOKUP(E82,Modificaciones!$B$7:$AA$400,26,0))</f>
        <v>41459</v>
      </c>
      <c r="T82" s="7">
        <f t="shared" si="14"/>
        <v>41459</v>
      </c>
      <c r="U82" s="62">
        <f t="shared" si="15"/>
        <v>13806000</v>
      </c>
      <c r="V82" s="172">
        <f>VLOOKUP(E82,Modificaciones!$B$7:$AU$300,46,0)</f>
        <v>12439108</v>
      </c>
      <c r="W82" s="93">
        <f t="shared" si="16"/>
        <v>1366892</v>
      </c>
      <c r="X82" s="309"/>
      <c r="Y82" s="42">
        <f t="shared" si="17"/>
        <v>0.90099290163696943</v>
      </c>
      <c r="Z82" s="42">
        <f t="shared" ca="1" si="18"/>
        <v>1</v>
      </c>
      <c r="AA82" s="43">
        <f t="shared" ca="1" si="19"/>
        <v>9.9007098363030566E-2</v>
      </c>
      <c r="AB82" s="202" t="str">
        <f t="shared" ca="1" si="20"/>
        <v/>
      </c>
      <c r="AC82" s="44" t="str">
        <f t="shared" si="21"/>
        <v>NO</v>
      </c>
      <c r="AD82" s="44"/>
      <c r="AE82" s="173" t="s">
        <v>1256</v>
      </c>
      <c r="AF82" s="173" t="s">
        <v>1126</v>
      </c>
      <c r="AG82" s="173" t="s">
        <v>1442</v>
      </c>
      <c r="AH82" s="281" t="s">
        <v>560</v>
      </c>
      <c r="AI82" s="174" t="s">
        <v>1319</v>
      </c>
      <c r="AJ82" s="181" t="s">
        <v>600</v>
      </c>
      <c r="AK82" s="181" t="str">
        <f t="shared" ca="1" si="22"/>
        <v>TERMINO</v>
      </c>
      <c r="AL82" s="181" t="s">
        <v>576</v>
      </c>
      <c r="AM82" s="176" t="s">
        <v>390</v>
      </c>
      <c r="AN82" s="848" t="str">
        <f>IFERROR(VLOOKUP(E82,'liquidaciones '!$B$2:$C$1048576,2,0),"NO")</f>
        <v>LIQUIDADO</v>
      </c>
      <c r="AO82" s="944">
        <f>IFERROR(VLOOKUP(E82,'liquidaciones '!$B$2:$I$1048576,8,0),"")</f>
        <v>0</v>
      </c>
      <c r="AP82" s="336">
        <v>42004</v>
      </c>
      <c r="AQ82" s="177" t="str">
        <f t="shared" ca="1" si="23"/>
        <v>NO</v>
      </c>
      <c r="AR82" s="177" t="s">
        <v>1571</v>
      </c>
      <c r="AS82" s="433"/>
      <c r="AT82" s="964"/>
      <c r="AU82" s="964"/>
      <c r="AV82" s="964"/>
    </row>
    <row r="83" spans="1:48" ht="47.25" customHeight="1" x14ac:dyDescent="0.25">
      <c r="A83" s="15">
        <v>1</v>
      </c>
      <c r="B83" s="15">
        <v>77</v>
      </c>
      <c r="C83" s="437"/>
      <c r="D83" s="437" t="str">
        <f t="shared" si="13"/>
        <v>2012</v>
      </c>
      <c r="E83" s="132" t="s">
        <v>4</v>
      </c>
      <c r="F83" s="132" t="s">
        <v>1028</v>
      </c>
      <c r="G83" s="133">
        <v>860053274</v>
      </c>
      <c r="H83" s="993" t="s">
        <v>312</v>
      </c>
      <c r="I83" s="134">
        <v>59046000</v>
      </c>
      <c r="J83" s="134" t="s">
        <v>1088</v>
      </c>
      <c r="K83" s="135">
        <v>2012</v>
      </c>
      <c r="L83" s="546" t="s">
        <v>1088</v>
      </c>
      <c r="M83" s="136">
        <v>41292</v>
      </c>
      <c r="N83" s="136">
        <v>41442</v>
      </c>
      <c r="O83" s="127">
        <f>COUNTA(Modificaciones!I83,Modificaciones!K83,Modificaciones!M83,Modificaciones!O83)</f>
        <v>1</v>
      </c>
      <c r="P83" s="128">
        <f>VLOOKUP(E83,Modificaciones!$B$7:$Q$300,16,0)</f>
        <v>20167111</v>
      </c>
      <c r="Q83" s="129">
        <f>COUNTA(Modificaciones!S83,Modificaciones!U83,Modificaciones!W83,Modificaciones!Y83)</f>
        <v>2</v>
      </c>
      <c r="R83" s="130" t="str">
        <f>IF(Modificaciones!Z83=0,"",VLOOKUP(E83,Modificaciones!$B$7:$AA$400,25,0))</f>
        <v>5 meses y 13 días</v>
      </c>
      <c r="S83" s="131">
        <f>IF(Modificaciones!AA83=0,"",VLOOKUP(E83,Modificaciones!$B$7:$AA$400,26,0))</f>
        <v>41608</v>
      </c>
      <c r="T83" s="7">
        <f t="shared" si="14"/>
        <v>41608</v>
      </c>
      <c r="U83" s="62">
        <f t="shared" si="15"/>
        <v>79213111</v>
      </c>
      <c r="V83" s="172">
        <f>VLOOKUP(E83,Modificaciones!$B$7:$AU$300,46,0)</f>
        <v>65129800</v>
      </c>
      <c r="W83" s="93">
        <f t="shared" si="16"/>
        <v>14083311</v>
      </c>
      <c r="X83" s="309"/>
      <c r="Y83" s="42">
        <f t="shared" si="17"/>
        <v>0.82220984856913393</v>
      </c>
      <c r="Z83" s="42">
        <f t="shared" ca="1" si="18"/>
        <v>1</v>
      </c>
      <c r="AA83" s="43">
        <f t="shared" ca="1" si="19"/>
        <v>0.17779015143086607</v>
      </c>
      <c r="AB83" s="202" t="str">
        <f t="shared" ca="1" si="20"/>
        <v/>
      </c>
      <c r="AC83" s="44" t="str">
        <f t="shared" si="21"/>
        <v>NO</v>
      </c>
      <c r="AD83" s="44"/>
      <c r="AE83" s="173" t="s">
        <v>1256</v>
      </c>
      <c r="AF83" s="173" t="s">
        <v>1130</v>
      </c>
      <c r="AG83" s="173" t="s">
        <v>1442</v>
      </c>
      <c r="AH83" s="281" t="s">
        <v>560</v>
      </c>
      <c r="AI83" s="179" t="s">
        <v>1379</v>
      </c>
      <c r="AJ83" s="181" t="s">
        <v>600</v>
      </c>
      <c r="AK83" s="181" t="str">
        <f t="shared" ca="1" si="22"/>
        <v>TERMINO</v>
      </c>
      <c r="AL83" s="181" t="s">
        <v>921</v>
      </c>
      <c r="AM83" s="176" t="s">
        <v>390</v>
      </c>
      <c r="AN83" s="848" t="str">
        <f>IFERROR(VLOOKUP(E83,'liquidaciones '!$B$2:$C$1048576,2,0),"NO")</f>
        <v>LIQUIDADO</v>
      </c>
      <c r="AO83" s="944">
        <f>IFERROR(VLOOKUP(E83,'liquidaciones '!$B$2:$I$1048576,8,0),"")</f>
        <v>0</v>
      </c>
      <c r="AP83" s="336">
        <v>42023</v>
      </c>
      <c r="AQ83" s="177" t="str">
        <f t="shared" ca="1" si="23"/>
        <v>NO</v>
      </c>
      <c r="AR83" s="177" t="s">
        <v>1571</v>
      </c>
      <c r="AS83" s="433"/>
      <c r="AT83" s="964"/>
      <c r="AU83" s="964"/>
      <c r="AV83" s="964"/>
    </row>
    <row r="84" spans="1:48" ht="47.25" customHeight="1" x14ac:dyDescent="0.25">
      <c r="A84" s="15">
        <v>1</v>
      </c>
      <c r="B84" s="15">
        <v>78</v>
      </c>
      <c r="C84" s="437"/>
      <c r="D84" s="437" t="str">
        <f t="shared" si="13"/>
        <v>2012</v>
      </c>
      <c r="E84" s="145" t="s">
        <v>71</v>
      </c>
      <c r="F84" s="145" t="s">
        <v>1029</v>
      </c>
      <c r="G84" s="143">
        <v>860066942</v>
      </c>
      <c r="H84" s="994" t="s">
        <v>339</v>
      </c>
      <c r="I84" s="146">
        <v>49500000</v>
      </c>
      <c r="J84" s="134" t="s">
        <v>1088</v>
      </c>
      <c r="K84" s="135">
        <v>2012</v>
      </c>
      <c r="L84" s="546" t="s">
        <v>1088</v>
      </c>
      <c r="M84" s="149">
        <v>41325</v>
      </c>
      <c r="N84" s="150">
        <v>41505</v>
      </c>
      <c r="O84" s="127">
        <f>COUNTA(Modificaciones!I84,Modificaciones!K84,Modificaciones!M84,Modificaciones!O84)</f>
        <v>1</v>
      </c>
      <c r="P84" s="128">
        <f>VLOOKUP(E84,Modificaciones!$B$7:$Q$300,16,0)</f>
        <v>25746412</v>
      </c>
      <c r="Q84" s="129">
        <f>COUNTA(Modificaciones!S84,Modificaciones!U84,Modificaciones!W84,Modificaciones!Y84)</f>
        <v>0</v>
      </c>
      <c r="R84" s="130" t="str">
        <f>IF(Modificaciones!Z84=0,"",VLOOKUP(E84,Modificaciones!$B$7:$AA$400,25,0))</f>
        <v/>
      </c>
      <c r="S84" s="131" t="str">
        <f>IF(Modificaciones!AA84=0,"",VLOOKUP(E84,Modificaciones!$B$7:$AA$400,26,0))</f>
        <v/>
      </c>
      <c r="T84" s="7">
        <f t="shared" si="14"/>
        <v>41505</v>
      </c>
      <c r="U84" s="62">
        <f t="shared" si="15"/>
        <v>75246412</v>
      </c>
      <c r="V84" s="172">
        <f>VLOOKUP(E84,Modificaciones!$B$7:$AU$300,46,0)</f>
        <v>75232704</v>
      </c>
      <c r="W84" s="93">
        <f t="shared" si="16"/>
        <v>13708</v>
      </c>
      <c r="X84" s="309"/>
      <c r="Y84" s="42">
        <f t="shared" si="17"/>
        <v>0.99981782520075513</v>
      </c>
      <c r="Z84" s="42">
        <f t="shared" ca="1" si="18"/>
        <v>1</v>
      </c>
      <c r="AA84" s="43">
        <f t="shared" ca="1" si="19"/>
        <v>1.821747992448719E-4</v>
      </c>
      <c r="AB84" s="202" t="str">
        <f t="shared" ca="1" si="20"/>
        <v/>
      </c>
      <c r="AC84" s="44" t="str">
        <f t="shared" si="21"/>
        <v>SI</v>
      </c>
      <c r="AD84" s="44"/>
      <c r="AE84" s="173" t="s">
        <v>1256</v>
      </c>
      <c r="AF84" s="173" t="s">
        <v>1280</v>
      </c>
      <c r="AG84" s="173" t="s">
        <v>1435</v>
      </c>
      <c r="AH84" s="281" t="s">
        <v>560</v>
      </c>
      <c r="AI84" s="174"/>
      <c r="AJ84" s="181" t="s">
        <v>600</v>
      </c>
      <c r="AK84" s="181" t="str">
        <f t="shared" ca="1" si="22"/>
        <v>TERMINO</v>
      </c>
      <c r="AL84" s="181" t="s">
        <v>574</v>
      </c>
      <c r="AM84" s="176" t="s">
        <v>390</v>
      </c>
      <c r="AN84" s="848" t="str">
        <f>IFERROR(VLOOKUP(E84,'liquidaciones '!$B$2:$C$1048576,2,0),"NO")</f>
        <v>LIQUIDADO</v>
      </c>
      <c r="AO84" s="944">
        <f>IFERROR(VLOOKUP(E84,'liquidaciones '!$B$2:$I$1048576,8,0),"")</f>
        <v>0</v>
      </c>
      <c r="AP84" s="336">
        <v>42150</v>
      </c>
      <c r="AQ84" s="177" t="str">
        <f t="shared" ca="1" si="23"/>
        <v>NO</v>
      </c>
      <c r="AR84" s="177" t="s">
        <v>1571</v>
      </c>
      <c r="AS84" s="433"/>
      <c r="AT84" s="964"/>
      <c r="AU84" s="964"/>
      <c r="AV84" s="964"/>
    </row>
    <row r="85" spans="1:48" ht="47.25" customHeight="1" x14ac:dyDescent="0.25">
      <c r="A85" s="15">
        <v>2</v>
      </c>
      <c r="B85" s="15">
        <v>79</v>
      </c>
      <c r="C85" s="437"/>
      <c r="D85" s="437" t="str">
        <f t="shared" si="13"/>
        <v>2012</v>
      </c>
      <c r="E85" s="142" t="s">
        <v>116</v>
      </c>
      <c r="F85" s="132" t="s">
        <v>418</v>
      </c>
      <c r="G85" s="143">
        <v>891501783</v>
      </c>
      <c r="H85" s="993" t="s">
        <v>350</v>
      </c>
      <c r="I85" s="134">
        <v>36990000</v>
      </c>
      <c r="J85" s="850" t="s">
        <v>4074</v>
      </c>
      <c r="K85" s="135">
        <v>2012</v>
      </c>
      <c r="L85" s="546" t="s">
        <v>1088</v>
      </c>
      <c r="M85" s="136">
        <v>41323</v>
      </c>
      <c r="N85" s="136">
        <v>41442</v>
      </c>
      <c r="O85" s="127">
        <f>COUNTA(Modificaciones!I85,Modificaciones!K85,Modificaciones!M85,Modificaciones!O85)</f>
        <v>0</v>
      </c>
      <c r="P85" s="128">
        <f>VLOOKUP(E85,Modificaciones!$B$7:$Q$300,16,0)</f>
        <v>0</v>
      </c>
      <c r="Q85" s="129">
        <f>COUNTA(Modificaciones!S85,Modificaciones!U85,Modificaciones!W85,Modificaciones!Y85)</f>
        <v>0</v>
      </c>
      <c r="R85" s="130" t="str">
        <f>IF(Modificaciones!Z85=0,"",VLOOKUP(E85,Modificaciones!$B$7:$AA$400,25,0))</f>
        <v/>
      </c>
      <c r="S85" s="131" t="str">
        <f>IF(Modificaciones!AA85=0,"",VLOOKUP(E85,Modificaciones!$B$7:$AA$400,26,0))</f>
        <v/>
      </c>
      <c r="T85" s="7">
        <f t="shared" si="14"/>
        <v>41442</v>
      </c>
      <c r="U85" s="62">
        <f t="shared" si="15"/>
        <v>36990000</v>
      </c>
      <c r="V85" s="172">
        <f>VLOOKUP(E85,Modificaciones!$B$7:$AU$300,46,0)</f>
        <v>36990000</v>
      </c>
      <c r="W85" s="93">
        <f t="shared" si="16"/>
        <v>0</v>
      </c>
      <c r="X85" s="309"/>
      <c r="Y85" s="42">
        <f t="shared" si="17"/>
        <v>1</v>
      </c>
      <c r="Z85" s="42">
        <f t="shared" ca="1" si="18"/>
        <v>1</v>
      </c>
      <c r="AA85" s="43">
        <f t="shared" ca="1" si="19"/>
        <v>0</v>
      </c>
      <c r="AB85" s="202" t="str">
        <f t="shared" ca="1" si="20"/>
        <v/>
      </c>
      <c r="AC85" s="44" t="str">
        <f t="shared" si="21"/>
        <v>SI</v>
      </c>
      <c r="AD85" s="44"/>
      <c r="AE85" s="173" t="s">
        <v>1257</v>
      </c>
      <c r="AF85" s="173" t="s">
        <v>1464</v>
      </c>
      <c r="AG85" s="173"/>
      <c r="AH85" s="281"/>
      <c r="AI85" s="174"/>
      <c r="AJ85" s="181" t="s">
        <v>600</v>
      </c>
      <c r="AK85" s="181" t="str">
        <f t="shared" ca="1" si="22"/>
        <v>TERMINO</v>
      </c>
      <c r="AL85" s="181" t="s">
        <v>576</v>
      </c>
      <c r="AM85" s="176" t="s">
        <v>390</v>
      </c>
      <c r="AN85" s="848" t="str">
        <f>IFERROR(VLOOKUP(E85,'liquidaciones '!$B$2:$C$1048576,2,0),"NO")</f>
        <v>LIQUIDADO</v>
      </c>
      <c r="AO85" s="944">
        <f>IFERROR(VLOOKUP(E85,'liquidaciones '!$B$2:$I$1048576,8,0),"")</f>
        <v>0</v>
      </c>
      <c r="AP85" s="336">
        <v>42249</v>
      </c>
      <c r="AQ85" s="177" t="str">
        <f t="shared" ca="1" si="23"/>
        <v>NO</v>
      </c>
      <c r="AR85" s="177" t="s">
        <v>1571</v>
      </c>
      <c r="AS85" s="433"/>
      <c r="AT85" s="964"/>
      <c r="AU85" s="964"/>
      <c r="AV85" s="964"/>
    </row>
    <row r="86" spans="1:48" ht="47.25" customHeight="1" x14ac:dyDescent="0.25">
      <c r="A86" s="15">
        <v>1</v>
      </c>
      <c r="B86" s="15">
        <v>80</v>
      </c>
      <c r="C86" s="437"/>
      <c r="D86" s="437" t="str">
        <f t="shared" si="13"/>
        <v>2012</v>
      </c>
      <c r="E86" s="142" t="s">
        <v>122</v>
      </c>
      <c r="F86" s="132" t="s">
        <v>244</v>
      </c>
      <c r="G86" s="143">
        <v>800058607</v>
      </c>
      <c r="H86" s="993" t="s">
        <v>354</v>
      </c>
      <c r="I86" s="134">
        <v>85314724</v>
      </c>
      <c r="J86" s="134" t="s">
        <v>1088</v>
      </c>
      <c r="K86" s="135">
        <v>2012</v>
      </c>
      <c r="L86" s="546" t="s">
        <v>1088</v>
      </c>
      <c r="M86" s="136">
        <v>41316</v>
      </c>
      <c r="N86" s="136">
        <v>41680</v>
      </c>
      <c r="O86" s="127">
        <f>COUNTA(Modificaciones!I86,Modificaciones!K86,Modificaciones!M86,Modificaciones!O86)</f>
        <v>0</v>
      </c>
      <c r="P86" s="128">
        <f>VLOOKUP(E86,Modificaciones!$B$7:$Q$300,16,0)</f>
        <v>0</v>
      </c>
      <c r="Q86" s="129">
        <f>COUNTA(Modificaciones!S86,Modificaciones!U86,Modificaciones!W86,Modificaciones!Y86)</f>
        <v>0</v>
      </c>
      <c r="R86" s="130" t="str">
        <f>IF(Modificaciones!Z86=0,"",VLOOKUP(E86,Modificaciones!$B$7:$AA$400,25,0))</f>
        <v/>
      </c>
      <c r="S86" s="131" t="str">
        <f>IF(Modificaciones!AA86=0,"",VLOOKUP(E86,Modificaciones!$B$7:$AA$400,26,0))</f>
        <v/>
      </c>
      <c r="T86" s="7">
        <f t="shared" si="14"/>
        <v>41680</v>
      </c>
      <c r="U86" s="62">
        <f t="shared" si="15"/>
        <v>85314724</v>
      </c>
      <c r="V86" s="172">
        <f>VLOOKUP(E86,Modificaciones!$B$7:$AU$300,46,0)</f>
        <v>85314724</v>
      </c>
      <c r="W86" s="93">
        <f t="shared" si="16"/>
        <v>0</v>
      </c>
      <c r="X86" s="309"/>
      <c r="Y86" s="42">
        <f t="shared" si="17"/>
        <v>1</v>
      </c>
      <c r="Z86" s="42">
        <f t="shared" ca="1" si="18"/>
        <v>1</v>
      </c>
      <c r="AA86" s="43">
        <f t="shared" ca="1" si="19"/>
        <v>0</v>
      </c>
      <c r="AB86" s="202" t="str">
        <f t="shared" ca="1" si="20"/>
        <v/>
      </c>
      <c r="AC86" s="44" t="str">
        <f t="shared" si="21"/>
        <v>SI</v>
      </c>
      <c r="AD86" s="44"/>
      <c r="AE86" s="173" t="s">
        <v>1257</v>
      </c>
      <c r="AF86" s="173" t="s">
        <v>1289</v>
      </c>
      <c r="AG86" s="173" t="s">
        <v>1439</v>
      </c>
      <c r="AH86" s="281" t="s">
        <v>560</v>
      </c>
      <c r="AI86" s="174"/>
      <c r="AJ86" s="181" t="s">
        <v>600</v>
      </c>
      <c r="AK86" s="181" t="str">
        <f t="shared" ca="1" si="22"/>
        <v>TERMINO</v>
      </c>
      <c r="AL86" s="175"/>
      <c r="AM86" s="176" t="s">
        <v>390</v>
      </c>
      <c r="AN86" s="848" t="str">
        <f>IFERROR(VLOOKUP(E86,'liquidaciones '!$B$2:$C$1048576,2,0),"NO")</f>
        <v>NO</v>
      </c>
      <c r="AO86" s="944" t="str">
        <f>IFERROR(VLOOKUP(E86,'liquidaciones '!$B$2:$I$1048576,8,0),"")</f>
        <v/>
      </c>
      <c r="AP86" s="336"/>
      <c r="AQ86" s="177" t="str">
        <f t="shared" ca="1" si="23"/>
        <v>NO</v>
      </c>
      <c r="AR86" s="177" t="s">
        <v>1571</v>
      </c>
      <c r="AS86" s="433"/>
      <c r="AT86" s="964"/>
      <c r="AU86" s="964"/>
      <c r="AV86" s="964"/>
    </row>
    <row r="87" spans="1:48" ht="47.25" customHeight="1" x14ac:dyDescent="0.25">
      <c r="A87" s="15">
        <v>4</v>
      </c>
      <c r="B87" s="15">
        <v>81</v>
      </c>
      <c r="C87" s="437"/>
      <c r="D87" s="437" t="str">
        <f t="shared" si="13"/>
        <v>2013</v>
      </c>
      <c r="E87" s="132" t="s">
        <v>78</v>
      </c>
      <c r="F87" s="132" t="s">
        <v>79</v>
      </c>
      <c r="G87" s="143">
        <v>830017209</v>
      </c>
      <c r="H87" s="993" t="s">
        <v>340</v>
      </c>
      <c r="I87" s="134">
        <v>123000000</v>
      </c>
      <c r="J87" s="850" t="s">
        <v>4039</v>
      </c>
      <c r="K87" s="135">
        <v>2013</v>
      </c>
      <c r="L87" s="546" t="s">
        <v>1088</v>
      </c>
      <c r="M87" s="136">
        <v>41319</v>
      </c>
      <c r="N87" s="136">
        <v>41683</v>
      </c>
      <c r="O87" s="127">
        <f>COUNTA(Modificaciones!I87,Modificaciones!K87,Modificaciones!M87,Modificaciones!O87)</f>
        <v>0</v>
      </c>
      <c r="P87" s="128">
        <f>VLOOKUP(E87,Modificaciones!$B$7:$Q$300,16,0)</f>
        <v>0</v>
      </c>
      <c r="Q87" s="129">
        <f>COUNTA(Modificaciones!S87,Modificaciones!U87,Modificaciones!W87,Modificaciones!Y87)</f>
        <v>0</v>
      </c>
      <c r="R87" s="130" t="str">
        <f>IF(Modificaciones!Z87=0,"",VLOOKUP(E87,Modificaciones!$B$7:$AA$400,25,0))</f>
        <v/>
      </c>
      <c r="S87" s="131" t="str">
        <f>IF(Modificaciones!AA87=0,"",VLOOKUP(E87,Modificaciones!$B$7:$AA$400,26,0))</f>
        <v/>
      </c>
      <c r="T87" s="7">
        <f t="shared" si="14"/>
        <v>41683</v>
      </c>
      <c r="U87" s="62">
        <f t="shared" si="15"/>
        <v>123000000</v>
      </c>
      <c r="V87" s="172">
        <f>VLOOKUP(E87,Modificaciones!$B$7:$AU$300,46,0)</f>
        <v>123000000</v>
      </c>
      <c r="W87" s="93">
        <f t="shared" si="16"/>
        <v>0</v>
      </c>
      <c r="X87" s="313" t="s">
        <v>1107</v>
      </c>
      <c r="Y87" s="42">
        <f t="shared" si="17"/>
        <v>1</v>
      </c>
      <c r="Z87" s="42">
        <f t="shared" ca="1" si="18"/>
        <v>1</v>
      </c>
      <c r="AA87" s="43">
        <f t="shared" ca="1" si="19"/>
        <v>0</v>
      </c>
      <c r="AB87" s="202" t="str">
        <f t="shared" ca="1" si="20"/>
        <v/>
      </c>
      <c r="AC87" s="44" t="str">
        <f t="shared" si="21"/>
        <v>SI</v>
      </c>
      <c r="AD87" s="44"/>
      <c r="AE87" s="173" t="s">
        <v>1257</v>
      </c>
      <c r="AF87" s="173" t="s">
        <v>1289</v>
      </c>
      <c r="AG87" s="173" t="s">
        <v>1439</v>
      </c>
      <c r="AH87" s="281" t="s">
        <v>560</v>
      </c>
      <c r="AI87" s="174"/>
      <c r="AJ87" s="181" t="s">
        <v>600</v>
      </c>
      <c r="AK87" s="181" t="str">
        <f t="shared" ca="1" si="22"/>
        <v>TERMINO</v>
      </c>
      <c r="AL87" s="181" t="s">
        <v>575</v>
      </c>
      <c r="AM87" s="176" t="s">
        <v>390</v>
      </c>
      <c r="AN87" s="848" t="str">
        <f>IFERROR(VLOOKUP(E87,'liquidaciones '!$B$2:$C$1048576,2,0),"NO")</f>
        <v>EN TRÁMITE</v>
      </c>
      <c r="AO87" s="944">
        <f>IFERROR(VLOOKUP(E87,'liquidaciones '!$B$2:$I$1048576,8,0),"")</f>
        <v>0</v>
      </c>
      <c r="AP87" s="336"/>
      <c r="AQ87" s="177" t="str">
        <f t="shared" ca="1" si="23"/>
        <v>NO</v>
      </c>
      <c r="AR87" s="177" t="s">
        <v>1571</v>
      </c>
      <c r="AS87" s="433"/>
      <c r="AT87" s="964"/>
      <c r="AU87" s="964"/>
      <c r="AV87" s="964"/>
    </row>
    <row r="88" spans="1:48" ht="47.25" customHeight="1" x14ac:dyDescent="0.25">
      <c r="A88" s="15">
        <v>4</v>
      </c>
      <c r="B88" s="15">
        <v>82</v>
      </c>
      <c r="C88" s="437"/>
      <c r="D88" s="437" t="str">
        <f t="shared" si="13"/>
        <v>2013</v>
      </c>
      <c r="E88" s="132" t="s">
        <v>80</v>
      </c>
      <c r="F88" s="132" t="s">
        <v>81</v>
      </c>
      <c r="G88" s="143">
        <v>900241832</v>
      </c>
      <c r="H88" s="993" t="s">
        <v>1073</v>
      </c>
      <c r="I88" s="134">
        <v>1113600</v>
      </c>
      <c r="J88" s="850" t="s">
        <v>4422</v>
      </c>
      <c r="K88" s="135">
        <v>2013</v>
      </c>
      <c r="L88" s="546" t="s">
        <v>1088</v>
      </c>
      <c r="M88" s="136">
        <v>41347</v>
      </c>
      <c r="N88" s="136">
        <v>41711</v>
      </c>
      <c r="O88" s="127">
        <f>COUNTA(Modificaciones!I88,Modificaciones!K88,Modificaciones!M88,Modificaciones!O88)</f>
        <v>0</v>
      </c>
      <c r="P88" s="128">
        <f>VLOOKUP(E88,Modificaciones!$B$7:$Q$300,16,0)</f>
        <v>0</v>
      </c>
      <c r="Q88" s="129">
        <f>COUNTA(Modificaciones!S88,Modificaciones!U88,Modificaciones!W88,Modificaciones!Y88)</f>
        <v>0</v>
      </c>
      <c r="R88" s="130" t="str">
        <f>IF(Modificaciones!Z88=0,"",VLOOKUP(E88,Modificaciones!$B$7:$AA$400,25,0))</f>
        <v/>
      </c>
      <c r="S88" s="131" t="str">
        <f>IF(Modificaciones!AA88=0,"",VLOOKUP(E88,Modificaciones!$B$7:$AA$400,26,0))</f>
        <v/>
      </c>
      <c r="T88" s="7">
        <f t="shared" si="14"/>
        <v>41711</v>
      </c>
      <c r="U88" s="62">
        <f t="shared" si="15"/>
        <v>1113600</v>
      </c>
      <c r="V88" s="172">
        <f>VLOOKUP(E88,Modificaciones!$B$7:$AU$300,46,0)</f>
        <v>1113600</v>
      </c>
      <c r="W88" s="93">
        <f t="shared" si="16"/>
        <v>0</v>
      </c>
      <c r="X88" s="312" t="s">
        <v>1405</v>
      </c>
      <c r="Y88" s="42">
        <f t="shared" si="17"/>
        <v>1</v>
      </c>
      <c r="Z88" s="42">
        <f t="shared" ca="1" si="18"/>
        <v>1</v>
      </c>
      <c r="AA88" s="43">
        <f t="shared" ca="1" si="19"/>
        <v>0</v>
      </c>
      <c r="AB88" s="202" t="str">
        <f t="shared" ca="1" si="20"/>
        <v/>
      </c>
      <c r="AC88" s="44" t="str">
        <f t="shared" si="21"/>
        <v>SI</v>
      </c>
      <c r="AD88" s="44"/>
      <c r="AE88" s="173" t="s">
        <v>1256</v>
      </c>
      <c r="AF88" s="173" t="s">
        <v>1290</v>
      </c>
      <c r="AG88" s="173"/>
      <c r="AH88" s="281"/>
      <c r="AI88" s="174"/>
      <c r="AJ88" s="181" t="s">
        <v>901</v>
      </c>
      <c r="AK88" s="181" t="str">
        <f t="shared" ca="1" si="22"/>
        <v>TERMINO</v>
      </c>
      <c r="AL88" s="181" t="s">
        <v>576</v>
      </c>
      <c r="AM88" s="176" t="s">
        <v>390</v>
      </c>
      <c r="AN88" s="848" t="str">
        <f>IFERROR(VLOOKUP(E88,'liquidaciones '!$B$2:$C$1048576,2,0),"NO")</f>
        <v>LIQUIDADO</v>
      </c>
      <c r="AO88" s="944">
        <f>IFERROR(VLOOKUP(E88,'liquidaciones '!$B$2:$I$1048576,8,0),"")</f>
        <v>0</v>
      </c>
      <c r="AP88" s="336">
        <v>41999</v>
      </c>
      <c r="AQ88" s="177" t="str">
        <f t="shared" ca="1" si="23"/>
        <v>NO</v>
      </c>
      <c r="AR88" s="177" t="s">
        <v>1571</v>
      </c>
      <c r="AS88" s="433"/>
      <c r="AT88" s="964"/>
      <c r="AU88" s="964"/>
      <c r="AV88" s="964"/>
    </row>
    <row r="89" spans="1:48" ht="47.25" customHeight="1" x14ac:dyDescent="0.25">
      <c r="A89" s="15">
        <v>4</v>
      </c>
      <c r="B89" s="15">
        <v>83</v>
      </c>
      <c r="C89" s="437"/>
      <c r="D89" s="437" t="str">
        <f t="shared" si="13"/>
        <v>2013</v>
      </c>
      <c r="E89" s="132" t="s">
        <v>82</v>
      </c>
      <c r="F89" s="132" t="s">
        <v>1030</v>
      </c>
      <c r="G89" s="133">
        <v>830122370</v>
      </c>
      <c r="H89" s="993" t="s">
        <v>463</v>
      </c>
      <c r="I89" s="134">
        <v>4967474</v>
      </c>
      <c r="J89" s="134" t="s">
        <v>2256</v>
      </c>
      <c r="K89" s="135">
        <v>2013</v>
      </c>
      <c r="L89" s="546" t="s">
        <v>1088</v>
      </c>
      <c r="M89" s="136">
        <v>41347</v>
      </c>
      <c r="N89" s="136">
        <v>41652</v>
      </c>
      <c r="O89" s="127">
        <f>COUNTA(Modificaciones!I89,Modificaciones!K89,Modificaciones!M89,Modificaciones!O89)</f>
        <v>0</v>
      </c>
      <c r="P89" s="128">
        <f>VLOOKUP(E89,Modificaciones!$B$7:$Q$300,16,0)</f>
        <v>0</v>
      </c>
      <c r="Q89" s="129">
        <f>COUNTA(Modificaciones!S89,Modificaciones!U89,Modificaciones!W89,Modificaciones!Y89)</f>
        <v>0</v>
      </c>
      <c r="R89" s="130" t="str">
        <f>IF(Modificaciones!Z89=0,"",VLOOKUP(E89,Modificaciones!$B$7:$AA$400,25,0))</f>
        <v/>
      </c>
      <c r="S89" s="131" t="str">
        <f>IF(Modificaciones!AA89=0,"",VLOOKUP(E89,Modificaciones!$B$7:$AA$400,26,0))</f>
        <v/>
      </c>
      <c r="T89" s="7">
        <f t="shared" si="14"/>
        <v>41652</v>
      </c>
      <c r="U89" s="62">
        <f t="shared" si="15"/>
        <v>4967474</v>
      </c>
      <c r="V89" s="172">
        <f>VLOOKUP(E89,Modificaciones!$B$7:$AU$300,46,0)</f>
        <v>4453683</v>
      </c>
      <c r="W89" s="93">
        <f t="shared" si="16"/>
        <v>513791</v>
      </c>
      <c r="X89" s="312" t="s">
        <v>1396</v>
      </c>
      <c r="Y89" s="42">
        <f t="shared" si="17"/>
        <v>0.89656896040120193</v>
      </c>
      <c r="Z89" s="42">
        <f t="shared" ca="1" si="18"/>
        <v>1</v>
      </c>
      <c r="AA89" s="43">
        <f t="shared" ca="1" si="19"/>
        <v>0.10343103959879807</v>
      </c>
      <c r="AB89" s="202" t="str">
        <f t="shared" ca="1" si="20"/>
        <v/>
      </c>
      <c r="AC89" s="44" t="str">
        <f t="shared" si="21"/>
        <v>NO</v>
      </c>
      <c r="AD89" s="44"/>
      <c r="AE89" s="173" t="s">
        <v>1256</v>
      </c>
      <c r="AF89" s="301" t="s">
        <v>1468</v>
      </c>
      <c r="AG89" s="173"/>
      <c r="AH89" s="281"/>
      <c r="AI89" s="174"/>
      <c r="AJ89" s="181" t="s">
        <v>901</v>
      </c>
      <c r="AK89" s="181" t="str">
        <f t="shared" ca="1" si="22"/>
        <v>TERMINO</v>
      </c>
      <c r="AL89" s="181" t="s">
        <v>576</v>
      </c>
      <c r="AM89" s="176" t="s">
        <v>390</v>
      </c>
      <c r="AN89" s="848" t="str">
        <f>IFERROR(VLOOKUP(E89,'liquidaciones '!$B$2:$C$1048576,2,0),"NO")</f>
        <v>LIQUIDADO</v>
      </c>
      <c r="AO89" s="944">
        <f>IFERROR(VLOOKUP(E89,'liquidaciones '!$B$2:$I$1048576,8,0),"")</f>
        <v>0</v>
      </c>
      <c r="AP89" s="336">
        <v>42321</v>
      </c>
      <c r="AQ89" s="177" t="str">
        <f t="shared" ca="1" si="23"/>
        <v>NO</v>
      </c>
      <c r="AR89" s="177" t="s">
        <v>1571</v>
      </c>
      <c r="AS89" s="433"/>
      <c r="AT89" s="964"/>
      <c r="AU89" s="964"/>
      <c r="AV89" s="964"/>
    </row>
    <row r="90" spans="1:48" ht="47.25" customHeight="1" x14ac:dyDescent="0.25">
      <c r="A90" s="15">
        <v>4</v>
      </c>
      <c r="B90" s="15">
        <v>84</v>
      </c>
      <c r="C90" s="437"/>
      <c r="D90" s="437" t="str">
        <f t="shared" si="13"/>
        <v>2013</v>
      </c>
      <c r="E90" s="132" t="s">
        <v>83</v>
      </c>
      <c r="F90" s="132" t="s">
        <v>84</v>
      </c>
      <c r="G90" s="133">
        <v>860025639</v>
      </c>
      <c r="H90" s="993" t="s">
        <v>320</v>
      </c>
      <c r="I90" s="134">
        <v>15913500</v>
      </c>
      <c r="J90" s="134" t="s">
        <v>1088</v>
      </c>
      <c r="K90" s="135">
        <v>2013</v>
      </c>
      <c r="L90" s="546" t="s">
        <v>1088</v>
      </c>
      <c r="M90" s="136">
        <v>41367</v>
      </c>
      <c r="N90" s="136">
        <v>41731</v>
      </c>
      <c r="O90" s="127">
        <f>COUNTA(Modificaciones!I90,Modificaciones!K90,Modificaciones!M90,Modificaciones!O90)</f>
        <v>0</v>
      </c>
      <c r="P90" s="128">
        <f>VLOOKUP(E90,Modificaciones!$B$7:$Q$300,16,0)</f>
        <v>0</v>
      </c>
      <c r="Q90" s="129">
        <f>COUNTA(Modificaciones!S90,Modificaciones!U90,Modificaciones!W90,Modificaciones!Y90)</f>
        <v>0</v>
      </c>
      <c r="R90" s="130" t="str">
        <f>IF(Modificaciones!Z90=0,"",VLOOKUP(E90,Modificaciones!$B$7:$AA$400,25,0))</f>
        <v/>
      </c>
      <c r="S90" s="131" t="str">
        <f>IF(Modificaciones!AA90=0,"",VLOOKUP(E90,Modificaciones!$B$7:$AA$400,26,0))</f>
        <v/>
      </c>
      <c r="T90" s="7">
        <f t="shared" si="14"/>
        <v>41731</v>
      </c>
      <c r="U90" s="62">
        <f t="shared" si="15"/>
        <v>15913500</v>
      </c>
      <c r="V90" s="172">
        <f>VLOOKUP(E90,Modificaciones!$B$7:$AU$300,46,0)</f>
        <v>15453868</v>
      </c>
      <c r="W90" s="93">
        <f t="shared" si="16"/>
        <v>459632</v>
      </c>
      <c r="X90" s="312"/>
      <c r="Y90" s="42">
        <f t="shared" si="17"/>
        <v>0.971116850472869</v>
      </c>
      <c r="Z90" s="42">
        <f t="shared" ca="1" si="18"/>
        <v>1</v>
      </c>
      <c r="AA90" s="43">
        <f t="shared" ca="1" si="19"/>
        <v>2.8883149527131002E-2</v>
      </c>
      <c r="AB90" s="202" t="str">
        <f t="shared" ca="1" si="20"/>
        <v/>
      </c>
      <c r="AC90" s="44" t="str">
        <f t="shared" si="21"/>
        <v>NO</v>
      </c>
      <c r="AD90" s="44"/>
      <c r="AE90" s="173" t="s">
        <v>1256</v>
      </c>
      <c r="AF90" s="173" t="s">
        <v>1170</v>
      </c>
      <c r="AG90" s="173" t="s">
        <v>1442</v>
      </c>
      <c r="AH90" s="281" t="s">
        <v>560</v>
      </c>
      <c r="AI90" s="174"/>
      <c r="AJ90" s="181" t="s">
        <v>901</v>
      </c>
      <c r="AK90" s="181" t="str">
        <f t="shared" ca="1" si="22"/>
        <v>TERMINO</v>
      </c>
      <c r="AL90" s="181" t="s">
        <v>582</v>
      </c>
      <c r="AM90" s="176" t="s">
        <v>390</v>
      </c>
      <c r="AN90" s="848" t="str">
        <f>IFERROR(VLOOKUP(E90,'liquidaciones '!$B$2:$C$1048576,2,0),"NO")</f>
        <v>LIQUIDADO</v>
      </c>
      <c r="AO90" s="944">
        <f>IFERROR(VLOOKUP(E90,'liquidaciones '!$B$2:$I$1048576,8,0),"")</f>
        <v>0</v>
      </c>
      <c r="AP90" s="336"/>
      <c r="AQ90" s="177" t="str">
        <f t="shared" ca="1" si="23"/>
        <v>NO</v>
      </c>
      <c r="AR90" s="177" t="s">
        <v>1571</v>
      </c>
      <c r="AS90" s="433"/>
      <c r="AT90" s="964"/>
      <c r="AU90" s="964"/>
      <c r="AV90" s="964"/>
    </row>
    <row r="91" spans="1:48" ht="47.25" customHeight="1" x14ac:dyDescent="0.25">
      <c r="A91" s="15">
        <v>4</v>
      </c>
      <c r="B91" s="15">
        <v>85</v>
      </c>
      <c r="C91" s="437"/>
      <c r="D91" s="437" t="str">
        <f t="shared" si="13"/>
        <v>2013</v>
      </c>
      <c r="E91" s="132" t="s">
        <v>85</v>
      </c>
      <c r="F91" s="132" t="s">
        <v>86</v>
      </c>
      <c r="G91" s="143">
        <v>860001022</v>
      </c>
      <c r="H91" s="993" t="s">
        <v>341</v>
      </c>
      <c r="I91" s="134">
        <v>1197000</v>
      </c>
      <c r="J91" s="134" t="s">
        <v>1088</v>
      </c>
      <c r="K91" s="135">
        <v>2013</v>
      </c>
      <c r="L91" s="546" t="s">
        <v>1088</v>
      </c>
      <c r="M91" s="136">
        <v>41352</v>
      </c>
      <c r="N91" s="136">
        <v>41716</v>
      </c>
      <c r="O91" s="127">
        <f>COUNTA(Modificaciones!I91,Modificaciones!K91,Modificaciones!M91,Modificaciones!O91)</f>
        <v>0</v>
      </c>
      <c r="P91" s="128">
        <f>VLOOKUP(E91,Modificaciones!$B$7:$Q$300,16,0)</f>
        <v>0</v>
      </c>
      <c r="Q91" s="129">
        <f>COUNTA(Modificaciones!S91,Modificaciones!U91,Modificaciones!W91,Modificaciones!Y91)</f>
        <v>0</v>
      </c>
      <c r="R91" s="130" t="str">
        <f>IF(Modificaciones!Z91=0,"",VLOOKUP(E91,Modificaciones!$B$7:$AA$400,25,0))</f>
        <v/>
      </c>
      <c r="S91" s="131" t="str">
        <f>IF(Modificaciones!AA91=0,"",VLOOKUP(E91,Modificaciones!$B$7:$AA$400,26,0))</f>
        <v/>
      </c>
      <c r="T91" s="7">
        <f t="shared" si="14"/>
        <v>41716</v>
      </c>
      <c r="U91" s="62">
        <f t="shared" si="15"/>
        <v>1197000</v>
      </c>
      <c r="V91" s="172">
        <f>VLOOKUP(E91,Modificaciones!$B$7:$AU$300,46,0)</f>
        <v>1197000</v>
      </c>
      <c r="W91" s="93">
        <f t="shared" si="16"/>
        <v>0</v>
      </c>
      <c r="X91" s="309" t="s">
        <v>1895</v>
      </c>
      <c r="Y91" s="42">
        <f t="shared" si="17"/>
        <v>1</v>
      </c>
      <c r="Z91" s="42">
        <f t="shared" ca="1" si="18"/>
        <v>1</v>
      </c>
      <c r="AA91" s="43">
        <f t="shared" ca="1" si="19"/>
        <v>0</v>
      </c>
      <c r="AB91" s="202" t="str">
        <f t="shared" ca="1" si="20"/>
        <v/>
      </c>
      <c r="AC91" s="44" t="str">
        <f t="shared" si="21"/>
        <v>SI</v>
      </c>
      <c r="AD91" s="44"/>
      <c r="AE91" s="173" t="s">
        <v>1256</v>
      </c>
      <c r="AF91" s="173" t="s">
        <v>1125</v>
      </c>
      <c r="AG91" s="173"/>
      <c r="AH91" s="281"/>
      <c r="AI91" s="174"/>
      <c r="AJ91" s="181" t="s">
        <v>901</v>
      </c>
      <c r="AK91" s="181" t="str">
        <f t="shared" ca="1" si="22"/>
        <v>TERMINO</v>
      </c>
      <c r="AL91" s="181" t="s">
        <v>582</v>
      </c>
      <c r="AM91" s="176" t="s">
        <v>390</v>
      </c>
      <c r="AN91" s="848" t="str">
        <f>IFERROR(VLOOKUP(E91,'liquidaciones '!$B$2:$C$1048576,2,0),"NO")</f>
        <v>EN TRÁMITE</v>
      </c>
      <c r="AO91" s="944">
        <f>IFERROR(VLOOKUP(E91,'liquidaciones '!$B$2:$I$1048576,8,0),"")</f>
        <v>0</v>
      </c>
      <c r="AP91" s="336"/>
      <c r="AQ91" s="177" t="str">
        <f t="shared" ca="1" si="23"/>
        <v>NO</v>
      </c>
      <c r="AR91" s="177" t="s">
        <v>1571</v>
      </c>
      <c r="AS91" s="433"/>
      <c r="AT91" s="964"/>
      <c r="AU91" s="964"/>
      <c r="AV91" s="964"/>
    </row>
    <row r="92" spans="1:48" ht="47.25" customHeight="1" x14ac:dyDescent="0.25">
      <c r="A92" s="15">
        <v>4</v>
      </c>
      <c r="B92" s="15">
        <v>86</v>
      </c>
      <c r="C92" s="437"/>
      <c r="D92" s="437" t="str">
        <f t="shared" si="13"/>
        <v>2013</v>
      </c>
      <c r="E92" s="132" t="s">
        <v>87</v>
      </c>
      <c r="F92" s="132" t="s">
        <v>435</v>
      </c>
      <c r="G92" s="143">
        <v>900152368</v>
      </c>
      <c r="H92" s="993" t="s">
        <v>318</v>
      </c>
      <c r="I92" s="134">
        <v>8360000</v>
      </c>
      <c r="J92" s="134" t="s">
        <v>1088</v>
      </c>
      <c r="K92" s="135">
        <v>2013</v>
      </c>
      <c r="L92" s="546" t="s">
        <v>1088</v>
      </c>
      <c r="M92" s="136">
        <v>41400</v>
      </c>
      <c r="N92" s="136">
        <v>41764</v>
      </c>
      <c r="O92" s="127">
        <f>COUNTA(Modificaciones!I92,Modificaciones!K92,Modificaciones!M92,Modificaciones!O92)</f>
        <v>0</v>
      </c>
      <c r="P92" s="128">
        <f>VLOOKUP(E92,Modificaciones!$B$7:$Q$300,16,0)</f>
        <v>0</v>
      </c>
      <c r="Q92" s="129">
        <f>COUNTA(Modificaciones!S92,Modificaciones!U92,Modificaciones!W92,Modificaciones!Y92)</f>
        <v>0</v>
      </c>
      <c r="R92" s="130" t="str">
        <f>IF(Modificaciones!Z92=0,"",VLOOKUP(E92,Modificaciones!$B$7:$AA$400,25,0))</f>
        <v/>
      </c>
      <c r="S92" s="131" t="str">
        <f>IF(Modificaciones!AA92=0,"",VLOOKUP(E92,Modificaciones!$B$7:$AA$400,26,0))</f>
        <v/>
      </c>
      <c r="T92" s="7">
        <f t="shared" si="14"/>
        <v>41764</v>
      </c>
      <c r="U92" s="62">
        <f t="shared" si="15"/>
        <v>8360000</v>
      </c>
      <c r="V92" s="172">
        <f>VLOOKUP(E92,Modificaciones!$B$7:$AU$300,46,0)</f>
        <v>7018000</v>
      </c>
      <c r="W92" s="93">
        <f t="shared" si="16"/>
        <v>1342000</v>
      </c>
      <c r="X92" s="312" t="s">
        <v>1397</v>
      </c>
      <c r="Y92" s="42">
        <f t="shared" si="17"/>
        <v>0.83947368421052626</v>
      </c>
      <c r="Z92" s="42">
        <f t="shared" ca="1" si="18"/>
        <v>1</v>
      </c>
      <c r="AA92" s="43">
        <f t="shared" ca="1" si="19"/>
        <v>0.16052631578947374</v>
      </c>
      <c r="AB92" s="202" t="str">
        <f t="shared" ca="1" si="20"/>
        <v/>
      </c>
      <c r="AC92" s="44" t="str">
        <f t="shared" si="21"/>
        <v>NO</v>
      </c>
      <c r="AD92" s="44"/>
      <c r="AE92" s="173" t="s">
        <v>1256</v>
      </c>
      <c r="AF92" s="173" t="s">
        <v>1172</v>
      </c>
      <c r="AG92" s="173"/>
      <c r="AH92" s="281"/>
      <c r="AI92" s="174"/>
      <c r="AJ92" s="181" t="s">
        <v>901</v>
      </c>
      <c r="AK92" s="181" t="str">
        <f t="shared" ca="1" si="22"/>
        <v>TERMINO</v>
      </c>
      <c r="AL92" s="181" t="s">
        <v>576</v>
      </c>
      <c r="AM92" s="176" t="s">
        <v>390</v>
      </c>
      <c r="AN92" s="848" t="str">
        <f>IFERROR(VLOOKUP(E92,'liquidaciones '!$B$2:$C$1048576,2,0),"NO")</f>
        <v>LIQUIDADO</v>
      </c>
      <c r="AO92" s="944">
        <f>IFERROR(VLOOKUP(E92,'liquidaciones '!$B$2:$I$1048576,8,0),"")</f>
        <v>0</v>
      </c>
      <c r="AP92" s="336">
        <v>42017</v>
      </c>
      <c r="AQ92" s="177" t="str">
        <f t="shared" ca="1" si="23"/>
        <v>NO</v>
      </c>
      <c r="AR92" s="177" t="s">
        <v>1571</v>
      </c>
      <c r="AS92" s="433"/>
      <c r="AT92" s="964"/>
      <c r="AU92" s="964"/>
      <c r="AV92" s="964"/>
    </row>
    <row r="93" spans="1:48" ht="47.25" customHeight="1" x14ac:dyDescent="0.25">
      <c r="A93" s="15">
        <v>4</v>
      </c>
      <c r="B93" s="15">
        <v>87</v>
      </c>
      <c r="C93" s="437"/>
      <c r="D93" s="437" t="str">
        <f t="shared" si="13"/>
        <v>2013</v>
      </c>
      <c r="E93" s="132" t="s">
        <v>88</v>
      </c>
      <c r="F93" s="132" t="s">
        <v>1031</v>
      </c>
      <c r="G93" s="133">
        <v>800249557</v>
      </c>
      <c r="H93" s="993" t="s">
        <v>342</v>
      </c>
      <c r="I93" s="134">
        <v>3700000</v>
      </c>
      <c r="J93" s="850" t="s">
        <v>4958</v>
      </c>
      <c r="K93" s="135">
        <v>2013</v>
      </c>
      <c r="L93" s="546" t="s">
        <v>1088</v>
      </c>
      <c r="M93" s="136">
        <v>41393</v>
      </c>
      <c r="N93" s="136">
        <v>41545</v>
      </c>
      <c r="O93" s="127">
        <f>COUNTA(Modificaciones!I93,Modificaciones!K93,Modificaciones!M93,Modificaciones!O93)</f>
        <v>0</v>
      </c>
      <c r="P93" s="128">
        <f>VLOOKUP(E93,Modificaciones!$B$7:$Q$300,16,0)</f>
        <v>0</v>
      </c>
      <c r="Q93" s="129">
        <f>COUNTA(Modificaciones!S93,Modificaciones!U93,Modificaciones!W93,Modificaciones!Y93)</f>
        <v>0</v>
      </c>
      <c r="R93" s="130" t="str">
        <f>IF(Modificaciones!Z93=0,"",VLOOKUP(E93,Modificaciones!$B$7:$AA$400,25,0))</f>
        <v/>
      </c>
      <c r="S93" s="131" t="str">
        <f>IF(Modificaciones!AA93=0,"",VLOOKUP(E93,Modificaciones!$B$7:$AA$400,26,0))</f>
        <v/>
      </c>
      <c r="T93" s="7">
        <f t="shared" si="14"/>
        <v>41545</v>
      </c>
      <c r="U93" s="62">
        <f t="shared" si="15"/>
        <v>3700000</v>
      </c>
      <c r="V93" s="172">
        <f>VLOOKUP(E93,Modificaciones!$B$7:$AU$300,46,0)</f>
        <v>3700000</v>
      </c>
      <c r="W93" s="93">
        <f t="shared" si="16"/>
        <v>0</v>
      </c>
      <c r="X93" s="312" t="s">
        <v>1406</v>
      </c>
      <c r="Y93" s="42">
        <f t="shared" si="17"/>
        <v>1</v>
      </c>
      <c r="Z93" s="42">
        <f t="shared" ca="1" si="18"/>
        <v>1</v>
      </c>
      <c r="AA93" s="43">
        <f t="shared" ca="1" si="19"/>
        <v>0</v>
      </c>
      <c r="AB93" s="202" t="str">
        <f t="shared" ca="1" si="20"/>
        <v/>
      </c>
      <c r="AC93" s="44" t="str">
        <f t="shared" si="21"/>
        <v>SI</v>
      </c>
      <c r="AD93" s="44"/>
      <c r="AE93" s="173" t="s">
        <v>1256</v>
      </c>
      <c r="AF93" s="173" t="s">
        <v>1291</v>
      </c>
      <c r="AG93" s="173"/>
      <c r="AH93" s="281"/>
      <c r="AI93" s="174"/>
      <c r="AJ93" s="181" t="s">
        <v>901</v>
      </c>
      <c r="AK93" s="181" t="str">
        <f t="shared" ca="1" si="22"/>
        <v>TERMINO</v>
      </c>
      <c r="AL93" s="181" t="s">
        <v>582</v>
      </c>
      <c r="AM93" s="176" t="s">
        <v>390</v>
      </c>
      <c r="AN93" s="848" t="str">
        <f>IFERROR(VLOOKUP(E93,'liquidaciones '!$B$2:$C$1048576,2,0),"NO")</f>
        <v>LIQUIDADO</v>
      </c>
      <c r="AO93" s="944">
        <f>IFERROR(VLOOKUP(E93,'liquidaciones '!$B$2:$I$1048576,8,0),"")</f>
        <v>0</v>
      </c>
      <c r="AP93" s="336">
        <v>41950</v>
      </c>
      <c r="AQ93" s="177" t="str">
        <f t="shared" ca="1" si="23"/>
        <v>NO</v>
      </c>
      <c r="AR93" s="177" t="s">
        <v>1571</v>
      </c>
      <c r="AS93" s="433"/>
      <c r="AT93" s="964"/>
      <c r="AU93" s="964"/>
      <c r="AV93" s="964"/>
    </row>
    <row r="94" spans="1:48" ht="63.75" customHeight="1" x14ac:dyDescent="0.25">
      <c r="A94" s="15">
        <v>4</v>
      </c>
      <c r="B94" s="15">
        <v>88</v>
      </c>
      <c r="C94" s="437"/>
      <c r="D94" s="437" t="str">
        <f t="shared" si="13"/>
        <v>2013</v>
      </c>
      <c r="E94" s="132" t="s">
        <v>91</v>
      </c>
      <c r="F94" s="132" t="s">
        <v>1032</v>
      </c>
      <c r="G94" s="133">
        <v>79843891</v>
      </c>
      <c r="H94" s="993" t="s">
        <v>464</v>
      </c>
      <c r="I94" s="134">
        <v>50000000</v>
      </c>
      <c r="J94" s="850" t="s">
        <v>4040</v>
      </c>
      <c r="K94" s="135">
        <v>2013</v>
      </c>
      <c r="L94" s="546" t="s">
        <v>1088</v>
      </c>
      <c r="M94" s="136">
        <v>41387</v>
      </c>
      <c r="N94" s="136">
        <v>41692</v>
      </c>
      <c r="O94" s="127">
        <f>COUNTA(Modificaciones!I94,Modificaciones!K94,Modificaciones!M94,Modificaciones!O94)</f>
        <v>0</v>
      </c>
      <c r="P94" s="128">
        <f>VLOOKUP(E94,Modificaciones!$B$7:$Q$300,16,0)</f>
        <v>0</v>
      </c>
      <c r="Q94" s="129">
        <f>COUNTA(Modificaciones!S94,Modificaciones!U94,Modificaciones!W94,Modificaciones!Y94)</f>
        <v>0</v>
      </c>
      <c r="R94" s="130" t="str">
        <f>IF(Modificaciones!Z94=0,"",VLOOKUP(E94,Modificaciones!$B$7:$AA$400,25,0))</f>
        <v/>
      </c>
      <c r="S94" s="131" t="str">
        <f>IF(Modificaciones!AA94=0,"",VLOOKUP(E94,Modificaciones!$B$7:$AA$400,26,0))</f>
        <v/>
      </c>
      <c r="T94" s="7">
        <f t="shared" si="14"/>
        <v>41692</v>
      </c>
      <c r="U94" s="62">
        <f t="shared" si="15"/>
        <v>50000000</v>
      </c>
      <c r="V94" s="172">
        <f>VLOOKUP(E94,Modificaciones!$B$7:$AU$300,46,0)</f>
        <v>50000000</v>
      </c>
      <c r="W94" s="93">
        <f t="shared" si="16"/>
        <v>0</v>
      </c>
      <c r="X94" s="309" t="s">
        <v>1095</v>
      </c>
      <c r="Y94" s="42">
        <f t="shared" si="17"/>
        <v>1</v>
      </c>
      <c r="Z94" s="42">
        <f t="shared" ca="1" si="18"/>
        <v>1</v>
      </c>
      <c r="AA94" s="43">
        <f t="shared" ca="1" si="19"/>
        <v>0</v>
      </c>
      <c r="AB94" s="202" t="str">
        <f t="shared" ca="1" si="20"/>
        <v/>
      </c>
      <c r="AC94" s="44" t="str">
        <f t="shared" si="21"/>
        <v>SI</v>
      </c>
      <c r="AD94" s="44"/>
      <c r="AE94" s="173" t="s">
        <v>1256</v>
      </c>
      <c r="AF94" s="173" t="s">
        <v>1131</v>
      </c>
      <c r="AG94" s="173"/>
      <c r="AH94" s="281"/>
      <c r="AI94" s="174"/>
      <c r="AJ94" s="181" t="s">
        <v>901</v>
      </c>
      <c r="AK94" s="181" t="str">
        <f t="shared" ca="1" si="22"/>
        <v>TERMINO</v>
      </c>
      <c r="AL94" s="181" t="s">
        <v>582</v>
      </c>
      <c r="AM94" s="176" t="s">
        <v>391</v>
      </c>
      <c r="AN94" s="848" t="str">
        <f>IFERROR(VLOOKUP(E94,'liquidaciones '!$B$2:$C$1048576,2,0),"NO")</f>
        <v>EN TRÁMITE</v>
      </c>
      <c r="AO94" s="944">
        <f>IFERROR(VLOOKUP(E94,'liquidaciones '!$B$2:$I$1048576,8,0),"")</f>
        <v>0</v>
      </c>
      <c r="AP94" s="334">
        <v>41702</v>
      </c>
      <c r="AQ94" s="177" t="str">
        <f t="shared" ca="1" si="23"/>
        <v>NO</v>
      </c>
      <c r="AR94" s="177" t="s">
        <v>1571</v>
      </c>
      <c r="AS94" s="433"/>
      <c r="AT94" s="964"/>
      <c r="AU94" s="964"/>
      <c r="AV94" s="964"/>
    </row>
    <row r="95" spans="1:48" ht="47.25" customHeight="1" x14ac:dyDescent="0.25">
      <c r="A95" s="15">
        <v>4</v>
      </c>
      <c r="B95" s="15">
        <v>89</v>
      </c>
      <c r="C95" s="437"/>
      <c r="D95" s="437" t="str">
        <f t="shared" si="13"/>
        <v>2013</v>
      </c>
      <c r="E95" s="132" t="s">
        <v>93</v>
      </c>
      <c r="F95" s="132" t="s">
        <v>1033</v>
      </c>
      <c r="G95" s="133">
        <v>51931422</v>
      </c>
      <c r="H95" s="993" t="s">
        <v>343</v>
      </c>
      <c r="I95" s="134">
        <v>41600000</v>
      </c>
      <c r="J95" s="850" t="s">
        <v>4598</v>
      </c>
      <c r="K95" s="135">
        <v>2013</v>
      </c>
      <c r="L95" s="546" t="s">
        <v>1088</v>
      </c>
      <c r="M95" s="136">
        <v>41396</v>
      </c>
      <c r="N95" s="136">
        <v>41699</v>
      </c>
      <c r="O95" s="127">
        <f>COUNTA(Modificaciones!I95,Modificaciones!K95,Modificaciones!M95,Modificaciones!O95)</f>
        <v>0</v>
      </c>
      <c r="P95" s="128">
        <f>VLOOKUP(E95,Modificaciones!$B$7:$Q$300,16,0)</f>
        <v>0</v>
      </c>
      <c r="Q95" s="129">
        <f>COUNTA(Modificaciones!S95,Modificaciones!U95,Modificaciones!W95,Modificaciones!Y95)</f>
        <v>0</v>
      </c>
      <c r="R95" s="130" t="str">
        <f>IF(Modificaciones!Z95=0,"",VLOOKUP(E95,Modificaciones!$B$7:$AA$400,25,0))</f>
        <v/>
      </c>
      <c r="S95" s="131" t="str">
        <f>IF(Modificaciones!AA95=0,"",VLOOKUP(E95,Modificaciones!$B$7:$AA$400,26,0))</f>
        <v/>
      </c>
      <c r="T95" s="7">
        <f t="shared" si="14"/>
        <v>41699</v>
      </c>
      <c r="U95" s="62">
        <f t="shared" si="15"/>
        <v>41600000</v>
      </c>
      <c r="V95" s="172">
        <f>VLOOKUP(E95,Modificaciones!$B$7:$AU$300,46,0)</f>
        <v>41600000</v>
      </c>
      <c r="W95" s="93">
        <f t="shared" si="16"/>
        <v>0</v>
      </c>
      <c r="X95" s="309" t="s">
        <v>1095</v>
      </c>
      <c r="Y95" s="42">
        <f t="shared" si="17"/>
        <v>1</v>
      </c>
      <c r="Z95" s="42">
        <f t="shared" ca="1" si="18"/>
        <v>1</v>
      </c>
      <c r="AA95" s="43">
        <f t="shared" ca="1" si="19"/>
        <v>0</v>
      </c>
      <c r="AB95" s="202" t="str">
        <f t="shared" ca="1" si="20"/>
        <v/>
      </c>
      <c r="AC95" s="44" t="str">
        <f t="shared" si="21"/>
        <v>SI</v>
      </c>
      <c r="AD95" s="44"/>
      <c r="AE95" s="173" t="s">
        <v>1256</v>
      </c>
      <c r="AF95" s="173" t="s">
        <v>1131</v>
      </c>
      <c r="AG95" s="173"/>
      <c r="AH95" s="281"/>
      <c r="AI95" s="174"/>
      <c r="AJ95" s="181" t="s">
        <v>901</v>
      </c>
      <c r="AK95" s="181" t="str">
        <f t="shared" ca="1" si="22"/>
        <v>TERMINO</v>
      </c>
      <c r="AL95" s="181" t="s">
        <v>582</v>
      </c>
      <c r="AM95" s="176" t="s">
        <v>391</v>
      </c>
      <c r="AN95" s="848" t="str">
        <f>IFERROR(VLOOKUP(E95,'liquidaciones '!$B$2:$C$1048576,2,0),"NO")</f>
        <v>LIQUIDADO</v>
      </c>
      <c r="AO95" s="944" t="str">
        <f>IFERROR(VLOOKUP(E95,'liquidaciones '!$B$2:$I$1048576,8,0),"")</f>
        <v>JUAN DIEGO ESPITIA</v>
      </c>
      <c r="AP95" s="334">
        <v>41845</v>
      </c>
      <c r="AQ95" s="177" t="str">
        <f t="shared" ca="1" si="23"/>
        <v>NO</v>
      </c>
      <c r="AR95" s="177" t="s">
        <v>1571</v>
      </c>
      <c r="AS95" s="433"/>
      <c r="AT95" s="964"/>
      <c r="AU95" s="964"/>
      <c r="AV95" s="964"/>
    </row>
    <row r="96" spans="1:48" ht="47.25" customHeight="1" x14ac:dyDescent="0.25">
      <c r="A96" s="15">
        <v>4</v>
      </c>
      <c r="B96" s="15">
        <v>90</v>
      </c>
      <c r="C96" s="437"/>
      <c r="D96" s="437" t="str">
        <f t="shared" si="13"/>
        <v>2013</v>
      </c>
      <c r="E96" s="132" t="s">
        <v>94</v>
      </c>
      <c r="F96" s="132" t="s">
        <v>433</v>
      </c>
      <c r="G96" s="137">
        <v>899999115</v>
      </c>
      <c r="H96" s="993" t="s">
        <v>344</v>
      </c>
      <c r="I96" s="134">
        <v>160000000</v>
      </c>
      <c r="J96" s="134" t="s">
        <v>1088</v>
      </c>
      <c r="K96" s="135">
        <v>2013</v>
      </c>
      <c r="L96" s="546" t="s">
        <v>1088</v>
      </c>
      <c r="M96" s="136">
        <v>41411</v>
      </c>
      <c r="N96" s="136">
        <v>41477</v>
      </c>
      <c r="O96" s="127">
        <f>COUNTA(Modificaciones!I96,Modificaciones!K96,Modificaciones!M96,Modificaciones!O96)</f>
        <v>1</v>
      </c>
      <c r="P96" s="128">
        <f>VLOOKUP(E96,Modificaciones!$B$7:$Q$300,16,0)</f>
        <v>80000000</v>
      </c>
      <c r="Q96" s="129">
        <f>COUNTA(Modificaciones!S96,Modificaciones!U96,Modificaciones!W96,Modificaciones!Y96)</f>
        <v>1</v>
      </c>
      <c r="R96" s="130" t="str">
        <f>IF(Modificaciones!Z96=0,"",VLOOKUP(E96,Modificaciones!$B$7:$AA$400,25,0))</f>
        <v>1 mes</v>
      </c>
      <c r="S96" s="131">
        <f>IF(Modificaciones!AA96=0,"",VLOOKUP(E96,Modificaciones!$B$7:$AA$400,26,0))</f>
        <v>41508</v>
      </c>
      <c r="T96" s="7">
        <f t="shared" si="14"/>
        <v>41508</v>
      </c>
      <c r="U96" s="62">
        <f t="shared" si="15"/>
        <v>240000000</v>
      </c>
      <c r="V96" s="172">
        <f>VLOOKUP(E96,Modificaciones!$B$7:$AU$300,46,0)</f>
        <v>239999964</v>
      </c>
      <c r="W96" s="93">
        <f t="shared" si="16"/>
        <v>36</v>
      </c>
      <c r="X96" s="312" t="s">
        <v>1407</v>
      </c>
      <c r="Y96" s="42">
        <f t="shared" si="17"/>
        <v>0.99999985000000002</v>
      </c>
      <c r="Z96" s="42">
        <f t="shared" ca="1" si="18"/>
        <v>1</v>
      </c>
      <c r="AA96" s="43">
        <f t="shared" ca="1" si="19"/>
        <v>1.4999999997655777E-7</v>
      </c>
      <c r="AB96" s="202" t="str">
        <f t="shared" ca="1" si="20"/>
        <v/>
      </c>
      <c r="AC96" s="44" t="str">
        <f t="shared" si="21"/>
        <v>SI</v>
      </c>
      <c r="AD96" s="44"/>
      <c r="AE96" s="173" t="s">
        <v>1257</v>
      </c>
      <c r="AF96" s="173" t="s">
        <v>1278</v>
      </c>
      <c r="AG96" s="173"/>
      <c r="AH96" s="281"/>
      <c r="AI96" s="174"/>
      <c r="AJ96" s="181" t="s">
        <v>996</v>
      </c>
      <c r="AK96" s="181" t="str">
        <f t="shared" ca="1" si="22"/>
        <v>TERMINO</v>
      </c>
      <c r="AL96" s="181" t="s">
        <v>582</v>
      </c>
      <c r="AM96" s="176" t="s">
        <v>390</v>
      </c>
      <c r="AN96" s="848" t="str">
        <f>IFERROR(VLOOKUP(E96,'liquidaciones '!$B$2:$C$1048576,2,0),"NO")</f>
        <v>NO</v>
      </c>
      <c r="AO96" s="944" t="str">
        <f>IFERROR(VLOOKUP(E96,'liquidaciones '!$B$2:$I$1048576,8,0),"")</f>
        <v/>
      </c>
      <c r="AP96" s="336"/>
      <c r="AQ96" s="177" t="str">
        <f t="shared" ca="1" si="23"/>
        <v>NO</v>
      </c>
      <c r="AR96" s="177" t="s">
        <v>1571</v>
      </c>
      <c r="AS96" s="433"/>
      <c r="AT96" s="964"/>
      <c r="AU96" s="964"/>
      <c r="AV96" s="964"/>
    </row>
    <row r="97" spans="1:48" ht="47.25" customHeight="1" x14ac:dyDescent="0.25">
      <c r="A97" s="15">
        <v>4</v>
      </c>
      <c r="B97" s="15">
        <v>91</v>
      </c>
      <c r="C97" s="437"/>
      <c r="D97" s="437" t="str">
        <f t="shared" si="13"/>
        <v>2013</v>
      </c>
      <c r="E97" s="132" t="s">
        <v>95</v>
      </c>
      <c r="F97" s="132" t="s">
        <v>41</v>
      </c>
      <c r="G97" s="143">
        <v>830034865</v>
      </c>
      <c r="H97" s="993" t="s">
        <v>458</v>
      </c>
      <c r="I97" s="134">
        <v>55784000</v>
      </c>
      <c r="J97" s="134" t="s">
        <v>1088</v>
      </c>
      <c r="K97" s="135">
        <v>2013</v>
      </c>
      <c r="L97" s="546" t="s">
        <v>1088</v>
      </c>
      <c r="M97" s="138">
        <v>41403</v>
      </c>
      <c r="N97" s="138">
        <v>41678</v>
      </c>
      <c r="O97" s="127">
        <f>COUNTA(Modificaciones!I97,Modificaciones!K97,Modificaciones!M97,Modificaciones!O97)</f>
        <v>1</v>
      </c>
      <c r="P97" s="128">
        <f>VLOOKUP(E97,Modificaciones!$B$7:$Q$300,16,0)</f>
        <v>11395000</v>
      </c>
      <c r="Q97" s="129">
        <f>COUNTA(Modificaciones!S97,Modificaciones!U97,Modificaciones!W97,Modificaciones!Y97)</f>
        <v>3</v>
      </c>
      <c r="R97" s="130" t="str">
        <f>IF(Modificaciones!Z97=0,"",VLOOKUP(E97,Modificaciones!$B$7:$AA$400,25,0))</f>
        <v>7 meses</v>
      </c>
      <c r="S97" s="131">
        <f>IF(Modificaciones!AA97=0,"",VLOOKUP(E97,Modificaciones!$B$7:$AA$400,26,0))</f>
        <v>41890</v>
      </c>
      <c r="T97" s="7">
        <f t="shared" si="14"/>
        <v>41890</v>
      </c>
      <c r="U97" s="62">
        <f t="shared" si="15"/>
        <v>67179000</v>
      </c>
      <c r="V97" s="172">
        <f>VLOOKUP(E97,Modificaciones!$B$7:$AU$300,46,0)</f>
        <v>67115300</v>
      </c>
      <c r="W97" s="93">
        <f t="shared" si="16"/>
        <v>63700</v>
      </c>
      <c r="X97" s="309" t="s">
        <v>1095</v>
      </c>
      <c r="Y97" s="42">
        <f t="shared" si="17"/>
        <v>0.9990517870167761</v>
      </c>
      <c r="Z97" s="42">
        <f t="shared" ca="1" si="18"/>
        <v>1</v>
      </c>
      <c r="AA97" s="43">
        <f t="shared" ca="1" si="19"/>
        <v>9.4821298322389502E-4</v>
      </c>
      <c r="AB97" s="202" t="str">
        <f t="shared" ca="1" si="20"/>
        <v/>
      </c>
      <c r="AC97" s="44" t="str">
        <f t="shared" si="21"/>
        <v>SI</v>
      </c>
      <c r="AD97" s="44"/>
      <c r="AE97" s="173" t="s">
        <v>1256</v>
      </c>
      <c r="AF97" s="173" t="s">
        <v>1284</v>
      </c>
      <c r="AG97" s="173"/>
      <c r="AH97" s="281"/>
      <c r="AI97" s="174"/>
      <c r="AJ97" s="181" t="s">
        <v>901</v>
      </c>
      <c r="AK97" s="181" t="str">
        <f t="shared" ca="1" si="22"/>
        <v>TERMINO</v>
      </c>
      <c r="AL97" s="181" t="s">
        <v>577</v>
      </c>
      <c r="AM97" s="176" t="s">
        <v>390</v>
      </c>
      <c r="AN97" s="848" t="str">
        <f>IFERROR(VLOOKUP(E97,'liquidaciones '!$B$2:$C$1048576,2,0),"NO")</f>
        <v>LIQUIDADO</v>
      </c>
      <c r="AO97" s="944">
        <f>IFERROR(VLOOKUP(E97,'liquidaciones '!$B$2:$I$1048576,8,0),"")</f>
        <v>0</v>
      </c>
      <c r="AP97" s="336">
        <v>42150</v>
      </c>
      <c r="AQ97" s="177" t="str">
        <f t="shared" ca="1" si="23"/>
        <v>NO</v>
      </c>
      <c r="AR97" s="177" t="s">
        <v>1571</v>
      </c>
      <c r="AS97" s="433"/>
      <c r="AT97" s="964"/>
      <c r="AU97" s="964"/>
      <c r="AV97" s="964"/>
    </row>
    <row r="98" spans="1:48" ht="47.25" customHeight="1" x14ac:dyDescent="0.25">
      <c r="A98" s="15">
        <v>4</v>
      </c>
      <c r="B98" s="15">
        <v>92</v>
      </c>
      <c r="C98" s="437"/>
      <c r="D98" s="437" t="str">
        <f t="shared" si="13"/>
        <v>2013</v>
      </c>
      <c r="E98" s="132" t="s">
        <v>96</v>
      </c>
      <c r="F98" s="132" t="s">
        <v>3</v>
      </c>
      <c r="G98" s="143">
        <v>830095213</v>
      </c>
      <c r="H98" s="993" t="s">
        <v>456</v>
      </c>
      <c r="I98" s="134">
        <v>351295000</v>
      </c>
      <c r="J98" s="850" t="s">
        <v>4413</v>
      </c>
      <c r="K98" s="135">
        <v>2013</v>
      </c>
      <c r="L98" s="546" t="s">
        <v>1088</v>
      </c>
      <c r="M98" s="138">
        <v>41426</v>
      </c>
      <c r="N98" s="138">
        <v>41671</v>
      </c>
      <c r="O98" s="127">
        <f>COUNTA(Modificaciones!I98,Modificaciones!K98,Modificaciones!M98,Modificaciones!O98)</f>
        <v>2</v>
      </c>
      <c r="P98" s="128">
        <f>VLOOKUP(E98,Modificaciones!$B$7:$Q$300,16,0)</f>
        <v>121839060</v>
      </c>
      <c r="Q98" s="129">
        <f>COUNTA(Modificaciones!S98,Modificaciones!U98,Modificaciones!W98,Modificaciones!Y98)</f>
        <v>3</v>
      </c>
      <c r="R98" s="130" t="str">
        <f>IF(Modificaciones!Z98=0,"",VLOOKUP(E98,Modificaciones!$B$7:$AA$400,25,0))</f>
        <v>5 meses</v>
      </c>
      <c r="S98" s="131">
        <f>IF(Modificaciones!AA98=0,"",VLOOKUP(E98,Modificaciones!$B$7:$AA$400,26,0))</f>
        <v>41820</v>
      </c>
      <c r="T98" s="7">
        <f t="shared" si="14"/>
        <v>41820</v>
      </c>
      <c r="U98" s="62">
        <f t="shared" si="15"/>
        <v>473134060</v>
      </c>
      <c r="V98" s="172">
        <f>VLOOKUP(E98,Modificaciones!$B$7:$AU$300,46,0)</f>
        <v>473133510</v>
      </c>
      <c r="W98" s="93">
        <f t="shared" si="16"/>
        <v>550</v>
      </c>
      <c r="X98" s="309" t="s">
        <v>1095</v>
      </c>
      <c r="Y98" s="42">
        <f t="shared" si="17"/>
        <v>0.99999883753877283</v>
      </c>
      <c r="Z98" s="42">
        <f t="shared" ca="1" si="18"/>
        <v>1</v>
      </c>
      <c r="AA98" s="43">
        <f t="shared" ca="1" si="19"/>
        <v>1.1624612271665669E-6</v>
      </c>
      <c r="AB98" s="202" t="str">
        <f t="shared" ca="1" si="20"/>
        <v/>
      </c>
      <c r="AC98" s="44" t="str">
        <f t="shared" si="21"/>
        <v>SI</v>
      </c>
      <c r="AD98" s="44"/>
      <c r="AE98" s="173" t="s">
        <v>1256</v>
      </c>
      <c r="AF98" s="173" t="s">
        <v>1139</v>
      </c>
      <c r="AG98" s="173" t="s">
        <v>1442</v>
      </c>
      <c r="AH98" s="281" t="s">
        <v>560</v>
      </c>
      <c r="AI98" s="174" t="s">
        <v>1319</v>
      </c>
      <c r="AJ98" s="181" t="s">
        <v>901</v>
      </c>
      <c r="AK98" s="181" t="str">
        <f t="shared" ca="1" si="22"/>
        <v>TERMINO</v>
      </c>
      <c r="AL98" s="181" t="s">
        <v>574</v>
      </c>
      <c r="AM98" s="176" t="s">
        <v>390</v>
      </c>
      <c r="AN98" s="848" t="str">
        <f>IFERROR(VLOOKUP(E98,'liquidaciones '!$B$2:$C$1048576,2,0),"NO")</f>
        <v>LIQUIDADO</v>
      </c>
      <c r="AO98" s="944">
        <f>IFERROR(VLOOKUP(E98,'liquidaciones '!$B$2:$I$1048576,8,0),"")</f>
        <v>0</v>
      </c>
      <c r="AP98" s="336"/>
      <c r="AQ98" s="177" t="str">
        <f t="shared" ca="1" si="23"/>
        <v>NO</v>
      </c>
      <c r="AR98" s="177" t="s">
        <v>1571</v>
      </c>
      <c r="AS98" s="433"/>
      <c r="AT98" s="964"/>
      <c r="AU98" s="964"/>
      <c r="AV98" s="964"/>
    </row>
    <row r="99" spans="1:48" ht="47.25" customHeight="1" x14ac:dyDescent="0.25">
      <c r="A99" s="15">
        <v>4</v>
      </c>
      <c r="B99" s="15">
        <v>93</v>
      </c>
      <c r="C99" s="437"/>
      <c r="D99" s="437" t="str">
        <f t="shared" si="13"/>
        <v>2013</v>
      </c>
      <c r="E99" s="132" t="s">
        <v>97</v>
      </c>
      <c r="F99" s="132" t="s">
        <v>98</v>
      </c>
      <c r="G99" s="133">
        <v>830070625</v>
      </c>
      <c r="H99" s="993" t="s">
        <v>345</v>
      </c>
      <c r="I99" s="134">
        <v>2096276</v>
      </c>
      <c r="J99" s="850" t="s">
        <v>3999</v>
      </c>
      <c r="K99" s="135">
        <v>2013</v>
      </c>
      <c r="L99" s="546" t="s">
        <v>1088</v>
      </c>
      <c r="M99" s="138">
        <v>41417</v>
      </c>
      <c r="N99" s="138">
        <v>41692</v>
      </c>
      <c r="O99" s="127">
        <f>COUNTA(Modificaciones!I99,Modificaciones!K99,Modificaciones!M99,Modificaciones!O99)</f>
        <v>0</v>
      </c>
      <c r="P99" s="128">
        <f>VLOOKUP(E99,Modificaciones!$B$7:$Q$300,16,0)</f>
        <v>0</v>
      </c>
      <c r="Q99" s="129">
        <f>COUNTA(Modificaciones!S99,Modificaciones!U99,Modificaciones!W99,Modificaciones!Y99)</f>
        <v>0</v>
      </c>
      <c r="R99" s="130" t="str">
        <f>IF(Modificaciones!Z99=0,"",VLOOKUP(E99,Modificaciones!$B$7:$AA$400,25,0))</f>
        <v/>
      </c>
      <c r="S99" s="131" t="str">
        <f>IF(Modificaciones!AA99=0,"",VLOOKUP(E99,Modificaciones!$B$7:$AA$400,26,0))</f>
        <v/>
      </c>
      <c r="T99" s="7">
        <f t="shared" si="14"/>
        <v>41692</v>
      </c>
      <c r="U99" s="62">
        <f t="shared" si="15"/>
        <v>2096276</v>
      </c>
      <c r="V99" s="172">
        <f>VLOOKUP(E99,Modificaciones!$B$7:$AU$300,46,0)</f>
        <v>2086672</v>
      </c>
      <c r="W99" s="93">
        <f t="shared" si="16"/>
        <v>9604</v>
      </c>
      <c r="X99" s="312" t="s">
        <v>1398</v>
      </c>
      <c r="Y99" s="42">
        <f t="shared" si="17"/>
        <v>0.99541854221486104</v>
      </c>
      <c r="Z99" s="42">
        <f t="shared" ca="1" si="18"/>
        <v>1</v>
      </c>
      <c r="AA99" s="43">
        <f t="shared" ca="1" si="19"/>
        <v>4.5814577851389648E-3</v>
      </c>
      <c r="AB99" s="202" t="str">
        <f t="shared" ca="1" si="20"/>
        <v/>
      </c>
      <c r="AC99" s="44" t="str">
        <f t="shared" si="21"/>
        <v>NO</v>
      </c>
      <c r="AD99" s="44"/>
      <c r="AE99" s="173" t="s">
        <v>1256</v>
      </c>
      <c r="AF99" s="173" t="s">
        <v>1383</v>
      </c>
      <c r="AG99" s="173" t="s">
        <v>1442</v>
      </c>
      <c r="AH99" s="281" t="s">
        <v>560</v>
      </c>
      <c r="AI99" s="174"/>
      <c r="AJ99" s="181" t="s">
        <v>901</v>
      </c>
      <c r="AK99" s="181" t="str">
        <f t="shared" ca="1" si="22"/>
        <v>TERMINO</v>
      </c>
      <c r="AL99" s="181" t="s">
        <v>576</v>
      </c>
      <c r="AM99" s="176" t="s">
        <v>390</v>
      </c>
      <c r="AN99" s="848" t="str">
        <f>IFERROR(VLOOKUP(E99,'liquidaciones '!$B$2:$C$1048576,2,0),"NO")</f>
        <v>LIQUIDADO</v>
      </c>
      <c r="AO99" s="944">
        <f>IFERROR(VLOOKUP(E99,'liquidaciones '!$B$2:$I$1048576,8,0),"")</f>
        <v>0</v>
      </c>
      <c r="AP99" s="336">
        <v>41982</v>
      </c>
      <c r="AQ99" s="177" t="str">
        <f t="shared" ca="1" si="23"/>
        <v>NO</v>
      </c>
      <c r="AR99" s="177" t="s">
        <v>1571</v>
      </c>
      <c r="AS99" s="433"/>
      <c r="AT99" s="964"/>
      <c r="AU99" s="964"/>
      <c r="AV99" s="964"/>
    </row>
    <row r="100" spans="1:48" ht="47.25" customHeight="1" x14ac:dyDescent="0.25">
      <c r="A100" s="15">
        <v>4</v>
      </c>
      <c r="B100" s="15">
        <v>94</v>
      </c>
      <c r="C100" s="437"/>
      <c r="D100" s="437" t="str">
        <f t="shared" si="13"/>
        <v>2013</v>
      </c>
      <c r="E100" s="132" t="s">
        <v>99</v>
      </c>
      <c r="F100" s="132" t="s">
        <v>100</v>
      </c>
      <c r="G100" s="133">
        <v>860019063</v>
      </c>
      <c r="H100" s="993" t="s">
        <v>465</v>
      </c>
      <c r="I100" s="134">
        <v>12594000</v>
      </c>
      <c r="J100" s="134" t="s">
        <v>1088</v>
      </c>
      <c r="K100" s="135">
        <v>2013</v>
      </c>
      <c r="L100" s="546" t="s">
        <v>1088</v>
      </c>
      <c r="M100" s="138">
        <v>41416</v>
      </c>
      <c r="N100" s="138">
        <v>41660</v>
      </c>
      <c r="O100" s="127">
        <f>COUNTA(Modificaciones!I100,Modificaciones!K100,Modificaciones!M100,Modificaciones!O100)</f>
        <v>1</v>
      </c>
      <c r="P100" s="128">
        <f>VLOOKUP(E100,Modificaciones!$B$7:$Q$300,16,0)</f>
        <v>6150000</v>
      </c>
      <c r="Q100" s="129">
        <f>COUNTA(Modificaciones!S100,Modificaciones!U100,Modificaciones!W100,Modificaciones!Y100)</f>
        <v>0</v>
      </c>
      <c r="R100" s="130" t="str">
        <f>IF(Modificaciones!Z100=0,"",VLOOKUP(E100,Modificaciones!$B$7:$AA$400,25,0))</f>
        <v/>
      </c>
      <c r="S100" s="131" t="str">
        <f>IF(Modificaciones!AA100=0,"",VLOOKUP(E100,Modificaciones!$B$7:$AA$400,26,0))</f>
        <v/>
      </c>
      <c r="T100" s="7">
        <f t="shared" si="14"/>
        <v>41660</v>
      </c>
      <c r="U100" s="62">
        <f t="shared" si="15"/>
        <v>18744000</v>
      </c>
      <c r="V100" s="172">
        <f>VLOOKUP(E100,Modificaciones!$B$7:$AU$300,46,0)</f>
        <v>18286734</v>
      </c>
      <c r="W100" s="93">
        <f t="shared" si="16"/>
        <v>457266</v>
      </c>
      <c r="X100" s="312" t="s">
        <v>1399</v>
      </c>
      <c r="Y100" s="42">
        <f t="shared" si="17"/>
        <v>0.9756046734955186</v>
      </c>
      <c r="Z100" s="42">
        <f t="shared" ca="1" si="18"/>
        <v>1</v>
      </c>
      <c r="AA100" s="43">
        <f t="shared" ca="1" si="19"/>
        <v>2.4395326504481396E-2</v>
      </c>
      <c r="AB100" s="202" t="str">
        <f t="shared" ca="1" si="20"/>
        <v/>
      </c>
      <c r="AC100" s="44" t="str">
        <f t="shared" si="21"/>
        <v>NO</v>
      </c>
      <c r="AD100" s="44"/>
      <c r="AE100" s="173" t="s">
        <v>1256</v>
      </c>
      <c r="AF100" s="173" t="s">
        <v>1126</v>
      </c>
      <c r="AG100" s="173" t="s">
        <v>1442</v>
      </c>
      <c r="AH100" s="281" t="s">
        <v>560</v>
      </c>
      <c r="AI100" s="174"/>
      <c r="AJ100" s="181" t="s">
        <v>901</v>
      </c>
      <c r="AK100" s="181" t="str">
        <f t="shared" ca="1" si="22"/>
        <v>TERMINO</v>
      </c>
      <c r="AL100" s="181" t="s">
        <v>576</v>
      </c>
      <c r="AM100" s="176" t="s">
        <v>390</v>
      </c>
      <c r="AN100" s="848" t="str">
        <f>IFERROR(VLOOKUP(E100,'liquidaciones '!$B$2:$C$1048576,2,0),"NO")</f>
        <v>NO</v>
      </c>
      <c r="AO100" s="944" t="str">
        <f>IFERROR(VLOOKUP(E100,'liquidaciones '!$B$2:$I$1048576,8,0),"")</f>
        <v/>
      </c>
      <c r="AP100" s="336"/>
      <c r="AQ100" s="177" t="str">
        <f t="shared" ca="1" si="23"/>
        <v>NO</v>
      </c>
      <c r="AR100" s="177" t="s">
        <v>1571</v>
      </c>
      <c r="AS100" s="433"/>
      <c r="AT100" s="964"/>
      <c r="AU100" s="964"/>
      <c r="AV100" s="964"/>
    </row>
    <row r="101" spans="1:48" ht="47.25" customHeight="1" x14ac:dyDescent="0.25">
      <c r="A101" s="15">
        <v>4</v>
      </c>
      <c r="B101" s="15">
        <v>95</v>
      </c>
      <c r="C101" s="437"/>
      <c r="D101" s="437" t="str">
        <f t="shared" si="13"/>
        <v>2013</v>
      </c>
      <c r="E101" s="132" t="s">
        <v>121</v>
      </c>
      <c r="F101" s="132" t="s">
        <v>15</v>
      </c>
      <c r="G101" s="133">
        <v>830067096</v>
      </c>
      <c r="H101" s="993" t="s">
        <v>353</v>
      </c>
      <c r="I101" s="140">
        <v>7740000</v>
      </c>
      <c r="J101" s="850" t="s">
        <v>4420</v>
      </c>
      <c r="K101" s="135">
        <v>2013</v>
      </c>
      <c r="L101" s="546" t="s">
        <v>1088</v>
      </c>
      <c r="M101" s="138">
        <v>41410</v>
      </c>
      <c r="N101" s="138">
        <v>41774</v>
      </c>
      <c r="O101" s="127">
        <f>COUNTA(Modificaciones!I101,Modificaciones!K101,Modificaciones!M101,Modificaciones!O101)</f>
        <v>0</v>
      </c>
      <c r="P101" s="128">
        <f>VLOOKUP(E101,Modificaciones!$B$7:$Q$300,16,0)</f>
        <v>0</v>
      </c>
      <c r="Q101" s="129">
        <f>COUNTA(Modificaciones!S101,Modificaciones!U101,Modificaciones!W101,Modificaciones!Y101)</f>
        <v>0</v>
      </c>
      <c r="R101" s="130" t="str">
        <f>IF(Modificaciones!Z101=0,"",VLOOKUP(E101,Modificaciones!$B$7:$AA$400,25,0))</f>
        <v/>
      </c>
      <c r="S101" s="131" t="str">
        <f>IF(Modificaciones!AA101=0,"",VLOOKUP(E101,Modificaciones!$B$7:$AA$400,26,0))</f>
        <v/>
      </c>
      <c r="T101" s="7">
        <f t="shared" si="14"/>
        <v>41774</v>
      </c>
      <c r="U101" s="62">
        <f t="shared" si="15"/>
        <v>7740000</v>
      </c>
      <c r="V101" s="172">
        <f>VLOOKUP(E101,Modificaciones!$B$7:$AU$300,46,0)</f>
        <v>7740000</v>
      </c>
      <c r="W101" s="93">
        <f t="shared" si="16"/>
        <v>0</v>
      </c>
      <c r="X101" s="312"/>
      <c r="Y101" s="42">
        <f t="shared" si="17"/>
        <v>1</v>
      </c>
      <c r="Z101" s="42">
        <f t="shared" ca="1" si="18"/>
        <v>1</v>
      </c>
      <c r="AA101" s="43">
        <f t="shared" ca="1" si="19"/>
        <v>0</v>
      </c>
      <c r="AB101" s="202" t="str">
        <f t="shared" ca="1" si="20"/>
        <v/>
      </c>
      <c r="AC101" s="44" t="str">
        <f t="shared" si="21"/>
        <v>SI</v>
      </c>
      <c r="AD101" s="44"/>
      <c r="AE101" s="173" t="s">
        <v>1256</v>
      </c>
      <c r="AF101" s="173" t="s">
        <v>1125</v>
      </c>
      <c r="AG101" s="173"/>
      <c r="AH101" s="281"/>
      <c r="AI101" s="174"/>
      <c r="AJ101" s="181" t="s">
        <v>901</v>
      </c>
      <c r="AK101" s="181" t="str">
        <f t="shared" ca="1" si="22"/>
        <v>TERMINO</v>
      </c>
      <c r="AL101" s="181" t="s">
        <v>582</v>
      </c>
      <c r="AM101" s="176" t="s">
        <v>390</v>
      </c>
      <c r="AN101" s="848" t="str">
        <f>IFERROR(VLOOKUP(E101,'liquidaciones '!$B$2:$C$1048576,2,0),"NO")</f>
        <v>LIQUIDADO</v>
      </c>
      <c r="AO101" s="944">
        <f>IFERROR(VLOOKUP(E101,'liquidaciones '!$B$2:$I$1048576,8,0),"")</f>
        <v>0</v>
      </c>
      <c r="AP101" s="336">
        <v>42004</v>
      </c>
      <c r="AQ101" s="177" t="str">
        <f t="shared" ca="1" si="23"/>
        <v>NO</v>
      </c>
      <c r="AR101" s="177" t="s">
        <v>1571</v>
      </c>
      <c r="AS101" s="433"/>
      <c r="AT101" s="964"/>
      <c r="AU101" s="964"/>
      <c r="AV101" s="964"/>
    </row>
    <row r="102" spans="1:48" ht="70.5" customHeight="1" x14ac:dyDescent="0.25">
      <c r="A102" s="15">
        <v>4</v>
      </c>
      <c r="B102" s="15">
        <v>96</v>
      </c>
      <c r="C102" s="437"/>
      <c r="D102" s="437" t="str">
        <f t="shared" si="13"/>
        <v>2013</v>
      </c>
      <c r="E102" s="132" t="s">
        <v>123</v>
      </c>
      <c r="F102" s="132" t="s">
        <v>124</v>
      </c>
      <c r="G102" s="143">
        <v>52353202</v>
      </c>
      <c r="H102" s="993" t="s">
        <v>464</v>
      </c>
      <c r="I102" s="134">
        <v>50000000</v>
      </c>
      <c r="J102" s="134" t="s">
        <v>1088</v>
      </c>
      <c r="K102" s="135">
        <v>2013</v>
      </c>
      <c r="L102" s="546" t="s">
        <v>1088</v>
      </c>
      <c r="M102" s="136">
        <v>41410</v>
      </c>
      <c r="N102" s="136">
        <v>41713</v>
      </c>
      <c r="O102" s="127">
        <f>COUNTA(Modificaciones!I102,Modificaciones!K102,Modificaciones!M102,Modificaciones!O102)</f>
        <v>0</v>
      </c>
      <c r="P102" s="128">
        <f>VLOOKUP(E102,Modificaciones!$B$7:$Q$300,16,0)</f>
        <v>0</v>
      </c>
      <c r="Q102" s="129">
        <f>COUNTA(Modificaciones!S102,Modificaciones!U102,Modificaciones!W102,Modificaciones!Y102)</f>
        <v>0</v>
      </c>
      <c r="R102" s="130" t="str">
        <f>IF(Modificaciones!Z102=0,"",VLOOKUP(E102,Modificaciones!$B$7:$AA$400,25,0))</f>
        <v/>
      </c>
      <c r="S102" s="131" t="str">
        <f>IF(Modificaciones!AA102=0,"",VLOOKUP(E102,Modificaciones!$B$7:$AA$400,26,0))</f>
        <v/>
      </c>
      <c r="T102" s="7">
        <f t="shared" si="14"/>
        <v>41713</v>
      </c>
      <c r="U102" s="62">
        <f t="shared" si="15"/>
        <v>50000000</v>
      </c>
      <c r="V102" s="172">
        <f>VLOOKUP(E102,Modificaciones!$B$7:$AU$300,46,0)</f>
        <v>27500000</v>
      </c>
      <c r="W102" s="93">
        <f t="shared" si="16"/>
        <v>22500000</v>
      </c>
      <c r="X102" s="309" t="s">
        <v>1095</v>
      </c>
      <c r="Y102" s="42">
        <f t="shared" si="17"/>
        <v>0.55000000000000004</v>
      </c>
      <c r="Z102" s="42">
        <f t="shared" ca="1" si="18"/>
        <v>1</v>
      </c>
      <c r="AA102" s="43">
        <f t="shared" ca="1" si="19"/>
        <v>0.44999999999999996</v>
      </c>
      <c r="AB102" s="202" t="str">
        <f t="shared" ca="1" si="20"/>
        <v/>
      </c>
      <c r="AC102" s="44" t="str">
        <f t="shared" si="21"/>
        <v>NO</v>
      </c>
      <c r="AD102" s="44"/>
      <c r="AE102" s="173" t="s">
        <v>1256</v>
      </c>
      <c r="AF102" s="173" t="s">
        <v>1131</v>
      </c>
      <c r="AG102" s="173"/>
      <c r="AH102" s="281"/>
      <c r="AI102" s="174"/>
      <c r="AJ102" s="181" t="s">
        <v>901</v>
      </c>
      <c r="AK102" s="181" t="str">
        <f t="shared" ca="1" si="22"/>
        <v>TERMINO</v>
      </c>
      <c r="AL102" s="181" t="s">
        <v>582</v>
      </c>
      <c r="AM102" s="176" t="s">
        <v>391</v>
      </c>
      <c r="AN102" s="848" t="str">
        <f>IFERROR(VLOOKUP(E102,'liquidaciones '!$B$2:$C$1048576,2,0),"NO")</f>
        <v>LIQUIDADO</v>
      </c>
      <c r="AO102" s="944">
        <f>IFERROR(VLOOKUP(E102,'liquidaciones '!$B$2:$I$1048576,8,0),"")</f>
        <v>0</v>
      </c>
      <c r="AP102" s="335">
        <v>42117</v>
      </c>
      <c r="AQ102" s="177" t="str">
        <f t="shared" ca="1" si="23"/>
        <v>NO</v>
      </c>
      <c r="AR102" s="177" t="s">
        <v>1571</v>
      </c>
      <c r="AS102" s="433"/>
      <c r="AT102" s="964"/>
      <c r="AU102" s="964"/>
      <c r="AV102" s="964"/>
    </row>
    <row r="103" spans="1:48" ht="47.25" customHeight="1" x14ac:dyDescent="0.25">
      <c r="A103" s="15">
        <v>4</v>
      </c>
      <c r="B103" s="15">
        <v>97</v>
      </c>
      <c r="C103" s="437"/>
      <c r="D103" s="437" t="str">
        <f t="shared" si="13"/>
        <v>2013</v>
      </c>
      <c r="E103" s="132" t="s">
        <v>125</v>
      </c>
      <c r="F103" s="132" t="s">
        <v>126</v>
      </c>
      <c r="G103" s="133">
        <v>900333228</v>
      </c>
      <c r="H103" s="993" t="s">
        <v>466</v>
      </c>
      <c r="I103" s="134">
        <v>9366000</v>
      </c>
      <c r="J103" s="850" t="s">
        <v>4062</v>
      </c>
      <c r="K103" s="135">
        <v>2013</v>
      </c>
      <c r="L103" s="546" t="s">
        <v>1088</v>
      </c>
      <c r="M103" s="138">
        <v>41423</v>
      </c>
      <c r="N103" s="138">
        <v>41698</v>
      </c>
      <c r="O103" s="127">
        <f>COUNTA(Modificaciones!I103,Modificaciones!K103,Modificaciones!M103,Modificaciones!O103)</f>
        <v>0</v>
      </c>
      <c r="P103" s="128">
        <f>VLOOKUP(E103,Modificaciones!$B$7:$Q$300,16,0)</f>
        <v>0</v>
      </c>
      <c r="Q103" s="129">
        <f>COUNTA(Modificaciones!S103,Modificaciones!U103,Modificaciones!W103,Modificaciones!Y103)</f>
        <v>0</v>
      </c>
      <c r="R103" s="130" t="str">
        <f>IF(Modificaciones!Z103=0,"",VLOOKUP(E103,Modificaciones!$B$7:$AA$400,25,0))</f>
        <v/>
      </c>
      <c r="S103" s="131" t="str">
        <f>IF(Modificaciones!AA103=0,"",VLOOKUP(E103,Modificaciones!$B$7:$AA$400,26,0))</f>
        <v/>
      </c>
      <c r="T103" s="7">
        <f t="shared" ref="T103:T134" si="24">MAX(N103,S103)</f>
        <v>41698</v>
      </c>
      <c r="U103" s="62">
        <f t="shared" si="15"/>
        <v>9366000</v>
      </c>
      <c r="V103" s="172">
        <f>VLOOKUP(E103,Modificaciones!$B$7:$AU$300,46,0)</f>
        <v>7783682</v>
      </c>
      <c r="W103" s="93">
        <f t="shared" si="16"/>
        <v>1582318</v>
      </c>
      <c r="X103" s="312" t="s">
        <v>1398</v>
      </c>
      <c r="Y103" s="42">
        <f t="shared" si="17"/>
        <v>0.83105722827247486</v>
      </c>
      <c r="Z103" s="42">
        <f t="shared" ca="1" si="18"/>
        <v>1</v>
      </c>
      <c r="AA103" s="43">
        <f t="shared" ca="1" si="19"/>
        <v>0.16894277172752514</v>
      </c>
      <c r="AB103" s="202" t="str">
        <f t="shared" ca="1" si="20"/>
        <v/>
      </c>
      <c r="AC103" s="44" t="str">
        <f t="shared" si="21"/>
        <v>NO</v>
      </c>
      <c r="AD103" s="44"/>
      <c r="AE103" s="173" t="s">
        <v>1256</v>
      </c>
      <c r="AF103" s="173" t="s">
        <v>1282</v>
      </c>
      <c r="AG103" s="173" t="s">
        <v>1442</v>
      </c>
      <c r="AH103" s="281" t="s">
        <v>560</v>
      </c>
      <c r="AI103" s="174" t="s">
        <v>1380</v>
      </c>
      <c r="AJ103" s="181" t="s">
        <v>906</v>
      </c>
      <c r="AK103" s="181" t="str">
        <f t="shared" ca="1" si="22"/>
        <v>TERMINO</v>
      </c>
      <c r="AL103" s="181" t="s">
        <v>576</v>
      </c>
      <c r="AM103" s="176" t="s">
        <v>390</v>
      </c>
      <c r="AN103" s="848" t="str">
        <f>IFERROR(VLOOKUP(E103,'liquidaciones '!$B$2:$C$1048576,2,0),"NO")</f>
        <v>LIQUIDADO</v>
      </c>
      <c r="AO103" s="944">
        <f>IFERROR(VLOOKUP(E103,'liquidaciones '!$B$2:$I$1048576,8,0),"")</f>
        <v>0</v>
      </c>
      <c r="AP103" s="336">
        <v>42333</v>
      </c>
      <c r="AQ103" s="177" t="str">
        <f t="shared" ca="1" si="23"/>
        <v>NO</v>
      </c>
      <c r="AR103" s="177" t="s">
        <v>1571</v>
      </c>
      <c r="AS103" s="433"/>
      <c r="AT103" s="964"/>
      <c r="AU103" s="964"/>
      <c r="AV103" s="964"/>
    </row>
    <row r="104" spans="1:48" ht="47.25" customHeight="1" x14ac:dyDescent="0.25">
      <c r="A104" s="15">
        <v>4</v>
      </c>
      <c r="B104" s="15">
        <v>98</v>
      </c>
      <c r="C104" s="437"/>
      <c r="D104" s="437" t="str">
        <f t="shared" si="13"/>
        <v>2013</v>
      </c>
      <c r="E104" s="132" t="s">
        <v>129</v>
      </c>
      <c r="F104" s="132" t="s">
        <v>1019</v>
      </c>
      <c r="G104" s="133">
        <v>900611595</v>
      </c>
      <c r="H104" s="993" t="s">
        <v>315</v>
      </c>
      <c r="I104" s="134">
        <v>22300000</v>
      </c>
      <c r="J104" s="850" t="s">
        <v>4067</v>
      </c>
      <c r="K104" s="135">
        <v>2013</v>
      </c>
      <c r="L104" s="546" t="s">
        <v>1088</v>
      </c>
      <c r="M104" s="138">
        <v>41410</v>
      </c>
      <c r="N104" s="138">
        <v>41623</v>
      </c>
      <c r="O104" s="127">
        <f>COUNTA(Modificaciones!I104,Modificaciones!K104,Modificaciones!M104,Modificaciones!O104)</f>
        <v>3</v>
      </c>
      <c r="P104" s="128">
        <f>VLOOKUP(E104,Modificaciones!$B$7:$Q$300,16,0)</f>
        <v>10820000</v>
      </c>
      <c r="Q104" s="129">
        <f>COUNTA(Modificaciones!S104,Modificaciones!U104,Modificaciones!W104,Modificaciones!Y104)</f>
        <v>3</v>
      </c>
      <c r="R104" s="130" t="str">
        <f>IF(Modificaciones!Z104=0,"",VLOOKUP(E104,Modificaciones!$B$7:$AA$400,25,0))</f>
        <v xml:space="preserve">6 meses  </v>
      </c>
      <c r="S104" s="131">
        <f>IF(Modificaciones!AA104=0,"",VLOOKUP(E104,Modificaciones!$B$7:$AA$400,26,0))</f>
        <v>41806</v>
      </c>
      <c r="T104" s="7">
        <f t="shared" si="24"/>
        <v>41806</v>
      </c>
      <c r="U104" s="62">
        <f t="shared" si="15"/>
        <v>33120000</v>
      </c>
      <c r="V104" s="172">
        <f>VLOOKUP(E104,Modificaciones!$B$7:$AU$300,46,0)</f>
        <v>32832950</v>
      </c>
      <c r="W104" s="93">
        <f t="shared" si="16"/>
        <v>287050</v>
      </c>
      <c r="X104" s="309" t="s">
        <v>1095</v>
      </c>
      <c r="Y104" s="42">
        <f t="shared" si="17"/>
        <v>0.99133303140096618</v>
      </c>
      <c r="Z104" s="42">
        <f t="shared" ca="1" si="18"/>
        <v>1</v>
      </c>
      <c r="AA104" s="43">
        <f t="shared" ca="1" si="19"/>
        <v>8.6669685990338197E-3</v>
      </c>
      <c r="AB104" s="202" t="str">
        <f t="shared" ca="1" si="20"/>
        <v/>
      </c>
      <c r="AC104" s="44" t="str">
        <f t="shared" si="21"/>
        <v>NO</v>
      </c>
      <c r="AD104" s="44"/>
      <c r="AE104" s="173" t="s">
        <v>1256</v>
      </c>
      <c r="AF104" s="173" t="s">
        <v>1137</v>
      </c>
      <c r="AG104" s="173" t="s">
        <v>1436</v>
      </c>
      <c r="AH104" s="281" t="s">
        <v>562</v>
      </c>
      <c r="AI104" s="174"/>
      <c r="AJ104" s="181" t="s">
        <v>901</v>
      </c>
      <c r="AK104" s="181" t="str">
        <f t="shared" ca="1" si="22"/>
        <v>TERMINO</v>
      </c>
      <c r="AL104" s="181" t="s">
        <v>574</v>
      </c>
      <c r="AM104" s="176" t="s">
        <v>390</v>
      </c>
      <c r="AN104" s="848" t="str">
        <f>IFERROR(VLOOKUP(E104,'liquidaciones '!$B$2:$C$1048576,2,0),"NO")</f>
        <v>LIQUIDADO</v>
      </c>
      <c r="AO104" s="944">
        <f>IFERROR(VLOOKUP(E104,'liquidaciones '!$B$2:$I$1048576,8,0),"")</f>
        <v>0</v>
      </c>
      <c r="AP104" s="336">
        <v>42290</v>
      </c>
      <c r="AQ104" s="177" t="str">
        <f t="shared" ca="1" si="23"/>
        <v>NO</v>
      </c>
      <c r="AR104" s="177" t="s">
        <v>1571</v>
      </c>
      <c r="AS104" s="433"/>
      <c r="AT104" s="964"/>
      <c r="AU104" s="964"/>
      <c r="AV104" s="964"/>
    </row>
    <row r="105" spans="1:48" ht="47.25" customHeight="1" x14ac:dyDescent="0.25">
      <c r="A105" s="15">
        <v>4</v>
      </c>
      <c r="B105" s="15">
        <v>99</v>
      </c>
      <c r="C105" s="437"/>
      <c r="D105" s="437" t="str">
        <f t="shared" si="13"/>
        <v>2013</v>
      </c>
      <c r="E105" s="142" t="s">
        <v>89</v>
      </c>
      <c r="F105" s="132" t="s">
        <v>90</v>
      </c>
      <c r="G105" s="133">
        <v>830109807</v>
      </c>
      <c r="H105" s="993" t="s">
        <v>467</v>
      </c>
      <c r="I105" s="134">
        <v>1030000</v>
      </c>
      <c r="J105" s="134" t="s">
        <v>1088</v>
      </c>
      <c r="K105" s="135">
        <v>2013</v>
      </c>
      <c r="L105" s="546" t="s">
        <v>1088</v>
      </c>
      <c r="M105" s="136">
        <v>41438</v>
      </c>
      <c r="N105" s="136">
        <v>41802</v>
      </c>
      <c r="O105" s="127">
        <f>COUNTA(Modificaciones!I105,Modificaciones!K105,Modificaciones!M105,Modificaciones!O105)</f>
        <v>0</v>
      </c>
      <c r="P105" s="128">
        <f>VLOOKUP(E105,Modificaciones!$B$7:$Q$300,16,0)</f>
        <v>0</v>
      </c>
      <c r="Q105" s="129">
        <f>COUNTA(Modificaciones!S105,Modificaciones!U105,Modificaciones!W105,Modificaciones!Y105)</f>
        <v>0</v>
      </c>
      <c r="R105" s="130" t="str">
        <f>IF(Modificaciones!Z105=0,"",VLOOKUP(E105,Modificaciones!$B$7:$AA$400,25,0))</f>
        <v/>
      </c>
      <c r="S105" s="131" t="str">
        <f>IF(Modificaciones!AA105=0,"",VLOOKUP(E105,Modificaciones!$B$7:$AA$400,26,0))</f>
        <v/>
      </c>
      <c r="T105" s="7">
        <f t="shared" si="24"/>
        <v>41802</v>
      </c>
      <c r="U105" s="62">
        <f t="shared" si="15"/>
        <v>1030000</v>
      </c>
      <c r="V105" s="172">
        <f>VLOOKUP(E105,Modificaciones!$B$7:$AU$300,46,0)</f>
        <v>1030000</v>
      </c>
      <c r="W105" s="93">
        <f t="shared" si="16"/>
        <v>0</v>
      </c>
      <c r="X105" s="309" t="s">
        <v>1895</v>
      </c>
      <c r="Y105" s="42">
        <f t="shared" si="17"/>
        <v>1</v>
      </c>
      <c r="Z105" s="42">
        <f t="shared" ca="1" si="18"/>
        <v>1</v>
      </c>
      <c r="AA105" s="43">
        <f t="shared" ca="1" si="19"/>
        <v>0</v>
      </c>
      <c r="AB105" s="202" t="str">
        <f t="shared" ca="1" si="20"/>
        <v/>
      </c>
      <c r="AC105" s="44" t="str">
        <f t="shared" si="21"/>
        <v>SI</v>
      </c>
      <c r="AD105" s="44"/>
      <c r="AE105" s="173" t="s">
        <v>1256</v>
      </c>
      <c r="AF105" s="173" t="s">
        <v>1291</v>
      </c>
      <c r="AG105" s="173"/>
      <c r="AH105" s="281"/>
      <c r="AI105" s="174"/>
      <c r="AJ105" s="181" t="s">
        <v>901</v>
      </c>
      <c r="AK105" s="181" t="str">
        <f t="shared" ca="1" si="22"/>
        <v>TERMINO</v>
      </c>
      <c r="AL105" s="181" t="s">
        <v>576</v>
      </c>
      <c r="AM105" s="176" t="s">
        <v>390</v>
      </c>
      <c r="AN105" s="848" t="str">
        <f>IFERROR(VLOOKUP(E105,'liquidaciones '!$B$2:$C$1048576,2,0),"NO")</f>
        <v>LIQUIDADO</v>
      </c>
      <c r="AO105" s="944">
        <f>IFERROR(VLOOKUP(E105,'liquidaciones '!$B$2:$I$1048576,8,0),"")</f>
        <v>0</v>
      </c>
      <c r="AP105" s="336">
        <v>41982</v>
      </c>
      <c r="AQ105" s="177" t="str">
        <f t="shared" ca="1" si="23"/>
        <v>NO</v>
      </c>
      <c r="AR105" s="177" t="s">
        <v>1571</v>
      </c>
      <c r="AS105" s="433"/>
      <c r="AT105" s="964"/>
      <c r="AU105" s="964"/>
      <c r="AV105" s="964"/>
    </row>
    <row r="106" spans="1:48" ht="47.25" customHeight="1" x14ac:dyDescent="0.25">
      <c r="A106" s="15">
        <v>4</v>
      </c>
      <c r="B106" s="15">
        <v>100</v>
      </c>
      <c r="C106" s="437"/>
      <c r="D106" s="437" t="str">
        <f t="shared" si="13"/>
        <v>2013</v>
      </c>
      <c r="E106" s="142" t="s">
        <v>130</v>
      </c>
      <c r="F106" s="207" t="s">
        <v>1111</v>
      </c>
      <c r="G106" s="133">
        <v>830005370</v>
      </c>
      <c r="H106" s="993" t="s">
        <v>468</v>
      </c>
      <c r="I106" s="134">
        <v>1379939352</v>
      </c>
      <c r="J106" s="134" t="s">
        <v>1088</v>
      </c>
      <c r="K106" s="135">
        <v>2013</v>
      </c>
      <c r="L106" s="546" t="s">
        <v>1088</v>
      </c>
      <c r="M106" s="136">
        <v>41421</v>
      </c>
      <c r="N106" s="136">
        <v>41785</v>
      </c>
      <c r="O106" s="127">
        <f>COUNTA(Modificaciones!I106,Modificaciones!K106,Modificaciones!M106,Modificaciones!O106)</f>
        <v>1</v>
      </c>
      <c r="P106" s="128">
        <f>VLOOKUP(E106,Modificaciones!$B$7:$Q$300,16,0)</f>
        <v>172492424</v>
      </c>
      <c r="Q106" s="129">
        <f>COUNTA(Modificaciones!S106,Modificaciones!U106,Modificaciones!W106,Modificaciones!Y106)</f>
        <v>3</v>
      </c>
      <c r="R106" s="130" t="str">
        <f>IF(Modificaciones!Z106=0,"",VLOOKUP(E106,Modificaciones!$B$7:$AA$400,25,0))</f>
        <v>3 meses y 20 días</v>
      </c>
      <c r="S106" s="131">
        <f>IF(Modificaciones!AA106=0,"",VLOOKUP(E106,Modificaciones!$B$7:$AA$400,26,0))</f>
        <v>41897</v>
      </c>
      <c r="T106" s="7">
        <f t="shared" si="24"/>
        <v>41897</v>
      </c>
      <c r="U106" s="62">
        <f t="shared" si="15"/>
        <v>1552431776</v>
      </c>
      <c r="V106" s="172">
        <f>VLOOKUP(E106,Modificaciones!$B$7:$AU$300,46,0)</f>
        <v>1552431775</v>
      </c>
      <c r="W106" s="93">
        <f t="shared" si="16"/>
        <v>1</v>
      </c>
      <c r="X106" s="309" t="s">
        <v>1095</v>
      </c>
      <c r="Y106" s="42">
        <f t="shared" si="17"/>
        <v>0.99999999935584927</v>
      </c>
      <c r="Z106" s="42">
        <f t="shared" ca="1" si="18"/>
        <v>1</v>
      </c>
      <c r="AA106" s="43">
        <f t="shared" ca="1" si="19"/>
        <v>6.4415073275370105E-10</v>
      </c>
      <c r="AB106" s="202" t="str">
        <f t="shared" ca="1" si="20"/>
        <v/>
      </c>
      <c r="AC106" s="44" t="str">
        <f t="shared" si="21"/>
        <v>SI</v>
      </c>
      <c r="AD106" s="44"/>
      <c r="AE106" s="173" t="s">
        <v>1256</v>
      </c>
      <c r="AF106" s="173" t="s">
        <v>1292</v>
      </c>
      <c r="AG106" s="173" t="s">
        <v>1430</v>
      </c>
      <c r="AH106" s="281" t="s">
        <v>564</v>
      </c>
      <c r="AI106" s="174" t="s">
        <v>1381</v>
      </c>
      <c r="AJ106" s="181" t="s">
        <v>901</v>
      </c>
      <c r="AK106" s="181" t="str">
        <f t="shared" ca="1" si="22"/>
        <v>TERMINO</v>
      </c>
      <c r="AL106" s="181" t="s">
        <v>582</v>
      </c>
      <c r="AM106" s="176" t="s">
        <v>390</v>
      </c>
      <c r="AN106" s="848" t="str">
        <f>IFERROR(VLOOKUP(E106,'liquidaciones '!$B$2:$C$1048576,2,0),"NO")</f>
        <v>LIQUIDADO</v>
      </c>
      <c r="AO106" s="944">
        <f>IFERROR(VLOOKUP(E106,'liquidaciones '!$B$2:$I$1048576,8,0),"")</f>
        <v>0</v>
      </c>
      <c r="AP106" s="336">
        <v>42051</v>
      </c>
      <c r="AQ106" s="177" t="str">
        <f t="shared" ca="1" si="23"/>
        <v>NO</v>
      </c>
      <c r="AR106" s="177" t="s">
        <v>1571</v>
      </c>
      <c r="AS106" s="433"/>
      <c r="AT106" s="964"/>
      <c r="AU106" s="964"/>
      <c r="AV106" s="964"/>
    </row>
    <row r="107" spans="1:48" ht="47.25" customHeight="1" x14ac:dyDescent="0.25">
      <c r="A107" s="15">
        <v>4</v>
      </c>
      <c r="B107" s="15">
        <v>101</v>
      </c>
      <c r="C107" s="437"/>
      <c r="D107" s="437" t="str">
        <f t="shared" si="13"/>
        <v>2013</v>
      </c>
      <c r="E107" s="132" t="s">
        <v>132</v>
      </c>
      <c r="F107" s="132" t="s">
        <v>27</v>
      </c>
      <c r="G107" s="143">
        <v>860009759</v>
      </c>
      <c r="H107" s="993" t="s">
        <v>450</v>
      </c>
      <c r="I107" s="134">
        <v>849000</v>
      </c>
      <c r="J107" s="134" t="s">
        <v>1088</v>
      </c>
      <c r="K107" s="135">
        <v>2013</v>
      </c>
      <c r="L107" s="546" t="s">
        <v>1088</v>
      </c>
      <c r="M107" s="138">
        <v>41421</v>
      </c>
      <c r="N107" s="138">
        <v>41969</v>
      </c>
      <c r="O107" s="127">
        <f>COUNTA(Modificaciones!I107,Modificaciones!K107,Modificaciones!M107,Modificaciones!O107)</f>
        <v>0</v>
      </c>
      <c r="P107" s="128">
        <f>VLOOKUP(E107,Modificaciones!$B$7:$Q$300,16,0)</f>
        <v>0</v>
      </c>
      <c r="Q107" s="129">
        <f>COUNTA(Modificaciones!S107,Modificaciones!U107,Modificaciones!W107,Modificaciones!Y107)</f>
        <v>0</v>
      </c>
      <c r="R107" s="130" t="str">
        <f>IF(Modificaciones!Z107=0,"",VLOOKUP(E107,Modificaciones!$B$7:$AA$400,25,0))</f>
        <v/>
      </c>
      <c r="S107" s="131" t="str">
        <f>IF(Modificaciones!AA107=0,"",VLOOKUP(E107,Modificaciones!$B$7:$AA$400,26,0))</f>
        <v/>
      </c>
      <c r="T107" s="7">
        <f t="shared" si="24"/>
        <v>41969</v>
      </c>
      <c r="U107" s="62">
        <f t="shared" si="15"/>
        <v>849000</v>
      </c>
      <c r="V107" s="172">
        <f>VLOOKUP(E107,Modificaciones!$B$7:$AU$300,46,0)</f>
        <v>849000</v>
      </c>
      <c r="W107" s="93">
        <f t="shared" si="16"/>
        <v>0</v>
      </c>
      <c r="X107" s="309" t="s">
        <v>1895</v>
      </c>
      <c r="Y107" s="42">
        <f t="shared" si="17"/>
        <v>1</v>
      </c>
      <c r="Z107" s="42">
        <f t="shared" ca="1" si="18"/>
        <v>1</v>
      </c>
      <c r="AA107" s="43">
        <f t="shared" ca="1" si="19"/>
        <v>0</v>
      </c>
      <c r="AB107" s="202" t="str">
        <f t="shared" ca="1" si="20"/>
        <v/>
      </c>
      <c r="AC107" s="44" t="str">
        <f t="shared" si="21"/>
        <v>SI</v>
      </c>
      <c r="AD107" s="44"/>
      <c r="AE107" s="173" t="s">
        <v>1256</v>
      </c>
      <c r="AF107" s="301" t="s">
        <v>1125</v>
      </c>
      <c r="AG107" s="173" t="s">
        <v>1430</v>
      </c>
      <c r="AH107" s="281" t="s">
        <v>564</v>
      </c>
      <c r="AI107" s="174" t="s">
        <v>1381</v>
      </c>
      <c r="AJ107" s="181" t="s">
        <v>901</v>
      </c>
      <c r="AK107" s="181" t="str">
        <f t="shared" ca="1" si="22"/>
        <v>TERMINO</v>
      </c>
      <c r="AL107" s="181" t="s">
        <v>582</v>
      </c>
      <c r="AM107" s="176" t="s">
        <v>390</v>
      </c>
      <c r="AN107" s="848" t="str">
        <f>IFERROR(VLOOKUP(E107,'liquidaciones '!$B$2:$C$1048576,2,0),"NO")</f>
        <v>NO</v>
      </c>
      <c r="AO107" s="944" t="str">
        <f>IFERROR(VLOOKUP(E107,'liquidaciones '!$B$2:$I$1048576,8,0),"")</f>
        <v/>
      </c>
      <c r="AP107" s="336">
        <v>42286</v>
      </c>
      <c r="AQ107" s="177" t="str">
        <f t="shared" ca="1" si="23"/>
        <v>NO</v>
      </c>
      <c r="AR107" s="177" t="s">
        <v>1571</v>
      </c>
      <c r="AS107" s="433"/>
      <c r="AT107" s="964"/>
      <c r="AU107" s="964"/>
      <c r="AV107" s="964"/>
    </row>
    <row r="108" spans="1:48" ht="47.25" customHeight="1" x14ac:dyDescent="0.25">
      <c r="A108" s="15">
        <v>4</v>
      </c>
      <c r="B108" s="15">
        <v>102</v>
      </c>
      <c r="C108" s="437"/>
      <c r="D108" s="437" t="str">
        <f t="shared" si="13"/>
        <v>2013</v>
      </c>
      <c r="E108" s="132" t="s">
        <v>133</v>
      </c>
      <c r="F108" s="132" t="s">
        <v>134</v>
      </c>
      <c r="G108" s="133">
        <v>830101973</v>
      </c>
      <c r="H108" s="993" t="s">
        <v>356</v>
      </c>
      <c r="I108" s="134">
        <v>15000000</v>
      </c>
      <c r="J108" s="134" t="s">
        <v>1088</v>
      </c>
      <c r="K108" s="135">
        <v>2013</v>
      </c>
      <c r="L108" s="546" t="s">
        <v>1088</v>
      </c>
      <c r="M108" s="138">
        <v>41459</v>
      </c>
      <c r="N108" s="138">
        <v>41701</v>
      </c>
      <c r="O108" s="127">
        <f>COUNTA(Modificaciones!I108,Modificaciones!K108,Modificaciones!M108,Modificaciones!O108)</f>
        <v>0</v>
      </c>
      <c r="P108" s="128">
        <f>VLOOKUP(E108,Modificaciones!$B$7:$Q$300,16,0)</f>
        <v>0</v>
      </c>
      <c r="Q108" s="129">
        <f>COUNTA(Modificaciones!S108,Modificaciones!U108,Modificaciones!W108,Modificaciones!Y108)</f>
        <v>1</v>
      </c>
      <c r="R108" s="130" t="str">
        <f>IF(Modificaciones!Z108=0,"",VLOOKUP(E108,Modificaciones!$B$7:$AA$400,25,0))</f>
        <v>4 meses</v>
      </c>
      <c r="S108" s="131">
        <f>IF(Modificaciones!AA108=0,"",VLOOKUP(E108,Modificaciones!$B$7:$AA$400,26,0))</f>
        <v>41823</v>
      </c>
      <c r="T108" s="7">
        <f t="shared" si="24"/>
        <v>41823</v>
      </c>
      <c r="U108" s="62">
        <f t="shared" si="15"/>
        <v>15000000</v>
      </c>
      <c r="V108" s="172">
        <f>VLOOKUP(E108,Modificaciones!$B$7:$AU$300,46,0)</f>
        <v>5368620</v>
      </c>
      <c r="W108" s="93">
        <f t="shared" si="16"/>
        <v>9631380</v>
      </c>
      <c r="X108" s="309" t="s">
        <v>1095</v>
      </c>
      <c r="Y108" s="42">
        <f t="shared" si="17"/>
        <v>0.357908</v>
      </c>
      <c r="Z108" s="42">
        <f t="shared" ca="1" si="18"/>
        <v>1</v>
      </c>
      <c r="AA108" s="43">
        <f t="shared" ca="1" si="19"/>
        <v>0.642092</v>
      </c>
      <c r="AB108" s="202" t="str">
        <f t="shared" ca="1" si="20"/>
        <v/>
      </c>
      <c r="AC108" s="44" t="str">
        <f t="shared" si="21"/>
        <v>NO</v>
      </c>
      <c r="AD108" s="44"/>
      <c r="AE108" s="173" t="s">
        <v>1256</v>
      </c>
      <c r="AF108" s="173" t="s">
        <v>1136</v>
      </c>
      <c r="AG108" s="173"/>
      <c r="AH108" s="281"/>
      <c r="AI108" s="174"/>
      <c r="AJ108" s="181" t="s">
        <v>901</v>
      </c>
      <c r="AK108" s="181" t="str">
        <f t="shared" ca="1" si="22"/>
        <v>TERMINO</v>
      </c>
      <c r="AL108" s="181" t="s">
        <v>576</v>
      </c>
      <c r="AM108" s="176" t="s">
        <v>390</v>
      </c>
      <c r="AN108" s="848" t="str">
        <f>IFERROR(VLOOKUP(E108,'liquidaciones '!$B$2:$C$1048576,2,0),"NO")</f>
        <v>LIQUIDADO</v>
      </c>
      <c r="AO108" s="944">
        <f>IFERROR(VLOOKUP(E108,'liquidaciones '!$B$2:$I$1048576,8,0),"")</f>
        <v>0</v>
      </c>
      <c r="AP108" s="336">
        <v>42004</v>
      </c>
      <c r="AQ108" s="177" t="str">
        <f t="shared" ca="1" si="23"/>
        <v>NO</v>
      </c>
      <c r="AR108" s="177" t="s">
        <v>1571</v>
      </c>
      <c r="AS108" s="433"/>
      <c r="AT108" s="964"/>
      <c r="AU108" s="964"/>
      <c r="AV108" s="964"/>
    </row>
    <row r="109" spans="1:48" ht="47.25" customHeight="1" x14ac:dyDescent="0.25">
      <c r="A109" s="15">
        <v>4</v>
      </c>
      <c r="B109" s="15">
        <v>103</v>
      </c>
      <c r="C109" s="437"/>
      <c r="D109" s="437" t="str">
        <f t="shared" si="13"/>
        <v>2013</v>
      </c>
      <c r="E109" s="132" t="s">
        <v>135</v>
      </c>
      <c r="F109" s="132" t="s">
        <v>38</v>
      </c>
      <c r="G109" s="133">
        <v>830053669</v>
      </c>
      <c r="H109" s="993" t="s">
        <v>327</v>
      </c>
      <c r="I109" s="134">
        <v>31904847</v>
      </c>
      <c r="J109" s="850" t="s">
        <v>4412</v>
      </c>
      <c r="K109" s="135">
        <v>2013</v>
      </c>
      <c r="L109" s="546" t="s">
        <v>1088</v>
      </c>
      <c r="M109" s="138">
        <v>41426</v>
      </c>
      <c r="N109" s="138">
        <v>41729</v>
      </c>
      <c r="O109" s="127">
        <f>COUNTA(Modificaciones!I109,Modificaciones!K109,Modificaciones!M109,Modificaciones!O109)</f>
        <v>2</v>
      </c>
      <c r="P109" s="128">
        <f>VLOOKUP(E109,Modificaciones!$B$7:$Q$300,16,0)</f>
        <v>4000000</v>
      </c>
      <c r="Q109" s="129">
        <f>COUNTA(Modificaciones!S109,Modificaciones!U109,Modificaciones!W109,Modificaciones!Y109)</f>
        <v>2</v>
      </c>
      <c r="R109" s="130" t="str">
        <f>IF(Modificaciones!Z109=0,"",VLOOKUP(E109,Modificaciones!$B$7:$AA$400,25,0))</f>
        <v>3 meses</v>
      </c>
      <c r="S109" s="131">
        <f>IF(Modificaciones!AA109=0,"",VLOOKUP(E109,Modificaciones!$B$7:$AA$400,26,0))</f>
        <v>41820</v>
      </c>
      <c r="T109" s="7">
        <f t="shared" si="24"/>
        <v>41820</v>
      </c>
      <c r="U109" s="62">
        <f t="shared" si="15"/>
        <v>35904847</v>
      </c>
      <c r="V109" s="172">
        <f>VLOOKUP(E109,Modificaciones!$B$7:$AU$300,46,0)</f>
        <v>35904845</v>
      </c>
      <c r="W109" s="93">
        <f t="shared" si="16"/>
        <v>2</v>
      </c>
      <c r="X109" s="309" t="s">
        <v>1095</v>
      </c>
      <c r="Y109" s="42">
        <f t="shared" si="17"/>
        <v>0.99999994429721428</v>
      </c>
      <c r="Z109" s="42">
        <f t="shared" ca="1" si="18"/>
        <v>1</v>
      </c>
      <c r="AA109" s="43">
        <f t="shared" ca="1" si="19"/>
        <v>5.5702785717315351E-8</v>
      </c>
      <c r="AB109" s="202" t="str">
        <f t="shared" ca="1" si="20"/>
        <v/>
      </c>
      <c r="AC109" s="44" t="str">
        <f t="shared" si="21"/>
        <v>SI</v>
      </c>
      <c r="AD109" s="44"/>
      <c r="AE109" s="173" t="s">
        <v>1256</v>
      </c>
      <c r="AF109" s="173" t="s">
        <v>1140</v>
      </c>
      <c r="AG109" s="173" t="s">
        <v>1442</v>
      </c>
      <c r="AH109" s="281" t="s">
        <v>560</v>
      </c>
      <c r="AI109" s="174"/>
      <c r="AJ109" s="181" t="s">
        <v>901</v>
      </c>
      <c r="AK109" s="181" t="str">
        <f t="shared" ca="1" si="22"/>
        <v>TERMINO</v>
      </c>
      <c r="AL109" s="181" t="s">
        <v>921</v>
      </c>
      <c r="AM109" s="176" t="s">
        <v>390</v>
      </c>
      <c r="AN109" s="848" t="str">
        <f>IFERROR(VLOOKUP(E109,'liquidaciones '!$B$2:$C$1048576,2,0),"NO")</f>
        <v>LIQUIDADO</v>
      </c>
      <c r="AO109" s="944">
        <f>IFERROR(VLOOKUP(E109,'liquidaciones '!$B$2:$I$1048576,8,0),"")</f>
        <v>0</v>
      </c>
      <c r="AP109" s="336"/>
      <c r="AQ109" s="177" t="str">
        <f t="shared" ca="1" si="23"/>
        <v>NO</v>
      </c>
      <c r="AR109" s="177" t="s">
        <v>1571</v>
      </c>
      <c r="AS109" s="433"/>
      <c r="AT109" s="964"/>
      <c r="AU109" s="964"/>
      <c r="AV109" s="964"/>
    </row>
    <row r="110" spans="1:48" ht="47.25" customHeight="1" x14ac:dyDescent="0.25">
      <c r="A110" s="15">
        <v>4</v>
      </c>
      <c r="B110" s="15">
        <v>104</v>
      </c>
      <c r="C110" s="437"/>
      <c r="D110" s="437" t="str">
        <f t="shared" si="13"/>
        <v>2013</v>
      </c>
      <c r="E110" s="132" t="s">
        <v>136</v>
      </c>
      <c r="F110" s="132" t="s">
        <v>137</v>
      </c>
      <c r="G110" s="133">
        <v>230802</v>
      </c>
      <c r="H110" s="993" t="s">
        <v>469</v>
      </c>
      <c r="I110" s="134">
        <v>40000000</v>
      </c>
      <c r="J110" s="850" t="s">
        <v>4063</v>
      </c>
      <c r="K110" s="135">
        <v>2013</v>
      </c>
      <c r="L110" s="546" t="s">
        <v>1088</v>
      </c>
      <c r="M110" s="136">
        <v>41416</v>
      </c>
      <c r="N110" s="136">
        <v>41660</v>
      </c>
      <c r="O110" s="127">
        <f>COUNTA(Modificaciones!I110,Modificaciones!K110,Modificaciones!M110,Modificaciones!O110)</f>
        <v>0</v>
      </c>
      <c r="P110" s="128">
        <f>VLOOKUP(E110,Modificaciones!$B$7:$Q$300,16,0)</f>
        <v>0</v>
      </c>
      <c r="Q110" s="129">
        <f>COUNTA(Modificaciones!S110,Modificaciones!U110,Modificaciones!W110,Modificaciones!Y110)</f>
        <v>0</v>
      </c>
      <c r="R110" s="130" t="str">
        <f>IF(Modificaciones!Z110=0,"",VLOOKUP(E110,Modificaciones!$B$7:$AA$400,25,0))</f>
        <v/>
      </c>
      <c r="S110" s="131" t="str">
        <f>IF(Modificaciones!AA110=0,"",VLOOKUP(E110,Modificaciones!$B$7:$AA$400,26,0))</f>
        <v/>
      </c>
      <c r="T110" s="7">
        <f t="shared" si="24"/>
        <v>41660</v>
      </c>
      <c r="U110" s="62">
        <f t="shared" si="15"/>
        <v>40000000</v>
      </c>
      <c r="V110" s="172">
        <f>VLOOKUP(E110,Modificaciones!$B$7:$AU$300,46,0)</f>
        <v>16667000</v>
      </c>
      <c r="W110" s="93">
        <f t="shared" si="16"/>
        <v>23333000</v>
      </c>
      <c r="X110" s="309" t="s">
        <v>1095</v>
      </c>
      <c r="Y110" s="42">
        <f t="shared" si="17"/>
        <v>0.41667500000000002</v>
      </c>
      <c r="Z110" s="42">
        <f t="shared" ca="1" si="18"/>
        <v>1</v>
      </c>
      <c r="AA110" s="43">
        <f t="shared" ca="1" si="19"/>
        <v>0.58332499999999998</v>
      </c>
      <c r="AB110" s="202" t="str">
        <f t="shared" ca="1" si="20"/>
        <v/>
      </c>
      <c r="AC110" s="44" t="str">
        <f t="shared" si="21"/>
        <v>NO</v>
      </c>
      <c r="AD110" s="44"/>
      <c r="AE110" s="173" t="s">
        <v>1256</v>
      </c>
      <c r="AF110" s="173" t="s">
        <v>1131</v>
      </c>
      <c r="AG110" s="173"/>
      <c r="AH110" s="281"/>
      <c r="AI110" s="174"/>
      <c r="AJ110" s="173" t="s">
        <v>901</v>
      </c>
      <c r="AK110" s="181" t="str">
        <f t="shared" ca="1" si="22"/>
        <v>TERMINO</v>
      </c>
      <c r="AL110" s="181" t="s">
        <v>582</v>
      </c>
      <c r="AM110" s="176" t="s">
        <v>391</v>
      </c>
      <c r="AN110" s="848" t="str">
        <f>IFERROR(VLOOKUP(E110,'liquidaciones '!$B$2:$C$1048576,2,0),"NO")</f>
        <v>LIQUIDADO</v>
      </c>
      <c r="AO110" s="944">
        <f>IFERROR(VLOOKUP(E110,'liquidaciones '!$B$2:$I$1048576,8,0),"")</f>
        <v>0</v>
      </c>
      <c r="AP110" s="334">
        <v>42325</v>
      </c>
      <c r="AQ110" s="177" t="str">
        <f t="shared" ca="1" si="23"/>
        <v>NO</v>
      </c>
      <c r="AR110" s="177" t="s">
        <v>1571</v>
      </c>
      <c r="AS110" s="433"/>
      <c r="AT110" s="964"/>
      <c r="AU110" s="964"/>
      <c r="AV110" s="964"/>
    </row>
    <row r="111" spans="1:48" ht="47.25" customHeight="1" x14ac:dyDescent="0.25">
      <c r="A111" s="15">
        <v>4</v>
      </c>
      <c r="B111" s="15">
        <v>105</v>
      </c>
      <c r="C111" s="437"/>
      <c r="D111" s="437" t="str">
        <f t="shared" si="13"/>
        <v>2013</v>
      </c>
      <c r="E111" s="139" t="s">
        <v>202</v>
      </c>
      <c r="F111" s="164" t="s">
        <v>203</v>
      </c>
      <c r="G111" s="133">
        <v>860049921</v>
      </c>
      <c r="H111" s="993" t="s">
        <v>470</v>
      </c>
      <c r="I111" s="140">
        <v>4524000</v>
      </c>
      <c r="J111" s="134" t="s">
        <v>1088</v>
      </c>
      <c r="K111" s="157">
        <v>2013</v>
      </c>
      <c r="L111" s="546" t="s">
        <v>1088</v>
      </c>
      <c r="M111" s="138">
        <v>41548</v>
      </c>
      <c r="N111" s="138">
        <v>41578</v>
      </c>
      <c r="O111" s="127">
        <f>COUNTA(Modificaciones!I111,Modificaciones!K111,Modificaciones!M111,Modificaciones!O111)</f>
        <v>0</v>
      </c>
      <c r="P111" s="128">
        <f>VLOOKUP(E111,Modificaciones!$B$7:$Q$300,16,0)</f>
        <v>0</v>
      </c>
      <c r="Q111" s="129">
        <f>COUNTA(Modificaciones!S111,Modificaciones!U111,Modificaciones!W111,Modificaciones!Y111)</f>
        <v>0</v>
      </c>
      <c r="R111" s="130" t="str">
        <f>IF(Modificaciones!Z111=0,"",VLOOKUP(E111,Modificaciones!$B$7:$AA$400,25,0))</f>
        <v/>
      </c>
      <c r="S111" s="131" t="str">
        <f>IF(Modificaciones!AA111=0,"",VLOOKUP(E111,Modificaciones!$B$7:$AA$400,26,0))</f>
        <v/>
      </c>
      <c r="T111" s="7">
        <f t="shared" si="24"/>
        <v>41578</v>
      </c>
      <c r="U111" s="62">
        <f t="shared" si="15"/>
        <v>4524000</v>
      </c>
      <c r="V111" s="172">
        <f>VLOOKUP(E111,Modificaciones!$B$7:$AU$300,46,0)</f>
        <v>4524000</v>
      </c>
      <c r="W111" s="93">
        <f t="shared" si="16"/>
        <v>0</v>
      </c>
      <c r="X111" s="312" t="s">
        <v>1400</v>
      </c>
      <c r="Y111" s="42">
        <f t="shared" si="17"/>
        <v>1</v>
      </c>
      <c r="Z111" s="42">
        <f t="shared" ca="1" si="18"/>
        <v>1</v>
      </c>
      <c r="AA111" s="43">
        <f t="shared" ca="1" si="19"/>
        <v>0</v>
      </c>
      <c r="AB111" s="202" t="str">
        <f t="shared" ca="1" si="20"/>
        <v/>
      </c>
      <c r="AC111" s="44" t="str">
        <f t="shared" si="21"/>
        <v>SI</v>
      </c>
      <c r="AD111" s="44"/>
      <c r="AE111" s="173" t="s">
        <v>1256</v>
      </c>
      <c r="AF111" s="301" t="s">
        <v>1350</v>
      </c>
      <c r="AG111" s="173"/>
      <c r="AH111" s="281"/>
      <c r="AI111" s="174"/>
      <c r="AJ111" s="173" t="s">
        <v>901</v>
      </c>
      <c r="AK111" s="181" t="str">
        <f t="shared" ca="1" si="22"/>
        <v>TERMINO</v>
      </c>
      <c r="AL111" s="181" t="s">
        <v>582</v>
      </c>
      <c r="AM111" s="176" t="s">
        <v>390</v>
      </c>
      <c r="AN111" s="848" t="str">
        <f>IFERROR(VLOOKUP(E111,'liquidaciones '!$B$2:$C$1048576,2,0),"NO")</f>
        <v>LIQUIDADO</v>
      </c>
      <c r="AO111" s="944">
        <f>IFERROR(VLOOKUP(E111,'liquidaciones '!$B$2:$I$1048576,8,0),"")</f>
        <v>0</v>
      </c>
      <c r="AP111" s="338">
        <v>41905</v>
      </c>
      <c r="AQ111" s="177" t="str">
        <f t="shared" ca="1" si="23"/>
        <v>NO</v>
      </c>
      <c r="AR111" s="177" t="s">
        <v>1571</v>
      </c>
      <c r="AS111" s="433"/>
      <c r="AT111" s="964"/>
      <c r="AU111" s="964"/>
      <c r="AV111" s="964"/>
    </row>
    <row r="112" spans="1:48" ht="47.25" customHeight="1" x14ac:dyDescent="0.25">
      <c r="A112" s="15">
        <v>4</v>
      </c>
      <c r="B112" s="15">
        <v>106</v>
      </c>
      <c r="C112" s="437"/>
      <c r="D112" s="437" t="str">
        <f t="shared" si="13"/>
        <v>2013</v>
      </c>
      <c r="E112" s="132" t="s">
        <v>138</v>
      </c>
      <c r="F112" s="132" t="s">
        <v>1034</v>
      </c>
      <c r="G112" s="133">
        <v>79887061</v>
      </c>
      <c r="H112" s="993" t="s">
        <v>357</v>
      </c>
      <c r="I112" s="134">
        <v>20800000</v>
      </c>
      <c r="J112" s="134" t="s">
        <v>1088</v>
      </c>
      <c r="K112" s="135">
        <v>2013</v>
      </c>
      <c r="L112" s="546" t="s">
        <v>1088</v>
      </c>
      <c r="M112" s="136">
        <v>41421</v>
      </c>
      <c r="N112" s="136">
        <v>41665</v>
      </c>
      <c r="O112" s="127">
        <f>COUNTA(Modificaciones!I112,Modificaciones!K112,Modificaciones!M112,Modificaciones!O112)</f>
        <v>0</v>
      </c>
      <c r="P112" s="128">
        <f>VLOOKUP(E112,Modificaciones!$B$7:$Q$300,16,0)</f>
        <v>0</v>
      </c>
      <c r="Q112" s="129">
        <f>COUNTA(Modificaciones!S112,Modificaciones!U112,Modificaciones!W112,Modificaciones!Y112)</f>
        <v>0</v>
      </c>
      <c r="R112" s="130" t="str">
        <f>IF(Modificaciones!Z112=0,"",VLOOKUP(E112,Modificaciones!$B$7:$AA$400,25,0))</f>
        <v/>
      </c>
      <c r="S112" s="131" t="str">
        <f>IF(Modificaciones!AA112=0,"",VLOOKUP(E112,Modificaciones!$B$7:$AA$400,26,0))</f>
        <v/>
      </c>
      <c r="T112" s="7">
        <f t="shared" si="24"/>
        <v>41665</v>
      </c>
      <c r="U112" s="62">
        <f t="shared" si="15"/>
        <v>20800000</v>
      </c>
      <c r="V112" s="172">
        <f>VLOOKUP(E112,Modificaciones!$B$7:$AU$300,46,0)</f>
        <v>20800000</v>
      </c>
      <c r="W112" s="93">
        <f t="shared" si="16"/>
        <v>0</v>
      </c>
      <c r="X112" s="309" t="s">
        <v>1095</v>
      </c>
      <c r="Y112" s="42">
        <f t="shared" si="17"/>
        <v>1</v>
      </c>
      <c r="Z112" s="42">
        <f t="shared" ca="1" si="18"/>
        <v>1</v>
      </c>
      <c r="AA112" s="43">
        <f t="shared" ca="1" si="19"/>
        <v>0</v>
      </c>
      <c r="AB112" s="202" t="str">
        <f t="shared" ca="1" si="20"/>
        <v/>
      </c>
      <c r="AC112" s="44" t="str">
        <f t="shared" si="21"/>
        <v>SI</v>
      </c>
      <c r="AD112" s="44"/>
      <c r="AE112" s="173" t="s">
        <v>1256</v>
      </c>
      <c r="AF112" s="173" t="s">
        <v>1131</v>
      </c>
      <c r="AG112" s="173" t="s">
        <v>1439</v>
      </c>
      <c r="AH112" s="281" t="s">
        <v>560</v>
      </c>
      <c r="AI112" s="174"/>
      <c r="AJ112" s="173" t="s">
        <v>901</v>
      </c>
      <c r="AK112" s="181" t="str">
        <f t="shared" ca="1" si="22"/>
        <v>TERMINO</v>
      </c>
      <c r="AL112" s="181" t="s">
        <v>582</v>
      </c>
      <c r="AM112" s="176" t="s">
        <v>391</v>
      </c>
      <c r="AN112" s="848" t="str">
        <f>IFERROR(VLOOKUP(E112,'liquidaciones '!$B$2:$C$1048576,2,0),"NO")</f>
        <v>LIQUIDADO</v>
      </c>
      <c r="AO112" s="944">
        <f>IFERROR(VLOOKUP(E112,'liquidaciones '!$B$2:$I$1048576,8,0),"")</f>
        <v>0</v>
      </c>
      <c r="AP112" s="334">
        <v>41712</v>
      </c>
      <c r="AQ112" s="177" t="str">
        <f t="shared" ca="1" si="23"/>
        <v>NO</v>
      </c>
      <c r="AR112" s="177" t="s">
        <v>1571</v>
      </c>
      <c r="AS112" s="433"/>
      <c r="AT112" s="964"/>
      <c r="AU112" s="964"/>
      <c r="AV112" s="964"/>
    </row>
    <row r="113" spans="1:48" ht="47.25" customHeight="1" x14ac:dyDescent="0.25">
      <c r="A113" s="15">
        <v>4</v>
      </c>
      <c r="B113" s="15">
        <v>107</v>
      </c>
      <c r="C113" s="437"/>
      <c r="D113" s="437" t="str">
        <f t="shared" si="13"/>
        <v>2013</v>
      </c>
      <c r="E113" s="132" t="s">
        <v>139</v>
      </c>
      <c r="F113" s="132" t="s">
        <v>140</v>
      </c>
      <c r="G113" s="133">
        <v>51721571</v>
      </c>
      <c r="H113" s="993" t="s">
        <v>1053</v>
      </c>
      <c r="I113" s="134">
        <v>28000000</v>
      </c>
      <c r="J113" s="134" t="s">
        <v>1088</v>
      </c>
      <c r="K113" s="135">
        <v>2013</v>
      </c>
      <c r="L113" s="546" t="s">
        <v>1088</v>
      </c>
      <c r="M113" s="136">
        <v>41423</v>
      </c>
      <c r="N113" s="136">
        <v>41667</v>
      </c>
      <c r="O113" s="127">
        <f>COUNTA(Modificaciones!I113,Modificaciones!K113,Modificaciones!M113,Modificaciones!O113)</f>
        <v>0</v>
      </c>
      <c r="P113" s="128">
        <f>VLOOKUP(E113,Modificaciones!$B$7:$Q$300,16,0)</f>
        <v>0</v>
      </c>
      <c r="Q113" s="129">
        <f>COUNTA(Modificaciones!S113,Modificaciones!U113,Modificaciones!W113,Modificaciones!Y113)</f>
        <v>0</v>
      </c>
      <c r="R113" s="130" t="str">
        <f>IF(Modificaciones!Z113=0,"",VLOOKUP(E113,Modificaciones!$B$7:$AA$400,25,0))</f>
        <v/>
      </c>
      <c r="S113" s="131" t="str">
        <f>IF(Modificaciones!AA113=0,"",VLOOKUP(E113,Modificaciones!$B$7:$AA$400,26,0))</f>
        <v/>
      </c>
      <c r="T113" s="7">
        <f t="shared" si="24"/>
        <v>41667</v>
      </c>
      <c r="U113" s="62">
        <f t="shared" si="15"/>
        <v>28000000</v>
      </c>
      <c r="V113" s="172">
        <f>VLOOKUP(E113,Modificaciones!$B$7:$AU$300,46,0)</f>
        <v>28000000</v>
      </c>
      <c r="W113" s="93">
        <f t="shared" si="16"/>
        <v>0</v>
      </c>
      <c r="X113" s="309" t="s">
        <v>1095</v>
      </c>
      <c r="Y113" s="42">
        <f t="shared" si="17"/>
        <v>1</v>
      </c>
      <c r="Z113" s="42">
        <f t="shared" ca="1" si="18"/>
        <v>1</v>
      </c>
      <c r="AA113" s="43">
        <f t="shared" ca="1" si="19"/>
        <v>0</v>
      </c>
      <c r="AB113" s="202" t="str">
        <f t="shared" ca="1" si="20"/>
        <v/>
      </c>
      <c r="AC113" s="44" t="str">
        <f t="shared" si="21"/>
        <v>SI</v>
      </c>
      <c r="AD113" s="44"/>
      <c r="AE113" s="173" t="s">
        <v>1256</v>
      </c>
      <c r="AF113" s="173" t="s">
        <v>1294</v>
      </c>
      <c r="AG113" s="173"/>
      <c r="AH113" s="281"/>
      <c r="AI113" s="174"/>
      <c r="AJ113" s="173" t="s">
        <v>901</v>
      </c>
      <c r="AK113" s="181" t="str">
        <f t="shared" ca="1" si="22"/>
        <v>TERMINO</v>
      </c>
      <c r="AL113" s="181" t="s">
        <v>582</v>
      </c>
      <c r="AM113" s="176" t="s">
        <v>391</v>
      </c>
      <c r="AN113" s="848" t="str">
        <f>IFERROR(VLOOKUP(E113,'liquidaciones '!$B$2:$C$1048576,2,0),"NO")</f>
        <v>NO</v>
      </c>
      <c r="AO113" s="944" t="str">
        <f>IFERROR(VLOOKUP(E113,'liquidaciones '!$B$2:$I$1048576,8,0),"")</f>
        <v/>
      </c>
      <c r="AP113" s="334"/>
      <c r="AQ113" s="177" t="str">
        <f t="shared" ca="1" si="23"/>
        <v>NO</v>
      </c>
      <c r="AR113" s="177" t="s">
        <v>1571</v>
      </c>
      <c r="AS113" s="433"/>
      <c r="AT113" s="964"/>
      <c r="AU113" s="964"/>
      <c r="AV113" s="964"/>
    </row>
    <row r="114" spans="1:48" ht="47.25" customHeight="1" x14ac:dyDescent="0.25">
      <c r="A114" s="15">
        <v>4</v>
      </c>
      <c r="B114" s="15">
        <v>108</v>
      </c>
      <c r="C114" s="437"/>
      <c r="D114" s="437" t="str">
        <f t="shared" si="13"/>
        <v>2013</v>
      </c>
      <c r="E114" s="132" t="s">
        <v>141</v>
      </c>
      <c r="F114" s="132" t="s">
        <v>142</v>
      </c>
      <c r="G114" s="133">
        <v>800026212</v>
      </c>
      <c r="H114" s="993" t="s">
        <v>471</v>
      </c>
      <c r="I114" s="134">
        <v>266580829</v>
      </c>
      <c r="J114" s="134" t="s">
        <v>1088</v>
      </c>
      <c r="K114" s="135">
        <v>2013</v>
      </c>
      <c r="L114" s="546" t="s">
        <v>1088</v>
      </c>
      <c r="M114" s="138">
        <v>41457</v>
      </c>
      <c r="N114" s="138">
        <v>41501</v>
      </c>
      <c r="O114" s="127">
        <f>COUNTA(Modificaciones!I114,Modificaciones!K114,Modificaciones!M114,Modificaciones!O114)</f>
        <v>0</v>
      </c>
      <c r="P114" s="128">
        <f>VLOOKUP(E114,Modificaciones!$B$7:$Q$300,16,0)</f>
        <v>0</v>
      </c>
      <c r="Q114" s="129">
        <f>COUNTA(Modificaciones!S114,Modificaciones!U114,Modificaciones!W114,Modificaciones!Y114)</f>
        <v>0</v>
      </c>
      <c r="R114" s="130" t="str">
        <f>IF(Modificaciones!Z114=0,"",VLOOKUP(E114,Modificaciones!$B$7:$AA$400,25,0))</f>
        <v/>
      </c>
      <c r="S114" s="131" t="str">
        <f>IF(Modificaciones!AA114=0,"",VLOOKUP(E114,Modificaciones!$B$7:$AA$400,26,0))</f>
        <v/>
      </c>
      <c r="T114" s="7">
        <f t="shared" si="24"/>
        <v>41501</v>
      </c>
      <c r="U114" s="62">
        <f t="shared" si="15"/>
        <v>266580829</v>
      </c>
      <c r="V114" s="172">
        <f>VLOOKUP(E114,Modificaciones!$B$7:$AU$300,46,0)</f>
        <v>266580829</v>
      </c>
      <c r="W114" s="93">
        <f t="shared" si="16"/>
        <v>0</v>
      </c>
      <c r="X114" s="312"/>
      <c r="Y114" s="42">
        <f t="shared" si="17"/>
        <v>1</v>
      </c>
      <c r="Z114" s="42">
        <f t="shared" ca="1" si="18"/>
        <v>1</v>
      </c>
      <c r="AA114" s="43">
        <f t="shared" ca="1" si="19"/>
        <v>0</v>
      </c>
      <c r="AB114" s="202" t="str">
        <f t="shared" ca="1" si="20"/>
        <v/>
      </c>
      <c r="AC114" s="44" t="str">
        <f t="shared" si="21"/>
        <v>SI</v>
      </c>
      <c r="AD114" s="44"/>
      <c r="AE114" s="173" t="s">
        <v>1257</v>
      </c>
      <c r="AF114" s="173" t="s">
        <v>1293</v>
      </c>
      <c r="AG114" s="173" t="s">
        <v>1439</v>
      </c>
      <c r="AH114" s="281" t="s">
        <v>560</v>
      </c>
      <c r="AI114" s="174"/>
      <c r="AJ114" s="173" t="s">
        <v>901</v>
      </c>
      <c r="AK114" s="181" t="str">
        <f t="shared" ca="1" si="22"/>
        <v>TERMINO</v>
      </c>
      <c r="AL114" s="181" t="s">
        <v>921</v>
      </c>
      <c r="AM114" s="176" t="s">
        <v>390</v>
      </c>
      <c r="AN114" s="848" t="str">
        <f>IFERROR(VLOOKUP(E114,'liquidaciones '!$B$2:$C$1048576,2,0),"NO")</f>
        <v>LIQUIDADO</v>
      </c>
      <c r="AO114" s="944">
        <f>IFERROR(VLOOKUP(E114,'liquidaciones '!$B$2:$I$1048576,8,0),"")</f>
        <v>0</v>
      </c>
      <c r="AP114" s="334">
        <v>42118</v>
      </c>
      <c r="AQ114" s="177" t="str">
        <f t="shared" ca="1" si="23"/>
        <v>NO</v>
      </c>
      <c r="AR114" s="177" t="s">
        <v>1571</v>
      </c>
      <c r="AS114" s="433"/>
      <c r="AT114" s="964"/>
      <c r="AU114" s="964"/>
      <c r="AV114" s="964"/>
    </row>
    <row r="115" spans="1:48" ht="47.25" customHeight="1" x14ac:dyDescent="0.25">
      <c r="A115" s="15">
        <v>4</v>
      </c>
      <c r="B115" s="15">
        <v>109</v>
      </c>
      <c r="C115" s="437"/>
      <c r="D115" s="437" t="str">
        <f t="shared" si="13"/>
        <v>2013</v>
      </c>
      <c r="E115" s="132" t="s">
        <v>143</v>
      </c>
      <c r="F115" s="132" t="s">
        <v>144</v>
      </c>
      <c r="G115" s="133">
        <v>900450570</v>
      </c>
      <c r="H115" s="993" t="s">
        <v>358</v>
      </c>
      <c r="I115" s="134">
        <v>232000000</v>
      </c>
      <c r="J115" s="134" t="s">
        <v>1088</v>
      </c>
      <c r="K115" s="135">
        <v>2013</v>
      </c>
      <c r="L115" s="546" t="s">
        <v>1088</v>
      </c>
      <c r="M115" s="136">
        <v>41463</v>
      </c>
      <c r="N115" s="136">
        <v>41766</v>
      </c>
      <c r="O115" s="127">
        <f>COUNTA(Modificaciones!I115,Modificaciones!K115,Modificaciones!M115,Modificaciones!O115)</f>
        <v>2</v>
      </c>
      <c r="P115" s="128">
        <f>VLOOKUP(E115,Modificaciones!$B$7:$Q$300,16,0)</f>
        <v>116897514</v>
      </c>
      <c r="Q115" s="129">
        <f>COUNTA(Modificaciones!S115,Modificaciones!U115,Modificaciones!W115,Modificaciones!Y115)</f>
        <v>1</v>
      </c>
      <c r="R115" s="130" t="str">
        <f>IF(Modificaciones!Z115=0,"",VLOOKUP(E115,Modificaciones!$B$7:$AA$400,25,0))</f>
        <v>2 meses y 22 días</v>
      </c>
      <c r="S115" s="131">
        <f>IF(Modificaciones!AA115=0,"",VLOOKUP(E115,Modificaciones!$B$7:$AA$400,26,0))</f>
        <v>41849</v>
      </c>
      <c r="T115" s="7">
        <f t="shared" si="24"/>
        <v>41849</v>
      </c>
      <c r="U115" s="62">
        <f t="shared" si="15"/>
        <v>348897514</v>
      </c>
      <c r="V115" s="172">
        <f>VLOOKUP(E115,Modificaciones!$B$7:$AU$300,46,0)</f>
        <v>348897514</v>
      </c>
      <c r="W115" s="93">
        <f t="shared" si="16"/>
        <v>0</v>
      </c>
      <c r="X115" s="309" t="s">
        <v>1095</v>
      </c>
      <c r="Y115" s="42">
        <f t="shared" si="17"/>
        <v>1</v>
      </c>
      <c r="Z115" s="42">
        <f t="shared" ca="1" si="18"/>
        <v>1</v>
      </c>
      <c r="AA115" s="43">
        <f t="shared" ca="1" si="19"/>
        <v>0</v>
      </c>
      <c r="AB115" s="202" t="str">
        <f t="shared" ca="1" si="20"/>
        <v/>
      </c>
      <c r="AC115" s="44" t="str">
        <f t="shared" si="21"/>
        <v>SI</v>
      </c>
      <c r="AD115" s="44"/>
      <c r="AE115" s="173" t="s">
        <v>1256</v>
      </c>
      <c r="AF115" s="173" t="s">
        <v>1146</v>
      </c>
      <c r="AG115" s="173" t="s">
        <v>1442</v>
      </c>
      <c r="AH115" s="281" t="s">
        <v>560</v>
      </c>
      <c r="AI115" s="174" t="s">
        <v>1319</v>
      </c>
      <c r="AJ115" s="173" t="s">
        <v>901</v>
      </c>
      <c r="AK115" s="181" t="str">
        <f t="shared" ca="1" si="22"/>
        <v>TERMINO</v>
      </c>
      <c r="AL115" s="181" t="s">
        <v>582</v>
      </c>
      <c r="AM115" s="176" t="s">
        <v>390</v>
      </c>
      <c r="AN115" s="848" t="str">
        <f>IFERROR(VLOOKUP(E115,'liquidaciones '!$B$2:$C$1048576,2,0),"NO")</f>
        <v>LIQUIDADO</v>
      </c>
      <c r="AO115" s="944">
        <f>IFERROR(VLOOKUP(E115,'liquidaciones '!$B$2:$I$1048576,8,0),"")</f>
        <v>0</v>
      </c>
      <c r="AP115" s="338">
        <v>42081</v>
      </c>
      <c r="AQ115" s="177" t="str">
        <f t="shared" ca="1" si="23"/>
        <v>NO</v>
      </c>
      <c r="AR115" s="177" t="s">
        <v>1571</v>
      </c>
      <c r="AS115" s="433"/>
      <c r="AT115" s="964"/>
      <c r="AU115" s="964"/>
      <c r="AV115" s="964"/>
    </row>
    <row r="116" spans="1:48" s="235" customFormat="1" ht="47.25" customHeight="1" x14ac:dyDescent="0.25">
      <c r="A116" s="15">
        <v>4</v>
      </c>
      <c r="B116" s="400">
        <v>110</v>
      </c>
      <c r="C116" s="440"/>
      <c r="D116" s="437" t="str">
        <f t="shared" si="13"/>
        <v>2013</v>
      </c>
      <c r="E116" s="132" t="s">
        <v>145</v>
      </c>
      <c r="F116" s="132" t="s">
        <v>43</v>
      </c>
      <c r="G116" s="133">
        <v>830100153</v>
      </c>
      <c r="H116" s="993" t="s">
        <v>1461</v>
      </c>
      <c r="I116" s="134">
        <v>23246000</v>
      </c>
      <c r="J116" s="134" t="s">
        <v>1088</v>
      </c>
      <c r="K116" s="135">
        <v>2013</v>
      </c>
      <c r="L116" s="546" t="s">
        <v>1088</v>
      </c>
      <c r="M116" s="138">
        <v>41463</v>
      </c>
      <c r="N116" s="226">
        <v>41646</v>
      </c>
      <c r="O116" s="127">
        <f>COUNTA(Modificaciones!I116,Modificaciones!K116,Modificaciones!M116,Modificaciones!O116)</f>
        <v>0</v>
      </c>
      <c r="P116" s="128">
        <f>VLOOKUP(E116,Modificaciones!$B$7:$Q$300,16,0)</f>
        <v>0</v>
      </c>
      <c r="Q116" s="129">
        <f>COUNTA(Modificaciones!S116,Modificaciones!U116,Modificaciones!W116,Modificaciones!Y116)</f>
        <v>2</v>
      </c>
      <c r="R116" s="130" t="str">
        <f>IF(Modificaciones!Z116=0,"",VLOOKUP(E116,Modificaciones!$B$7:$AA$400,25,0))</f>
        <v>3 meses</v>
      </c>
      <c r="S116" s="131">
        <f>IF(Modificaciones!AA116=0,"",VLOOKUP(E116,Modificaciones!$B$7:$AA$400,26,0))</f>
        <v>41736</v>
      </c>
      <c r="T116" s="126">
        <f t="shared" si="24"/>
        <v>41736</v>
      </c>
      <c r="U116" s="62">
        <f t="shared" si="15"/>
        <v>23246000</v>
      </c>
      <c r="V116" s="172">
        <f>VLOOKUP(E116,Modificaciones!$B$7:$AU$300,46,0)</f>
        <v>19772977</v>
      </c>
      <c r="W116" s="227">
        <f t="shared" si="16"/>
        <v>3473023</v>
      </c>
      <c r="X116" s="309" t="s">
        <v>1095</v>
      </c>
      <c r="Y116" s="228">
        <f t="shared" si="17"/>
        <v>0.85059696291835152</v>
      </c>
      <c r="Z116" s="228">
        <f t="shared" ca="1" si="18"/>
        <v>1</v>
      </c>
      <c r="AA116" s="229">
        <f t="shared" ca="1" si="19"/>
        <v>0.14940303708164848</v>
      </c>
      <c r="AB116" s="230" t="str">
        <f t="shared" ca="1" si="20"/>
        <v/>
      </c>
      <c r="AC116" s="231" t="str">
        <f t="shared" si="21"/>
        <v>NO</v>
      </c>
      <c r="AD116" s="231"/>
      <c r="AE116" s="173" t="s">
        <v>1256</v>
      </c>
      <c r="AF116" s="232" t="s">
        <v>1135</v>
      </c>
      <c r="AG116" s="173"/>
      <c r="AH116" s="281"/>
      <c r="AI116" s="233" t="s">
        <v>1506</v>
      </c>
      <c r="AJ116" s="232" t="s">
        <v>901</v>
      </c>
      <c r="AK116" s="181" t="str">
        <f t="shared" ca="1" si="22"/>
        <v>TERMINO</v>
      </c>
      <c r="AL116" s="181" t="s">
        <v>576</v>
      </c>
      <c r="AM116" s="234" t="s">
        <v>390</v>
      </c>
      <c r="AN116" s="848" t="str">
        <f>IFERROR(VLOOKUP(E116,'liquidaciones '!$B$2:$C$1048576,2,0),"NO")</f>
        <v>LIQUIDADO</v>
      </c>
      <c r="AO116" s="944">
        <f>IFERROR(VLOOKUP(E116,'liquidaciones '!$B$2:$I$1048576,8,0),"")</f>
        <v>0</v>
      </c>
      <c r="AP116" s="339">
        <v>42004</v>
      </c>
      <c r="AQ116" s="177" t="str">
        <f t="shared" ca="1" si="23"/>
        <v>NO</v>
      </c>
      <c r="AR116" s="177" t="s">
        <v>1571</v>
      </c>
      <c r="AS116" s="433"/>
      <c r="AT116" s="965"/>
      <c r="AU116" s="965"/>
      <c r="AV116" s="965"/>
    </row>
    <row r="117" spans="1:48" ht="47.25" customHeight="1" x14ac:dyDescent="0.25">
      <c r="A117" s="15">
        <v>4</v>
      </c>
      <c r="B117" s="15">
        <v>111</v>
      </c>
      <c r="C117" s="437"/>
      <c r="D117" s="437" t="str">
        <f t="shared" si="13"/>
        <v>2013</v>
      </c>
      <c r="E117" s="132" t="s">
        <v>146</v>
      </c>
      <c r="F117" s="132" t="s">
        <v>1018</v>
      </c>
      <c r="G117" s="133">
        <v>900548648</v>
      </c>
      <c r="H117" s="993" t="s">
        <v>313</v>
      </c>
      <c r="I117" s="134">
        <v>301200000</v>
      </c>
      <c r="J117" s="134" t="s">
        <v>1088</v>
      </c>
      <c r="K117" s="135">
        <v>2013</v>
      </c>
      <c r="L117" s="546" t="s">
        <v>1088</v>
      </c>
      <c r="M117" s="138">
        <v>41446</v>
      </c>
      <c r="N117" s="138">
        <v>41718</v>
      </c>
      <c r="O117" s="127">
        <f>COUNTA(Modificaciones!I117,Modificaciones!K117,Modificaciones!M117,Modificaciones!O117)</f>
        <v>1</v>
      </c>
      <c r="P117" s="128">
        <f>VLOOKUP(E117,Modificaciones!$B$7:$Q$300,16,0)</f>
        <v>20373359</v>
      </c>
      <c r="Q117" s="129">
        <f>COUNTA(Modificaciones!S117,Modificaciones!U117,Modificaciones!W117,Modificaciones!Y117)</f>
        <v>2</v>
      </c>
      <c r="R117" s="130" t="str">
        <f>IF(Modificaciones!Z117=0,"",VLOOKUP(E117,Modificaciones!$B$7:$AA$400,25,0))</f>
        <v>3 meses</v>
      </c>
      <c r="S117" s="131">
        <f>IF(Modificaciones!AA117=0,"",VLOOKUP(E117,Modificaciones!$B$7:$AA$400,26,0))</f>
        <v>41810</v>
      </c>
      <c r="T117" s="7">
        <f t="shared" si="24"/>
        <v>41810</v>
      </c>
      <c r="U117" s="62">
        <f t="shared" si="15"/>
        <v>321573359</v>
      </c>
      <c r="V117" s="172">
        <f>VLOOKUP(E117,Modificaciones!$B$7:$AU$300,46,0)</f>
        <v>317232018</v>
      </c>
      <c r="W117" s="93">
        <f t="shared" si="16"/>
        <v>4341341</v>
      </c>
      <c r="X117" s="312"/>
      <c r="Y117" s="42">
        <f t="shared" si="17"/>
        <v>0.98649968699677015</v>
      </c>
      <c r="Z117" s="42">
        <f t="shared" ca="1" si="18"/>
        <v>1</v>
      </c>
      <c r="AA117" s="43">
        <f t="shared" ca="1" si="19"/>
        <v>1.3500313003229847E-2</v>
      </c>
      <c r="AB117" s="202" t="str">
        <f t="shared" ca="1" si="20"/>
        <v/>
      </c>
      <c r="AC117" s="44" t="str">
        <f t="shared" si="21"/>
        <v>NO</v>
      </c>
      <c r="AD117" s="44"/>
      <c r="AE117" s="173" t="s">
        <v>1256</v>
      </c>
      <c r="AF117" s="173" t="s">
        <v>1138</v>
      </c>
      <c r="AG117" s="173" t="s">
        <v>1442</v>
      </c>
      <c r="AH117" s="281" t="s">
        <v>560</v>
      </c>
      <c r="AI117" s="174" t="s">
        <v>1379</v>
      </c>
      <c r="AJ117" s="173" t="s">
        <v>905</v>
      </c>
      <c r="AK117" s="181" t="str">
        <f t="shared" ca="1" si="22"/>
        <v>TERMINO</v>
      </c>
      <c r="AL117" s="181" t="s">
        <v>921</v>
      </c>
      <c r="AM117" s="176" t="s">
        <v>390</v>
      </c>
      <c r="AN117" s="848" t="str">
        <f>IFERROR(VLOOKUP(E117,'liquidaciones '!$B$2:$C$1048576,2,0),"NO")</f>
        <v>LIQUIDADO</v>
      </c>
      <c r="AO117" s="944">
        <f>IFERROR(VLOOKUP(E117,'liquidaciones '!$B$2:$I$1048576,8,0),"")</f>
        <v>0</v>
      </c>
      <c r="AP117" s="338"/>
      <c r="AQ117" s="177" t="str">
        <f t="shared" ca="1" si="23"/>
        <v>NO</v>
      </c>
      <c r="AR117" s="177" t="s">
        <v>1571</v>
      </c>
      <c r="AS117" s="433"/>
      <c r="AT117" s="964"/>
      <c r="AU117" s="964"/>
      <c r="AV117" s="964"/>
    </row>
    <row r="118" spans="1:48" ht="57" customHeight="1" x14ac:dyDescent="0.25">
      <c r="A118" s="15">
        <v>4</v>
      </c>
      <c r="B118" s="15">
        <v>112</v>
      </c>
      <c r="C118" s="437"/>
      <c r="D118" s="437" t="str">
        <f t="shared" si="13"/>
        <v>2013</v>
      </c>
      <c r="E118" s="132" t="s">
        <v>147</v>
      </c>
      <c r="F118" s="132" t="s">
        <v>148</v>
      </c>
      <c r="G118" s="133">
        <v>80422654</v>
      </c>
      <c r="H118" s="993" t="s">
        <v>472</v>
      </c>
      <c r="I118" s="134">
        <v>15797970</v>
      </c>
      <c r="J118" s="134" t="s">
        <v>1088</v>
      </c>
      <c r="K118" s="135">
        <v>2013</v>
      </c>
      <c r="L118" s="546" t="s">
        <v>1088</v>
      </c>
      <c r="M118" s="138">
        <v>41464</v>
      </c>
      <c r="N118" s="138">
        <v>41737</v>
      </c>
      <c r="O118" s="127">
        <f>COUNTA(Modificaciones!I118,Modificaciones!K118,Modificaciones!M118,Modificaciones!O118)</f>
        <v>2</v>
      </c>
      <c r="P118" s="128">
        <f>VLOOKUP(E118,Modificaciones!$B$7:$Q$300,16,0)</f>
        <v>6494721</v>
      </c>
      <c r="Q118" s="129">
        <f>COUNTA(Modificaciones!S118,Modificaciones!U118,Modificaciones!W118,Modificaciones!Y118)</f>
        <v>2</v>
      </c>
      <c r="R118" s="130" t="str">
        <f>IF(Modificaciones!Z118=0,"",VLOOKUP(E118,Modificaciones!$B$7:$AA$400,25,0))</f>
        <v>3 meses y 21 días</v>
      </c>
      <c r="S118" s="131">
        <f>IF(Modificaciones!AA118=0,"",VLOOKUP(E118,Modificaciones!$B$7:$AA$400,26,0))</f>
        <v>41851</v>
      </c>
      <c r="T118" s="7">
        <f t="shared" si="24"/>
        <v>41851</v>
      </c>
      <c r="U118" s="62">
        <f t="shared" si="15"/>
        <v>22292691</v>
      </c>
      <c r="V118" s="172">
        <f>VLOOKUP(E118,Modificaciones!$B$7:$AU$300,46,0)</f>
        <v>22292691</v>
      </c>
      <c r="W118" s="93">
        <f t="shared" si="16"/>
        <v>0</v>
      </c>
      <c r="X118" s="312" t="s">
        <v>1401</v>
      </c>
      <c r="Y118" s="42">
        <f t="shared" si="17"/>
        <v>1</v>
      </c>
      <c r="Z118" s="42">
        <f t="shared" ca="1" si="18"/>
        <v>1</v>
      </c>
      <c r="AA118" s="43">
        <f t="shared" ca="1" si="19"/>
        <v>0</v>
      </c>
      <c r="AB118" s="202" t="str">
        <f t="shared" ca="1" si="20"/>
        <v/>
      </c>
      <c r="AC118" s="44" t="str">
        <f t="shared" si="21"/>
        <v>SI</v>
      </c>
      <c r="AD118" s="44"/>
      <c r="AE118" s="173" t="s">
        <v>1256</v>
      </c>
      <c r="AF118" s="173" t="s">
        <v>1141</v>
      </c>
      <c r="AG118" s="173"/>
      <c r="AH118" s="281"/>
      <c r="AI118" s="174"/>
      <c r="AJ118" s="173" t="s">
        <v>901</v>
      </c>
      <c r="AK118" s="181" t="str">
        <f t="shared" ca="1" si="22"/>
        <v>TERMINO</v>
      </c>
      <c r="AL118" s="181" t="s">
        <v>576</v>
      </c>
      <c r="AM118" s="176" t="s">
        <v>390</v>
      </c>
      <c r="AN118" s="848" t="str">
        <f>IFERROR(VLOOKUP(E118,'liquidaciones '!$B$2:$C$1048576,2,0),"NO")</f>
        <v>EN TRÁMITE</v>
      </c>
      <c r="AO118" s="944">
        <f>IFERROR(VLOOKUP(E118,'liquidaciones '!$B$2:$I$1048576,8,0),"")</f>
        <v>0</v>
      </c>
      <c r="AP118" s="338"/>
      <c r="AQ118" s="177" t="str">
        <f t="shared" ca="1" si="23"/>
        <v>NO</v>
      </c>
      <c r="AR118" s="177" t="s">
        <v>1571</v>
      </c>
      <c r="AS118" s="433"/>
      <c r="AT118" s="964"/>
      <c r="AU118" s="964"/>
      <c r="AV118" s="964"/>
    </row>
    <row r="119" spans="1:48" ht="66.75" customHeight="1" x14ac:dyDescent="0.25">
      <c r="A119" s="15">
        <v>4</v>
      </c>
      <c r="B119" s="15">
        <v>113</v>
      </c>
      <c r="C119" s="437"/>
      <c r="D119" s="437" t="str">
        <f t="shared" si="13"/>
        <v>2013</v>
      </c>
      <c r="E119" s="142" t="s">
        <v>155</v>
      </c>
      <c r="F119" s="132" t="s">
        <v>1035</v>
      </c>
      <c r="G119" s="133">
        <v>4098836</v>
      </c>
      <c r="H119" s="993" t="s">
        <v>359</v>
      </c>
      <c r="I119" s="140">
        <v>23989000</v>
      </c>
      <c r="J119" s="134" t="s">
        <v>1088</v>
      </c>
      <c r="K119" s="135">
        <v>2013</v>
      </c>
      <c r="L119" s="546" t="s">
        <v>1088</v>
      </c>
      <c r="M119" s="138">
        <v>41457</v>
      </c>
      <c r="N119" s="138">
        <v>41671</v>
      </c>
      <c r="O119" s="127">
        <f>COUNTA(Modificaciones!I119,Modificaciones!K119,Modificaciones!M119,Modificaciones!O119)</f>
        <v>0</v>
      </c>
      <c r="P119" s="128">
        <f>VLOOKUP(E119,Modificaciones!$B$7:$Q$300,16,0)</f>
        <v>0</v>
      </c>
      <c r="Q119" s="129">
        <f>COUNTA(Modificaciones!S119,Modificaciones!U119,Modificaciones!W119,Modificaciones!Y119)</f>
        <v>0</v>
      </c>
      <c r="R119" s="130" t="str">
        <f>IF(Modificaciones!Z119=0,"",VLOOKUP(E119,Modificaciones!$B$7:$AA$400,25,0))</f>
        <v/>
      </c>
      <c r="S119" s="131" t="str">
        <f>IF(Modificaciones!AA119=0,"",VLOOKUP(E119,Modificaciones!$B$7:$AA$400,26,0))</f>
        <v/>
      </c>
      <c r="T119" s="7">
        <f t="shared" si="24"/>
        <v>41671</v>
      </c>
      <c r="U119" s="62">
        <f t="shared" si="15"/>
        <v>23989000</v>
      </c>
      <c r="V119" s="172">
        <f>VLOOKUP(E119,Modificaciones!$B$7:$AU$300,46,0)</f>
        <v>23989000</v>
      </c>
      <c r="W119" s="93">
        <f t="shared" si="16"/>
        <v>0</v>
      </c>
      <c r="X119" s="309" t="s">
        <v>1095</v>
      </c>
      <c r="Y119" s="42">
        <f t="shared" si="17"/>
        <v>1</v>
      </c>
      <c r="Z119" s="42">
        <f t="shared" ca="1" si="18"/>
        <v>1</v>
      </c>
      <c r="AA119" s="43">
        <f t="shared" ca="1" si="19"/>
        <v>0</v>
      </c>
      <c r="AB119" s="202" t="str">
        <f t="shared" ca="1" si="20"/>
        <v/>
      </c>
      <c r="AC119" s="44" t="str">
        <f t="shared" si="21"/>
        <v>SI</v>
      </c>
      <c r="AD119" s="44"/>
      <c r="AE119" s="173" t="s">
        <v>1256</v>
      </c>
      <c r="AF119" s="173" t="s">
        <v>1131</v>
      </c>
      <c r="AG119" s="173" t="s">
        <v>1177</v>
      </c>
      <c r="AH119" s="281" t="s">
        <v>559</v>
      </c>
      <c r="AI119" s="174"/>
      <c r="AJ119" s="173" t="s">
        <v>901</v>
      </c>
      <c r="AK119" s="181" t="str">
        <f t="shared" ca="1" si="22"/>
        <v>TERMINO</v>
      </c>
      <c r="AL119" s="181" t="s">
        <v>582</v>
      </c>
      <c r="AM119" s="176" t="s">
        <v>391</v>
      </c>
      <c r="AN119" s="848" t="str">
        <f>IFERROR(VLOOKUP(E119,'liquidaciones '!$B$2:$C$1048576,2,0),"NO")</f>
        <v>NO</v>
      </c>
      <c r="AO119" s="944" t="str">
        <f>IFERROR(VLOOKUP(E119,'liquidaciones '!$B$2:$I$1048576,8,0),"")</f>
        <v/>
      </c>
      <c r="AP119" s="334">
        <v>41710</v>
      </c>
      <c r="AQ119" s="177" t="str">
        <f t="shared" ca="1" si="23"/>
        <v>NO</v>
      </c>
      <c r="AR119" s="177" t="s">
        <v>1571</v>
      </c>
      <c r="AS119" s="433"/>
      <c r="AT119" s="964"/>
      <c r="AU119" s="964"/>
      <c r="AV119" s="964"/>
    </row>
    <row r="120" spans="1:48" ht="47.25" customHeight="1" x14ac:dyDescent="0.25">
      <c r="A120" s="15">
        <v>4</v>
      </c>
      <c r="B120" s="15">
        <v>114</v>
      </c>
      <c r="C120" s="437"/>
      <c r="D120" s="437" t="str">
        <f t="shared" si="13"/>
        <v>2013</v>
      </c>
      <c r="E120" s="142" t="s">
        <v>156</v>
      </c>
      <c r="F120" s="132" t="s">
        <v>53</v>
      </c>
      <c r="G120" s="133">
        <v>4831</v>
      </c>
      <c r="H120" s="993" t="s">
        <v>332</v>
      </c>
      <c r="I120" s="134">
        <v>13576000</v>
      </c>
      <c r="J120" s="134" t="s">
        <v>1088</v>
      </c>
      <c r="K120" s="135">
        <v>2013</v>
      </c>
      <c r="L120" s="546" t="s">
        <v>1088</v>
      </c>
      <c r="M120" s="138">
        <v>41470</v>
      </c>
      <c r="N120" s="138">
        <v>41712</v>
      </c>
      <c r="O120" s="127">
        <f>COUNTA(Modificaciones!I120,Modificaciones!K120,Modificaciones!M120,Modificaciones!O120)</f>
        <v>1</v>
      </c>
      <c r="P120" s="128">
        <f>VLOOKUP(E120,Modificaciones!$B$7:$Q$300,16,0)</f>
        <v>6000000</v>
      </c>
      <c r="Q120" s="129">
        <f>COUNTA(Modificaciones!S120,Modificaciones!U120,Modificaciones!W120,Modificaciones!Y120)</f>
        <v>0</v>
      </c>
      <c r="R120" s="130" t="str">
        <f>IF(Modificaciones!Z120=0,"",VLOOKUP(E120,Modificaciones!$B$7:$AA$400,25,0))</f>
        <v/>
      </c>
      <c r="S120" s="131" t="str">
        <f>IF(Modificaciones!AA120=0,"",VLOOKUP(E120,Modificaciones!$B$7:$AA$400,26,0))</f>
        <v/>
      </c>
      <c r="T120" s="7">
        <f t="shared" si="24"/>
        <v>41712</v>
      </c>
      <c r="U120" s="62">
        <f t="shared" si="15"/>
        <v>19576000</v>
      </c>
      <c r="V120" s="172">
        <f>VLOOKUP(E120,Modificaciones!$B$7:$AU$300,46,0)</f>
        <v>19571370</v>
      </c>
      <c r="W120" s="93">
        <f t="shared" si="16"/>
        <v>4630</v>
      </c>
      <c r="X120" s="309" t="s">
        <v>1095</v>
      </c>
      <c r="Y120" s="42">
        <f t="shared" si="17"/>
        <v>0.99976348590110342</v>
      </c>
      <c r="Z120" s="42">
        <f t="shared" ca="1" si="18"/>
        <v>1</v>
      </c>
      <c r="AA120" s="43">
        <f t="shared" ca="1" si="19"/>
        <v>2.365140988965786E-4</v>
      </c>
      <c r="AB120" s="202" t="str">
        <f t="shared" ca="1" si="20"/>
        <v/>
      </c>
      <c r="AC120" s="44" t="str">
        <f t="shared" si="21"/>
        <v>SI</v>
      </c>
      <c r="AD120" s="44"/>
      <c r="AE120" s="173" t="s">
        <v>1256</v>
      </c>
      <c r="AF120" s="173" t="s">
        <v>1126</v>
      </c>
      <c r="AG120" s="173" t="s">
        <v>1442</v>
      </c>
      <c r="AH120" s="281" t="s">
        <v>560</v>
      </c>
      <c r="AI120" s="174" t="s">
        <v>1319</v>
      </c>
      <c r="AJ120" s="173" t="s">
        <v>901</v>
      </c>
      <c r="AK120" s="181" t="str">
        <f t="shared" ca="1" si="22"/>
        <v>TERMINO</v>
      </c>
      <c r="AL120" s="181" t="s">
        <v>576</v>
      </c>
      <c r="AM120" s="176" t="s">
        <v>390</v>
      </c>
      <c r="AN120" s="848" t="str">
        <f>IFERROR(VLOOKUP(E120,'liquidaciones '!$B$2:$C$1048576,2,0),"NO")</f>
        <v>LIQUIDADO</v>
      </c>
      <c r="AO120" s="944">
        <f>IFERROR(VLOOKUP(E120,'liquidaciones '!$B$2:$I$1048576,8,0),"")</f>
        <v>0</v>
      </c>
      <c r="AP120" s="338">
        <v>42012</v>
      </c>
      <c r="AQ120" s="177" t="str">
        <f t="shared" ca="1" si="23"/>
        <v>NO</v>
      </c>
      <c r="AR120" s="177" t="s">
        <v>1571</v>
      </c>
      <c r="AS120" s="433"/>
      <c r="AT120" s="964"/>
      <c r="AU120" s="964"/>
      <c r="AV120" s="964"/>
    </row>
    <row r="121" spans="1:48" ht="47.25" customHeight="1" x14ac:dyDescent="0.25">
      <c r="A121" s="15">
        <v>4</v>
      </c>
      <c r="B121" s="15">
        <v>115</v>
      </c>
      <c r="C121" s="437"/>
      <c r="D121" s="437" t="str">
        <f t="shared" si="13"/>
        <v>2013</v>
      </c>
      <c r="E121" s="142" t="s">
        <v>157</v>
      </c>
      <c r="F121" s="132" t="s">
        <v>158</v>
      </c>
      <c r="G121" s="133">
        <v>900090485</v>
      </c>
      <c r="H121" s="993" t="s">
        <v>473</v>
      </c>
      <c r="I121" s="134">
        <v>6499930</v>
      </c>
      <c r="J121" s="134" t="s">
        <v>1088</v>
      </c>
      <c r="K121" s="135">
        <v>2013</v>
      </c>
      <c r="L121" s="546" t="s">
        <v>1088</v>
      </c>
      <c r="M121" s="138">
        <v>41471</v>
      </c>
      <c r="N121" s="138">
        <v>41562</v>
      </c>
      <c r="O121" s="127">
        <f>COUNTA(Modificaciones!I121,Modificaciones!K121,Modificaciones!M121,Modificaciones!O121)</f>
        <v>0</v>
      </c>
      <c r="P121" s="128">
        <f>VLOOKUP(E121,Modificaciones!$B$7:$Q$300,16,0)</f>
        <v>0</v>
      </c>
      <c r="Q121" s="129">
        <f>COUNTA(Modificaciones!S121,Modificaciones!U121,Modificaciones!W121,Modificaciones!Y121)</f>
        <v>0</v>
      </c>
      <c r="R121" s="130" t="str">
        <f>IF(Modificaciones!Z121=0,"",VLOOKUP(E121,Modificaciones!$B$7:$AA$400,25,0))</f>
        <v/>
      </c>
      <c r="S121" s="131" t="str">
        <f>IF(Modificaciones!AA121=0,"",VLOOKUP(E121,Modificaciones!$B$7:$AA$400,26,0))</f>
        <v/>
      </c>
      <c r="T121" s="7">
        <f t="shared" si="24"/>
        <v>41562</v>
      </c>
      <c r="U121" s="62">
        <f t="shared" si="15"/>
        <v>6499930</v>
      </c>
      <c r="V121" s="172">
        <f>VLOOKUP(E121,Modificaciones!$B$7:$AU$300,46,0)</f>
        <v>6499930</v>
      </c>
      <c r="W121" s="93">
        <f t="shared" si="16"/>
        <v>0</v>
      </c>
      <c r="X121" s="312"/>
      <c r="Y121" s="42">
        <f t="shared" si="17"/>
        <v>1</v>
      </c>
      <c r="Z121" s="42">
        <f t="shared" ca="1" si="18"/>
        <v>1</v>
      </c>
      <c r="AA121" s="43">
        <f t="shared" ca="1" si="19"/>
        <v>0</v>
      </c>
      <c r="AB121" s="202" t="str">
        <f t="shared" ca="1" si="20"/>
        <v/>
      </c>
      <c r="AC121" s="44" t="str">
        <f t="shared" si="21"/>
        <v>SI</v>
      </c>
      <c r="AD121" s="44"/>
      <c r="AE121" s="173" t="s">
        <v>1257</v>
      </c>
      <c r="AF121" s="173" t="s">
        <v>1296</v>
      </c>
      <c r="AG121" s="173"/>
      <c r="AH121" s="281"/>
      <c r="AI121" s="174"/>
      <c r="AJ121" s="173" t="s">
        <v>901</v>
      </c>
      <c r="AK121" s="181" t="str">
        <f t="shared" ca="1" si="22"/>
        <v>TERMINO</v>
      </c>
      <c r="AL121" s="181" t="s">
        <v>576</v>
      </c>
      <c r="AM121" s="176" t="s">
        <v>391</v>
      </c>
      <c r="AN121" s="848" t="str">
        <f>IFERROR(VLOOKUP(E121,'liquidaciones '!$B$2:$C$1048576,2,0),"NO")</f>
        <v>NO</v>
      </c>
      <c r="AO121" s="944" t="str">
        <f>IFERROR(VLOOKUP(E121,'liquidaciones '!$B$2:$I$1048576,8,0),"")</f>
        <v/>
      </c>
      <c r="AP121" s="334"/>
      <c r="AQ121" s="177" t="str">
        <f t="shared" ca="1" si="23"/>
        <v>NO</v>
      </c>
      <c r="AR121" s="177" t="s">
        <v>1571</v>
      </c>
      <c r="AS121" s="433"/>
      <c r="AT121" s="964"/>
      <c r="AU121" s="964"/>
      <c r="AV121" s="964"/>
    </row>
    <row r="122" spans="1:48" ht="47.25" customHeight="1" x14ac:dyDescent="0.25">
      <c r="A122" s="15">
        <v>4</v>
      </c>
      <c r="B122" s="15">
        <v>116</v>
      </c>
      <c r="C122" s="437"/>
      <c r="D122" s="437" t="str">
        <f t="shared" si="13"/>
        <v>2013</v>
      </c>
      <c r="E122" s="142" t="s">
        <v>159</v>
      </c>
      <c r="F122" s="132" t="s">
        <v>160</v>
      </c>
      <c r="G122" s="143">
        <v>804002433</v>
      </c>
      <c r="H122" s="993" t="s">
        <v>474</v>
      </c>
      <c r="I122" s="134">
        <v>2367000</v>
      </c>
      <c r="J122" s="850" t="s">
        <v>4959</v>
      </c>
      <c r="K122" s="135">
        <v>2013</v>
      </c>
      <c r="L122" s="546" t="s">
        <v>1088</v>
      </c>
      <c r="M122" s="138">
        <v>41472</v>
      </c>
      <c r="N122" s="138">
        <v>41533</v>
      </c>
      <c r="O122" s="127">
        <f>COUNTA(Modificaciones!I122,Modificaciones!K122,Modificaciones!M122,Modificaciones!O122)</f>
        <v>0</v>
      </c>
      <c r="P122" s="128">
        <f>VLOOKUP(E122,Modificaciones!$B$7:$Q$300,16,0)</f>
        <v>0</v>
      </c>
      <c r="Q122" s="129">
        <f>COUNTA(Modificaciones!S122,Modificaciones!U122,Modificaciones!W122,Modificaciones!Y122)</f>
        <v>0</v>
      </c>
      <c r="R122" s="130" t="str">
        <f>IF(Modificaciones!Z122=0,"",VLOOKUP(E122,Modificaciones!$B$7:$AA$400,25,0))</f>
        <v/>
      </c>
      <c r="S122" s="131" t="str">
        <f>IF(Modificaciones!AA122=0,"",VLOOKUP(E122,Modificaciones!$B$7:$AA$400,26,0))</f>
        <v/>
      </c>
      <c r="T122" s="7">
        <f t="shared" si="24"/>
        <v>41533</v>
      </c>
      <c r="U122" s="62">
        <f t="shared" si="15"/>
        <v>2367000</v>
      </c>
      <c r="V122" s="172">
        <f>VLOOKUP(E122,Modificaciones!$B$7:$AU$300,46,0)</f>
        <v>2367000</v>
      </c>
      <c r="W122" s="93">
        <f t="shared" si="16"/>
        <v>0</v>
      </c>
      <c r="X122" s="312" t="s">
        <v>1197</v>
      </c>
      <c r="Y122" s="42">
        <f t="shared" si="17"/>
        <v>1</v>
      </c>
      <c r="Z122" s="42">
        <f t="shared" ca="1" si="18"/>
        <v>1</v>
      </c>
      <c r="AA122" s="43">
        <f t="shared" ca="1" si="19"/>
        <v>0</v>
      </c>
      <c r="AB122" s="202" t="str">
        <f t="shared" ca="1" si="20"/>
        <v/>
      </c>
      <c r="AC122" s="44" t="str">
        <f t="shared" si="21"/>
        <v>SI</v>
      </c>
      <c r="AD122" s="44"/>
      <c r="AE122" s="173" t="s">
        <v>1256</v>
      </c>
      <c r="AF122" s="173" t="s">
        <v>1295</v>
      </c>
      <c r="AG122" s="173"/>
      <c r="AH122" s="281"/>
      <c r="AI122" s="174"/>
      <c r="AJ122" s="173" t="s">
        <v>901</v>
      </c>
      <c r="AK122" s="181" t="str">
        <f t="shared" ca="1" si="22"/>
        <v>TERMINO</v>
      </c>
      <c r="AL122" s="181" t="s">
        <v>576</v>
      </c>
      <c r="AM122" s="176" t="s">
        <v>390</v>
      </c>
      <c r="AN122" s="848" t="str">
        <f>IFERROR(VLOOKUP(E122,'liquidaciones '!$B$2:$C$1048576,2,0),"NO")</f>
        <v>LIQUIDADO</v>
      </c>
      <c r="AO122" s="944">
        <f>IFERROR(VLOOKUP(E122,'liquidaciones '!$B$2:$I$1048576,8,0),"")</f>
        <v>0</v>
      </c>
      <c r="AP122" s="338">
        <v>41939</v>
      </c>
      <c r="AQ122" s="177" t="str">
        <f t="shared" ca="1" si="23"/>
        <v>NO</v>
      </c>
      <c r="AR122" s="177" t="s">
        <v>1571</v>
      </c>
      <c r="AS122" s="433"/>
      <c r="AT122" s="964"/>
      <c r="AU122" s="964"/>
      <c r="AV122" s="964"/>
    </row>
    <row r="123" spans="1:48" ht="47.25" customHeight="1" x14ac:dyDescent="0.25">
      <c r="A123" s="15">
        <v>4</v>
      </c>
      <c r="B123" s="15">
        <v>117</v>
      </c>
      <c r="C123" s="437"/>
      <c r="D123" s="437" t="str">
        <f t="shared" si="13"/>
        <v>2013</v>
      </c>
      <c r="E123" s="142" t="s">
        <v>164</v>
      </c>
      <c r="F123" s="132" t="s">
        <v>165</v>
      </c>
      <c r="G123" s="133">
        <v>900629446</v>
      </c>
      <c r="H123" s="993" t="s">
        <v>1444</v>
      </c>
      <c r="I123" s="134">
        <v>269441460</v>
      </c>
      <c r="J123" s="134" t="s">
        <v>1088</v>
      </c>
      <c r="K123" s="135">
        <v>2013</v>
      </c>
      <c r="L123" s="546" t="s">
        <v>1088</v>
      </c>
      <c r="M123" s="138">
        <v>41464</v>
      </c>
      <c r="N123" s="138">
        <v>41706</v>
      </c>
      <c r="O123" s="127">
        <f>COUNTA(Modificaciones!I123,Modificaciones!K123,Modificaciones!M123,Modificaciones!O123)</f>
        <v>0</v>
      </c>
      <c r="P123" s="128">
        <f>VLOOKUP(E123,Modificaciones!$B$7:$Q$300,16,0)</f>
        <v>0</v>
      </c>
      <c r="Q123" s="129">
        <f>COUNTA(Modificaciones!S123,Modificaciones!U123,Modificaciones!W123,Modificaciones!Y123)</f>
        <v>2</v>
      </c>
      <c r="R123" s="130" t="str">
        <f>IF(Modificaciones!Z123=0,"",VLOOKUP(E123,Modificaciones!$B$7:$AA$400,25,0))</f>
        <v>3 meses y 23 días</v>
      </c>
      <c r="S123" s="131">
        <f>IF(Modificaciones!AA123=0,"",VLOOKUP(E123,Modificaciones!$B$7:$AA$400,26,0))</f>
        <v>41820</v>
      </c>
      <c r="T123" s="7">
        <f t="shared" si="24"/>
        <v>41820</v>
      </c>
      <c r="U123" s="62">
        <f t="shared" si="15"/>
        <v>269441460</v>
      </c>
      <c r="V123" s="172">
        <f>VLOOKUP(E123,Modificaciones!$B$7:$AU$300,46,0)</f>
        <v>265223666</v>
      </c>
      <c r="W123" s="93">
        <f t="shared" si="16"/>
        <v>4217794</v>
      </c>
      <c r="X123" s="309" t="s">
        <v>1095</v>
      </c>
      <c r="Y123" s="42">
        <f t="shared" si="17"/>
        <v>0.98434615815992088</v>
      </c>
      <c r="Z123" s="42">
        <f t="shared" ca="1" si="18"/>
        <v>1</v>
      </c>
      <c r="AA123" s="43">
        <f t="shared" ca="1" si="19"/>
        <v>1.5653841840079119E-2</v>
      </c>
      <c r="AB123" s="202" t="str">
        <f t="shared" ca="1" si="20"/>
        <v/>
      </c>
      <c r="AC123" s="44" t="str">
        <f t="shared" si="21"/>
        <v>NO</v>
      </c>
      <c r="AD123" s="44"/>
      <c r="AE123" s="173" t="s">
        <v>1256</v>
      </c>
      <c r="AF123" s="173" t="s">
        <v>1286</v>
      </c>
      <c r="AG123" s="173"/>
      <c r="AH123" s="281"/>
      <c r="AI123" s="174"/>
      <c r="AJ123" s="173" t="s">
        <v>903</v>
      </c>
      <c r="AK123" s="181" t="str">
        <f t="shared" ca="1" si="22"/>
        <v>TERMINO</v>
      </c>
      <c r="AL123" s="181" t="s">
        <v>574</v>
      </c>
      <c r="AM123" s="176" t="s">
        <v>390</v>
      </c>
      <c r="AN123" s="848" t="str">
        <f>IFERROR(VLOOKUP(E123,'liquidaciones '!$B$2:$C$1048576,2,0),"NO")</f>
        <v>NO</v>
      </c>
      <c r="AO123" s="944" t="str">
        <f>IFERROR(VLOOKUP(E123,'liquidaciones '!$B$2:$I$1048576,8,0),"")</f>
        <v/>
      </c>
      <c r="AP123" s="338">
        <v>42179</v>
      </c>
      <c r="AQ123" s="177" t="str">
        <f t="shared" ca="1" si="23"/>
        <v>NO</v>
      </c>
      <c r="AR123" s="177" t="s">
        <v>1571</v>
      </c>
      <c r="AS123" s="433"/>
      <c r="AT123" s="964"/>
      <c r="AU123" s="964"/>
      <c r="AV123" s="964"/>
    </row>
    <row r="124" spans="1:48" ht="47.25" customHeight="1" x14ac:dyDescent="0.25">
      <c r="A124" s="15">
        <v>4</v>
      </c>
      <c r="B124" s="15">
        <v>118</v>
      </c>
      <c r="C124" s="437"/>
      <c r="D124" s="437" t="str">
        <f t="shared" si="13"/>
        <v>2013</v>
      </c>
      <c r="E124" s="139" t="s">
        <v>190</v>
      </c>
      <c r="F124" s="132" t="s">
        <v>29</v>
      </c>
      <c r="G124" s="133">
        <v>860536029</v>
      </c>
      <c r="H124" s="993" t="s">
        <v>404</v>
      </c>
      <c r="I124" s="140">
        <v>840000</v>
      </c>
      <c r="J124" s="861">
        <v>130209</v>
      </c>
      <c r="K124" s="157">
        <v>2013</v>
      </c>
      <c r="L124" s="546" t="s">
        <v>1088</v>
      </c>
      <c r="M124" s="138">
        <v>41531</v>
      </c>
      <c r="N124" s="138">
        <v>41895</v>
      </c>
      <c r="O124" s="127">
        <f>COUNTA(Modificaciones!I124,Modificaciones!K124,Modificaciones!M124,Modificaciones!O124)</f>
        <v>0</v>
      </c>
      <c r="P124" s="128">
        <f>VLOOKUP(E124,Modificaciones!$B$7:$Q$300,16,0)</f>
        <v>0</v>
      </c>
      <c r="Q124" s="129">
        <f>COUNTA(Modificaciones!S124,Modificaciones!U124,Modificaciones!W124,Modificaciones!Y124)</f>
        <v>0</v>
      </c>
      <c r="R124" s="130" t="str">
        <f>IF(Modificaciones!Z124=0,"",VLOOKUP(E124,Modificaciones!$B$7:$AA$400,25,0))</f>
        <v/>
      </c>
      <c r="S124" s="131" t="str">
        <f>IF(Modificaciones!AA124=0,"",VLOOKUP(E124,Modificaciones!$B$7:$AA$400,26,0))</f>
        <v/>
      </c>
      <c r="T124" s="7">
        <f t="shared" si="24"/>
        <v>41895</v>
      </c>
      <c r="U124" s="62">
        <f t="shared" si="15"/>
        <v>840000</v>
      </c>
      <c r="V124" s="172">
        <f>VLOOKUP(E124,Modificaciones!$B$7:$AU$300,46,0)</f>
        <v>840000</v>
      </c>
      <c r="W124" s="93">
        <f t="shared" si="16"/>
        <v>0</v>
      </c>
      <c r="X124" s="309" t="s">
        <v>1895</v>
      </c>
      <c r="Y124" s="42">
        <f t="shared" si="17"/>
        <v>1</v>
      </c>
      <c r="Z124" s="42">
        <f t="shared" ca="1" si="18"/>
        <v>1</v>
      </c>
      <c r="AA124" s="43">
        <f t="shared" ca="1" si="19"/>
        <v>0</v>
      </c>
      <c r="AB124" s="202" t="str">
        <f t="shared" ca="1" si="20"/>
        <v/>
      </c>
      <c r="AC124" s="44" t="str">
        <f t="shared" si="21"/>
        <v>SI</v>
      </c>
      <c r="AD124" s="44"/>
      <c r="AE124" s="173" t="s">
        <v>1256</v>
      </c>
      <c r="AF124" s="173" t="s">
        <v>1125</v>
      </c>
      <c r="AG124" s="173"/>
      <c r="AH124" s="281"/>
      <c r="AI124" s="174"/>
      <c r="AJ124" s="173" t="s">
        <v>901</v>
      </c>
      <c r="AK124" s="181" t="str">
        <f t="shared" ca="1" si="22"/>
        <v>TERMINO</v>
      </c>
      <c r="AL124" s="181" t="s">
        <v>582</v>
      </c>
      <c r="AM124" s="176" t="s">
        <v>390</v>
      </c>
      <c r="AN124" s="848" t="str">
        <f>IFERROR(VLOOKUP(E124,'liquidaciones '!$B$2:$C$1048576,2,0),"NO")</f>
        <v>LIQUIDADO</v>
      </c>
      <c r="AO124" s="944">
        <f>IFERROR(VLOOKUP(E124,'liquidaciones '!$B$2:$I$1048576,8,0),"")</f>
        <v>0</v>
      </c>
      <c r="AP124" s="338">
        <v>42152</v>
      </c>
      <c r="AQ124" s="177" t="str">
        <f t="shared" ca="1" si="23"/>
        <v>NO</v>
      </c>
      <c r="AR124" s="177" t="s">
        <v>1571</v>
      </c>
      <c r="AS124" s="433"/>
      <c r="AT124" s="964"/>
      <c r="AU124" s="964"/>
      <c r="AV124" s="964"/>
    </row>
    <row r="125" spans="1:48" ht="47.25" customHeight="1" x14ac:dyDescent="0.25">
      <c r="A125" s="15">
        <v>4</v>
      </c>
      <c r="B125" s="15">
        <v>119</v>
      </c>
      <c r="C125" s="437"/>
      <c r="D125" s="437" t="str">
        <f t="shared" si="13"/>
        <v>2013</v>
      </c>
      <c r="E125" s="142" t="s">
        <v>166</v>
      </c>
      <c r="F125" s="132" t="s">
        <v>1025</v>
      </c>
      <c r="G125" s="143">
        <v>80199707</v>
      </c>
      <c r="H125" s="993" t="s">
        <v>333</v>
      </c>
      <c r="I125" s="134">
        <v>38271000</v>
      </c>
      <c r="J125" s="134" t="s">
        <v>1088</v>
      </c>
      <c r="K125" s="135">
        <v>2013</v>
      </c>
      <c r="L125" s="546" t="s">
        <v>1088</v>
      </c>
      <c r="M125" s="138">
        <v>41472</v>
      </c>
      <c r="N125" s="138">
        <v>41686</v>
      </c>
      <c r="O125" s="127">
        <f>COUNTA(Modificaciones!I125,Modificaciones!K125,Modificaciones!M125,Modificaciones!O125)</f>
        <v>0</v>
      </c>
      <c r="P125" s="128">
        <f>VLOOKUP(E125,Modificaciones!$B$7:$Q$300,16,0)</f>
        <v>0</v>
      </c>
      <c r="Q125" s="129">
        <f>COUNTA(Modificaciones!S125,Modificaciones!U125,Modificaciones!W125,Modificaciones!Y125)</f>
        <v>1</v>
      </c>
      <c r="R125" s="130" t="str">
        <f>IF(Modificaciones!Z125=0,"",VLOOKUP(E125,Modificaciones!$B$7:$AA$400,25,0))</f>
        <v>1 mes</v>
      </c>
      <c r="S125" s="131">
        <f>IF(Modificaciones!AA125=0,"",VLOOKUP(E125,Modificaciones!$B$7:$AA$400,26,0))</f>
        <v>41714</v>
      </c>
      <c r="T125" s="7">
        <f t="shared" si="24"/>
        <v>41714</v>
      </c>
      <c r="U125" s="62">
        <f t="shared" si="15"/>
        <v>38271000</v>
      </c>
      <c r="V125" s="172">
        <f>VLOOKUP(E125,Modificaciones!$B$7:$AU$300,46,0)</f>
        <v>38271000</v>
      </c>
      <c r="W125" s="93">
        <f t="shared" si="16"/>
        <v>0</v>
      </c>
      <c r="X125" s="309" t="s">
        <v>1095</v>
      </c>
      <c r="Y125" s="42">
        <f t="shared" si="17"/>
        <v>1</v>
      </c>
      <c r="Z125" s="42">
        <f t="shared" ca="1" si="18"/>
        <v>1</v>
      </c>
      <c r="AA125" s="43">
        <f t="shared" ca="1" si="19"/>
        <v>0</v>
      </c>
      <c r="AB125" s="202" t="str">
        <f t="shared" ca="1" si="20"/>
        <v/>
      </c>
      <c r="AC125" s="44" t="str">
        <f t="shared" si="21"/>
        <v>SI</v>
      </c>
      <c r="AD125" s="44"/>
      <c r="AE125" s="173" t="s">
        <v>1256</v>
      </c>
      <c r="AF125" s="173" t="s">
        <v>1298</v>
      </c>
      <c r="AG125" s="173" t="s">
        <v>1442</v>
      </c>
      <c r="AH125" s="281" t="s">
        <v>560</v>
      </c>
      <c r="AI125" s="174"/>
      <c r="AJ125" s="173" t="s">
        <v>901</v>
      </c>
      <c r="AK125" s="181" t="str">
        <f t="shared" ca="1" si="22"/>
        <v>TERMINO</v>
      </c>
      <c r="AL125" s="181" t="s">
        <v>576</v>
      </c>
      <c r="AM125" s="176" t="s">
        <v>390</v>
      </c>
      <c r="AN125" s="848" t="str">
        <f>IFERROR(VLOOKUP(E125,'liquidaciones '!$B$2:$C$1048576,2,0),"NO")</f>
        <v>LIQUIDADO</v>
      </c>
      <c r="AO125" s="944">
        <f>IFERROR(VLOOKUP(E125,'liquidaciones '!$B$2:$I$1048576,8,0),"")</f>
        <v>0</v>
      </c>
      <c r="AP125" s="338">
        <v>42011</v>
      </c>
      <c r="AQ125" s="177" t="str">
        <f t="shared" ca="1" si="23"/>
        <v>NO</v>
      </c>
      <c r="AR125" s="177" t="s">
        <v>1571</v>
      </c>
      <c r="AS125" s="433"/>
      <c r="AT125" s="964"/>
      <c r="AU125" s="964"/>
      <c r="AV125" s="964"/>
    </row>
    <row r="126" spans="1:48" ht="47.25" customHeight="1" x14ac:dyDescent="0.25">
      <c r="A126" s="15">
        <v>4</v>
      </c>
      <c r="B126" s="15">
        <v>120</v>
      </c>
      <c r="C126" s="437"/>
      <c r="D126" s="437" t="str">
        <f t="shared" si="13"/>
        <v>2013</v>
      </c>
      <c r="E126" s="139" t="s">
        <v>175</v>
      </c>
      <c r="F126" s="132" t="s">
        <v>176</v>
      </c>
      <c r="G126" s="143">
        <v>890903407</v>
      </c>
      <c r="H126" s="993" t="s">
        <v>475</v>
      </c>
      <c r="I126" s="140">
        <v>4001000</v>
      </c>
      <c r="J126" s="850" t="s">
        <v>4411</v>
      </c>
      <c r="K126" s="157">
        <v>2013</v>
      </c>
      <c r="L126" s="546" t="s">
        <v>1088</v>
      </c>
      <c r="M126" s="138">
        <v>41472</v>
      </c>
      <c r="N126" s="138">
        <v>42082</v>
      </c>
      <c r="O126" s="127">
        <f>COUNTA(Modificaciones!I126,Modificaciones!K126,Modificaciones!M126,Modificaciones!O126)</f>
        <v>0</v>
      </c>
      <c r="P126" s="128">
        <f>VLOOKUP(E126,Modificaciones!$B$7:$Q$300,16,0)</f>
        <v>0</v>
      </c>
      <c r="Q126" s="129">
        <f>COUNTA(Modificaciones!S126,Modificaciones!U126,Modificaciones!W126,Modificaciones!Y126)</f>
        <v>1</v>
      </c>
      <c r="R126" s="130" t="str">
        <f>IF(Modificaciones!Z126=0,"",VLOOKUP(E126,Modificaciones!$B$7:$AA$400,25,0))</f>
        <v>1 mes</v>
      </c>
      <c r="S126" s="131">
        <f>IF(Modificaciones!AA126=0,"",VLOOKUP(E126,Modificaciones!$B$7:$AA$400,26,0))</f>
        <v>41714</v>
      </c>
      <c r="T126" s="7">
        <f t="shared" si="24"/>
        <v>42082</v>
      </c>
      <c r="U126" s="62">
        <f t="shared" si="15"/>
        <v>4001000</v>
      </c>
      <c r="V126" s="172">
        <f>VLOOKUP(E126,Modificaciones!$B$7:$AU$300,46,0)</f>
        <v>4001000</v>
      </c>
      <c r="W126" s="93">
        <f t="shared" si="16"/>
        <v>0</v>
      </c>
      <c r="X126" s="312" t="s">
        <v>1402</v>
      </c>
      <c r="Y126" s="42">
        <f t="shared" si="17"/>
        <v>1</v>
      </c>
      <c r="Z126" s="42">
        <f t="shared" ca="1" si="18"/>
        <v>1</v>
      </c>
      <c r="AA126" s="43">
        <f t="shared" ca="1" si="19"/>
        <v>0</v>
      </c>
      <c r="AB126" s="202" t="str">
        <f t="shared" ca="1" si="20"/>
        <v/>
      </c>
      <c r="AC126" s="44" t="str">
        <f t="shared" si="21"/>
        <v>SI</v>
      </c>
      <c r="AD126" s="44"/>
      <c r="AE126" s="173" t="s">
        <v>1256</v>
      </c>
      <c r="AF126" s="301" t="s">
        <v>1512</v>
      </c>
      <c r="AG126" s="173"/>
      <c r="AH126" s="281" t="s">
        <v>559</v>
      </c>
      <c r="AI126" s="174" t="s">
        <v>1390</v>
      </c>
      <c r="AJ126" s="173" t="s">
        <v>901</v>
      </c>
      <c r="AK126" s="181" t="str">
        <f t="shared" ca="1" si="22"/>
        <v>TERMINO</v>
      </c>
      <c r="AL126" s="181" t="s">
        <v>576</v>
      </c>
      <c r="AM126" s="176" t="s">
        <v>390</v>
      </c>
      <c r="AN126" s="848" t="str">
        <f>IFERROR(VLOOKUP(E126,'liquidaciones '!$B$2:$C$1048576,2,0),"NO")</f>
        <v>LIQUIDADO</v>
      </c>
      <c r="AO126" s="944">
        <f>IFERROR(VLOOKUP(E126,'liquidaciones '!$B$2:$I$1048576,8,0),"")</f>
        <v>0</v>
      </c>
      <c r="AP126" s="338"/>
      <c r="AQ126" s="177" t="str">
        <f t="shared" ca="1" si="23"/>
        <v>NO</v>
      </c>
      <c r="AR126" s="177"/>
      <c r="AS126" s="433"/>
      <c r="AT126" s="964"/>
      <c r="AU126" s="964"/>
      <c r="AV126" s="964"/>
    </row>
    <row r="127" spans="1:48" ht="47.25" customHeight="1" x14ac:dyDescent="0.25">
      <c r="A127" s="15">
        <v>4</v>
      </c>
      <c r="B127" s="15">
        <v>121</v>
      </c>
      <c r="C127" s="437"/>
      <c r="D127" s="437" t="str">
        <f t="shared" si="13"/>
        <v>2013</v>
      </c>
      <c r="E127" s="139" t="s">
        <v>197</v>
      </c>
      <c r="F127" s="155" t="s">
        <v>198</v>
      </c>
      <c r="G127" s="133">
        <v>900268429</v>
      </c>
      <c r="H127" s="993" t="s">
        <v>476</v>
      </c>
      <c r="I127" s="140">
        <v>10222000</v>
      </c>
      <c r="J127" s="850" t="s">
        <v>4956</v>
      </c>
      <c r="K127" s="157">
        <v>2013</v>
      </c>
      <c r="L127" s="546" t="s">
        <v>1088</v>
      </c>
      <c r="M127" s="138">
        <v>41548</v>
      </c>
      <c r="N127" s="138">
        <v>41790</v>
      </c>
      <c r="O127" s="127">
        <f>COUNTA(Modificaciones!I127,Modificaciones!K127,Modificaciones!M127,Modificaciones!O127)</f>
        <v>0</v>
      </c>
      <c r="P127" s="128">
        <f>VLOOKUP(E127,Modificaciones!$B$7:$Q$300,16,0)</f>
        <v>0</v>
      </c>
      <c r="Q127" s="129">
        <f>COUNTA(Modificaciones!S127,Modificaciones!U127,Modificaciones!W127,Modificaciones!Y127)</f>
        <v>0</v>
      </c>
      <c r="R127" s="130" t="str">
        <f>IF(Modificaciones!Z127=0,"",VLOOKUP(E127,Modificaciones!$B$7:$AA$400,25,0))</f>
        <v/>
      </c>
      <c r="S127" s="131" t="str">
        <f>IF(Modificaciones!AA127=0,"",VLOOKUP(E127,Modificaciones!$B$7:$AA$400,26,0))</f>
        <v/>
      </c>
      <c r="T127" s="7">
        <f t="shared" si="24"/>
        <v>41790</v>
      </c>
      <c r="U127" s="62">
        <f t="shared" si="15"/>
        <v>10222000</v>
      </c>
      <c r="V127" s="172">
        <f>VLOOKUP(E127,Modificaciones!$B$7:$AU$300,46,0)</f>
        <v>10208006</v>
      </c>
      <c r="W127" s="93">
        <f t="shared" si="16"/>
        <v>13994</v>
      </c>
      <c r="X127" s="312" t="s">
        <v>1408</v>
      </c>
      <c r="Y127" s="42">
        <f t="shared" si="17"/>
        <v>0.99863099197808647</v>
      </c>
      <c r="Z127" s="42">
        <f t="shared" ca="1" si="18"/>
        <v>1</v>
      </c>
      <c r="AA127" s="43">
        <f t="shared" ca="1" si="19"/>
        <v>1.3690080219135314E-3</v>
      </c>
      <c r="AB127" s="202" t="str">
        <f t="shared" ca="1" si="20"/>
        <v/>
      </c>
      <c r="AC127" s="44" t="str">
        <f t="shared" si="21"/>
        <v>NO</v>
      </c>
      <c r="AD127" s="44"/>
      <c r="AE127" s="173" t="s">
        <v>1256</v>
      </c>
      <c r="AF127" s="173" t="s">
        <v>1297</v>
      </c>
      <c r="AG127" s="173"/>
      <c r="AH127" s="281"/>
      <c r="AI127" s="174"/>
      <c r="AJ127" s="173" t="s">
        <v>901</v>
      </c>
      <c r="AK127" s="181" t="str">
        <f t="shared" ca="1" si="22"/>
        <v>TERMINO</v>
      </c>
      <c r="AL127" s="181" t="s">
        <v>576</v>
      </c>
      <c r="AM127" s="176" t="s">
        <v>390</v>
      </c>
      <c r="AN127" s="848" t="str">
        <f>IFERROR(VLOOKUP(E127,'liquidaciones '!$B$2:$C$1048576,2,0),"NO")</f>
        <v>LIQUIDADO</v>
      </c>
      <c r="AO127" s="944">
        <f>IFERROR(VLOOKUP(E127,'liquidaciones '!$B$2:$I$1048576,8,0),"")</f>
        <v>0</v>
      </c>
      <c r="AP127" s="338">
        <v>41975</v>
      </c>
      <c r="AQ127" s="177" t="str">
        <f t="shared" ca="1" si="23"/>
        <v>NO</v>
      </c>
      <c r="AR127" s="177" t="s">
        <v>983</v>
      </c>
      <c r="AS127" s="433"/>
      <c r="AT127" s="964"/>
      <c r="AU127" s="964"/>
      <c r="AV127" s="964"/>
    </row>
    <row r="128" spans="1:48" ht="54" customHeight="1" x14ac:dyDescent="0.25">
      <c r="A128" s="15">
        <v>4</v>
      </c>
      <c r="B128" s="15">
        <v>122</v>
      </c>
      <c r="C128" s="437"/>
      <c r="D128" s="437" t="str">
        <f t="shared" si="13"/>
        <v>2013</v>
      </c>
      <c r="E128" s="142" t="s">
        <v>167</v>
      </c>
      <c r="F128" s="132" t="s">
        <v>1515</v>
      </c>
      <c r="G128" s="133">
        <v>80117116</v>
      </c>
      <c r="H128" s="993" t="s">
        <v>361</v>
      </c>
      <c r="I128" s="134">
        <v>23989000</v>
      </c>
      <c r="J128" s="850" t="s">
        <v>4596</v>
      </c>
      <c r="K128" s="135">
        <v>2013</v>
      </c>
      <c r="L128" s="546" t="s">
        <v>1088</v>
      </c>
      <c r="M128" s="138">
        <v>41477</v>
      </c>
      <c r="N128" s="138">
        <v>41691</v>
      </c>
      <c r="O128" s="127">
        <f>COUNTA(Modificaciones!I128,Modificaciones!K128,Modificaciones!M128,Modificaciones!O128)</f>
        <v>0</v>
      </c>
      <c r="P128" s="128">
        <f>VLOOKUP(E128,Modificaciones!$B$7:$Q$300,16,0)</f>
        <v>0</v>
      </c>
      <c r="Q128" s="129">
        <f>COUNTA(Modificaciones!S128,Modificaciones!U128,Modificaciones!W128,Modificaciones!Y128)</f>
        <v>0</v>
      </c>
      <c r="R128" s="130" t="str">
        <f>IF(Modificaciones!Z128=0,"",VLOOKUP(E128,Modificaciones!$B$7:$AA$400,25,0))</f>
        <v/>
      </c>
      <c r="S128" s="131" t="str">
        <f>IF(Modificaciones!AA128=0,"",VLOOKUP(E128,Modificaciones!$B$7:$AA$400,26,0))</f>
        <v/>
      </c>
      <c r="T128" s="7">
        <f t="shared" si="24"/>
        <v>41691</v>
      </c>
      <c r="U128" s="62">
        <f t="shared" si="15"/>
        <v>23989000</v>
      </c>
      <c r="V128" s="172">
        <f>VLOOKUP(E128,Modificaciones!$B$7:$AU$300,46,0)</f>
        <v>23989000</v>
      </c>
      <c r="W128" s="93">
        <f t="shared" si="16"/>
        <v>0</v>
      </c>
      <c r="X128" s="309" t="s">
        <v>1095</v>
      </c>
      <c r="Y128" s="42">
        <f t="shared" si="17"/>
        <v>1</v>
      </c>
      <c r="Z128" s="42">
        <f t="shared" ca="1" si="18"/>
        <v>1</v>
      </c>
      <c r="AA128" s="43">
        <f t="shared" ca="1" si="19"/>
        <v>0</v>
      </c>
      <c r="AB128" s="202" t="str">
        <f t="shared" ca="1" si="20"/>
        <v/>
      </c>
      <c r="AC128" s="44" t="str">
        <f t="shared" si="21"/>
        <v>SI</v>
      </c>
      <c r="AD128" s="44"/>
      <c r="AE128" s="173" t="s">
        <v>1256</v>
      </c>
      <c r="AF128" s="173" t="s">
        <v>1131</v>
      </c>
      <c r="AG128" s="173" t="s">
        <v>1430</v>
      </c>
      <c r="AH128" s="281" t="s">
        <v>564</v>
      </c>
      <c r="AI128" s="174"/>
      <c r="AJ128" s="173" t="s">
        <v>901</v>
      </c>
      <c r="AK128" s="181" t="str">
        <f t="shared" ca="1" si="22"/>
        <v>TERMINO</v>
      </c>
      <c r="AL128" s="181" t="s">
        <v>582</v>
      </c>
      <c r="AM128" s="176" t="s">
        <v>391</v>
      </c>
      <c r="AN128" s="848" t="str">
        <f>IFERROR(VLOOKUP(E128,'liquidaciones '!$B$2:$C$1048576,2,0),"NO")</f>
        <v>LIQUIDADO</v>
      </c>
      <c r="AO128" s="944" t="str">
        <f>IFERROR(VLOOKUP(E128,'liquidaciones '!$B$2:$I$1048576,8,0),"")</f>
        <v>JUAN DIEGO ESPITIA</v>
      </c>
      <c r="AP128" s="334">
        <v>41708</v>
      </c>
      <c r="AQ128" s="177" t="str">
        <f t="shared" ca="1" si="23"/>
        <v>NO</v>
      </c>
      <c r="AR128" s="177" t="s">
        <v>981</v>
      </c>
      <c r="AS128" s="433"/>
      <c r="AT128" s="964"/>
      <c r="AU128" s="964"/>
      <c r="AV128" s="964"/>
    </row>
    <row r="129" spans="1:48" ht="47.25" customHeight="1" x14ac:dyDescent="0.25">
      <c r="A129" s="15">
        <v>4</v>
      </c>
      <c r="B129" s="15">
        <v>123</v>
      </c>
      <c r="C129" s="437"/>
      <c r="D129" s="437" t="str">
        <f t="shared" si="13"/>
        <v>2013</v>
      </c>
      <c r="E129" s="139" t="s">
        <v>178</v>
      </c>
      <c r="F129" s="132" t="s">
        <v>33</v>
      </c>
      <c r="G129" s="133">
        <v>860509265</v>
      </c>
      <c r="H129" s="993" t="s">
        <v>477</v>
      </c>
      <c r="I129" s="160">
        <v>795000</v>
      </c>
      <c r="J129" s="850" t="s">
        <v>4065</v>
      </c>
      <c r="K129" s="157">
        <v>2013</v>
      </c>
      <c r="L129" s="546" t="s">
        <v>1088</v>
      </c>
      <c r="M129" s="138">
        <v>41547</v>
      </c>
      <c r="N129" s="138">
        <v>41911</v>
      </c>
      <c r="O129" s="127">
        <f>COUNTA(Modificaciones!I129,Modificaciones!K129,Modificaciones!M129,Modificaciones!O129)</f>
        <v>0</v>
      </c>
      <c r="P129" s="128">
        <f>VLOOKUP(E129,Modificaciones!$B$7:$Q$300,16,0)</f>
        <v>0</v>
      </c>
      <c r="Q129" s="129">
        <f>COUNTA(Modificaciones!S129,Modificaciones!U129,Modificaciones!W129,Modificaciones!Y129)</f>
        <v>0</v>
      </c>
      <c r="R129" s="130" t="str">
        <f>IF(Modificaciones!Z129=0,"",VLOOKUP(E129,Modificaciones!$B$7:$AA$400,25,0))</f>
        <v/>
      </c>
      <c r="S129" s="131" t="str">
        <f>IF(Modificaciones!AA129=0,"",VLOOKUP(E129,Modificaciones!$B$7:$AA$400,26,0))</f>
        <v/>
      </c>
      <c r="T129" s="7">
        <f t="shared" si="24"/>
        <v>41911</v>
      </c>
      <c r="U129" s="62">
        <f t="shared" si="15"/>
        <v>795000</v>
      </c>
      <c r="V129" s="172">
        <f>VLOOKUP(E129,Modificaciones!$B$7:$AU$300,46,0)</f>
        <v>795000</v>
      </c>
      <c r="W129" s="93">
        <f t="shared" si="16"/>
        <v>0</v>
      </c>
      <c r="X129" s="309" t="s">
        <v>1895</v>
      </c>
      <c r="Y129" s="42">
        <f t="shared" si="17"/>
        <v>1</v>
      </c>
      <c r="Z129" s="42">
        <f t="shared" ca="1" si="18"/>
        <v>1</v>
      </c>
      <c r="AA129" s="43">
        <f t="shared" ca="1" si="19"/>
        <v>0</v>
      </c>
      <c r="AB129" s="202" t="str">
        <f t="shared" ca="1" si="20"/>
        <v/>
      </c>
      <c r="AC129" s="44" t="str">
        <f t="shared" si="21"/>
        <v>SI</v>
      </c>
      <c r="AD129" s="44"/>
      <c r="AE129" s="173" t="s">
        <v>1256</v>
      </c>
      <c r="AF129" s="173" t="s">
        <v>1469</v>
      </c>
      <c r="AG129" s="173"/>
      <c r="AH129" s="281"/>
      <c r="AI129" s="174"/>
      <c r="AJ129" s="173" t="s">
        <v>901</v>
      </c>
      <c r="AK129" s="181" t="str">
        <f t="shared" ca="1" si="22"/>
        <v>TERMINO</v>
      </c>
      <c r="AL129" s="181" t="s">
        <v>582</v>
      </c>
      <c r="AM129" s="176" t="s">
        <v>390</v>
      </c>
      <c r="AN129" s="848" t="str">
        <f>IFERROR(VLOOKUP(E129,'liquidaciones '!$B$2:$C$1048576,2,0),"NO")</f>
        <v>LIQUIDADO</v>
      </c>
      <c r="AO129" s="944">
        <f>IFERROR(VLOOKUP(E129,'liquidaciones '!$B$2:$I$1048576,8,0),"")</f>
        <v>0</v>
      </c>
      <c r="AP129" s="338">
        <v>42307</v>
      </c>
      <c r="AQ129" s="177" t="str">
        <f t="shared" ca="1" si="23"/>
        <v>NO</v>
      </c>
      <c r="AR129" s="177" t="s">
        <v>1510</v>
      </c>
      <c r="AS129" s="433"/>
      <c r="AT129" s="964"/>
      <c r="AU129" s="964"/>
      <c r="AV129" s="964"/>
    </row>
    <row r="130" spans="1:48" ht="47.25" customHeight="1" x14ac:dyDescent="0.25">
      <c r="A130" s="15">
        <v>4</v>
      </c>
      <c r="B130" s="15">
        <v>124</v>
      </c>
      <c r="C130" s="437"/>
      <c r="D130" s="437" t="str">
        <f t="shared" si="13"/>
        <v>2013</v>
      </c>
      <c r="E130" s="139" t="s">
        <v>189</v>
      </c>
      <c r="F130" s="132" t="s">
        <v>13</v>
      </c>
      <c r="G130" s="133">
        <v>860007590</v>
      </c>
      <c r="H130" s="993" t="s">
        <v>478</v>
      </c>
      <c r="I130" s="140">
        <v>936000</v>
      </c>
      <c r="J130" s="850" t="s">
        <v>4595</v>
      </c>
      <c r="K130" s="157">
        <v>2013</v>
      </c>
      <c r="L130" s="546" t="s">
        <v>1088</v>
      </c>
      <c r="M130" s="138">
        <v>41528</v>
      </c>
      <c r="N130" s="138">
        <v>41892</v>
      </c>
      <c r="O130" s="127">
        <f>COUNTA(Modificaciones!I130,Modificaciones!K130,Modificaciones!M130,Modificaciones!O130)</f>
        <v>0</v>
      </c>
      <c r="P130" s="128">
        <f>VLOOKUP(E130,Modificaciones!$B$7:$Q$300,16,0)</f>
        <v>0</v>
      </c>
      <c r="Q130" s="129">
        <f>COUNTA(Modificaciones!S130,Modificaciones!U130,Modificaciones!W130,Modificaciones!Y130)</f>
        <v>0</v>
      </c>
      <c r="R130" s="130" t="str">
        <f>IF(Modificaciones!Z130=0,"",VLOOKUP(E130,Modificaciones!$B$7:$AA$400,25,0))</f>
        <v/>
      </c>
      <c r="S130" s="131" t="str">
        <f>IF(Modificaciones!AA130=0,"",VLOOKUP(E130,Modificaciones!$B$7:$AA$400,26,0))</f>
        <v/>
      </c>
      <c r="T130" s="7">
        <f t="shared" si="24"/>
        <v>41892</v>
      </c>
      <c r="U130" s="62">
        <f t="shared" si="15"/>
        <v>936000</v>
      </c>
      <c r="V130" s="172">
        <f>VLOOKUP(E130,Modificaciones!$B$7:$AU$300,46,0)</f>
        <v>936000</v>
      </c>
      <c r="W130" s="93">
        <f t="shared" si="16"/>
        <v>0</v>
      </c>
      <c r="X130" s="309" t="s">
        <v>1895</v>
      </c>
      <c r="Y130" s="42">
        <f t="shared" si="17"/>
        <v>1</v>
      </c>
      <c r="Z130" s="42">
        <f t="shared" ca="1" si="18"/>
        <v>1</v>
      </c>
      <c r="AA130" s="43">
        <f t="shared" ca="1" si="19"/>
        <v>0</v>
      </c>
      <c r="AB130" s="202" t="str">
        <f t="shared" ca="1" si="20"/>
        <v/>
      </c>
      <c r="AC130" s="44" t="str">
        <f t="shared" si="21"/>
        <v>SI</v>
      </c>
      <c r="AD130" s="44"/>
      <c r="AE130" s="173" t="s">
        <v>1256</v>
      </c>
      <c r="AF130" s="173" t="s">
        <v>1125</v>
      </c>
      <c r="AG130" s="173"/>
      <c r="AH130" s="281"/>
      <c r="AI130" s="174"/>
      <c r="AJ130" s="173" t="s">
        <v>901</v>
      </c>
      <c r="AK130" s="181" t="str">
        <f t="shared" ca="1" si="22"/>
        <v>TERMINO</v>
      </c>
      <c r="AL130" s="181" t="s">
        <v>582</v>
      </c>
      <c r="AM130" s="176" t="s">
        <v>390</v>
      </c>
      <c r="AN130" s="848" t="str">
        <f>IFERROR(VLOOKUP(E130,'liquidaciones '!$B$2:$C$1048576,2,0),"NO")</f>
        <v>NO</v>
      </c>
      <c r="AO130" s="944" t="str">
        <f>IFERROR(VLOOKUP(E130,'liquidaciones '!$B$2:$I$1048576,8,0),"")</f>
        <v/>
      </c>
      <c r="AP130" s="338"/>
      <c r="AQ130" s="177" t="str">
        <f t="shared" ca="1" si="23"/>
        <v>NO</v>
      </c>
      <c r="AR130" s="177" t="s">
        <v>1510</v>
      </c>
      <c r="AS130" s="433"/>
      <c r="AT130" s="964"/>
      <c r="AU130" s="964"/>
      <c r="AV130" s="964"/>
    </row>
    <row r="131" spans="1:48" ht="47.25" customHeight="1" x14ac:dyDescent="0.25">
      <c r="A131" s="15">
        <v>4</v>
      </c>
      <c r="B131" s="15">
        <v>125</v>
      </c>
      <c r="C131" s="437"/>
      <c r="D131" s="437" t="str">
        <f t="shared" si="13"/>
        <v>2013</v>
      </c>
      <c r="E131" s="142" t="s">
        <v>168</v>
      </c>
      <c r="F131" s="132" t="s">
        <v>169</v>
      </c>
      <c r="G131" s="133">
        <v>1016050827</v>
      </c>
      <c r="H131" s="993" t="s">
        <v>362</v>
      </c>
      <c r="I131" s="140">
        <v>3847300</v>
      </c>
      <c r="J131" s="134" t="s">
        <v>1088</v>
      </c>
      <c r="K131" s="135">
        <v>2013</v>
      </c>
      <c r="L131" s="546" t="s">
        <v>1088</v>
      </c>
      <c r="M131" s="138">
        <v>41494</v>
      </c>
      <c r="N131" s="138">
        <v>41766</v>
      </c>
      <c r="O131" s="127">
        <f>COUNTA(Modificaciones!I131,Modificaciones!K131,Modificaciones!M131,Modificaciones!O131)</f>
        <v>0</v>
      </c>
      <c r="P131" s="128">
        <f>VLOOKUP(E131,Modificaciones!$B$7:$Q$300,16,0)</f>
        <v>0</v>
      </c>
      <c r="Q131" s="129">
        <f>COUNTA(Modificaciones!S131,Modificaciones!U131,Modificaciones!W131,Modificaciones!Y131)</f>
        <v>1</v>
      </c>
      <c r="R131" s="130" t="str">
        <f>IF(Modificaciones!Z131=0,"",VLOOKUP(E131,Modificaciones!$B$7:$AA$400,25,0))</f>
        <v>3 meses</v>
      </c>
      <c r="S131" s="131">
        <f>IF(Modificaciones!AA131=0,"",VLOOKUP(E131,Modificaciones!$B$7:$AA$400,26,0))</f>
        <v>41858</v>
      </c>
      <c r="T131" s="7">
        <f t="shared" si="24"/>
        <v>41858</v>
      </c>
      <c r="U131" s="62">
        <f t="shared" si="15"/>
        <v>3847300</v>
      </c>
      <c r="V131" s="172">
        <f>VLOOKUP(E131,Modificaciones!$B$7:$AU$300,46,0)</f>
        <v>3847300</v>
      </c>
      <c r="W131" s="93">
        <f t="shared" si="16"/>
        <v>0</v>
      </c>
      <c r="X131" s="312"/>
      <c r="Y131" s="42">
        <f t="shared" si="17"/>
        <v>1</v>
      </c>
      <c r="Z131" s="42">
        <f t="shared" ca="1" si="18"/>
        <v>1</v>
      </c>
      <c r="AA131" s="43">
        <f t="shared" ca="1" si="19"/>
        <v>0</v>
      </c>
      <c r="AB131" s="202" t="str">
        <f t="shared" ca="1" si="20"/>
        <v/>
      </c>
      <c r="AC131" s="44" t="str">
        <f t="shared" si="21"/>
        <v>SI</v>
      </c>
      <c r="AD131" s="44"/>
      <c r="AE131" s="173" t="s">
        <v>1256</v>
      </c>
      <c r="AF131" s="173" t="s">
        <v>1299</v>
      </c>
      <c r="AG131" s="173" t="s">
        <v>1440</v>
      </c>
      <c r="AH131" s="281" t="s">
        <v>562</v>
      </c>
      <c r="AI131" s="305" t="s">
        <v>1473</v>
      </c>
      <c r="AJ131" s="173" t="s">
        <v>901</v>
      </c>
      <c r="AK131" s="181" t="str">
        <f t="shared" ca="1" si="22"/>
        <v>TERMINO</v>
      </c>
      <c r="AL131" s="181" t="s">
        <v>576</v>
      </c>
      <c r="AM131" s="176" t="s">
        <v>390</v>
      </c>
      <c r="AN131" s="848" t="str">
        <f>IFERROR(VLOOKUP(E131,'liquidaciones '!$B$2:$C$1048576,2,0),"NO")</f>
        <v>EN TRÁMITE</v>
      </c>
      <c r="AO131" s="944">
        <f>IFERROR(VLOOKUP(E131,'liquidaciones '!$B$2:$I$1048576,8,0),"")</f>
        <v>0</v>
      </c>
      <c r="AP131" s="338"/>
      <c r="AQ131" s="177" t="str">
        <f t="shared" ca="1" si="23"/>
        <v>NO</v>
      </c>
      <c r="AR131" s="177" t="s">
        <v>1165</v>
      </c>
      <c r="AS131" s="433"/>
      <c r="AT131" s="964"/>
      <c r="AU131" s="964"/>
      <c r="AV131" s="964"/>
    </row>
    <row r="132" spans="1:48" ht="47.25" customHeight="1" x14ac:dyDescent="0.25">
      <c r="A132" s="15">
        <v>4</v>
      </c>
      <c r="B132" s="15">
        <v>126</v>
      </c>
      <c r="C132" s="437"/>
      <c r="D132" s="437" t="str">
        <f t="shared" si="13"/>
        <v>2013</v>
      </c>
      <c r="E132" s="139" t="s">
        <v>172</v>
      </c>
      <c r="F132" s="132" t="s">
        <v>152</v>
      </c>
      <c r="G132" s="133">
        <v>800015583</v>
      </c>
      <c r="H132" s="993" t="s">
        <v>364</v>
      </c>
      <c r="I132" s="160">
        <v>46411000</v>
      </c>
      <c r="J132" s="134" t="s">
        <v>1088</v>
      </c>
      <c r="K132" s="157">
        <v>2013</v>
      </c>
      <c r="L132" s="546" t="s">
        <v>1088</v>
      </c>
      <c r="M132" s="138">
        <v>41500</v>
      </c>
      <c r="N132" s="138">
        <v>41803</v>
      </c>
      <c r="O132" s="127">
        <f>COUNTA(Modificaciones!I132,Modificaciones!K132,Modificaciones!M132,Modificaciones!O132)</f>
        <v>2</v>
      </c>
      <c r="P132" s="128">
        <f>VLOOKUP(E132,Modificaciones!$B$7:$Q$300,16,0)</f>
        <v>14282200</v>
      </c>
      <c r="Q132" s="129">
        <f>COUNTA(Modificaciones!S132,Modificaciones!U132,Modificaciones!W132,Modificaciones!Y132)</f>
        <v>1</v>
      </c>
      <c r="R132" s="130" t="str">
        <f>IF(Modificaciones!Z132=0,"",VLOOKUP(E132,Modificaciones!$B$7:$AA$400,25,0))</f>
        <v>2 meses</v>
      </c>
      <c r="S132" s="131">
        <f>IF(Modificaciones!AA132=0,"",VLOOKUP(E132,Modificaciones!$B$7:$AA$400,26,0))</f>
        <v>41864</v>
      </c>
      <c r="T132" s="7">
        <f t="shared" si="24"/>
        <v>41864</v>
      </c>
      <c r="U132" s="62">
        <f t="shared" si="15"/>
        <v>60693200</v>
      </c>
      <c r="V132" s="172">
        <f>VLOOKUP(E132,Modificaciones!$B$7:$AU$300,46,0)</f>
        <v>59391828</v>
      </c>
      <c r="W132" s="93">
        <f t="shared" si="16"/>
        <v>1301372</v>
      </c>
      <c r="X132" s="312" t="s">
        <v>1403</v>
      </c>
      <c r="Y132" s="42">
        <f t="shared" si="17"/>
        <v>0.97855819103293284</v>
      </c>
      <c r="Z132" s="42">
        <f t="shared" ca="1" si="18"/>
        <v>1</v>
      </c>
      <c r="AA132" s="43">
        <f t="shared" ca="1" si="19"/>
        <v>2.1441808967067155E-2</v>
      </c>
      <c r="AB132" s="202" t="str">
        <f t="shared" ca="1" si="20"/>
        <v/>
      </c>
      <c r="AC132" s="44" t="str">
        <f t="shared" si="21"/>
        <v>NO</v>
      </c>
      <c r="AD132" s="44"/>
      <c r="AE132" s="173" t="s">
        <v>1257</v>
      </c>
      <c r="AF132" s="178" t="s">
        <v>1463</v>
      </c>
      <c r="AG132" s="173" t="s">
        <v>1439</v>
      </c>
      <c r="AH132" s="281" t="s">
        <v>560</v>
      </c>
      <c r="AI132" s="174"/>
      <c r="AJ132" s="173" t="s">
        <v>901</v>
      </c>
      <c r="AK132" s="181" t="str">
        <f t="shared" ca="1" si="22"/>
        <v>TERMINO</v>
      </c>
      <c r="AL132" s="181" t="s">
        <v>921</v>
      </c>
      <c r="AM132" s="176" t="s">
        <v>390</v>
      </c>
      <c r="AN132" s="848" t="str">
        <f>IFERROR(VLOOKUP(E132,'liquidaciones '!$B$2:$C$1048576,2,0),"NO")</f>
        <v>NO</v>
      </c>
      <c r="AO132" s="944" t="str">
        <f>IFERROR(VLOOKUP(E132,'liquidaciones '!$B$2:$I$1048576,8,0),"")</f>
        <v/>
      </c>
      <c r="AP132" s="338"/>
      <c r="AQ132" s="177" t="str">
        <f t="shared" ca="1" si="23"/>
        <v>NO</v>
      </c>
      <c r="AR132" s="177" t="s">
        <v>1571</v>
      </c>
      <c r="AS132" s="433"/>
      <c r="AT132" s="964"/>
      <c r="AU132" s="964"/>
      <c r="AV132" s="964"/>
    </row>
    <row r="133" spans="1:48" ht="47.25" customHeight="1" x14ac:dyDescent="0.25">
      <c r="A133" s="15">
        <v>4</v>
      </c>
      <c r="B133" s="15">
        <v>127</v>
      </c>
      <c r="C133" s="437"/>
      <c r="D133" s="437" t="str">
        <f t="shared" si="13"/>
        <v>2013</v>
      </c>
      <c r="E133" s="139" t="s">
        <v>173</v>
      </c>
      <c r="F133" s="132" t="s">
        <v>174</v>
      </c>
      <c r="G133" s="133">
        <v>830047489</v>
      </c>
      <c r="H133" s="993" t="s">
        <v>365</v>
      </c>
      <c r="I133" s="140">
        <v>4393120</v>
      </c>
      <c r="J133" s="134" t="s">
        <v>1088</v>
      </c>
      <c r="K133" s="157">
        <v>2013</v>
      </c>
      <c r="L133" s="546" t="s">
        <v>1088</v>
      </c>
      <c r="M133" s="138">
        <v>41512</v>
      </c>
      <c r="N133" s="138">
        <v>41784</v>
      </c>
      <c r="O133" s="127">
        <f>COUNTA(Modificaciones!I133,Modificaciones!K133,Modificaciones!M133,Modificaciones!O133)</f>
        <v>0</v>
      </c>
      <c r="P133" s="128">
        <f>VLOOKUP(E133,Modificaciones!$B$7:$Q$300,16,0)</f>
        <v>0</v>
      </c>
      <c r="Q133" s="129">
        <f>COUNTA(Modificaciones!S133,Modificaciones!U133,Modificaciones!W133,Modificaciones!Y133)</f>
        <v>1</v>
      </c>
      <c r="R133" s="130" t="str">
        <f>IF(Modificaciones!Z133=0,"",VLOOKUP(E133,Modificaciones!$B$7:$AA$400,25,0))</f>
        <v>3 meses</v>
      </c>
      <c r="S133" s="131">
        <f>IF(Modificaciones!AA133=0,"",VLOOKUP(E133,Modificaciones!$B$7:$AA$400,26,0))</f>
        <v>41876</v>
      </c>
      <c r="T133" s="7">
        <f t="shared" si="24"/>
        <v>41876</v>
      </c>
      <c r="U133" s="62">
        <f t="shared" si="15"/>
        <v>4393120</v>
      </c>
      <c r="V133" s="172">
        <f>VLOOKUP(E133,Modificaciones!$B$7:$AU$300,46,0)</f>
        <v>2578000</v>
      </c>
      <c r="W133" s="93">
        <f t="shared" si="16"/>
        <v>1815120</v>
      </c>
      <c r="X133" s="309" t="s">
        <v>1095</v>
      </c>
      <c r="Y133" s="42">
        <f t="shared" si="17"/>
        <v>0.58682667443639147</v>
      </c>
      <c r="Z133" s="42">
        <f t="shared" ca="1" si="18"/>
        <v>1</v>
      </c>
      <c r="AA133" s="43">
        <f t="shared" ca="1" si="19"/>
        <v>0.41317332556360853</v>
      </c>
      <c r="AB133" s="202" t="str">
        <f t="shared" ca="1" si="20"/>
        <v/>
      </c>
      <c r="AC133" s="44" t="str">
        <f t="shared" si="21"/>
        <v>NO</v>
      </c>
      <c r="AD133" s="44"/>
      <c r="AE133" s="173" t="s">
        <v>1256</v>
      </c>
      <c r="AF133" s="173" t="s">
        <v>1511</v>
      </c>
      <c r="AG133" s="173" t="s">
        <v>1442</v>
      </c>
      <c r="AH133" s="281" t="s">
        <v>560</v>
      </c>
      <c r="AI133" s="174" t="s">
        <v>1380</v>
      </c>
      <c r="AJ133" s="173" t="s">
        <v>901</v>
      </c>
      <c r="AK133" s="181" t="str">
        <f t="shared" ca="1" si="22"/>
        <v>TERMINO</v>
      </c>
      <c r="AL133" s="181" t="s">
        <v>576</v>
      </c>
      <c r="AM133" s="176" t="s">
        <v>390</v>
      </c>
      <c r="AN133" s="848" t="str">
        <f>IFERROR(VLOOKUP(E133,'liquidaciones '!$B$2:$C$1048576,2,0),"NO")</f>
        <v>LIQUIDADO</v>
      </c>
      <c r="AO133" s="944">
        <f>IFERROR(VLOOKUP(E133,'liquidaciones '!$B$2:$I$1048576,8,0),"")</f>
        <v>0</v>
      </c>
      <c r="AP133" s="338">
        <v>42025</v>
      </c>
      <c r="AQ133" s="177" t="str">
        <f t="shared" ca="1" si="23"/>
        <v>NO</v>
      </c>
      <c r="AR133" s="177" t="s">
        <v>1056</v>
      </c>
      <c r="AS133" s="433"/>
      <c r="AT133" s="964"/>
      <c r="AU133" s="964"/>
      <c r="AV133" s="964"/>
    </row>
    <row r="134" spans="1:48" ht="47.25" customHeight="1" x14ac:dyDescent="0.25">
      <c r="A134" s="15">
        <v>4</v>
      </c>
      <c r="B134" s="15">
        <v>128</v>
      </c>
      <c r="C134" s="437"/>
      <c r="D134" s="437" t="str">
        <f t="shared" si="13"/>
        <v>2013</v>
      </c>
      <c r="E134" s="139" t="s">
        <v>187</v>
      </c>
      <c r="F134" s="132" t="s">
        <v>188</v>
      </c>
      <c r="G134" s="143">
        <v>900055635</v>
      </c>
      <c r="H134" s="993" t="s">
        <v>479</v>
      </c>
      <c r="I134" s="140">
        <v>16804000</v>
      </c>
      <c r="J134" s="134" t="s">
        <v>1088</v>
      </c>
      <c r="K134" s="157">
        <v>2013</v>
      </c>
      <c r="L134" s="546" t="s">
        <v>1088</v>
      </c>
      <c r="M134" s="138">
        <v>41523</v>
      </c>
      <c r="N134" s="138">
        <v>41764</v>
      </c>
      <c r="O134" s="127">
        <f>COUNTA(Modificaciones!I134,Modificaciones!K134,Modificaciones!M134,Modificaciones!O134)</f>
        <v>1</v>
      </c>
      <c r="P134" s="128">
        <f>VLOOKUP(E134,Modificaciones!$B$7:$Q$300,16,0)</f>
        <v>8400000</v>
      </c>
      <c r="Q134" s="129">
        <f>COUNTA(Modificaciones!S134,Modificaciones!U134,Modificaciones!W134,Modificaciones!Y134)</f>
        <v>3</v>
      </c>
      <c r="R134" s="130" t="str">
        <f>IF(Modificaciones!Z134=0,"",VLOOKUP(E134,Modificaciones!$B$7:$AA$400,25,0))</f>
        <v>11 meses</v>
      </c>
      <c r="S134" s="131">
        <f>IF(Modificaciones!AA134=0,"",VLOOKUP(E134,Modificaciones!$B$7:$AA$400,26,0))</f>
        <v>42099</v>
      </c>
      <c r="T134" s="7">
        <f t="shared" si="24"/>
        <v>42099</v>
      </c>
      <c r="U134" s="62">
        <f t="shared" si="15"/>
        <v>25204000</v>
      </c>
      <c r="V134" s="172">
        <f>VLOOKUP(E134,Modificaciones!$B$7:$AU$300,46,0)</f>
        <v>25201450</v>
      </c>
      <c r="W134" s="93">
        <f t="shared" si="16"/>
        <v>2550</v>
      </c>
      <c r="X134" s="309" t="s">
        <v>1095</v>
      </c>
      <c r="Y134" s="42">
        <f t="shared" si="17"/>
        <v>0.99989882558324072</v>
      </c>
      <c r="Z134" s="42">
        <f t="shared" ca="1" si="18"/>
        <v>1</v>
      </c>
      <c r="AA134" s="43">
        <f t="shared" ca="1" si="19"/>
        <v>1.0117441675927541E-4</v>
      </c>
      <c r="AB134" s="202" t="str">
        <f t="shared" ca="1" si="20"/>
        <v/>
      </c>
      <c r="AC134" s="44" t="str">
        <f t="shared" si="21"/>
        <v>SI</v>
      </c>
      <c r="AD134" s="44"/>
      <c r="AE134" s="173" t="s">
        <v>1256</v>
      </c>
      <c r="AF134" s="173" t="s">
        <v>1126</v>
      </c>
      <c r="AG134" s="173" t="s">
        <v>1442</v>
      </c>
      <c r="AH134" s="281" t="s">
        <v>560</v>
      </c>
      <c r="AI134" s="174" t="s">
        <v>1319</v>
      </c>
      <c r="AJ134" s="173" t="s">
        <v>901</v>
      </c>
      <c r="AK134" s="181" t="str">
        <f t="shared" ca="1" si="22"/>
        <v>TERMINO</v>
      </c>
      <c r="AL134" s="181" t="s">
        <v>576</v>
      </c>
      <c r="AM134" s="176" t="s">
        <v>390</v>
      </c>
      <c r="AN134" s="848" t="str">
        <f>IFERROR(VLOOKUP(E134,'liquidaciones '!$B$2:$C$1048576,2,0),"NO")</f>
        <v>EN TRÁMITE</v>
      </c>
      <c r="AO134" s="944">
        <f>IFERROR(VLOOKUP(E134,'liquidaciones '!$B$2:$I$1048576,8,0),"")</f>
        <v>0</v>
      </c>
      <c r="AP134" s="338"/>
      <c r="AQ134" s="177" t="str">
        <f t="shared" ca="1" si="23"/>
        <v>NO</v>
      </c>
      <c r="AR134" s="177" t="s">
        <v>1570</v>
      </c>
      <c r="AS134" s="433"/>
      <c r="AT134" s="964"/>
      <c r="AU134" s="964"/>
      <c r="AV134" s="964"/>
    </row>
    <row r="135" spans="1:48" ht="47.25" customHeight="1" x14ac:dyDescent="0.25">
      <c r="A135" s="15">
        <v>4</v>
      </c>
      <c r="B135" s="15">
        <v>129</v>
      </c>
      <c r="C135" s="437"/>
      <c r="D135" s="437" t="str">
        <f t="shared" ref="D135:D198" si="25">K135&amp;C135</f>
        <v>2013</v>
      </c>
      <c r="E135" s="139" t="s">
        <v>183</v>
      </c>
      <c r="F135" s="132" t="s">
        <v>184</v>
      </c>
      <c r="G135" s="133">
        <v>800230639</v>
      </c>
      <c r="H135" s="993" t="s">
        <v>480</v>
      </c>
      <c r="I135" s="140">
        <v>86923131</v>
      </c>
      <c r="J135" s="134" t="s">
        <v>1088</v>
      </c>
      <c r="K135" s="157">
        <v>2013</v>
      </c>
      <c r="L135" s="546" t="s">
        <v>1088</v>
      </c>
      <c r="M135" s="138">
        <v>41506</v>
      </c>
      <c r="N135" s="138">
        <v>41871</v>
      </c>
      <c r="O135" s="127">
        <f>COUNTA(Modificaciones!I135,Modificaciones!K135,Modificaciones!M135,Modificaciones!O135)</f>
        <v>1</v>
      </c>
      <c r="P135" s="128">
        <f>VLOOKUP(E135,Modificaciones!$B$7:$Q$300,16,0)</f>
        <v>43461566</v>
      </c>
      <c r="Q135" s="129">
        <f>COUNTA(Modificaciones!S135,Modificaciones!U135,Modificaciones!W135,Modificaciones!Y135)</f>
        <v>1</v>
      </c>
      <c r="R135" s="130" t="str">
        <f>IF(Modificaciones!Z135=0,"",VLOOKUP(E135,Modificaciones!$B$7:$AA$400,25,0))</f>
        <v>5 meses</v>
      </c>
      <c r="S135" s="131">
        <f>IF(Modificaciones!AA135=0,"",VLOOKUP(E135,Modificaciones!$B$7:$AA$400,26,0))</f>
        <v>42055</v>
      </c>
      <c r="T135" s="7">
        <f t="shared" ref="T135:T166" si="26">MAX(N135,S135)</f>
        <v>42055</v>
      </c>
      <c r="U135" s="62">
        <f t="shared" ref="U135:U198" si="27">I135+P135</f>
        <v>130384697</v>
      </c>
      <c r="V135" s="172">
        <f>VLOOKUP(E135,Modificaciones!$B$7:$AU$300,46,0)</f>
        <v>96359635</v>
      </c>
      <c r="W135" s="93">
        <f t="shared" ref="W135:W198" si="28">U135-V135</f>
        <v>34025062</v>
      </c>
      <c r="X135" s="312"/>
      <c r="Y135" s="42">
        <f t="shared" ref="Y135:Y198" si="29">(V135*100%)/U135</f>
        <v>0.7390409857684449</v>
      </c>
      <c r="Z135" s="42">
        <f t="shared" ref="Z135:Z198" ca="1" si="30">IF((($F$3-M135)*100%/(T135-M135))&gt;100%,100%,(($F$3-M135)*100%/(T135-M135)))</f>
        <v>1</v>
      </c>
      <c r="AA135" s="43">
        <f t="shared" ref="AA135:AA198" ca="1" si="31">Z135-Y135</f>
        <v>0.2609590142315551</v>
      </c>
      <c r="AB135" s="202" t="str">
        <f t="shared" ref="AB135:AB198" ca="1" si="32">IF(Z135&lt;100%,T135-$F$3,"")</f>
        <v/>
      </c>
      <c r="AC135" s="44" t="str">
        <f t="shared" ref="AC135:AC198" si="33">IF(Y135&lt;=99.9%,"NO","SI")</f>
        <v>NO</v>
      </c>
      <c r="AD135" s="44"/>
      <c r="AE135" s="173" t="s">
        <v>1257</v>
      </c>
      <c r="AF135" s="301" t="s">
        <v>1166</v>
      </c>
      <c r="AG135" s="173" t="s">
        <v>1439</v>
      </c>
      <c r="AH135" s="281" t="s">
        <v>560</v>
      </c>
      <c r="AI135" s="174"/>
      <c r="AJ135" s="173" t="s">
        <v>904</v>
      </c>
      <c r="AK135" s="181" t="str">
        <f t="shared" ref="AK135:AK198" ca="1" si="34">IF(T135&gt;=$F$3,"EN EJECUCIÓN","TERMINO")</f>
        <v>TERMINO</v>
      </c>
      <c r="AL135" s="181" t="s">
        <v>576</v>
      </c>
      <c r="AM135" s="176" t="s">
        <v>390</v>
      </c>
      <c r="AN135" s="848" t="str">
        <f>IFERROR(VLOOKUP(E135,'liquidaciones '!$B$2:$C$1048576,2,0),"NO")</f>
        <v>EN TRÁMITE</v>
      </c>
      <c r="AO135" s="944">
        <f>IFERROR(VLOOKUP(E135,'liquidaciones '!$B$2:$I$1048576,8,0),"")</f>
        <v>0</v>
      </c>
      <c r="AP135" s="338"/>
      <c r="AQ135" s="177" t="str">
        <f t="shared" ca="1" si="23"/>
        <v>NO</v>
      </c>
      <c r="AR135" s="177" t="s">
        <v>1992</v>
      </c>
      <c r="AS135" s="433"/>
      <c r="AT135" s="964"/>
      <c r="AU135" s="964"/>
      <c r="AV135" s="964"/>
    </row>
    <row r="136" spans="1:48" ht="47.25" customHeight="1" x14ac:dyDescent="0.25">
      <c r="A136" s="15">
        <v>4</v>
      </c>
      <c r="B136" s="15">
        <v>130</v>
      </c>
      <c r="C136" s="437"/>
      <c r="D136" s="437" t="str">
        <f t="shared" si="25"/>
        <v>2013</v>
      </c>
      <c r="E136" s="139" t="s">
        <v>185</v>
      </c>
      <c r="F136" s="132" t="s">
        <v>186</v>
      </c>
      <c r="G136" s="143">
        <v>800039398</v>
      </c>
      <c r="H136" s="993" t="s">
        <v>481</v>
      </c>
      <c r="I136" s="140">
        <v>45056000</v>
      </c>
      <c r="J136" s="134" t="s">
        <v>1088</v>
      </c>
      <c r="K136" s="157">
        <v>2013</v>
      </c>
      <c r="L136" s="546" t="s">
        <v>1088</v>
      </c>
      <c r="M136" s="138">
        <v>41533</v>
      </c>
      <c r="N136" s="138">
        <v>41897</v>
      </c>
      <c r="O136" s="127">
        <f>COUNTA(Modificaciones!I136,Modificaciones!K136,Modificaciones!M136,Modificaciones!O136)</f>
        <v>0</v>
      </c>
      <c r="P136" s="128">
        <f>VLOOKUP(E136,Modificaciones!$B$7:$Q$300,16,0)</f>
        <v>0</v>
      </c>
      <c r="Q136" s="129">
        <f>COUNTA(Modificaciones!S136,Modificaciones!U136,Modificaciones!W136,Modificaciones!Y136)</f>
        <v>0</v>
      </c>
      <c r="R136" s="130" t="str">
        <f>IF(Modificaciones!Z136=0,"",VLOOKUP(E136,Modificaciones!$B$7:$AA$400,25,0))</f>
        <v/>
      </c>
      <c r="S136" s="131" t="str">
        <f>IF(Modificaciones!AA136=0,"",VLOOKUP(E136,Modificaciones!$B$7:$AA$400,26,0))</f>
        <v/>
      </c>
      <c r="T136" s="7">
        <f t="shared" si="26"/>
        <v>41897</v>
      </c>
      <c r="U136" s="62">
        <f t="shared" si="27"/>
        <v>45056000</v>
      </c>
      <c r="V136" s="172">
        <f>VLOOKUP(E136,Modificaciones!$B$7:$AU$300,46,0)</f>
        <v>25056000</v>
      </c>
      <c r="W136" s="93">
        <f t="shared" si="28"/>
        <v>20000000</v>
      </c>
      <c r="X136" s="312"/>
      <c r="Y136" s="42">
        <f t="shared" si="29"/>
        <v>0.55610795454545459</v>
      </c>
      <c r="Z136" s="42">
        <f t="shared" ca="1" si="30"/>
        <v>1</v>
      </c>
      <c r="AA136" s="43">
        <f t="shared" ca="1" si="31"/>
        <v>0.44389204545454541</v>
      </c>
      <c r="AB136" s="202" t="str">
        <f t="shared" ca="1" si="32"/>
        <v/>
      </c>
      <c r="AC136" s="44" t="str">
        <f t="shared" si="33"/>
        <v>NO</v>
      </c>
      <c r="AD136" s="44"/>
      <c r="AE136" s="173" t="s">
        <v>1257</v>
      </c>
      <c r="AF136" s="173" t="s">
        <v>1489</v>
      </c>
      <c r="AG136" s="173" t="s">
        <v>1439</v>
      </c>
      <c r="AH136" s="281" t="s">
        <v>560</v>
      </c>
      <c r="AI136" s="174"/>
      <c r="AJ136" s="173" t="s">
        <v>901</v>
      </c>
      <c r="AK136" s="181" t="str">
        <f t="shared" ca="1" si="34"/>
        <v>TERMINO</v>
      </c>
      <c r="AL136" s="173" t="s">
        <v>575</v>
      </c>
      <c r="AM136" s="176" t="s">
        <v>390</v>
      </c>
      <c r="AN136" s="848" t="str">
        <f>IFERROR(VLOOKUP(E136,'liquidaciones '!$B$2:$C$1048576,2,0),"NO")</f>
        <v>LIQUIDADO</v>
      </c>
      <c r="AO136" s="944">
        <f>IFERROR(VLOOKUP(E136,'liquidaciones '!$B$2:$I$1048576,8,0),"")</f>
        <v>0</v>
      </c>
      <c r="AP136" s="338">
        <v>42004</v>
      </c>
      <c r="AQ136" s="177" t="str">
        <f t="shared" ca="1" si="23"/>
        <v>NO</v>
      </c>
      <c r="AR136" s="177" t="s">
        <v>981</v>
      </c>
      <c r="AS136" s="433"/>
      <c r="AT136" s="964"/>
      <c r="AU136" s="964"/>
      <c r="AV136" s="964"/>
    </row>
    <row r="137" spans="1:48" ht="47.25" customHeight="1" x14ac:dyDescent="0.25">
      <c r="A137" s="15">
        <v>4</v>
      </c>
      <c r="B137" s="15">
        <v>131</v>
      </c>
      <c r="C137" s="437"/>
      <c r="D137" s="437" t="str">
        <f t="shared" si="25"/>
        <v>2013</v>
      </c>
      <c r="E137" s="161" t="s">
        <v>195</v>
      </c>
      <c r="F137" s="132" t="s">
        <v>1037</v>
      </c>
      <c r="G137" s="133">
        <v>860066942</v>
      </c>
      <c r="H137" s="993" t="s">
        <v>482</v>
      </c>
      <c r="I137" s="140">
        <v>76223000</v>
      </c>
      <c r="J137" s="850" t="s">
        <v>4791</v>
      </c>
      <c r="K137" s="157">
        <v>2013</v>
      </c>
      <c r="L137" s="546" t="s">
        <v>1088</v>
      </c>
      <c r="M137" s="138">
        <v>41541</v>
      </c>
      <c r="N137" s="138">
        <v>41721</v>
      </c>
      <c r="O137" s="127">
        <f>COUNTA(Modificaciones!I137,Modificaciones!K137,Modificaciones!M137,Modificaciones!O137)</f>
        <v>2</v>
      </c>
      <c r="P137" s="128">
        <f>VLOOKUP(E137,Modificaciones!$B$7:$Q$300,16,0)</f>
        <v>38002288</v>
      </c>
      <c r="Q137" s="129">
        <f>COUNTA(Modificaciones!S137,Modificaciones!U137,Modificaciones!W137,Modificaciones!Y137)</f>
        <v>1</v>
      </c>
      <c r="R137" s="130" t="str">
        <f>IF(Modificaciones!Z137=0,"",VLOOKUP(E137,Modificaciones!$B$7:$AA$400,25,0))</f>
        <v>2 meses</v>
      </c>
      <c r="S137" s="131">
        <f>IF(Modificaciones!AA137=0,"",VLOOKUP(E137,Modificaciones!$B$7:$AA$400,26,0))</f>
        <v>41782</v>
      </c>
      <c r="T137" s="7">
        <f t="shared" si="26"/>
        <v>41782</v>
      </c>
      <c r="U137" s="62">
        <f t="shared" si="27"/>
        <v>114225288</v>
      </c>
      <c r="V137" s="172">
        <f>VLOOKUP(E137,Modificaciones!$B$7:$AU$300,46,0)</f>
        <v>114217068</v>
      </c>
      <c r="W137" s="93">
        <f t="shared" si="28"/>
        <v>8220</v>
      </c>
      <c r="X137" s="312"/>
      <c r="Y137" s="42">
        <f t="shared" si="29"/>
        <v>0.99992803695097709</v>
      </c>
      <c r="Z137" s="42">
        <f t="shared" ca="1" si="30"/>
        <v>1</v>
      </c>
      <c r="AA137" s="43">
        <f t="shared" ca="1" si="31"/>
        <v>7.1963049022905068E-5</v>
      </c>
      <c r="AB137" s="202" t="str">
        <f t="shared" ca="1" si="32"/>
        <v/>
      </c>
      <c r="AC137" s="44" t="str">
        <f t="shared" si="33"/>
        <v>SI</v>
      </c>
      <c r="AD137" s="44"/>
      <c r="AE137" s="173" t="s">
        <v>1256</v>
      </c>
      <c r="AF137" s="173" t="s">
        <v>1301</v>
      </c>
      <c r="AG137" s="173" t="s">
        <v>1435</v>
      </c>
      <c r="AH137" s="281" t="s">
        <v>560</v>
      </c>
      <c r="AI137" s="174"/>
      <c r="AJ137" s="173" t="s">
        <v>901</v>
      </c>
      <c r="AK137" s="181" t="str">
        <f t="shared" ca="1" si="34"/>
        <v>TERMINO</v>
      </c>
      <c r="AL137" s="181" t="s">
        <v>574</v>
      </c>
      <c r="AM137" s="176" t="s">
        <v>390</v>
      </c>
      <c r="AN137" s="848" t="str">
        <f>IFERROR(VLOOKUP(E137,'liquidaciones '!$B$2:$C$1048576,2,0),"NO")</f>
        <v>LIQUIDADO</v>
      </c>
      <c r="AO137" s="944">
        <f>IFERROR(VLOOKUP(E137,'liquidaciones '!$B$2:$I$1048576,8,0),"")</f>
        <v>0</v>
      </c>
      <c r="AP137" s="338">
        <v>42004</v>
      </c>
      <c r="AQ137" s="177" t="str">
        <f t="shared" ca="1" si="23"/>
        <v>NO</v>
      </c>
      <c r="AR137" s="177" t="s">
        <v>983</v>
      </c>
      <c r="AS137" s="433"/>
      <c r="AT137" s="964"/>
      <c r="AU137" s="964"/>
      <c r="AV137" s="964"/>
    </row>
    <row r="138" spans="1:48" ht="47.25" customHeight="1" x14ac:dyDescent="0.25">
      <c r="A138" s="15">
        <v>4</v>
      </c>
      <c r="B138" s="15">
        <v>132</v>
      </c>
      <c r="C138" s="437"/>
      <c r="D138" s="437" t="str">
        <f t="shared" si="25"/>
        <v>2013</v>
      </c>
      <c r="E138" s="139" t="s">
        <v>191</v>
      </c>
      <c r="F138" s="132" t="s">
        <v>192</v>
      </c>
      <c r="G138" s="143">
        <v>800105847</v>
      </c>
      <c r="H138" s="993" t="s">
        <v>483</v>
      </c>
      <c r="I138" s="140">
        <v>4715000</v>
      </c>
      <c r="J138" s="850" t="s">
        <v>4790</v>
      </c>
      <c r="K138" s="157">
        <v>2013</v>
      </c>
      <c r="L138" s="546" t="s">
        <v>1088</v>
      </c>
      <c r="M138" s="138">
        <v>41555</v>
      </c>
      <c r="N138" s="138">
        <v>41615</v>
      </c>
      <c r="O138" s="127">
        <f>COUNTA(Modificaciones!I138,Modificaciones!K138,Modificaciones!M138,Modificaciones!O138)</f>
        <v>0</v>
      </c>
      <c r="P138" s="128">
        <f>VLOOKUP(E138,Modificaciones!$B$7:$Q$300,16,0)</f>
        <v>0</v>
      </c>
      <c r="Q138" s="129">
        <f>COUNTA(Modificaciones!S138,Modificaciones!U138,Modificaciones!W138,Modificaciones!Y138)</f>
        <v>0</v>
      </c>
      <c r="R138" s="130" t="str">
        <f>IF(Modificaciones!Z138=0,"",VLOOKUP(E138,Modificaciones!$B$7:$AA$400,25,0))</f>
        <v/>
      </c>
      <c r="S138" s="131" t="str">
        <f>IF(Modificaciones!AA138=0,"",VLOOKUP(E138,Modificaciones!$B$7:$AA$400,26,0))</f>
        <v/>
      </c>
      <c r="T138" s="7">
        <f t="shared" si="26"/>
        <v>41615</v>
      </c>
      <c r="U138" s="62">
        <f t="shared" si="27"/>
        <v>4715000</v>
      </c>
      <c r="V138" s="172">
        <f>VLOOKUP(E138,Modificaciones!$B$7:$AU$300,46,0)</f>
        <v>4715000</v>
      </c>
      <c r="W138" s="93">
        <f t="shared" si="28"/>
        <v>0</v>
      </c>
      <c r="X138" s="309" t="s">
        <v>1095</v>
      </c>
      <c r="Y138" s="42">
        <f t="shared" si="29"/>
        <v>1</v>
      </c>
      <c r="Z138" s="42">
        <f t="shared" ca="1" si="30"/>
        <v>1</v>
      </c>
      <c r="AA138" s="43">
        <f t="shared" ca="1" si="31"/>
        <v>0</v>
      </c>
      <c r="AB138" s="202" t="str">
        <f t="shared" ca="1" si="32"/>
        <v/>
      </c>
      <c r="AC138" s="44" t="str">
        <f t="shared" si="33"/>
        <v>SI</v>
      </c>
      <c r="AD138" s="44"/>
      <c r="AE138" s="173" t="s">
        <v>1256</v>
      </c>
      <c r="AF138" s="173" t="s">
        <v>1300</v>
      </c>
      <c r="AG138" s="173" t="s">
        <v>1442</v>
      </c>
      <c r="AH138" s="281" t="s">
        <v>560</v>
      </c>
      <c r="AI138" s="174" t="s">
        <v>1380</v>
      </c>
      <c r="AJ138" s="173" t="s">
        <v>901</v>
      </c>
      <c r="AK138" s="181" t="str">
        <f t="shared" ca="1" si="34"/>
        <v>TERMINO</v>
      </c>
      <c r="AL138" s="181" t="s">
        <v>576</v>
      </c>
      <c r="AM138" s="176" t="s">
        <v>390</v>
      </c>
      <c r="AN138" s="848" t="str">
        <f>IFERROR(VLOOKUP(E138,'liquidaciones '!$B$2:$C$1048576,2,0),"NO")</f>
        <v>LIQUIDADO</v>
      </c>
      <c r="AO138" s="944" t="str">
        <f>IFERROR(VLOOKUP(E138,'liquidaciones '!$B$2:$I$1048576,8,0),"")</f>
        <v>JUAN DIEGO ESPITIA</v>
      </c>
      <c r="AP138" s="334">
        <v>41900</v>
      </c>
      <c r="AQ138" s="177" t="str">
        <f t="shared" ca="1" si="23"/>
        <v>NO</v>
      </c>
      <c r="AR138" s="177" t="s">
        <v>1151</v>
      </c>
      <c r="AS138" s="433"/>
      <c r="AT138" s="964"/>
      <c r="AU138" s="964"/>
      <c r="AV138" s="964"/>
    </row>
    <row r="139" spans="1:48" ht="47.25" customHeight="1" x14ac:dyDescent="0.25">
      <c r="A139" s="15">
        <v>4</v>
      </c>
      <c r="B139" s="15">
        <v>133</v>
      </c>
      <c r="C139" s="437"/>
      <c r="D139" s="437" t="str">
        <f t="shared" si="25"/>
        <v>2013</v>
      </c>
      <c r="E139" s="343" t="s">
        <v>199</v>
      </c>
      <c r="F139" s="132" t="s">
        <v>1038</v>
      </c>
      <c r="G139" s="133">
        <v>899999230</v>
      </c>
      <c r="H139" s="993" t="s">
        <v>484</v>
      </c>
      <c r="I139" s="140">
        <v>457000000</v>
      </c>
      <c r="J139" s="134" t="s">
        <v>1088</v>
      </c>
      <c r="K139" s="157">
        <v>2013</v>
      </c>
      <c r="L139" s="546" t="s">
        <v>1088</v>
      </c>
      <c r="M139" s="138">
        <v>41556</v>
      </c>
      <c r="N139" s="138">
        <v>41798</v>
      </c>
      <c r="O139" s="127">
        <f>COUNTA(Modificaciones!I139,Modificaciones!K139,Modificaciones!M139,Modificaciones!O139)</f>
        <v>0</v>
      </c>
      <c r="P139" s="128">
        <f>VLOOKUP(E139,Modificaciones!$B$7:$Q$300,16,0)</f>
        <v>0</v>
      </c>
      <c r="Q139" s="129">
        <f>COUNTA(Modificaciones!S139,Modificaciones!U139,Modificaciones!W139,Modificaciones!Y139)</f>
        <v>2</v>
      </c>
      <c r="R139" s="130" t="str">
        <f>IF(Modificaciones!Z139=0,"",VLOOKUP(E139,Modificaciones!$B$7:$AA$400,25,0))</f>
        <v>3 meses</v>
      </c>
      <c r="S139" s="131">
        <f>IF(Modificaciones!AA139=0,"",VLOOKUP(E139,Modificaciones!$B$7:$AA$400,26,0))</f>
        <v>41890</v>
      </c>
      <c r="T139" s="7">
        <f t="shared" si="26"/>
        <v>41890</v>
      </c>
      <c r="U139" s="62">
        <f t="shared" si="27"/>
        <v>457000000</v>
      </c>
      <c r="V139" s="172">
        <f>VLOOKUP(E139,Modificaciones!$B$7:$AU$300,46,0)</f>
        <v>416287285</v>
      </c>
      <c r="W139" s="93">
        <f t="shared" si="28"/>
        <v>40712715</v>
      </c>
      <c r="X139" s="312" t="s">
        <v>1409</v>
      </c>
      <c r="Y139" s="42">
        <f t="shared" si="29"/>
        <v>0.91091309628008754</v>
      </c>
      <c r="Z139" s="42">
        <f t="shared" ca="1" si="30"/>
        <v>1</v>
      </c>
      <c r="AA139" s="43">
        <f t="shared" ca="1" si="31"/>
        <v>8.9086903719912458E-2</v>
      </c>
      <c r="AB139" s="202" t="str">
        <f t="shared" ca="1" si="32"/>
        <v/>
      </c>
      <c r="AC139" s="44" t="str">
        <f t="shared" si="33"/>
        <v>NO</v>
      </c>
      <c r="AD139" s="44"/>
      <c r="AE139" s="173" t="s">
        <v>1256</v>
      </c>
      <c r="AF139" s="173" t="s">
        <v>1303</v>
      </c>
      <c r="AG139" s="173" t="s">
        <v>1435</v>
      </c>
      <c r="AH139" s="281" t="s">
        <v>560</v>
      </c>
      <c r="AI139" s="174" t="s">
        <v>1386</v>
      </c>
      <c r="AJ139" s="173" t="s">
        <v>901</v>
      </c>
      <c r="AK139" s="181" t="str">
        <f t="shared" ca="1" si="34"/>
        <v>TERMINO</v>
      </c>
      <c r="AL139" s="181" t="s">
        <v>582</v>
      </c>
      <c r="AM139" s="176" t="s">
        <v>390</v>
      </c>
      <c r="AN139" s="848" t="str">
        <f>IFERROR(VLOOKUP(E139,'liquidaciones '!$B$2:$C$1048576,2,0),"NO")</f>
        <v>LIQUIDADO</v>
      </c>
      <c r="AO139" s="944">
        <f>IFERROR(VLOOKUP(E139,'liquidaciones '!$B$2:$I$1048576,8,0),"")</f>
        <v>0</v>
      </c>
      <c r="AP139" s="338">
        <v>42094</v>
      </c>
      <c r="AQ139" s="177" t="str">
        <f t="shared" ca="1" si="23"/>
        <v>NO</v>
      </c>
      <c r="AR139" s="177" t="s">
        <v>982</v>
      </c>
      <c r="AS139" s="433"/>
      <c r="AT139" s="964"/>
      <c r="AU139" s="964"/>
      <c r="AV139" s="964"/>
    </row>
    <row r="140" spans="1:48" ht="47.25" customHeight="1" x14ac:dyDescent="0.25">
      <c r="A140" s="15">
        <v>4</v>
      </c>
      <c r="B140" s="15">
        <v>134</v>
      </c>
      <c r="C140" s="437"/>
      <c r="D140" s="437" t="str">
        <f t="shared" si="25"/>
        <v>2013</v>
      </c>
      <c r="E140" s="139" t="s">
        <v>177</v>
      </c>
      <c r="F140" s="132" t="s">
        <v>1039</v>
      </c>
      <c r="G140" s="133">
        <v>900207129</v>
      </c>
      <c r="H140" s="993" t="s">
        <v>485</v>
      </c>
      <c r="I140" s="160">
        <v>3356320</v>
      </c>
      <c r="J140" s="850" t="s">
        <v>4789</v>
      </c>
      <c r="K140" s="157">
        <v>2013</v>
      </c>
      <c r="L140" s="546" t="s">
        <v>1088</v>
      </c>
      <c r="M140" s="138">
        <v>41554</v>
      </c>
      <c r="N140" s="138">
        <v>41645</v>
      </c>
      <c r="O140" s="127">
        <f>COUNTA(Modificaciones!I140,Modificaciones!K140,Modificaciones!M140,Modificaciones!O140)</f>
        <v>0</v>
      </c>
      <c r="P140" s="128">
        <f>VLOOKUP(E140,Modificaciones!$B$7:$Q$300,16,0)</f>
        <v>0</v>
      </c>
      <c r="Q140" s="129">
        <f>COUNTA(Modificaciones!S140,Modificaciones!U140,Modificaciones!W140,Modificaciones!Y140)</f>
        <v>0</v>
      </c>
      <c r="R140" s="130" t="str">
        <f>IF(Modificaciones!Z140=0,"",VLOOKUP(E140,Modificaciones!$B$7:$AA$400,25,0))</f>
        <v/>
      </c>
      <c r="S140" s="131" t="str">
        <f>IF(Modificaciones!AA140=0,"",VLOOKUP(E140,Modificaciones!$B$7:$AA$400,26,0))</f>
        <v/>
      </c>
      <c r="T140" s="7">
        <f t="shared" si="26"/>
        <v>41645</v>
      </c>
      <c r="U140" s="62">
        <f t="shared" si="27"/>
        <v>3356320</v>
      </c>
      <c r="V140" s="172">
        <f>VLOOKUP(E140,Modificaciones!$B$7:$AU$300,46,0)</f>
        <v>3356320</v>
      </c>
      <c r="W140" s="93">
        <f t="shared" si="28"/>
        <v>0</v>
      </c>
      <c r="X140" s="309" t="s">
        <v>1895</v>
      </c>
      <c r="Y140" s="42">
        <f t="shared" si="29"/>
        <v>1</v>
      </c>
      <c r="Z140" s="42">
        <f t="shared" ca="1" si="30"/>
        <v>1</v>
      </c>
      <c r="AA140" s="43">
        <f t="shared" ca="1" si="31"/>
        <v>0</v>
      </c>
      <c r="AB140" s="202" t="str">
        <f t="shared" ca="1" si="32"/>
        <v/>
      </c>
      <c r="AC140" s="44" t="str">
        <f t="shared" si="33"/>
        <v>SI</v>
      </c>
      <c r="AD140" s="44"/>
      <c r="AE140" s="173" t="s">
        <v>1256</v>
      </c>
      <c r="AF140" s="173" t="s">
        <v>1302</v>
      </c>
      <c r="AG140" s="173"/>
      <c r="AH140" s="281"/>
      <c r="AI140" s="174"/>
      <c r="AJ140" s="173" t="s">
        <v>901</v>
      </c>
      <c r="AK140" s="181" t="str">
        <f t="shared" ca="1" si="34"/>
        <v>TERMINO</v>
      </c>
      <c r="AL140" s="181" t="s">
        <v>576</v>
      </c>
      <c r="AM140" s="176" t="s">
        <v>390</v>
      </c>
      <c r="AN140" s="848" t="str">
        <f>IFERROR(VLOOKUP(E140,'liquidaciones '!$B$2:$C$1048576,2,0),"NO")</f>
        <v>LIQUIDADO</v>
      </c>
      <c r="AO140" s="944">
        <f>IFERROR(VLOOKUP(E140,'liquidaciones '!$B$2:$I$1048576,8,0),"")</f>
        <v>0</v>
      </c>
      <c r="AP140" s="338">
        <v>42030</v>
      </c>
      <c r="AQ140" s="177" t="str">
        <f t="shared" ca="1" si="23"/>
        <v>NO</v>
      </c>
      <c r="AR140" s="177" t="s">
        <v>983</v>
      </c>
      <c r="AS140" s="433"/>
      <c r="AT140" s="964"/>
      <c r="AU140" s="964"/>
      <c r="AV140" s="964"/>
    </row>
    <row r="141" spans="1:48" ht="47.25" customHeight="1" x14ac:dyDescent="0.25">
      <c r="A141" s="15">
        <v>4</v>
      </c>
      <c r="B141" s="15">
        <v>135</v>
      </c>
      <c r="C141" s="437"/>
      <c r="D141" s="437" t="str">
        <f t="shared" si="25"/>
        <v>2013</v>
      </c>
      <c r="E141" s="139" t="s">
        <v>193</v>
      </c>
      <c r="F141" s="132" t="s">
        <v>194</v>
      </c>
      <c r="G141" s="143">
        <v>830069296</v>
      </c>
      <c r="H141" s="993" t="s">
        <v>486</v>
      </c>
      <c r="I141" s="140">
        <v>19965572</v>
      </c>
      <c r="J141" s="850" t="s">
        <v>4788</v>
      </c>
      <c r="K141" s="157">
        <v>2013</v>
      </c>
      <c r="L141" s="546" t="s">
        <v>1088</v>
      </c>
      <c r="M141" s="138">
        <v>41555</v>
      </c>
      <c r="N141" s="138">
        <v>41935</v>
      </c>
      <c r="O141" s="127">
        <f>COUNTA(Modificaciones!I141,Modificaciones!K141,Modificaciones!M141,Modificaciones!O141)</f>
        <v>0</v>
      </c>
      <c r="P141" s="128">
        <f>VLOOKUP(E141,Modificaciones!$B$7:$Q$300,16,0)</f>
        <v>0</v>
      </c>
      <c r="Q141" s="129">
        <f>COUNTA(Modificaciones!S141,Modificaciones!U141,Modificaciones!W141,Modificaciones!Y141)</f>
        <v>0</v>
      </c>
      <c r="R141" s="130" t="str">
        <f>IF(Modificaciones!Z141=0,"",VLOOKUP(E141,Modificaciones!$B$7:$AA$400,25,0))</f>
        <v/>
      </c>
      <c r="S141" s="131" t="str">
        <f>IF(Modificaciones!AA141=0,"",VLOOKUP(E141,Modificaciones!$B$7:$AA$400,26,0))</f>
        <v/>
      </c>
      <c r="T141" s="7">
        <f t="shared" si="26"/>
        <v>41935</v>
      </c>
      <c r="U141" s="62">
        <f t="shared" si="27"/>
        <v>19965572</v>
      </c>
      <c r="V141" s="172">
        <f>VLOOKUP(E141,Modificaciones!$B$7:$AU$300,46,0)</f>
        <v>19965572</v>
      </c>
      <c r="W141" s="93">
        <f t="shared" si="28"/>
        <v>0</v>
      </c>
      <c r="X141" s="312"/>
      <c r="Y141" s="42">
        <f t="shared" si="29"/>
        <v>1</v>
      </c>
      <c r="Z141" s="42">
        <f t="shared" ca="1" si="30"/>
        <v>1</v>
      </c>
      <c r="AA141" s="43">
        <f t="shared" ca="1" si="31"/>
        <v>0</v>
      </c>
      <c r="AB141" s="202" t="str">
        <f t="shared" ca="1" si="32"/>
        <v/>
      </c>
      <c r="AC141" s="44" t="str">
        <f t="shared" si="33"/>
        <v>SI</v>
      </c>
      <c r="AD141" s="44"/>
      <c r="AE141" s="173" t="s">
        <v>1257</v>
      </c>
      <c r="AF141" s="173" t="s">
        <v>1289</v>
      </c>
      <c r="AG141" s="173" t="s">
        <v>1439</v>
      </c>
      <c r="AH141" s="281" t="s">
        <v>560</v>
      </c>
      <c r="AI141" s="174"/>
      <c r="AJ141" s="173" t="s">
        <v>901</v>
      </c>
      <c r="AK141" s="181" t="str">
        <f t="shared" ca="1" si="34"/>
        <v>TERMINO</v>
      </c>
      <c r="AL141" s="181" t="s">
        <v>576</v>
      </c>
      <c r="AM141" s="176" t="s">
        <v>390</v>
      </c>
      <c r="AN141" s="848" t="str">
        <f>IFERROR(VLOOKUP(E141,'liquidaciones '!$B$2:$C$1048576,2,0),"NO")</f>
        <v>LIQUIDADO</v>
      </c>
      <c r="AO141" s="944">
        <f>IFERROR(VLOOKUP(E141,'liquidaciones '!$B$2:$I$1048576,8,0),"")</f>
        <v>0</v>
      </c>
      <c r="AP141" s="338">
        <v>42013</v>
      </c>
      <c r="AQ141" s="177" t="str">
        <f t="shared" ca="1" si="23"/>
        <v>NO</v>
      </c>
      <c r="AR141" s="177" t="s">
        <v>981</v>
      </c>
      <c r="AS141" s="433"/>
      <c r="AT141" s="964"/>
      <c r="AU141" s="964"/>
      <c r="AV141" s="964"/>
    </row>
    <row r="142" spans="1:48" ht="47.25" customHeight="1" x14ac:dyDescent="0.25">
      <c r="A142" s="15">
        <v>4</v>
      </c>
      <c r="B142" s="15">
        <v>136</v>
      </c>
      <c r="C142" s="437"/>
      <c r="D142" s="437" t="str">
        <f t="shared" si="25"/>
        <v>2013</v>
      </c>
      <c r="E142" s="139" t="s">
        <v>196</v>
      </c>
      <c r="F142" s="155" t="s">
        <v>22</v>
      </c>
      <c r="G142" s="133">
        <v>830112518</v>
      </c>
      <c r="H142" s="993" t="s">
        <v>487</v>
      </c>
      <c r="I142" s="140">
        <v>38280000</v>
      </c>
      <c r="J142" s="134" t="s">
        <v>1088</v>
      </c>
      <c r="K142" s="157">
        <v>2013</v>
      </c>
      <c r="L142" s="546" t="s">
        <v>1088</v>
      </c>
      <c r="M142" s="138">
        <v>41562</v>
      </c>
      <c r="N142" s="138">
        <v>41926</v>
      </c>
      <c r="O142" s="127">
        <f>COUNTA(Modificaciones!I142,Modificaciones!K142,Modificaciones!M142,Modificaciones!O142)</f>
        <v>0</v>
      </c>
      <c r="P142" s="128">
        <f>VLOOKUP(E142,Modificaciones!$B$7:$Q$300,16,0)</f>
        <v>0</v>
      </c>
      <c r="Q142" s="129">
        <f>COUNTA(Modificaciones!S142,Modificaciones!U142,Modificaciones!W142,Modificaciones!Y142)</f>
        <v>0</v>
      </c>
      <c r="R142" s="130" t="str">
        <f>IF(Modificaciones!Z142=0,"",VLOOKUP(E142,Modificaciones!$B$7:$AA$400,25,0))</f>
        <v/>
      </c>
      <c r="S142" s="131" t="str">
        <f>IF(Modificaciones!AA142=0,"",VLOOKUP(E142,Modificaciones!$B$7:$AA$400,26,0))</f>
        <v/>
      </c>
      <c r="T142" s="7">
        <f t="shared" si="26"/>
        <v>41926</v>
      </c>
      <c r="U142" s="62">
        <f t="shared" si="27"/>
        <v>38280000</v>
      </c>
      <c r="V142" s="172">
        <f>VLOOKUP(E142,Modificaciones!$B$7:$AU$300,46,0)</f>
        <v>38280000</v>
      </c>
      <c r="W142" s="93">
        <f t="shared" si="28"/>
        <v>0</v>
      </c>
      <c r="X142" s="309" t="s">
        <v>1095</v>
      </c>
      <c r="Y142" s="42">
        <f t="shared" si="29"/>
        <v>1</v>
      </c>
      <c r="Z142" s="42">
        <f t="shared" ca="1" si="30"/>
        <v>1</v>
      </c>
      <c r="AA142" s="43">
        <f t="shared" ca="1" si="31"/>
        <v>0</v>
      </c>
      <c r="AB142" s="202" t="str">
        <f t="shared" ca="1" si="32"/>
        <v/>
      </c>
      <c r="AC142" s="44" t="str">
        <f t="shared" si="33"/>
        <v>SI</v>
      </c>
      <c r="AD142" s="44"/>
      <c r="AE142" s="173" t="s">
        <v>1257</v>
      </c>
      <c r="AF142" s="173" t="s">
        <v>1174</v>
      </c>
      <c r="AG142" s="173" t="s">
        <v>1439</v>
      </c>
      <c r="AH142" s="281" t="s">
        <v>560</v>
      </c>
      <c r="AI142" s="174"/>
      <c r="AJ142" s="173" t="s">
        <v>901</v>
      </c>
      <c r="AK142" s="181" t="str">
        <f t="shared" ca="1" si="34"/>
        <v>TERMINO</v>
      </c>
      <c r="AL142" s="181" t="s">
        <v>582</v>
      </c>
      <c r="AM142" s="176" t="s">
        <v>390</v>
      </c>
      <c r="AN142" s="848" t="str">
        <f>IFERROR(VLOOKUP(E142,'liquidaciones '!$B$2:$C$1048576,2,0),"NO")</f>
        <v>NO</v>
      </c>
      <c r="AO142" s="944" t="str">
        <f>IFERROR(VLOOKUP(E142,'liquidaciones '!$B$2:$I$1048576,8,0),"")</f>
        <v/>
      </c>
      <c r="AP142" s="338">
        <v>42059</v>
      </c>
      <c r="AQ142" s="177" t="str">
        <f t="shared" ca="1" si="23"/>
        <v>NO</v>
      </c>
      <c r="AR142" s="177" t="s">
        <v>981</v>
      </c>
      <c r="AS142" s="433"/>
      <c r="AT142" s="964"/>
      <c r="AU142" s="964"/>
      <c r="AV142" s="964"/>
    </row>
    <row r="143" spans="1:48" ht="47.25" customHeight="1" x14ac:dyDescent="0.25">
      <c r="A143" s="15">
        <v>4</v>
      </c>
      <c r="B143" s="15">
        <v>137</v>
      </c>
      <c r="C143" s="437"/>
      <c r="D143" s="437" t="str">
        <f t="shared" si="25"/>
        <v>2013</v>
      </c>
      <c r="E143" s="139" t="s">
        <v>200</v>
      </c>
      <c r="F143" s="132" t="s">
        <v>201</v>
      </c>
      <c r="G143" s="133">
        <v>900309238</v>
      </c>
      <c r="H143" s="993" t="s">
        <v>488</v>
      </c>
      <c r="I143" s="140">
        <v>26073552</v>
      </c>
      <c r="J143" s="850" t="s">
        <v>4282</v>
      </c>
      <c r="K143" s="157">
        <v>2013</v>
      </c>
      <c r="L143" s="546" t="s">
        <v>1088</v>
      </c>
      <c r="M143" s="138">
        <v>41562</v>
      </c>
      <c r="N143" s="138">
        <v>41592</v>
      </c>
      <c r="O143" s="127">
        <f>COUNTA(Modificaciones!I143,Modificaciones!K143,Modificaciones!M143,Modificaciones!O143)</f>
        <v>0</v>
      </c>
      <c r="P143" s="128">
        <f>VLOOKUP(E143,Modificaciones!$B$7:$Q$300,16,0)</f>
        <v>0</v>
      </c>
      <c r="Q143" s="129">
        <f>COUNTA(Modificaciones!S143,Modificaciones!U143,Modificaciones!W143,Modificaciones!Y143)</f>
        <v>0</v>
      </c>
      <c r="R143" s="130" t="str">
        <f>IF(Modificaciones!Z143=0,"",VLOOKUP(E143,Modificaciones!$B$7:$AA$400,25,0))</f>
        <v/>
      </c>
      <c r="S143" s="131" t="str">
        <f>IF(Modificaciones!AA143=0,"",VLOOKUP(E143,Modificaciones!$B$7:$AA$400,26,0))</f>
        <v/>
      </c>
      <c r="T143" s="7">
        <f t="shared" si="26"/>
        <v>41592</v>
      </c>
      <c r="U143" s="62">
        <f t="shared" si="27"/>
        <v>26073552</v>
      </c>
      <c r="V143" s="172">
        <f>VLOOKUP(E143,Modificaciones!$B$7:$AU$300,46,0)</f>
        <v>26073552</v>
      </c>
      <c r="W143" s="93">
        <f t="shared" si="28"/>
        <v>0</v>
      </c>
      <c r="X143" s="312"/>
      <c r="Y143" s="42">
        <f t="shared" si="29"/>
        <v>1</v>
      </c>
      <c r="Z143" s="42">
        <f t="shared" ca="1" si="30"/>
        <v>1</v>
      </c>
      <c r="AA143" s="43">
        <f t="shared" ca="1" si="31"/>
        <v>0</v>
      </c>
      <c r="AB143" s="202" t="str">
        <f t="shared" ca="1" si="32"/>
        <v/>
      </c>
      <c r="AC143" s="44" t="str">
        <f t="shared" si="33"/>
        <v>SI</v>
      </c>
      <c r="AD143" s="44"/>
      <c r="AE143" s="173" t="s">
        <v>1256</v>
      </c>
      <c r="AF143" s="173" t="s">
        <v>1462</v>
      </c>
      <c r="AG143" s="173"/>
      <c r="AH143" s="281"/>
      <c r="AI143" s="174"/>
      <c r="AJ143" s="173" t="s">
        <v>901</v>
      </c>
      <c r="AK143" s="181" t="str">
        <f t="shared" ca="1" si="34"/>
        <v>TERMINO</v>
      </c>
      <c r="AL143" s="181" t="s">
        <v>576</v>
      </c>
      <c r="AM143" s="176" t="s">
        <v>390</v>
      </c>
      <c r="AN143" s="848" t="str">
        <f>IFERROR(VLOOKUP(E143,'liquidaciones '!$B$2:$C$1048576,2,0),"NO")</f>
        <v>LIQUIDADO</v>
      </c>
      <c r="AO143" s="944">
        <f>IFERROR(VLOOKUP(E143,'liquidaciones '!$B$2:$I$1048576,8,0),"")</f>
        <v>0</v>
      </c>
      <c r="AP143" s="338">
        <v>41872</v>
      </c>
      <c r="AQ143" s="177" t="str">
        <f t="shared" ref="AQ143:AQ206" ca="1" si="35">IF((TODAY()-T143&lt;900),"SI","NO")</f>
        <v>NO</v>
      </c>
      <c r="AR143" s="177" t="s">
        <v>983</v>
      </c>
      <c r="AS143" s="433"/>
      <c r="AT143" s="964"/>
      <c r="AU143" s="964"/>
      <c r="AV143" s="964"/>
    </row>
    <row r="144" spans="1:48" ht="47.25" customHeight="1" x14ac:dyDescent="0.25">
      <c r="A144" s="15">
        <v>4</v>
      </c>
      <c r="B144" s="15">
        <v>138</v>
      </c>
      <c r="C144" s="437"/>
      <c r="D144" s="437" t="str">
        <f t="shared" si="25"/>
        <v>2013</v>
      </c>
      <c r="E144" s="139" t="s">
        <v>204</v>
      </c>
      <c r="F144" s="132" t="s">
        <v>205</v>
      </c>
      <c r="G144" s="133">
        <v>900542684</v>
      </c>
      <c r="H144" s="993" t="s">
        <v>489</v>
      </c>
      <c r="I144" s="140">
        <v>17262940</v>
      </c>
      <c r="J144" s="850" t="s">
        <v>3998</v>
      </c>
      <c r="K144" s="157">
        <v>2013</v>
      </c>
      <c r="L144" s="546" t="s">
        <v>1088</v>
      </c>
      <c r="M144" s="138">
        <v>41570</v>
      </c>
      <c r="N144" s="138">
        <v>41692</v>
      </c>
      <c r="O144" s="127">
        <f>COUNTA(Modificaciones!I144,Modificaciones!K144,Modificaciones!M144,Modificaciones!O144)</f>
        <v>0</v>
      </c>
      <c r="P144" s="128">
        <f>VLOOKUP(E144,Modificaciones!$B$7:$Q$300,16,0)</f>
        <v>0</v>
      </c>
      <c r="Q144" s="129">
        <f>COUNTA(Modificaciones!S144,Modificaciones!U144,Modificaciones!W144,Modificaciones!Y144)</f>
        <v>0</v>
      </c>
      <c r="R144" s="130" t="str">
        <f>IF(Modificaciones!Z144=0,"",VLOOKUP(E144,Modificaciones!$B$7:$AA$400,25,0))</f>
        <v/>
      </c>
      <c r="S144" s="131" t="str">
        <f>IF(Modificaciones!AA144=0,"",VLOOKUP(E144,Modificaciones!$B$7:$AA$400,26,0))</f>
        <v/>
      </c>
      <c r="T144" s="7">
        <f t="shared" si="26"/>
        <v>41692</v>
      </c>
      <c r="U144" s="62">
        <f t="shared" si="27"/>
        <v>17262940</v>
      </c>
      <c r="V144" s="172">
        <f>VLOOKUP(E144,Modificaciones!$B$7:$AU$300,46,0)</f>
        <v>17262940</v>
      </c>
      <c r="W144" s="93">
        <f t="shared" si="28"/>
        <v>0</v>
      </c>
      <c r="X144" s="309" t="s">
        <v>1895</v>
      </c>
      <c r="Y144" s="42">
        <f t="shared" si="29"/>
        <v>1</v>
      </c>
      <c r="Z144" s="42">
        <f t="shared" ca="1" si="30"/>
        <v>1</v>
      </c>
      <c r="AA144" s="43">
        <f t="shared" ca="1" si="31"/>
        <v>0</v>
      </c>
      <c r="AB144" s="202" t="str">
        <f t="shared" ca="1" si="32"/>
        <v/>
      </c>
      <c r="AC144" s="44" t="str">
        <f t="shared" si="33"/>
        <v>SI</v>
      </c>
      <c r="AD144" s="44"/>
      <c r="AE144" s="173" t="s">
        <v>1256</v>
      </c>
      <c r="AF144" s="173" t="s">
        <v>1304</v>
      </c>
      <c r="AG144" s="173" t="s">
        <v>1435</v>
      </c>
      <c r="AH144" s="281" t="s">
        <v>560</v>
      </c>
      <c r="AI144" s="174"/>
      <c r="AJ144" s="173" t="s">
        <v>901</v>
      </c>
      <c r="AK144" s="181" t="str">
        <f t="shared" ca="1" si="34"/>
        <v>TERMINO</v>
      </c>
      <c r="AL144" s="181" t="s">
        <v>576</v>
      </c>
      <c r="AM144" s="176" t="s">
        <v>390</v>
      </c>
      <c r="AN144" s="848" t="str">
        <f>IFERROR(VLOOKUP(E144,'liquidaciones '!$B$2:$C$1048576,2,0),"NO")</f>
        <v>LIQUIDADO</v>
      </c>
      <c r="AO144" s="944">
        <f>IFERROR(VLOOKUP(E144,'liquidaciones '!$B$2:$I$1048576,8,0),"")</f>
        <v>0</v>
      </c>
      <c r="AP144" s="338">
        <v>42004</v>
      </c>
      <c r="AQ144" s="177" t="str">
        <f t="shared" ca="1" si="35"/>
        <v>NO</v>
      </c>
      <c r="AR144" s="177" t="s">
        <v>983</v>
      </c>
      <c r="AS144" s="433"/>
      <c r="AT144" s="964"/>
      <c r="AU144" s="964"/>
      <c r="AV144" s="964"/>
    </row>
    <row r="145" spans="1:48" ht="47.25" customHeight="1" x14ac:dyDescent="0.25">
      <c r="A145" s="15">
        <v>4</v>
      </c>
      <c r="B145" s="15">
        <v>139</v>
      </c>
      <c r="C145" s="437"/>
      <c r="D145" s="437" t="str">
        <f t="shared" si="25"/>
        <v>2013</v>
      </c>
      <c r="E145" s="139" t="s">
        <v>206</v>
      </c>
      <c r="F145" s="132" t="s">
        <v>1020</v>
      </c>
      <c r="G145" s="133">
        <v>900169179</v>
      </c>
      <c r="H145" s="993" t="s">
        <v>490</v>
      </c>
      <c r="I145" s="140">
        <v>810000</v>
      </c>
      <c r="J145" s="850" t="s">
        <v>4692</v>
      </c>
      <c r="K145" s="157">
        <v>2013</v>
      </c>
      <c r="L145" s="546" t="s">
        <v>1088</v>
      </c>
      <c r="M145" s="138">
        <v>41575</v>
      </c>
      <c r="N145" s="138">
        <v>41939</v>
      </c>
      <c r="O145" s="127">
        <f>COUNTA(Modificaciones!I145,Modificaciones!K145,Modificaciones!M145,Modificaciones!O145)</f>
        <v>0</v>
      </c>
      <c r="P145" s="128">
        <f>VLOOKUP(E145,Modificaciones!$B$7:$Q$300,16,0)</f>
        <v>0</v>
      </c>
      <c r="Q145" s="129">
        <f>COUNTA(Modificaciones!S145,Modificaciones!U145,Modificaciones!W145,Modificaciones!Y145)</f>
        <v>0</v>
      </c>
      <c r="R145" s="130" t="str">
        <f>IF(Modificaciones!Z145=0,"",VLOOKUP(E145,Modificaciones!$B$7:$AA$400,25,0))</f>
        <v/>
      </c>
      <c r="S145" s="131" t="str">
        <f>IF(Modificaciones!AA145=0,"",VLOOKUP(E145,Modificaciones!$B$7:$AA$400,26,0))</f>
        <v/>
      </c>
      <c r="T145" s="7">
        <f t="shared" si="26"/>
        <v>41939</v>
      </c>
      <c r="U145" s="62">
        <f t="shared" si="27"/>
        <v>810000</v>
      </c>
      <c r="V145" s="172">
        <f>VLOOKUP(E145,Modificaciones!$B$7:$AU$300,46,0)</f>
        <v>810000</v>
      </c>
      <c r="W145" s="93">
        <f t="shared" si="28"/>
        <v>0</v>
      </c>
      <c r="X145" s="312"/>
      <c r="Y145" s="42">
        <f t="shared" si="29"/>
        <v>1</v>
      </c>
      <c r="Z145" s="42">
        <f t="shared" ca="1" si="30"/>
        <v>1</v>
      </c>
      <c r="AA145" s="43">
        <f t="shared" ca="1" si="31"/>
        <v>0</v>
      </c>
      <c r="AB145" s="202" t="str">
        <f t="shared" ca="1" si="32"/>
        <v/>
      </c>
      <c r="AC145" s="44" t="str">
        <f t="shared" si="33"/>
        <v>SI</v>
      </c>
      <c r="AD145" s="44"/>
      <c r="AE145" s="173" t="s">
        <v>1256</v>
      </c>
      <c r="AF145" s="173" t="s">
        <v>1125</v>
      </c>
      <c r="AG145" s="173"/>
      <c r="AH145" s="281"/>
      <c r="AI145" s="174"/>
      <c r="AJ145" s="173" t="s">
        <v>901</v>
      </c>
      <c r="AK145" s="181" t="str">
        <f t="shared" ca="1" si="34"/>
        <v>TERMINO</v>
      </c>
      <c r="AL145" s="181" t="s">
        <v>582</v>
      </c>
      <c r="AM145" s="176" t="s">
        <v>390</v>
      </c>
      <c r="AN145" s="848" t="str">
        <f>IFERROR(VLOOKUP(E145,'liquidaciones '!$B$2:$C$1048576,2,0),"NO")</f>
        <v>LIQUIDADO</v>
      </c>
      <c r="AO145" s="944">
        <f>IFERROR(VLOOKUP(E145,'liquidaciones '!$B$2:$I$1048576,8,0),"")</f>
        <v>0</v>
      </c>
      <c r="AP145" s="338"/>
      <c r="AQ145" s="177" t="str">
        <f t="shared" ca="1" si="35"/>
        <v>NO</v>
      </c>
      <c r="AR145" s="177" t="s">
        <v>1510</v>
      </c>
      <c r="AS145" s="433"/>
      <c r="AT145" s="964"/>
      <c r="AU145" s="964"/>
      <c r="AV145" s="964"/>
    </row>
    <row r="146" spans="1:48" ht="54" customHeight="1" x14ac:dyDescent="0.25">
      <c r="B146" s="15">
        <v>140</v>
      </c>
      <c r="C146" s="437"/>
      <c r="D146" s="437" t="str">
        <f t="shared" si="25"/>
        <v>2013</v>
      </c>
      <c r="E146" s="139" t="s">
        <v>211</v>
      </c>
      <c r="F146" s="132" t="s">
        <v>212</v>
      </c>
      <c r="G146" s="133">
        <v>830080652</v>
      </c>
      <c r="H146" s="993" t="s">
        <v>491</v>
      </c>
      <c r="I146" s="140">
        <v>5545000</v>
      </c>
      <c r="J146" s="850" t="s">
        <v>4787</v>
      </c>
      <c r="K146" s="157">
        <v>2013</v>
      </c>
      <c r="L146" s="546" t="s">
        <v>1088</v>
      </c>
      <c r="M146" s="138">
        <v>41590</v>
      </c>
      <c r="N146" s="138">
        <v>41650</v>
      </c>
      <c r="O146" s="127">
        <f>COUNTA(Modificaciones!I146,Modificaciones!K146,Modificaciones!M146,Modificaciones!O146)</f>
        <v>0</v>
      </c>
      <c r="P146" s="128">
        <f>VLOOKUP(E146,Modificaciones!$B$7:$Q$300,16,0)</f>
        <v>0</v>
      </c>
      <c r="Q146" s="129">
        <f>COUNTA(Modificaciones!S146,Modificaciones!U146,Modificaciones!W146,Modificaciones!Y146)</f>
        <v>0</v>
      </c>
      <c r="R146" s="130" t="str">
        <f>IF(Modificaciones!Z146=0,"",VLOOKUP(E146,Modificaciones!$B$7:$AA$400,25,0))</f>
        <v/>
      </c>
      <c r="S146" s="131" t="str">
        <f>IF(Modificaciones!AA146=0,"",VLOOKUP(E146,Modificaciones!$B$7:$AA$400,26,0))</f>
        <v/>
      </c>
      <c r="T146" s="7">
        <f t="shared" si="26"/>
        <v>41650</v>
      </c>
      <c r="U146" s="62">
        <f t="shared" si="27"/>
        <v>5545000</v>
      </c>
      <c r="V146" s="172">
        <f>VLOOKUP(E146,Modificaciones!$B$7:$AU$300,46,0)</f>
        <v>5545000</v>
      </c>
      <c r="W146" s="93">
        <f t="shared" si="28"/>
        <v>0</v>
      </c>
      <c r="X146" s="309" t="s">
        <v>1895</v>
      </c>
      <c r="Y146" s="42">
        <f t="shared" si="29"/>
        <v>1</v>
      </c>
      <c r="Z146" s="42">
        <f t="shared" ca="1" si="30"/>
        <v>1</v>
      </c>
      <c r="AA146" s="43">
        <f t="shared" ca="1" si="31"/>
        <v>0</v>
      </c>
      <c r="AB146" s="202" t="str">
        <f t="shared" ca="1" si="32"/>
        <v/>
      </c>
      <c r="AC146" s="44" t="str">
        <f t="shared" si="33"/>
        <v>SI</v>
      </c>
      <c r="AD146" s="44"/>
      <c r="AE146" s="173" t="s">
        <v>1256</v>
      </c>
      <c r="AF146" s="173" t="s">
        <v>1305</v>
      </c>
      <c r="AG146" s="173"/>
      <c r="AH146" s="281"/>
      <c r="AI146" s="174"/>
      <c r="AJ146" s="173" t="s">
        <v>901</v>
      </c>
      <c r="AK146" s="181" t="str">
        <f t="shared" ca="1" si="34"/>
        <v>TERMINO</v>
      </c>
      <c r="AL146" s="181" t="s">
        <v>576</v>
      </c>
      <c r="AM146" s="176" t="s">
        <v>390</v>
      </c>
      <c r="AN146" s="848" t="str">
        <f>IFERROR(VLOOKUP(E146,'liquidaciones '!$B$2:$C$1048576,2,0),"NO")</f>
        <v>LIQUIDADO</v>
      </c>
      <c r="AO146" s="944">
        <f>IFERROR(VLOOKUP(E146,'liquidaciones '!$B$2:$I$1048576,8,0),"")</f>
        <v>0</v>
      </c>
      <c r="AP146" s="338"/>
      <c r="AQ146" s="177" t="str">
        <f t="shared" ca="1" si="35"/>
        <v>NO</v>
      </c>
      <c r="AR146" s="177" t="s">
        <v>1165</v>
      </c>
      <c r="AS146" s="433"/>
      <c r="AT146" s="964"/>
      <c r="AU146" s="964"/>
      <c r="AV146" s="964"/>
    </row>
    <row r="147" spans="1:48" ht="47.25" customHeight="1" x14ac:dyDescent="0.25">
      <c r="A147" s="15">
        <v>4</v>
      </c>
      <c r="B147" s="15">
        <v>141</v>
      </c>
      <c r="C147" s="437"/>
      <c r="D147" s="437" t="str">
        <f t="shared" si="25"/>
        <v>2013</v>
      </c>
      <c r="E147" s="139" t="s">
        <v>209</v>
      </c>
      <c r="F147" s="132" t="s">
        <v>210</v>
      </c>
      <c r="G147" s="133">
        <v>900236701</v>
      </c>
      <c r="H147" s="993" t="s">
        <v>1445</v>
      </c>
      <c r="I147" s="140">
        <v>19360400</v>
      </c>
      <c r="J147" s="850" t="s">
        <v>4787</v>
      </c>
      <c r="K147" s="157">
        <v>2013</v>
      </c>
      <c r="L147" s="546" t="s">
        <v>1088</v>
      </c>
      <c r="M147" s="138">
        <v>41590</v>
      </c>
      <c r="N147" s="138">
        <v>41650</v>
      </c>
      <c r="O147" s="127">
        <f>COUNTA(Modificaciones!I147,Modificaciones!K147,Modificaciones!M147,Modificaciones!O147)</f>
        <v>0</v>
      </c>
      <c r="P147" s="128">
        <f>VLOOKUP(E147,Modificaciones!$B$7:$Q$300,16,0)</f>
        <v>0</v>
      </c>
      <c r="Q147" s="129">
        <f>COUNTA(Modificaciones!S147,Modificaciones!U147,Modificaciones!W147,Modificaciones!Y147)</f>
        <v>0</v>
      </c>
      <c r="R147" s="130" t="str">
        <f>IF(Modificaciones!Z147=0,"",VLOOKUP(E147,Modificaciones!$B$7:$AA$400,25,0))</f>
        <v/>
      </c>
      <c r="S147" s="131" t="str">
        <f>IF(Modificaciones!AA147=0,"",VLOOKUP(E147,Modificaciones!$B$7:$AA$400,26,0))</f>
        <v/>
      </c>
      <c r="T147" s="7">
        <f t="shared" si="26"/>
        <v>41650</v>
      </c>
      <c r="U147" s="62">
        <f t="shared" si="27"/>
        <v>19360400</v>
      </c>
      <c r="V147" s="172">
        <f>VLOOKUP(E147,Modificaciones!$B$7:$AU$300,46,0)</f>
        <v>19360400</v>
      </c>
      <c r="W147" s="93">
        <f t="shared" si="28"/>
        <v>0</v>
      </c>
      <c r="X147" s="309" t="s">
        <v>1895</v>
      </c>
      <c r="Y147" s="42">
        <f t="shared" si="29"/>
        <v>1</v>
      </c>
      <c r="Z147" s="42">
        <f t="shared" ca="1" si="30"/>
        <v>1</v>
      </c>
      <c r="AA147" s="43">
        <f t="shared" ca="1" si="31"/>
        <v>0</v>
      </c>
      <c r="AB147" s="202" t="str">
        <f t="shared" ca="1" si="32"/>
        <v/>
      </c>
      <c r="AC147" s="44" t="str">
        <f t="shared" si="33"/>
        <v>SI</v>
      </c>
      <c r="AD147" s="44"/>
      <c r="AE147" s="173" t="s">
        <v>1256</v>
      </c>
      <c r="AF147" s="173" t="s">
        <v>1305</v>
      </c>
      <c r="AG147" s="173"/>
      <c r="AH147" s="281"/>
      <c r="AI147" s="174"/>
      <c r="AJ147" s="173" t="s">
        <v>901</v>
      </c>
      <c r="AK147" s="181" t="str">
        <f t="shared" ca="1" si="34"/>
        <v>TERMINO</v>
      </c>
      <c r="AL147" s="181" t="s">
        <v>576</v>
      </c>
      <c r="AM147" s="176" t="s">
        <v>390</v>
      </c>
      <c r="AN147" s="848" t="str">
        <f>IFERROR(VLOOKUP(E147,'liquidaciones '!$B$2:$C$1048576,2,0),"NO")</f>
        <v>LIQUIDADO</v>
      </c>
      <c r="AO147" s="944" t="str">
        <f>IFERROR(VLOOKUP(E147,'liquidaciones '!$B$2:$I$1048576,8,0),"")</f>
        <v>JUAN DIEGO ESPITIA</v>
      </c>
      <c r="AP147" s="338">
        <v>41979</v>
      </c>
      <c r="AQ147" s="177" t="str">
        <f t="shared" ca="1" si="35"/>
        <v>NO</v>
      </c>
      <c r="AR147" s="177" t="s">
        <v>983</v>
      </c>
      <c r="AS147" s="433"/>
      <c r="AT147" s="964"/>
      <c r="AU147" s="964"/>
      <c r="AV147" s="964"/>
    </row>
    <row r="148" spans="1:48" ht="47.25" customHeight="1" x14ac:dyDescent="0.25">
      <c r="A148" s="15">
        <v>4</v>
      </c>
      <c r="B148" s="15">
        <v>142</v>
      </c>
      <c r="C148" s="437"/>
      <c r="D148" s="437" t="str">
        <f t="shared" si="25"/>
        <v>2013</v>
      </c>
      <c r="E148" s="139" t="s">
        <v>207</v>
      </c>
      <c r="F148" s="132" t="s">
        <v>208</v>
      </c>
      <c r="G148" s="133">
        <v>860066942</v>
      </c>
      <c r="H148" s="993" t="s">
        <v>492</v>
      </c>
      <c r="I148" s="140">
        <v>336560000</v>
      </c>
      <c r="J148" s="850" t="s">
        <v>4068</v>
      </c>
      <c r="K148" s="157">
        <v>2013</v>
      </c>
      <c r="L148" s="546" t="s">
        <v>1088</v>
      </c>
      <c r="M148" s="138">
        <v>41572</v>
      </c>
      <c r="N148" s="138">
        <v>41814</v>
      </c>
      <c r="O148" s="127">
        <f>COUNTA(Modificaciones!I148,Modificaciones!K148,Modificaciones!M148,Modificaciones!O148)</f>
        <v>2</v>
      </c>
      <c r="P148" s="128">
        <f>VLOOKUP(E148,Modificaciones!$B$7:$Q$300,16,0)</f>
        <v>165720800</v>
      </c>
      <c r="Q148" s="129">
        <f>COUNTA(Modificaciones!S148,Modificaciones!U148,Modificaciones!W148,Modificaciones!Y148)</f>
        <v>0</v>
      </c>
      <c r="R148" s="130" t="str">
        <f>IF(Modificaciones!Z148=0,"",VLOOKUP(E148,Modificaciones!$B$7:$AA$400,25,0))</f>
        <v/>
      </c>
      <c r="S148" s="131" t="str">
        <f>IF(Modificaciones!AA148=0,"",VLOOKUP(E148,Modificaciones!$B$7:$AA$400,26,0))</f>
        <v/>
      </c>
      <c r="T148" s="7">
        <f t="shared" si="26"/>
        <v>41814</v>
      </c>
      <c r="U148" s="62">
        <f t="shared" si="27"/>
        <v>502280800</v>
      </c>
      <c r="V148" s="172">
        <f>VLOOKUP(E148,Modificaciones!$B$7:$AU$300,46,0)</f>
        <v>502247588</v>
      </c>
      <c r="W148" s="93">
        <f t="shared" si="28"/>
        <v>33212</v>
      </c>
      <c r="X148" s="312"/>
      <c r="Y148" s="42">
        <f t="shared" si="29"/>
        <v>0.99993387762383112</v>
      </c>
      <c r="Z148" s="42">
        <f t="shared" ca="1" si="30"/>
        <v>1</v>
      </c>
      <c r="AA148" s="43">
        <f t="shared" ca="1" si="31"/>
        <v>6.6122376168875618E-5</v>
      </c>
      <c r="AB148" s="202" t="str">
        <f t="shared" ca="1" si="32"/>
        <v/>
      </c>
      <c r="AC148" s="44" t="str">
        <f t="shared" si="33"/>
        <v>SI</v>
      </c>
      <c r="AD148" s="44"/>
      <c r="AE148" s="173" t="s">
        <v>1256</v>
      </c>
      <c r="AF148" s="173" t="s">
        <v>1280</v>
      </c>
      <c r="AG148" s="173" t="s">
        <v>1435</v>
      </c>
      <c r="AH148" s="281" t="s">
        <v>560</v>
      </c>
      <c r="AI148" s="174"/>
      <c r="AJ148" s="173" t="s">
        <v>1342</v>
      </c>
      <c r="AK148" s="181" t="str">
        <f t="shared" ca="1" si="34"/>
        <v>TERMINO</v>
      </c>
      <c r="AL148" s="181" t="s">
        <v>582</v>
      </c>
      <c r="AM148" s="176" t="s">
        <v>390</v>
      </c>
      <c r="AN148" s="848" t="str">
        <f>IFERROR(VLOOKUP(E148,'liquidaciones '!$B$2:$C$1048576,2,0),"NO")</f>
        <v>LIQUIDADO</v>
      </c>
      <c r="AO148" s="944">
        <f>IFERROR(VLOOKUP(E148,'liquidaciones '!$B$2:$I$1048576,8,0),"")</f>
        <v>0</v>
      </c>
      <c r="AP148" s="338">
        <v>42279</v>
      </c>
      <c r="AQ148" s="177" t="str">
        <f t="shared" ca="1" si="35"/>
        <v>NO</v>
      </c>
      <c r="AR148" s="177" t="s">
        <v>1165</v>
      </c>
      <c r="AS148" s="433"/>
      <c r="AT148" s="964"/>
      <c r="AU148" s="964"/>
      <c r="AV148" s="964"/>
    </row>
    <row r="149" spans="1:48" ht="95.25" customHeight="1" x14ac:dyDescent="0.25">
      <c r="B149" s="15">
        <v>143</v>
      </c>
      <c r="C149" s="437"/>
      <c r="D149" s="437" t="str">
        <f t="shared" si="25"/>
        <v>2013</v>
      </c>
      <c r="E149" s="139" t="s">
        <v>213</v>
      </c>
      <c r="F149" s="132" t="s">
        <v>1040</v>
      </c>
      <c r="G149" s="133">
        <v>900228623</v>
      </c>
      <c r="H149" s="993" t="s">
        <v>493</v>
      </c>
      <c r="I149" s="140">
        <v>533636000</v>
      </c>
      <c r="J149" s="850" t="s">
        <v>4786</v>
      </c>
      <c r="K149" s="157">
        <v>2013</v>
      </c>
      <c r="L149" s="546" t="s">
        <v>1088</v>
      </c>
      <c r="M149" s="138">
        <v>41580</v>
      </c>
      <c r="N149" s="138">
        <v>41944</v>
      </c>
      <c r="O149" s="127">
        <f>COUNTA(Modificaciones!I149,Modificaciones!K149,Modificaciones!M149,Modificaciones!O149)</f>
        <v>1</v>
      </c>
      <c r="P149" s="128">
        <f>VLOOKUP(E149,Modificaciones!$B$7:$Q$300,16,0)</f>
        <v>159203272</v>
      </c>
      <c r="Q149" s="129">
        <f>COUNTA(Modificaciones!S149,Modificaciones!U149,Modificaciones!W149,Modificaciones!Y149)</f>
        <v>1</v>
      </c>
      <c r="R149" s="130" t="str">
        <f>IF(Modificaciones!Z149=0,"",VLOOKUP(E149,Modificaciones!$B$7:$AA$400,25,0))</f>
        <v>1 mes</v>
      </c>
      <c r="S149" s="131">
        <f>IF(Modificaciones!AA149=0,"",VLOOKUP(E149,Modificaciones!$B$7:$AA$400,26,0))</f>
        <v>41975</v>
      </c>
      <c r="T149" s="7">
        <f t="shared" si="26"/>
        <v>41975</v>
      </c>
      <c r="U149" s="62">
        <f t="shared" si="27"/>
        <v>692839272</v>
      </c>
      <c r="V149" s="172">
        <f>VLOOKUP(E149,Modificaciones!$B$7:$AU$300,46,0)</f>
        <v>678164443</v>
      </c>
      <c r="W149" s="93">
        <f t="shared" si="28"/>
        <v>14674829</v>
      </c>
      <c r="X149" s="309" t="s">
        <v>1095</v>
      </c>
      <c r="Y149" s="42">
        <f t="shared" si="29"/>
        <v>0.97881928811910646</v>
      </c>
      <c r="Z149" s="42">
        <f t="shared" ca="1" si="30"/>
        <v>1</v>
      </c>
      <c r="AA149" s="43">
        <f t="shared" ca="1" si="31"/>
        <v>2.1180711880893544E-2</v>
      </c>
      <c r="AB149" s="202" t="str">
        <f t="shared" ca="1" si="32"/>
        <v/>
      </c>
      <c r="AC149" s="44" t="str">
        <f t="shared" si="33"/>
        <v>NO</v>
      </c>
      <c r="AD149" s="44"/>
      <c r="AE149" s="173" t="s">
        <v>1256</v>
      </c>
      <c r="AF149" s="301" t="s">
        <v>1127</v>
      </c>
      <c r="AG149" s="173"/>
      <c r="AH149" s="281" t="s">
        <v>560</v>
      </c>
      <c r="AI149" s="174"/>
      <c r="AJ149" s="173" t="s">
        <v>901</v>
      </c>
      <c r="AK149" s="181" t="str">
        <f t="shared" ca="1" si="34"/>
        <v>TERMINO</v>
      </c>
      <c r="AL149" s="173" t="s">
        <v>575</v>
      </c>
      <c r="AM149" s="176" t="s">
        <v>390</v>
      </c>
      <c r="AN149" s="848" t="str">
        <f>IFERROR(VLOOKUP(E149,'liquidaciones '!$B$2:$C$1048576,2,0),"NO")</f>
        <v>EN TRÁMITE</v>
      </c>
      <c r="AO149" s="944">
        <f>IFERROR(VLOOKUP(E149,'liquidaciones '!$B$2:$I$1048576,8,0),"")</f>
        <v>0</v>
      </c>
      <c r="AP149" s="338"/>
      <c r="AQ149" s="177" t="str">
        <f t="shared" ca="1" si="35"/>
        <v>NO</v>
      </c>
      <c r="AR149" s="177" t="s">
        <v>982</v>
      </c>
      <c r="AS149" s="433"/>
      <c r="AT149" s="964"/>
      <c r="AU149" s="964"/>
      <c r="AV149" s="964"/>
    </row>
    <row r="150" spans="1:48" ht="47.25" customHeight="1" x14ac:dyDescent="0.25">
      <c r="B150" s="15">
        <v>144</v>
      </c>
      <c r="C150" s="437"/>
      <c r="D150" s="437" t="str">
        <f t="shared" si="25"/>
        <v>2013</v>
      </c>
      <c r="E150" s="139" t="s">
        <v>857</v>
      </c>
      <c r="F150" s="132" t="s">
        <v>1338</v>
      </c>
      <c r="G150" s="133"/>
      <c r="H150" s="993" t="s">
        <v>1339</v>
      </c>
      <c r="I150" s="140">
        <v>150000000</v>
      </c>
      <c r="J150" s="134" t="s">
        <v>1088</v>
      </c>
      <c r="K150" s="157">
        <v>2013</v>
      </c>
      <c r="L150" s="546" t="s">
        <v>1088</v>
      </c>
      <c r="M150" s="138">
        <v>41610</v>
      </c>
      <c r="N150" s="138">
        <v>41975</v>
      </c>
      <c r="O150" s="127">
        <f>COUNTA(Modificaciones!I150,Modificaciones!K150,Modificaciones!M150,Modificaciones!O150)</f>
        <v>0</v>
      </c>
      <c r="P150" s="128">
        <f>VLOOKUP(E150,Modificaciones!$B$7:$Q$300,16,0)</f>
        <v>0</v>
      </c>
      <c r="Q150" s="129">
        <f>COUNTA(Modificaciones!S150,Modificaciones!U150,Modificaciones!W150,Modificaciones!Y150)</f>
        <v>0</v>
      </c>
      <c r="R150" s="130" t="str">
        <f>IF(Modificaciones!Z150=0,"",VLOOKUP(E150,Modificaciones!$B$7:$AA$400,25,0))</f>
        <v/>
      </c>
      <c r="S150" s="131" t="str">
        <f>IF(Modificaciones!AA150=0,"",VLOOKUP(E150,Modificaciones!$B$7:$AA$400,26,0))</f>
        <v/>
      </c>
      <c r="T150" s="126">
        <f t="shared" si="26"/>
        <v>41975</v>
      </c>
      <c r="U150" s="62">
        <f t="shared" si="27"/>
        <v>150000000</v>
      </c>
      <c r="V150" s="172">
        <f>VLOOKUP(E150,Modificaciones!$B$7:$AU$300,46,0)</f>
        <v>0</v>
      </c>
      <c r="W150" s="93">
        <f t="shared" si="28"/>
        <v>150000000</v>
      </c>
      <c r="X150" s="314" t="s">
        <v>1340</v>
      </c>
      <c r="Y150" s="42">
        <f t="shared" si="29"/>
        <v>0</v>
      </c>
      <c r="Z150" s="42">
        <f t="shared" ca="1" si="30"/>
        <v>1</v>
      </c>
      <c r="AA150" s="43">
        <f t="shared" ca="1" si="31"/>
        <v>1</v>
      </c>
      <c r="AB150" s="202" t="str">
        <f t="shared" ca="1" si="32"/>
        <v/>
      </c>
      <c r="AC150" s="44" t="str">
        <f t="shared" si="33"/>
        <v>NO</v>
      </c>
      <c r="AD150" s="44"/>
      <c r="AE150" s="173" t="s">
        <v>1257</v>
      </c>
      <c r="AF150" s="301" t="s">
        <v>1341</v>
      </c>
      <c r="AG150" s="173"/>
      <c r="AH150" s="281" t="s">
        <v>560</v>
      </c>
      <c r="AI150" s="174"/>
      <c r="AJ150" s="173" t="s">
        <v>2276</v>
      </c>
      <c r="AK150" s="181" t="str">
        <f t="shared" ca="1" si="34"/>
        <v>TERMINO</v>
      </c>
      <c r="AL150" s="181" t="s">
        <v>582</v>
      </c>
      <c r="AM150" s="176" t="s">
        <v>390</v>
      </c>
      <c r="AN150" s="848" t="str">
        <f>IFERROR(VLOOKUP(E150,'liquidaciones '!$B$2:$C$1048576,2,0),"NO")</f>
        <v>NO</v>
      </c>
      <c r="AO150" s="944" t="str">
        <f>IFERROR(VLOOKUP(E150,'liquidaciones '!$B$2:$I$1048576,8,0),"")</f>
        <v/>
      </c>
      <c r="AP150" s="338"/>
      <c r="AQ150" s="177" t="str">
        <f t="shared" ca="1" si="35"/>
        <v>NO</v>
      </c>
      <c r="AR150" s="177"/>
      <c r="AS150" s="433"/>
      <c r="AT150" s="964"/>
      <c r="AU150" s="964"/>
      <c r="AV150" s="964"/>
    </row>
    <row r="151" spans="1:48" ht="70.5" customHeight="1" x14ac:dyDescent="0.25">
      <c r="B151" s="15">
        <v>145</v>
      </c>
      <c r="C151" s="437"/>
      <c r="D151" s="437" t="str">
        <f t="shared" si="25"/>
        <v>2013</v>
      </c>
      <c r="E151" s="139" t="s">
        <v>258</v>
      </c>
      <c r="F151" s="132" t="s">
        <v>259</v>
      </c>
      <c r="G151" s="137">
        <v>899999061</v>
      </c>
      <c r="H151" s="993" t="s">
        <v>494</v>
      </c>
      <c r="I151" s="140">
        <v>0</v>
      </c>
      <c r="J151" s="134" t="s">
        <v>1088</v>
      </c>
      <c r="K151" s="157">
        <v>2013</v>
      </c>
      <c r="L151" s="546" t="s">
        <v>1088</v>
      </c>
      <c r="M151" s="138">
        <v>41696</v>
      </c>
      <c r="N151" s="138">
        <v>42425</v>
      </c>
      <c r="O151" s="127">
        <f>COUNTA(Modificaciones!I151,Modificaciones!K151,Modificaciones!M151,Modificaciones!O151)</f>
        <v>0</v>
      </c>
      <c r="P151" s="128">
        <f>VLOOKUP(E151,Modificaciones!$B$7:$Q$300,16,0)</f>
        <v>0</v>
      </c>
      <c r="Q151" s="129">
        <f>COUNTA(Modificaciones!S151,Modificaciones!U151,Modificaciones!W151,Modificaciones!Y151)</f>
        <v>0</v>
      </c>
      <c r="R151" s="130" t="str">
        <f>IF(Modificaciones!Z151=0,"",VLOOKUP(E151,Modificaciones!$B$7:$AA$400,25,0))</f>
        <v/>
      </c>
      <c r="S151" s="131" t="str">
        <f>IF(Modificaciones!AA151=0,"",VLOOKUP(E151,Modificaciones!$B$7:$AA$400,26,0))</f>
        <v/>
      </c>
      <c r="T151" s="7">
        <f t="shared" si="26"/>
        <v>42425</v>
      </c>
      <c r="U151" s="62">
        <f t="shared" si="27"/>
        <v>0</v>
      </c>
      <c r="V151" s="172">
        <f>VLOOKUP(E151,Modificaciones!$B$7:$AU$300,46,0)</f>
        <v>0</v>
      </c>
      <c r="W151" s="93">
        <f t="shared" si="28"/>
        <v>0</v>
      </c>
      <c r="X151" s="312"/>
      <c r="Y151" s="42" t="e">
        <f t="shared" si="29"/>
        <v>#DIV/0!</v>
      </c>
      <c r="Z151" s="42">
        <f t="shared" ca="1" si="30"/>
        <v>1</v>
      </c>
      <c r="AA151" s="43" t="e">
        <f t="shared" ca="1" si="31"/>
        <v>#DIV/0!</v>
      </c>
      <c r="AB151" s="202" t="str">
        <f t="shared" ca="1" si="32"/>
        <v/>
      </c>
      <c r="AC151" s="44" t="e">
        <f t="shared" si="33"/>
        <v>#DIV/0!</v>
      </c>
      <c r="AD151" s="44"/>
      <c r="AE151" s="173"/>
      <c r="AF151" s="301"/>
      <c r="AG151" s="173"/>
      <c r="AH151" s="281" t="s">
        <v>560</v>
      </c>
      <c r="AI151" s="174"/>
      <c r="AJ151" s="173" t="s">
        <v>901</v>
      </c>
      <c r="AK151" s="181" t="str">
        <f t="shared" ca="1" si="34"/>
        <v>TERMINO</v>
      </c>
      <c r="AL151" s="181" t="s">
        <v>582</v>
      </c>
      <c r="AM151" s="176" t="s">
        <v>390</v>
      </c>
      <c r="AN151" s="848" t="str">
        <f>IFERROR(VLOOKUP(E151,'liquidaciones '!$B$2:$C$1048576,2,0),"NO")</f>
        <v>NO</v>
      </c>
      <c r="AO151" s="944" t="str">
        <f>IFERROR(VLOOKUP(E151,'liquidaciones '!$B$2:$I$1048576,8,0),"")</f>
        <v/>
      </c>
      <c r="AP151" s="338"/>
      <c r="AQ151" s="177" t="str">
        <f t="shared" ca="1" si="35"/>
        <v>NO</v>
      </c>
      <c r="AR151" s="177" t="s">
        <v>1992</v>
      </c>
      <c r="AS151" s="433"/>
      <c r="AT151" s="964"/>
      <c r="AU151" s="964"/>
      <c r="AV151" s="964"/>
    </row>
    <row r="152" spans="1:48" ht="94.5" customHeight="1" x14ac:dyDescent="0.25">
      <c r="A152" s="15">
        <v>1</v>
      </c>
      <c r="B152" s="15">
        <v>146</v>
      </c>
      <c r="C152" s="437"/>
      <c r="D152" s="437" t="str">
        <f t="shared" si="25"/>
        <v>2012</v>
      </c>
      <c r="E152" s="132" t="s">
        <v>76</v>
      </c>
      <c r="F152" s="132" t="s">
        <v>77</v>
      </c>
      <c r="G152" s="143">
        <v>860506170</v>
      </c>
      <c r="H152" s="993" t="s">
        <v>417</v>
      </c>
      <c r="I152" s="134">
        <v>2689440000</v>
      </c>
      <c r="J152" s="850" t="s">
        <v>2842</v>
      </c>
      <c r="K152" s="152">
        <v>2012</v>
      </c>
      <c r="L152" s="546" t="s">
        <v>1088</v>
      </c>
      <c r="M152" s="136">
        <v>41263</v>
      </c>
      <c r="N152" s="136">
        <v>41993</v>
      </c>
      <c r="O152" s="127">
        <f>COUNTA(Modificaciones!I152,Modificaciones!K152,Modificaciones!M152,Modificaciones!O152)</f>
        <v>4</v>
      </c>
      <c r="P152" s="128">
        <f>VLOOKUP(E152,Modificaciones!$B$7:$Q$300,16,0)</f>
        <v>1210934978</v>
      </c>
      <c r="Q152" s="129">
        <f>COUNTA(Modificaciones!S152,Modificaciones!U152,Modificaciones!W152,Modificaciones!Y152)</f>
        <v>4</v>
      </c>
      <c r="R152" s="130" t="str">
        <f>IF(Modificaciones!Z152=0,"",VLOOKUP(E152,Modificaciones!$B$7:$AA$400,25,0))</f>
        <v>5 años y 6 meses y 10 dias calendario</v>
      </c>
      <c r="S152" s="131">
        <f>IF(Modificaciones!AA152=0,"",VLOOKUP(E152,Modificaciones!$B$7:$AA$400,26,0))</f>
        <v>43281</v>
      </c>
      <c r="T152" s="7">
        <f t="shared" si="26"/>
        <v>43281</v>
      </c>
      <c r="U152" s="62">
        <f t="shared" si="27"/>
        <v>3900374978</v>
      </c>
      <c r="V152" s="172">
        <f>VLOOKUP(E152,Modificaciones!$B$7:$AU$300,46,0)</f>
        <v>680003244</v>
      </c>
      <c r="W152" s="93">
        <f t="shared" si="28"/>
        <v>3220371734</v>
      </c>
      <c r="X152" s="309"/>
      <c r="Y152" s="42">
        <f t="shared" si="29"/>
        <v>0.17434304338314827</v>
      </c>
      <c r="Z152" s="42">
        <f t="shared" ca="1" si="30"/>
        <v>1</v>
      </c>
      <c r="AA152" s="43">
        <f t="shared" ca="1" si="31"/>
        <v>0.82565695661685168</v>
      </c>
      <c r="AB152" s="202" t="str">
        <f t="shared" ca="1" si="32"/>
        <v/>
      </c>
      <c r="AC152" s="44" t="str">
        <f t="shared" si="33"/>
        <v>NO</v>
      </c>
      <c r="AD152" s="44"/>
      <c r="AE152" s="173" t="s">
        <v>1256</v>
      </c>
      <c r="AF152" s="301" t="s">
        <v>1167</v>
      </c>
      <c r="AG152" s="173" t="s">
        <v>1442</v>
      </c>
      <c r="AH152" s="281" t="s">
        <v>560</v>
      </c>
      <c r="AI152" s="174"/>
      <c r="AJ152" s="173" t="s">
        <v>600</v>
      </c>
      <c r="AK152" s="181" t="str">
        <f t="shared" ca="1" si="34"/>
        <v>TERMINO</v>
      </c>
      <c r="AL152" s="181" t="s">
        <v>582</v>
      </c>
      <c r="AM152" s="176" t="s">
        <v>390</v>
      </c>
      <c r="AN152" s="848" t="str">
        <f>IFERROR(VLOOKUP(E152,'liquidaciones '!$B$2:$C$1048576,2,0),"NO")</f>
        <v>LIQUIDADO</v>
      </c>
      <c r="AO152" s="944" t="str">
        <f>IFERROR(VLOOKUP(E152,'liquidaciones '!$B$2:$I$1048576,8,0),"")</f>
        <v>JUAN DIEGO ESPITIA</v>
      </c>
      <c r="AP152" s="338"/>
      <c r="AQ152" s="177" t="str">
        <f t="shared" ca="1" si="35"/>
        <v>SI</v>
      </c>
      <c r="AR152" s="966" t="s">
        <v>4234</v>
      </c>
      <c r="AS152" s="966"/>
      <c r="AT152" s="966" t="s">
        <v>3947</v>
      </c>
      <c r="AU152" s="964"/>
      <c r="AV152" s="964"/>
    </row>
    <row r="153" spans="1:48" ht="63.75" customHeight="1" x14ac:dyDescent="0.25">
      <c r="B153" s="15">
        <v>147</v>
      </c>
      <c r="C153" s="437"/>
      <c r="D153" s="437" t="str">
        <f t="shared" si="25"/>
        <v>2013</v>
      </c>
      <c r="E153" s="139" t="s">
        <v>234</v>
      </c>
      <c r="F153" s="132" t="s">
        <v>235</v>
      </c>
      <c r="G153" s="133">
        <v>830110570</v>
      </c>
      <c r="H153" s="993" t="s">
        <v>367</v>
      </c>
      <c r="I153" s="140">
        <v>430036764</v>
      </c>
      <c r="J153" s="850" t="s">
        <v>4592</v>
      </c>
      <c r="K153" s="157">
        <v>2013</v>
      </c>
      <c r="L153" s="546" t="s">
        <v>1088</v>
      </c>
      <c r="M153" s="138">
        <v>41659</v>
      </c>
      <c r="N153" s="138">
        <v>41748</v>
      </c>
      <c r="O153" s="127">
        <f>COUNTA(Modificaciones!I153,Modificaciones!K153,Modificaciones!M153,Modificaciones!O153)</f>
        <v>0</v>
      </c>
      <c r="P153" s="128">
        <f>VLOOKUP(E153,Modificaciones!$B$7:$Q$300,16,0)</f>
        <v>0</v>
      </c>
      <c r="Q153" s="129">
        <f>COUNTA(Modificaciones!S153,Modificaciones!U153,Modificaciones!W153,Modificaciones!Y153)</f>
        <v>0</v>
      </c>
      <c r="R153" s="130" t="str">
        <f>IF(Modificaciones!Z153=0,"",VLOOKUP(E153,Modificaciones!$B$7:$AA$400,25,0))</f>
        <v/>
      </c>
      <c r="S153" s="131" t="str">
        <f>IF(Modificaciones!AA153=0,"",VLOOKUP(E153,Modificaciones!$B$7:$AA$400,26,0))</f>
        <v/>
      </c>
      <c r="T153" s="7">
        <f t="shared" si="26"/>
        <v>41748</v>
      </c>
      <c r="U153" s="62">
        <f t="shared" si="27"/>
        <v>430036764</v>
      </c>
      <c r="V153" s="172">
        <f>VLOOKUP(E153,Modificaciones!$B$7:$AU$300,46,0)</f>
        <v>430036600</v>
      </c>
      <c r="W153" s="93">
        <f t="shared" si="28"/>
        <v>164</v>
      </c>
      <c r="X153" s="312" t="s">
        <v>1410</v>
      </c>
      <c r="Y153" s="42">
        <f t="shared" si="29"/>
        <v>0.99999961863725684</v>
      </c>
      <c r="Z153" s="42">
        <f t="shared" ca="1" si="30"/>
        <v>1</v>
      </c>
      <c r="AA153" s="43">
        <f t="shared" ca="1" si="31"/>
        <v>3.8136274316258323E-7</v>
      </c>
      <c r="AB153" s="202" t="str">
        <f t="shared" ca="1" si="32"/>
        <v/>
      </c>
      <c r="AC153" s="44" t="str">
        <f t="shared" si="33"/>
        <v>SI</v>
      </c>
      <c r="AD153" s="44"/>
      <c r="AE153" s="173" t="s">
        <v>1257</v>
      </c>
      <c r="AF153" s="173" t="s">
        <v>1306</v>
      </c>
      <c r="AG153" s="173" t="s">
        <v>1439</v>
      </c>
      <c r="AH153" s="281" t="s">
        <v>560</v>
      </c>
      <c r="AI153" s="174"/>
      <c r="AJ153" s="173" t="s">
        <v>901</v>
      </c>
      <c r="AK153" s="181" t="str">
        <f t="shared" ca="1" si="34"/>
        <v>TERMINO</v>
      </c>
      <c r="AL153" s="173" t="s">
        <v>575</v>
      </c>
      <c r="AM153" s="176" t="s">
        <v>391</v>
      </c>
      <c r="AN153" s="848" t="str">
        <f>IFERROR(VLOOKUP(E153,'liquidaciones '!$B$2:$C$1048576,2,0),"NO")</f>
        <v>LIQUIDADO</v>
      </c>
      <c r="AO153" s="944">
        <f>IFERROR(VLOOKUP(E153,'liquidaciones '!$B$2:$I$1048576,8,0),"")</f>
        <v>0</v>
      </c>
      <c r="AP153" s="338">
        <v>42059</v>
      </c>
      <c r="AQ153" s="177" t="str">
        <f t="shared" ca="1" si="35"/>
        <v>NO</v>
      </c>
      <c r="AR153" s="177" t="s">
        <v>981</v>
      </c>
      <c r="AS153" s="433"/>
      <c r="AT153" s="964"/>
      <c r="AU153" s="964"/>
      <c r="AV153" s="964"/>
    </row>
    <row r="154" spans="1:48" ht="47.25" customHeight="1" x14ac:dyDescent="0.25">
      <c r="B154" s="15">
        <v>148</v>
      </c>
      <c r="C154" s="437"/>
      <c r="D154" s="437" t="str">
        <f t="shared" si="25"/>
        <v>2013</v>
      </c>
      <c r="E154" s="139" t="s">
        <v>214</v>
      </c>
      <c r="F154" s="132" t="s">
        <v>31</v>
      </c>
      <c r="G154" s="133">
        <v>80725449</v>
      </c>
      <c r="H154" s="993" t="s">
        <v>495</v>
      </c>
      <c r="I154" s="140">
        <v>6000000</v>
      </c>
      <c r="J154" s="850" t="s">
        <v>4955</v>
      </c>
      <c r="K154" s="157">
        <v>2013</v>
      </c>
      <c r="L154" s="546" t="s">
        <v>1088</v>
      </c>
      <c r="M154" s="138">
        <v>41620</v>
      </c>
      <c r="N154" s="138">
        <v>41681</v>
      </c>
      <c r="O154" s="127">
        <f>COUNTA(Modificaciones!I154,Modificaciones!K154,Modificaciones!M154,Modificaciones!O154)</f>
        <v>0</v>
      </c>
      <c r="P154" s="128">
        <f>VLOOKUP(E154,Modificaciones!$B$7:$Q$300,16,0)</f>
        <v>0</v>
      </c>
      <c r="Q154" s="129">
        <f>COUNTA(Modificaciones!S154,Modificaciones!U154,Modificaciones!W154,Modificaciones!Y154)</f>
        <v>0</v>
      </c>
      <c r="R154" s="130" t="str">
        <f>IF(Modificaciones!Z154=0,"",VLOOKUP(E154,Modificaciones!$B$7:$AA$400,25,0))</f>
        <v/>
      </c>
      <c r="S154" s="131" t="str">
        <f>IF(Modificaciones!AA154=0,"",VLOOKUP(E154,Modificaciones!$B$7:$AA$400,26,0))</f>
        <v/>
      </c>
      <c r="T154" s="7">
        <f t="shared" si="26"/>
        <v>41681</v>
      </c>
      <c r="U154" s="62">
        <f t="shared" si="27"/>
        <v>6000000</v>
      </c>
      <c r="V154" s="172">
        <f>VLOOKUP(E154,Modificaciones!$B$7:$AU$300,46,0)</f>
        <v>6000000</v>
      </c>
      <c r="W154" s="93">
        <f t="shared" si="28"/>
        <v>0</v>
      </c>
      <c r="X154" s="309" t="s">
        <v>1895</v>
      </c>
      <c r="Y154" s="42">
        <f t="shared" si="29"/>
        <v>1</v>
      </c>
      <c r="Z154" s="42">
        <f t="shared" ca="1" si="30"/>
        <v>1</v>
      </c>
      <c r="AA154" s="43">
        <f t="shared" ca="1" si="31"/>
        <v>0</v>
      </c>
      <c r="AB154" s="202" t="str">
        <f t="shared" ca="1" si="32"/>
        <v/>
      </c>
      <c r="AC154" s="44" t="str">
        <f t="shared" si="33"/>
        <v>SI</v>
      </c>
      <c r="AD154" s="44"/>
      <c r="AE154" s="173" t="s">
        <v>1256</v>
      </c>
      <c r="AF154" s="173" t="s">
        <v>1307</v>
      </c>
      <c r="AG154" s="173"/>
      <c r="AH154" s="281"/>
      <c r="AI154" s="174"/>
      <c r="AJ154" s="173" t="s">
        <v>901</v>
      </c>
      <c r="AK154" s="181" t="str">
        <f t="shared" ca="1" si="34"/>
        <v>TERMINO</v>
      </c>
      <c r="AL154" s="181" t="s">
        <v>582</v>
      </c>
      <c r="AM154" s="176" t="s">
        <v>391</v>
      </c>
      <c r="AN154" s="848" t="str">
        <f>IFERROR(VLOOKUP(E154,'liquidaciones '!$B$2:$C$1048576,2,0),"NO")</f>
        <v>LIQUIDADO</v>
      </c>
      <c r="AO154" s="944">
        <f>IFERROR(VLOOKUP(E154,'liquidaciones '!$B$2:$I$1048576,8,0),"")</f>
        <v>0</v>
      </c>
      <c r="AP154" s="338">
        <v>41817</v>
      </c>
      <c r="AQ154" s="177" t="str">
        <f t="shared" ca="1" si="35"/>
        <v>NO</v>
      </c>
      <c r="AR154" s="177" t="s">
        <v>1056</v>
      </c>
      <c r="AS154" s="433"/>
      <c r="AT154" s="964"/>
      <c r="AU154" s="964"/>
      <c r="AV154" s="964"/>
    </row>
    <row r="155" spans="1:48" ht="47.25" customHeight="1" x14ac:dyDescent="0.25">
      <c r="B155" s="15">
        <v>149</v>
      </c>
      <c r="C155" s="437"/>
      <c r="D155" s="437" t="str">
        <f t="shared" si="25"/>
        <v>2013</v>
      </c>
      <c r="E155" s="139" t="s">
        <v>232</v>
      </c>
      <c r="F155" s="132" t="s">
        <v>233</v>
      </c>
      <c r="G155" s="133">
        <v>860536079</v>
      </c>
      <c r="H155" s="993" t="s">
        <v>496</v>
      </c>
      <c r="I155" s="140">
        <v>7937504</v>
      </c>
      <c r="J155" s="850" t="s">
        <v>4593</v>
      </c>
      <c r="K155" s="157">
        <v>2013</v>
      </c>
      <c r="L155" s="546" t="s">
        <v>1088</v>
      </c>
      <c r="M155" s="138">
        <v>41641</v>
      </c>
      <c r="N155" s="138">
        <v>42005</v>
      </c>
      <c r="O155" s="127">
        <f>COUNTA(Modificaciones!I155,Modificaciones!K155,Modificaciones!M155,Modificaciones!O155)</f>
        <v>0</v>
      </c>
      <c r="P155" s="128">
        <f>VLOOKUP(E155,Modificaciones!$B$7:$Q$300,16,0)</f>
        <v>0</v>
      </c>
      <c r="Q155" s="129">
        <f>COUNTA(Modificaciones!S155,Modificaciones!U155,Modificaciones!W155,Modificaciones!Y155)</f>
        <v>0</v>
      </c>
      <c r="R155" s="130" t="str">
        <f>IF(Modificaciones!Z155=0,"",VLOOKUP(E155,Modificaciones!$B$7:$AA$400,25,0))</f>
        <v/>
      </c>
      <c r="S155" s="131" t="str">
        <f>IF(Modificaciones!AA155=0,"",VLOOKUP(E155,Modificaciones!$B$7:$AA$400,26,0))</f>
        <v/>
      </c>
      <c r="T155" s="7">
        <f t="shared" si="26"/>
        <v>42005</v>
      </c>
      <c r="U155" s="62">
        <f t="shared" si="27"/>
        <v>7937504</v>
      </c>
      <c r="V155" s="172">
        <f>VLOOKUP(E155,Modificaciones!$B$7:$AU$300,46,0)</f>
        <v>5992064</v>
      </c>
      <c r="W155" s="93">
        <f t="shared" si="28"/>
        <v>1945440</v>
      </c>
      <c r="X155" s="312" t="s">
        <v>1411</v>
      </c>
      <c r="Y155" s="42">
        <f t="shared" si="29"/>
        <v>0.75490532036267322</v>
      </c>
      <c r="Z155" s="42">
        <f t="shared" ca="1" si="30"/>
        <v>1</v>
      </c>
      <c r="AA155" s="43">
        <f t="shared" ca="1" si="31"/>
        <v>0.24509467963732678</v>
      </c>
      <c r="AB155" s="202" t="str">
        <f t="shared" ca="1" si="32"/>
        <v/>
      </c>
      <c r="AC155" s="44" t="str">
        <f t="shared" si="33"/>
        <v>NO</v>
      </c>
      <c r="AD155" s="44"/>
      <c r="AE155" s="173" t="s">
        <v>1256</v>
      </c>
      <c r="AF155" s="301" t="s">
        <v>1168</v>
      </c>
      <c r="AG155" s="173" t="s">
        <v>1442</v>
      </c>
      <c r="AH155" s="281" t="s">
        <v>560</v>
      </c>
      <c r="AI155" s="174" t="s">
        <v>1380</v>
      </c>
      <c r="AJ155" s="173" t="s">
        <v>901</v>
      </c>
      <c r="AK155" s="181" t="str">
        <f t="shared" ca="1" si="34"/>
        <v>TERMINO</v>
      </c>
      <c r="AL155" s="181" t="s">
        <v>576</v>
      </c>
      <c r="AM155" s="176" t="s">
        <v>390</v>
      </c>
      <c r="AN155" s="848" t="str">
        <f>IFERROR(VLOOKUP(E155,'liquidaciones '!$B$2:$C$1048576,2,0),"NO")</f>
        <v>LIQUIDADO</v>
      </c>
      <c r="AO155" s="944">
        <f>IFERROR(VLOOKUP(E155,'liquidaciones '!$B$2:$I$1048576,8,0),"")</f>
        <v>0</v>
      </c>
      <c r="AP155" s="338"/>
      <c r="AQ155" s="177" t="str">
        <f t="shared" ca="1" si="35"/>
        <v>NO</v>
      </c>
      <c r="AR155" s="177" t="s">
        <v>1510</v>
      </c>
      <c r="AS155" s="433"/>
      <c r="AT155" s="964"/>
      <c r="AU155" s="964"/>
      <c r="AV155" s="964"/>
    </row>
    <row r="156" spans="1:48" ht="47.25" customHeight="1" x14ac:dyDescent="0.25">
      <c r="B156" s="15">
        <v>150</v>
      </c>
      <c r="C156" s="437"/>
      <c r="D156" s="437" t="str">
        <f t="shared" si="25"/>
        <v>2013</v>
      </c>
      <c r="E156" s="139" t="s">
        <v>215</v>
      </c>
      <c r="F156" s="132" t="s">
        <v>1596</v>
      </c>
      <c r="G156" s="133">
        <v>79106019</v>
      </c>
      <c r="H156" s="993" t="s">
        <v>1446</v>
      </c>
      <c r="I156" s="140">
        <v>15000000</v>
      </c>
      <c r="J156" s="134" t="s">
        <v>1088</v>
      </c>
      <c r="K156" s="157">
        <v>2013</v>
      </c>
      <c r="L156" s="546" t="s">
        <v>1088</v>
      </c>
      <c r="M156" s="138">
        <v>41612</v>
      </c>
      <c r="N156" s="138">
        <v>41658</v>
      </c>
      <c r="O156" s="127">
        <f>COUNTA(Modificaciones!I156,Modificaciones!K156,Modificaciones!M156,Modificaciones!O156)</f>
        <v>0</v>
      </c>
      <c r="P156" s="128">
        <f>VLOOKUP(E156,Modificaciones!$B$7:$Q$300,16,0)</f>
        <v>0</v>
      </c>
      <c r="Q156" s="129">
        <f>COUNTA(Modificaciones!S156,Modificaciones!U156,Modificaciones!W156,Modificaciones!Y156)</f>
        <v>0</v>
      </c>
      <c r="R156" s="130" t="str">
        <f>IF(Modificaciones!Z156=0,"",VLOOKUP(E156,Modificaciones!$B$7:$AA$400,25,0))</f>
        <v/>
      </c>
      <c r="S156" s="131" t="str">
        <f>IF(Modificaciones!AA156=0,"",VLOOKUP(E156,Modificaciones!$B$7:$AA$400,26,0))</f>
        <v/>
      </c>
      <c r="T156" s="7">
        <f t="shared" si="26"/>
        <v>41658</v>
      </c>
      <c r="U156" s="62">
        <f t="shared" si="27"/>
        <v>15000000</v>
      </c>
      <c r="V156" s="172">
        <f>VLOOKUP(E156,Modificaciones!$B$7:$AU$300,46,0)</f>
        <v>15000000</v>
      </c>
      <c r="W156" s="93">
        <f t="shared" si="28"/>
        <v>0</v>
      </c>
      <c r="X156" s="312" t="s">
        <v>1412</v>
      </c>
      <c r="Y156" s="42">
        <f t="shared" si="29"/>
        <v>1</v>
      </c>
      <c r="Z156" s="42">
        <f t="shared" ca="1" si="30"/>
        <v>1</v>
      </c>
      <c r="AA156" s="43">
        <f t="shared" ca="1" si="31"/>
        <v>0</v>
      </c>
      <c r="AB156" s="202" t="str">
        <f t="shared" ca="1" si="32"/>
        <v/>
      </c>
      <c r="AC156" s="44" t="str">
        <f t="shared" si="33"/>
        <v>SI</v>
      </c>
      <c r="AD156" s="44"/>
      <c r="AE156" s="173" t="s">
        <v>1256</v>
      </c>
      <c r="AF156" s="281" t="s">
        <v>1488</v>
      </c>
      <c r="AG156" s="173" t="s">
        <v>1442</v>
      </c>
      <c r="AH156" s="281" t="s">
        <v>560</v>
      </c>
      <c r="AI156" s="305" t="s">
        <v>1380</v>
      </c>
      <c r="AJ156" s="173" t="s">
        <v>901</v>
      </c>
      <c r="AK156" s="181" t="str">
        <f t="shared" ca="1" si="34"/>
        <v>TERMINO</v>
      </c>
      <c r="AL156" s="181" t="s">
        <v>576</v>
      </c>
      <c r="AM156" s="176" t="s">
        <v>390</v>
      </c>
      <c r="AN156" s="848" t="str">
        <f>IFERROR(VLOOKUP(E156,'liquidaciones '!$B$2:$C$1048576,2,0),"NO")</f>
        <v>LIQUIDADO</v>
      </c>
      <c r="AO156" s="944">
        <f>IFERROR(VLOOKUP(E156,'liquidaciones '!$B$2:$I$1048576,8,0),"")</f>
        <v>0</v>
      </c>
      <c r="AP156" s="338">
        <v>42011</v>
      </c>
      <c r="AQ156" s="177" t="str">
        <f t="shared" ca="1" si="35"/>
        <v>NO</v>
      </c>
      <c r="AR156" s="177" t="s">
        <v>1165</v>
      </c>
      <c r="AS156" s="433"/>
      <c r="AT156" s="964"/>
      <c r="AU156" s="964"/>
      <c r="AV156" s="964"/>
    </row>
    <row r="157" spans="1:48" ht="47.25" customHeight="1" x14ac:dyDescent="0.25">
      <c r="B157" s="15">
        <v>151</v>
      </c>
      <c r="C157" s="437"/>
      <c r="D157" s="437" t="str">
        <f t="shared" si="25"/>
        <v>2013</v>
      </c>
      <c r="E157" s="343" t="s">
        <v>216</v>
      </c>
      <c r="F157" s="132" t="s">
        <v>217</v>
      </c>
      <c r="G157" s="133">
        <v>800064773</v>
      </c>
      <c r="H157" s="993" t="s">
        <v>1128</v>
      </c>
      <c r="I157" s="140">
        <v>452974000</v>
      </c>
      <c r="J157" s="850" t="s">
        <v>4072</v>
      </c>
      <c r="K157" s="157">
        <v>2013</v>
      </c>
      <c r="L157" s="546" t="s">
        <v>1088</v>
      </c>
      <c r="M157" s="138">
        <v>41621</v>
      </c>
      <c r="N157" s="138">
        <v>41985</v>
      </c>
      <c r="O157" s="127">
        <f>COUNTA(Modificaciones!I157,Modificaciones!K157,Modificaciones!M157,Modificaciones!O157)</f>
        <v>0</v>
      </c>
      <c r="P157" s="128">
        <f>VLOOKUP(E157,Modificaciones!$B$7:$Q$300,16,0)</f>
        <v>0</v>
      </c>
      <c r="Q157" s="129">
        <f>COUNTA(Modificaciones!S157,Modificaciones!U157,Modificaciones!W157,Modificaciones!Y157)</f>
        <v>0</v>
      </c>
      <c r="R157" s="130" t="str">
        <f>IF(Modificaciones!Z157=0,"",VLOOKUP(E157,Modificaciones!$B$7:$AA$400,25,0))</f>
        <v/>
      </c>
      <c r="S157" s="131" t="str">
        <f>IF(Modificaciones!AA157=0,"",VLOOKUP(E157,Modificaciones!$B$7:$AA$400,26,0))</f>
        <v/>
      </c>
      <c r="T157" s="7">
        <f t="shared" si="26"/>
        <v>41985</v>
      </c>
      <c r="U157" s="62">
        <f t="shared" si="27"/>
        <v>452974000</v>
      </c>
      <c r="V157" s="172">
        <f>VLOOKUP(E157,Modificaciones!$B$7:$AU$300,46,0)</f>
        <v>452973998</v>
      </c>
      <c r="W157" s="93">
        <f t="shared" si="28"/>
        <v>2</v>
      </c>
      <c r="X157" s="309" t="s">
        <v>1095</v>
      </c>
      <c r="Y157" s="42">
        <f t="shared" si="29"/>
        <v>0.99999999558473551</v>
      </c>
      <c r="Z157" s="42">
        <f t="shared" ca="1" si="30"/>
        <v>1</v>
      </c>
      <c r="AA157" s="43">
        <f t="shared" ca="1" si="31"/>
        <v>4.4152644873562963E-9</v>
      </c>
      <c r="AB157" s="202" t="str">
        <f t="shared" ca="1" si="32"/>
        <v/>
      </c>
      <c r="AC157" s="44" t="str">
        <f t="shared" si="33"/>
        <v>SI</v>
      </c>
      <c r="AD157" s="44"/>
      <c r="AE157" s="173" t="s">
        <v>1256</v>
      </c>
      <c r="AF157" s="301" t="s">
        <v>1129</v>
      </c>
      <c r="AG157" s="173" t="s">
        <v>1430</v>
      </c>
      <c r="AH157" s="281" t="s">
        <v>564</v>
      </c>
      <c r="AI157" s="174" t="s">
        <v>1381</v>
      </c>
      <c r="AJ157" s="173" t="s">
        <v>901</v>
      </c>
      <c r="AK157" s="181" t="str">
        <f t="shared" ca="1" si="34"/>
        <v>TERMINO</v>
      </c>
      <c r="AL157" s="173" t="s">
        <v>575</v>
      </c>
      <c r="AM157" s="176" t="s">
        <v>390</v>
      </c>
      <c r="AN157" s="848" t="str">
        <f>IFERROR(VLOOKUP(E157,'liquidaciones '!$B$2:$C$1048576,2,0),"NO")</f>
        <v>LIQUIDADO</v>
      </c>
      <c r="AO157" s="944">
        <f>IFERROR(VLOOKUP(E157,'liquidaciones '!$B$2:$I$1048576,8,0),"")</f>
        <v>0</v>
      </c>
      <c r="AP157" s="338">
        <v>42256</v>
      </c>
      <c r="AQ157" s="177" t="str">
        <f t="shared" ca="1" si="35"/>
        <v>NO</v>
      </c>
      <c r="AR157" s="177" t="s">
        <v>982</v>
      </c>
      <c r="AS157" s="433"/>
      <c r="AT157" s="964"/>
      <c r="AU157" s="964"/>
      <c r="AV157" s="964"/>
    </row>
    <row r="158" spans="1:48" ht="47.25" customHeight="1" x14ac:dyDescent="0.25">
      <c r="B158" s="15">
        <v>152</v>
      </c>
      <c r="C158" s="437"/>
      <c r="D158" s="437" t="str">
        <f t="shared" si="25"/>
        <v>2013</v>
      </c>
      <c r="E158" s="139" t="s">
        <v>218</v>
      </c>
      <c r="F158" s="132" t="s">
        <v>219</v>
      </c>
      <c r="G158" s="133">
        <v>830113914</v>
      </c>
      <c r="H158" s="993" t="s">
        <v>366</v>
      </c>
      <c r="I158" s="140">
        <v>95000000</v>
      </c>
      <c r="J158" s="134" t="s">
        <v>1088</v>
      </c>
      <c r="K158" s="157">
        <v>2013</v>
      </c>
      <c r="L158" s="546" t="s">
        <v>1088</v>
      </c>
      <c r="M158" s="138">
        <v>41647</v>
      </c>
      <c r="N158" s="138">
        <v>41889</v>
      </c>
      <c r="O158" s="127">
        <f>COUNTA(Modificaciones!I158,Modificaciones!K158,Modificaciones!M158,Modificaciones!O158)</f>
        <v>0</v>
      </c>
      <c r="P158" s="128">
        <f>VLOOKUP(E158,Modificaciones!$B$7:$Q$300,16,0)</f>
        <v>0</v>
      </c>
      <c r="Q158" s="129">
        <f>COUNTA(Modificaciones!S158,Modificaciones!U158,Modificaciones!W158,Modificaciones!Y158)</f>
        <v>1</v>
      </c>
      <c r="R158" s="130" t="str">
        <f>IF(Modificaciones!Z158=0,"",VLOOKUP(E158,Modificaciones!$B$7:$AA$400,25,0))</f>
        <v>3 meses</v>
      </c>
      <c r="S158" s="131">
        <f>IF(Modificaciones!AA158=0,"",VLOOKUP(E158,Modificaciones!$B$7:$AA$400,26,0))</f>
        <v>41980</v>
      </c>
      <c r="T158" s="7">
        <f t="shared" si="26"/>
        <v>41980</v>
      </c>
      <c r="U158" s="62">
        <f t="shared" si="27"/>
        <v>95000000</v>
      </c>
      <c r="V158" s="172">
        <f>VLOOKUP(E158,Modificaciones!$B$7:$AU$300,46,0)</f>
        <v>88983693</v>
      </c>
      <c r="W158" s="93">
        <f t="shared" si="28"/>
        <v>6016307</v>
      </c>
      <c r="X158" s="309" t="s">
        <v>1095</v>
      </c>
      <c r="Y158" s="42">
        <f t="shared" si="29"/>
        <v>0.936670452631579</v>
      </c>
      <c r="Z158" s="42">
        <f t="shared" ca="1" si="30"/>
        <v>1</v>
      </c>
      <c r="AA158" s="43">
        <f t="shared" ca="1" si="31"/>
        <v>6.3329547368421002E-2</v>
      </c>
      <c r="AB158" s="202" t="str">
        <f t="shared" ca="1" si="32"/>
        <v/>
      </c>
      <c r="AC158" s="44" t="str">
        <f t="shared" si="33"/>
        <v>NO</v>
      </c>
      <c r="AD158" s="44"/>
      <c r="AE158" s="173" t="s">
        <v>1256</v>
      </c>
      <c r="AF158" s="304" t="s">
        <v>1130</v>
      </c>
      <c r="AG158" s="173" t="s">
        <v>1442</v>
      </c>
      <c r="AH158" s="281" t="s">
        <v>560</v>
      </c>
      <c r="AI158" s="179" t="s">
        <v>1379</v>
      </c>
      <c r="AJ158" s="173" t="s">
        <v>901</v>
      </c>
      <c r="AK158" s="181" t="str">
        <f t="shared" ca="1" si="34"/>
        <v>TERMINO</v>
      </c>
      <c r="AL158" s="173" t="s">
        <v>575</v>
      </c>
      <c r="AM158" s="176" t="s">
        <v>390</v>
      </c>
      <c r="AN158" s="848" t="str">
        <f>IFERROR(VLOOKUP(E158,'liquidaciones '!$B$2:$C$1048576,2,0),"NO")</f>
        <v>EN TRÁMITE</v>
      </c>
      <c r="AO158" s="944">
        <f>IFERROR(VLOOKUP(E158,'liquidaciones '!$B$2:$I$1048576,8,0),"")</f>
        <v>0</v>
      </c>
      <c r="AP158" s="338"/>
      <c r="AQ158" s="177" t="str">
        <f t="shared" ca="1" si="35"/>
        <v>NO</v>
      </c>
      <c r="AR158" s="177" t="s">
        <v>1510</v>
      </c>
      <c r="AS158" s="433"/>
      <c r="AT158" s="964"/>
      <c r="AU158" s="964"/>
      <c r="AV158" s="964"/>
    </row>
    <row r="159" spans="1:48" ht="47.25" customHeight="1" x14ac:dyDescent="0.25">
      <c r="B159" s="15">
        <v>153</v>
      </c>
      <c r="C159" s="437"/>
      <c r="D159" s="437" t="str">
        <f t="shared" si="25"/>
        <v>2013</v>
      </c>
      <c r="E159" s="139" t="s">
        <v>220</v>
      </c>
      <c r="F159" s="132" t="s">
        <v>1149</v>
      </c>
      <c r="G159" s="133">
        <v>860007336</v>
      </c>
      <c r="H159" s="993" t="s">
        <v>497</v>
      </c>
      <c r="I159" s="140">
        <v>63128000</v>
      </c>
      <c r="J159" s="850" t="s">
        <v>4591</v>
      </c>
      <c r="K159" s="157">
        <v>2013</v>
      </c>
      <c r="L159" s="546" t="s">
        <v>1088</v>
      </c>
      <c r="M159" s="138">
        <v>41626</v>
      </c>
      <c r="N159" s="138">
        <v>41641</v>
      </c>
      <c r="O159" s="127">
        <f>COUNTA(Modificaciones!I159,Modificaciones!K159,Modificaciones!M159,Modificaciones!O159)</f>
        <v>0</v>
      </c>
      <c r="P159" s="128">
        <f>VLOOKUP(E159,Modificaciones!$B$7:$Q$300,16,0)</f>
        <v>0</v>
      </c>
      <c r="Q159" s="129">
        <f>COUNTA(Modificaciones!S159,Modificaciones!U159,Modificaciones!W159,Modificaciones!Y159)</f>
        <v>0</v>
      </c>
      <c r="R159" s="130" t="str">
        <f>IF(Modificaciones!Z159=0,"",VLOOKUP(E159,Modificaciones!$B$7:$AA$400,25,0))</f>
        <v/>
      </c>
      <c r="S159" s="131" t="str">
        <f>IF(Modificaciones!AA159=0,"",VLOOKUP(E159,Modificaciones!$B$7:$AA$400,26,0))</f>
        <v/>
      </c>
      <c r="T159" s="7">
        <f t="shared" si="26"/>
        <v>41641</v>
      </c>
      <c r="U159" s="62">
        <f t="shared" si="27"/>
        <v>63128000</v>
      </c>
      <c r="V159" s="172">
        <f>VLOOKUP(E159,Modificaciones!$B$7:$AU$300,46,0)</f>
        <v>63128000</v>
      </c>
      <c r="W159" s="93">
        <f t="shared" si="28"/>
        <v>0</v>
      </c>
      <c r="X159" s="309" t="s">
        <v>1895</v>
      </c>
      <c r="Y159" s="42">
        <f t="shared" si="29"/>
        <v>1</v>
      </c>
      <c r="Z159" s="42">
        <f t="shared" ca="1" si="30"/>
        <v>1</v>
      </c>
      <c r="AA159" s="43">
        <f t="shared" ca="1" si="31"/>
        <v>0</v>
      </c>
      <c r="AB159" s="202" t="str">
        <f t="shared" ca="1" si="32"/>
        <v/>
      </c>
      <c r="AC159" s="44" t="str">
        <f t="shared" si="33"/>
        <v>SI</v>
      </c>
      <c r="AD159" s="44"/>
      <c r="AE159" s="173" t="s">
        <v>1256</v>
      </c>
      <c r="AF159" s="173" t="s">
        <v>1308</v>
      </c>
      <c r="AG159" s="173" t="s">
        <v>1435</v>
      </c>
      <c r="AH159" s="281" t="s">
        <v>560</v>
      </c>
      <c r="AI159" s="174" t="s">
        <v>1386</v>
      </c>
      <c r="AJ159" s="173" t="s">
        <v>901</v>
      </c>
      <c r="AK159" s="181" t="str">
        <f t="shared" ca="1" si="34"/>
        <v>TERMINO</v>
      </c>
      <c r="AL159" s="181" t="s">
        <v>574</v>
      </c>
      <c r="AM159" s="176" t="s">
        <v>391</v>
      </c>
      <c r="AN159" s="848" t="str">
        <f>IFERROR(VLOOKUP(E159,'liquidaciones '!$B$2:$C$1048576,2,0),"NO")</f>
        <v>NO</v>
      </c>
      <c r="AO159" s="944" t="str">
        <f>IFERROR(VLOOKUP(E159,'liquidaciones '!$B$2:$I$1048576,8,0),"")</f>
        <v/>
      </c>
      <c r="AP159" s="334">
        <v>41872</v>
      </c>
      <c r="AQ159" s="177" t="str">
        <f t="shared" ca="1" si="35"/>
        <v>NO</v>
      </c>
      <c r="AR159" s="177" t="s">
        <v>982</v>
      </c>
      <c r="AS159" s="433"/>
      <c r="AT159" s="964"/>
      <c r="AU159" s="964"/>
      <c r="AV159" s="964"/>
    </row>
    <row r="160" spans="1:48" ht="47.25" customHeight="1" x14ac:dyDescent="0.25">
      <c r="B160" s="15">
        <v>154</v>
      </c>
      <c r="C160" s="437"/>
      <c r="D160" s="437" t="str">
        <f t="shared" si="25"/>
        <v>2013</v>
      </c>
      <c r="E160" s="139" t="s">
        <v>227</v>
      </c>
      <c r="F160" s="132" t="s">
        <v>228</v>
      </c>
      <c r="G160" s="133">
        <v>52935011</v>
      </c>
      <c r="H160" s="993" t="s">
        <v>498</v>
      </c>
      <c r="I160" s="140">
        <v>5000000</v>
      </c>
      <c r="J160" s="850" t="s">
        <v>4590</v>
      </c>
      <c r="K160" s="157">
        <v>2013</v>
      </c>
      <c r="L160" s="546" t="s">
        <v>1088</v>
      </c>
      <c r="M160" s="138">
        <v>41628</v>
      </c>
      <c r="N160" s="138">
        <v>41658</v>
      </c>
      <c r="O160" s="127">
        <f>COUNTA(Modificaciones!I160,Modificaciones!K160,Modificaciones!M160,Modificaciones!O160)</f>
        <v>0</v>
      </c>
      <c r="P160" s="128">
        <f>VLOOKUP(E160,Modificaciones!$B$7:$Q$300,16,0)</f>
        <v>0</v>
      </c>
      <c r="Q160" s="129">
        <f>COUNTA(Modificaciones!S160,Modificaciones!U160,Modificaciones!W160,Modificaciones!Y160)</f>
        <v>0</v>
      </c>
      <c r="R160" s="130" t="str">
        <f>IF(Modificaciones!Z160=0,"",VLOOKUP(E160,Modificaciones!$B$7:$AA$400,25,0))</f>
        <v/>
      </c>
      <c r="S160" s="131" t="str">
        <f>IF(Modificaciones!AA160=0,"",VLOOKUP(E160,Modificaciones!$B$7:$AA$400,26,0))</f>
        <v/>
      </c>
      <c r="T160" s="7">
        <f t="shared" si="26"/>
        <v>41658</v>
      </c>
      <c r="U160" s="62">
        <f t="shared" si="27"/>
        <v>5000000</v>
      </c>
      <c r="V160" s="172">
        <f>VLOOKUP(E160,Modificaciones!$B$7:$AU$300,46,0)</f>
        <v>5000000</v>
      </c>
      <c r="W160" s="93">
        <f t="shared" si="28"/>
        <v>0</v>
      </c>
      <c r="X160" s="312" t="s">
        <v>1404</v>
      </c>
      <c r="Y160" s="42">
        <f t="shared" si="29"/>
        <v>1</v>
      </c>
      <c r="Z160" s="42">
        <f t="shared" ca="1" si="30"/>
        <v>1</v>
      </c>
      <c r="AA160" s="43">
        <f t="shared" ca="1" si="31"/>
        <v>0</v>
      </c>
      <c r="AB160" s="202" t="str">
        <f t="shared" ca="1" si="32"/>
        <v/>
      </c>
      <c r="AC160" s="44" t="str">
        <f t="shared" si="33"/>
        <v>SI</v>
      </c>
      <c r="AD160" s="44"/>
      <c r="AE160" s="173" t="s">
        <v>1256</v>
      </c>
      <c r="AF160" s="173" t="s">
        <v>1969</v>
      </c>
      <c r="AG160" s="173"/>
      <c r="AH160" s="281"/>
      <c r="AI160" s="174"/>
      <c r="AJ160" s="173" t="s">
        <v>901</v>
      </c>
      <c r="AK160" s="181" t="str">
        <f t="shared" ca="1" si="34"/>
        <v>TERMINO</v>
      </c>
      <c r="AL160" s="181" t="s">
        <v>582</v>
      </c>
      <c r="AM160" s="176" t="s">
        <v>391</v>
      </c>
      <c r="AN160" s="848" t="str">
        <f>IFERROR(VLOOKUP(E160,'liquidaciones '!$B$2:$C$1048576,2,0),"NO")</f>
        <v>LIQUIDADO</v>
      </c>
      <c r="AO160" s="944" t="str">
        <f>IFERROR(VLOOKUP(E160,'liquidaciones '!$B$2:$I$1048576,8,0),"")</f>
        <v>JUAN DIEGO ESPITIA</v>
      </c>
      <c r="AP160" s="338"/>
      <c r="AQ160" s="177" t="str">
        <f t="shared" ca="1" si="35"/>
        <v>NO</v>
      </c>
      <c r="AR160" s="177" t="s">
        <v>1165</v>
      </c>
      <c r="AS160" s="433"/>
      <c r="AT160" s="964"/>
      <c r="AU160" s="964"/>
      <c r="AV160" s="964"/>
    </row>
    <row r="161" spans="2:48" ht="47.25" customHeight="1" x14ac:dyDescent="0.25">
      <c r="B161" s="15">
        <v>155</v>
      </c>
      <c r="C161" s="437"/>
      <c r="D161" s="437" t="str">
        <f t="shared" si="25"/>
        <v>2013</v>
      </c>
      <c r="E161" s="139" t="s">
        <v>223</v>
      </c>
      <c r="F161" s="132" t="s">
        <v>224</v>
      </c>
      <c r="G161" s="133">
        <v>19327657</v>
      </c>
      <c r="H161" s="993" t="s">
        <v>498</v>
      </c>
      <c r="I161" s="140">
        <v>5000000</v>
      </c>
      <c r="J161" s="134" t="s">
        <v>1088</v>
      </c>
      <c r="K161" s="157">
        <v>2013</v>
      </c>
      <c r="L161" s="546" t="s">
        <v>1088</v>
      </c>
      <c r="M161" s="138">
        <v>41628</v>
      </c>
      <c r="N161" s="138">
        <v>41658</v>
      </c>
      <c r="O161" s="127">
        <f>COUNTA(Modificaciones!I161,Modificaciones!K161,Modificaciones!M161,Modificaciones!O161)</f>
        <v>0</v>
      </c>
      <c r="P161" s="128">
        <f>VLOOKUP(E161,Modificaciones!$B$7:$Q$300,16,0)</f>
        <v>0</v>
      </c>
      <c r="Q161" s="129">
        <f>COUNTA(Modificaciones!S161,Modificaciones!U161,Modificaciones!W161,Modificaciones!Y161)</f>
        <v>0</v>
      </c>
      <c r="R161" s="130" t="str">
        <f>IF(Modificaciones!Z161=0,"",VLOOKUP(E161,Modificaciones!$B$7:$AA$400,25,0))</f>
        <v/>
      </c>
      <c r="S161" s="131" t="str">
        <f>IF(Modificaciones!AA161=0,"",VLOOKUP(E161,Modificaciones!$B$7:$AA$400,26,0))</f>
        <v/>
      </c>
      <c r="T161" s="7">
        <f t="shared" si="26"/>
        <v>41658</v>
      </c>
      <c r="U161" s="62">
        <f t="shared" si="27"/>
        <v>5000000</v>
      </c>
      <c r="V161" s="172">
        <f>VLOOKUP(E161,Modificaciones!$B$7:$AU$300,46,0)</f>
        <v>5000000</v>
      </c>
      <c r="W161" s="93">
        <f t="shared" si="28"/>
        <v>0</v>
      </c>
      <c r="X161" s="312" t="s">
        <v>1404</v>
      </c>
      <c r="Y161" s="42">
        <f t="shared" si="29"/>
        <v>1</v>
      </c>
      <c r="Z161" s="42">
        <f t="shared" ca="1" si="30"/>
        <v>1</v>
      </c>
      <c r="AA161" s="43">
        <f t="shared" ca="1" si="31"/>
        <v>0</v>
      </c>
      <c r="AB161" s="202" t="str">
        <f t="shared" ca="1" si="32"/>
        <v/>
      </c>
      <c r="AC161" s="44" t="str">
        <f t="shared" si="33"/>
        <v>SI</v>
      </c>
      <c r="AD161" s="44"/>
      <c r="AE161" s="173" t="s">
        <v>1256</v>
      </c>
      <c r="AF161" s="173" t="s">
        <v>1969</v>
      </c>
      <c r="AG161" s="173"/>
      <c r="AH161" s="281"/>
      <c r="AI161" s="174"/>
      <c r="AJ161" s="173" t="s">
        <v>901</v>
      </c>
      <c r="AK161" s="181" t="str">
        <f t="shared" ca="1" si="34"/>
        <v>TERMINO</v>
      </c>
      <c r="AL161" s="181" t="s">
        <v>582</v>
      </c>
      <c r="AM161" s="176" t="s">
        <v>391</v>
      </c>
      <c r="AN161" s="848" t="str">
        <f>IFERROR(VLOOKUP(E161,'liquidaciones '!$B$2:$C$1048576,2,0),"NO")</f>
        <v>NO</v>
      </c>
      <c r="AO161" s="944" t="str">
        <f>IFERROR(VLOOKUP(E161,'liquidaciones '!$B$2:$I$1048576,8,0),"")</f>
        <v/>
      </c>
      <c r="AP161" s="338">
        <v>42193</v>
      </c>
      <c r="AQ161" s="177" t="str">
        <f t="shared" ca="1" si="35"/>
        <v>NO</v>
      </c>
      <c r="AR161" s="177" t="s">
        <v>1570</v>
      </c>
      <c r="AS161" s="433"/>
      <c r="AT161" s="964"/>
      <c r="AU161" s="964"/>
      <c r="AV161" s="964"/>
    </row>
    <row r="162" spans="2:48" ht="47.25" customHeight="1" x14ac:dyDescent="0.25">
      <c r="B162" s="15">
        <v>156</v>
      </c>
      <c r="C162" s="437"/>
      <c r="D162" s="437" t="str">
        <f t="shared" si="25"/>
        <v>2013</v>
      </c>
      <c r="E162" s="139" t="s">
        <v>231</v>
      </c>
      <c r="F162" s="132" t="s">
        <v>1042</v>
      </c>
      <c r="G162" s="133">
        <v>900683150</v>
      </c>
      <c r="H162" s="993" t="s">
        <v>499</v>
      </c>
      <c r="I162" s="140">
        <v>70000000</v>
      </c>
      <c r="J162" s="850" t="s">
        <v>4785</v>
      </c>
      <c r="K162" s="157">
        <v>2013</v>
      </c>
      <c r="L162" s="546" t="s">
        <v>1088</v>
      </c>
      <c r="M162" s="138">
        <v>41647</v>
      </c>
      <c r="N162" s="138">
        <v>41705</v>
      </c>
      <c r="O162" s="127">
        <f>COUNTA(Modificaciones!I162,Modificaciones!K162,Modificaciones!M162,Modificaciones!O162)</f>
        <v>0</v>
      </c>
      <c r="P162" s="128">
        <f>VLOOKUP(E162,Modificaciones!$B$7:$Q$300,16,0)</f>
        <v>0</v>
      </c>
      <c r="Q162" s="129">
        <f>COUNTA(Modificaciones!S162,Modificaciones!U162,Modificaciones!W162,Modificaciones!Y162)</f>
        <v>2</v>
      </c>
      <c r="R162" s="130" t="str">
        <f>IF(Modificaciones!Z162=0,"",VLOOKUP(E162,Modificaciones!$B$7:$AA$400,25,0))</f>
        <v>3 meses</v>
      </c>
      <c r="S162" s="131">
        <f>IF(Modificaciones!AA162=0,"",VLOOKUP(E162,Modificaciones!$B$7:$AA$400,26,0))</f>
        <v>41797</v>
      </c>
      <c r="T162" s="7">
        <f t="shared" si="26"/>
        <v>41797</v>
      </c>
      <c r="U162" s="62">
        <f t="shared" si="27"/>
        <v>70000000</v>
      </c>
      <c r="V162" s="172">
        <f>VLOOKUP(E162,Modificaciones!$B$7:$AU$300,46,0)</f>
        <v>69658711</v>
      </c>
      <c r="W162" s="93">
        <f t="shared" si="28"/>
        <v>341289</v>
      </c>
      <c r="X162" s="309" t="s">
        <v>1095</v>
      </c>
      <c r="Y162" s="42">
        <f t="shared" si="29"/>
        <v>0.99512444285714285</v>
      </c>
      <c r="Z162" s="42">
        <f t="shared" ca="1" si="30"/>
        <v>1</v>
      </c>
      <c r="AA162" s="43">
        <f t="shared" ca="1" si="31"/>
        <v>4.8755571428571454E-3</v>
      </c>
      <c r="AB162" s="202" t="str">
        <f t="shared" ca="1" si="32"/>
        <v/>
      </c>
      <c r="AC162" s="44" t="str">
        <f t="shared" si="33"/>
        <v>NO</v>
      </c>
      <c r="AD162" s="44"/>
      <c r="AE162" s="173" t="s">
        <v>1256</v>
      </c>
      <c r="AF162" s="173" t="s">
        <v>1309</v>
      </c>
      <c r="AG162" s="173"/>
      <c r="AH162" s="281"/>
      <c r="AI162" s="174"/>
      <c r="AJ162" s="173" t="s">
        <v>901</v>
      </c>
      <c r="AK162" s="181" t="str">
        <f t="shared" ca="1" si="34"/>
        <v>TERMINO</v>
      </c>
      <c r="AL162" s="181" t="s">
        <v>574</v>
      </c>
      <c r="AM162" s="176" t="s">
        <v>390</v>
      </c>
      <c r="AN162" s="848" t="str">
        <f>IFERROR(VLOOKUP(E162,'liquidaciones '!$B$2:$C$1048576,2,0),"NO")</f>
        <v>LIQUIDADO</v>
      </c>
      <c r="AO162" s="944">
        <f>IFERROR(VLOOKUP(E162,'liquidaciones '!$B$2:$I$1048576,8,0),"")</f>
        <v>0</v>
      </c>
      <c r="AP162" s="338">
        <v>42009</v>
      </c>
      <c r="AQ162" s="177" t="str">
        <f t="shared" ca="1" si="35"/>
        <v>NO</v>
      </c>
      <c r="AR162" s="177" t="s">
        <v>1165</v>
      </c>
      <c r="AS162" s="433"/>
      <c r="AT162" s="964"/>
      <c r="AU162" s="964"/>
      <c r="AV162" s="964"/>
    </row>
    <row r="163" spans="2:48" ht="47.25" customHeight="1" x14ac:dyDescent="0.25">
      <c r="B163" s="15">
        <v>157</v>
      </c>
      <c r="C163" s="437"/>
      <c r="D163" s="437" t="str">
        <f t="shared" si="25"/>
        <v>2013</v>
      </c>
      <c r="E163" s="139" t="s">
        <v>225</v>
      </c>
      <c r="F163" s="132" t="s">
        <v>226</v>
      </c>
      <c r="G163" s="133">
        <v>19136712</v>
      </c>
      <c r="H163" s="993" t="s">
        <v>498</v>
      </c>
      <c r="I163" s="140">
        <v>5000000</v>
      </c>
      <c r="J163" s="850" t="s">
        <v>4425</v>
      </c>
      <c r="K163" s="157">
        <v>2013</v>
      </c>
      <c r="L163" s="546" t="s">
        <v>1088</v>
      </c>
      <c r="M163" s="138">
        <v>41628</v>
      </c>
      <c r="N163" s="138">
        <v>41658</v>
      </c>
      <c r="O163" s="127">
        <f>COUNTA(Modificaciones!I163,Modificaciones!K163,Modificaciones!M163,Modificaciones!O163)</f>
        <v>0</v>
      </c>
      <c r="P163" s="128">
        <f>VLOOKUP(E163,Modificaciones!$B$7:$Q$300,16,0)</f>
        <v>0</v>
      </c>
      <c r="Q163" s="129">
        <f>COUNTA(Modificaciones!S163,Modificaciones!U163,Modificaciones!W163,Modificaciones!Y163)</f>
        <v>0</v>
      </c>
      <c r="R163" s="130" t="str">
        <f>IF(Modificaciones!Z163=0,"",VLOOKUP(E163,Modificaciones!$B$7:$AA$400,25,0))</f>
        <v/>
      </c>
      <c r="S163" s="131" t="str">
        <f>IF(Modificaciones!AA163=0,"",VLOOKUP(E163,Modificaciones!$B$7:$AA$400,26,0))</f>
        <v/>
      </c>
      <c r="T163" s="7">
        <f t="shared" si="26"/>
        <v>41658</v>
      </c>
      <c r="U163" s="62">
        <f t="shared" si="27"/>
        <v>5000000</v>
      </c>
      <c r="V163" s="172">
        <f>VLOOKUP(E163,Modificaciones!$B$7:$AU$300,46,0)</f>
        <v>5000000</v>
      </c>
      <c r="W163" s="93">
        <f t="shared" si="28"/>
        <v>0</v>
      </c>
      <c r="X163" s="312" t="s">
        <v>1404</v>
      </c>
      <c r="Y163" s="42">
        <f t="shared" si="29"/>
        <v>1</v>
      </c>
      <c r="Z163" s="42">
        <f t="shared" ca="1" si="30"/>
        <v>1</v>
      </c>
      <c r="AA163" s="43">
        <f t="shared" ca="1" si="31"/>
        <v>0</v>
      </c>
      <c r="AB163" s="202" t="str">
        <f t="shared" ca="1" si="32"/>
        <v/>
      </c>
      <c r="AC163" s="44" t="str">
        <f t="shared" si="33"/>
        <v>SI</v>
      </c>
      <c r="AD163" s="44"/>
      <c r="AE163" s="173" t="s">
        <v>1256</v>
      </c>
      <c r="AF163" s="173" t="s">
        <v>1969</v>
      </c>
      <c r="AG163" s="173"/>
      <c r="AH163" s="281"/>
      <c r="AI163" s="174"/>
      <c r="AJ163" s="173" t="s">
        <v>901</v>
      </c>
      <c r="AK163" s="181" t="str">
        <f t="shared" ca="1" si="34"/>
        <v>TERMINO</v>
      </c>
      <c r="AL163" s="181" t="s">
        <v>582</v>
      </c>
      <c r="AM163" s="176" t="s">
        <v>391</v>
      </c>
      <c r="AN163" s="848" t="str">
        <f>IFERROR(VLOOKUP(E163,'liquidaciones '!$B$2:$C$1048576,2,0),"NO")</f>
        <v>LIQUIDADO</v>
      </c>
      <c r="AO163" s="944">
        <f>IFERROR(VLOOKUP(E163,'liquidaciones '!$B$2:$I$1048576,8,0),"")</f>
        <v>0</v>
      </c>
      <c r="AP163" s="338">
        <v>41971</v>
      </c>
      <c r="AQ163" s="177" t="str">
        <f t="shared" ca="1" si="35"/>
        <v>NO</v>
      </c>
      <c r="AR163" s="177" t="s">
        <v>1165</v>
      </c>
      <c r="AS163" s="433"/>
      <c r="AT163" s="964"/>
      <c r="AU163" s="964"/>
      <c r="AV163" s="964"/>
    </row>
    <row r="164" spans="2:48" ht="47.25" customHeight="1" x14ac:dyDescent="0.25">
      <c r="B164" s="15">
        <v>158</v>
      </c>
      <c r="C164" s="437"/>
      <c r="D164" s="437" t="str">
        <f t="shared" si="25"/>
        <v>2013</v>
      </c>
      <c r="E164" s="139" t="s">
        <v>221</v>
      </c>
      <c r="F164" s="132" t="s">
        <v>222</v>
      </c>
      <c r="G164" s="133">
        <v>7212142</v>
      </c>
      <c r="H164" s="993" t="s">
        <v>498</v>
      </c>
      <c r="I164" s="140">
        <v>5000000</v>
      </c>
      <c r="J164" s="850" t="s">
        <v>4589</v>
      </c>
      <c r="K164" s="157">
        <v>2013</v>
      </c>
      <c r="L164" s="546" t="s">
        <v>1088</v>
      </c>
      <c r="M164" s="138">
        <v>41628</v>
      </c>
      <c r="N164" s="138">
        <v>41658</v>
      </c>
      <c r="O164" s="127">
        <f>COUNTA(Modificaciones!I164,Modificaciones!K164,Modificaciones!M164,Modificaciones!O164)</f>
        <v>0</v>
      </c>
      <c r="P164" s="128">
        <f>VLOOKUP(E164,Modificaciones!$B$7:$Q$300,16,0)</f>
        <v>0</v>
      </c>
      <c r="Q164" s="129">
        <f>COUNTA(Modificaciones!S164,Modificaciones!U164,Modificaciones!W164,Modificaciones!Y164)</f>
        <v>0</v>
      </c>
      <c r="R164" s="130" t="str">
        <f>IF(Modificaciones!Z164=0,"",VLOOKUP(E164,Modificaciones!$B$7:$AA$400,25,0))</f>
        <v/>
      </c>
      <c r="S164" s="131" t="str">
        <f>IF(Modificaciones!AA164=0,"",VLOOKUP(E164,Modificaciones!$B$7:$AA$400,26,0))</f>
        <v/>
      </c>
      <c r="T164" s="7">
        <f t="shared" si="26"/>
        <v>41658</v>
      </c>
      <c r="U164" s="62">
        <f t="shared" si="27"/>
        <v>5000000</v>
      </c>
      <c r="V164" s="172">
        <f>VLOOKUP(E164,Modificaciones!$B$7:$AU$300,46,0)</f>
        <v>5000000</v>
      </c>
      <c r="W164" s="93">
        <f t="shared" si="28"/>
        <v>0</v>
      </c>
      <c r="X164" s="312" t="s">
        <v>1404</v>
      </c>
      <c r="Y164" s="42">
        <f t="shared" si="29"/>
        <v>1</v>
      </c>
      <c r="Z164" s="42">
        <f t="shared" ca="1" si="30"/>
        <v>1</v>
      </c>
      <c r="AA164" s="43">
        <f t="shared" ca="1" si="31"/>
        <v>0</v>
      </c>
      <c r="AB164" s="202" t="str">
        <f t="shared" ca="1" si="32"/>
        <v/>
      </c>
      <c r="AC164" s="44" t="str">
        <f t="shared" si="33"/>
        <v>SI</v>
      </c>
      <c r="AD164" s="44"/>
      <c r="AE164" s="173" t="s">
        <v>1256</v>
      </c>
      <c r="AF164" s="173" t="s">
        <v>1969</v>
      </c>
      <c r="AG164" s="173"/>
      <c r="AH164" s="281"/>
      <c r="AI164" s="174"/>
      <c r="AJ164" s="173" t="s">
        <v>901</v>
      </c>
      <c r="AK164" s="181" t="str">
        <f t="shared" ca="1" si="34"/>
        <v>TERMINO</v>
      </c>
      <c r="AL164" s="181" t="s">
        <v>582</v>
      </c>
      <c r="AM164" s="176" t="s">
        <v>391</v>
      </c>
      <c r="AN164" s="848" t="str">
        <f>IFERROR(VLOOKUP(E164,'liquidaciones '!$B$2:$C$1048576,2,0),"NO")</f>
        <v>LIQUIDADO</v>
      </c>
      <c r="AO164" s="944">
        <f>IFERROR(VLOOKUP(E164,'liquidaciones '!$B$2:$I$1048576,8,0),"")</f>
        <v>0</v>
      </c>
      <c r="AP164" s="338">
        <v>41919</v>
      </c>
      <c r="AQ164" s="177" t="str">
        <f t="shared" ca="1" si="35"/>
        <v>NO</v>
      </c>
      <c r="AR164" s="177" t="s">
        <v>1165</v>
      </c>
      <c r="AS164" s="433"/>
      <c r="AT164" s="964"/>
      <c r="AU164" s="964"/>
      <c r="AV164" s="964"/>
    </row>
    <row r="165" spans="2:48" ht="47.25" customHeight="1" x14ac:dyDescent="0.25">
      <c r="B165" s="15">
        <v>159</v>
      </c>
      <c r="C165" s="437"/>
      <c r="D165" s="437" t="str">
        <f t="shared" si="25"/>
        <v>2013</v>
      </c>
      <c r="E165" s="139" t="s">
        <v>242</v>
      </c>
      <c r="F165" s="132" t="s">
        <v>235</v>
      </c>
      <c r="G165" s="133">
        <v>830110570</v>
      </c>
      <c r="H165" s="993" t="s">
        <v>500</v>
      </c>
      <c r="I165" s="140">
        <v>3017160</v>
      </c>
      <c r="J165" s="850" t="s">
        <v>4594</v>
      </c>
      <c r="K165" s="157">
        <v>2013</v>
      </c>
      <c r="L165" s="546" t="s">
        <v>1088</v>
      </c>
      <c r="M165" s="138">
        <v>41662</v>
      </c>
      <c r="N165" s="138">
        <v>41751</v>
      </c>
      <c r="O165" s="127">
        <f>COUNTA(Modificaciones!I165,Modificaciones!K165,Modificaciones!M165,Modificaciones!O165)</f>
        <v>0</v>
      </c>
      <c r="P165" s="128">
        <f>VLOOKUP(E165,Modificaciones!$B$7:$Q$300,16,0)</f>
        <v>0</v>
      </c>
      <c r="Q165" s="129">
        <f>COUNTA(Modificaciones!S165,Modificaciones!U165,Modificaciones!W165,Modificaciones!Y165)</f>
        <v>0</v>
      </c>
      <c r="R165" s="130" t="str">
        <f>IF(Modificaciones!Z165=0,"",VLOOKUP(E165,Modificaciones!$B$7:$AA$400,25,0))</f>
        <v/>
      </c>
      <c r="S165" s="131" t="str">
        <f>IF(Modificaciones!AA165=0,"",VLOOKUP(E165,Modificaciones!$B$7:$AA$400,26,0))</f>
        <v/>
      </c>
      <c r="T165" s="7">
        <f t="shared" si="26"/>
        <v>41751</v>
      </c>
      <c r="U165" s="62">
        <f t="shared" si="27"/>
        <v>3017160</v>
      </c>
      <c r="V165" s="172">
        <f>VLOOKUP(E165,Modificaciones!$B$7:$AU$300,46,0)</f>
        <v>3017160</v>
      </c>
      <c r="W165" s="93">
        <f t="shared" si="28"/>
        <v>0</v>
      </c>
      <c r="X165" s="309" t="s">
        <v>1895</v>
      </c>
      <c r="Y165" s="42">
        <f t="shared" si="29"/>
        <v>1</v>
      </c>
      <c r="Z165" s="42">
        <f t="shared" ca="1" si="30"/>
        <v>1</v>
      </c>
      <c r="AA165" s="43">
        <f t="shared" ca="1" si="31"/>
        <v>0</v>
      </c>
      <c r="AB165" s="202" t="str">
        <f t="shared" ca="1" si="32"/>
        <v/>
      </c>
      <c r="AC165" s="44" t="str">
        <f t="shared" si="33"/>
        <v>SI</v>
      </c>
      <c r="AD165" s="44"/>
      <c r="AE165" s="173" t="s">
        <v>1257</v>
      </c>
      <c r="AF165" s="173" t="s">
        <v>1500</v>
      </c>
      <c r="AG165" s="173" t="s">
        <v>1439</v>
      </c>
      <c r="AH165" s="281" t="s">
        <v>560</v>
      </c>
      <c r="AI165" s="174"/>
      <c r="AJ165" s="173" t="s">
        <v>902</v>
      </c>
      <c r="AK165" s="181" t="str">
        <f t="shared" ca="1" si="34"/>
        <v>TERMINO</v>
      </c>
      <c r="AL165" s="181" t="s">
        <v>576</v>
      </c>
      <c r="AM165" s="176" t="s">
        <v>390</v>
      </c>
      <c r="AN165" s="848" t="str">
        <f>IFERROR(VLOOKUP(E165,'liquidaciones '!$B$2:$C$1048576,2,0),"NO")</f>
        <v>LIQUIDADO</v>
      </c>
      <c r="AO165" s="944" t="str">
        <f>IFERROR(VLOOKUP(E165,'liquidaciones '!$B$2:$I$1048576,8,0),"")</f>
        <v>JUAN DIEGO ESPITIA</v>
      </c>
      <c r="AP165" s="340">
        <v>41760</v>
      </c>
      <c r="AQ165" s="177" t="str">
        <f t="shared" ca="1" si="35"/>
        <v>NO</v>
      </c>
      <c r="AR165" s="177" t="s">
        <v>981</v>
      </c>
      <c r="AS165" s="433"/>
      <c r="AT165" s="964"/>
      <c r="AU165" s="964"/>
      <c r="AV165" s="964"/>
    </row>
    <row r="166" spans="2:48" ht="47.25" customHeight="1" x14ac:dyDescent="0.25">
      <c r="B166" s="15">
        <v>160</v>
      </c>
      <c r="C166" s="437"/>
      <c r="D166" s="437" t="str">
        <f t="shared" si="25"/>
        <v>2013</v>
      </c>
      <c r="E166" s="139" t="s">
        <v>240</v>
      </c>
      <c r="F166" s="132" t="s">
        <v>290</v>
      </c>
      <c r="G166" s="133">
        <v>811021363</v>
      </c>
      <c r="H166" s="993" t="s">
        <v>501</v>
      </c>
      <c r="I166" s="140">
        <v>60000000</v>
      </c>
      <c r="J166" s="134" t="s">
        <v>1088</v>
      </c>
      <c r="K166" s="157">
        <v>2013</v>
      </c>
      <c r="L166" s="546" t="s">
        <v>1088</v>
      </c>
      <c r="M166" s="138">
        <v>41655</v>
      </c>
      <c r="N166" s="138">
        <v>42019</v>
      </c>
      <c r="O166" s="127">
        <f>COUNTA(Modificaciones!I166,Modificaciones!K166,Modificaciones!M166,Modificaciones!O166)</f>
        <v>1</v>
      </c>
      <c r="P166" s="128">
        <f>VLOOKUP(E166,Modificaciones!$B$7:$Q$300,16,0)</f>
        <v>30000000</v>
      </c>
      <c r="Q166" s="129">
        <f>COUNTA(Modificaciones!S166,Modificaciones!U166,Modificaciones!W166,Modificaciones!Y166)</f>
        <v>0</v>
      </c>
      <c r="R166" s="130" t="str">
        <f>IF(Modificaciones!Z166=0,"",VLOOKUP(E166,Modificaciones!$B$7:$AA$400,25,0))</f>
        <v/>
      </c>
      <c r="S166" s="131" t="str">
        <f>IF(Modificaciones!AA166=0,"",VLOOKUP(E166,Modificaciones!$B$7:$AA$400,26,0))</f>
        <v/>
      </c>
      <c r="T166" s="7">
        <f t="shared" si="26"/>
        <v>42019</v>
      </c>
      <c r="U166" s="62">
        <f t="shared" si="27"/>
        <v>90000000</v>
      </c>
      <c r="V166" s="172">
        <f>VLOOKUP(E166,Modificaciones!$B$7:$AU$300,46,0)</f>
        <v>42574877.200000003</v>
      </c>
      <c r="W166" s="93">
        <f t="shared" si="28"/>
        <v>47425122.799999997</v>
      </c>
      <c r="X166" s="312" t="s">
        <v>1413</v>
      </c>
      <c r="Y166" s="42">
        <f t="shared" si="29"/>
        <v>0.47305419111111113</v>
      </c>
      <c r="Z166" s="42">
        <f t="shared" ca="1" si="30"/>
        <v>1</v>
      </c>
      <c r="AA166" s="43">
        <f t="shared" ca="1" si="31"/>
        <v>0.52694580888888887</v>
      </c>
      <c r="AB166" s="202" t="str">
        <f t="shared" ca="1" si="32"/>
        <v/>
      </c>
      <c r="AC166" s="44" t="str">
        <f t="shared" si="33"/>
        <v>NO</v>
      </c>
      <c r="AD166" s="44"/>
      <c r="AE166" s="173" t="s">
        <v>1257</v>
      </c>
      <c r="AF166" s="301" t="s">
        <v>1391</v>
      </c>
      <c r="AG166" s="173" t="s">
        <v>1442</v>
      </c>
      <c r="AH166" s="281" t="s">
        <v>560</v>
      </c>
      <c r="AI166" s="174" t="s">
        <v>1509</v>
      </c>
      <c r="AJ166" s="173" t="s">
        <v>901</v>
      </c>
      <c r="AK166" s="181" t="str">
        <f t="shared" ca="1" si="34"/>
        <v>TERMINO</v>
      </c>
      <c r="AL166" s="173" t="s">
        <v>575</v>
      </c>
      <c r="AM166" s="176" t="s">
        <v>390</v>
      </c>
      <c r="AN166" s="848" t="str">
        <f>IFERROR(VLOOKUP(E166,'liquidaciones '!$B$2:$C$1048576,2,0),"NO")</f>
        <v>EN TRÁMITE</v>
      </c>
      <c r="AO166" s="944">
        <f>IFERROR(VLOOKUP(E166,'liquidaciones '!$B$2:$I$1048576,8,0),"")</f>
        <v>0</v>
      </c>
      <c r="AP166" s="338"/>
      <c r="AQ166" s="177" t="str">
        <f t="shared" ca="1" si="35"/>
        <v>NO</v>
      </c>
      <c r="AR166" s="177" t="s">
        <v>1992</v>
      </c>
      <c r="AS166" s="433"/>
      <c r="AT166" s="964"/>
      <c r="AU166" s="964"/>
      <c r="AV166" s="964"/>
    </row>
    <row r="167" spans="2:48" ht="47.25" customHeight="1" x14ac:dyDescent="0.25">
      <c r="B167" s="15">
        <v>161</v>
      </c>
      <c r="C167" s="437"/>
      <c r="D167" s="437" t="str">
        <f t="shared" si="25"/>
        <v>2013</v>
      </c>
      <c r="E167" s="139" t="s">
        <v>229</v>
      </c>
      <c r="F167" s="132" t="s">
        <v>1043</v>
      </c>
      <c r="G167" s="133">
        <v>72167924</v>
      </c>
      <c r="H167" s="993" t="s">
        <v>498</v>
      </c>
      <c r="I167" s="140">
        <v>5000000</v>
      </c>
      <c r="J167" s="850" t="s">
        <v>4298</v>
      </c>
      <c r="K167" s="157">
        <v>2013</v>
      </c>
      <c r="L167" s="546" t="s">
        <v>1088</v>
      </c>
      <c r="M167" s="138">
        <v>41634</v>
      </c>
      <c r="N167" s="138">
        <v>41664</v>
      </c>
      <c r="O167" s="127">
        <f>COUNTA(Modificaciones!I167,Modificaciones!K167,Modificaciones!M167,Modificaciones!O167)</f>
        <v>0</v>
      </c>
      <c r="P167" s="128">
        <f>VLOOKUP(E167,Modificaciones!$B$7:$Q$300,16,0)</f>
        <v>0</v>
      </c>
      <c r="Q167" s="129">
        <f>COUNTA(Modificaciones!S167,Modificaciones!U167,Modificaciones!W167,Modificaciones!Y167)</f>
        <v>0</v>
      </c>
      <c r="R167" s="130" t="str">
        <f>IF(Modificaciones!Z167=0,"",VLOOKUP(E167,Modificaciones!$B$7:$AA$400,25,0))</f>
        <v/>
      </c>
      <c r="S167" s="131" t="str">
        <f>IF(Modificaciones!AA167=0,"",VLOOKUP(E167,Modificaciones!$B$7:$AA$400,26,0))</f>
        <v/>
      </c>
      <c r="T167" s="7">
        <f t="shared" ref="T167:T190" si="36">MAX(N167,S167)</f>
        <v>41664</v>
      </c>
      <c r="U167" s="62">
        <f t="shared" si="27"/>
        <v>5000000</v>
      </c>
      <c r="V167" s="172">
        <f>VLOOKUP(E167,Modificaciones!$B$7:$AU$300,46,0)</f>
        <v>5000000</v>
      </c>
      <c r="W167" s="93">
        <f t="shared" si="28"/>
        <v>0</v>
      </c>
      <c r="X167" s="312" t="s">
        <v>1404</v>
      </c>
      <c r="Y167" s="42">
        <f t="shared" si="29"/>
        <v>1</v>
      </c>
      <c r="Z167" s="42">
        <f t="shared" ca="1" si="30"/>
        <v>1</v>
      </c>
      <c r="AA167" s="43">
        <f t="shared" ca="1" si="31"/>
        <v>0</v>
      </c>
      <c r="AB167" s="202" t="str">
        <f t="shared" ca="1" si="32"/>
        <v/>
      </c>
      <c r="AC167" s="44" t="str">
        <f t="shared" si="33"/>
        <v>SI</v>
      </c>
      <c r="AD167" s="44"/>
      <c r="AE167" s="173" t="s">
        <v>1256</v>
      </c>
      <c r="AF167" s="173" t="s">
        <v>1969</v>
      </c>
      <c r="AG167" s="173"/>
      <c r="AH167" s="281"/>
      <c r="AI167" s="174"/>
      <c r="AJ167" s="173" t="s">
        <v>901</v>
      </c>
      <c r="AK167" s="181" t="str">
        <f t="shared" ca="1" si="34"/>
        <v>TERMINO</v>
      </c>
      <c r="AL167" s="181" t="s">
        <v>582</v>
      </c>
      <c r="AM167" s="176" t="s">
        <v>391</v>
      </c>
      <c r="AN167" s="848" t="str">
        <f>IFERROR(VLOOKUP(E167,'liquidaciones '!$B$2:$C$1048576,2,0),"NO")</f>
        <v>LIQUIDADO</v>
      </c>
      <c r="AO167" s="944">
        <f>IFERROR(VLOOKUP(E167,'liquidaciones '!$B$2:$I$1048576,8,0),"")</f>
        <v>0</v>
      </c>
      <c r="AP167" s="338">
        <v>41919</v>
      </c>
      <c r="AQ167" s="177" t="str">
        <f t="shared" ca="1" si="35"/>
        <v>NO</v>
      </c>
      <c r="AR167" s="177" t="s">
        <v>1165</v>
      </c>
      <c r="AS167" s="433"/>
      <c r="AT167" s="964"/>
      <c r="AU167" s="964"/>
      <c r="AV167" s="964"/>
    </row>
    <row r="168" spans="2:48" ht="47.25" customHeight="1" x14ac:dyDescent="0.25">
      <c r="B168" s="15">
        <v>162</v>
      </c>
      <c r="C168" s="437"/>
      <c r="D168" s="437" t="str">
        <f t="shared" si="25"/>
        <v>2013</v>
      </c>
      <c r="E168" s="139" t="s">
        <v>239</v>
      </c>
      <c r="F168" s="132" t="s">
        <v>152</v>
      </c>
      <c r="G168" s="133">
        <v>800015583</v>
      </c>
      <c r="H168" s="993" t="s">
        <v>502</v>
      </c>
      <c r="I168" s="140">
        <v>3743343</v>
      </c>
      <c r="J168" s="850" t="s">
        <v>4693</v>
      </c>
      <c r="K168" s="157">
        <v>2013</v>
      </c>
      <c r="L168" s="546" t="s">
        <v>1088</v>
      </c>
      <c r="M168" s="138">
        <v>41662</v>
      </c>
      <c r="N168" s="138">
        <v>41754</v>
      </c>
      <c r="O168" s="127">
        <f>COUNTA(Modificaciones!I168,Modificaciones!K168,Modificaciones!M168,Modificaciones!O168)</f>
        <v>0</v>
      </c>
      <c r="P168" s="128">
        <f>VLOOKUP(E168,Modificaciones!$B$7:$Q$300,16,0)</f>
        <v>0</v>
      </c>
      <c r="Q168" s="129">
        <f>COUNTA(Modificaciones!S168,Modificaciones!U168,Modificaciones!W168,Modificaciones!Y168)</f>
        <v>0</v>
      </c>
      <c r="R168" s="130" t="str">
        <f>IF(Modificaciones!Z168=0,"",VLOOKUP(E168,Modificaciones!$B$7:$AA$400,25,0))</f>
        <v/>
      </c>
      <c r="S168" s="131" t="str">
        <f>IF(Modificaciones!AA168=0,"",VLOOKUP(E168,Modificaciones!$B$7:$AA$400,26,0))</f>
        <v/>
      </c>
      <c r="T168" s="7">
        <f t="shared" si="36"/>
        <v>41754</v>
      </c>
      <c r="U168" s="62">
        <f t="shared" si="27"/>
        <v>3743343</v>
      </c>
      <c r="V168" s="172">
        <f>VLOOKUP(E168,Modificaciones!$B$7:$AU$300,46,0)</f>
        <v>3743343</v>
      </c>
      <c r="W168" s="93">
        <f t="shared" si="28"/>
        <v>0</v>
      </c>
      <c r="X168" s="309" t="s">
        <v>1895</v>
      </c>
      <c r="Y168" s="42">
        <f t="shared" si="29"/>
        <v>1</v>
      </c>
      <c r="Z168" s="42">
        <f t="shared" ca="1" si="30"/>
        <v>1</v>
      </c>
      <c r="AA168" s="43">
        <f t="shared" ca="1" si="31"/>
        <v>0</v>
      </c>
      <c r="AB168" s="202" t="str">
        <f t="shared" ca="1" si="32"/>
        <v/>
      </c>
      <c r="AC168" s="44" t="str">
        <f t="shared" si="33"/>
        <v>SI</v>
      </c>
      <c r="AD168" s="44"/>
      <c r="AE168" s="173" t="s">
        <v>1257</v>
      </c>
      <c r="AF168" s="173" t="s">
        <v>1293</v>
      </c>
      <c r="AG168" s="173"/>
      <c r="AH168" s="281"/>
      <c r="AI168" s="174" t="s">
        <v>1509</v>
      </c>
      <c r="AJ168" s="173" t="s">
        <v>902</v>
      </c>
      <c r="AK168" s="181" t="str">
        <f t="shared" ca="1" si="34"/>
        <v>TERMINO</v>
      </c>
      <c r="AL168" s="181" t="s">
        <v>576</v>
      </c>
      <c r="AM168" s="176" t="s">
        <v>391</v>
      </c>
      <c r="AN168" s="848" t="str">
        <f>IFERROR(VLOOKUP(E168,'liquidaciones '!$B$2:$C$1048576,2,0),"NO")</f>
        <v>LIQUIDADO</v>
      </c>
      <c r="AO168" s="944">
        <f>IFERROR(VLOOKUP(E168,'liquidaciones '!$B$2:$I$1048576,8,0),"")</f>
        <v>0</v>
      </c>
      <c r="AP168" s="338"/>
      <c r="AQ168" s="177" t="str">
        <f t="shared" ca="1" si="35"/>
        <v>NO</v>
      </c>
      <c r="AR168" s="177" t="s">
        <v>1992</v>
      </c>
      <c r="AS168" s="433"/>
      <c r="AT168" s="964"/>
      <c r="AU168" s="964"/>
      <c r="AV168" s="964"/>
    </row>
    <row r="169" spans="2:48" ht="47.25" customHeight="1" x14ac:dyDescent="0.25">
      <c r="B169" s="15">
        <v>163</v>
      </c>
      <c r="C169" s="437"/>
      <c r="D169" s="437" t="str">
        <f t="shared" si="25"/>
        <v>2013</v>
      </c>
      <c r="E169" s="139" t="s">
        <v>405</v>
      </c>
      <c r="F169" s="132" t="s">
        <v>238</v>
      </c>
      <c r="G169" s="133">
        <v>52374136</v>
      </c>
      <c r="H169" s="993" t="s">
        <v>503</v>
      </c>
      <c r="I169" s="140">
        <v>1620000</v>
      </c>
      <c r="J169" s="134" t="s">
        <v>1088</v>
      </c>
      <c r="K169" s="157">
        <v>2013</v>
      </c>
      <c r="L169" s="546" t="s">
        <v>1088</v>
      </c>
      <c r="M169" s="138">
        <v>41662</v>
      </c>
      <c r="N169" s="138">
        <v>42026</v>
      </c>
      <c r="O169" s="127">
        <f>COUNTA(Modificaciones!I169,Modificaciones!K169,Modificaciones!M169,Modificaciones!O169)</f>
        <v>0</v>
      </c>
      <c r="P169" s="128">
        <f>VLOOKUP(E169,Modificaciones!$B$7:$Q$300,16,0)</f>
        <v>0</v>
      </c>
      <c r="Q169" s="129">
        <f>COUNTA(Modificaciones!S169,Modificaciones!U169,Modificaciones!W169,Modificaciones!Y169)</f>
        <v>0</v>
      </c>
      <c r="R169" s="130" t="str">
        <f>IF(Modificaciones!Z169=0,"",VLOOKUP(E169,Modificaciones!$B$7:$AA$400,25,0))</f>
        <v/>
      </c>
      <c r="S169" s="131" t="str">
        <f>IF(Modificaciones!AA169=0,"",VLOOKUP(E169,Modificaciones!$B$7:$AA$400,26,0))</f>
        <v/>
      </c>
      <c r="T169" s="7">
        <f t="shared" si="36"/>
        <v>42026</v>
      </c>
      <c r="U169" s="62">
        <f t="shared" si="27"/>
        <v>1620000</v>
      </c>
      <c r="V169" s="172">
        <f>VLOOKUP(E169,Modificaciones!$B$7:$AU$300,46,0)</f>
        <v>354000</v>
      </c>
      <c r="W169" s="93">
        <f t="shared" si="28"/>
        <v>1266000</v>
      </c>
      <c r="X169" s="312" t="s">
        <v>1414</v>
      </c>
      <c r="Y169" s="42">
        <f t="shared" si="29"/>
        <v>0.21851851851851853</v>
      </c>
      <c r="Z169" s="42">
        <f t="shared" ca="1" si="30"/>
        <v>1</v>
      </c>
      <c r="AA169" s="43">
        <f t="shared" ca="1" si="31"/>
        <v>0.78148148148148144</v>
      </c>
      <c r="AB169" s="202" t="str">
        <f t="shared" ca="1" si="32"/>
        <v/>
      </c>
      <c r="AC169" s="44" t="str">
        <f t="shared" si="33"/>
        <v>NO</v>
      </c>
      <c r="AD169" s="44"/>
      <c r="AE169" s="173" t="s">
        <v>1257</v>
      </c>
      <c r="AF169" s="301" t="s">
        <v>1169</v>
      </c>
      <c r="AG169" s="173" t="s">
        <v>1442</v>
      </c>
      <c r="AH169" s="281" t="s">
        <v>560</v>
      </c>
      <c r="AI169" s="174" t="s">
        <v>1380</v>
      </c>
      <c r="AJ169" s="173" t="s">
        <v>902</v>
      </c>
      <c r="AK169" s="181" t="str">
        <f t="shared" ca="1" si="34"/>
        <v>TERMINO</v>
      </c>
      <c r="AL169" s="181" t="s">
        <v>576</v>
      </c>
      <c r="AM169" s="176" t="s">
        <v>390</v>
      </c>
      <c r="AN169" s="848" t="str">
        <f>IFERROR(VLOOKUP(E169,'liquidaciones '!$B$2:$C$1048576,2,0),"NO")</f>
        <v>LIQUIDADO</v>
      </c>
      <c r="AO169" s="944">
        <f>IFERROR(VLOOKUP(E169,'liquidaciones '!$B$2:$I$1048576,8,0),"")</f>
        <v>0</v>
      </c>
      <c r="AP169" s="338">
        <v>41926</v>
      </c>
      <c r="AQ169" s="177" t="str">
        <f t="shared" ca="1" si="35"/>
        <v>NO</v>
      </c>
      <c r="AR169" s="177" t="s">
        <v>981</v>
      </c>
      <c r="AS169" s="433"/>
      <c r="AT169" s="964"/>
      <c r="AU169" s="964"/>
      <c r="AV169" s="964"/>
    </row>
    <row r="170" spans="2:48" ht="47.25" customHeight="1" x14ac:dyDescent="0.25">
      <c r="B170" s="15">
        <v>164</v>
      </c>
      <c r="C170" s="437"/>
      <c r="D170" s="437" t="str">
        <f t="shared" si="25"/>
        <v>2013</v>
      </c>
      <c r="E170" s="139" t="s">
        <v>236</v>
      </c>
      <c r="F170" s="132" t="s">
        <v>186</v>
      </c>
      <c r="G170" s="133">
        <v>800039398</v>
      </c>
      <c r="H170" s="993" t="s">
        <v>504</v>
      </c>
      <c r="I170" s="140">
        <v>32048480</v>
      </c>
      <c r="J170" s="850" t="s">
        <v>4784</v>
      </c>
      <c r="K170" s="157">
        <v>2013</v>
      </c>
      <c r="L170" s="546" t="s">
        <v>1088</v>
      </c>
      <c r="M170" s="138">
        <v>41655</v>
      </c>
      <c r="N170" s="138">
        <v>41713</v>
      </c>
      <c r="O170" s="127">
        <f>COUNTA(Modificaciones!I170,Modificaciones!K170,Modificaciones!M170,Modificaciones!O170)</f>
        <v>0</v>
      </c>
      <c r="P170" s="128">
        <f>VLOOKUP(E170,Modificaciones!$B$7:$Q$300,16,0)</f>
        <v>0</v>
      </c>
      <c r="Q170" s="129">
        <f>COUNTA(Modificaciones!S170,Modificaciones!U170,Modificaciones!W170,Modificaciones!Y170)</f>
        <v>0</v>
      </c>
      <c r="R170" s="130" t="str">
        <f>IF(Modificaciones!Z170=0,"",VLOOKUP(E170,Modificaciones!$B$7:$AA$400,25,0))</f>
        <v/>
      </c>
      <c r="S170" s="131" t="str">
        <f>IF(Modificaciones!AA170=0,"",VLOOKUP(E170,Modificaciones!$B$7:$AA$400,26,0))</f>
        <v/>
      </c>
      <c r="T170" s="7">
        <f t="shared" si="36"/>
        <v>41713</v>
      </c>
      <c r="U170" s="62">
        <f t="shared" si="27"/>
        <v>32048480</v>
      </c>
      <c r="V170" s="172">
        <f>VLOOKUP(E170,Modificaciones!$B$7:$AU$300,46,0)</f>
        <v>32048480</v>
      </c>
      <c r="W170" s="93">
        <f t="shared" si="28"/>
        <v>0</v>
      </c>
      <c r="X170" s="312" t="s">
        <v>1415</v>
      </c>
      <c r="Y170" s="42">
        <f t="shared" si="29"/>
        <v>1</v>
      </c>
      <c r="Z170" s="42">
        <f t="shared" ca="1" si="30"/>
        <v>1</v>
      </c>
      <c r="AA170" s="43">
        <f t="shared" ca="1" si="31"/>
        <v>0</v>
      </c>
      <c r="AB170" s="202" t="str">
        <f t="shared" ca="1" si="32"/>
        <v/>
      </c>
      <c r="AC170" s="44" t="str">
        <f t="shared" si="33"/>
        <v>SI</v>
      </c>
      <c r="AD170" s="44"/>
      <c r="AE170" s="173" t="s">
        <v>1257</v>
      </c>
      <c r="AF170" s="173" t="s">
        <v>1310</v>
      </c>
      <c r="AG170" s="173" t="s">
        <v>1439</v>
      </c>
      <c r="AH170" s="281" t="s">
        <v>560</v>
      </c>
      <c r="AI170" s="174"/>
      <c r="AJ170" s="173" t="s">
        <v>901</v>
      </c>
      <c r="AK170" s="181" t="str">
        <f t="shared" ca="1" si="34"/>
        <v>TERMINO</v>
      </c>
      <c r="AL170" s="181" t="s">
        <v>576</v>
      </c>
      <c r="AM170" s="176" t="s">
        <v>390</v>
      </c>
      <c r="AN170" s="848" t="str">
        <f>IFERROR(VLOOKUP(E170,'liquidaciones '!$B$2:$C$1048576,2,0),"NO")</f>
        <v>NO</v>
      </c>
      <c r="AO170" s="944" t="str">
        <f>IFERROR(VLOOKUP(E170,'liquidaciones '!$B$2:$I$1048576,8,0),"")</f>
        <v/>
      </c>
      <c r="AP170" s="338"/>
      <c r="AQ170" s="177" t="str">
        <f t="shared" ca="1" si="35"/>
        <v>NO</v>
      </c>
      <c r="AR170" s="177" t="s">
        <v>983</v>
      </c>
      <c r="AS170" s="433"/>
      <c r="AT170" s="964"/>
      <c r="AU170" s="964"/>
      <c r="AV170" s="964"/>
    </row>
    <row r="171" spans="2:48" ht="47.25" customHeight="1" x14ac:dyDescent="0.25">
      <c r="B171" s="15">
        <v>165</v>
      </c>
      <c r="C171" s="437"/>
      <c r="D171" s="437" t="str">
        <f t="shared" si="25"/>
        <v>2013</v>
      </c>
      <c r="E171" s="139" t="s">
        <v>241</v>
      </c>
      <c r="F171" s="132" t="s">
        <v>1044</v>
      </c>
      <c r="G171" s="133">
        <v>830093579</v>
      </c>
      <c r="H171" s="993" t="s">
        <v>505</v>
      </c>
      <c r="I171" s="140">
        <v>3480000</v>
      </c>
      <c r="J171" s="850" t="s">
        <v>4588</v>
      </c>
      <c r="K171" s="157">
        <v>2013</v>
      </c>
      <c r="L171" s="546" t="s">
        <v>1088</v>
      </c>
      <c r="M171" s="138">
        <v>41662</v>
      </c>
      <c r="N171" s="138">
        <v>41720</v>
      </c>
      <c r="O171" s="127">
        <f>COUNTA(Modificaciones!I171,Modificaciones!K171,Modificaciones!M171,Modificaciones!O171)</f>
        <v>0</v>
      </c>
      <c r="P171" s="128">
        <f>VLOOKUP(E171,Modificaciones!$B$7:$Q$300,16,0)</f>
        <v>0</v>
      </c>
      <c r="Q171" s="129">
        <f>COUNTA(Modificaciones!S171,Modificaciones!U171,Modificaciones!W171,Modificaciones!Y171)</f>
        <v>0</v>
      </c>
      <c r="R171" s="130" t="str">
        <f>IF(Modificaciones!Z171=0,"",VLOOKUP(E171,Modificaciones!$B$7:$AA$400,25,0))</f>
        <v/>
      </c>
      <c r="S171" s="131" t="str">
        <f>IF(Modificaciones!AA171=0,"",VLOOKUP(E171,Modificaciones!$B$7:$AA$400,26,0))</f>
        <v/>
      </c>
      <c r="T171" s="7">
        <f t="shared" si="36"/>
        <v>41720</v>
      </c>
      <c r="U171" s="62">
        <f t="shared" si="27"/>
        <v>3480000</v>
      </c>
      <c r="V171" s="172">
        <f>VLOOKUP(E171,Modificaciones!$B$7:$AU$300,46,0)</f>
        <v>3480000</v>
      </c>
      <c r="W171" s="93">
        <f t="shared" si="28"/>
        <v>0</v>
      </c>
      <c r="X171" s="309" t="s">
        <v>1895</v>
      </c>
      <c r="Y171" s="42">
        <f t="shared" si="29"/>
        <v>1</v>
      </c>
      <c r="Z171" s="42">
        <f t="shared" ca="1" si="30"/>
        <v>1</v>
      </c>
      <c r="AA171" s="43">
        <f t="shared" ca="1" si="31"/>
        <v>0</v>
      </c>
      <c r="AB171" s="202" t="str">
        <f t="shared" ca="1" si="32"/>
        <v/>
      </c>
      <c r="AC171" s="44" t="str">
        <f t="shared" si="33"/>
        <v>SI</v>
      </c>
      <c r="AD171" s="44"/>
      <c r="AE171" s="173" t="s">
        <v>1257</v>
      </c>
      <c r="AF171" s="173" t="s">
        <v>1311</v>
      </c>
      <c r="AG171" s="173"/>
      <c r="AH171" s="281"/>
      <c r="AI171" s="174"/>
      <c r="AJ171" s="173" t="s">
        <v>902</v>
      </c>
      <c r="AK171" s="181" t="str">
        <f t="shared" ca="1" si="34"/>
        <v>TERMINO</v>
      </c>
      <c r="AL171" s="181" t="s">
        <v>576</v>
      </c>
      <c r="AM171" s="176" t="s">
        <v>391</v>
      </c>
      <c r="AN171" s="848" t="str">
        <f>IFERROR(VLOOKUP(E171,'liquidaciones '!$B$2:$C$1048576,2,0),"NO")</f>
        <v>NO</v>
      </c>
      <c r="AO171" s="944" t="str">
        <f>IFERROR(VLOOKUP(E171,'liquidaciones '!$B$2:$I$1048576,8,0),"")</f>
        <v/>
      </c>
      <c r="AP171" s="338"/>
      <c r="AQ171" s="177" t="str">
        <f t="shared" ca="1" si="35"/>
        <v>NO</v>
      </c>
      <c r="AR171" s="177" t="s">
        <v>981</v>
      </c>
      <c r="AS171" s="433"/>
      <c r="AT171" s="964"/>
      <c r="AU171" s="964"/>
      <c r="AV171" s="964"/>
    </row>
    <row r="172" spans="2:48" ht="47.25" customHeight="1" x14ac:dyDescent="0.25">
      <c r="B172" s="15">
        <v>166</v>
      </c>
      <c r="C172" s="437"/>
      <c r="D172" s="437" t="str">
        <f t="shared" si="25"/>
        <v>2013</v>
      </c>
      <c r="E172" s="139" t="s">
        <v>237</v>
      </c>
      <c r="F172" s="132" t="s">
        <v>186</v>
      </c>
      <c r="G172" s="137">
        <v>800039398</v>
      </c>
      <c r="H172" s="993" t="s">
        <v>506</v>
      </c>
      <c r="I172" s="140">
        <v>126308000</v>
      </c>
      <c r="J172" s="850" t="s">
        <v>4028</v>
      </c>
      <c r="K172" s="157">
        <v>2013</v>
      </c>
      <c r="L172" s="546" t="s">
        <v>1088</v>
      </c>
      <c r="M172" s="138">
        <v>41662</v>
      </c>
      <c r="N172" s="138">
        <v>41736</v>
      </c>
      <c r="O172" s="127">
        <f>COUNTA(Modificaciones!I172,Modificaciones!K172,Modificaciones!M172,Modificaciones!O172)</f>
        <v>0</v>
      </c>
      <c r="P172" s="128">
        <f>VLOOKUP(E172,Modificaciones!$B$7:$Q$300,16,0)</f>
        <v>0</v>
      </c>
      <c r="Q172" s="129">
        <f>COUNTA(Modificaciones!S172,Modificaciones!U172,Modificaciones!W172,Modificaciones!Y172)</f>
        <v>0</v>
      </c>
      <c r="R172" s="130" t="str">
        <f>IF(Modificaciones!Z172=0,"",VLOOKUP(E172,Modificaciones!$B$7:$AA$400,25,0))</f>
        <v/>
      </c>
      <c r="S172" s="131" t="str">
        <f>IF(Modificaciones!AA172=0,"",VLOOKUP(E172,Modificaciones!$B$7:$AA$400,26,0))</f>
        <v/>
      </c>
      <c r="T172" s="7">
        <f t="shared" si="36"/>
        <v>41736</v>
      </c>
      <c r="U172" s="62">
        <f t="shared" si="27"/>
        <v>126308000</v>
      </c>
      <c r="V172" s="172">
        <f>VLOOKUP(E172,Modificaciones!$B$7:$AU$300,46,0)</f>
        <v>126308000</v>
      </c>
      <c r="W172" s="93">
        <f t="shared" si="28"/>
        <v>0</v>
      </c>
      <c r="X172" s="312" t="s">
        <v>1416</v>
      </c>
      <c r="Y172" s="42">
        <f t="shared" si="29"/>
        <v>1</v>
      </c>
      <c r="Z172" s="42">
        <f t="shared" ca="1" si="30"/>
        <v>1</v>
      </c>
      <c r="AA172" s="43">
        <f t="shared" ca="1" si="31"/>
        <v>0</v>
      </c>
      <c r="AB172" s="202" t="str">
        <f t="shared" ca="1" si="32"/>
        <v/>
      </c>
      <c r="AC172" s="44" t="str">
        <f t="shared" si="33"/>
        <v>SI</v>
      </c>
      <c r="AD172" s="44"/>
      <c r="AE172" s="173" t="s">
        <v>1257</v>
      </c>
      <c r="AF172" s="173" t="s">
        <v>1279</v>
      </c>
      <c r="AG172" s="173" t="s">
        <v>1442</v>
      </c>
      <c r="AH172" s="281" t="s">
        <v>560</v>
      </c>
      <c r="AI172" s="174" t="s">
        <v>1380</v>
      </c>
      <c r="AJ172" s="173" t="s">
        <v>902</v>
      </c>
      <c r="AK172" s="181" t="str">
        <f t="shared" ca="1" si="34"/>
        <v>TERMINO</v>
      </c>
      <c r="AL172" s="173" t="s">
        <v>575</v>
      </c>
      <c r="AM172" s="176" t="s">
        <v>390</v>
      </c>
      <c r="AN172" s="848" t="str">
        <f>IFERROR(VLOOKUP(E172,'liquidaciones '!$B$2:$C$1048576,2,0),"NO")</f>
        <v>LIQUIDADO</v>
      </c>
      <c r="AO172" s="944">
        <f>IFERROR(VLOOKUP(E172,'liquidaciones '!$B$2:$I$1048576,8,0),"")</f>
        <v>0</v>
      </c>
      <c r="AP172" s="338">
        <v>42009</v>
      </c>
      <c r="AQ172" s="177" t="str">
        <f t="shared" ca="1" si="35"/>
        <v>NO</v>
      </c>
      <c r="AR172" s="177" t="s">
        <v>1165</v>
      </c>
      <c r="AS172" s="433"/>
      <c r="AT172" s="964"/>
      <c r="AU172" s="964"/>
      <c r="AV172" s="964"/>
    </row>
    <row r="173" spans="2:48" ht="47.25" customHeight="1" x14ac:dyDescent="0.25">
      <c r="B173" s="15">
        <v>167</v>
      </c>
      <c r="C173" s="437"/>
      <c r="D173" s="437" t="str">
        <f t="shared" si="25"/>
        <v>2013</v>
      </c>
      <c r="E173" s="139" t="s">
        <v>230</v>
      </c>
      <c r="F173" s="132" t="s">
        <v>1045</v>
      </c>
      <c r="G173" s="133">
        <v>1010168639</v>
      </c>
      <c r="H173" s="993" t="s">
        <v>507</v>
      </c>
      <c r="I173" s="140">
        <v>3500000</v>
      </c>
      <c r="J173" s="850" t="s">
        <v>4419</v>
      </c>
      <c r="K173" s="157">
        <v>2013</v>
      </c>
      <c r="L173" s="546" t="s">
        <v>1088</v>
      </c>
      <c r="M173" s="138">
        <v>41638</v>
      </c>
      <c r="N173" s="138">
        <v>41668</v>
      </c>
      <c r="O173" s="127">
        <f>COUNTA(Modificaciones!I173,Modificaciones!K173,Modificaciones!M173,Modificaciones!O173)</f>
        <v>0</v>
      </c>
      <c r="P173" s="128">
        <f>VLOOKUP(E173,Modificaciones!$B$7:$Q$300,16,0)</f>
        <v>0</v>
      </c>
      <c r="Q173" s="129">
        <f>COUNTA(Modificaciones!S173,Modificaciones!U173,Modificaciones!W173,Modificaciones!Y173)</f>
        <v>0</v>
      </c>
      <c r="R173" s="130" t="str">
        <f>IF(Modificaciones!Z173=0,"",VLOOKUP(E173,Modificaciones!$B$7:$AA$400,25,0))</f>
        <v/>
      </c>
      <c r="S173" s="131" t="str">
        <f>IF(Modificaciones!AA173=0,"",VLOOKUP(E173,Modificaciones!$B$7:$AA$400,26,0))</f>
        <v/>
      </c>
      <c r="T173" s="7">
        <f t="shared" si="36"/>
        <v>41668</v>
      </c>
      <c r="U173" s="62">
        <f t="shared" si="27"/>
        <v>3500000</v>
      </c>
      <c r="V173" s="172">
        <f>VLOOKUP(E173,Modificaciones!$B$7:$AU$300,46,0)</f>
        <v>3500000</v>
      </c>
      <c r="W173" s="93">
        <f t="shared" si="28"/>
        <v>0</v>
      </c>
      <c r="X173" s="312" t="s">
        <v>1417</v>
      </c>
      <c r="Y173" s="42">
        <f t="shared" si="29"/>
        <v>1</v>
      </c>
      <c r="Z173" s="42">
        <f t="shared" ca="1" si="30"/>
        <v>1</v>
      </c>
      <c r="AA173" s="43">
        <f t="shared" ca="1" si="31"/>
        <v>0</v>
      </c>
      <c r="AB173" s="202" t="str">
        <f t="shared" ca="1" si="32"/>
        <v/>
      </c>
      <c r="AC173" s="44" t="str">
        <f t="shared" si="33"/>
        <v>SI</v>
      </c>
      <c r="AD173" s="44"/>
      <c r="AE173" s="173" t="s">
        <v>1256</v>
      </c>
      <c r="AF173" s="173" t="s">
        <v>1969</v>
      </c>
      <c r="AG173" s="173"/>
      <c r="AH173" s="281"/>
      <c r="AI173" s="174"/>
      <c r="AJ173" s="173" t="s">
        <v>901</v>
      </c>
      <c r="AK173" s="181" t="str">
        <f t="shared" ca="1" si="34"/>
        <v>TERMINO</v>
      </c>
      <c r="AL173" s="181" t="s">
        <v>582</v>
      </c>
      <c r="AM173" s="176" t="s">
        <v>391</v>
      </c>
      <c r="AN173" s="848" t="str">
        <f>IFERROR(VLOOKUP(E173,'liquidaciones '!$B$2:$C$1048576,2,0),"NO")</f>
        <v>LIQUIDADO</v>
      </c>
      <c r="AO173" s="944">
        <f>IFERROR(VLOOKUP(E173,'liquidaciones '!$B$2:$I$1048576,8,0),"")</f>
        <v>0</v>
      </c>
      <c r="AP173" s="338">
        <v>41919</v>
      </c>
      <c r="AQ173" s="177" t="str">
        <f t="shared" ca="1" si="35"/>
        <v>NO</v>
      </c>
      <c r="AR173" s="177" t="s">
        <v>1165</v>
      </c>
      <c r="AS173" s="433"/>
      <c r="AT173" s="964"/>
      <c r="AU173" s="964"/>
      <c r="AV173" s="964"/>
    </row>
    <row r="174" spans="2:48" ht="53.25" customHeight="1" x14ac:dyDescent="0.25">
      <c r="B174" s="15">
        <v>168</v>
      </c>
      <c r="C174" s="437"/>
      <c r="D174" s="437" t="str">
        <f t="shared" si="25"/>
        <v>2013</v>
      </c>
      <c r="E174" s="139" t="s">
        <v>243</v>
      </c>
      <c r="F174" s="132" t="s">
        <v>244</v>
      </c>
      <c r="G174" s="133">
        <v>800058607</v>
      </c>
      <c r="H174" s="993" t="s">
        <v>508</v>
      </c>
      <c r="I174" s="140">
        <v>803432165</v>
      </c>
      <c r="J174" s="850" t="s">
        <v>4783</v>
      </c>
      <c r="K174" s="157">
        <v>2013</v>
      </c>
      <c r="L174" s="546" t="s">
        <v>1088</v>
      </c>
      <c r="M174" s="138">
        <v>41670</v>
      </c>
      <c r="N174" s="138">
        <v>41759</v>
      </c>
      <c r="O174" s="127">
        <f>COUNTA(Modificaciones!I174,Modificaciones!K174,Modificaciones!M174,Modificaciones!O174)</f>
        <v>0</v>
      </c>
      <c r="P174" s="128">
        <f>VLOOKUP(E174,Modificaciones!$B$7:$Q$300,16,0)</f>
        <v>0</v>
      </c>
      <c r="Q174" s="129">
        <f>COUNTA(Modificaciones!S174,Modificaciones!U174,Modificaciones!W174,Modificaciones!Y174)</f>
        <v>1</v>
      </c>
      <c r="R174" s="130" t="str">
        <f>IF(Modificaciones!Z174=0,"",VLOOKUP(E174,Modificaciones!$B$7:$AA$400,25,0))</f>
        <v>30 días</v>
      </c>
      <c r="S174" s="131">
        <f>IF(Modificaciones!AA174=0,"",VLOOKUP(E174,Modificaciones!$B$7:$AA$400,26,0))</f>
        <v>41789</v>
      </c>
      <c r="T174" s="7">
        <f t="shared" si="36"/>
        <v>41789</v>
      </c>
      <c r="U174" s="62">
        <f t="shared" si="27"/>
        <v>803432165</v>
      </c>
      <c r="V174" s="172">
        <f>VLOOKUP(E174,Modificaciones!$B$7:$AU$300,46,0)</f>
        <v>741115935</v>
      </c>
      <c r="W174" s="93">
        <f t="shared" si="28"/>
        <v>62316230</v>
      </c>
      <c r="X174" s="312" t="s">
        <v>1418</v>
      </c>
      <c r="Y174" s="42">
        <f t="shared" si="29"/>
        <v>0.92243747174349189</v>
      </c>
      <c r="Z174" s="42">
        <f t="shared" ca="1" si="30"/>
        <v>1</v>
      </c>
      <c r="AA174" s="43">
        <f t="shared" ca="1" si="31"/>
        <v>7.7562528256508112E-2</v>
      </c>
      <c r="AB174" s="202" t="str">
        <f t="shared" ca="1" si="32"/>
        <v/>
      </c>
      <c r="AC174" s="44" t="str">
        <f t="shared" si="33"/>
        <v>NO</v>
      </c>
      <c r="AD174" s="44"/>
      <c r="AE174" s="173" t="s">
        <v>1257</v>
      </c>
      <c r="AF174" s="173" t="s">
        <v>1277</v>
      </c>
      <c r="AG174" s="173" t="s">
        <v>1439</v>
      </c>
      <c r="AH174" s="281" t="s">
        <v>560</v>
      </c>
      <c r="AI174" s="174"/>
      <c r="AJ174" s="173" t="s">
        <v>902</v>
      </c>
      <c r="AK174" s="181" t="str">
        <f t="shared" ca="1" si="34"/>
        <v>TERMINO</v>
      </c>
      <c r="AL174" s="173" t="s">
        <v>575</v>
      </c>
      <c r="AM174" s="176" t="s">
        <v>390</v>
      </c>
      <c r="AN174" s="848" t="str">
        <f>IFERROR(VLOOKUP(E174,'liquidaciones '!$B$2:$C$1048576,2,0),"NO")</f>
        <v>LIQUIDADO</v>
      </c>
      <c r="AO174" s="944" t="str">
        <f>IFERROR(VLOOKUP(E174,'liquidaciones '!$B$2:$I$1048576,8,0),"")</f>
        <v>JUAN DIEGO ESPITIA</v>
      </c>
      <c r="AP174" s="338">
        <v>42192</v>
      </c>
      <c r="AQ174" s="177" t="str">
        <f t="shared" ca="1" si="35"/>
        <v>NO</v>
      </c>
      <c r="AR174" s="177" t="s">
        <v>981</v>
      </c>
      <c r="AS174" s="433"/>
      <c r="AT174" s="964"/>
      <c r="AU174" s="964"/>
      <c r="AV174" s="964"/>
    </row>
    <row r="175" spans="2:48" ht="47.25" customHeight="1" x14ac:dyDescent="0.25">
      <c r="B175" s="15">
        <v>169</v>
      </c>
      <c r="C175" s="437"/>
      <c r="D175" s="437" t="str">
        <f t="shared" si="25"/>
        <v>2014</v>
      </c>
      <c r="E175" s="139" t="s">
        <v>1106</v>
      </c>
      <c r="F175" s="132" t="s">
        <v>100</v>
      </c>
      <c r="G175" s="133">
        <v>860019063</v>
      </c>
      <c r="H175" s="993" t="s">
        <v>1052</v>
      </c>
      <c r="I175" s="140">
        <v>30000000</v>
      </c>
      <c r="J175" s="850" t="s">
        <v>2667</v>
      </c>
      <c r="K175" s="157">
        <v>2014</v>
      </c>
      <c r="L175" s="546" t="s">
        <v>1088</v>
      </c>
      <c r="M175" s="138">
        <v>41703</v>
      </c>
      <c r="N175" s="138">
        <v>42067</v>
      </c>
      <c r="O175" s="127">
        <f>COUNTA(Modificaciones!I175,Modificaciones!K175,Modificaciones!M175,Modificaciones!O175)</f>
        <v>0</v>
      </c>
      <c r="P175" s="128">
        <f>VLOOKUP(E175,Modificaciones!$B$7:$Q$300,16,0)</f>
        <v>0</v>
      </c>
      <c r="Q175" s="129">
        <f>COUNTA(Modificaciones!S175,Modificaciones!U175,Modificaciones!W175,Modificaciones!Y175)</f>
        <v>1</v>
      </c>
      <c r="R175" s="130" t="str">
        <f>IF(Modificaciones!Z175=0,"",VLOOKUP(E175,Modificaciones!$B$7:$AA$400,25,0))</f>
        <v>2 meses</v>
      </c>
      <c r="S175" s="131">
        <f>IF(Modificaciones!AA175=0,"",VLOOKUP(E175,Modificaciones!$B$7:$AA$400,26,0))</f>
        <v>42129</v>
      </c>
      <c r="T175" s="7">
        <f t="shared" si="36"/>
        <v>42129</v>
      </c>
      <c r="U175" s="62">
        <f t="shared" si="27"/>
        <v>30000000</v>
      </c>
      <c r="V175" s="172">
        <f>VLOOKUP(E175,Modificaciones!$B$7:$AU$300,46,0)</f>
        <v>28330110</v>
      </c>
      <c r="W175" s="93">
        <f t="shared" si="28"/>
        <v>1669890</v>
      </c>
      <c r="X175" s="314" t="s">
        <v>1210</v>
      </c>
      <c r="Y175" s="42">
        <f t="shared" si="29"/>
        <v>0.94433699999999998</v>
      </c>
      <c r="Z175" s="42">
        <f t="shared" ca="1" si="30"/>
        <v>1</v>
      </c>
      <c r="AA175" s="43">
        <f t="shared" ca="1" si="31"/>
        <v>5.5663000000000018E-2</v>
      </c>
      <c r="AB175" s="202" t="str">
        <f t="shared" ca="1" si="32"/>
        <v/>
      </c>
      <c r="AC175" s="44" t="str">
        <f t="shared" si="33"/>
        <v>NO</v>
      </c>
      <c r="AD175" s="44"/>
      <c r="AE175" s="173" t="s">
        <v>1256</v>
      </c>
      <c r="AF175" s="173" t="s">
        <v>1126</v>
      </c>
      <c r="AG175" s="173" t="s">
        <v>1442</v>
      </c>
      <c r="AH175" s="281" t="s">
        <v>560</v>
      </c>
      <c r="AI175" s="174" t="s">
        <v>1319</v>
      </c>
      <c r="AJ175" s="173" t="s">
        <v>901</v>
      </c>
      <c r="AK175" s="181" t="str">
        <f t="shared" ca="1" si="34"/>
        <v>TERMINO</v>
      </c>
      <c r="AL175" s="181" t="s">
        <v>576</v>
      </c>
      <c r="AM175" s="176" t="s">
        <v>390</v>
      </c>
      <c r="AN175" s="848" t="str">
        <f>IFERROR(VLOOKUP(E175,'liquidaciones '!$B$2:$C$1048576,2,0),"NO")</f>
        <v>LIQUIDADO</v>
      </c>
      <c r="AO175" s="944">
        <f>IFERROR(VLOOKUP(E175,'liquidaciones '!$B$2:$I$1048576,8,0),"")</f>
        <v>0</v>
      </c>
      <c r="AP175" s="338"/>
      <c r="AQ175" s="177" t="str">
        <f t="shared" ca="1" si="35"/>
        <v>NO</v>
      </c>
      <c r="AR175" s="177" t="s">
        <v>1570</v>
      </c>
      <c r="AS175" s="433"/>
      <c r="AT175" s="964"/>
      <c r="AU175" s="964"/>
      <c r="AV175" s="964"/>
    </row>
    <row r="176" spans="2:48" ht="47.25" customHeight="1" x14ac:dyDescent="0.25">
      <c r="B176" s="15">
        <v>170</v>
      </c>
      <c r="C176" s="437"/>
      <c r="D176" s="437" t="str">
        <f t="shared" si="25"/>
        <v>2014</v>
      </c>
      <c r="E176" s="139" t="s">
        <v>278</v>
      </c>
      <c r="F176" s="132" t="s">
        <v>15</v>
      </c>
      <c r="G176" s="133">
        <v>830067096</v>
      </c>
      <c r="H176" s="993" t="s">
        <v>509</v>
      </c>
      <c r="I176" s="140">
        <v>7740000</v>
      </c>
      <c r="J176" s="861">
        <v>140034</v>
      </c>
      <c r="K176" s="157">
        <v>2014</v>
      </c>
      <c r="L176" s="546" t="s">
        <v>1088</v>
      </c>
      <c r="M176" s="138">
        <v>41775</v>
      </c>
      <c r="N176" s="138">
        <v>42139</v>
      </c>
      <c r="O176" s="127">
        <f>COUNTA(Modificaciones!I176,Modificaciones!K176,Modificaciones!M176,Modificaciones!O176)</f>
        <v>0</v>
      </c>
      <c r="P176" s="128">
        <f>VLOOKUP(E176,Modificaciones!$B$7:$Q$300,16,0)</f>
        <v>0</v>
      </c>
      <c r="Q176" s="129">
        <f>COUNTA(Modificaciones!S176,Modificaciones!U176,Modificaciones!W176,Modificaciones!Y176)</f>
        <v>0</v>
      </c>
      <c r="R176" s="130" t="str">
        <f>IF(Modificaciones!Z176=0,"",VLOOKUP(E176,Modificaciones!$B$7:$AA$400,25,0))</f>
        <v/>
      </c>
      <c r="S176" s="131" t="str">
        <f>IF(Modificaciones!AA176=0,"",VLOOKUP(E176,Modificaciones!$B$7:$AA$400,26,0))</f>
        <v/>
      </c>
      <c r="T176" s="7">
        <f t="shared" si="36"/>
        <v>42139</v>
      </c>
      <c r="U176" s="62">
        <f t="shared" si="27"/>
        <v>7740000</v>
      </c>
      <c r="V176" s="172">
        <f>VLOOKUP(E176,Modificaciones!$B$7:$AU$300,46,0)</f>
        <v>7740000</v>
      </c>
      <c r="W176" s="93">
        <f t="shared" si="28"/>
        <v>0</v>
      </c>
      <c r="X176" s="314" t="s">
        <v>1209</v>
      </c>
      <c r="Y176" s="42">
        <f t="shared" si="29"/>
        <v>1</v>
      </c>
      <c r="Z176" s="42">
        <f t="shared" ca="1" si="30"/>
        <v>1</v>
      </c>
      <c r="AA176" s="43">
        <f t="shared" ca="1" si="31"/>
        <v>0</v>
      </c>
      <c r="AB176" s="202" t="str">
        <f t="shared" ca="1" si="32"/>
        <v/>
      </c>
      <c r="AC176" s="44" t="str">
        <f t="shared" si="33"/>
        <v>SI</v>
      </c>
      <c r="AD176" s="44"/>
      <c r="AE176" s="173" t="s">
        <v>1256</v>
      </c>
      <c r="AF176" s="301" t="s">
        <v>1125</v>
      </c>
      <c r="AG176" s="173" t="s">
        <v>1430</v>
      </c>
      <c r="AH176" s="281" t="s">
        <v>564</v>
      </c>
      <c r="AI176" s="174" t="s">
        <v>1381</v>
      </c>
      <c r="AJ176" s="174" t="s">
        <v>901</v>
      </c>
      <c r="AK176" s="181" t="str">
        <f t="shared" ca="1" si="34"/>
        <v>TERMINO</v>
      </c>
      <c r="AL176" s="181" t="s">
        <v>582</v>
      </c>
      <c r="AM176" s="176" t="s">
        <v>390</v>
      </c>
      <c r="AN176" s="848" t="str">
        <f>IFERROR(VLOOKUP(E176,'liquidaciones '!$B$2:$C$1048576,2,0),"NO")</f>
        <v>LIQUIDADO</v>
      </c>
      <c r="AO176" s="944">
        <f>IFERROR(VLOOKUP(E176,'liquidaciones '!$B$2:$I$1048576,8,0),"")</f>
        <v>0</v>
      </c>
      <c r="AP176" s="338">
        <v>42318</v>
      </c>
      <c r="AQ176" s="177" t="str">
        <f t="shared" ca="1" si="35"/>
        <v>NO</v>
      </c>
      <c r="AR176" s="177" t="s">
        <v>1510</v>
      </c>
      <c r="AS176" s="433"/>
      <c r="AT176" s="964"/>
      <c r="AU176" s="964"/>
      <c r="AV176" s="964"/>
    </row>
    <row r="177" spans="1:48" ht="47.25" customHeight="1" x14ac:dyDescent="0.25">
      <c r="A177" s="15">
        <v>4</v>
      </c>
      <c r="B177" s="15">
        <v>171</v>
      </c>
      <c r="C177" s="437"/>
      <c r="D177" s="437" t="str">
        <f t="shared" si="25"/>
        <v>2014</v>
      </c>
      <c r="E177" s="139" t="s">
        <v>171</v>
      </c>
      <c r="F177" s="132" t="s">
        <v>1034</v>
      </c>
      <c r="G177" s="133">
        <v>79887061</v>
      </c>
      <c r="H177" s="993" t="s">
        <v>510</v>
      </c>
      <c r="I177" s="140">
        <v>29819999</v>
      </c>
      <c r="J177" s="134" t="s">
        <v>1088</v>
      </c>
      <c r="K177" s="157">
        <v>2014</v>
      </c>
      <c r="L177" s="546" t="s">
        <v>1088</v>
      </c>
      <c r="M177" s="138">
        <v>41675</v>
      </c>
      <c r="N177" s="138">
        <v>42008</v>
      </c>
      <c r="O177" s="127">
        <f>COUNTA(Modificaciones!I177,Modificaciones!K177,Modificaciones!M177,Modificaciones!O177)</f>
        <v>0</v>
      </c>
      <c r="P177" s="128">
        <f>VLOOKUP(E177,Modificaciones!$B$7:$Q$300,16,0)</f>
        <v>0</v>
      </c>
      <c r="Q177" s="129">
        <f>COUNTA(Modificaciones!S177,Modificaciones!U177,Modificaciones!W177,Modificaciones!Y177)</f>
        <v>0</v>
      </c>
      <c r="R177" s="130" t="str">
        <f>IF(Modificaciones!Z177=0,"",VLOOKUP(E177,Modificaciones!$B$7:$AA$400,25,0))</f>
        <v/>
      </c>
      <c r="S177" s="131" t="str">
        <f>IF(Modificaciones!AA177=0,"",VLOOKUP(E177,Modificaciones!$B$7:$AA$400,26,0))</f>
        <v/>
      </c>
      <c r="T177" s="7">
        <f t="shared" si="36"/>
        <v>42008</v>
      </c>
      <c r="U177" s="62">
        <f t="shared" si="27"/>
        <v>29819999</v>
      </c>
      <c r="V177" s="172">
        <f>VLOOKUP(E177,Modificaciones!$B$7:$AU$300,46,0)</f>
        <v>29819999</v>
      </c>
      <c r="W177" s="93">
        <f t="shared" si="28"/>
        <v>0</v>
      </c>
      <c r="X177" s="314" t="s">
        <v>1179</v>
      </c>
      <c r="Y177" s="42">
        <f t="shared" si="29"/>
        <v>1</v>
      </c>
      <c r="Z177" s="42">
        <f t="shared" ca="1" si="30"/>
        <v>1</v>
      </c>
      <c r="AA177" s="43">
        <f t="shared" ca="1" si="31"/>
        <v>0</v>
      </c>
      <c r="AB177" s="202" t="str">
        <f t="shared" ca="1" si="32"/>
        <v/>
      </c>
      <c r="AC177" s="44" t="str">
        <f t="shared" si="33"/>
        <v>SI</v>
      </c>
      <c r="AD177" s="44"/>
      <c r="AE177" s="173" t="s">
        <v>1256</v>
      </c>
      <c r="AF177" s="301" t="s">
        <v>1131</v>
      </c>
      <c r="AG177" s="173" t="s">
        <v>1439</v>
      </c>
      <c r="AH177" s="281" t="s">
        <v>560</v>
      </c>
      <c r="AI177" s="174"/>
      <c r="AJ177" s="174" t="s">
        <v>901</v>
      </c>
      <c r="AK177" s="181" t="str">
        <f t="shared" ca="1" si="34"/>
        <v>TERMINO</v>
      </c>
      <c r="AL177" s="181" t="s">
        <v>582</v>
      </c>
      <c r="AM177" s="176" t="s">
        <v>391</v>
      </c>
      <c r="AN177" s="848" t="str">
        <f>IFERROR(VLOOKUP(E177,'liquidaciones '!$B$2:$C$1048576,2,0),"NO")</f>
        <v>LIQUIDADO</v>
      </c>
      <c r="AO177" s="944">
        <f>IFERROR(VLOOKUP(E177,'liquidaciones '!$B$2:$I$1048576,8,0),"")</f>
        <v>0</v>
      </c>
      <c r="AP177" s="338">
        <v>42152</v>
      </c>
      <c r="AQ177" s="177" t="str">
        <f t="shared" ca="1" si="35"/>
        <v>NO</v>
      </c>
      <c r="AR177" s="177" t="s">
        <v>981</v>
      </c>
      <c r="AS177" s="433"/>
      <c r="AT177" s="964"/>
      <c r="AU177" s="964"/>
      <c r="AV177" s="964"/>
    </row>
    <row r="178" spans="1:48" ht="47.25" customHeight="1" x14ac:dyDescent="0.25">
      <c r="B178" s="15">
        <v>172</v>
      </c>
      <c r="C178" s="437"/>
      <c r="D178" s="437" t="str">
        <f t="shared" si="25"/>
        <v>2014</v>
      </c>
      <c r="E178" s="139" t="s">
        <v>252</v>
      </c>
      <c r="F178" s="132" t="s">
        <v>86</v>
      </c>
      <c r="G178" s="133">
        <v>860001022</v>
      </c>
      <c r="H178" s="993" t="s">
        <v>511</v>
      </c>
      <c r="I178" s="140">
        <v>1197000</v>
      </c>
      <c r="J178" s="134" t="s">
        <v>1088</v>
      </c>
      <c r="K178" s="157">
        <v>2014</v>
      </c>
      <c r="L178" s="546" t="s">
        <v>1088</v>
      </c>
      <c r="M178" s="138">
        <v>41717</v>
      </c>
      <c r="N178" s="138">
        <v>42081</v>
      </c>
      <c r="O178" s="127">
        <f>COUNTA(Modificaciones!I178,Modificaciones!K178,Modificaciones!M178,Modificaciones!O178)</f>
        <v>0</v>
      </c>
      <c r="P178" s="128">
        <f>VLOOKUP(E178,Modificaciones!$B$7:$Q$300,16,0)</f>
        <v>0</v>
      </c>
      <c r="Q178" s="129">
        <f>COUNTA(Modificaciones!S178,Modificaciones!U178,Modificaciones!W178,Modificaciones!Y178)</f>
        <v>0</v>
      </c>
      <c r="R178" s="130" t="str">
        <f>IF(Modificaciones!Z178=0,"",VLOOKUP(E178,Modificaciones!$B$7:$AA$400,25,0))</f>
        <v/>
      </c>
      <c r="S178" s="131" t="str">
        <f>IF(Modificaciones!AA178=0,"",VLOOKUP(E178,Modificaciones!$B$7:$AA$400,26,0))</f>
        <v/>
      </c>
      <c r="T178" s="7">
        <f t="shared" si="36"/>
        <v>42081</v>
      </c>
      <c r="U178" s="62">
        <f t="shared" si="27"/>
        <v>1197000</v>
      </c>
      <c r="V178" s="172">
        <f>VLOOKUP(E178,Modificaciones!$B$7:$AU$300,46,0)</f>
        <v>1197000</v>
      </c>
      <c r="W178" s="93">
        <f t="shared" si="28"/>
        <v>0</v>
      </c>
      <c r="X178" s="314" t="s">
        <v>1211</v>
      </c>
      <c r="Y178" s="42">
        <f t="shared" si="29"/>
        <v>1</v>
      </c>
      <c r="Z178" s="42">
        <f t="shared" ca="1" si="30"/>
        <v>1</v>
      </c>
      <c r="AA178" s="43">
        <f t="shared" ca="1" si="31"/>
        <v>0</v>
      </c>
      <c r="AB178" s="202" t="str">
        <f t="shared" ca="1" si="32"/>
        <v/>
      </c>
      <c r="AC178" s="44" t="str">
        <f t="shared" si="33"/>
        <v>SI</v>
      </c>
      <c r="AD178" s="44"/>
      <c r="AE178" s="173" t="s">
        <v>1256</v>
      </c>
      <c r="AF178" s="301" t="s">
        <v>1125</v>
      </c>
      <c r="AG178" s="173" t="s">
        <v>1430</v>
      </c>
      <c r="AH178" s="281" t="s">
        <v>564</v>
      </c>
      <c r="AI178" s="174" t="s">
        <v>1381</v>
      </c>
      <c r="AJ178" s="174" t="s">
        <v>901</v>
      </c>
      <c r="AK178" s="181" t="str">
        <f t="shared" ca="1" si="34"/>
        <v>TERMINO</v>
      </c>
      <c r="AL178" s="181" t="s">
        <v>582</v>
      </c>
      <c r="AM178" s="176" t="s">
        <v>390</v>
      </c>
      <c r="AN178" s="848" t="str">
        <f>IFERROR(VLOOKUP(E178,'liquidaciones '!$B$2:$C$1048576,2,0),"NO")</f>
        <v>EN TRÁMITE</v>
      </c>
      <c r="AO178" s="944">
        <f>IFERROR(VLOOKUP(E178,'liquidaciones '!$B$2:$I$1048576,8,0),"")</f>
        <v>0</v>
      </c>
      <c r="AP178" s="338"/>
      <c r="AQ178" s="177" t="str">
        <f t="shared" ca="1" si="35"/>
        <v>NO</v>
      </c>
      <c r="AR178" s="177" t="s">
        <v>1510</v>
      </c>
      <c r="AS178" s="433"/>
      <c r="AT178" s="964"/>
      <c r="AU178" s="964"/>
      <c r="AV178" s="964"/>
    </row>
    <row r="179" spans="1:48" ht="47.25" customHeight="1" x14ac:dyDescent="0.25">
      <c r="B179" s="15">
        <v>173</v>
      </c>
      <c r="C179" s="437"/>
      <c r="D179" s="437" t="str">
        <f t="shared" si="25"/>
        <v>2014</v>
      </c>
      <c r="E179" s="162" t="s">
        <v>270</v>
      </c>
      <c r="F179" s="145" t="s">
        <v>1031</v>
      </c>
      <c r="G179" s="133">
        <v>800249557</v>
      </c>
      <c r="H179" s="994" t="s">
        <v>512</v>
      </c>
      <c r="I179" s="163">
        <v>4000000</v>
      </c>
      <c r="J179" s="134" t="s">
        <v>1088</v>
      </c>
      <c r="K179" s="157">
        <v>2014</v>
      </c>
      <c r="L179" s="546" t="s">
        <v>1088</v>
      </c>
      <c r="M179" s="149">
        <v>41739</v>
      </c>
      <c r="N179" s="149">
        <v>41891</v>
      </c>
      <c r="O179" s="127">
        <f>COUNTA(Modificaciones!I179,Modificaciones!K179,Modificaciones!M179,Modificaciones!O179)</f>
        <v>0</v>
      </c>
      <c r="P179" s="128">
        <f>VLOOKUP(E179,Modificaciones!$B$7:$Q$300,16,0)</f>
        <v>0</v>
      </c>
      <c r="Q179" s="129">
        <f>COUNTA(Modificaciones!S179,Modificaciones!U179,Modificaciones!W179,Modificaciones!Y179)</f>
        <v>0</v>
      </c>
      <c r="R179" s="130" t="str">
        <f>IF(Modificaciones!Z179=0,"",VLOOKUP(E179,Modificaciones!$B$7:$AA$400,25,0))</f>
        <v/>
      </c>
      <c r="S179" s="131" t="str">
        <f>IF(Modificaciones!AA179=0,"",VLOOKUP(E179,Modificaciones!$B$7:$AA$400,26,0))</f>
        <v/>
      </c>
      <c r="T179" s="7">
        <f t="shared" si="36"/>
        <v>41891</v>
      </c>
      <c r="U179" s="62">
        <f t="shared" si="27"/>
        <v>4000000</v>
      </c>
      <c r="V179" s="172">
        <f>VLOOKUP(E179,Modificaciones!$B$7:$AU$300,46,0)</f>
        <v>4000000</v>
      </c>
      <c r="W179" s="93">
        <f t="shared" si="28"/>
        <v>0</v>
      </c>
      <c r="X179" s="314" t="s">
        <v>1212</v>
      </c>
      <c r="Y179" s="42">
        <f t="shared" si="29"/>
        <v>1</v>
      </c>
      <c r="Z179" s="42">
        <f t="shared" ca="1" si="30"/>
        <v>1</v>
      </c>
      <c r="AA179" s="43">
        <f t="shared" ca="1" si="31"/>
        <v>0</v>
      </c>
      <c r="AB179" s="202" t="str">
        <f t="shared" ca="1" si="32"/>
        <v/>
      </c>
      <c r="AC179" s="44" t="str">
        <f t="shared" si="33"/>
        <v>SI</v>
      </c>
      <c r="AD179" s="44"/>
      <c r="AE179" s="173" t="s">
        <v>1256</v>
      </c>
      <c r="AF179" s="173" t="s">
        <v>1291</v>
      </c>
      <c r="AG179" s="173"/>
      <c r="AH179" s="281"/>
      <c r="AI179" s="174"/>
      <c r="AJ179" s="174" t="s">
        <v>901</v>
      </c>
      <c r="AK179" s="181" t="str">
        <f t="shared" ca="1" si="34"/>
        <v>TERMINO</v>
      </c>
      <c r="AL179" s="181" t="s">
        <v>582</v>
      </c>
      <c r="AM179" s="176" t="s">
        <v>390</v>
      </c>
      <c r="AN179" s="848" t="str">
        <f>IFERROR(VLOOKUP(E179,'liquidaciones '!$B$2:$C$1048576,2,0),"NO")</f>
        <v>LIQUIDADO</v>
      </c>
      <c r="AO179" s="944">
        <f>IFERROR(VLOOKUP(E179,'liquidaciones '!$B$2:$I$1048576,8,0),"")</f>
        <v>0</v>
      </c>
      <c r="AP179" s="338">
        <v>42095</v>
      </c>
      <c r="AQ179" s="177" t="str">
        <f t="shared" ca="1" si="35"/>
        <v>NO</v>
      </c>
      <c r="AR179" s="177" t="s">
        <v>1510</v>
      </c>
      <c r="AS179" s="433"/>
      <c r="AT179" s="964"/>
      <c r="AU179" s="964"/>
      <c r="AV179" s="964"/>
    </row>
    <row r="180" spans="1:48" ht="65.25" customHeight="1" x14ac:dyDescent="0.25">
      <c r="B180" s="15">
        <v>174</v>
      </c>
      <c r="C180" s="437"/>
      <c r="D180" s="437" t="str">
        <f t="shared" si="25"/>
        <v>2014</v>
      </c>
      <c r="E180" s="162" t="s">
        <v>254</v>
      </c>
      <c r="F180" s="145" t="s">
        <v>1033</v>
      </c>
      <c r="G180" s="133">
        <v>51931422</v>
      </c>
      <c r="H180" s="994" t="s">
        <v>513</v>
      </c>
      <c r="I180" s="163">
        <v>42800000</v>
      </c>
      <c r="J180" s="134" t="s">
        <v>1088</v>
      </c>
      <c r="K180" s="157">
        <v>2014</v>
      </c>
      <c r="L180" s="546" t="s">
        <v>1088</v>
      </c>
      <c r="M180" s="149">
        <v>41701</v>
      </c>
      <c r="N180" s="149">
        <v>42006</v>
      </c>
      <c r="O180" s="127">
        <f>COUNTA(Modificaciones!I180,Modificaciones!K180,Modificaciones!M180,Modificaciones!O180)</f>
        <v>0</v>
      </c>
      <c r="P180" s="128">
        <f>VLOOKUP(E180,Modificaciones!$B$7:$Q$300,16,0)</f>
        <v>0</v>
      </c>
      <c r="Q180" s="129">
        <f>COUNTA(Modificaciones!S180,Modificaciones!U180,Modificaciones!W180,Modificaciones!Y180)</f>
        <v>0</v>
      </c>
      <c r="R180" s="130" t="str">
        <f>IF(Modificaciones!Z180=0,"",VLOOKUP(E180,Modificaciones!$B$7:$AA$400,25,0))</f>
        <v/>
      </c>
      <c r="S180" s="131" t="str">
        <f>IF(Modificaciones!AA180=0,"",VLOOKUP(E180,Modificaciones!$B$7:$AA$400,26,0))</f>
        <v/>
      </c>
      <c r="T180" s="7">
        <f t="shared" si="36"/>
        <v>42006</v>
      </c>
      <c r="U180" s="62">
        <f t="shared" si="27"/>
        <v>42800000</v>
      </c>
      <c r="V180" s="172">
        <f>VLOOKUP(E180,Modificaciones!$B$7:$AU$300,46,0)</f>
        <v>42800000</v>
      </c>
      <c r="W180" s="93">
        <f t="shared" si="28"/>
        <v>0</v>
      </c>
      <c r="X180" s="314" t="s">
        <v>1213</v>
      </c>
      <c r="Y180" s="42">
        <f t="shared" si="29"/>
        <v>1</v>
      </c>
      <c r="Z180" s="42">
        <f t="shared" ca="1" si="30"/>
        <v>1</v>
      </c>
      <c r="AA180" s="43">
        <f t="shared" ca="1" si="31"/>
        <v>0</v>
      </c>
      <c r="AB180" s="202" t="str">
        <f t="shared" ca="1" si="32"/>
        <v/>
      </c>
      <c r="AC180" s="44" t="str">
        <f t="shared" si="33"/>
        <v>SI</v>
      </c>
      <c r="AD180" s="44"/>
      <c r="AE180" s="173" t="s">
        <v>1256</v>
      </c>
      <c r="AF180" s="301" t="s">
        <v>1131</v>
      </c>
      <c r="AG180" s="173" t="s">
        <v>1177</v>
      </c>
      <c r="AH180" s="281" t="s">
        <v>559</v>
      </c>
      <c r="AI180" s="174" t="s">
        <v>1382</v>
      </c>
      <c r="AJ180" s="174" t="s">
        <v>901</v>
      </c>
      <c r="AK180" s="181" t="str">
        <f t="shared" ca="1" si="34"/>
        <v>TERMINO</v>
      </c>
      <c r="AL180" s="181" t="s">
        <v>582</v>
      </c>
      <c r="AM180" s="176" t="s">
        <v>391</v>
      </c>
      <c r="AN180" s="848" t="str">
        <f>IFERROR(VLOOKUP(E180,'liquidaciones '!$B$2:$C$1048576,2,0),"NO")</f>
        <v>LIQUIDADO</v>
      </c>
      <c r="AO180" s="944">
        <f>IFERROR(VLOOKUP(E180,'liquidaciones '!$B$2:$I$1048576,8,0),"")</f>
        <v>0</v>
      </c>
      <c r="AP180" s="338">
        <v>42145</v>
      </c>
      <c r="AQ180" s="177" t="str">
        <f t="shared" ca="1" si="35"/>
        <v>NO</v>
      </c>
      <c r="AR180" s="177" t="s">
        <v>981</v>
      </c>
      <c r="AS180" s="433"/>
      <c r="AT180" s="964"/>
      <c r="AU180" s="964"/>
      <c r="AV180" s="964"/>
    </row>
    <row r="181" spans="1:48" ht="47.25" customHeight="1" x14ac:dyDescent="0.25">
      <c r="B181" s="15">
        <v>175</v>
      </c>
      <c r="C181" s="437"/>
      <c r="D181" s="437" t="str">
        <f t="shared" si="25"/>
        <v>2014</v>
      </c>
      <c r="E181" s="139" t="s">
        <v>267</v>
      </c>
      <c r="F181" s="132" t="s">
        <v>1515</v>
      </c>
      <c r="G181" s="133">
        <v>80117116</v>
      </c>
      <c r="H181" s="993" t="s">
        <v>514</v>
      </c>
      <c r="I181" s="140">
        <v>38830000</v>
      </c>
      <c r="J181" s="134" t="s">
        <v>1088</v>
      </c>
      <c r="K181" s="157">
        <v>2014</v>
      </c>
      <c r="L181" s="546" t="s">
        <v>1088</v>
      </c>
      <c r="M181" s="138">
        <v>41708</v>
      </c>
      <c r="N181" s="138">
        <v>42013</v>
      </c>
      <c r="O181" s="127">
        <f>COUNTA(Modificaciones!I181,Modificaciones!K181,Modificaciones!M181,Modificaciones!O181)</f>
        <v>0</v>
      </c>
      <c r="P181" s="128">
        <f>VLOOKUP(E181,Modificaciones!$B$7:$Q$300,16,0)</f>
        <v>0</v>
      </c>
      <c r="Q181" s="129">
        <f>COUNTA(Modificaciones!S181,Modificaciones!U181,Modificaciones!W181,Modificaciones!Y181)</f>
        <v>0</v>
      </c>
      <c r="R181" s="130" t="str">
        <f>IF(Modificaciones!Z181=0,"",VLOOKUP(E181,Modificaciones!$B$7:$AA$400,25,0))</f>
        <v/>
      </c>
      <c r="S181" s="131" t="str">
        <f>IF(Modificaciones!AA181=0,"",VLOOKUP(E181,Modificaciones!$B$7:$AA$400,26,0))</f>
        <v/>
      </c>
      <c r="T181" s="7">
        <f t="shared" si="36"/>
        <v>42013</v>
      </c>
      <c r="U181" s="62">
        <f t="shared" si="27"/>
        <v>38830000</v>
      </c>
      <c r="V181" s="172">
        <f>VLOOKUP(E181,Modificaciones!$B$7:$AU$300,46,0)</f>
        <v>38830000</v>
      </c>
      <c r="W181" s="93">
        <f t="shared" si="28"/>
        <v>0</v>
      </c>
      <c r="X181" s="314" t="s">
        <v>1180</v>
      </c>
      <c r="Y181" s="42">
        <f t="shared" si="29"/>
        <v>1</v>
      </c>
      <c r="Z181" s="42">
        <f t="shared" ca="1" si="30"/>
        <v>1</v>
      </c>
      <c r="AA181" s="43">
        <f t="shared" ca="1" si="31"/>
        <v>0</v>
      </c>
      <c r="AB181" s="202" t="str">
        <f t="shared" ca="1" si="32"/>
        <v/>
      </c>
      <c r="AC181" s="44" t="str">
        <f t="shared" si="33"/>
        <v>SI</v>
      </c>
      <c r="AD181" s="44"/>
      <c r="AE181" s="173" t="s">
        <v>1256</v>
      </c>
      <c r="AF181" s="301" t="s">
        <v>1131</v>
      </c>
      <c r="AG181" s="173" t="s">
        <v>1430</v>
      </c>
      <c r="AH181" s="281" t="s">
        <v>564</v>
      </c>
      <c r="AI181" s="174" t="s">
        <v>1381</v>
      </c>
      <c r="AJ181" s="174" t="s">
        <v>901</v>
      </c>
      <c r="AK181" s="181" t="str">
        <f t="shared" ca="1" si="34"/>
        <v>TERMINO</v>
      </c>
      <c r="AL181" s="181" t="s">
        <v>582</v>
      </c>
      <c r="AM181" s="176" t="s">
        <v>391</v>
      </c>
      <c r="AN181" s="848" t="str">
        <f>IFERROR(VLOOKUP(E181,'liquidaciones '!$B$2:$C$1048576,2,0),"NO")</f>
        <v>NO</v>
      </c>
      <c r="AO181" s="944" t="str">
        <f>IFERROR(VLOOKUP(E181,'liquidaciones '!$B$2:$I$1048576,8,0),"")</f>
        <v/>
      </c>
      <c r="AP181" s="338">
        <v>42087</v>
      </c>
      <c r="AQ181" s="177" t="str">
        <f t="shared" ca="1" si="35"/>
        <v>NO</v>
      </c>
      <c r="AR181" s="177" t="s">
        <v>981</v>
      </c>
      <c r="AS181" s="433"/>
      <c r="AT181" s="964"/>
      <c r="AU181" s="964"/>
      <c r="AV181" s="964"/>
    </row>
    <row r="182" spans="1:48" ht="47.25" customHeight="1" x14ac:dyDescent="0.25">
      <c r="A182" s="39"/>
      <c r="B182" s="15">
        <v>176</v>
      </c>
      <c r="C182" s="437"/>
      <c r="D182" s="437" t="str">
        <f t="shared" si="25"/>
        <v>2014</v>
      </c>
      <c r="E182" s="162" t="s">
        <v>257</v>
      </c>
      <c r="F182" s="145" t="s">
        <v>1035</v>
      </c>
      <c r="G182" s="133">
        <v>4098836</v>
      </c>
      <c r="H182" s="994" t="s">
        <v>515</v>
      </c>
      <c r="I182" s="163">
        <v>40997000</v>
      </c>
      <c r="J182" s="134" t="s">
        <v>1088</v>
      </c>
      <c r="K182" s="157">
        <v>2014</v>
      </c>
      <c r="L182" s="546" t="s">
        <v>1088</v>
      </c>
      <c r="M182" s="149">
        <v>41675</v>
      </c>
      <c r="N182" s="149">
        <v>42008</v>
      </c>
      <c r="O182" s="127">
        <f>COUNTA(Modificaciones!I182,Modificaciones!K182,Modificaciones!M182,Modificaciones!O182)</f>
        <v>0</v>
      </c>
      <c r="P182" s="128">
        <f>VLOOKUP(E182,Modificaciones!$B$7:$Q$300,16,0)</f>
        <v>0</v>
      </c>
      <c r="Q182" s="129">
        <f>COUNTA(Modificaciones!S182,Modificaciones!U182,Modificaciones!W182,Modificaciones!Y182)</f>
        <v>0</v>
      </c>
      <c r="R182" s="130" t="str">
        <f>IF(Modificaciones!Z182=0,"",VLOOKUP(E182,Modificaciones!$B$7:$AA$400,25,0))</f>
        <v/>
      </c>
      <c r="S182" s="131" t="str">
        <f>IF(Modificaciones!AA182=0,"",VLOOKUP(E182,Modificaciones!$B$7:$AA$400,26,0))</f>
        <v/>
      </c>
      <c r="T182" s="7">
        <f t="shared" si="36"/>
        <v>42008</v>
      </c>
      <c r="U182" s="62">
        <f t="shared" si="27"/>
        <v>40997000</v>
      </c>
      <c r="V182" s="172">
        <f>VLOOKUP(E182,Modificaciones!$B$7:$AU$300,46,0)</f>
        <v>40997000</v>
      </c>
      <c r="W182" s="93">
        <f t="shared" si="28"/>
        <v>0</v>
      </c>
      <c r="X182" s="314" t="s">
        <v>1214</v>
      </c>
      <c r="Y182" s="42">
        <f t="shared" si="29"/>
        <v>1</v>
      </c>
      <c r="Z182" s="42">
        <f t="shared" ca="1" si="30"/>
        <v>1</v>
      </c>
      <c r="AA182" s="43">
        <f t="shared" ca="1" si="31"/>
        <v>0</v>
      </c>
      <c r="AB182" s="202" t="str">
        <f t="shared" ca="1" si="32"/>
        <v/>
      </c>
      <c r="AC182" s="44" t="str">
        <f t="shared" si="33"/>
        <v>SI</v>
      </c>
      <c r="AD182" s="44"/>
      <c r="AE182" s="173" t="s">
        <v>1256</v>
      </c>
      <c r="AF182" s="301" t="s">
        <v>1131</v>
      </c>
      <c r="AG182" s="173" t="s">
        <v>1177</v>
      </c>
      <c r="AH182" s="281" t="s">
        <v>559</v>
      </c>
      <c r="AI182" s="174" t="s">
        <v>1382</v>
      </c>
      <c r="AJ182" s="174" t="s">
        <v>901</v>
      </c>
      <c r="AK182" s="181" t="str">
        <f t="shared" ca="1" si="34"/>
        <v>TERMINO</v>
      </c>
      <c r="AL182" s="181" t="s">
        <v>582</v>
      </c>
      <c r="AM182" s="176" t="s">
        <v>391</v>
      </c>
      <c r="AN182" s="848" t="str">
        <f>IFERROR(VLOOKUP(E182,'liquidaciones '!$B$2:$C$1048576,2,0),"NO")</f>
        <v>LIQUIDADO</v>
      </c>
      <c r="AO182" s="944">
        <f>IFERROR(VLOOKUP(E182,'liquidaciones '!$B$2:$I$1048576,8,0),"")</f>
        <v>0</v>
      </c>
      <c r="AP182" s="338">
        <v>42153</v>
      </c>
      <c r="AQ182" s="177" t="str">
        <f t="shared" ca="1" si="35"/>
        <v>NO</v>
      </c>
      <c r="AR182" s="177" t="s">
        <v>981</v>
      </c>
      <c r="AS182" s="433"/>
      <c r="AT182" s="964"/>
      <c r="AU182" s="964"/>
      <c r="AV182" s="964"/>
    </row>
    <row r="183" spans="1:48" ht="47.25" customHeight="1" x14ac:dyDescent="0.25">
      <c r="B183" s="15">
        <v>177</v>
      </c>
      <c r="C183" s="437"/>
      <c r="D183" s="437" t="str">
        <f t="shared" si="25"/>
        <v>2014</v>
      </c>
      <c r="E183" s="139" t="s">
        <v>245</v>
      </c>
      <c r="F183" s="132" t="s">
        <v>226</v>
      </c>
      <c r="G183" s="133">
        <v>19136712</v>
      </c>
      <c r="H183" s="993" t="s">
        <v>516</v>
      </c>
      <c r="I183" s="140">
        <v>55000000</v>
      </c>
      <c r="J183" s="134" t="s">
        <v>1088</v>
      </c>
      <c r="K183" s="157">
        <v>2014</v>
      </c>
      <c r="L183" s="546">
        <v>41663</v>
      </c>
      <c r="M183" s="138">
        <v>41675</v>
      </c>
      <c r="N183" s="138">
        <v>42008</v>
      </c>
      <c r="O183" s="127">
        <f>COUNTA(Modificaciones!I183,Modificaciones!K183,Modificaciones!M183,Modificaciones!O183)</f>
        <v>0</v>
      </c>
      <c r="P183" s="128">
        <f>VLOOKUP(E183,Modificaciones!$B$7:$Q$300,16,0)</f>
        <v>0</v>
      </c>
      <c r="Q183" s="129">
        <f>COUNTA(Modificaciones!S183,Modificaciones!U183,Modificaciones!W183,Modificaciones!Y183)</f>
        <v>0</v>
      </c>
      <c r="R183" s="130" t="str">
        <f>IF(Modificaciones!Z183=0,"",VLOOKUP(E183,Modificaciones!$B$7:$AA$400,25,0))</f>
        <v/>
      </c>
      <c r="S183" s="131" t="str">
        <f>IF(Modificaciones!AA183=0,"",VLOOKUP(E183,Modificaciones!$B$7:$AA$400,26,0))</f>
        <v/>
      </c>
      <c r="T183" s="7">
        <f t="shared" si="36"/>
        <v>42008</v>
      </c>
      <c r="U183" s="62">
        <f t="shared" si="27"/>
        <v>55000000</v>
      </c>
      <c r="V183" s="172">
        <f>VLOOKUP(E183,Modificaciones!$B$7:$AU$300,46,0)</f>
        <v>54333333</v>
      </c>
      <c r="W183" s="93">
        <f t="shared" si="28"/>
        <v>666667</v>
      </c>
      <c r="X183" s="314" t="s">
        <v>1215</v>
      </c>
      <c r="Y183" s="42">
        <f t="shared" si="29"/>
        <v>0.98787878181818178</v>
      </c>
      <c r="Z183" s="42">
        <f t="shared" ca="1" si="30"/>
        <v>1</v>
      </c>
      <c r="AA183" s="43">
        <f t="shared" ca="1" si="31"/>
        <v>1.2121218181818216E-2</v>
      </c>
      <c r="AB183" s="202" t="str">
        <f t="shared" ca="1" si="32"/>
        <v/>
      </c>
      <c r="AC183" s="44" t="str">
        <f t="shared" si="33"/>
        <v>NO</v>
      </c>
      <c r="AD183" s="44"/>
      <c r="AE183" s="173" t="s">
        <v>1256</v>
      </c>
      <c r="AF183" s="173" t="s">
        <v>1969</v>
      </c>
      <c r="AG183" s="173"/>
      <c r="AH183" s="281" t="s">
        <v>559</v>
      </c>
      <c r="AI183" s="174" t="s">
        <v>1382</v>
      </c>
      <c r="AJ183" s="174" t="s">
        <v>901</v>
      </c>
      <c r="AK183" s="181" t="str">
        <f t="shared" ca="1" si="34"/>
        <v>TERMINO</v>
      </c>
      <c r="AL183" s="181" t="s">
        <v>582</v>
      </c>
      <c r="AM183" s="176" t="s">
        <v>391</v>
      </c>
      <c r="AN183" s="848" t="str">
        <f>IFERROR(VLOOKUP(E183,'liquidaciones '!$B$2:$C$1048576,2,0),"NO")</f>
        <v>EN TRÁMITE</v>
      </c>
      <c r="AO183" s="944">
        <f>IFERROR(VLOOKUP(E183,'liquidaciones '!$B$2:$I$1048576,8,0),"")</f>
        <v>0</v>
      </c>
      <c r="AP183" s="338"/>
      <c r="AQ183" s="177" t="str">
        <f t="shared" ca="1" si="35"/>
        <v>NO</v>
      </c>
      <c r="AR183" s="177" t="s">
        <v>1056</v>
      </c>
      <c r="AS183" s="433"/>
      <c r="AT183" s="964"/>
      <c r="AU183" s="964"/>
      <c r="AV183" s="964"/>
    </row>
    <row r="184" spans="1:48" ht="73.5" customHeight="1" x14ac:dyDescent="0.25">
      <c r="A184" s="39"/>
      <c r="B184" s="15">
        <v>178</v>
      </c>
      <c r="C184" s="437"/>
      <c r="D184" s="437" t="str">
        <f t="shared" si="25"/>
        <v>2014</v>
      </c>
      <c r="E184" s="139" t="s">
        <v>1108</v>
      </c>
      <c r="F184" s="132" t="s">
        <v>222</v>
      </c>
      <c r="G184" s="133">
        <v>7212142</v>
      </c>
      <c r="H184" s="993" t="s">
        <v>516</v>
      </c>
      <c r="I184" s="140">
        <v>55000000</v>
      </c>
      <c r="J184" s="134" t="s">
        <v>1088</v>
      </c>
      <c r="K184" s="157">
        <v>2014</v>
      </c>
      <c r="L184" s="546">
        <v>41663</v>
      </c>
      <c r="M184" s="138">
        <v>41675</v>
      </c>
      <c r="N184" s="138">
        <v>42008</v>
      </c>
      <c r="O184" s="127">
        <f>COUNTA(Modificaciones!I184,Modificaciones!K184,Modificaciones!M184,Modificaciones!O184)</f>
        <v>0</v>
      </c>
      <c r="P184" s="128">
        <f>VLOOKUP(E184,Modificaciones!$B$7:$Q$300,16,0)</f>
        <v>0</v>
      </c>
      <c r="Q184" s="129">
        <f>COUNTA(Modificaciones!S184,Modificaciones!U184,Modificaciones!W184,Modificaciones!Y184)</f>
        <v>0</v>
      </c>
      <c r="R184" s="130" t="str">
        <f>IF(Modificaciones!Z184=0,"",VLOOKUP(E184,Modificaciones!$B$7:$AA$400,25,0))</f>
        <v/>
      </c>
      <c r="S184" s="131" t="str">
        <f>IF(Modificaciones!AA184=0,"",VLOOKUP(E184,Modificaciones!$B$7:$AA$400,26,0))</f>
        <v/>
      </c>
      <c r="T184" s="7">
        <f t="shared" si="36"/>
        <v>42008</v>
      </c>
      <c r="U184" s="62">
        <f t="shared" si="27"/>
        <v>55000000</v>
      </c>
      <c r="V184" s="172">
        <f>VLOOKUP(E184,Modificaciones!$B$7:$AU$300,46,0)</f>
        <v>55000000</v>
      </c>
      <c r="W184" s="93">
        <f t="shared" si="28"/>
        <v>0</v>
      </c>
      <c r="X184" s="314" t="s">
        <v>1215</v>
      </c>
      <c r="Y184" s="42">
        <f t="shared" si="29"/>
        <v>1</v>
      </c>
      <c r="Z184" s="42">
        <f t="shared" ca="1" si="30"/>
        <v>1</v>
      </c>
      <c r="AA184" s="43">
        <f t="shared" ca="1" si="31"/>
        <v>0</v>
      </c>
      <c r="AB184" s="202" t="str">
        <f t="shared" ca="1" si="32"/>
        <v/>
      </c>
      <c r="AC184" s="44" t="str">
        <f t="shared" si="33"/>
        <v>SI</v>
      </c>
      <c r="AD184" s="44"/>
      <c r="AE184" s="173" t="s">
        <v>1256</v>
      </c>
      <c r="AF184" s="173" t="s">
        <v>1969</v>
      </c>
      <c r="AG184" s="173"/>
      <c r="AH184" s="281" t="s">
        <v>559</v>
      </c>
      <c r="AI184" s="174" t="s">
        <v>1382</v>
      </c>
      <c r="AJ184" s="174" t="s">
        <v>901</v>
      </c>
      <c r="AK184" s="181" t="str">
        <f t="shared" ca="1" si="34"/>
        <v>TERMINO</v>
      </c>
      <c r="AL184" s="181" t="s">
        <v>582</v>
      </c>
      <c r="AM184" s="176" t="s">
        <v>391</v>
      </c>
      <c r="AN184" s="848" t="str">
        <f>IFERROR(VLOOKUP(E184,'liquidaciones '!$B$2:$C$1048576,2,0),"NO")</f>
        <v>NO</v>
      </c>
      <c r="AO184" s="944" t="str">
        <f>IFERROR(VLOOKUP(E184,'liquidaciones '!$B$2:$I$1048576,8,0),"")</f>
        <v/>
      </c>
      <c r="AP184" s="338">
        <v>42234</v>
      </c>
      <c r="AQ184" s="177" t="str">
        <f t="shared" ca="1" si="35"/>
        <v>NO</v>
      </c>
      <c r="AR184" s="177" t="s">
        <v>1056</v>
      </c>
      <c r="AS184" s="433"/>
      <c r="AT184" s="964"/>
      <c r="AU184" s="964"/>
      <c r="AV184" s="964"/>
    </row>
    <row r="185" spans="1:48" ht="56.25" customHeight="1" x14ac:dyDescent="0.25">
      <c r="B185" s="15">
        <v>179</v>
      </c>
      <c r="C185" s="437"/>
      <c r="D185" s="437" t="str">
        <f t="shared" si="25"/>
        <v>2014</v>
      </c>
      <c r="E185" s="139" t="s">
        <v>247</v>
      </c>
      <c r="F185" s="2" t="s">
        <v>1514</v>
      </c>
      <c r="G185" s="133">
        <v>72167924</v>
      </c>
      <c r="H185" s="993" t="s">
        <v>516</v>
      </c>
      <c r="I185" s="140">
        <v>55000000</v>
      </c>
      <c r="J185" s="850" t="s">
        <v>2616</v>
      </c>
      <c r="K185" s="157">
        <v>2014</v>
      </c>
      <c r="L185" s="546">
        <v>41663</v>
      </c>
      <c r="M185" s="138">
        <v>41675</v>
      </c>
      <c r="N185" s="138">
        <v>42008</v>
      </c>
      <c r="O185" s="127">
        <f>COUNTA(Modificaciones!I185,Modificaciones!K185,Modificaciones!M185,Modificaciones!O185)</f>
        <v>0</v>
      </c>
      <c r="P185" s="128">
        <f>VLOOKUP(E185,Modificaciones!$B$7:$Q$300,16,0)</f>
        <v>0</v>
      </c>
      <c r="Q185" s="129">
        <f>COUNTA(Modificaciones!S185,Modificaciones!U185,Modificaciones!W185,Modificaciones!Y185)</f>
        <v>0</v>
      </c>
      <c r="R185" s="130" t="str">
        <f>IF(Modificaciones!Z185=0,"",VLOOKUP(E185,Modificaciones!$B$7:$AA$400,25,0))</f>
        <v/>
      </c>
      <c r="S185" s="131" t="str">
        <f>IF(Modificaciones!AA185=0,"",VLOOKUP(E185,Modificaciones!$B$7:$AA$400,26,0))</f>
        <v/>
      </c>
      <c r="T185" s="7">
        <f t="shared" si="36"/>
        <v>42008</v>
      </c>
      <c r="U185" s="62">
        <f t="shared" si="27"/>
        <v>55000000</v>
      </c>
      <c r="V185" s="172">
        <f>VLOOKUP(E185,Modificaciones!$B$7:$AU$300,46,0)</f>
        <v>54666666</v>
      </c>
      <c r="W185" s="93">
        <f t="shared" si="28"/>
        <v>333334</v>
      </c>
      <c r="X185" s="314" t="s">
        <v>1215</v>
      </c>
      <c r="Y185" s="42">
        <f t="shared" si="29"/>
        <v>0.99393938181818187</v>
      </c>
      <c r="Z185" s="42">
        <f t="shared" ca="1" si="30"/>
        <v>1</v>
      </c>
      <c r="AA185" s="43">
        <f t="shared" ca="1" si="31"/>
        <v>6.0606181818181337E-3</v>
      </c>
      <c r="AB185" s="202" t="str">
        <f t="shared" ca="1" si="32"/>
        <v/>
      </c>
      <c r="AC185" s="44" t="str">
        <f t="shared" si="33"/>
        <v>NO</v>
      </c>
      <c r="AD185" s="44"/>
      <c r="AE185" s="173" t="s">
        <v>1256</v>
      </c>
      <c r="AF185" s="173" t="s">
        <v>1969</v>
      </c>
      <c r="AG185" s="173"/>
      <c r="AH185" s="281" t="s">
        <v>559</v>
      </c>
      <c r="AI185" s="174" t="s">
        <v>1382</v>
      </c>
      <c r="AJ185" s="174" t="s">
        <v>901</v>
      </c>
      <c r="AK185" s="181" t="str">
        <f t="shared" ca="1" si="34"/>
        <v>TERMINO</v>
      </c>
      <c r="AL185" s="181" t="s">
        <v>582</v>
      </c>
      <c r="AM185" s="176" t="s">
        <v>391</v>
      </c>
      <c r="AN185" s="848" t="str">
        <f>IFERROR(VLOOKUP(E185,'liquidaciones '!$B$2:$C$1048576,2,0),"NO")</f>
        <v>LIQUIDADO</v>
      </c>
      <c r="AO185" s="944">
        <f>IFERROR(VLOOKUP(E185,'liquidaciones '!$B$2:$I$1048576,8,0),"")</f>
        <v>0</v>
      </c>
      <c r="AP185" s="338">
        <v>42277</v>
      </c>
      <c r="AQ185" s="177" t="str">
        <f t="shared" ca="1" si="35"/>
        <v>NO</v>
      </c>
      <c r="AR185" s="177" t="s">
        <v>1056</v>
      </c>
      <c r="AS185" s="433"/>
      <c r="AT185" s="964"/>
      <c r="AU185" s="964"/>
      <c r="AV185" s="964"/>
    </row>
    <row r="186" spans="1:48" ht="47.25" customHeight="1" x14ac:dyDescent="0.25">
      <c r="B186" s="15">
        <v>180</v>
      </c>
      <c r="C186" s="437"/>
      <c r="D186" s="437" t="str">
        <f t="shared" si="25"/>
        <v>2014</v>
      </c>
      <c r="E186" s="139" t="s">
        <v>249</v>
      </c>
      <c r="F186" s="132" t="s">
        <v>1045</v>
      </c>
      <c r="G186" s="133">
        <v>1010168639</v>
      </c>
      <c r="H186" s="993" t="s">
        <v>2202</v>
      </c>
      <c r="I186" s="140">
        <v>38500000</v>
      </c>
      <c r="J186" s="850" t="s">
        <v>2617</v>
      </c>
      <c r="K186" s="157">
        <v>2014</v>
      </c>
      <c r="L186" s="546">
        <v>41663</v>
      </c>
      <c r="M186" s="138">
        <v>41675</v>
      </c>
      <c r="N186" s="138">
        <v>42008</v>
      </c>
      <c r="O186" s="127">
        <f>COUNTA(Modificaciones!I186,Modificaciones!K186,Modificaciones!M186,Modificaciones!O186)</f>
        <v>0</v>
      </c>
      <c r="P186" s="128">
        <f>VLOOKUP(E186,Modificaciones!$B$7:$Q$300,16,0)</f>
        <v>0</v>
      </c>
      <c r="Q186" s="129">
        <f>COUNTA(Modificaciones!S186,Modificaciones!U186,Modificaciones!W186,Modificaciones!Y186)</f>
        <v>0</v>
      </c>
      <c r="R186" s="130" t="str">
        <f>IF(Modificaciones!Z186=0,"",VLOOKUP(E186,Modificaciones!$B$7:$AA$400,25,0))</f>
        <v/>
      </c>
      <c r="S186" s="131" t="str">
        <f>IF(Modificaciones!AA186=0,"",VLOOKUP(E186,Modificaciones!$B$7:$AA$400,26,0))</f>
        <v/>
      </c>
      <c r="T186" s="7">
        <f t="shared" si="36"/>
        <v>42008</v>
      </c>
      <c r="U186" s="62">
        <f t="shared" si="27"/>
        <v>38500000</v>
      </c>
      <c r="V186" s="172">
        <f>VLOOKUP(E186,Modificaciones!$B$7:$AU$300,46,0)</f>
        <v>38500000</v>
      </c>
      <c r="W186" s="93">
        <f t="shared" si="28"/>
        <v>0</v>
      </c>
      <c r="X186" s="314" t="s">
        <v>1216</v>
      </c>
      <c r="Y186" s="42">
        <f t="shared" si="29"/>
        <v>1</v>
      </c>
      <c r="Z186" s="42">
        <f t="shared" ca="1" si="30"/>
        <v>1</v>
      </c>
      <c r="AA186" s="43">
        <f t="shared" ca="1" si="31"/>
        <v>0</v>
      </c>
      <c r="AB186" s="202" t="str">
        <f t="shared" ca="1" si="32"/>
        <v/>
      </c>
      <c r="AC186" s="44" t="str">
        <f t="shared" si="33"/>
        <v>SI</v>
      </c>
      <c r="AD186" s="44"/>
      <c r="AE186" s="173" t="s">
        <v>1256</v>
      </c>
      <c r="AF186" s="173" t="s">
        <v>1969</v>
      </c>
      <c r="AG186" s="173"/>
      <c r="AH186" s="281" t="s">
        <v>559</v>
      </c>
      <c r="AI186" s="174" t="s">
        <v>1382</v>
      </c>
      <c r="AJ186" s="174" t="s">
        <v>901</v>
      </c>
      <c r="AK186" s="181" t="str">
        <f t="shared" ca="1" si="34"/>
        <v>TERMINO</v>
      </c>
      <c r="AL186" s="181" t="s">
        <v>582</v>
      </c>
      <c r="AM186" s="176" t="s">
        <v>391</v>
      </c>
      <c r="AN186" s="848" t="str">
        <f>IFERROR(VLOOKUP(E186,'liquidaciones '!$B$2:$C$1048576,2,0),"NO")</f>
        <v>LIQUIDADO</v>
      </c>
      <c r="AO186" s="944">
        <f>IFERROR(VLOOKUP(E186,'liquidaciones '!$B$2:$I$1048576,8,0),"")</f>
        <v>0</v>
      </c>
      <c r="AP186" s="338">
        <v>42257</v>
      </c>
      <c r="AQ186" s="177" t="str">
        <f t="shared" ca="1" si="35"/>
        <v>NO</v>
      </c>
      <c r="AR186" s="177" t="s">
        <v>1056</v>
      </c>
      <c r="AS186" s="433"/>
      <c r="AT186" s="964"/>
      <c r="AU186" s="964"/>
      <c r="AV186" s="964"/>
    </row>
    <row r="187" spans="1:48" ht="47.25" customHeight="1" x14ac:dyDescent="0.25">
      <c r="A187" s="39"/>
      <c r="B187" s="15">
        <v>181</v>
      </c>
      <c r="C187" s="437"/>
      <c r="D187" s="437" t="str">
        <f t="shared" si="25"/>
        <v>2014</v>
      </c>
      <c r="E187" s="139" t="s">
        <v>246</v>
      </c>
      <c r="F187" s="132" t="s">
        <v>228</v>
      </c>
      <c r="G187" s="133">
        <v>52935011</v>
      </c>
      <c r="H187" s="993" t="s">
        <v>1619</v>
      </c>
      <c r="I187" s="140">
        <v>55000000</v>
      </c>
      <c r="J187" s="134" t="s">
        <v>1088</v>
      </c>
      <c r="K187" s="157">
        <v>2014</v>
      </c>
      <c r="L187" s="546">
        <v>41663</v>
      </c>
      <c r="M187" s="138">
        <v>41675</v>
      </c>
      <c r="N187" s="138">
        <v>42008</v>
      </c>
      <c r="O187" s="127">
        <f>COUNTA(Modificaciones!I187,Modificaciones!K187,Modificaciones!M187,Modificaciones!O187)</f>
        <v>0</v>
      </c>
      <c r="P187" s="128">
        <f>VLOOKUP(E187,Modificaciones!$B$7:$Q$300,16,0)</f>
        <v>0</v>
      </c>
      <c r="Q187" s="129">
        <f>COUNTA(Modificaciones!S187,Modificaciones!U187,Modificaciones!W187,Modificaciones!Y187)</f>
        <v>0</v>
      </c>
      <c r="R187" s="130" t="str">
        <f>IF(Modificaciones!Z187=0,"",VLOOKUP(E187,Modificaciones!$B$7:$AA$400,25,0))</f>
        <v/>
      </c>
      <c r="S187" s="131" t="str">
        <f>IF(Modificaciones!AA187=0,"",VLOOKUP(E187,Modificaciones!$B$7:$AA$400,26,0))</f>
        <v/>
      </c>
      <c r="T187" s="7">
        <f t="shared" si="36"/>
        <v>42008</v>
      </c>
      <c r="U187" s="62">
        <f t="shared" si="27"/>
        <v>55000000</v>
      </c>
      <c r="V187" s="172">
        <f>VLOOKUP(E187,Modificaciones!$B$7:$AU$300,46,0)</f>
        <v>55000000</v>
      </c>
      <c r="W187" s="93">
        <f t="shared" si="28"/>
        <v>0</v>
      </c>
      <c r="X187" s="314" t="s">
        <v>1217</v>
      </c>
      <c r="Y187" s="42">
        <f t="shared" si="29"/>
        <v>1</v>
      </c>
      <c r="Z187" s="42">
        <f t="shared" ca="1" si="30"/>
        <v>1</v>
      </c>
      <c r="AA187" s="43">
        <f t="shared" ca="1" si="31"/>
        <v>0</v>
      </c>
      <c r="AB187" s="202" t="str">
        <f t="shared" ca="1" si="32"/>
        <v/>
      </c>
      <c r="AC187" s="44" t="str">
        <f t="shared" si="33"/>
        <v>SI</v>
      </c>
      <c r="AD187" s="44"/>
      <c r="AE187" s="173" t="s">
        <v>1256</v>
      </c>
      <c r="AF187" s="173" t="s">
        <v>1969</v>
      </c>
      <c r="AG187" s="173"/>
      <c r="AH187" s="281" t="s">
        <v>559</v>
      </c>
      <c r="AI187" s="174" t="s">
        <v>1382</v>
      </c>
      <c r="AJ187" s="174" t="s">
        <v>901</v>
      </c>
      <c r="AK187" s="181" t="str">
        <f t="shared" ca="1" si="34"/>
        <v>TERMINO</v>
      </c>
      <c r="AL187" s="181" t="s">
        <v>582</v>
      </c>
      <c r="AM187" s="176" t="s">
        <v>391</v>
      </c>
      <c r="AN187" s="848" t="str">
        <f>IFERROR(VLOOKUP(E187,'liquidaciones '!$B$2:$C$1048576,2,0),"NO")</f>
        <v>EN TRÁMITE</v>
      </c>
      <c r="AO187" s="944">
        <f>IFERROR(VLOOKUP(E187,'liquidaciones '!$B$2:$I$1048576,8,0),"")</f>
        <v>0</v>
      </c>
      <c r="AP187" s="338">
        <v>42235</v>
      </c>
      <c r="AQ187" s="177" t="str">
        <f t="shared" ca="1" si="35"/>
        <v>NO</v>
      </c>
      <c r="AR187" s="177" t="s">
        <v>1056</v>
      </c>
      <c r="AS187" s="433"/>
      <c r="AT187" s="964"/>
      <c r="AU187" s="964"/>
      <c r="AV187" s="964"/>
    </row>
    <row r="188" spans="1:48" ht="47.25" customHeight="1" x14ac:dyDescent="0.25">
      <c r="B188" s="15">
        <v>182</v>
      </c>
      <c r="C188" s="437"/>
      <c r="D188" s="437" t="str">
        <f t="shared" si="25"/>
        <v>2014</v>
      </c>
      <c r="E188" s="139" t="s">
        <v>248</v>
      </c>
      <c r="F188" s="132" t="s">
        <v>224</v>
      </c>
      <c r="G188" s="133">
        <v>19327657</v>
      </c>
      <c r="H188" s="993" t="s">
        <v>516</v>
      </c>
      <c r="I188" s="140">
        <v>55000000</v>
      </c>
      <c r="J188" s="134" t="s">
        <v>1088</v>
      </c>
      <c r="K188" s="157">
        <v>2014</v>
      </c>
      <c r="L188" s="546">
        <v>41663</v>
      </c>
      <c r="M188" s="138">
        <v>41675</v>
      </c>
      <c r="N188" s="138">
        <v>42008</v>
      </c>
      <c r="O188" s="127">
        <f>COUNTA(Modificaciones!I188,Modificaciones!K188,Modificaciones!M188,Modificaciones!O188)</f>
        <v>0</v>
      </c>
      <c r="P188" s="128">
        <f>VLOOKUP(E188,Modificaciones!$B$7:$Q$300,16,0)</f>
        <v>0</v>
      </c>
      <c r="Q188" s="129">
        <f>COUNTA(Modificaciones!S188,Modificaciones!U188,Modificaciones!W188,Modificaciones!Y188)</f>
        <v>0</v>
      </c>
      <c r="R188" s="130" t="str">
        <f>IF(Modificaciones!Z188=0,"",VLOOKUP(E188,Modificaciones!$B$7:$AA$400,25,0))</f>
        <v/>
      </c>
      <c r="S188" s="131" t="str">
        <f>IF(Modificaciones!AA188=0,"",VLOOKUP(E188,Modificaciones!$B$7:$AA$400,26,0))</f>
        <v/>
      </c>
      <c r="T188" s="7">
        <f t="shared" si="36"/>
        <v>42008</v>
      </c>
      <c r="U188" s="62">
        <f t="shared" si="27"/>
        <v>55000000</v>
      </c>
      <c r="V188" s="172">
        <f>VLOOKUP(E188,Modificaciones!$B$7:$AU$300,46,0)</f>
        <v>55000000</v>
      </c>
      <c r="W188" s="93">
        <f t="shared" si="28"/>
        <v>0</v>
      </c>
      <c r="X188" s="314" t="s">
        <v>1215</v>
      </c>
      <c r="Y188" s="42">
        <f t="shared" si="29"/>
        <v>1</v>
      </c>
      <c r="Z188" s="42">
        <f t="shared" ca="1" si="30"/>
        <v>1</v>
      </c>
      <c r="AA188" s="43">
        <f t="shared" ca="1" si="31"/>
        <v>0</v>
      </c>
      <c r="AB188" s="202" t="str">
        <f t="shared" ca="1" si="32"/>
        <v/>
      </c>
      <c r="AC188" s="44" t="str">
        <f t="shared" si="33"/>
        <v>SI</v>
      </c>
      <c r="AD188" s="44"/>
      <c r="AE188" s="173" t="s">
        <v>1256</v>
      </c>
      <c r="AF188" s="173" t="s">
        <v>1969</v>
      </c>
      <c r="AG188" s="173"/>
      <c r="AH188" s="281" t="s">
        <v>559</v>
      </c>
      <c r="AI188" s="174" t="s">
        <v>1382</v>
      </c>
      <c r="AJ188" s="174" t="s">
        <v>901</v>
      </c>
      <c r="AK188" s="181" t="str">
        <f t="shared" ca="1" si="34"/>
        <v>TERMINO</v>
      </c>
      <c r="AL188" s="181" t="s">
        <v>582</v>
      </c>
      <c r="AM188" s="176" t="s">
        <v>391</v>
      </c>
      <c r="AN188" s="848" t="str">
        <f>IFERROR(VLOOKUP(E188,'liquidaciones '!$B$2:$C$1048576,2,0),"NO")</f>
        <v>LIQUIDADO</v>
      </c>
      <c r="AO188" s="944">
        <f>IFERROR(VLOOKUP(E188,'liquidaciones '!$B$2:$I$1048576,8,0),"")</f>
        <v>0</v>
      </c>
      <c r="AP188" s="338">
        <v>42277</v>
      </c>
      <c r="AQ188" s="177" t="str">
        <f t="shared" ca="1" si="35"/>
        <v>NO</v>
      </c>
      <c r="AR188" s="177" t="s">
        <v>1056</v>
      </c>
      <c r="AS188" s="433"/>
      <c r="AT188" s="964"/>
      <c r="AU188" s="964"/>
      <c r="AV188" s="964"/>
    </row>
    <row r="189" spans="1:48" ht="47.25" customHeight="1" x14ac:dyDescent="0.25">
      <c r="B189" s="15">
        <v>183</v>
      </c>
      <c r="C189" s="437"/>
      <c r="D189" s="437" t="str">
        <f t="shared" si="25"/>
        <v>2014</v>
      </c>
      <c r="E189" s="139" t="s">
        <v>268</v>
      </c>
      <c r="F189" s="132" t="s">
        <v>269</v>
      </c>
      <c r="G189" s="145">
        <v>860025639</v>
      </c>
      <c r="H189" s="993" t="s">
        <v>369</v>
      </c>
      <c r="I189" s="140">
        <v>16555000</v>
      </c>
      <c r="J189" s="134" t="s">
        <v>1088</v>
      </c>
      <c r="K189" s="157">
        <v>2014</v>
      </c>
      <c r="L189" s="546" t="s">
        <v>1088</v>
      </c>
      <c r="M189" s="138">
        <v>41732</v>
      </c>
      <c r="N189" s="138">
        <v>42096</v>
      </c>
      <c r="O189" s="127">
        <f>COUNTA(Modificaciones!I189,Modificaciones!K189,Modificaciones!M189,Modificaciones!O189)</f>
        <v>0</v>
      </c>
      <c r="P189" s="128">
        <f>VLOOKUP(E189,Modificaciones!$B$7:$Q$300,16,0)</f>
        <v>0</v>
      </c>
      <c r="Q189" s="129">
        <f>COUNTA(Modificaciones!S189,Modificaciones!U189,Modificaciones!W189,Modificaciones!Y189)</f>
        <v>0</v>
      </c>
      <c r="R189" s="130" t="str">
        <f>IF(Modificaciones!Z189=0,"",VLOOKUP(E189,Modificaciones!$B$7:$AA$400,25,0))</f>
        <v/>
      </c>
      <c r="S189" s="131" t="str">
        <f>IF(Modificaciones!AA189=0,"",VLOOKUP(E189,Modificaciones!$B$7:$AA$400,26,0))</f>
        <v/>
      </c>
      <c r="T189" s="7">
        <f t="shared" si="36"/>
        <v>42096</v>
      </c>
      <c r="U189" s="62">
        <f t="shared" si="27"/>
        <v>16555000</v>
      </c>
      <c r="V189" s="172">
        <f>VLOOKUP(E189,Modificaciones!$B$7:$AU$300,46,0)</f>
        <v>15762669</v>
      </c>
      <c r="W189" s="93">
        <f t="shared" si="28"/>
        <v>792331</v>
      </c>
      <c r="X189" s="314" t="s">
        <v>1218</v>
      </c>
      <c r="Y189" s="42">
        <f t="shared" si="29"/>
        <v>0.95213947447900937</v>
      </c>
      <c r="Z189" s="42">
        <f t="shared" ca="1" si="30"/>
        <v>1</v>
      </c>
      <c r="AA189" s="43">
        <f t="shared" ca="1" si="31"/>
        <v>4.7860525520990627E-2</v>
      </c>
      <c r="AB189" s="202" t="str">
        <f t="shared" ca="1" si="32"/>
        <v/>
      </c>
      <c r="AC189" s="44" t="str">
        <f t="shared" si="33"/>
        <v>NO</v>
      </c>
      <c r="AD189" s="44"/>
      <c r="AE189" s="173" t="s">
        <v>1256</v>
      </c>
      <c r="AF189" s="301" t="s">
        <v>1170</v>
      </c>
      <c r="AG189" s="173" t="s">
        <v>1442</v>
      </c>
      <c r="AH189" s="281" t="s">
        <v>560</v>
      </c>
      <c r="AI189" s="174"/>
      <c r="AJ189" s="174" t="s">
        <v>901</v>
      </c>
      <c r="AK189" s="181" t="str">
        <f t="shared" ca="1" si="34"/>
        <v>TERMINO</v>
      </c>
      <c r="AL189" s="181" t="s">
        <v>582</v>
      </c>
      <c r="AM189" s="176" t="s">
        <v>390</v>
      </c>
      <c r="AN189" s="848" t="str">
        <f>IFERROR(VLOOKUP(E189,'liquidaciones '!$B$2:$C$1048576,2,0),"NO")</f>
        <v>EN TRÁMITE</v>
      </c>
      <c r="AO189" s="944">
        <f>IFERROR(VLOOKUP(E189,'liquidaciones '!$B$2:$I$1048576,8,0),"")</f>
        <v>0</v>
      </c>
      <c r="AP189" s="338"/>
      <c r="AQ189" s="177" t="str">
        <f t="shared" ca="1" si="35"/>
        <v>NO</v>
      </c>
      <c r="AR189" s="177" t="s">
        <v>1510</v>
      </c>
      <c r="AS189" s="433"/>
      <c r="AT189" s="964"/>
      <c r="AU189" s="964"/>
      <c r="AV189" s="964"/>
    </row>
    <row r="190" spans="1:48" ht="47.25" customHeight="1" x14ac:dyDescent="0.25">
      <c r="B190" s="15">
        <v>184</v>
      </c>
      <c r="C190" s="437"/>
      <c r="D190" s="437" t="str">
        <f t="shared" si="25"/>
        <v>2014</v>
      </c>
      <c r="E190" s="162" t="s">
        <v>253</v>
      </c>
      <c r="F190" s="145" t="s">
        <v>140</v>
      </c>
      <c r="G190" s="133">
        <v>51721571</v>
      </c>
      <c r="H190" s="994" t="s">
        <v>1132</v>
      </c>
      <c r="I190" s="163">
        <v>39600000</v>
      </c>
      <c r="J190" s="134" t="s">
        <v>1088</v>
      </c>
      <c r="K190" s="157">
        <v>2014</v>
      </c>
      <c r="L190" s="546" t="s">
        <v>1088</v>
      </c>
      <c r="M190" s="149">
        <v>41675</v>
      </c>
      <c r="N190" s="149">
        <v>42008</v>
      </c>
      <c r="O190" s="127">
        <f>COUNTA(Modificaciones!I190,Modificaciones!K190,Modificaciones!M190,Modificaciones!O190)</f>
        <v>0</v>
      </c>
      <c r="P190" s="128">
        <f>VLOOKUP(E190,Modificaciones!$B$7:$Q$300,16,0)</f>
        <v>0</v>
      </c>
      <c r="Q190" s="129">
        <f>COUNTA(Modificaciones!S190,Modificaciones!U190,Modificaciones!W190,Modificaciones!Y190)</f>
        <v>0</v>
      </c>
      <c r="R190" s="130" t="str">
        <f>IF(Modificaciones!Z190=0,"",VLOOKUP(E190,Modificaciones!$B$7:$AA$400,25,0))</f>
        <v/>
      </c>
      <c r="S190" s="131" t="str">
        <f>IF(Modificaciones!AA190=0,"",VLOOKUP(E190,Modificaciones!$B$7:$AA$400,26,0))</f>
        <v/>
      </c>
      <c r="T190" s="7">
        <f t="shared" si="36"/>
        <v>42008</v>
      </c>
      <c r="U190" s="62">
        <f t="shared" si="27"/>
        <v>39600000</v>
      </c>
      <c r="V190" s="172">
        <f>VLOOKUP(E190,Modificaciones!$B$7:$AU$300,46,0)</f>
        <v>24720000</v>
      </c>
      <c r="W190" s="93">
        <f t="shared" si="28"/>
        <v>14880000</v>
      </c>
      <c r="X190" s="314" t="s">
        <v>1219</v>
      </c>
      <c r="Y190" s="42">
        <f t="shared" si="29"/>
        <v>0.62424242424242427</v>
      </c>
      <c r="Z190" s="42">
        <f t="shared" ca="1" si="30"/>
        <v>1</v>
      </c>
      <c r="AA190" s="43">
        <f t="shared" ca="1" si="31"/>
        <v>0.37575757575757573</v>
      </c>
      <c r="AB190" s="202" t="str">
        <f t="shared" ca="1" si="32"/>
        <v/>
      </c>
      <c r="AC190" s="44" t="str">
        <f t="shared" si="33"/>
        <v>NO</v>
      </c>
      <c r="AD190" s="44"/>
      <c r="AE190" s="173" t="s">
        <v>1256</v>
      </c>
      <c r="AF190" s="173" t="s">
        <v>1131</v>
      </c>
      <c r="AG190" s="173"/>
      <c r="AH190" s="281"/>
      <c r="AI190" s="174"/>
      <c r="AJ190" s="174" t="s">
        <v>901</v>
      </c>
      <c r="AK190" s="181" t="str">
        <f t="shared" ca="1" si="34"/>
        <v>TERMINO</v>
      </c>
      <c r="AL190" s="181" t="s">
        <v>582</v>
      </c>
      <c r="AM190" s="176" t="s">
        <v>391</v>
      </c>
      <c r="AN190" s="848" t="str">
        <f>IFERROR(VLOOKUP(E190,'liquidaciones '!$B$2:$C$1048576,2,0),"NO")</f>
        <v>LIQUIDADO</v>
      </c>
      <c r="AO190" s="944">
        <f>IFERROR(VLOOKUP(E190,'liquidaciones '!$B$2:$I$1048576,8,0),"")</f>
        <v>0</v>
      </c>
      <c r="AP190" s="338">
        <v>41962</v>
      </c>
      <c r="AQ190" s="177" t="str">
        <f t="shared" ca="1" si="35"/>
        <v>NO</v>
      </c>
      <c r="AR190" s="177" t="s">
        <v>1165</v>
      </c>
      <c r="AS190" s="433"/>
      <c r="AT190" s="964"/>
      <c r="AU190" s="964"/>
      <c r="AV190" s="964"/>
    </row>
    <row r="191" spans="1:48" ht="53.25" customHeight="1" x14ac:dyDescent="0.25">
      <c r="A191" s="39"/>
      <c r="B191" s="15">
        <v>185</v>
      </c>
      <c r="C191" s="437"/>
      <c r="D191" s="437" t="str">
        <f t="shared" si="25"/>
        <v>2014</v>
      </c>
      <c r="E191" s="162" t="s">
        <v>255</v>
      </c>
      <c r="F191" s="145" t="s">
        <v>1032</v>
      </c>
      <c r="G191" s="133">
        <v>79843891</v>
      </c>
      <c r="H191" s="994" t="s">
        <v>517</v>
      </c>
      <c r="I191" s="163">
        <v>51500000</v>
      </c>
      <c r="J191" s="134" t="s">
        <v>1088</v>
      </c>
      <c r="K191" s="157">
        <v>2014</v>
      </c>
      <c r="L191" s="546" t="s">
        <v>1088</v>
      </c>
      <c r="M191" s="149">
        <v>41694</v>
      </c>
      <c r="N191" s="149">
        <v>41996</v>
      </c>
      <c r="O191" s="127">
        <f>COUNTA(Modificaciones!I191,Modificaciones!K191,Modificaciones!M191,Modificaciones!O191)</f>
        <v>0</v>
      </c>
      <c r="P191" s="128">
        <f>VLOOKUP(E191,Modificaciones!$B$7:$Q$300,16,0)</f>
        <v>0</v>
      </c>
      <c r="Q191" s="129">
        <f>COUNTA(Modificaciones!S191,Modificaciones!U191,Modificaciones!W191,Modificaciones!Y191)</f>
        <v>1</v>
      </c>
      <c r="R191" s="130" t="str">
        <f>IF(Modificaciones!Z191=0,"",VLOOKUP(E191,Modificaciones!$B$7:$AA$400,25,0))</f>
        <v/>
      </c>
      <c r="S191" s="131">
        <f>IF(Modificaciones!AA191=0,"",VLOOKUP(E191,Modificaciones!$B$7:$AA$400,26,0))</f>
        <v>41887</v>
      </c>
      <c r="T191" s="7">
        <f>MIN(N191,S191)</f>
        <v>41887</v>
      </c>
      <c r="U191" s="62">
        <f t="shared" si="27"/>
        <v>51500000</v>
      </c>
      <c r="V191" s="172">
        <f>VLOOKUP(E191,Modificaciones!$B$7:$AU$300,46,0)</f>
        <v>32788333</v>
      </c>
      <c r="W191" s="93">
        <f t="shared" si="28"/>
        <v>18711667</v>
      </c>
      <c r="X191" s="314" t="s">
        <v>1220</v>
      </c>
      <c r="Y191" s="42">
        <f t="shared" si="29"/>
        <v>0.63666666019417473</v>
      </c>
      <c r="Z191" s="42">
        <f t="shared" ca="1" si="30"/>
        <v>1</v>
      </c>
      <c r="AA191" s="43">
        <f t="shared" ca="1" si="31"/>
        <v>0.36333333980582527</v>
      </c>
      <c r="AB191" s="202" t="str">
        <f t="shared" ca="1" si="32"/>
        <v/>
      </c>
      <c r="AC191" s="44" t="str">
        <f t="shared" si="33"/>
        <v>NO</v>
      </c>
      <c r="AD191" s="44"/>
      <c r="AE191" s="173" t="s">
        <v>1256</v>
      </c>
      <c r="AF191" s="173" t="s">
        <v>1131</v>
      </c>
      <c r="AG191" s="173"/>
      <c r="AH191" s="281"/>
      <c r="AI191" s="174"/>
      <c r="AJ191" s="174" t="s">
        <v>901</v>
      </c>
      <c r="AK191" s="181" t="str">
        <f t="shared" ca="1" si="34"/>
        <v>TERMINO</v>
      </c>
      <c r="AL191" s="181" t="s">
        <v>582</v>
      </c>
      <c r="AM191" s="176" t="s">
        <v>391</v>
      </c>
      <c r="AN191" s="848" t="str">
        <f>IFERROR(VLOOKUP(E191,'liquidaciones '!$B$2:$C$1048576,2,0),"NO")</f>
        <v>LIQUIDADO</v>
      </c>
      <c r="AO191" s="944">
        <f>IFERROR(VLOOKUP(E191,'liquidaciones '!$B$2:$I$1048576,8,0),"")</f>
        <v>0</v>
      </c>
      <c r="AP191" s="338"/>
      <c r="AQ191" s="177" t="str">
        <f t="shared" ca="1" si="35"/>
        <v>NO</v>
      </c>
      <c r="AR191" s="177" t="s">
        <v>1569</v>
      </c>
      <c r="AS191" s="433"/>
      <c r="AT191" s="964"/>
      <c r="AU191" s="964"/>
      <c r="AV191" s="964"/>
    </row>
    <row r="192" spans="1:48" ht="47.25" customHeight="1" x14ac:dyDescent="0.25">
      <c r="B192" s="15">
        <v>186</v>
      </c>
      <c r="C192" s="437"/>
      <c r="D192" s="437" t="str">
        <f t="shared" si="25"/>
        <v>2014</v>
      </c>
      <c r="E192" s="139" t="s">
        <v>250</v>
      </c>
      <c r="F192" s="132" t="s">
        <v>251</v>
      </c>
      <c r="G192" s="133">
        <v>1018434911</v>
      </c>
      <c r="H192" s="993" t="s">
        <v>518</v>
      </c>
      <c r="I192" s="140">
        <v>16500000</v>
      </c>
      <c r="J192" s="850" t="s">
        <v>4691</v>
      </c>
      <c r="K192" s="157">
        <v>2014</v>
      </c>
      <c r="L192" s="546" t="s">
        <v>1088</v>
      </c>
      <c r="M192" s="138">
        <v>41675</v>
      </c>
      <c r="N192" s="138">
        <v>42008</v>
      </c>
      <c r="O192" s="127">
        <f>COUNTA(Modificaciones!I192,Modificaciones!K192,Modificaciones!M192,Modificaciones!O192)</f>
        <v>0</v>
      </c>
      <c r="P192" s="128">
        <f>VLOOKUP(E192,Modificaciones!$B$7:$Q$300,16,0)</f>
        <v>0</v>
      </c>
      <c r="Q192" s="129">
        <f>COUNTA(Modificaciones!S192,Modificaciones!U192,Modificaciones!W192,Modificaciones!Y192)</f>
        <v>0</v>
      </c>
      <c r="R192" s="130" t="str">
        <f>IF(Modificaciones!Z192=0,"",VLOOKUP(E192,Modificaciones!$B$7:$AA$400,25,0))</f>
        <v/>
      </c>
      <c r="S192" s="131" t="str">
        <f>IF(Modificaciones!AA192=0,"",VLOOKUP(E192,Modificaciones!$B$7:$AA$400,26,0))</f>
        <v/>
      </c>
      <c r="T192" s="7">
        <f t="shared" ref="T192:T255" si="37">MAX(N192,S192)</f>
        <v>42008</v>
      </c>
      <c r="U192" s="62">
        <f t="shared" si="27"/>
        <v>16500000</v>
      </c>
      <c r="V192" s="172">
        <f>VLOOKUP(E192,Modificaciones!$B$7:$AU$300,46,0)</f>
        <v>10300000</v>
      </c>
      <c r="W192" s="93">
        <f t="shared" si="28"/>
        <v>6200000</v>
      </c>
      <c r="X192" s="314" t="s">
        <v>1221</v>
      </c>
      <c r="Y192" s="42">
        <f t="shared" si="29"/>
        <v>0.62424242424242427</v>
      </c>
      <c r="Z192" s="42">
        <f t="shared" ca="1" si="30"/>
        <v>1</v>
      </c>
      <c r="AA192" s="43">
        <f t="shared" ca="1" si="31"/>
        <v>0.37575757575757573</v>
      </c>
      <c r="AB192" s="202" t="str">
        <f t="shared" ca="1" si="32"/>
        <v/>
      </c>
      <c r="AC192" s="44" t="str">
        <f t="shared" si="33"/>
        <v>NO</v>
      </c>
      <c r="AD192" s="44"/>
      <c r="AE192" s="173" t="s">
        <v>1256</v>
      </c>
      <c r="AF192" s="301" t="s">
        <v>1131</v>
      </c>
      <c r="AG192" s="173"/>
      <c r="AH192" s="281" t="s">
        <v>559</v>
      </c>
      <c r="AI192" s="174" t="s">
        <v>1382</v>
      </c>
      <c r="AJ192" s="174" t="s">
        <v>901</v>
      </c>
      <c r="AK192" s="181" t="str">
        <f t="shared" ca="1" si="34"/>
        <v>TERMINO</v>
      </c>
      <c r="AL192" s="181" t="s">
        <v>582</v>
      </c>
      <c r="AM192" s="176" t="s">
        <v>391</v>
      </c>
      <c r="AN192" s="848" t="str">
        <f>IFERROR(VLOOKUP(E192,'liquidaciones '!$B$2:$C$1048576,2,0),"NO")</f>
        <v>LIQUIDADO</v>
      </c>
      <c r="AO192" s="944">
        <f>IFERROR(VLOOKUP(E192,'liquidaciones '!$B$2:$I$1048576,8,0),"")</f>
        <v>0</v>
      </c>
      <c r="AP192" s="338"/>
      <c r="AQ192" s="177" t="str">
        <f t="shared" ca="1" si="35"/>
        <v>NO</v>
      </c>
      <c r="AR192" s="177" t="s">
        <v>1569</v>
      </c>
      <c r="AS192" s="433"/>
      <c r="AT192" s="964"/>
      <c r="AU192" s="964"/>
      <c r="AV192" s="964"/>
    </row>
    <row r="193" spans="1:48" ht="47.25" customHeight="1" x14ac:dyDescent="0.25">
      <c r="A193" s="39"/>
      <c r="B193" s="15">
        <v>187</v>
      </c>
      <c r="C193" s="437"/>
      <c r="D193" s="437" t="str">
        <f t="shared" si="25"/>
        <v>2014</v>
      </c>
      <c r="E193" s="162" t="s">
        <v>256</v>
      </c>
      <c r="F193" s="132" t="s">
        <v>1394</v>
      </c>
      <c r="G193" s="137">
        <v>60289180</v>
      </c>
      <c r="H193" s="994" t="s">
        <v>519</v>
      </c>
      <c r="I193" s="163">
        <v>51500000</v>
      </c>
      <c r="J193" s="134" t="s">
        <v>1088</v>
      </c>
      <c r="K193" s="157">
        <v>2014</v>
      </c>
      <c r="L193" s="546" t="s">
        <v>1088</v>
      </c>
      <c r="M193" s="149">
        <v>41677</v>
      </c>
      <c r="N193" s="149">
        <v>41979</v>
      </c>
      <c r="O193" s="127">
        <f>COUNTA(Modificaciones!I193,Modificaciones!K193,Modificaciones!M193,Modificaciones!O193)</f>
        <v>1</v>
      </c>
      <c r="P193" s="128">
        <f>VLOOKUP(E193,Modificaciones!$B$7:$Q$300,16,0)</f>
        <v>10300000</v>
      </c>
      <c r="Q193" s="129">
        <f>COUNTA(Modificaciones!S193,Modificaciones!U193,Modificaciones!W193,Modificaciones!Y193)</f>
        <v>2</v>
      </c>
      <c r="R193" s="130" t="str">
        <f>IF(Modificaciones!Z193=0,"",VLOOKUP(E193,Modificaciones!$B$7:$AA$400,25,0))</f>
        <v>2 meses</v>
      </c>
      <c r="S193" s="131">
        <f>IF(Modificaciones!AA193=0,"",VLOOKUP(E193,Modificaciones!$B$7:$AA$400,26,0))</f>
        <v>42006</v>
      </c>
      <c r="T193" s="7">
        <f t="shared" si="37"/>
        <v>42006</v>
      </c>
      <c r="U193" s="62">
        <f t="shared" si="27"/>
        <v>61800000</v>
      </c>
      <c r="V193" s="172">
        <f>VLOOKUP(E193,Modificaciones!$B$7:$AU$300,46,0)</f>
        <v>54933333</v>
      </c>
      <c r="W193" s="93">
        <f t="shared" si="28"/>
        <v>6866667</v>
      </c>
      <c r="X193" s="314" t="s">
        <v>1222</v>
      </c>
      <c r="Y193" s="42">
        <f t="shared" si="29"/>
        <v>0.88888888349514561</v>
      </c>
      <c r="Z193" s="42">
        <f t="shared" ca="1" si="30"/>
        <v>1</v>
      </c>
      <c r="AA193" s="43">
        <f t="shared" ca="1" si="31"/>
        <v>0.11111111650485439</v>
      </c>
      <c r="AB193" s="202" t="str">
        <f t="shared" ca="1" si="32"/>
        <v/>
      </c>
      <c r="AC193" s="44" t="str">
        <f t="shared" si="33"/>
        <v>NO</v>
      </c>
      <c r="AD193" s="44"/>
      <c r="AE193" s="173" t="s">
        <v>1256</v>
      </c>
      <c r="AF193" s="301" t="s">
        <v>1131</v>
      </c>
      <c r="AG193" s="173" t="s">
        <v>1177</v>
      </c>
      <c r="AH193" s="281" t="s">
        <v>559</v>
      </c>
      <c r="AI193" s="174" t="s">
        <v>1382</v>
      </c>
      <c r="AJ193" s="174" t="s">
        <v>901</v>
      </c>
      <c r="AK193" s="181" t="str">
        <f t="shared" ca="1" si="34"/>
        <v>TERMINO</v>
      </c>
      <c r="AL193" s="181" t="s">
        <v>582</v>
      </c>
      <c r="AM193" s="176" t="s">
        <v>391</v>
      </c>
      <c r="AN193" s="848" t="str">
        <f>IFERROR(VLOOKUP(E193,'liquidaciones '!$B$2:$C$1048576,2,0),"NO")</f>
        <v>EN TRÁMITE</v>
      </c>
      <c r="AO193" s="944">
        <f>IFERROR(VLOOKUP(E193,'liquidaciones '!$B$2:$I$1048576,8,0),"")</f>
        <v>0</v>
      </c>
      <c r="AP193" s="338"/>
      <c r="AQ193" s="177" t="str">
        <f t="shared" ca="1" si="35"/>
        <v>NO</v>
      </c>
      <c r="AR193" s="177" t="s">
        <v>981</v>
      </c>
      <c r="AS193" s="433"/>
      <c r="AT193" s="964"/>
      <c r="AU193" s="964"/>
      <c r="AV193" s="964"/>
    </row>
    <row r="194" spans="1:48" ht="80.25" customHeight="1" x14ac:dyDescent="0.25">
      <c r="B194" s="15">
        <v>188</v>
      </c>
      <c r="C194" s="437"/>
      <c r="D194" s="437" t="str">
        <f t="shared" si="25"/>
        <v>2014</v>
      </c>
      <c r="E194" s="139" t="s">
        <v>264</v>
      </c>
      <c r="F194" s="132" t="s">
        <v>186</v>
      </c>
      <c r="G194" s="133">
        <v>800039398</v>
      </c>
      <c r="H194" s="993" t="s">
        <v>520</v>
      </c>
      <c r="I194" s="140">
        <v>340808000</v>
      </c>
      <c r="J194" s="850" t="s">
        <v>4729</v>
      </c>
      <c r="K194" s="157">
        <v>2014</v>
      </c>
      <c r="L194" s="546" t="s">
        <v>1088</v>
      </c>
      <c r="M194" s="138">
        <v>41704</v>
      </c>
      <c r="N194" s="138">
        <v>41748</v>
      </c>
      <c r="O194" s="127">
        <f>COUNTA(Modificaciones!I194,Modificaciones!K194,Modificaciones!M194,Modificaciones!O194)</f>
        <v>0</v>
      </c>
      <c r="P194" s="128">
        <f>VLOOKUP(E194,Modificaciones!$B$7:$Q$300,16,0)</f>
        <v>0</v>
      </c>
      <c r="Q194" s="129">
        <f>COUNTA(Modificaciones!S194,Modificaciones!U194,Modificaciones!W194,Modificaciones!Y194)</f>
        <v>0</v>
      </c>
      <c r="R194" s="130" t="str">
        <f>IF(Modificaciones!Z194=0,"",VLOOKUP(E194,Modificaciones!$B$7:$AA$400,25,0))</f>
        <v/>
      </c>
      <c r="S194" s="131" t="str">
        <f>IF(Modificaciones!AA194=0,"",VLOOKUP(E194,Modificaciones!$B$7:$AA$400,26,0))</f>
        <v/>
      </c>
      <c r="T194" s="7">
        <f t="shared" si="37"/>
        <v>41748</v>
      </c>
      <c r="U194" s="62">
        <f t="shared" si="27"/>
        <v>340808000</v>
      </c>
      <c r="V194" s="172">
        <f>VLOOKUP(E194,Modificaciones!$B$7:$AU$300,46,0)</f>
        <v>340808000</v>
      </c>
      <c r="W194" s="93">
        <f t="shared" si="28"/>
        <v>0</v>
      </c>
      <c r="X194" s="314" t="s">
        <v>1223</v>
      </c>
      <c r="Y194" s="42">
        <f t="shared" si="29"/>
        <v>1</v>
      </c>
      <c r="Z194" s="42">
        <f t="shared" ca="1" si="30"/>
        <v>1</v>
      </c>
      <c r="AA194" s="43">
        <f t="shared" ca="1" si="31"/>
        <v>0</v>
      </c>
      <c r="AB194" s="202" t="str">
        <f t="shared" ca="1" si="32"/>
        <v/>
      </c>
      <c r="AC194" s="44" t="str">
        <f t="shared" si="33"/>
        <v>SI</v>
      </c>
      <c r="AD194" s="44"/>
      <c r="AE194" s="173" t="s">
        <v>1257</v>
      </c>
      <c r="AF194" s="173" t="s">
        <v>1312</v>
      </c>
      <c r="AG194" s="173"/>
      <c r="AH194" s="281"/>
      <c r="AI194" s="174" t="s">
        <v>1509</v>
      </c>
      <c r="AJ194" s="174" t="s">
        <v>901</v>
      </c>
      <c r="AK194" s="181" t="str">
        <f t="shared" ca="1" si="34"/>
        <v>TERMINO</v>
      </c>
      <c r="AL194" s="173" t="s">
        <v>575</v>
      </c>
      <c r="AM194" s="176" t="s">
        <v>390</v>
      </c>
      <c r="AN194" s="848" t="str">
        <f>IFERROR(VLOOKUP(E194,'liquidaciones '!$B$2:$C$1048576,2,0),"NO")</f>
        <v>LIQUIDADO</v>
      </c>
      <c r="AO194" s="944">
        <f>IFERROR(VLOOKUP(E194,'liquidaciones '!$B$2:$I$1048576,8,0),"")</f>
        <v>0</v>
      </c>
      <c r="AP194" s="338"/>
      <c r="AQ194" s="177" t="str">
        <f t="shared" ca="1" si="35"/>
        <v>NO</v>
      </c>
      <c r="AR194" s="177" t="s">
        <v>1992</v>
      </c>
      <c r="AS194" s="433"/>
      <c r="AT194" s="964"/>
      <c r="AU194" s="964"/>
      <c r="AV194" s="964"/>
    </row>
    <row r="195" spans="1:48" ht="62.25" customHeight="1" x14ac:dyDescent="0.25">
      <c r="B195" s="15">
        <v>189</v>
      </c>
      <c r="C195" s="437"/>
      <c r="D195" s="437" t="str">
        <f t="shared" si="25"/>
        <v>2014</v>
      </c>
      <c r="E195" s="139" t="s">
        <v>262</v>
      </c>
      <c r="F195" s="132" t="s">
        <v>263</v>
      </c>
      <c r="G195" s="133">
        <v>900381188</v>
      </c>
      <c r="H195" s="993" t="s">
        <v>521</v>
      </c>
      <c r="I195" s="140">
        <v>28900000</v>
      </c>
      <c r="J195" s="134" t="s">
        <v>1088</v>
      </c>
      <c r="K195" s="157">
        <v>2014</v>
      </c>
      <c r="L195" s="546" t="s">
        <v>1088</v>
      </c>
      <c r="M195" s="138">
        <v>41704</v>
      </c>
      <c r="N195" s="138">
        <v>41748</v>
      </c>
      <c r="O195" s="127">
        <f>COUNTA(Modificaciones!I195,Modificaciones!K195,Modificaciones!M195,Modificaciones!O195)</f>
        <v>0</v>
      </c>
      <c r="P195" s="128">
        <f>VLOOKUP(E195,Modificaciones!$B$7:$Q$300,16,0)</f>
        <v>0</v>
      </c>
      <c r="Q195" s="129">
        <f>COUNTA(Modificaciones!S195,Modificaciones!U195,Modificaciones!W195,Modificaciones!Y195)</f>
        <v>0</v>
      </c>
      <c r="R195" s="130" t="str">
        <f>IF(Modificaciones!Z195=0,"",VLOOKUP(E195,Modificaciones!$B$7:$AA$400,25,0))</f>
        <v/>
      </c>
      <c r="S195" s="131" t="str">
        <f>IF(Modificaciones!AA195=0,"",VLOOKUP(E195,Modificaciones!$B$7:$AA$400,26,0))</f>
        <v/>
      </c>
      <c r="T195" s="7">
        <f t="shared" si="37"/>
        <v>41748</v>
      </c>
      <c r="U195" s="62">
        <f t="shared" si="27"/>
        <v>28900000</v>
      </c>
      <c r="V195" s="172">
        <f>VLOOKUP(E195,Modificaciones!$B$7:$AU$300,46,0)</f>
        <v>28900000</v>
      </c>
      <c r="W195" s="93">
        <f t="shared" si="28"/>
        <v>0</v>
      </c>
      <c r="X195" s="314" t="s">
        <v>1224</v>
      </c>
      <c r="Y195" s="42">
        <f t="shared" si="29"/>
        <v>1</v>
      </c>
      <c r="Z195" s="42">
        <f t="shared" ca="1" si="30"/>
        <v>1</v>
      </c>
      <c r="AA195" s="43">
        <f t="shared" ca="1" si="31"/>
        <v>0</v>
      </c>
      <c r="AB195" s="202" t="str">
        <f t="shared" ca="1" si="32"/>
        <v/>
      </c>
      <c r="AC195" s="44" t="str">
        <f t="shared" si="33"/>
        <v>SI</v>
      </c>
      <c r="AD195" s="44"/>
      <c r="AE195" s="173" t="s">
        <v>1257</v>
      </c>
      <c r="AF195" s="173" t="s">
        <v>1312</v>
      </c>
      <c r="AG195" s="173"/>
      <c r="AH195" s="281"/>
      <c r="AI195" s="174"/>
      <c r="AJ195" s="174" t="s">
        <v>901</v>
      </c>
      <c r="AK195" s="181" t="str">
        <f t="shared" ca="1" si="34"/>
        <v>TERMINO</v>
      </c>
      <c r="AL195" s="173" t="s">
        <v>575</v>
      </c>
      <c r="AM195" s="176" t="s">
        <v>390</v>
      </c>
      <c r="AN195" s="848" t="str">
        <f>IFERROR(VLOOKUP(E195,'liquidaciones '!$B$2:$C$1048576,2,0),"NO")</f>
        <v>LIQUIDADO</v>
      </c>
      <c r="AO195" s="944">
        <f>IFERROR(VLOOKUP(E195,'liquidaciones '!$B$2:$I$1048576,8,0),"")</f>
        <v>0</v>
      </c>
      <c r="AP195" s="338">
        <v>42094</v>
      </c>
      <c r="AQ195" s="177" t="str">
        <f t="shared" ca="1" si="35"/>
        <v>NO</v>
      </c>
      <c r="AR195" s="177" t="s">
        <v>1443</v>
      </c>
      <c r="AS195" s="433"/>
      <c r="AT195" s="964"/>
      <c r="AU195" s="964"/>
      <c r="AV195" s="964"/>
    </row>
    <row r="196" spans="1:48" ht="47.25" customHeight="1" x14ac:dyDescent="0.25">
      <c r="B196" s="15">
        <v>190</v>
      </c>
      <c r="C196" s="437"/>
      <c r="D196" s="437" t="str">
        <f t="shared" si="25"/>
        <v>2014</v>
      </c>
      <c r="E196" s="139" t="s">
        <v>260</v>
      </c>
      <c r="F196" s="132" t="s">
        <v>261</v>
      </c>
      <c r="G196" s="133">
        <v>900157564</v>
      </c>
      <c r="H196" s="993" t="s">
        <v>522</v>
      </c>
      <c r="I196" s="140">
        <v>248000000</v>
      </c>
      <c r="J196" s="850" t="s">
        <v>4421</v>
      </c>
      <c r="K196" s="157">
        <v>2014</v>
      </c>
      <c r="L196" s="546" t="s">
        <v>1088</v>
      </c>
      <c r="M196" s="138">
        <v>41708</v>
      </c>
      <c r="N196" s="138">
        <v>41738</v>
      </c>
      <c r="O196" s="127">
        <f>COUNTA(Modificaciones!I196,Modificaciones!K196,Modificaciones!M196,Modificaciones!O196)</f>
        <v>1</v>
      </c>
      <c r="P196" s="128">
        <f>VLOOKUP(E196,Modificaciones!$B$7:$Q$300,16,0)</f>
        <v>77128875</v>
      </c>
      <c r="Q196" s="129">
        <f>COUNTA(Modificaciones!S196,Modificaciones!U196,Modificaciones!W196,Modificaciones!Y196)</f>
        <v>0</v>
      </c>
      <c r="R196" s="130" t="str">
        <f>IF(Modificaciones!Z196=0,"",VLOOKUP(E196,Modificaciones!$B$7:$AA$400,25,0))</f>
        <v/>
      </c>
      <c r="S196" s="131" t="str">
        <f>IF(Modificaciones!AA196=0,"",VLOOKUP(E196,Modificaciones!$B$7:$AA$400,26,0))</f>
        <v/>
      </c>
      <c r="T196" s="7">
        <f t="shared" si="37"/>
        <v>41738</v>
      </c>
      <c r="U196" s="62">
        <f t="shared" si="27"/>
        <v>325128875</v>
      </c>
      <c r="V196" s="172">
        <f>VLOOKUP(E196,Modificaciones!$B$7:$AU$300,46,0)</f>
        <v>325028452</v>
      </c>
      <c r="W196" s="93">
        <f t="shared" si="28"/>
        <v>100423</v>
      </c>
      <c r="X196" s="314"/>
      <c r="Y196" s="42">
        <f t="shared" si="29"/>
        <v>0.99969112863322274</v>
      </c>
      <c r="Z196" s="42">
        <f t="shared" ca="1" si="30"/>
        <v>1</v>
      </c>
      <c r="AA196" s="43">
        <f t="shared" ca="1" si="31"/>
        <v>3.0887136677726357E-4</v>
      </c>
      <c r="AB196" s="202" t="str">
        <f t="shared" ca="1" si="32"/>
        <v/>
      </c>
      <c r="AC196" s="44" t="str">
        <f t="shared" si="33"/>
        <v>SI</v>
      </c>
      <c r="AD196" s="44"/>
      <c r="AE196" s="173" t="s">
        <v>1256</v>
      </c>
      <c r="AF196" s="173" t="s">
        <v>1134</v>
      </c>
      <c r="AG196" s="173"/>
      <c r="AH196" s="281"/>
      <c r="AI196" s="174"/>
      <c r="AJ196" s="174" t="s">
        <v>901</v>
      </c>
      <c r="AK196" s="181" t="str">
        <f t="shared" ca="1" si="34"/>
        <v>TERMINO</v>
      </c>
      <c r="AL196" s="181" t="s">
        <v>921</v>
      </c>
      <c r="AM196" s="176" t="s">
        <v>390</v>
      </c>
      <c r="AN196" s="848" t="str">
        <f>IFERROR(VLOOKUP(E196,'liquidaciones '!$B$2:$C$1048576,2,0),"NO")</f>
        <v>LIQUIDADO</v>
      </c>
      <c r="AO196" s="944">
        <f>IFERROR(VLOOKUP(E196,'liquidaciones '!$B$2:$I$1048576,8,0),"")</f>
        <v>0</v>
      </c>
      <c r="AP196" s="338">
        <v>42003</v>
      </c>
      <c r="AQ196" s="177" t="str">
        <f t="shared" ca="1" si="35"/>
        <v>NO</v>
      </c>
      <c r="AR196" s="177" t="s">
        <v>1165</v>
      </c>
      <c r="AS196" s="433"/>
      <c r="AT196" s="964"/>
      <c r="AU196" s="964"/>
      <c r="AV196" s="964"/>
    </row>
    <row r="197" spans="1:48" ht="47.25" customHeight="1" x14ac:dyDescent="0.25">
      <c r="B197" s="15">
        <v>191</v>
      </c>
      <c r="C197" s="437"/>
      <c r="D197" s="437" t="str">
        <f t="shared" si="25"/>
        <v>2014</v>
      </c>
      <c r="E197" s="139" t="s">
        <v>273</v>
      </c>
      <c r="F197" s="132" t="s">
        <v>126</v>
      </c>
      <c r="G197" s="133">
        <v>900333228</v>
      </c>
      <c r="H197" s="993" t="s">
        <v>523</v>
      </c>
      <c r="I197" s="140">
        <v>11000000</v>
      </c>
      <c r="J197" s="850" t="s">
        <v>2668</v>
      </c>
      <c r="K197" s="157">
        <v>2014</v>
      </c>
      <c r="L197" s="546" t="s">
        <v>1088</v>
      </c>
      <c r="M197" s="138">
        <v>41738</v>
      </c>
      <c r="N197" s="138">
        <v>42012</v>
      </c>
      <c r="O197" s="127">
        <f>COUNTA(Modificaciones!I197,Modificaciones!K197,Modificaciones!M197,Modificaciones!O197)</f>
        <v>0</v>
      </c>
      <c r="P197" s="128">
        <f>VLOOKUP(E197,Modificaciones!$B$7:$Q$300,16,0)</f>
        <v>0</v>
      </c>
      <c r="Q197" s="129">
        <f>COUNTA(Modificaciones!S197,Modificaciones!U197,Modificaciones!W197,Modificaciones!Y197)</f>
        <v>0</v>
      </c>
      <c r="R197" s="130" t="str">
        <f>IF(Modificaciones!Z197=0,"",VLOOKUP(E197,Modificaciones!$B$7:$AA$400,25,0))</f>
        <v/>
      </c>
      <c r="S197" s="131" t="str">
        <f>IF(Modificaciones!AA197=0,"",VLOOKUP(E197,Modificaciones!$B$7:$AA$400,26,0))</f>
        <v/>
      </c>
      <c r="T197" s="7">
        <f t="shared" si="37"/>
        <v>42012</v>
      </c>
      <c r="U197" s="62">
        <f t="shared" si="27"/>
        <v>11000000</v>
      </c>
      <c r="V197" s="172">
        <f>VLOOKUP(E197,Modificaciones!$B$7:$AU$300,46,0)</f>
        <v>2672466</v>
      </c>
      <c r="W197" s="93">
        <f t="shared" si="28"/>
        <v>8327534</v>
      </c>
      <c r="X197" s="314" t="s">
        <v>1181</v>
      </c>
      <c r="Y197" s="42">
        <f t="shared" si="29"/>
        <v>0.24295145454545455</v>
      </c>
      <c r="Z197" s="42">
        <f t="shared" ca="1" si="30"/>
        <v>1</v>
      </c>
      <c r="AA197" s="43">
        <f t="shared" ca="1" si="31"/>
        <v>0.75704854545454547</v>
      </c>
      <c r="AB197" s="202" t="str">
        <f t="shared" ca="1" si="32"/>
        <v/>
      </c>
      <c r="AC197" s="44" t="str">
        <f t="shared" si="33"/>
        <v>NO</v>
      </c>
      <c r="AD197" s="44"/>
      <c r="AE197" s="173" t="s">
        <v>1256</v>
      </c>
      <c r="AF197" s="301" t="s">
        <v>1171</v>
      </c>
      <c r="AG197" s="173" t="s">
        <v>1442</v>
      </c>
      <c r="AH197" s="281" t="s">
        <v>560</v>
      </c>
      <c r="AI197" s="174" t="s">
        <v>1380</v>
      </c>
      <c r="AJ197" s="174" t="s">
        <v>901</v>
      </c>
      <c r="AK197" s="181" t="str">
        <f t="shared" ca="1" si="34"/>
        <v>TERMINO</v>
      </c>
      <c r="AL197" s="181" t="s">
        <v>576</v>
      </c>
      <c r="AM197" s="176" t="s">
        <v>390</v>
      </c>
      <c r="AN197" s="848" t="str">
        <f>IFERROR(VLOOKUP(E197,'liquidaciones '!$B$2:$C$1048576,2,0),"NO")</f>
        <v>LIQUIDADO</v>
      </c>
      <c r="AO197" s="944">
        <f>IFERROR(VLOOKUP(E197,'liquidaciones '!$B$2:$I$1048576,8,0),"")</f>
        <v>0</v>
      </c>
      <c r="AP197" s="338">
        <v>42290</v>
      </c>
      <c r="AQ197" s="177" t="str">
        <f t="shared" ca="1" si="35"/>
        <v>NO</v>
      </c>
      <c r="AR197" s="177" t="s">
        <v>1571</v>
      </c>
      <c r="AS197" s="433"/>
      <c r="AT197" s="964"/>
      <c r="AU197" s="964"/>
      <c r="AV197" s="964"/>
    </row>
    <row r="198" spans="1:48" ht="47.25" customHeight="1" x14ac:dyDescent="0.25">
      <c r="B198" s="15">
        <v>192</v>
      </c>
      <c r="C198" s="437"/>
      <c r="D198" s="437" t="str">
        <f t="shared" si="25"/>
        <v>2014</v>
      </c>
      <c r="E198" s="139" t="s">
        <v>288</v>
      </c>
      <c r="F198" s="132" t="s">
        <v>12</v>
      </c>
      <c r="G198" s="133">
        <v>805006014</v>
      </c>
      <c r="H198" s="993" t="s">
        <v>524</v>
      </c>
      <c r="I198" s="140">
        <v>1325400</v>
      </c>
      <c r="J198" s="850" t="s">
        <v>2619</v>
      </c>
      <c r="K198" s="157">
        <v>2014</v>
      </c>
      <c r="L198" s="546" t="s">
        <v>1088</v>
      </c>
      <c r="M198" s="138">
        <v>41738</v>
      </c>
      <c r="N198" s="138">
        <v>42102</v>
      </c>
      <c r="O198" s="127">
        <f>COUNTA(Modificaciones!I198,Modificaciones!K198,Modificaciones!M198,Modificaciones!O198)</f>
        <v>1</v>
      </c>
      <c r="P198" s="128">
        <f>VLOOKUP(E198,Modificaciones!$B$7:$Q$300,16,0)</f>
        <v>282000</v>
      </c>
      <c r="Q198" s="129">
        <f>COUNTA(Modificaciones!S198,Modificaciones!U198,Modificaciones!W198,Modificaciones!Y198)</f>
        <v>0</v>
      </c>
      <c r="R198" s="130" t="str">
        <f>IF(Modificaciones!Z198=0,"",VLOOKUP(E198,Modificaciones!$B$7:$AA$400,25,0))</f>
        <v/>
      </c>
      <c r="S198" s="131" t="str">
        <f>IF(Modificaciones!AA198=0,"",VLOOKUP(E198,Modificaciones!$B$7:$AA$400,26,0))</f>
        <v/>
      </c>
      <c r="T198" s="7">
        <f t="shared" si="37"/>
        <v>42102</v>
      </c>
      <c r="U198" s="62">
        <f t="shared" si="27"/>
        <v>1607400</v>
      </c>
      <c r="V198" s="172">
        <f>VLOOKUP(E198,Modificaciones!$B$7:$AU$300,46,0)</f>
        <v>0</v>
      </c>
      <c r="W198" s="93">
        <f t="shared" si="28"/>
        <v>1607400</v>
      </c>
      <c r="X198" s="314" t="s">
        <v>5009</v>
      </c>
      <c r="Y198" s="42">
        <f t="shared" si="29"/>
        <v>0</v>
      </c>
      <c r="Z198" s="42">
        <f t="shared" ca="1" si="30"/>
        <v>1</v>
      </c>
      <c r="AA198" s="43">
        <f t="shared" ca="1" si="31"/>
        <v>1</v>
      </c>
      <c r="AB198" s="202" t="str">
        <f t="shared" ca="1" si="32"/>
        <v/>
      </c>
      <c r="AC198" s="44" t="str">
        <f t="shared" si="33"/>
        <v>NO</v>
      </c>
      <c r="AD198" s="44"/>
      <c r="AE198" s="173" t="s">
        <v>1256</v>
      </c>
      <c r="AF198" s="301" t="s">
        <v>1133</v>
      </c>
      <c r="AG198" s="173" t="s">
        <v>1442</v>
      </c>
      <c r="AH198" s="281" t="s">
        <v>560</v>
      </c>
      <c r="AI198" s="174"/>
      <c r="AJ198" s="174" t="s">
        <v>901</v>
      </c>
      <c r="AK198" s="181" t="str">
        <f t="shared" ca="1" si="34"/>
        <v>TERMINO</v>
      </c>
      <c r="AL198" s="181" t="s">
        <v>576</v>
      </c>
      <c r="AM198" s="176" t="s">
        <v>390</v>
      </c>
      <c r="AN198" s="848" t="str">
        <f>IFERROR(VLOOKUP(E198,'liquidaciones '!$B$2:$C$1048576,2,0),"NO")</f>
        <v>EN TRÁMITE</v>
      </c>
      <c r="AO198" s="944">
        <f>IFERROR(VLOOKUP(E198,'liquidaciones '!$B$2:$I$1048576,8,0),"")</f>
        <v>0</v>
      </c>
      <c r="AP198" s="338">
        <v>42304</v>
      </c>
      <c r="AQ198" s="177" t="str">
        <f t="shared" ca="1" si="35"/>
        <v>NO</v>
      </c>
      <c r="AR198" s="177" t="s">
        <v>981</v>
      </c>
      <c r="AS198" s="433"/>
      <c r="AT198" s="964"/>
      <c r="AU198" s="964"/>
      <c r="AV198" s="964"/>
    </row>
    <row r="199" spans="1:48" ht="61.5" customHeight="1" x14ac:dyDescent="0.25">
      <c r="B199" s="15">
        <v>193</v>
      </c>
      <c r="C199" s="437"/>
      <c r="D199" s="437" t="str">
        <f t="shared" ref="D199:D262" si="38">K199&amp;C199</f>
        <v>2014</v>
      </c>
      <c r="E199" s="139" t="s">
        <v>266</v>
      </c>
      <c r="F199" s="132" t="s">
        <v>1030</v>
      </c>
      <c r="G199" s="133">
        <v>830122370</v>
      </c>
      <c r="H199" s="993" t="s">
        <v>368</v>
      </c>
      <c r="I199" s="140">
        <v>4982000</v>
      </c>
      <c r="J199" s="850" t="s">
        <v>2669</v>
      </c>
      <c r="K199" s="157">
        <v>2014</v>
      </c>
      <c r="L199" s="546" t="s">
        <v>1088</v>
      </c>
      <c r="M199" s="138">
        <v>41725</v>
      </c>
      <c r="N199" s="138">
        <v>41969</v>
      </c>
      <c r="O199" s="127">
        <f>COUNTA(Modificaciones!I199,Modificaciones!K199,Modificaciones!M199,Modificaciones!O199)</f>
        <v>0</v>
      </c>
      <c r="P199" s="128">
        <f>VLOOKUP(E199,Modificaciones!$B$7:$Q$300,16,0)</f>
        <v>0</v>
      </c>
      <c r="Q199" s="129">
        <f>COUNTA(Modificaciones!S199,Modificaciones!U199,Modificaciones!W199,Modificaciones!Y199)</f>
        <v>0</v>
      </c>
      <c r="R199" s="130" t="str">
        <f>IF(Modificaciones!Z199=0,"",VLOOKUP(E199,Modificaciones!$B$7:$AA$400,25,0))</f>
        <v/>
      </c>
      <c r="S199" s="131" t="str">
        <f>IF(Modificaciones!AA199=0,"",VLOOKUP(E199,Modificaciones!$B$7:$AA$400,26,0))</f>
        <v/>
      </c>
      <c r="T199" s="7">
        <f t="shared" si="37"/>
        <v>41969</v>
      </c>
      <c r="U199" s="62">
        <f t="shared" ref="U199:U262" si="39">I199+P199</f>
        <v>4982000</v>
      </c>
      <c r="V199" s="172">
        <f>VLOOKUP(E199,Modificaciones!$B$7:$AU$300,46,0)</f>
        <v>2832000</v>
      </c>
      <c r="W199" s="93">
        <f t="shared" ref="W199:W262" si="40">U199-V199</f>
        <v>2150000</v>
      </c>
      <c r="X199" s="314" t="s">
        <v>1225</v>
      </c>
      <c r="Y199" s="42">
        <f t="shared" ref="Y199:Y262" si="41">(V199*100%)/U199</f>
        <v>0.56844640706543559</v>
      </c>
      <c r="Z199" s="42">
        <f t="shared" ref="Z199:Z262" ca="1" si="42">IF((($F$3-M199)*100%/(T199-M199))&gt;100%,100%,(($F$3-M199)*100%/(T199-M199)))</f>
        <v>1</v>
      </c>
      <c r="AA199" s="43">
        <f t="shared" ref="AA199:AA262" ca="1" si="43">Z199-Y199</f>
        <v>0.43155359293456441</v>
      </c>
      <c r="AB199" s="202" t="str">
        <f t="shared" ref="AB199:AB262" ca="1" si="44">IF(Z199&lt;100%,T199-$F$3,"")</f>
        <v/>
      </c>
      <c r="AC199" s="44" t="str">
        <f t="shared" ref="AC199:AC221" si="45">IF(Y199&lt;=99.9%,"NO","SI")</f>
        <v>NO</v>
      </c>
      <c r="AD199" s="44"/>
      <c r="AE199" s="173" t="s">
        <v>1256</v>
      </c>
      <c r="AF199" s="301" t="s">
        <v>1468</v>
      </c>
      <c r="AG199" s="173" t="s">
        <v>1438</v>
      </c>
      <c r="AH199" s="281" t="s">
        <v>560</v>
      </c>
      <c r="AI199" s="174"/>
      <c r="AJ199" s="174" t="s">
        <v>901</v>
      </c>
      <c r="AK199" s="181" t="str">
        <f t="shared" ref="AK199:AK262" ca="1" si="46">IF(T199&gt;=$F$3,"EN EJECUCIÓN","TERMINO")</f>
        <v>TERMINO</v>
      </c>
      <c r="AL199" s="181" t="s">
        <v>576</v>
      </c>
      <c r="AM199" s="176" t="s">
        <v>390</v>
      </c>
      <c r="AN199" s="848" t="str">
        <f>IFERROR(VLOOKUP(E199,'liquidaciones '!$B$2:$C$1048576,2,0),"NO")</f>
        <v>LIQUIDADO</v>
      </c>
      <c r="AO199" s="944">
        <f>IFERROR(VLOOKUP(E199,'liquidaciones '!$B$2:$I$1048576,8,0),"")</f>
        <v>0</v>
      </c>
      <c r="AP199" s="338">
        <v>42277</v>
      </c>
      <c r="AQ199" s="177" t="str">
        <f t="shared" ca="1" si="35"/>
        <v>NO</v>
      </c>
      <c r="AR199" s="177" t="s">
        <v>981</v>
      </c>
      <c r="AS199" s="433"/>
      <c r="AT199" s="964"/>
      <c r="AU199" s="964"/>
      <c r="AV199" s="964"/>
    </row>
    <row r="200" spans="1:48" ht="47.25" customHeight="1" x14ac:dyDescent="0.25">
      <c r="B200" s="15">
        <v>194</v>
      </c>
      <c r="C200" s="437"/>
      <c r="D200" s="437" t="str">
        <f t="shared" si="38"/>
        <v>2014</v>
      </c>
      <c r="E200" s="139" t="s">
        <v>271</v>
      </c>
      <c r="F200" s="132" t="s">
        <v>272</v>
      </c>
      <c r="G200" s="133">
        <v>900197284</v>
      </c>
      <c r="H200" s="993" t="s">
        <v>525</v>
      </c>
      <c r="I200" s="140">
        <v>28000000</v>
      </c>
      <c r="J200" s="850" t="s">
        <v>2670</v>
      </c>
      <c r="K200" s="157">
        <v>2014</v>
      </c>
      <c r="L200" s="546" t="s">
        <v>1088</v>
      </c>
      <c r="M200" s="138">
        <v>41738</v>
      </c>
      <c r="N200" s="138">
        <v>41951</v>
      </c>
      <c r="O200" s="127">
        <f>COUNTA(Modificaciones!I200,Modificaciones!K200,Modificaciones!M200,Modificaciones!O200)</f>
        <v>0</v>
      </c>
      <c r="P200" s="128">
        <f>VLOOKUP(E200,Modificaciones!$B$7:$Q$300,16,0)</f>
        <v>0</v>
      </c>
      <c r="Q200" s="129">
        <f>COUNTA(Modificaciones!S200,Modificaciones!U200,Modificaciones!W200,Modificaciones!Y200)</f>
        <v>0</v>
      </c>
      <c r="R200" s="130" t="str">
        <f>IF(Modificaciones!Z200=0,"",VLOOKUP(E200,Modificaciones!$B$7:$AA$400,25,0))</f>
        <v/>
      </c>
      <c r="S200" s="131" t="str">
        <f>IF(Modificaciones!AA200=0,"",VLOOKUP(E200,Modificaciones!$B$7:$AA$400,26,0))</f>
        <v/>
      </c>
      <c r="T200" s="7">
        <f t="shared" si="37"/>
        <v>41951</v>
      </c>
      <c r="U200" s="62">
        <f t="shared" si="39"/>
        <v>28000000</v>
      </c>
      <c r="V200" s="172">
        <f>VLOOKUP(E200,Modificaciones!$B$7:$AU$300,46,0)</f>
        <v>10978240</v>
      </c>
      <c r="W200" s="93">
        <f t="shared" si="40"/>
        <v>17021760</v>
      </c>
      <c r="X200" s="314" t="s">
        <v>1182</v>
      </c>
      <c r="Y200" s="42">
        <f t="shared" si="41"/>
        <v>0.39207999999999998</v>
      </c>
      <c r="Z200" s="42">
        <f t="shared" ca="1" si="42"/>
        <v>1</v>
      </c>
      <c r="AA200" s="43">
        <f t="shared" ca="1" si="43"/>
        <v>0.60792000000000002</v>
      </c>
      <c r="AB200" s="202" t="str">
        <f t="shared" ca="1" si="44"/>
        <v/>
      </c>
      <c r="AC200" s="44" t="str">
        <f t="shared" si="45"/>
        <v>NO</v>
      </c>
      <c r="AD200" s="44"/>
      <c r="AE200" s="173" t="s">
        <v>1256</v>
      </c>
      <c r="AF200" s="173" t="s">
        <v>1298</v>
      </c>
      <c r="AG200" s="173" t="s">
        <v>1442</v>
      </c>
      <c r="AH200" s="281" t="s">
        <v>560</v>
      </c>
      <c r="AI200" s="174" t="s">
        <v>1380</v>
      </c>
      <c r="AJ200" s="174" t="s">
        <v>901</v>
      </c>
      <c r="AK200" s="181" t="str">
        <f t="shared" ca="1" si="46"/>
        <v>TERMINO</v>
      </c>
      <c r="AL200" s="181" t="s">
        <v>576</v>
      </c>
      <c r="AM200" s="176" t="s">
        <v>390</v>
      </c>
      <c r="AN200" s="848" t="str">
        <f>IFERROR(VLOOKUP(E200,'liquidaciones '!$B$2:$C$1048576,2,0),"NO")</f>
        <v>LIQUIDADO</v>
      </c>
      <c r="AO200" s="944">
        <f>IFERROR(VLOOKUP(E200,'liquidaciones '!$B$2:$I$1048576,8,0),"")</f>
        <v>0</v>
      </c>
      <c r="AP200" s="338">
        <v>42242</v>
      </c>
      <c r="AQ200" s="177" t="str">
        <f t="shared" ca="1" si="35"/>
        <v>NO</v>
      </c>
      <c r="AR200" s="177" t="s">
        <v>1056</v>
      </c>
      <c r="AS200" s="433"/>
      <c r="AT200" s="964"/>
      <c r="AU200" s="964"/>
      <c r="AV200" s="964"/>
    </row>
    <row r="201" spans="1:48" ht="47.25" customHeight="1" x14ac:dyDescent="0.25">
      <c r="B201" s="15">
        <v>195</v>
      </c>
      <c r="C201" s="437"/>
      <c r="D201" s="437" t="str">
        <f t="shared" si="38"/>
        <v>2014</v>
      </c>
      <c r="E201" s="343" t="s">
        <v>274</v>
      </c>
      <c r="F201" s="132" t="s">
        <v>275</v>
      </c>
      <c r="G201" s="133">
        <v>900587953</v>
      </c>
      <c r="H201" s="993" t="s">
        <v>1449</v>
      </c>
      <c r="I201" s="140">
        <v>2122000</v>
      </c>
      <c r="J201" s="134" t="s">
        <v>2151</v>
      </c>
      <c r="K201" s="157">
        <v>2014</v>
      </c>
      <c r="L201" s="546" t="s">
        <v>1088</v>
      </c>
      <c r="M201" s="138">
        <v>41752</v>
      </c>
      <c r="N201" s="138">
        <v>42116</v>
      </c>
      <c r="O201" s="127">
        <f>COUNTA(Modificaciones!I201,Modificaciones!K201,Modificaciones!M201,Modificaciones!O201)</f>
        <v>0</v>
      </c>
      <c r="P201" s="128">
        <f>VLOOKUP(E201,Modificaciones!$B$7:$Q$300,16,0)</f>
        <v>0</v>
      </c>
      <c r="Q201" s="129">
        <f>COUNTA(Modificaciones!S201,Modificaciones!U201,Modificaciones!W201,Modificaciones!Y201)</f>
        <v>0</v>
      </c>
      <c r="R201" s="130" t="str">
        <f>IF(Modificaciones!Z201=0,"",VLOOKUP(E201,Modificaciones!$B$7:$AA$400,25,0))</f>
        <v/>
      </c>
      <c r="S201" s="131" t="str">
        <f>IF(Modificaciones!AA201=0,"",VLOOKUP(E201,Modificaciones!$B$7:$AA$400,26,0))</f>
        <v/>
      </c>
      <c r="T201" s="7">
        <f t="shared" si="37"/>
        <v>42116</v>
      </c>
      <c r="U201" s="62">
        <f t="shared" si="39"/>
        <v>2122000</v>
      </c>
      <c r="V201" s="172">
        <f>VLOOKUP(E201,Modificaciones!$B$7:$AU$300,46,0)</f>
        <v>2122000</v>
      </c>
      <c r="W201" s="93">
        <f t="shared" si="40"/>
        <v>0</v>
      </c>
      <c r="X201" s="314" t="s">
        <v>1226</v>
      </c>
      <c r="Y201" s="42">
        <f t="shared" si="41"/>
        <v>1</v>
      </c>
      <c r="Z201" s="42">
        <f t="shared" ca="1" si="42"/>
        <v>1</v>
      </c>
      <c r="AA201" s="43">
        <f t="shared" ca="1" si="43"/>
        <v>0</v>
      </c>
      <c r="AB201" s="202" t="str">
        <f t="shared" ca="1" si="44"/>
        <v/>
      </c>
      <c r="AC201" s="44" t="str">
        <f t="shared" si="45"/>
        <v>SI</v>
      </c>
      <c r="AD201" s="44"/>
      <c r="AE201" s="173" t="s">
        <v>1256</v>
      </c>
      <c r="AF201" s="301" t="s">
        <v>1383</v>
      </c>
      <c r="AG201" s="173" t="s">
        <v>1442</v>
      </c>
      <c r="AH201" s="281" t="s">
        <v>560</v>
      </c>
      <c r="AI201" s="174" t="s">
        <v>1380</v>
      </c>
      <c r="AJ201" s="174" t="s">
        <v>901</v>
      </c>
      <c r="AK201" s="181" t="str">
        <f t="shared" ca="1" si="46"/>
        <v>TERMINO</v>
      </c>
      <c r="AL201" s="181" t="s">
        <v>576</v>
      </c>
      <c r="AM201" s="176" t="s">
        <v>390</v>
      </c>
      <c r="AN201" s="848" t="str">
        <f>IFERROR(VLOOKUP(E201,'liquidaciones '!$B$2:$C$1048576,2,0),"NO")</f>
        <v>LIQUIDADO</v>
      </c>
      <c r="AO201" s="944">
        <f>IFERROR(VLOOKUP(E201,'liquidaciones '!$B$2:$I$1048576,8,0),"")</f>
        <v>0</v>
      </c>
      <c r="AP201" s="338"/>
      <c r="AQ201" s="177" t="str">
        <f t="shared" ca="1" si="35"/>
        <v>NO</v>
      </c>
      <c r="AR201" s="177" t="s">
        <v>2390</v>
      </c>
      <c r="AS201" s="433"/>
      <c r="AT201" s="964"/>
      <c r="AU201" s="964"/>
      <c r="AV201" s="964"/>
    </row>
    <row r="202" spans="1:48" ht="47.25" customHeight="1" x14ac:dyDescent="0.25">
      <c r="B202" s="15">
        <v>196</v>
      </c>
      <c r="C202" s="437"/>
      <c r="D202" s="437" t="str">
        <f t="shared" si="38"/>
        <v>2014</v>
      </c>
      <c r="E202" s="343" t="s">
        <v>279</v>
      </c>
      <c r="F202" s="132" t="s">
        <v>53</v>
      </c>
      <c r="G202" s="133">
        <v>4831</v>
      </c>
      <c r="H202" s="993" t="s">
        <v>1768</v>
      </c>
      <c r="I202" s="140">
        <v>20872000</v>
      </c>
      <c r="J202" s="700" t="s">
        <v>2410</v>
      </c>
      <c r="K202" s="157">
        <v>2014</v>
      </c>
      <c r="L202" s="546" t="s">
        <v>1088</v>
      </c>
      <c r="M202" s="138">
        <v>41757</v>
      </c>
      <c r="N202" s="138">
        <v>42062</v>
      </c>
      <c r="O202" s="127">
        <f>COUNTA(Modificaciones!I202,Modificaciones!K202,Modificaciones!M202,Modificaciones!O202)</f>
        <v>1</v>
      </c>
      <c r="P202" s="128">
        <f>VLOOKUP(E202,Modificaciones!$B$7:$Q$300,16,0)</f>
        <v>10346000</v>
      </c>
      <c r="Q202" s="129">
        <f>COUNTA(Modificaciones!S202,Modificaciones!U202,Modificaciones!W202,Modificaciones!Y202)</f>
        <v>1</v>
      </c>
      <c r="R202" s="130" t="str">
        <f>IF(Modificaciones!Z202=0,"",VLOOKUP(E202,Modificaciones!$B$7:$AA$400,25,0))</f>
        <v xml:space="preserve">1 mes   </v>
      </c>
      <c r="S202" s="131">
        <f>IF(Modificaciones!AA202=0,"",VLOOKUP(E202,Modificaciones!$B$7:$AA$400,26,0))</f>
        <v>42091</v>
      </c>
      <c r="T202" s="7">
        <f t="shared" si="37"/>
        <v>42091</v>
      </c>
      <c r="U202" s="62">
        <f t="shared" si="39"/>
        <v>31218000</v>
      </c>
      <c r="V202" s="172">
        <f>VLOOKUP(E202,Modificaciones!$B$7:$AU$300,46,0)</f>
        <v>29571427</v>
      </c>
      <c r="W202" s="93">
        <f t="shared" si="40"/>
        <v>1646573</v>
      </c>
      <c r="X202" s="314" t="s">
        <v>1227</v>
      </c>
      <c r="Y202" s="42">
        <f t="shared" si="41"/>
        <v>0.9472556537894804</v>
      </c>
      <c r="Z202" s="42">
        <f t="shared" ca="1" si="42"/>
        <v>1</v>
      </c>
      <c r="AA202" s="43">
        <f t="shared" ca="1" si="43"/>
        <v>5.2744346210519599E-2</v>
      </c>
      <c r="AB202" s="202" t="str">
        <f t="shared" ca="1" si="44"/>
        <v/>
      </c>
      <c r="AC202" s="44" t="str">
        <f t="shared" si="45"/>
        <v>NO</v>
      </c>
      <c r="AD202" s="44"/>
      <c r="AE202" s="173" t="s">
        <v>1256</v>
      </c>
      <c r="AF202" s="173" t="s">
        <v>1126</v>
      </c>
      <c r="AG202" s="173" t="s">
        <v>1442</v>
      </c>
      <c r="AH202" s="281" t="s">
        <v>560</v>
      </c>
      <c r="AI202" s="174" t="s">
        <v>1319</v>
      </c>
      <c r="AJ202" s="174" t="s">
        <v>901</v>
      </c>
      <c r="AK202" s="181" t="str">
        <f t="shared" ca="1" si="46"/>
        <v>TERMINO</v>
      </c>
      <c r="AL202" s="181" t="s">
        <v>576</v>
      </c>
      <c r="AM202" s="176" t="s">
        <v>390</v>
      </c>
      <c r="AN202" s="848" t="str">
        <f>IFERROR(VLOOKUP(E202,'liquidaciones '!$B$2:$C$1048576,2,0),"NO")</f>
        <v>LIQUIDADO</v>
      </c>
      <c r="AO202" s="944">
        <f>IFERROR(VLOOKUP(E202,'liquidaciones '!$B$2:$I$1048576,8,0),"")</f>
        <v>0</v>
      </c>
      <c r="AP202" s="338">
        <v>42240</v>
      </c>
      <c r="AQ202" s="177" t="str">
        <f t="shared" ca="1" si="35"/>
        <v>NO</v>
      </c>
      <c r="AR202" s="177" t="s">
        <v>982</v>
      </c>
      <c r="AS202" s="433"/>
      <c r="AT202" s="964"/>
      <c r="AU202" s="964"/>
      <c r="AV202" s="964"/>
    </row>
    <row r="203" spans="1:48" ht="47.25" customHeight="1" x14ac:dyDescent="0.25">
      <c r="B203" s="15">
        <v>197</v>
      </c>
      <c r="C203" s="437"/>
      <c r="D203" s="437" t="str">
        <f t="shared" si="38"/>
        <v>2014</v>
      </c>
      <c r="E203" s="139" t="s">
        <v>282</v>
      </c>
      <c r="F203" s="132" t="s">
        <v>418</v>
      </c>
      <c r="G203" s="133">
        <v>891501783</v>
      </c>
      <c r="H203" s="993" t="s">
        <v>526</v>
      </c>
      <c r="I203" s="140">
        <v>12145200</v>
      </c>
      <c r="J203" s="850" t="s">
        <v>2671</v>
      </c>
      <c r="K203" s="157">
        <v>2014</v>
      </c>
      <c r="L203" s="546" t="s">
        <v>1088</v>
      </c>
      <c r="M203" s="138">
        <v>41764</v>
      </c>
      <c r="N203" s="138">
        <v>41901</v>
      </c>
      <c r="O203" s="127">
        <f>COUNTA(Modificaciones!I203,Modificaciones!K203,Modificaciones!M203,Modificaciones!O203)</f>
        <v>1</v>
      </c>
      <c r="P203" s="128">
        <f>VLOOKUP(E203,Modificaciones!$B$7:$Q$300,16,0)</f>
        <v>6072600</v>
      </c>
      <c r="Q203" s="129">
        <f>COUNTA(Modificaciones!S203,Modificaciones!U203,Modificaciones!W203,Modificaciones!Y203)</f>
        <v>1</v>
      </c>
      <c r="R203" s="130" t="str">
        <f>IF(Modificaciones!Z203=0,"",VLOOKUP(E203,Modificaciones!$B$7:$AA$400,25,0))</f>
        <v>1 mes y 15 días</v>
      </c>
      <c r="S203" s="131">
        <f>IF(Modificaciones!AA203=0,"",VLOOKUP(E203,Modificaciones!$B$7:$AA$400,26,0))</f>
        <v>41901</v>
      </c>
      <c r="T203" s="7">
        <f t="shared" si="37"/>
        <v>41901</v>
      </c>
      <c r="U203" s="62">
        <f t="shared" si="39"/>
        <v>18217800</v>
      </c>
      <c r="V203" s="172">
        <f>VLOOKUP(E203,Modificaciones!$B$7:$AU$300,46,0)</f>
        <v>18217800</v>
      </c>
      <c r="W203" s="93">
        <f t="shared" si="40"/>
        <v>0</v>
      </c>
      <c r="X203" s="314" t="s">
        <v>1183</v>
      </c>
      <c r="Y203" s="42">
        <f t="shared" si="41"/>
        <v>1</v>
      </c>
      <c r="Z203" s="42">
        <f t="shared" ca="1" si="42"/>
        <v>1</v>
      </c>
      <c r="AA203" s="43">
        <f t="shared" ca="1" si="43"/>
        <v>0</v>
      </c>
      <c r="AB203" s="202" t="str">
        <f t="shared" ca="1" si="44"/>
        <v/>
      </c>
      <c r="AC203" s="44" t="str">
        <f t="shared" si="45"/>
        <v>SI</v>
      </c>
      <c r="AD203" s="44"/>
      <c r="AE203" s="173" t="s">
        <v>1257</v>
      </c>
      <c r="AF203" s="173" t="s">
        <v>1464</v>
      </c>
      <c r="AG203" s="173"/>
      <c r="AH203" s="281"/>
      <c r="AI203" s="174"/>
      <c r="AJ203" s="174" t="s">
        <v>901</v>
      </c>
      <c r="AK203" s="181" t="str">
        <f t="shared" ca="1" si="46"/>
        <v>TERMINO</v>
      </c>
      <c r="AL203" s="181" t="s">
        <v>576</v>
      </c>
      <c r="AM203" s="176" t="s">
        <v>390</v>
      </c>
      <c r="AN203" s="848" t="str">
        <f>IFERROR(VLOOKUP(E203,'liquidaciones '!$B$2:$C$1048576,2,0),"NO")</f>
        <v>LIQUIDADO</v>
      </c>
      <c r="AO203" s="944">
        <f>IFERROR(VLOOKUP(E203,'liquidaciones '!$B$2:$I$1048576,8,0),"")</f>
        <v>0</v>
      </c>
      <c r="AP203" s="338">
        <v>42023</v>
      </c>
      <c r="AQ203" s="177" t="str">
        <f t="shared" ca="1" si="35"/>
        <v>NO</v>
      </c>
      <c r="AR203" s="177" t="s">
        <v>981</v>
      </c>
      <c r="AS203" s="433"/>
      <c r="AT203" s="964"/>
      <c r="AU203" s="964"/>
      <c r="AV203" s="964"/>
    </row>
    <row r="204" spans="1:48" ht="47.25" customHeight="1" x14ac:dyDescent="0.25">
      <c r="B204" s="15">
        <v>198</v>
      </c>
      <c r="C204" s="437"/>
      <c r="D204" s="437" t="str">
        <f t="shared" si="38"/>
        <v>2014</v>
      </c>
      <c r="E204" s="139" t="s">
        <v>280</v>
      </c>
      <c r="F204" s="132" t="s">
        <v>281</v>
      </c>
      <c r="G204" s="133">
        <v>900414308</v>
      </c>
      <c r="H204" s="993" t="s">
        <v>527</v>
      </c>
      <c r="I204" s="140">
        <v>1700007</v>
      </c>
      <c r="J204" s="850" t="s">
        <v>2672</v>
      </c>
      <c r="K204" s="157">
        <v>2014</v>
      </c>
      <c r="L204" s="546" t="s">
        <v>1088</v>
      </c>
      <c r="M204" s="138">
        <v>41757</v>
      </c>
      <c r="N204" s="138">
        <v>41817</v>
      </c>
      <c r="O204" s="127">
        <f>COUNTA(Modificaciones!I204,Modificaciones!K204,Modificaciones!M204,Modificaciones!O204)</f>
        <v>0</v>
      </c>
      <c r="P204" s="128">
        <f>VLOOKUP(E204,Modificaciones!$B$7:$Q$300,16,0)</f>
        <v>0</v>
      </c>
      <c r="Q204" s="129">
        <f>COUNTA(Modificaciones!S204,Modificaciones!U204,Modificaciones!W204,Modificaciones!Y204)</f>
        <v>0</v>
      </c>
      <c r="R204" s="130" t="str">
        <f>IF(Modificaciones!Z204=0,"",VLOOKUP(E204,Modificaciones!$B$7:$AA$400,25,0))</f>
        <v/>
      </c>
      <c r="S204" s="131" t="str">
        <f>IF(Modificaciones!AA204=0,"",VLOOKUP(E204,Modificaciones!$B$7:$AA$400,26,0))</f>
        <v/>
      </c>
      <c r="T204" s="7">
        <f t="shared" si="37"/>
        <v>41817</v>
      </c>
      <c r="U204" s="62">
        <f t="shared" si="39"/>
        <v>1700007</v>
      </c>
      <c r="V204" s="172">
        <f>VLOOKUP(E204,Modificaciones!$B$7:$AU$300,46,0)</f>
        <v>1700000</v>
      </c>
      <c r="W204" s="93">
        <f t="shared" si="40"/>
        <v>7</v>
      </c>
      <c r="X204" s="314"/>
      <c r="Y204" s="42">
        <f t="shared" si="41"/>
        <v>0.99999588236989612</v>
      </c>
      <c r="Z204" s="42">
        <f t="shared" ca="1" si="42"/>
        <v>1</v>
      </c>
      <c r="AA204" s="43">
        <f t="shared" ca="1" si="43"/>
        <v>4.1176301038836627E-6</v>
      </c>
      <c r="AB204" s="202" t="str">
        <f t="shared" ca="1" si="44"/>
        <v/>
      </c>
      <c r="AC204" s="44" t="str">
        <f t="shared" si="45"/>
        <v>SI</v>
      </c>
      <c r="AD204" s="44"/>
      <c r="AE204" s="173" t="s">
        <v>1256</v>
      </c>
      <c r="AF204" s="173" t="s">
        <v>1313</v>
      </c>
      <c r="AG204" s="173"/>
      <c r="AH204" s="281"/>
      <c r="AI204" s="174"/>
      <c r="AJ204" s="174" t="s">
        <v>901</v>
      </c>
      <c r="AK204" s="181" t="str">
        <f t="shared" ca="1" si="46"/>
        <v>TERMINO</v>
      </c>
      <c r="AL204" s="181" t="s">
        <v>576</v>
      </c>
      <c r="AM204" s="176" t="s">
        <v>390</v>
      </c>
      <c r="AN204" s="848" t="str">
        <f>IFERROR(VLOOKUP(E204,'liquidaciones '!$B$2:$C$1048576,2,0),"NO")</f>
        <v>NO</v>
      </c>
      <c r="AO204" s="944" t="str">
        <f>IFERROR(VLOOKUP(E204,'liquidaciones '!$B$2:$I$1048576,8,0),"")</f>
        <v/>
      </c>
      <c r="AP204" s="338"/>
      <c r="AQ204" s="177" t="str">
        <f t="shared" ca="1" si="35"/>
        <v>NO</v>
      </c>
      <c r="AR204" s="177" t="s">
        <v>1165</v>
      </c>
      <c r="AS204" s="433"/>
      <c r="AT204" s="964"/>
      <c r="AU204" s="964"/>
      <c r="AV204" s="964"/>
    </row>
    <row r="205" spans="1:48" ht="47.25" customHeight="1" x14ac:dyDescent="0.25">
      <c r="B205" s="15">
        <v>199</v>
      </c>
      <c r="C205" s="437"/>
      <c r="D205" s="437" t="str">
        <f t="shared" si="38"/>
        <v>2014</v>
      </c>
      <c r="E205" s="139" t="s">
        <v>276</v>
      </c>
      <c r="F205" s="132" t="s">
        <v>277</v>
      </c>
      <c r="G205" s="133">
        <v>830055827</v>
      </c>
      <c r="H205" s="993" t="s">
        <v>370</v>
      </c>
      <c r="I205" s="140">
        <v>32631000</v>
      </c>
      <c r="J205" s="134" t="s">
        <v>1088</v>
      </c>
      <c r="K205" s="157">
        <v>2014</v>
      </c>
      <c r="L205" s="546" t="s">
        <v>1088</v>
      </c>
      <c r="M205" s="138">
        <v>41753</v>
      </c>
      <c r="N205" s="138">
        <v>42117</v>
      </c>
      <c r="O205" s="127">
        <f>COUNTA(Modificaciones!I205,Modificaciones!K205,Modificaciones!M205,Modificaciones!O205)</f>
        <v>0</v>
      </c>
      <c r="P205" s="128">
        <f>VLOOKUP(E205,Modificaciones!$B$7:$Q$300,16,0)</f>
        <v>0</v>
      </c>
      <c r="Q205" s="129">
        <f>COUNTA(Modificaciones!S205,Modificaciones!U205,Modificaciones!W205,Modificaciones!Y205)</f>
        <v>0</v>
      </c>
      <c r="R205" s="130" t="str">
        <f>IF(Modificaciones!Z205=0,"",VLOOKUP(E205,Modificaciones!$B$7:$AA$400,25,0))</f>
        <v/>
      </c>
      <c r="S205" s="131" t="str">
        <f>IF(Modificaciones!AA205=0,"",VLOOKUP(E205,Modificaciones!$B$7:$AA$400,26,0))</f>
        <v/>
      </c>
      <c r="T205" s="7">
        <f t="shared" si="37"/>
        <v>42117</v>
      </c>
      <c r="U205" s="62">
        <f t="shared" si="39"/>
        <v>32631000</v>
      </c>
      <c r="V205" s="172">
        <f>VLOOKUP(E205,Modificaciones!$B$7:$AU$300,46,0)</f>
        <v>32594631</v>
      </c>
      <c r="W205" s="93">
        <f t="shared" si="40"/>
        <v>36369</v>
      </c>
      <c r="X205" s="314" t="s">
        <v>1184</v>
      </c>
      <c r="Y205" s="42">
        <f t="shared" si="41"/>
        <v>0.99888544635469334</v>
      </c>
      <c r="Z205" s="42">
        <f t="shared" ca="1" si="42"/>
        <v>1</v>
      </c>
      <c r="AA205" s="43">
        <f t="shared" ca="1" si="43"/>
        <v>1.1145536453066596E-3</v>
      </c>
      <c r="AB205" s="202" t="str">
        <f t="shared" ca="1" si="44"/>
        <v/>
      </c>
      <c r="AC205" s="44" t="str">
        <f t="shared" si="45"/>
        <v>NO</v>
      </c>
      <c r="AD205" s="44"/>
      <c r="AE205" s="173" t="s">
        <v>1256</v>
      </c>
      <c r="AF205" s="301" t="s">
        <v>1135</v>
      </c>
      <c r="AG205" s="173"/>
      <c r="AH205" s="281" t="s">
        <v>562</v>
      </c>
      <c r="AI205" s="174" t="s">
        <v>1384</v>
      </c>
      <c r="AJ205" s="174" t="s">
        <v>901</v>
      </c>
      <c r="AK205" s="181" t="str">
        <f t="shared" ca="1" si="46"/>
        <v>TERMINO</v>
      </c>
      <c r="AL205" s="181" t="s">
        <v>576</v>
      </c>
      <c r="AM205" s="176" t="s">
        <v>390</v>
      </c>
      <c r="AN205" s="848" t="str">
        <f>IFERROR(VLOOKUP(E205,'liquidaciones '!$B$2:$C$1048576,2,0),"NO")</f>
        <v>LIQUIDADO</v>
      </c>
      <c r="AO205" s="944">
        <f>IFERROR(VLOOKUP(E205,'liquidaciones '!$B$2:$I$1048576,8,0),"")</f>
        <v>0</v>
      </c>
      <c r="AP205" s="338"/>
      <c r="AQ205" s="177" t="str">
        <f t="shared" ca="1" si="35"/>
        <v>NO</v>
      </c>
      <c r="AR205" s="177" t="s">
        <v>1570</v>
      </c>
      <c r="AS205" s="433"/>
      <c r="AT205" s="964"/>
      <c r="AU205" s="964"/>
      <c r="AV205" s="964"/>
    </row>
    <row r="206" spans="1:48" ht="47.25" customHeight="1" x14ac:dyDescent="0.25">
      <c r="B206" s="15">
        <v>200</v>
      </c>
      <c r="C206" s="437"/>
      <c r="D206" s="437" t="str">
        <f t="shared" si="38"/>
        <v>2014</v>
      </c>
      <c r="E206" s="139" t="s">
        <v>283</v>
      </c>
      <c r="F206" s="132" t="s">
        <v>284</v>
      </c>
      <c r="G206" s="133">
        <v>830055842</v>
      </c>
      <c r="H206" s="993" t="s">
        <v>528</v>
      </c>
      <c r="I206" s="140">
        <v>40000000</v>
      </c>
      <c r="J206" s="850" t="s">
        <v>2620</v>
      </c>
      <c r="K206" s="157">
        <v>2014</v>
      </c>
      <c r="L206" s="546" t="s">
        <v>1088</v>
      </c>
      <c r="M206" s="138">
        <v>41807</v>
      </c>
      <c r="N206" s="138">
        <v>42051</v>
      </c>
      <c r="O206" s="127">
        <f>COUNTA(Modificaciones!I206,Modificaciones!K206,Modificaciones!M206,Modificaciones!O206)</f>
        <v>1</v>
      </c>
      <c r="P206" s="128">
        <f>VLOOKUP(E206,Modificaciones!$B$7:$Q$300,16,0)</f>
        <v>5100746</v>
      </c>
      <c r="Q206" s="129">
        <f>COUNTA(Modificaciones!S206,Modificaciones!U206,Modificaciones!W206,Modificaciones!Y206)</f>
        <v>2</v>
      </c>
      <c r="R206" s="130" t="str">
        <f>IF(Modificaciones!Z206=0,"",VLOOKUP(E206,Modificaciones!$B$7:$AA$400,25,0))</f>
        <v>2 meses y 18 días</v>
      </c>
      <c r="S206" s="131">
        <f>IF(Modificaciones!AA206=0,"",VLOOKUP(E206,Modificaciones!$B$7:$AA$400,26,0))</f>
        <v>42128</v>
      </c>
      <c r="T206" s="7">
        <f t="shared" si="37"/>
        <v>42128</v>
      </c>
      <c r="U206" s="62">
        <f t="shared" si="39"/>
        <v>45100746</v>
      </c>
      <c r="V206" s="172">
        <f>VLOOKUP(E206,Modificaciones!$B$7:$AU$300,46,0)</f>
        <v>45045000</v>
      </c>
      <c r="W206" s="93">
        <f t="shared" si="40"/>
        <v>55746</v>
      </c>
      <c r="X206" s="314" t="s">
        <v>1878</v>
      </c>
      <c r="Y206" s="42">
        <f t="shared" si="41"/>
        <v>0.99876396723016514</v>
      </c>
      <c r="Z206" s="42">
        <f t="shared" ca="1" si="42"/>
        <v>1</v>
      </c>
      <c r="AA206" s="43">
        <f t="shared" ca="1" si="43"/>
        <v>1.2360327698348605E-3</v>
      </c>
      <c r="AB206" s="202" t="str">
        <f t="shared" ca="1" si="44"/>
        <v/>
      </c>
      <c r="AC206" s="44" t="str">
        <f t="shared" si="45"/>
        <v>NO</v>
      </c>
      <c r="AD206" s="44"/>
      <c r="AE206" s="173" t="s">
        <v>1256</v>
      </c>
      <c r="AF206" s="301" t="s">
        <v>1137</v>
      </c>
      <c r="AG206" s="173" t="s">
        <v>1436</v>
      </c>
      <c r="AH206" s="281" t="s">
        <v>562</v>
      </c>
      <c r="AI206" s="174" t="s">
        <v>1385</v>
      </c>
      <c r="AJ206" s="174" t="s">
        <v>901</v>
      </c>
      <c r="AK206" s="181" t="str">
        <f t="shared" ca="1" si="46"/>
        <v>TERMINO</v>
      </c>
      <c r="AL206" s="181" t="s">
        <v>921</v>
      </c>
      <c r="AM206" s="176" t="s">
        <v>390</v>
      </c>
      <c r="AN206" s="848" t="str">
        <f>IFERROR(VLOOKUP(E206,'liquidaciones '!$B$2:$C$1048576,2,0),"NO")</f>
        <v>LIQUIDADO</v>
      </c>
      <c r="AO206" s="944">
        <f>IFERROR(VLOOKUP(E206,'liquidaciones '!$B$2:$I$1048576,8,0),"")</f>
        <v>0</v>
      </c>
      <c r="AP206" s="338"/>
      <c r="AQ206" s="177" t="str">
        <f t="shared" ca="1" si="35"/>
        <v>NO</v>
      </c>
      <c r="AR206" s="177" t="s">
        <v>1510</v>
      </c>
      <c r="AS206" s="433"/>
      <c r="AT206" s="964"/>
      <c r="AU206" s="964"/>
      <c r="AV206" s="964"/>
    </row>
    <row r="207" spans="1:48" ht="89.25" customHeight="1" x14ac:dyDescent="0.25">
      <c r="B207" s="15">
        <v>201</v>
      </c>
      <c r="C207" s="437"/>
      <c r="D207" s="437" t="str">
        <f t="shared" si="38"/>
        <v>2014</v>
      </c>
      <c r="E207" s="205" t="s">
        <v>1097</v>
      </c>
      <c r="F207" s="206" t="s">
        <v>1098</v>
      </c>
      <c r="G207" s="218"/>
      <c r="H207" s="996" t="s">
        <v>1099</v>
      </c>
      <c r="I207" s="140">
        <v>0</v>
      </c>
      <c r="J207" s="134" t="s">
        <v>1088</v>
      </c>
      <c r="K207" s="157">
        <v>2014</v>
      </c>
      <c r="L207" s="546" t="s">
        <v>1088</v>
      </c>
      <c r="M207" s="138"/>
      <c r="N207" s="138"/>
      <c r="O207" s="127">
        <f>COUNTA(Modificaciones!I207,Modificaciones!K207,Modificaciones!M207,Modificaciones!O207)</f>
        <v>0</v>
      </c>
      <c r="P207" s="128">
        <f>VLOOKUP(E207,Modificaciones!$B$7:$Q$300,16,0)</f>
        <v>0</v>
      </c>
      <c r="Q207" s="129">
        <f>COUNTA(Modificaciones!S207,Modificaciones!U207,Modificaciones!W207,Modificaciones!Y207)</f>
        <v>1</v>
      </c>
      <c r="R207" s="130" t="str">
        <f>IF(Modificaciones!Z207=0,"",VLOOKUP(E207,Modificaciones!$B$7:$AA$400,25,0))</f>
        <v>9 meses y 7 días</v>
      </c>
      <c r="S207" s="131">
        <f>IF(Modificaciones!AA207=0,"",VLOOKUP(E207,Modificaciones!$B$7:$AA$400,26,0))</f>
        <v>43890</v>
      </c>
      <c r="T207" s="126">
        <f t="shared" si="37"/>
        <v>43890</v>
      </c>
      <c r="U207" s="62">
        <f t="shared" si="39"/>
        <v>0</v>
      </c>
      <c r="V207" s="172">
        <f>VLOOKUP(E207,Modificaciones!$B$7:$AU$300,46,0)</f>
        <v>0</v>
      </c>
      <c r="W207" s="93">
        <f t="shared" si="40"/>
        <v>0</v>
      </c>
      <c r="X207" s="314"/>
      <c r="Y207" s="42" t="e">
        <f t="shared" si="41"/>
        <v>#DIV/0!</v>
      </c>
      <c r="Z207" s="42">
        <f t="shared" ca="1" si="42"/>
        <v>0.99437229437229435</v>
      </c>
      <c r="AA207" s="43" t="e">
        <f t="shared" ca="1" si="43"/>
        <v>#DIV/0!</v>
      </c>
      <c r="AB207" s="202">
        <f t="shared" ca="1" si="44"/>
        <v>247</v>
      </c>
      <c r="AC207" s="44" t="e">
        <f t="shared" si="45"/>
        <v>#DIV/0!</v>
      </c>
      <c r="AD207" s="44"/>
      <c r="AE207" s="173" t="s">
        <v>1256</v>
      </c>
      <c r="AF207" s="301" t="s">
        <v>1508</v>
      </c>
      <c r="AG207" s="173" t="s">
        <v>1442</v>
      </c>
      <c r="AH207" s="281" t="s">
        <v>560</v>
      </c>
      <c r="AI207" s="174" t="s">
        <v>1319</v>
      </c>
      <c r="AJ207" s="174" t="s">
        <v>901</v>
      </c>
      <c r="AK207" s="181" t="str">
        <f t="shared" ca="1" si="46"/>
        <v>EN EJECUCIÓN</v>
      </c>
      <c r="AL207" s="181" t="s">
        <v>582</v>
      </c>
      <c r="AM207" s="176"/>
      <c r="AN207" s="848" t="str">
        <f>IFERROR(VLOOKUP(E207,'liquidaciones '!$B$2:$C$1048576,2,0),"NO")</f>
        <v>NO</v>
      </c>
      <c r="AO207" s="944" t="str">
        <f>IFERROR(VLOOKUP(E207,'liquidaciones '!$B$2:$I$1048576,8,0),"")</f>
        <v/>
      </c>
      <c r="AP207" s="338"/>
      <c r="AQ207" s="177" t="str">
        <f t="shared" ref="AQ207:AQ221" ca="1" si="47">IF((TODAY()-T207&lt;900),"SI","NO")</f>
        <v>SI</v>
      </c>
      <c r="AR207" s="177" t="s">
        <v>2977</v>
      </c>
      <c r="AS207" s="433"/>
      <c r="AT207" s="964"/>
      <c r="AU207" s="966" t="s">
        <v>4938</v>
      </c>
      <c r="AV207" s="964"/>
    </row>
    <row r="208" spans="1:48" ht="47.25" customHeight="1" x14ac:dyDescent="0.25">
      <c r="B208" s="15">
        <v>202</v>
      </c>
      <c r="C208" s="437"/>
      <c r="D208" s="437" t="str">
        <f t="shared" si="38"/>
        <v>2014</v>
      </c>
      <c r="E208" s="139" t="s">
        <v>289</v>
      </c>
      <c r="F208" s="132" t="s">
        <v>290</v>
      </c>
      <c r="G208" s="133">
        <v>811021363</v>
      </c>
      <c r="H208" s="993" t="s">
        <v>529</v>
      </c>
      <c r="I208" s="140">
        <v>9998117</v>
      </c>
      <c r="J208" s="850" t="s">
        <v>2621</v>
      </c>
      <c r="K208" s="157">
        <v>2014</v>
      </c>
      <c r="L208" s="546" t="s">
        <v>1088</v>
      </c>
      <c r="M208" s="138">
        <v>41794</v>
      </c>
      <c r="N208" s="138">
        <v>41855</v>
      </c>
      <c r="O208" s="127">
        <f>COUNTA(Modificaciones!I208,Modificaciones!K208,Modificaciones!M208,Modificaciones!O208)</f>
        <v>0</v>
      </c>
      <c r="P208" s="128">
        <f>VLOOKUP(E208,Modificaciones!$B$7:$Q$300,16,0)</f>
        <v>0</v>
      </c>
      <c r="Q208" s="129">
        <f>COUNTA(Modificaciones!S208,Modificaciones!U208,Modificaciones!W208,Modificaciones!Y208)</f>
        <v>0</v>
      </c>
      <c r="R208" s="130" t="str">
        <f>IF(Modificaciones!Z208=0,"",VLOOKUP(E208,Modificaciones!$B$7:$AA$400,25,0))</f>
        <v/>
      </c>
      <c r="S208" s="131" t="str">
        <f>IF(Modificaciones!AA208=0,"",VLOOKUP(E208,Modificaciones!$B$7:$AA$400,26,0))</f>
        <v/>
      </c>
      <c r="T208" s="7">
        <f t="shared" si="37"/>
        <v>41855</v>
      </c>
      <c r="U208" s="62">
        <f t="shared" si="39"/>
        <v>9998117</v>
      </c>
      <c r="V208" s="172">
        <f>VLOOKUP(E208,Modificaciones!$B$7:$AU$300,46,0)</f>
        <v>9998097</v>
      </c>
      <c r="W208" s="93">
        <f t="shared" si="40"/>
        <v>20</v>
      </c>
      <c r="X208" s="314" t="s">
        <v>1185</v>
      </c>
      <c r="Y208" s="42">
        <f t="shared" si="41"/>
        <v>0.99999799962332903</v>
      </c>
      <c r="Z208" s="42">
        <f t="shared" ca="1" si="42"/>
        <v>1</v>
      </c>
      <c r="AA208" s="43">
        <f t="shared" ca="1" si="43"/>
        <v>2.000376670974191E-6</v>
      </c>
      <c r="AB208" s="202" t="str">
        <f t="shared" ca="1" si="44"/>
        <v/>
      </c>
      <c r="AC208" s="44" t="str">
        <f t="shared" si="45"/>
        <v>SI</v>
      </c>
      <c r="AD208" s="44"/>
      <c r="AE208" s="173" t="s">
        <v>1257</v>
      </c>
      <c r="AF208" s="173" t="s">
        <v>1311</v>
      </c>
      <c r="AG208" s="173" t="s">
        <v>1439</v>
      </c>
      <c r="AH208" s="281" t="s">
        <v>560</v>
      </c>
      <c r="AI208" s="174" t="s">
        <v>1509</v>
      </c>
      <c r="AJ208" s="174" t="s">
        <v>901</v>
      </c>
      <c r="AK208" s="181" t="str">
        <f t="shared" ca="1" si="46"/>
        <v>TERMINO</v>
      </c>
      <c r="AL208" s="181" t="s">
        <v>576</v>
      </c>
      <c r="AM208" s="176" t="s">
        <v>390</v>
      </c>
      <c r="AN208" s="848" t="str">
        <f>IFERROR(VLOOKUP(E208,'liquidaciones '!$B$2:$C$1048576,2,0),"NO")</f>
        <v>LIQUIDADO</v>
      </c>
      <c r="AO208" s="944">
        <f>IFERROR(VLOOKUP(E208,'liquidaciones '!$B$2:$I$1048576,8,0),"")</f>
        <v>0</v>
      </c>
      <c r="AP208" s="338">
        <v>42306</v>
      </c>
      <c r="AQ208" s="177" t="str">
        <f t="shared" ca="1" si="47"/>
        <v>NO</v>
      </c>
      <c r="AR208" s="177" t="s">
        <v>981</v>
      </c>
      <c r="AS208" s="433"/>
      <c r="AT208" s="964"/>
      <c r="AU208" s="964"/>
      <c r="AV208" s="964"/>
    </row>
    <row r="209" spans="2:48" ht="47.25" customHeight="1" x14ac:dyDescent="0.25">
      <c r="B209" s="15">
        <v>203</v>
      </c>
      <c r="C209" s="437"/>
      <c r="D209" s="437" t="str">
        <f t="shared" si="38"/>
        <v>2014</v>
      </c>
      <c r="E209" s="139" t="s">
        <v>546</v>
      </c>
      <c r="F209" s="132" t="s">
        <v>310</v>
      </c>
      <c r="G209" s="133">
        <v>800199498</v>
      </c>
      <c r="H209" s="993" t="s">
        <v>545</v>
      </c>
      <c r="I209" s="140">
        <v>14975600</v>
      </c>
      <c r="J209" s="134" t="s">
        <v>1088</v>
      </c>
      <c r="K209" s="157">
        <v>2014</v>
      </c>
      <c r="L209" s="546" t="s">
        <v>1088</v>
      </c>
      <c r="M209" s="138">
        <v>41871</v>
      </c>
      <c r="N209" s="138">
        <v>41932</v>
      </c>
      <c r="O209" s="127">
        <f>COUNTA(Modificaciones!I209,Modificaciones!K209,Modificaciones!M209,Modificaciones!O209)</f>
        <v>0</v>
      </c>
      <c r="P209" s="128">
        <f>VLOOKUP(E209,Modificaciones!$B$7:$Q$300,16,0)</f>
        <v>0</v>
      </c>
      <c r="Q209" s="129">
        <f>COUNTA(Modificaciones!S209,Modificaciones!U209,Modificaciones!W209,Modificaciones!Y209)</f>
        <v>0</v>
      </c>
      <c r="R209" s="130" t="str">
        <f>IF(Modificaciones!Z209=0,"",VLOOKUP(E209,Modificaciones!$B$7:$AA$400,25,0))</f>
        <v/>
      </c>
      <c r="S209" s="131" t="str">
        <f>IF(Modificaciones!AA209=0,"",VLOOKUP(E209,Modificaciones!$B$7:$AA$400,26,0))</f>
        <v/>
      </c>
      <c r="T209" s="7">
        <f t="shared" si="37"/>
        <v>41932</v>
      </c>
      <c r="U209" s="62">
        <f t="shared" si="39"/>
        <v>14975600</v>
      </c>
      <c r="V209" s="172">
        <f>VLOOKUP(E209,Modificaciones!$B$7:$AU$300,46,0)</f>
        <v>14975600</v>
      </c>
      <c r="W209" s="93">
        <f t="shared" si="40"/>
        <v>0</v>
      </c>
      <c r="X209" s="314" t="s">
        <v>1186</v>
      </c>
      <c r="Y209" s="42">
        <f t="shared" si="41"/>
        <v>1</v>
      </c>
      <c r="Z209" s="42">
        <f t="shared" ca="1" si="42"/>
        <v>1</v>
      </c>
      <c r="AA209" s="43">
        <f t="shared" ca="1" si="43"/>
        <v>0</v>
      </c>
      <c r="AB209" s="202" t="str">
        <f t="shared" ca="1" si="44"/>
        <v/>
      </c>
      <c r="AC209" s="44" t="str">
        <f t="shared" si="45"/>
        <v>SI</v>
      </c>
      <c r="AD209" s="44"/>
      <c r="AE209" s="173" t="s">
        <v>1257</v>
      </c>
      <c r="AF209" s="173" t="s">
        <v>1293</v>
      </c>
      <c r="AG209" s="173" t="s">
        <v>1439</v>
      </c>
      <c r="AH209" s="281" t="s">
        <v>560</v>
      </c>
      <c r="AI209" s="174" t="s">
        <v>1509</v>
      </c>
      <c r="AJ209" s="174" t="s">
        <v>954</v>
      </c>
      <c r="AK209" s="181" t="str">
        <f t="shared" ca="1" si="46"/>
        <v>TERMINO</v>
      </c>
      <c r="AL209" s="181" t="s">
        <v>576</v>
      </c>
      <c r="AM209" s="176" t="s">
        <v>390</v>
      </c>
      <c r="AN209" s="848" t="str">
        <f>IFERROR(VLOOKUP(E209,'liquidaciones '!$B$2:$C$1048576,2,0),"NO")</f>
        <v>LIQUIDADO</v>
      </c>
      <c r="AO209" s="944">
        <f>IFERROR(VLOOKUP(E209,'liquidaciones '!$B$2:$I$1048576,8,0),"")</f>
        <v>0</v>
      </c>
      <c r="AP209" s="338">
        <v>42051</v>
      </c>
      <c r="AQ209" s="177" t="str">
        <f t="shared" ca="1" si="47"/>
        <v>NO</v>
      </c>
      <c r="AR209" s="177" t="s">
        <v>1151</v>
      </c>
      <c r="AS209" s="433"/>
      <c r="AT209" s="964"/>
      <c r="AU209" s="964"/>
      <c r="AV209" s="964"/>
    </row>
    <row r="210" spans="2:48" ht="47.25" customHeight="1" x14ac:dyDescent="0.25">
      <c r="B210" s="15">
        <v>204</v>
      </c>
      <c r="C210" s="437"/>
      <c r="D210" s="437" t="str">
        <f t="shared" si="38"/>
        <v>2014</v>
      </c>
      <c r="E210" s="139" t="s">
        <v>300</v>
      </c>
      <c r="F210" s="132" t="s">
        <v>1568</v>
      </c>
      <c r="G210" s="133">
        <v>900599628</v>
      </c>
      <c r="H210" s="993" t="s">
        <v>530</v>
      </c>
      <c r="I210" s="140">
        <v>12000000</v>
      </c>
      <c r="J210" s="850" t="s">
        <v>2273</v>
      </c>
      <c r="K210" s="157">
        <v>2014</v>
      </c>
      <c r="L210" s="546" t="s">
        <v>1088</v>
      </c>
      <c r="M210" s="138">
        <v>41824</v>
      </c>
      <c r="N210" s="138">
        <v>42066</v>
      </c>
      <c r="O210" s="127">
        <f>COUNTA(Modificaciones!I210,Modificaciones!K210,Modificaciones!M210,Modificaciones!O210)</f>
        <v>0</v>
      </c>
      <c r="P210" s="128">
        <f>VLOOKUP(E210,Modificaciones!$B$7:$Q$300,16,0)</f>
        <v>0</v>
      </c>
      <c r="Q210" s="129">
        <f>COUNTA(Modificaciones!S210,Modificaciones!U210,Modificaciones!W210,Modificaciones!Y210)</f>
        <v>2</v>
      </c>
      <c r="R210" s="130" t="str">
        <f>IF(Modificaciones!Z210=0,"",VLOOKUP(E210,Modificaciones!$B$7:$AA$400,25,0))</f>
        <v>8 meses</v>
      </c>
      <c r="S210" s="131">
        <f>IF(Modificaciones!AA210=0,"",VLOOKUP(E210,Modificaciones!$B$7:$AA$400,26,0))</f>
        <v>42312</v>
      </c>
      <c r="T210" s="7">
        <f t="shared" si="37"/>
        <v>42312</v>
      </c>
      <c r="U210" s="62">
        <f t="shared" si="39"/>
        <v>12000000</v>
      </c>
      <c r="V210" s="172">
        <f>VLOOKUP(E210,Modificaciones!$B$7:$AU$300,46,0)</f>
        <v>10800000</v>
      </c>
      <c r="W210" s="93">
        <f t="shared" si="40"/>
        <v>1200000</v>
      </c>
      <c r="X210" s="314" t="s">
        <v>1187</v>
      </c>
      <c r="Y210" s="42">
        <f t="shared" si="41"/>
        <v>0.9</v>
      </c>
      <c r="Z210" s="42">
        <f t="shared" ca="1" si="42"/>
        <v>1</v>
      </c>
      <c r="AA210" s="43">
        <f t="shared" ca="1" si="43"/>
        <v>9.9999999999999978E-2</v>
      </c>
      <c r="AB210" s="202" t="str">
        <f t="shared" ca="1" si="44"/>
        <v/>
      </c>
      <c r="AC210" s="44" t="str">
        <f t="shared" si="45"/>
        <v>NO</v>
      </c>
      <c r="AD210" s="44"/>
      <c r="AE210" s="173" t="s">
        <v>1256</v>
      </c>
      <c r="AF210" s="301" t="s">
        <v>1136</v>
      </c>
      <c r="AG210" s="173" t="s">
        <v>1442</v>
      </c>
      <c r="AH210" s="281" t="s">
        <v>560</v>
      </c>
      <c r="AI210" s="174" t="s">
        <v>1380</v>
      </c>
      <c r="AJ210" s="174" t="s">
        <v>954</v>
      </c>
      <c r="AK210" s="181" t="str">
        <f t="shared" ca="1" si="46"/>
        <v>TERMINO</v>
      </c>
      <c r="AL210" s="181" t="s">
        <v>576</v>
      </c>
      <c r="AM210" s="176" t="s">
        <v>390</v>
      </c>
      <c r="AN210" s="848" t="str">
        <f>IFERROR(VLOOKUP(E210,'liquidaciones '!$B$2:$C$1048576,2,0),"NO")</f>
        <v>LIQUIDADO</v>
      </c>
      <c r="AO210" s="944">
        <f>IFERROR(VLOOKUP(E210,'liquidaciones '!$B$2:$I$1048576,8,0),"")</f>
        <v>0</v>
      </c>
      <c r="AP210" s="338"/>
      <c r="AQ210" s="177" t="str">
        <f t="shared" ca="1" si="47"/>
        <v>NO</v>
      </c>
      <c r="AR210" s="177" t="s">
        <v>981</v>
      </c>
      <c r="AS210" s="433"/>
      <c r="AT210" s="964"/>
      <c r="AU210" s="964"/>
      <c r="AV210" s="964"/>
    </row>
    <row r="211" spans="2:48" ht="47.25" customHeight="1" x14ac:dyDescent="0.25">
      <c r="B211" s="15">
        <v>205</v>
      </c>
      <c r="C211" s="437"/>
      <c r="D211" s="437" t="str">
        <f t="shared" si="38"/>
        <v>2014</v>
      </c>
      <c r="E211" s="139" t="s">
        <v>296</v>
      </c>
      <c r="F211" s="132" t="s">
        <v>1039</v>
      </c>
      <c r="G211" s="133">
        <v>900207129</v>
      </c>
      <c r="H211" s="993" t="s">
        <v>531</v>
      </c>
      <c r="I211" s="140">
        <v>5719790</v>
      </c>
      <c r="J211" s="134" t="s">
        <v>1088</v>
      </c>
      <c r="K211" s="157">
        <v>2014</v>
      </c>
      <c r="L211" s="546" t="s">
        <v>1088</v>
      </c>
      <c r="M211" s="138">
        <v>41807</v>
      </c>
      <c r="N211" s="138">
        <v>41867</v>
      </c>
      <c r="O211" s="127">
        <f>COUNTA(Modificaciones!I211,Modificaciones!K211,Modificaciones!M211,Modificaciones!O211)</f>
        <v>0</v>
      </c>
      <c r="P211" s="128">
        <f>VLOOKUP(E211,Modificaciones!$B$7:$Q$300,16,0)</f>
        <v>0</v>
      </c>
      <c r="Q211" s="129">
        <f>COUNTA(Modificaciones!S211,Modificaciones!U211,Modificaciones!W211,Modificaciones!Y211)</f>
        <v>0</v>
      </c>
      <c r="R211" s="130" t="str">
        <f>IF(Modificaciones!Z211=0,"",VLOOKUP(E211,Modificaciones!$B$7:$AA$400,25,0))</f>
        <v/>
      </c>
      <c r="S211" s="131" t="str">
        <f>IF(Modificaciones!AA211=0,"",VLOOKUP(E211,Modificaciones!$B$7:$AA$400,26,0))</f>
        <v/>
      </c>
      <c r="T211" s="7">
        <f t="shared" si="37"/>
        <v>41867</v>
      </c>
      <c r="U211" s="62">
        <f t="shared" si="39"/>
        <v>5719790</v>
      </c>
      <c r="V211" s="172">
        <f>VLOOKUP(E211,Modificaciones!$B$7:$AU$300,46,0)</f>
        <v>5719790</v>
      </c>
      <c r="W211" s="93">
        <f t="shared" si="40"/>
        <v>0</v>
      </c>
      <c r="X211" s="314" t="s">
        <v>1188</v>
      </c>
      <c r="Y211" s="42">
        <f t="shared" si="41"/>
        <v>1</v>
      </c>
      <c r="Z211" s="42">
        <f t="shared" ca="1" si="42"/>
        <v>1</v>
      </c>
      <c r="AA211" s="43">
        <f t="shared" ca="1" si="43"/>
        <v>0</v>
      </c>
      <c r="AB211" s="202" t="str">
        <f t="shared" ca="1" si="44"/>
        <v/>
      </c>
      <c r="AC211" s="44" t="str">
        <f t="shared" si="45"/>
        <v>SI</v>
      </c>
      <c r="AD211" s="44"/>
      <c r="AE211" s="173" t="s">
        <v>1256</v>
      </c>
      <c r="AF211" s="173" t="s">
        <v>1302</v>
      </c>
      <c r="AG211" s="173"/>
      <c r="AH211" s="281"/>
      <c r="AI211" s="174"/>
      <c r="AJ211" s="174" t="s">
        <v>901</v>
      </c>
      <c r="AK211" s="181" t="str">
        <f t="shared" ca="1" si="46"/>
        <v>TERMINO</v>
      </c>
      <c r="AL211" s="181" t="s">
        <v>576</v>
      </c>
      <c r="AM211" s="176" t="s">
        <v>391</v>
      </c>
      <c r="AN211" s="848" t="str">
        <f>IFERROR(VLOOKUP(E211,'liquidaciones '!$B$2:$C$1048576,2,0),"NO")</f>
        <v>LIQUIDADO</v>
      </c>
      <c r="AO211" s="944">
        <f>IFERROR(VLOOKUP(E211,'liquidaciones '!$B$2:$I$1048576,8,0),"")</f>
        <v>0</v>
      </c>
      <c r="AP211" s="338">
        <v>41919</v>
      </c>
      <c r="AQ211" s="177" t="str">
        <f t="shared" ca="1" si="47"/>
        <v>NO</v>
      </c>
      <c r="AR211" s="177" t="s">
        <v>1165</v>
      </c>
      <c r="AS211" s="433"/>
      <c r="AT211" s="964"/>
      <c r="AU211" s="964"/>
      <c r="AV211" s="964"/>
    </row>
    <row r="212" spans="2:48" ht="47.25" customHeight="1" x14ac:dyDescent="0.25">
      <c r="B212" s="15">
        <v>206</v>
      </c>
      <c r="C212" s="437"/>
      <c r="D212" s="437" t="str">
        <f t="shared" si="38"/>
        <v>2014</v>
      </c>
      <c r="E212" s="343" t="s">
        <v>287</v>
      </c>
      <c r="F212" s="132" t="s">
        <v>1018</v>
      </c>
      <c r="G212" s="133">
        <v>900548648</v>
      </c>
      <c r="H212" s="993" t="s">
        <v>532</v>
      </c>
      <c r="I212" s="140">
        <v>337487000</v>
      </c>
      <c r="J212" s="134" t="s">
        <v>1088</v>
      </c>
      <c r="K212" s="157">
        <v>2014</v>
      </c>
      <c r="L212" s="546" t="s">
        <v>1088</v>
      </c>
      <c r="M212" s="138">
        <v>41811</v>
      </c>
      <c r="N212" s="138">
        <v>42130</v>
      </c>
      <c r="O212" s="127">
        <f>COUNTA(Modificaciones!I212,Modificaciones!K212,Modificaciones!M212,Modificaciones!O212)</f>
        <v>0</v>
      </c>
      <c r="P212" s="128">
        <f>VLOOKUP(E212,Modificaciones!$B$7:$Q$300,16,0)</f>
        <v>0</v>
      </c>
      <c r="Q212" s="129">
        <f>COUNTA(Modificaciones!S212,Modificaciones!U212,Modificaciones!W212,Modificaciones!Y212)</f>
        <v>2</v>
      </c>
      <c r="R212" s="130" t="str">
        <f>IF(Modificaciones!Z212=0,"",VLOOKUP(E212,Modificaciones!$B$7:$AA$400,25,0))</f>
        <v>1 mes y 25 días</v>
      </c>
      <c r="S212" s="131">
        <f>IF(Modificaciones!AA212=0,"",VLOOKUP(E212,Modificaciones!$B$7:$AA$400,26,0))</f>
        <v>42186</v>
      </c>
      <c r="T212" s="7">
        <f t="shared" si="37"/>
        <v>42186</v>
      </c>
      <c r="U212" s="62">
        <f t="shared" si="39"/>
        <v>337487000</v>
      </c>
      <c r="V212" s="172">
        <f>VLOOKUP(E212,Modificaciones!$B$7:$AU$300,46,0)</f>
        <v>337486998</v>
      </c>
      <c r="W212" s="93">
        <f t="shared" si="40"/>
        <v>2</v>
      </c>
      <c r="X212" s="314" t="s">
        <v>1189</v>
      </c>
      <c r="Y212" s="42">
        <f t="shared" si="41"/>
        <v>0.99999999407384577</v>
      </c>
      <c r="Z212" s="42">
        <f t="shared" ca="1" si="42"/>
        <v>1</v>
      </c>
      <c r="AA212" s="43">
        <f t="shared" ca="1" si="43"/>
        <v>5.9261542340038886E-9</v>
      </c>
      <c r="AB212" s="202" t="str">
        <f t="shared" ca="1" si="44"/>
        <v/>
      </c>
      <c r="AC212" s="44" t="str">
        <f t="shared" si="45"/>
        <v>SI</v>
      </c>
      <c r="AD212" s="44"/>
      <c r="AE212" s="173" t="s">
        <v>1256</v>
      </c>
      <c r="AF212" s="301" t="s">
        <v>1138</v>
      </c>
      <c r="AG212" s="173" t="s">
        <v>1442</v>
      </c>
      <c r="AH212" s="281" t="s">
        <v>560</v>
      </c>
      <c r="AI212" s="174" t="s">
        <v>1379</v>
      </c>
      <c r="AJ212" s="174" t="s">
        <v>901</v>
      </c>
      <c r="AK212" s="181" t="str">
        <f t="shared" ca="1" si="46"/>
        <v>TERMINO</v>
      </c>
      <c r="AL212" s="181" t="s">
        <v>921</v>
      </c>
      <c r="AM212" s="176" t="s">
        <v>390</v>
      </c>
      <c r="AN212" s="848" t="str">
        <f>IFERROR(VLOOKUP(E212,'liquidaciones '!$B$2:$C$1048576,2,0),"NO")</f>
        <v>LIQUIDADO</v>
      </c>
      <c r="AO212" s="944" t="str">
        <f>IFERROR(VLOOKUP(E212,'liquidaciones '!$B$2:$I$1048576,8,0),"")</f>
        <v>MANUEL ROJAS</v>
      </c>
      <c r="AP212" s="338"/>
      <c r="AQ212" s="177" t="str">
        <f t="shared" ca="1" si="47"/>
        <v>NO</v>
      </c>
      <c r="AR212" s="177" t="s">
        <v>1570</v>
      </c>
      <c r="AS212" s="433"/>
      <c r="AT212" s="964"/>
      <c r="AU212" s="964"/>
      <c r="AV212" s="964"/>
    </row>
    <row r="213" spans="2:48" ht="47.25" customHeight="1" x14ac:dyDescent="0.25">
      <c r="B213" s="15">
        <v>207</v>
      </c>
      <c r="C213" s="437"/>
      <c r="D213" s="437" t="str">
        <f t="shared" si="38"/>
        <v>2014</v>
      </c>
      <c r="E213" s="343" t="s">
        <v>291</v>
      </c>
      <c r="F213" s="132" t="s">
        <v>1048</v>
      </c>
      <c r="G213" s="133">
        <v>900475780</v>
      </c>
      <c r="H213" s="993" t="s">
        <v>533</v>
      </c>
      <c r="I213" s="140">
        <v>2447846100</v>
      </c>
      <c r="J213" s="134" t="s">
        <v>1088</v>
      </c>
      <c r="K213" s="157">
        <v>2014</v>
      </c>
      <c r="L213" s="546" t="s">
        <v>1088</v>
      </c>
      <c r="M213" s="138">
        <v>41808</v>
      </c>
      <c r="N213" s="138">
        <v>42021</v>
      </c>
      <c r="O213" s="127">
        <f>COUNTA(Modificaciones!I213,Modificaciones!K213,Modificaciones!M213,Modificaciones!O213)</f>
        <v>1</v>
      </c>
      <c r="P213" s="128">
        <f>VLOOKUP(E213,Modificaciones!$B$7:$Q$300,16,0)</f>
        <v>1015608000</v>
      </c>
      <c r="Q213" s="129">
        <f>COUNTA(Modificaciones!S213,Modificaciones!U213,Modificaciones!W213,Modificaciones!Y213)</f>
        <v>2</v>
      </c>
      <c r="R213" s="130" t="str">
        <f>IF(Modificaciones!Z213=0,"",VLOOKUP(E213,Modificaciones!$B$7:$AA$400,25,0))</f>
        <v>3 meses y 5 días</v>
      </c>
      <c r="S213" s="131">
        <f>IF(Modificaciones!AA213=0,"",VLOOKUP(E213,Modificaciones!$B$7:$AA$400,26,0))</f>
        <v>42116</v>
      </c>
      <c r="T213" s="7">
        <f t="shared" si="37"/>
        <v>42116</v>
      </c>
      <c r="U213" s="62">
        <f t="shared" si="39"/>
        <v>3463454100</v>
      </c>
      <c r="V213" s="172">
        <f>VLOOKUP(E213,Modificaciones!$B$7:$AU$300,46,0)</f>
        <v>3320263630</v>
      </c>
      <c r="W213" s="93">
        <f t="shared" si="40"/>
        <v>143190470</v>
      </c>
      <c r="X213" s="314" t="s">
        <v>1228</v>
      </c>
      <c r="Y213" s="42">
        <f t="shared" si="41"/>
        <v>0.95865674385579414</v>
      </c>
      <c r="Z213" s="42">
        <f t="shared" ca="1" si="42"/>
        <v>1</v>
      </c>
      <c r="AA213" s="43">
        <f t="shared" ca="1" si="43"/>
        <v>4.1343256144205864E-2</v>
      </c>
      <c r="AB213" s="202" t="str">
        <f t="shared" ca="1" si="44"/>
        <v/>
      </c>
      <c r="AC213" s="44" t="str">
        <f t="shared" si="45"/>
        <v>NO</v>
      </c>
      <c r="AD213" s="44"/>
      <c r="AE213" s="173" t="s">
        <v>1256</v>
      </c>
      <c r="AF213" s="301" t="s">
        <v>1508</v>
      </c>
      <c r="AG213" s="173" t="s">
        <v>1442</v>
      </c>
      <c r="AH213" s="281" t="s">
        <v>560</v>
      </c>
      <c r="AI213" s="174" t="s">
        <v>1319</v>
      </c>
      <c r="AJ213" s="174" t="s">
        <v>901</v>
      </c>
      <c r="AK213" s="181" t="str">
        <f t="shared" ca="1" si="46"/>
        <v>TERMINO</v>
      </c>
      <c r="AL213" s="181" t="s">
        <v>582</v>
      </c>
      <c r="AM213" s="176" t="s">
        <v>390</v>
      </c>
      <c r="AN213" s="848" t="str">
        <f>IFERROR(VLOOKUP(E213,'liquidaciones '!$B$2:$C$1048576,2,0),"NO")</f>
        <v>LIQUIDADO</v>
      </c>
      <c r="AO213" s="944">
        <f>IFERROR(VLOOKUP(E213,'liquidaciones '!$B$2:$I$1048576,8,0),"")</f>
        <v>0</v>
      </c>
      <c r="AP213" s="338"/>
      <c r="AQ213" s="177" t="str">
        <f t="shared" ca="1" si="47"/>
        <v>NO</v>
      </c>
      <c r="AR213" s="177" t="s">
        <v>2076</v>
      </c>
      <c r="AS213" s="433"/>
      <c r="AT213" s="964"/>
      <c r="AU213" s="964"/>
      <c r="AV213" s="964"/>
    </row>
    <row r="214" spans="2:48" ht="47.25" customHeight="1" x14ac:dyDescent="0.25">
      <c r="B214" s="15">
        <v>208</v>
      </c>
      <c r="C214" s="437"/>
      <c r="D214" s="437" t="str">
        <f t="shared" si="38"/>
        <v>2014</v>
      </c>
      <c r="E214" s="343" t="s">
        <v>305</v>
      </c>
      <c r="F214" s="132" t="s">
        <v>306</v>
      </c>
      <c r="G214" s="133">
        <v>900007203</v>
      </c>
      <c r="H214" s="993" t="s">
        <v>534</v>
      </c>
      <c r="I214" s="140">
        <v>330000</v>
      </c>
      <c r="J214" s="134" t="s">
        <v>1088</v>
      </c>
      <c r="K214" s="157">
        <v>2014</v>
      </c>
      <c r="L214" s="546" t="s">
        <v>1088</v>
      </c>
      <c r="M214" s="138">
        <v>41841</v>
      </c>
      <c r="N214" s="138">
        <v>41872</v>
      </c>
      <c r="O214" s="127">
        <f>COUNTA(Modificaciones!I214,Modificaciones!K214,Modificaciones!M214,Modificaciones!O214)</f>
        <v>0</v>
      </c>
      <c r="P214" s="128">
        <f>VLOOKUP(E214,Modificaciones!$B$7:$Q$300,16,0)</f>
        <v>0</v>
      </c>
      <c r="Q214" s="129">
        <f>COUNTA(Modificaciones!S214,Modificaciones!U214,Modificaciones!W214,Modificaciones!Y214)</f>
        <v>0</v>
      </c>
      <c r="R214" s="130" t="str">
        <f>IF(Modificaciones!Z214=0,"",VLOOKUP(E214,Modificaciones!$B$7:$AA$400,25,0))</f>
        <v/>
      </c>
      <c r="S214" s="131" t="str">
        <f>IF(Modificaciones!AA214=0,"",VLOOKUP(E214,Modificaciones!$B$7:$AA$400,26,0))</f>
        <v/>
      </c>
      <c r="T214" s="7">
        <f t="shared" si="37"/>
        <v>41872</v>
      </c>
      <c r="U214" s="62">
        <f t="shared" si="39"/>
        <v>330000</v>
      </c>
      <c r="V214" s="172">
        <f>VLOOKUP(E214,Modificaciones!$B$7:$AU$300,46,0)</f>
        <v>330000</v>
      </c>
      <c r="W214" s="93">
        <f t="shared" si="40"/>
        <v>0</v>
      </c>
      <c r="X214" s="314" t="s">
        <v>1229</v>
      </c>
      <c r="Y214" s="42">
        <f t="shared" si="41"/>
        <v>1</v>
      </c>
      <c r="Z214" s="42">
        <f t="shared" ca="1" si="42"/>
        <v>1</v>
      </c>
      <c r="AA214" s="43">
        <f t="shared" ca="1" si="43"/>
        <v>0</v>
      </c>
      <c r="AB214" s="202" t="str">
        <f t="shared" ca="1" si="44"/>
        <v/>
      </c>
      <c r="AC214" s="44" t="str">
        <f t="shared" si="45"/>
        <v>SI</v>
      </c>
      <c r="AD214" s="44"/>
      <c r="AE214" s="173" t="s">
        <v>1256</v>
      </c>
      <c r="AF214" s="173" t="s">
        <v>1314</v>
      </c>
      <c r="AG214" s="173" t="s">
        <v>1435</v>
      </c>
      <c r="AH214" s="281" t="s">
        <v>560</v>
      </c>
      <c r="AI214" s="174"/>
      <c r="AJ214" s="174" t="s">
        <v>954</v>
      </c>
      <c r="AK214" s="181" t="str">
        <f t="shared" ca="1" si="46"/>
        <v>TERMINO</v>
      </c>
      <c r="AL214" s="181" t="s">
        <v>576</v>
      </c>
      <c r="AM214" s="176" t="s">
        <v>390</v>
      </c>
      <c r="AN214" s="848" t="str">
        <f>IFERROR(VLOOKUP(E214,'liquidaciones '!$B$2:$C$1048576,2,0),"NO")</f>
        <v>LIQUIDADO</v>
      </c>
      <c r="AO214" s="944">
        <f>IFERROR(VLOOKUP(E214,'liquidaciones '!$B$2:$I$1048576,8,0),"")</f>
        <v>0</v>
      </c>
      <c r="AP214" s="338">
        <v>42306</v>
      </c>
      <c r="AQ214" s="177" t="str">
        <f t="shared" ca="1" si="47"/>
        <v>NO</v>
      </c>
      <c r="AR214" s="177" t="s">
        <v>1151</v>
      </c>
      <c r="AS214" s="433"/>
      <c r="AT214" s="964"/>
      <c r="AU214" s="964"/>
      <c r="AV214" s="964"/>
    </row>
    <row r="215" spans="2:48" ht="47.25" customHeight="1" x14ac:dyDescent="0.25">
      <c r="B215" s="15">
        <v>209</v>
      </c>
      <c r="C215" s="437"/>
      <c r="D215" s="437" t="str">
        <f t="shared" si="38"/>
        <v>2014</v>
      </c>
      <c r="E215" s="139" t="s">
        <v>285</v>
      </c>
      <c r="F215" s="132" t="s">
        <v>3</v>
      </c>
      <c r="G215" s="133">
        <v>830095213</v>
      </c>
      <c r="H215" s="993" t="s">
        <v>402</v>
      </c>
      <c r="I215" s="140">
        <v>251750000</v>
      </c>
      <c r="J215" s="134" t="s">
        <v>1088</v>
      </c>
      <c r="K215" s="157">
        <v>2014</v>
      </c>
      <c r="L215" s="546" t="s">
        <v>1088</v>
      </c>
      <c r="M215" s="138">
        <v>41806</v>
      </c>
      <c r="N215" s="138">
        <v>41959</v>
      </c>
      <c r="O215" s="127">
        <f>COUNTA(Modificaciones!I215,Modificaciones!K215,Modificaciones!M215,Modificaciones!O215)</f>
        <v>0</v>
      </c>
      <c r="P215" s="128">
        <f>VLOOKUP(E215,Modificaciones!$B$7:$Q$300,16,0)</f>
        <v>0</v>
      </c>
      <c r="Q215" s="129">
        <f>COUNTA(Modificaciones!S215,Modificaciones!U215,Modificaciones!W215,Modificaciones!Y215)</f>
        <v>0</v>
      </c>
      <c r="R215" s="130" t="str">
        <f>IF(Modificaciones!Z215=0,"",VLOOKUP(E215,Modificaciones!$B$7:$AA$400,25,0))</f>
        <v/>
      </c>
      <c r="S215" s="131" t="str">
        <f>IF(Modificaciones!AA215=0,"",VLOOKUP(E215,Modificaciones!$B$7:$AA$400,26,0))</f>
        <v/>
      </c>
      <c r="T215" s="7">
        <f t="shared" si="37"/>
        <v>41959</v>
      </c>
      <c r="U215" s="62">
        <f t="shared" si="39"/>
        <v>251750000</v>
      </c>
      <c r="V215" s="172">
        <f>VLOOKUP(E215,Modificaciones!$B$7:$AU$300,46,0)</f>
        <v>180186681</v>
      </c>
      <c r="W215" s="93">
        <f t="shared" si="40"/>
        <v>71563319</v>
      </c>
      <c r="X215" s="314" t="s">
        <v>1190</v>
      </c>
      <c r="Y215" s="42">
        <f t="shared" si="41"/>
        <v>0.71573656802383312</v>
      </c>
      <c r="Z215" s="42">
        <f t="shared" ca="1" si="42"/>
        <v>1</v>
      </c>
      <c r="AA215" s="43">
        <f t="shared" ca="1" si="43"/>
        <v>0.28426343197616688</v>
      </c>
      <c r="AB215" s="202" t="str">
        <f t="shared" ca="1" si="44"/>
        <v/>
      </c>
      <c r="AC215" s="44" t="str">
        <f t="shared" si="45"/>
        <v>NO</v>
      </c>
      <c r="AD215" s="44"/>
      <c r="AE215" s="173" t="s">
        <v>1256</v>
      </c>
      <c r="AF215" s="173" t="s">
        <v>1139</v>
      </c>
      <c r="AG215" s="173" t="s">
        <v>1442</v>
      </c>
      <c r="AH215" s="281" t="s">
        <v>560</v>
      </c>
      <c r="AI215" s="174" t="s">
        <v>1319</v>
      </c>
      <c r="AJ215" s="174" t="s">
        <v>901</v>
      </c>
      <c r="AK215" s="181" t="str">
        <f t="shared" ca="1" si="46"/>
        <v>TERMINO</v>
      </c>
      <c r="AL215" s="175"/>
      <c r="AM215" s="176" t="s">
        <v>391</v>
      </c>
      <c r="AN215" s="848" t="str">
        <f>IFERROR(VLOOKUP(E215,'liquidaciones '!$B$2:$C$1048576,2,0),"NO")</f>
        <v>EN TRÁMITE</v>
      </c>
      <c r="AO215" s="944">
        <f>IFERROR(VLOOKUP(E215,'liquidaciones '!$B$2:$I$1048576,8,0),"")</f>
        <v>0</v>
      </c>
      <c r="AP215" s="338"/>
      <c r="AQ215" s="177" t="str">
        <f t="shared" ca="1" si="47"/>
        <v>NO</v>
      </c>
      <c r="AR215" s="177" t="s">
        <v>1571</v>
      </c>
      <c r="AS215" s="433"/>
      <c r="AT215" s="964"/>
      <c r="AU215" s="964"/>
      <c r="AV215" s="964"/>
    </row>
    <row r="216" spans="2:48" ht="47.25" customHeight="1" x14ac:dyDescent="0.25">
      <c r="B216" s="15">
        <v>210</v>
      </c>
      <c r="C216" s="437"/>
      <c r="D216" s="437" t="str">
        <f t="shared" si="38"/>
        <v>2014</v>
      </c>
      <c r="E216" s="139" t="s">
        <v>1101</v>
      </c>
      <c r="F216" s="132" t="s">
        <v>435</v>
      </c>
      <c r="G216" s="143">
        <v>900152368</v>
      </c>
      <c r="H216" s="993" t="s">
        <v>1103</v>
      </c>
      <c r="I216" s="140">
        <v>6252000</v>
      </c>
      <c r="J216" s="134" t="s">
        <v>1088</v>
      </c>
      <c r="K216" s="157">
        <v>2014</v>
      </c>
      <c r="L216" s="546" t="s">
        <v>1088</v>
      </c>
      <c r="M216" s="138">
        <v>41842</v>
      </c>
      <c r="N216" s="138">
        <v>42207</v>
      </c>
      <c r="O216" s="127">
        <f>COUNTA(Modificaciones!I216,Modificaciones!K216,Modificaciones!M216,Modificaciones!O216)</f>
        <v>0</v>
      </c>
      <c r="P216" s="128">
        <f>VLOOKUP(E216,Modificaciones!$B$7:$Q$300,16,0)</f>
        <v>0</v>
      </c>
      <c r="Q216" s="129">
        <f>COUNTA(Modificaciones!S216,Modificaciones!U216,Modificaciones!W216,Modificaciones!Y216)</f>
        <v>0</v>
      </c>
      <c r="R216" s="130" t="str">
        <f>IF(Modificaciones!Z216=0,"",VLOOKUP(E216,Modificaciones!$B$7:$AA$400,25,0))</f>
        <v/>
      </c>
      <c r="S216" s="131" t="str">
        <f>IF(Modificaciones!AA216=0,"",VLOOKUP(E216,Modificaciones!$B$7:$AA$400,26,0))</f>
        <v/>
      </c>
      <c r="T216" s="126">
        <f t="shared" si="37"/>
        <v>42207</v>
      </c>
      <c r="U216" s="62">
        <f t="shared" si="39"/>
        <v>6252000</v>
      </c>
      <c r="V216" s="172">
        <f>VLOOKUP(E216,Modificaciones!$B$7:$AU$300,46,0)</f>
        <v>5665189</v>
      </c>
      <c r="W216" s="93">
        <f t="shared" si="40"/>
        <v>586811</v>
      </c>
      <c r="X216" s="314" t="s">
        <v>1230</v>
      </c>
      <c r="Y216" s="42">
        <f t="shared" si="41"/>
        <v>0.90614027511196416</v>
      </c>
      <c r="Z216" s="42">
        <f t="shared" ca="1" si="42"/>
        <v>1</v>
      </c>
      <c r="AA216" s="43">
        <f t="shared" ca="1" si="43"/>
        <v>9.3859724888035845E-2</v>
      </c>
      <c r="AB216" s="202" t="str">
        <f t="shared" ca="1" si="44"/>
        <v/>
      </c>
      <c r="AC216" s="44" t="str">
        <f t="shared" si="45"/>
        <v>NO</v>
      </c>
      <c r="AD216" s="44"/>
      <c r="AE216" s="173" t="s">
        <v>1256</v>
      </c>
      <c r="AF216" s="301" t="s">
        <v>1172</v>
      </c>
      <c r="AG216" s="173" t="s">
        <v>1442</v>
      </c>
      <c r="AH216" s="281" t="s">
        <v>560</v>
      </c>
      <c r="AI216" s="174" t="s">
        <v>1380</v>
      </c>
      <c r="AJ216" s="174" t="s">
        <v>901</v>
      </c>
      <c r="AK216" s="181" t="str">
        <f t="shared" ca="1" si="46"/>
        <v>TERMINO</v>
      </c>
      <c r="AL216" s="181" t="s">
        <v>576</v>
      </c>
      <c r="AM216" s="176" t="s">
        <v>390</v>
      </c>
      <c r="AN216" s="848" t="str">
        <f>IFERROR(VLOOKUP(E216,'liquidaciones '!$B$2:$C$1048576,2,0),"NO")</f>
        <v>EN TRÁMITE</v>
      </c>
      <c r="AO216" s="944">
        <f>IFERROR(VLOOKUP(E216,'liquidaciones '!$B$2:$I$1048576,8,0),"")</f>
        <v>0</v>
      </c>
      <c r="AP216" s="338"/>
      <c r="AQ216" s="177" t="str">
        <f t="shared" ca="1" si="47"/>
        <v>NO</v>
      </c>
      <c r="AR216" s="177" t="s">
        <v>2390</v>
      </c>
      <c r="AS216" s="433"/>
      <c r="AT216" s="964"/>
      <c r="AU216" s="964"/>
      <c r="AV216" s="964"/>
    </row>
    <row r="217" spans="2:48" ht="47.25" customHeight="1" x14ac:dyDescent="0.25">
      <c r="B217" s="15">
        <v>211</v>
      </c>
      <c r="C217" s="437"/>
      <c r="D217" s="437" t="str">
        <f t="shared" si="38"/>
        <v>2014</v>
      </c>
      <c r="E217" s="343" t="s">
        <v>299</v>
      </c>
      <c r="F217" s="132" t="s">
        <v>1049</v>
      </c>
      <c r="G217" s="133">
        <v>19303649</v>
      </c>
      <c r="H217" s="993" t="s">
        <v>535</v>
      </c>
      <c r="I217" s="140">
        <v>2962640</v>
      </c>
      <c r="J217" s="850" t="s">
        <v>4027</v>
      </c>
      <c r="K217" s="157">
        <v>2014</v>
      </c>
      <c r="L217" s="546" t="s">
        <v>1088</v>
      </c>
      <c r="M217" s="138">
        <v>41838</v>
      </c>
      <c r="N217" s="138">
        <v>41852</v>
      </c>
      <c r="O217" s="127">
        <f>COUNTA(Modificaciones!I217,Modificaciones!K217,Modificaciones!M217,Modificaciones!O217)</f>
        <v>0</v>
      </c>
      <c r="P217" s="128">
        <f>VLOOKUP(E217,Modificaciones!$B$7:$Q$300,16,0)</f>
        <v>0</v>
      </c>
      <c r="Q217" s="129">
        <f>COUNTA(Modificaciones!S217,Modificaciones!U217,Modificaciones!W217,Modificaciones!Y217)</f>
        <v>0</v>
      </c>
      <c r="R217" s="130" t="str">
        <f>IF(Modificaciones!Z217=0,"",VLOOKUP(E217,Modificaciones!$B$7:$AA$400,25,0))</f>
        <v/>
      </c>
      <c r="S217" s="131" t="str">
        <f>IF(Modificaciones!AA217=0,"",VLOOKUP(E217,Modificaciones!$B$7:$AA$400,26,0))</f>
        <v/>
      </c>
      <c r="T217" s="7">
        <f t="shared" si="37"/>
        <v>41852</v>
      </c>
      <c r="U217" s="62">
        <f t="shared" si="39"/>
        <v>2962640</v>
      </c>
      <c r="V217" s="172">
        <f>VLOOKUP(E217,Modificaciones!$B$7:$AU$300,46,0)</f>
        <v>2962640</v>
      </c>
      <c r="W217" s="93">
        <f t="shared" si="40"/>
        <v>0</v>
      </c>
      <c r="X217" s="314" t="s">
        <v>1191</v>
      </c>
      <c r="Y217" s="42">
        <f t="shared" si="41"/>
        <v>1</v>
      </c>
      <c r="Z217" s="42">
        <f t="shared" ca="1" si="42"/>
        <v>1</v>
      </c>
      <c r="AA217" s="43">
        <f t="shared" ca="1" si="43"/>
        <v>0</v>
      </c>
      <c r="AB217" s="202" t="str">
        <f t="shared" ca="1" si="44"/>
        <v/>
      </c>
      <c r="AC217" s="44" t="str">
        <f t="shared" si="45"/>
        <v>SI</v>
      </c>
      <c r="AD217" s="44"/>
      <c r="AE217" s="173" t="s">
        <v>1256</v>
      </c>
      <c r="AF217" s="173" t="s">
        <v>1315</v>
      </c>
      <c r="AG217" s="173"/>
      <c r="AH217" s="281"/>
      <c r="AI217" s="174"/>
      <c r="AJ217" s="174" t="s">
        <v>901</v>
      </c>
      <c r="AK217" s="181" t="str">
        <f t="shared" ca="1" si="46"/>
        <v>TERMINO</v>
      </c>
      <c r="AL217" s="181" t="s">
        <v>576</v>
      </c>
      <c r="AM217" s="176" t="s">
        <v>391</v>
      </c>
      <c r="AN217" s="848" t="str">
        <f>IFERROR(VLOOKUP(E217,'liquidaciones '!$B$2:$C$1048576,2,0),"NO")</f>
        <v>LIQUIDADO</v>
      </c>
      <c r="AO217" s="944">
        <f>IFERROR(VLOOKUP(E217,'liquidaciones '!$B$2:$I$1048576,8,0),"")</f>
        <v>0</v>
      </c>
      <c r="AP217" s="334">
        <v>42088</v>
      </c>
      <c r="AQ217" s="177" t="str">
        <f t="shared" ca="1" si="47"/>
        <v>NO</v>
      </c>
      <c r="AR217" s="177" t="s">
        <v>1151</v>
      </c>
      <c r="AS217" s="433"/>
      <c r="AT217" s="964"/>
      <c r="AU217" s="964"/>
      <c r="AV217" s="964"/>
    </row>
    <row r="218" spans="2:48" ht="47.25" customHeight="1" x14ac:dyDescent="0.25">
      <c r="B218" s="15">
        <v>212</v>
      </c>
      <c r="C218" s="437"/>
      <c r="D218" s="437" t="str">
        <f t="shared" si="38"/>
        <v>2014</v>
      </c>
      <c r="E218" s="343" t="s">
        <v>294</v>
      </c>
      <c r="F218" s="132" t="s">
        <v>295</v>
      </c>
      <c r="G218" s="133">
        <v>900153597</v>
      </c>
      <c r="H218" s="993" t="s">
        <v>536</v>
      </c>
      <c r="I218" s="140">
        <v>36581760</v>
      </c>
      <c r="J218" s="850" t="s">
        <v>2623</v>
      </c>
      <c r="K218" s="157">
        <v>2014</v>
      </c>
      <c r="L218" s="546" t="s">
        <v>1088</v>
      </c>
      <c r="M218" s="138">
        <v>41821</v>
      </c>
      <c r="N218" s="138">
        <v>42093</v>
      </c>
      <c r="O218" s="127">
        <f>COUNTA(Modificaciones!I218,Modificaciones!K218,Modificaciones!M218,Modificaciones!O218)</f>
        <v>0</v>
      </c>
      <c r="P218" s="128">
        <f>VLOOKUP(E218,Modificaciones!$B$7:$Q$300,16,0)</f>
        <v>0</v>
      </c>
      <c r="Q218" s="129">
        <f>COUNTA(Modificaciones!S218,Modificaciones!U218,Modificaciones!W218,Modificaciones!Y218)</f>
        <v>1</v>
      </c>
      <c r="R218" s="130" t="str">
        <f>IF(Modificaciones!Z218=0,"",VLOOKUP(E218,Modificaciones!$B$7:$AA$400,25,0))</f>
        <v>3 meses</v>
      </c>
      <c r="S218" s="131">
        <f>IF(Modificaciones!AA218=0,"",VLOOKUP(E218,Modificaciones!$B$7:$AA$400,26,0))</f>
        <v>42186</v>
      </c>
      <c r="T218" s="7">
        <f t="shared" si="37"/>
        <v>42186</v>
      </c>
      <c r="U218" s="62">
        <f t="shared" si="39"/>
        <v>36581760</v>
      </c>
      <c r="V218" s="172">
        <f>VLOOKUP(E218,Modificaciones!$B$7:$AU$300,46,0)</f>
        <v>34363318</v>
      </c>
      <c r="W218" s="93">
        <f t="shared" si="40"/>
        <v>2218442</v>
      </c>
      <c r="X218" s="314" t="s">
        <v>1192</v>
      </c>
      <c r="Y218" s="42">
        <f t="shared" si="41"/>
        <v>0.93935660832064938</v>
      </c>
      <c r="Z218" s="42">
        <f t="shared" ca="1" si="42"/>
        <v>1</v>
      </c>
      <c r="AA218" s="43">
        <f t="shared" ca="1" si="43"/>
        <v>6.0643391679350622E-2</v>
      </c>
      <c r="AB218" s="202" t="str">
        <f t="shared" ca="1" si="44"/>
        <v/>
      </c>
      <c r="AC218" s="44" t="str">
        <f t="shared" si="45"/>
        <v>NO</v>
      </c>
      <c r="AD218" s="44"/>
      <c r="AE218" s="173" t="s">
        <v>1256</v>
      </c>
      <c r="AF218" s="301" t="s">
        <v>1140</v>
      </c>
      <c r="AG218" s="173" t="s">
        <v>1442</v>
      </c>
      <c r="AH218" s="281" t="s">
        <v>560</v>
      </c>
      <c r="AI218" s="174" t="s">
        <v>1379</v>
      </c>
      <c r="AJ218" s="174" t="s">
        <v>901</v>
      </c>
      <c r="AK218" s="181" t="str">
        <f t="shared" ca="1" si="46"/>
        <v>TERMINO</v>
      </c>
      <c r="AL218" s="181" t="s">
        <v>921</v>
      </c>
      <c r="AM218" s="176" t="s">
        <v>390</v>
      </c>
      <c r="AN218" s="848" t="str">
        <f>IFERROR(VLOOKUP(E218,'liquidaciones '!$B$2:$C$1048576,2,0),"NO")</f>
        <v>LIQUIDADO</v>
      </c>
      <c r="AO218" s="944">
        <f>IFERROR(VLOOKUP(E218,'liquidaciones '!$B$2:$I$1048576,8,0),"")</f>
        <v>0</v>
      </c>
      <c r="AP218" s="338"/>
      <c r="AQ218" s="177" t="str">
        <f t="shared" ca="1" si="47"/>
        <v>NO</v>
      </c>
      <c r="AR218" s="177" t="s">
        <v>981</v>
      </c>
      <c r="AS218" s="433"/>
      <c r="AT218" s="964"/>
      <c r="AU218" s="964"/>
      <c r="AV218" s="964"/>
    </row>
    <row r="219" spans="2:48" ht="47.25" customHeight="1" x14ac:dyDescent="0.25">
      <c r="B219" s="15">
        <v>213</v>
      </c>
      <c r="C219" s="437"/>
      <c r="D219" s="437" t="str">
        <f t="shared" si="38"/>
        <v>2014</v>
      </c>
      <c r="E219" s="343" t="s">
        <v>292</v>
      </c>
      <c r="F219" s="132" t="s">
        <v>293</v>
      </c>
      <c r="G219" s="133">
        <v>79619132</v>
      </c>
      <c r="H219" s="993" t="s">
        <v>537</v>
      </c>
      <c r="I219" s="140">
        <v>16390000</v>
      </c>
      <c r="J219" s="134" t="s">
        <v>1088</v>
      </c>
      <c r="K219" s="157">
        <v>2014</v>
      </c>
      <c r="L219" s="546" t="s">
        <v>1088</v>
      </c>
      <c r="M219" s="138">
        <v>41799</v>
      </c>
      <c r="N219" s="138">
        <v>42193</v>
      </c>
      <c r="O219" s="127">
        <f>COUNTA(Modificaciones!I219,Modificaciones!K219,Modificaciones!M219,Modificaciones!O219)</f>
        <v>1</v>
      </c>
      <c r="P219" s="128">
        <f>VLOOKUP(E219,Modificaciones!$B$7:$Q$300,16,0)</f>
        <v>2324400</v>
      </c>
      <c r="Q219" s="129">
        <f>COUNTA(Modificaciones!S219,Modificaciones!U219,Modificaciones!W219,Modificaciones!Y219)</f>
        <v>1</v>
      </c>
      <c r="R219" s="130" t="str">
        <f>IF(Modificaciones!Z219=0,"",VLOOKUP(E219,Modificaciones!$B$7:$AA$400,25,0))</f>
        <v>1 mes y 22 días</v>
      </c>
      <c r="S219" s="131">
        <f>IF(Modificaciones!AA219=0,"",VLOOKUP(E219,Modificaciones!$B$7:$AA$400,26,0))</f>
        <v>42247</v>
      </c>
      <c r="T219" s="7">
        <f t="shared" si="37"/>
        <v>42247</v>
      </c>
      <c r="U219" s="62">
        <f t="shared" si="39"/>
        <v>18714400</v>
      </c>
      <c r="V219" s="172">
        <f>VLOOKUP(E219,Modificaciones!$B$7:$AU$300,46,0)</f>
        <v>18714400</v>
      </c>
      <c r="W219" s="93">
        <f t="shared" si="40"/>
        <v>0</v>
      </c>
      <c r="X219" s="314" t="s">
        <v>1193</v>
      </c>
      <c r="Y219" s="42">
        <f t="shared" si="41"/>
        <v>1</v>
      </c>
      <c r="Z219" s="42">
        <f t="shared" ca="1" si="42"/>
        <v>1</v>
      </c>
      <c r="AA219" s="43">
        <f t="shared" ca="1" si="43"/>
        <v>0</v>
      </c>
      <c r="AB219" s="202" t="str">
        <f t="shared" ca="1" si="44"/>
        <v/>
      </c>
      <c r="AC219" s="44" t="str">
        <f t="shared" si="45"/>
        <v>SI</v>
      </c>
      <c r="AD219" s="44"/>
      <c r="AE219" s="173" t="s">
        <v>1256</v>
      </c>
      <c r="AF219" s="301" t="s">
        <v>1141</v>
      </c>
      <c r="AG219" s="173" t="s">
        <v>1442</v>
      </c>
      <c r="AH219" s="281" t="s">
        <v>560</v>
      </c>
      <c r="AI219" s="174" t="s">
        <v>1380</v>
      </c>
      <c r="AJ219" s="174" t="s">
        <v>901</v>
      </c>
      <c r="AK219" s="181" t="str">
        <f t="shared" ca="1" si="46"/>
        <v>TERMINO</v>
      </c>
      <c r="AL219" s="181" t="s">
        <v>576</v>
      </c>
      <c r="AM219" s="176" t="s">
        <v>390</v>
      </c>
      <c r="AN219" s="848" t="str">
        <f>IFERROR(VLOOKUP(E219,'liquidaciones '!$B$2:$C$1048576,2,0),"NO")</f>
        <v>LIQUIDADO</v>
      </c>
      <c r="AO219" s="944">
        <f>IFERROR(VLOOKUP(E219,'liquidaciones '!$B$2:$I$1048576,8,0),"")</f>
        <v>0</v>
      </c>
      <c r="AP219" s="338"/>
      <c r="AQ219" s="177" t="str">
        <f t="shared" ca="1" si="47"/>
        <v>NO</v>
      </c>
      <c r="AR219" s="177" t="s">
        <v>981</v>
      </c>
      <c r="AS219" s="433"/>
      <c r="AT219" s="964"/>
      <c r="AU219" s="964"/>
      <c r="AV219" s="964"/>
    </row>
    <row r="220" spans="2:48" ht="57.75" customHeight="1" x14ac:dyDescent="0.25">
      <c r="B220" s="15">
        <v>214</v>
      </c>
      <c r="C220" s="437"/>
      <c r="D220" s="437" t="str">
        <f t="shared" si="38"/>
        <v>2014</v>
      </c>
      <c r="E220" s="139" t="s">
        <v>298</v>
      </c>
      <c r="F220" s="132" t="s">
        <v>90</v>
      </c>
      <c r="G220" s="133">
        <v>830109807</v>
      </c>
      <c r="H220" s="993" t="s">
        <v>538</v>
      </c>
      <c r="I220" s="140">
        <v>683000</v>
      </c>
      <c r="J220" s="134" t="s">
        <v>1088</v>
      </c>
      <c r="K220" s="157">
        <v>2014</v>
      </c>
      <c r="L220" s="546" t="s">
        <v>1088</v>
      </c>
      <c r="M220" s="138">
        <v>41838</v>
      </c>
      <c r="N220" s="138">
        <v>42203</v>
      </c>
      <c r="O220" s="127">
        <f>COUNTA(Modificaciones!I220,Modificaciones!K220,Modificaciones!M220,Modificaciones!O220)</f>
        <v>0</v>
      </c>
      <c r="P220" s="128">
        <f>VLOOKUP(E220,Modificaciones!$B$7:$Q$300,16,0)</f>
        <v>0</v>
      </c>
      <c r="Q220" s="129">
        <f>COUNTA(Modificaciones!S220,Modificaciones!U220,Modificaciones!W220,Modificaciones!Y220)</f>
        <v>0</v>
      </c>
      <c r="R220" s="130" t="str">
        <f>IF(Modificaciones!Z220=0,"",VLOOKUP(E220,Modificaciones!$B$7:$AA$400,25,0))</f>
        <v/>
      </c>
      <c r="S220" s="131" t="str">
        <f>IF(Modificaciones!AA220=0,"",VLOOKUP(E220,Modificaciones!$B$7:$AA$400,26,0))</f>
        <v/>
      </c>
      <c r="T220" s="7">
        <f t="shared" si="37"/>
        <v>42203</v>
      </c>
      <c r="U220" s="62">
        <f t="shared" si="39"/>
        <v>683000</v>
      </c>
      <c r="V220" s="172">
        <f>VLOOKUP(E220,Modificaciones!$B$7:$AU$300,46,0)</f>
        <v>683000</v>
      </c>
      <c r="W220" s="93">
        <f t="shared" si="40"/>
        <v>0</v>
      </c>
      <c r="X220" s="314" t="s">
        <v>1231</v>
      </c>
      <c r="Y220" s="42">
        <f t="shared" si="41"/>
        <v>1</v>
      </c>
      <c r="Z220" s="42">
        <f t="shared" ca="1" si="42"/>
        <v>1</v>
      </c>
      <c r="AA220" s="43">
        <f t="shared" ca="1" si="43"/>
        <v>0</v>
      </c>
      <c r="AB220" s="202" t="str">
        <f t="shared" ca="1" si="44"/>
        <v/>
      </c>
      <c r="AC220" s="44" t="str">
        <f t="shared" si="45"/>
        <v>SI</v>
      </c>
      <c r="AD220" s="44"/>
      <c r="AE220" s="173" t="s">
        <v>1256</v>
      </c>
      <c r="AF220" s="301" t="s">
        <v>1142</v>
      </c>
      <c r="AG220" s="173" t="s">
        <v>1430</v>
      </c>
      <c r="AH220" s="281" t="s">
        <v>564</v>
      </c>
      <c r="AI220" s="174"/>
      <c r="AJ220" s="174" t="s">
        <v>901</v>
      </c>
      <c r="AK220" s="181" t="str">
        <f t="shared" ca="1" si="46"/>
        <v>TERMINO</v>
      </c>
      <c r="AL220" s="181" t="s">
        <v>576</v>
      </c>
      <c r="AM220" s="176" t="s">
        <v>390</v>
      </c>
      <c r="AN220" s="848" t="str">
        <f>IFERROR(VLOOKUP(E220,'liquidaciones '!$B$2:$C$1048576,2,0),"NO")</f>
        <v>LIQUIDADO</v>
      </c>
      <c r="AO220" s="944">
        <f>IFERROR(VLOOKUP(E220,'liquidaciones '!$B$2:$I$1048576,8,0),"")</f>
        <v>0</v>
      </c>
      <c r="AP220" s="338"/>
      <c r="AQ220" s="177" t="str">
        <f t="shared" ca="1" si="47"/>
        <v>NO</v>
      </c>
      <c r="AR220" s="177" t="s">
        <v>1510</v>
      </c>
      <c r="AS220" s="433"/>
      <c r="AT220" s="964"/>
      <c r="AU220" s="964"/>
      <c r="AV220" s="964"/>
    </row>
    <row r="221" spans="2:48" ht="47.25" customHeight="1" x14ac:dyDescent="0.25">
      <c r="B221" s="15">
        <v>215</v>
      </c>
      <c r="C221" s="437"/>
      <c r="D221" s="437" t="str">
        <f t="shared" si="38"/>
        <v>2014</v>
      </c>
      <c r="E221" s="139" t="s">
        <v>302</v>
      </c>
      <c r="F221" s="132" t="s">
        <v>303</v>
      </c>
      <c r="G221" s="133">
        <v>832004433</v>
      </c>
      <c r="H221" s="993" t="s">
        <v>539</v>
      </c>
      <c r="I221" s="140">
        <v>4672000</v>
      </c>
      <c r="J221" s="700" t="s">
        <v>2227</v>
      </c>
      <c r="K221" s="157">
        <v>2014</v>
      </c>
      <c r="L221" s="546" t="s">
        <v>1088</v>
      </c>
      <c r="M221" s="138">
        <v>41835</v>
      </c>
      <c r="N221" s="138">
        <v>42050</v>
      </c>
      <c r="O221" s="127">
        <f>COUNTA(Modificaciones!I221,Modificaciones!K221,Modificaciones!M221,Modificaciones!O221)</f>
        <v>0</v>
      </c>
      <c r="P221" s="128">
        <f>VLOOKUP(E221,Modificaciones!$B$7:$Q$300,16,0)</f>
        <v>0</v>
      </c>
      <c r="Q221" s="129">
        <f>COUNTA(Modificaciones!S221,Modificaciones!U221,Modificaciones!W221,Modificaciones!Y221)</f>
        <v>0</v>
      </c>
      <c r="R221" s="130" t="str">
        <f>IF(Modificaciones!Z221=0,"",VLOOKUP(E221,Modificaciones!$B$7:$AA$400,25,0))</f>
        <v/>
      </c>
      <c r="S221" s="131" t="str">
        <f>IF(Modificaciones!AA221=0,"",VLOOKUP(E221,Modificaciones!$B$7:$AA$400,26,0))</f>
        <v/>
      </c>
      <c r="T221" s="7">
        <f t="shared" si="37"/>
        <v>42050</v>
      </c>
      <c r="U221" s="62">
        <f t="shared" si="39"/>
        <v>4672000</v>
      </c>
      <c r="V221" s="172">
        <f>VLOOKUP(E221,Modificaciones!$B$7:$AU$300,46,0)</f>
        <v>1806200</v>
      </c>
      <c r="W221" s="93">
        <f t="shared" si="40"/>
        <v>2865800</v>
      </c>
      <c r="X221" s="314" t="s">
        <v>1194</v>
      </c>
      <c r="Y221" s="42">
        <f t="shared" si="41"/>
        <v>0.38660102739726027</v>
      </c>
      <c r="Z221" s="42">
        <f t="shared" ca="1" si="42"/>
        <v>1</v>
      </c>
      <c r="AA221" s="43">
        <f t="shared" ca="1" si="43"/>
        <v>0.61339897260273979</v>
      </c>
      <c r="AB221" s="202" t="str">
        <f t="shared" ca="1" si="44"/>
        <v/>
      </c>
      <c r="AC221" s="44" t="str">
        <f t="shared" si="45"/>
        <v>NO</v>
      </c>
      <c r="AD221" s="44"/>
      <c r="AE221" s="173" t="s">
        <v>1256</v>
      </c>
      <c r="AF221" s="173" t="s">
        <v>1511</v>
      </c>
      <c r="AG221" s="173" t="s">
        <v>1442</v>
      </c>
      <c r="AH221" s="281" t="s">
        <v>560</v>
      </c>
      <c r="AI221" s="174" t="s">
        <v>1380</v>
      </c>
      <c r="AJ221" s="174" t="s">
        <v>954</v>
      </c>
      <c r="AK221" s="181" t="str">
        <f t="shared" ca="1" si="46"/>
        <v>TERMINO</v>
      </c>
      <c r="AL221" s="181" t="s">
        <v>576</v>
      </c>
      <c r="AM221" s="176" t="s">
        <v>390</v>
      </c>
      <c r="AN221" s="848" t="str">
        <f>IFERROR(VLOOKUP(E221,'liquidaciones '!$B$2:$C$1048576,2,0),"NO")</f>
        <v>LIQUIDADO</v>
      </c>
      <c r="AO221" s="944">
        <f>IFERROR(VLOOKUP(E221,'liquidaciones '!$B$2:$I$1048576,8,0),"")</f>
        <v>0</v>
      </c>
      <c r="AP221" s="338">
        <v>42321</v>
      </c>
      <c r="AQ221" s="177" t="str">
        <f t="shared" ca="1" si="47"/>
        <v>NO</v>
      </c>
      <c r="AR221" s="177" t="s">
        <v>1056</v>
      </c>
      <c r="AS221" s="433"/>
      <c r="AT221" s="964"/>
      <c r="AU221" s="964"/>
      <c r="AV221" s="964"/>
    </row>
    <row r="222" spans="2:48" ht="47.25" customHeight="1" x14ac:dyDescent="0.25">
      <c r="B222" s="15">
        <v>216</v>
      </c>
      <c r="C222" s="437"/>
      <c r="D222" s="437" t="str">
        <f t="shared" si="38"/>
        <v>2014</v>
      </c>
      <c r="E222" s="139" t="s">
        <v>919</v>
      </c>
      <c r="F222" s="132" t="s">
        <v>1104</v>
      </c>
      <c r="G222" s="137"/>
      <c r="H222" s="993" t="s">
        <v>1105</v>
      </c>
      <c r="I222" s="140">
        <v>3846133</v>
      </c>
      <c r="J222" s="850" t="s">
        <v>4718</v>
      </c>
      <c r="K222" s="157">
        <v>2014</v>
      </c>
      <c r="L222" s="546" t="s">
        <v>1088</v>
      </c>
      <c r="M222" s="138">
        <v>41837</v>
      </c>
      <c r="N222" s="138">
        <v>42202</v>
      </c>
      <c r="O222" s="127">
        <f>COUNTA(Modificaciones!I222,Modificaciones!K222,Modificaciones!M222,Modificaciones!O222)</f>
        <v>0</v>
      </c>
      <c r="P222" s="128">
        <f>VLOOKUP(E222,Modificaciones!$B$7:$Q$300,16,0)</f>
        <v>0</v>
      </c>
      <c r="Q222" s="129">
        <f>COUNTA(Modificaciones!S222,Modificaciones!U222,Modificaciones!W222,Modificaciones!Y222)</f>
        <v>0</v>
      </c>
      <c r="R222" s="130" t="str">
        <f>IF(Modificaciones!Z222=0,"",VLOOKUP(E222,Modificaciones!$B$7:$AA$400,25,0))</f>
        <v/>
      </c>
      <c r="S222" s="131" t="str">
        <f>IF(Modificaciones!AA222=0,"",VLOOKUP(E222,Modificaciones!$B$7:$AA$400,26,0))</f>
        <v/>
      </c>
      <c r="T222" s="126">
        <f t="shared" si="37"/>
        <v>42202</v>
      </c>
      <c r="U222" s="62">
        <f t="shared" si="39"/>
        <v>3846133</v>
      </c>
      <c r="V222" s="172">
        <f>VLOOKUP(E222,Modificaciones!$B$7:$AU$300,46,0)</f>
        <v>0</v>
      </c>
      <c r="W222" s="93">
        <f t="shared" si="40"/>
        <v>3846133</v>
      </c>
      <c r="X222" s="314"/>
      <c r="Y222" s="42">
        <f t="shared" si="41"/>
        <v>0</v>
      </c>
      <c r="Z222" s="42">
        <f t="shared" ca="1" si="42"/>
        <v>1</v>
      </c>
      <c r="AA222" s="43">
        <f t="shared" ca="1" si="43"/>
        <v>1</v>
      </c>
      <c r="AB222" s="202" t="str">
        <f t="shared" ca="1" si="44"/>
        <v/>
      </c>
      <c r="AC222" s="44"/>
      <c r="AD222" s="44"/>
      <c r="AE222" s="173"/>
      <c r="AF222" s="173"/>
      <c r="AG222" s="173"/>
      <c r="AH222" s="281"/>
      <c r="AI222" s="174"/>
      <c r="AJ222" s="174"/>
      <c r="AK222" s="181" t="str">
        <f t="shared" ca="1" si="46"/>
        <v>TERMINO</v>
      </c>
      <c r="AL222" s="181"/>
      <c r="AM222" s="176"/>
      <c r="AN222" s="848" t="str">
        <f>IFERROR(VLOOKUP(E222,'liquidaciones '!$B$2:$C$1048576,2,0),"NO")</f>
        <v>LIQUIDADO</v>
      </c>
      <c r="AO222" s="944" t="str">
        <f>IFERROR(VLOOKUP(E222,'liquidaciones '!$B$2:$I$1048576,8,0),"")</f>
        <v>JULIETH ANGARITA</v>
      </c>
      <c r="AP222" s="338"/>
      <c r="AQ222" s="177"/>
      <c r="AR222" s="177"/>
      <c r="AS222" s="433"/>
      <c r="AT222" s="964"/>
      <c r="AU222" s="964"/>
      <c r="AV222" s="964"/>
    </row>
    <row r="223" spans="2:48" ht="57.75" customHeight="1" x14ac:dyDescent="0.25">
      <c r="B223" s="15">
        <v>217</v>
      </c>
      <c r="C223" s="437"/>
      <c r="D223" s="437" t="str">
        <f t="shared" si="38"/>
        <v>2014</v>
      </c>
      <c r="E223" s="343" t="s">
        <v>400</v>
      </c>
      <c r="F223" s="132" t="s">
        <v>198</v>
      </c>
      <c r="G223" s="133">
        <v>900268429</v>
      </c>
      <c r="H223" s="993" t="s">
        <v>1143</v>
      </c>
      <c r="I223" s="140">
        <v>10564000</v>
      </c>
      <c r="J223" s="134" t="s">
        <v>1088</v>
      </c>
      <c r="K223" s="157">
        <v>2014</v>
      </c>
      <c r="L223" s="546" t="s">
        <v>1088</v>
      </c>
      <c r="M223" s="138">
        <v>41793</v>
      </c>
      <c r="N223" s="138">
        <v>42096</v>
      </c>
      <c r="O223" s="127">
        <f>COUNTA(Modificaciones!I223,Modificaciones!K223,Modificaciones!M223,Modificaciones!O223)</f>
        <v>0</v>
      </c>
      <c r="P223" s="128">
        <f>VLOOKUP(E223,Modificaciones!$B$7:$Q$300,16,0)</f>
        <v>0</v>
      </c>
      <c r="Q223" s="129">
        <f>COUNTA(Modificaciones!S223,Modificaciones!U223,Modificaciones!W223,Modificaciones!Y223)</f>
        <v>0</v>
      </c>
      <c r="R223" s="130" t="str">
        <f>IF(Modificaciones!Z223=0,"",VLOOKUP(E223,Modificaciones!$B$7:$AA$400,25,0))</f>
        <v/>
      </c>
      <c r="S223" s="131" t="str">
        <f>IF(Modificaciones!AA223=0,"",VLOOKUP(E223,Modificaciones!$B$7:$AA$400,26,0))</f>
        <v/>
      </c>
      <c r="T223" s="7">
        <f t="shared" si="37"/>
        <v>42096</v>
      </c>
      <c r="U223" s="62">
        <f t="shared" si="39"/>
        <v>10564000</v>
      </c>
      <c r="V223" s="172">
        <f>VLOOKUP(E223,Modificaciones!$B$7:$AU$300,46,0)</f>
        <v>10055157</v>
      </c>
      <c r="W223" s="93">
        <f t="shared" si="40"/>
        <v>508843</v>
      </c>
      <c r="X223" s="314" t="s">
        <v>1232</v>
      </c>
      <c r="Y223" s="42">
        <f t="shared" si="41"/>
        <v>0.95183235516849674</v>
      </c>
      <c r="Z223" s="42">
        <f t="shared" ca="1" si="42"/>
        <v>1</v>
      </c>
      <c r="AA223" s="43">
        <f t="shared" ca="1" si="43"/>
        <v>4.8167644831503265E-2</v>
      </c>
      <c r="AB223" s="202" t="str">
        <f t="shared" ca="1" si="44"/>
        <v/>
      </c>
      <c r="AC223" s="44" t="str">
        <f t="shared" ref="AC223:AC254" si="48">IF(Y223&lt;=99.9%,"NO","SI")</f>
        <v>NO</v>
      </c>
      <c r="AD223" s="44"/>
      <c r="AE223" s="173" t="s">
        <v>1256</v>
      </c>
      <c r="AF223" s="301" t="s">
        <v>1144</v>
      </c>
      <c r="AG223" s="173" t="s">
        <v>1442</v>
      </c>
      <c r="AH223" s="281" t="s">
        <v>560</v>
      </c>
      <c r="AI223" s="174" t="s">
        <v>1380</v>
      </c>
      <c r="AJ223" s="174" t="s">
        <v>954</v>
      </c>
      <c r="AK223" s="181" t="str">
        <f t="shared" ca="1" si="46"/>
        <v>TERMINO</v>
      </c>
      <c r="AL223" s="181" t="s">
        <v>574</v>
      </c>
      <c r="AM223" s="176" t="s">
        <v>390</v>
      </c>
      <c r="AN223" s="848" t="str">
        <f>IFERROR(VLOOKUP(E223,'liquidaciones '!$B$2:$C$1048576,2,0),"NO")</f>
        <v>LIQUIDADO</v>
      </c>
      <c r="AO223" s="944">
        <f>IFERROR(VLOOKUP(E223,'liquidaciones '!$B$2:$I$1048576,8,0),"")</f>
        <v>0</v>
      </c>
      <c r="AP223" s="338">
        <v>42376</v>
      </c>
      <c r="AQ223" s="177" t="str">
        <f t="shared" ref="AQ223:AQ254" ca="1" si="49">IF((TODAY()-T223&lt;900),"SI","NO")</f>
        <v>NO</v>
      </c>
      <c r="AR223" s="177" t="s">
        <v>1570</v>
      </c>
      <c r="AS223" s="433"/>
      <c r="AT223" s="964"/>
      <c r="AU223" s="964"/>
      <c r="AV223" s="964"/>
    </row>
    <row r="224" spans="2:48" ht="63.75" customHeight="1" x14ac:dyDescent="0.25">
      <c r="B224" s="15">
        <v>218</v>
      </c>
      <c r="C224" s="437"/>
      <c r="D224" s="437" t="str">
        <f t="shared" si="38"/>
        <v>2014</v>
      </c>
      <c r="E224" s="343" t="s">
        <v>401</v>
      </c>
      <c r="F224" s="132" t="s">
        <v>547</v>
      </c>
      <c r="G224" s="133">
        <v>830021364</v>
      </c>
      <c r="H224" s="993" t="s">
        <v>1051</v>
      </c>
      <c r="I224" s="140">
        <v>249991314</v>
      </c>
      <c r="J224" s="134" t="s">
        <v>1088</v>
      </c>
      <c r="K224" s="157">
        <v>2014</v>
      </c>
      <c r="L224" s="546" t="s">
        <v>1088</v>
      </c>
      <c r="M224" s="138">
        <v>41837</v>
      </c>
      <c r="N224" s="138">
        <v>42171</v>
      </c>
      <c r="O224" s="127">
        <f>COUNTA(Modificaciones!I224,Modificaciones!K224,Modificaciones!M224,Modificaciones!O224)</f>
        <v>0</v>
      </c>
      <c r="P224" s="128">
        <f>VLOOKUP(E224,Modificaciones!$B$7:$Q$300,16,0)</f>
        <v>0</v>
      </c>
      <c r="Q224" s="129">
        <f>COUNTA(Modificaciones!S224,Modificaciones!U224,Modificaciones!W224,Modificaciones!Y224)</f>
        <v>1</v>
      </c>
      <c r="R224" s="130" t="str">
        <f>IF(Modificaciones!Z224=0,"",VLOOKUP(E224,Modificaciones!$B$7:$AA$400,25,0))</f>
        <v>1 mes y 14 días</v>
      </c>
      <c r="S224" s="131">
        <f>IF(Modificaciones!AA224=0,"",VLOOKUP(E224,Modificaciones!$B$7:$AA$400,26,0))</f>
        <v>42216</v>
      </c>
      <c r="T224" s="126">
        <f t="shared" si="37"/>
        <v>42216</v>
      </c>
      <c r="U224" s="62">
        <f t="shared" si="39"/>
        <v>249991314</v>
      </c>
      <c r="V224" s="172">
        <f>VLOOKUP(E224,Modificaciones!$B$7:$AU$300,46,0)</f>
        <v>248275406</v>
      </c>
      <c r="W224" s="93">
        <f t="shared" si="40"/>
        <v>1715908</v>
      </c>
      <c r="X224" s="314" t="s">
        <v>1195</v>
      </c>
      <c r="Y224" s="42">
        <f t="shared" si="41"/>
        <v>0.99313612952168406</v>
      </c>
      <c r="Z224" s="42">
        <f t="shared" ca="1" si="42"/>
        <v>1</v>
      </c>
      <c r="AA224" s="43">
        <f t="shared" ca="1" si="43"/>
        <v>6.8638704783159366E-3</v>
      </c>
      <c r="AB224" s="202" t="str">
        <f t="shared" ca="1" si="44"/>
        <v/>
      </c>
      <c r="AC224" s="44" t="str">
        <f t="shared" si="48"/>
        <v>NO</v>
      </c>
      <c r="AD224" s="44"/>
      <c r="AE224" s="173" t="s">
        <v>1256</v>
      </c>
      <c r="AF224" s="301" t="s">
        <v>1173</v>
      </c>
      <c r="AG224" s="173" t="s">
        <v>1442</v>
      </c>
      <c r="AH224" s="281" t="s">
        <v>560</v>
      </c>
      <c r="AI224" s="174" t="s">
        <v>1380</v>
      </c>
      <c r="AJ224" s="174" t="s">
        <v>954</v>
      </c>
      <c r="AK224" s="181" t="str">
        <f t="shared" ca="1" si="46"/>
        <v>TERMINO</v>
      </c>
      <c r="AL224" s="181" t="s">
        <v>576</v>
      </c>
      <c r="AM224" s="176" t="s">
        <v>391</v>
      </c>
      <c r="AN224" s="848" t="str">
        <f>IFERROR(VLOOKUP(E224,'liquidaciones '!$B$2:$C$1048576,2,0),"NO")</f>
        <v>LIQUIDADO</v>
      </c>
      <c r="AO224" s="944">
        <f>IFERROR(VLOOKUP(E224,'liquidaciones '!$B$2:$I$1048576,8,0),"")</f>
        <v>0</v>
      </c>
      <c r="AP224" s="338"/>
      <c r="AQ224" s="177" t="str">
        <f t="shared" ca="1" si="49"/>
        <v>NO</v>
      </c>
      <c r="AR224" s="177" t="s">
        <v>981</v>
      </c>
      <c r="AS224" s="433"/>
      <c r="AT224" s="964"/>
      <c r="AU224" s="964"/>
      <c r="AV224" s="964"/>
    </row>
    <row r="225" spans="2:48" ht="63" customHeight="1" x14ac:dyDescent="0.25">
      <c r="B225" s="15">
        <v>219</v>
      </c>
      <c r="C225" s="437"/>
      <c r="D225" s="437" t="str">
        <f t="shared" si="38"/>
        <v>2014</v>
      </c>
      <c r="E225" s="343" t="s">
        <v>1333</v>
      </c>
      <c r="F225" s="132" t="s">
        <v>1334</v>
      </c>
      <c r="G225" s="133">
        <v>830145054</v>
      </c>
      <c r="H225" s="993" t="s">
        <v>1335</v>
      </c>
      <c r="I225" s="140">
        <v>4136000</v>
      </c>
      <c r="J225" s="850" t="s">
        <v>4574</v>
      </c>
      <c r="K225" s="157">
        <v>2014</v>
      </c>
      <c r="L225" s="546" t="s">
        <v>1088</v>
      </c>
      <c r="M225" s="138">
        <v>41935</v>
      </c>
      <c r="N225" s="138">
        <v>42027</v>
      </c>
      <c r="O225" s="127">
        <f>COUNTA(Modificaciones!I225,Modificaciones!K225,Modificaciones!M225,Modificaciones!O225)</f>
        <v>0</v>
      </c>
      <c r="P225" s="128">
        <f>VLOOKUP(E225,Modificaciones!$B$7:$Q$300,16,0)</f>
        <v>0</v>
      </c>
      <c r="Q225" s="129">
        <f>COUNTA(Modificaciones!S225,Modificaciones!U225,Modificaciones!W225,Modificaciones!Y225)</f>
        <v>0</v>
      </c>
      <c r="R225" s="130" t="str">
        <f>IF(Modificaciones!Z225=0,"",VLOOKUP(E225,Modificaciones!$B$7:$AA$400,25,0))</f>
        <v/>
      </c>
      <c r="S225" s="131" t="str">
        <f>IF(Modificaciones!AA225=0,"",VLOOKUP(E225,Modificaciones!$B$7:$AA$400,26,0))</f>
        <v/>
      </c>
      <c r="T225" s="126">
        <f t="shared" si="37"/>
        <v>42027</v>
      </c>
      <c r="U225" s="62">
        <f t="shared" si="39"/>
        <v>4136000</v>
      </c>
      <c r="V225" s="172">
        <f>VLOOKUP(E225,Modificaciones!$B$7:$AU$300,46,0)</f>
        <v>2251047</v>
      </c>
      <c r="W225" s="93">
        <f t="shared" si="40"/>
        <v>1884953</v>
      </c>
      <c r="X225" s="309" t="s">
        <v>1095</v>
      </c>
      <c r="Y225" s="42">
        <f t="shared" si="41"/>
        <v>0.54425701160541584</v>
      </c>
      <c r="Z225" s="42">
        <f t="shared" ca="1" si="42"/>
        <v>1</v>
      </c>
      <c r="AA225" s="43">
        <f t="shared" ca="1" si="43"/>
        <v>0.45574298839458416</v>
      </c>
      <c r="AB225" s="202" t="str">
        <f t="shared" ca="1" si="44"/>
        <v/>
      </c>
      <c r="AC225" s="44" t="str">
        <f t="shared" si="48"/>
        <v>NO</v>
      </c>
      <c r="AD225" s="44"/>
      <c r="AE225" s="173" t="s">
        <v>1256</v>
      </c>
      <c r="AF225" s="301" t="s">
        <v>1300</v>
      </c>
      <c r="AG225" s="173" t="s">
        <v>1442</v>
      </c>
      <c r="AH225" s="281" t="s">
        <v>560</v>
      </c>
      <c r="AI225" s="174" t="s">
        <v>1380</v>
      </c>
      <c r="AJ225" s="174" t="s">
        <v>954</v>
      </c>
      <c r="AK225" s="181" t="str">
        <f t="shared" ca="1" si="46"/>
        <v>TERMINO</v>
      </c>
      <c r="AL225" s="181" t="s">
        <v>576</v>
      </c>
      <c r="AM225" s="176" t="s">
        <v>390</v>
      </c>
      <c r="AN225" s="848" t="str">
        <f>IFERROR(VLOOKUP(E225,'liquidaciones '!$B$2:$C$1048576,2,0),"NO")</f>
        <v>EN TRÁMITE</v>
      </c>
      <c r="AO225" s="944">
        <f>IFERROR(VLOOKUP(E225,'liquidaciones '!$B$2:$I$1048576,8,0),"")</f>
        <v>0</v>
      </c>
      <c r="AP225" s="338"/>
      <c r="AQ225" s="177" t="str">
        <f t="shared" ca="1" si="49"/>
        <v>NO</v>
      </c>
      <c r="AR225" s="177" t="s">
        <v>1571</v>
      </c>
      <c r="AS225" s="433"/>
      <c r="AT225" s="964"/>
      <c r="AU225" s="964"/>
      <c r="AV225" s="964"/>
    </row>
    <row r="226" spans="2:48" ht="47.25" customHeight="1" x14ac:dyDescent="0.25">
      <c r="B226" s="15">
        <v>220</v>
      </c>
      <c r="C226" s="437"/>
      <c r="D226" s="437" t="str">
        <f t="shared" si="38"/>
        <v>2014</v>
      </c>
      <c r="E226" s="343" t="s">
        <v>297</v>
      </c>
      <c r="F226" s="132" t="s">
        <v>999</v>
      </c>
      <c r="G226" s="133">
        <v>860066942</v>
      </c>
      <c r="H226" s="993" t="s">
        <v>540</v>
      </c>
      <c r="I226" s="140">
        <v>65200000</v>
      </c>
      <c r="J226" s="134" t="s">
        <v>1088</v>
      </c>
      <c r="K226" s="157">
        <v>2014</v>
      </c>
      <c r="L226" s="546" t="s">
        <v>1088</v>
      </c>
      <c r="M226" s="138">
        <v>41835</v>
      </c>
      <c r="N226" s="138">
        <v>42078</v>
      </c>
      <c r="O226" s="127">
        <f>COUNTA(Modificaciones!I226,Modificaciones!K226,Modificaciones!M226,Modificaciones!O226)</f>
        <v>1</v>
      </c>
      <c r="P226" s="128">
        <f>VLOOKUP(E226,Modificaciones!$B$7:$Q$300,16,0)</f>
        <v>32600000</v>
      </c>
      <c r="Q226" s="129">
        <f>COUNTA(Modificaciones!S226,Modificaciones!U226,Modificaciones!W226,Modificaciones!Y226)</f>
        <v>1</v>
      </c>
      <c r="R226" s="130" t="str">
        <f>IF(Modificaciones!Z226=0,"",VLOOKUP(E226,Modificaciones!$B$7:$AA$400,25,0))</f>
        <v>2 meses</v>
      </c>
      <c r="S226" s="131">
        <f>IF(Modificaciones!AA226=0,"",VLOOKUP(E226,Modificaciones!$B$7:$AA$400,26,0))</f>
        <v>42139</v>
      </c>
      <c r="T226" s="7">
        <f t="shared" si="37"/>
        <v>42139</v>
      </c>
      <c r="U226" s="62">
        <f t="shared" si="39"/>
        <v>97800000</v>
      </c>
      <c r="V226" s="172">
        <f>VLOOKUP(E226,Modificaciones!$B$7:$AU$300,46,0)</f>
        <v>97794518</v>
      </c>
      <c r="W226" s="93">
        <f t="shared" si="40"/>
        <v>5482</v>
      </c>
      <c r="X226" s="314" t="s">
        <v>1196</v>
      </c>
      <c r="Y226" s="42">
        <f t="shared" si="41"/>
        <v>0.99994394683026588</v>
      </c>
      <c r="Z226" s="42">
        <f t="shared" ca="1" si="42"/>
        <v>1</v>
      </c>
      <c r="AA226" s="43">
        <f t="shared" ca="1" si="43"/>
        <v>5.6053169734116004E-5</v>
      </c>
      <c r="AB226" s="202" t="str">
        <f t="shared" ca="1" si="44"/>
        <v/>
      </c>
      <c r="AC226" s="44" t="str">
        <f t="shared" si="48"/>
        <v>SI</v>
      </c>
      <c r="AD226" s="44"/>
      <c r="AE226" s="173" t="s">
        <v>1256</v>
      </c>
      <c r="AF226" s="173" t="s">
        <v>1301</v>
      </c>
      <c r="AG226" s="173" t="s">
        <v>1435</v>
      </c>
      <c r="AH226" s="281" t="s">
        <v>560</v>
      </c>
      <c r="AI226" s="174" t="s">
        <v>1386</v>
      </c>
      <c r="AJ226" s="174" t="s">
        <v>901</v>
      </c>
      <c r="AK226" s="181" t="str">
        <f t="shared" ca="1" si="46"/>
        <v>TERMINO</v>
      </c>
      <c r="AL226" s="181" t="s">
        <v>582</v>
      </c>
      <c r="AM226" s="176" t="s">
        <v>390</v>
      </c>
      <c r="AN226" s="848" t="str">
        <f>IFERROR(VLOOKUP(E226,'liquidaciones '!$B$2:$C$1048576,2,0),"NO")</f>
        <v>LIQUIDADO</v>
      </c>
      <c r="AO226" s="944">
        <f>IFERROR(VLOOKUP(E226,'liquidaciones '!$B$2:$I$1048576,8,0),"")</f>
        <v>0</v>
      </c>
      <c r="AP226" s="338">
        <v>42345</v>
      </c>
      <c r="AQ226" s="177" t="str">
        <f t="shared" ca="1" si="49"/>
        <v>NO</v>
      </c>
      <c r="AR226" s="177" t="s">
        <v>2076</v>
      </c>
      <c r="AS226" s="433"/>
      <c r="AT226" s="964"/>
      <c r="AU226" s="964"/>
      <c r="AV226" s="964"/>
    </row>
    <row r="227" spans="2:48" ht="47.25" customHeight="1" x14ac:dyDescent="0.25">
      <c r="B227" s="15">
        <v>221</v>
      </c>
      <c r="C227" s="437"/>
      <c r="D227" s="437" t="str">
        <f t="shared" si="38"/>
        <v>2014</v>
      </c>
      <c r="E227" s="344" t="s">
        <v>304</v>
      </c>
      <c r="F227" s="164" t="s">
        <v>1006</v>
      </c>
      <c r="G227" s="165">
        <v>830040274</v>
      </c>
      <c r="H227" s="997" t="s">
        <v>371</v>
      </c>
      <c r="I227" s="166">
        <v>2228070</v>
      </c>
      <c r="J227" s="850" t="s">
        <v>4315</v>
      </c>
      <c r="K227" s="167">
        <v>2014</v>
      </c>
      <c r="L227" s="546" t="s">
        <v>1088</v>
      </c>
      <c r="M227" s="168">
        <v>41842</v>
      </c>
      <c r="N227" s="168">
        <v>41965</v>
      </c>
      <c r="O227" s="127">
        <f>COUNTA(Modificaciones!I227,Modificaciones!K227,Modificaciones!M227,Modificaciones!O227)</f>
        <v>0</v>
      </c>
      <c r="P227" s="128">
        <f>VLOOKUP(E227,Modificaciones!$B$7:$Q$300,16,0)</f>
        <v>0</v>
      </c>
      <c r="Q227" s="129">
        <f>COUNTA(Modificaciones!S227,Modificaciones!U227,Modificaciones!W227,Modificaciones!Y227)</f>
        <v>0</v>
      </c>
      <c r="R227" s="130" t="str">
        <f>IF(Modificaciones!Z227=0,"",VLOOKUP(E227,Modificaciones!$B$7:$AA$400,25,0))</f>
        <v/>
      </c>
      <c r="S227" s="131" t="str">
        <f>IF(Modificaciones!AA227=0,"",VLOOKUP(E227,Modificaciones!$B$7:$AA$400,26,0))</f>
        <v/>
      </c>
      <c r="T227" s="7">
        <f t="shared" si="37"/>
        <v>41965</v>
      </c>
      <c r="U227" s="62">
        <f t="shared" si="39"/>
        <v>2228070</v>
      </c>
      <c r="V227" s="172">
        <f>VLOOKUP(E227,Modificaciones!$B$7:$AU$300,46,0)</f>
        <v>2228070</v>
      </c>
      <c r="W227" s="93">
        <f t="shared" si="40"/>
        <v>0</v>
      </c>
      <c r="X227" s="314" t="s">
        <v>1233</v>
      </c>
      <c r="Y227" s="42">
        <f t="shared" si="41"/>
        <v>1</v>
      </c>
      <c r="Z227" s="42">
        <f t="shared" ca="1" si="42"/>
        <v>1</v>
      </c>
      <c r="AA227" s="45">
        <f t="shared" ca="1" si="43"/>
        <v>0</v>
      </c>
      <c r="AB227" s="202" t="str">
        <f t="shared" ca="1" si="44"/>
        <v/>
      </c>
      <c r="AC227" s="44" t="str">
        <f t="shared" si="48"/>
        <v>SI</v>
      </c>
      <c r="AD227" s="44"/>
      <c r="AE227" s="173" t="s">
        <v>1256</v>
      </c>
      <c r="AF227" s="301" t="s">
        <v>1145</v>
      </c>
      <c r="AG227" s="173"/>
      <c r="AH227" s="281" t="s">
        <v>563</v>
      </c>
      <c r="AI227" s="174" t="s">
        <v>1387</v>
      </c>
      <c r="AJ227" s="174" t="s">
        <v>954</v>
      </c>
      <c r="AK227" s="181" t="str">
        <f t="shared" ca="1" si="46"/>
        <v>TERMINO</v>
      </c>
      <c r="AL227" s="181" t="s">
        <v>576</v>
      </c>
      <c r="AM227" s="176" t="s">
        <v>390</v>
      </c>
      <c r="AN227" s="848" t="str">
        <f>IFERROR(VLOOKUP(E227,'liquidaciones '!$B$2:$C$1048576,2,0),"NO")</f>
        <v>LIQUIDADO</v>
      </c>
      <c r="AO227" s="944">
        <f>IFERROR(VLOOKUP(E227,'liquidaciones '!$B$2:$I$1048576,8,0),"")</f>
        <v>0</v>
      </c>
      <c r="AP227" s="338">
        <v>42265</v>
      </c>
      <c r="AQ227" s="177" t="str">
        <f t="shared" ca="1" si="49"/>
        <v>NO</v>
      </c>
      <c r="AR227" s="177" t="s">
        <v>981</v>
      </c>
      <c r="AS227" s="433"/>
      <c r="AT227" s="964"/>
      <c r="AU227" s="964"/>
      <c r="AV227" s="964"/>
    </row>
    <row r="228" spans="2:48" ht="47.25" customHeight="1" x14ac:dyDescent="0.25">
      <c r="B228" s="15">
        <v>222</v>
      </c>
      <c r="C228" s="437"/>
      <c r="D228" s="437" t="str">
        <f t="shared" si="38"/>
        <v>2014</v>
      </c>
      <c r="E228" s="344" t="s">
        <v>308</v>
      </c>
      <c r="F228" s="164" t="s">
        <v>1050</v>
      </c>
      <c r="G228" s="165">
        <v>800047094</v>
      </c>
      <c r="H228" s="997" t="s">
        <v>373</v>
      </c>
      <c r="I228" s="166">
        <v>2260000</v>
      </c>
      <c r="J228" s="134" t="s">
        <v>1088</v>
      </c>
      <c r="K228" s="167">
        <v>2014</v>
      </c>
      <c r="L228" s="546" t="s">
        <v>1088</v>
      </c>
      <c r="M228" s="168">
        <v>41862</v>
      </c>
      <c r="N228" s="168">
        <v>41923</v>
      </c>
      <c r="O228" s="127">
        <f>COUNTA(Modificaciones!I228,Modificaciones!K228,Modificaciones!M228,Modificaciones!O228)</f>
        <v>0</v>
      </c>
      <c r="P228" s="128">
        <f>VLOOKUP(E228,Modificaciones!$B$7:$Q$300,16,0)</f>
        <v>0</v>
      </c>
      <c r="Q228" s="129">
        <f>COUNTA(Modificaciones!S228,Modificaciones!U228,Modificaciones!W228,Modificaciones!Y228)</f>
        <v>0</v>
      </c>
      <c r="R228" s="130" t="str">
        <f>IF(Modificaciones!Z228=0,"",VLOOKUP(E228,Modificaciones!$B$7:$AA$400,25,0))</f>
        <v/>
      </c>
      <c r="S228" s="131" t="str">
        <f>IF(Modificaciones!AA228=0,"",VLOOKUP(E228,Modificaciones!$B$7:$AA$400,26,0))</f>
        <v/>
      </c>
      <c r="T228" s="7">
        <f t="shared" si="37"/>
        <v>41923</v>
      </c>
      <c r="U228" s="62">
        <f t="shared" si="39"/>
        <v>2260000</v>
      </c>
      <c r="V228" s="172">
        <f>VLOOKUP(E228,Modificaciones!$B$7:$AU$300,46,0)</f>
        <v>1595000</v>
      </c>
      <c r="W228" s="93">
        <f t="shared" si="40"/>
        <v>665000</v>
      </c>
      <c r="X228" s="314" t="s">
        <v>1197</v>
      </c>
      <c r="Y228" s="42">
        <f t="shared" si="41"/>
        <v>0.70575221238938057</v>
      </c>
      <c r="Z228" s="42">
        <f t="shared" ca="1" si="42"/>
        <v>1</v>
      </c>
      <c r="AA228" s="45">
        <f t="shared" ca="1" si="43"/>
        <v>0.29424778761061943</v>
      </c>
      <c r="AB228" s="202" t="str">
        <f t="shared" ca="1" si="44"/>
        <v/>
      </c>
      <c r="AC228" s="44" t="str">
        <f t="shared" si="48"/>
        <v>NO</v>
      </c>
      <c r="AD228" s="44"/>
      <c r="AE228" s="173" t="s">
        <v>1256</v>
      </c>
      <c r="AF228" s="173" t="s">
        <v>1295</v>
      </c>
      <c r="AG228" s="173"/>
      <c r="AH228" s="281"/>
      <c r="AI228" s="174" t="s">
        <v>1387</v>
      </c>
      <c r="AJ228" s="174" t="s">
        <v>901</v>
      </c>
      <c r="AK228" s="181" t="str">
        <f t="shared" ca="1" si="46"/>
        <v>TERMINO</v>
      </c>
      <c r="AL228" s="181" t="s">
        <v>576</v>
      </c>
      <c r="AM228" s="176" t="s">
        <v>390</v>
      </c>
      <c r="AN228" s="848" t="str">
        <f>IFERROR(VLOOKUP(E228,'liquidaciones '!$B$2:$C$1048576,2,0),"NO")</f>
        <v>LIQUIDADO</v>
      </c>
      <c r="AO228" s="944">
        <f>IFERROR(VLOOKUP(E228,'liquidaciones '!$B$2:$I$1048576,8,0),"")</f>
        <v>0</v>
      </c>
      <c r="AP228" s="338">
        <v>42150</v>
      </c>
      <c r="AQ228" s="177" t="str">
        <f t="shared" ca="1" si="49"/>
        <v>NO</v>
      </c>
      <c r="AR228" s="177" t="s">
        <v>1151</v>
      </c>
      <c r="AS228" s="433"/>
      <c r="AT228" s="964"/>
      <c r="AU228" s="964"/>
      <c r="AV228" s="964"/>
    </row>
    <row r="229" spans="2:48" ht="47.25" customHeight="1" x14ac:dyDescent="0.25">
      <c r="B229" s="15">
        <v>223</v>
      </c>
      <c r="C229" s="437"/>
      <c r="D229" s="437" t="str">
        <f t="shared" si="38"/>
        <v>2014</v>
      </c>
      <c r="E229" s="344" t="s">
        <v>307</v>
      </c>
      <c r="F229" s="164" t="s">
        <v>144</v>
      </c>
      <c r="G229" s="165">
        <v>900450570</v>
      </c>
      <c r="H229" s="997" t="s">
        <v>372</v>
      </c>
      <c r="I229" s="166">
        <v>202978686</v>
      </c>
      <c r="J229" s="850" t="s">
        <v>1919</v>
      </c>
      <c r="K229" s="167">
        <v>2014</v>
      </c>
      <c r="L229" s="546" t="s">
        <v>1088</v>
      </c>
      <c r="M229" s="168">
        <v>41850</v>
      </c>
      <c r="N229" s="168">
        <v>42034</v>
      </c>
      <c r="O229" s="127">
        <f>COUNTA(Modificaciones!I229,Modificaciones!K229,Modificaciones!M229,Modificaciones!O229)</f>
        <v>1</v>
      </c>
      <c r="P229" s="128">
        <f>VLOOKUP(E229,Modificaciones!$B$7:$Q$300,16,0)</f>
        <v>87669877</v>
      </c>
      <c r="Q229" s="129">
        <f>COUNTA(Modificaciones!S229,Modificaciones!U229,Modificaciones!W229,Modificaciones!Y229)</f>
        <v>1</v>
      </c>
      <c r="R229" s="130" t="str">
        <f>IF(Modificaciones!Z229=0,"",VLOOKUP(E229,Modificaciones!$B$7:$AA$400,25,0))</f>
        <v>2 meses y 15 días</v>
      </c>
      <c r="S229" s="131">
        <f>IF(Modificaciones!AA229=0,"",VLOOKUP(E229,Modificaciones!$B$7:$AA$400,26,0))</f>
        <v>42108</v>
      </c>
      <c r="T229" s="7">
        <f t="shared" si="37"/>
        <v>42108</v>
      </c>
      <c r="U229" s="62">
        <f t="shared" si="39"/>
        <v>290648563</v>
      </c>
      <c r="V229" s="172">
        <f>VLOOKUP(E229,Modificaciones!$B$7:$AU$300,46,0)</f>
        <v>290648563</v>
      </c>
      <c r="W229" s="93">
        <f t="shared" si="40"/>
        <v>0</v>
      </c>
      <c r="X229" s="314" t="s">
        <v>1198</v>
      </c>
      <c r="Y229" s="42">
        <f t="shared" si="41"/>
        <v>1</v>
      </c>
      <c r="Z229" s="42">
        <f t="shared" ca="1" si="42"/>
        <v>1</v>
      </c>
      <c r="AA229" s="45">
        <f t="shared" ca="1" si="43"/>
        <v>0</v>
      </c>
      <c r="AB229" s="202" t="str">
        <f t="shared" ca="1" si="44"/>
        <v/>
      </c>
      <c r="AC229" s="44" t="str">
        <f t="shared" si="48"/>
        <v>SI</v>
      </c>
      <c r="AD229" s="44"/>
      <c r="AE229" s="173" t="s">
        <v>1256</v>
      </c>
      <c r="AF229" s="301" t="s">
        <v>1146</v>
      </c>
      <c r="AG229" s="173" t="s">
        <v>1442</v>
      </c>
      <c r="AH229" s="281" t="s">
        <v>560</v>
      </c>
      <c r="AI229" s="174" t="s">
        <v>1319</v>
      </c>
      <c r="AJ229" s="174" t="s">
        <v>954</v>
      </c>
      <c r="AK229" s="181" t="str">
        <f t="shared" ca="1" si="46"/>
        <v>TERMINO</v>
      </c>
      <c r="AL229" s="181" t="s">
        <v>574</v>
      </c>
      <c r="AM229" s="176" t="s">
        <v>390</v>
      </c>
      <c r="AN229" s="848" t="str">
        <f>IFERROR(VLOOKUP(E229,'liquidaciones '!$B$2:$C$1048576,2,0),"NO")</f>
        <v>LIQUIDADO</v>
      </c>
      <c r="AO229" s="944">
        <f>IFERROR(VLOOKUP(E229,'liquidaciones '!$B$2:$I$1048576,8,0),"")</f>
        <v>0</v>
      </c>
      <c r="AP229" s="338">
        <v>42278</v>
      </c>
      <c r="AQ229" s="177" t="str">
        <f t="shared" ca="1" si="49"/>
        <v>NO</v>
      </c>
      <c r="AR229" s="177" t="s">
        <v>982</v>
      </c>
      <c r="AS229" s="433"/>
      <c r="AT229" s="964"/>
      <c r="AU229" s="964"/>
      <c r="AV229" s="964"/>
    </row>
    <row r="230" spans="2:48" ht="47.25" customHeight="1" x14ac:dyDescent="0.25">
      <c r="B230" s="15">
        <v>224</v>
      </c>
      <c r="C230" s="437"/>
      <c r="D230" s="437" t="str">
        <f t="shared" si="38"/>
        <v>2014</v>
      </c>
      <c r="E230" s="345" t="s">
        <v>1162</v>
      </c>
      <c r="F230" s="212" t="s">
        <v>1163</v>
      </c>
      <c r="G230" s="204">
        <v>800188299</v>
      </c>
      <c r="H230" s="998" t="s">
        <v>2132</v>
      </c>
      <c r="I230" s="166">
        <v>16592327</v>
      </c>
      <c r="J230" s="850" t="s">
        <v>4689</v>
      </c>
      <c r="K230" s="167">
        <v>2014</v>
      </c>
      <c r="L230" s="546" t="s">
        <v>1088</v>
      </c>
      <c r="M230" s="168">
        <v>41936</v>
      </c>
      <c r="N230" s="168">
        <v>42301</v>
      </c>
      <c r="O230" s="127">
        <f>COUNTA(Modificaciones!I230,Modificaciones!K230,Modificaciones!M230,Modificaciones!O230)</f>
        <v>0</v>
      </c>
      <c r="P230" s="128">
        <f>VLOOKUP(E230,Modificaciones!$B$7:$Q$300,16,0)</f>
        <v>0</v>
      </c>
      <c r="Q230" s="129">
        <f>COUNTA(Modificaciones!S230,Modificaciones!U230,Modificaciones!W230,Modificaciones!Y230)</f>
        <v>0</v>
      </c>
      <c r="R230" s="130" t="str">
        <f>IF(Modificaciones!Z230=0,"",VLOOKUP(E230,Modificaciones!$B$7:$AA$400,25,0))</f>
        <v/>
      </c>
      <c r="S230" s="131" t="str">
        <f>IF(Modificaciones!AA230=0,"",VLOOKUP(E230,Modificaciones!$B$7:$AA$400,26,0))</f>
        <v/>
      </c>
      <c r="T230" s="126">
        <f t="shared" si="37"/>
        <v>42301</v>
      </c>
      <c r="U230" s="62">
        <f t="shared" si="39"/>
        <v>16592327</v>
      </c>
      <c r="V230" s="172">
        <f>VLOOKUP(E230,Modificaciones!$B$7:$AU$300,46,0)</f>
        <v>14933095</v>
      </c>
      <c r="W230" s="93">
        <f t="shared" si="40"/>
        <v>1659232</v>
      </c>
      <c r="X230" s="314" t="s">
        <v>1199</v>
      </c>
      <c r="Y230" s="42">
        <f t="shared" si="41"/>
        <v>0.90000004218817531</v>
      </c>
      <c r="Z230" s="42">
        <f t="shared" ca="1" si="42"/>
        <v>1</v>
      </c>
      <c r="AA230" s="45">
        <f t="shared" ca="1" si="43"/>
        <v>9.9999957811824691E-2</v>
      </c>
      <c r="AB230" s="202" t="str">
        <f t="shared" ca="1" si="44"/>
        <v/>
      </c>
      <c r="AC230" s="44" t="str">
        <f t="shared" si="48"/>
        <v>NO</v>
      </c>
      <c r="AD230" s="44"/>
      <c r="AE230" s="173" t="s">
        <v>1257</v>
      </c>
      <c r="AF230" s="301" t="s">
        <v>1174</v>
      </c>
      <c r="AG230" s="173" t="s">
        <v>1439</v>
      </c>
      <c r="AH230" s="281" t="s">
        <v>560</v>
      </c>
      <c r="AI230" s="174" t="s">
        <v>1509</v>
      </c>
      <c r="AJ230" s="174" t="s">
        <v>954</v>
      </c>
      <c r="AK230" s="181" t="str">
        <f t="shared" ca="1" si="46"/>
        <v>TERMINO</v>
      </c>
      <c r="AL230" s="181" t="s">
        <v>576</v>
      </c>
      <c r="AM230" s="176" t="s">
        <v>390</v>
      </c>
      <c r="AN230" s="848" t="str">
        <f>IFERROR(VLOOKUP(E230,'liquidaciones '!$B$2:$C$1048576,2,0),"NO")</f>
        <v>LIQUIDADO</v>
      </c>
      <c r="AO230" s="944">
        <f>IFERROR(VLOOKUP(E230,'liquidaciones '!$B$2:$I$1048576,8,0),"")</f>
        <v>0</v>
      </c>
      <c r="AP230" s="338"/>
      <c r="AQ230" s="177" t="str">
        <f t="shared" ca="1" si="49"/>
        <v>NO</v>
      </c>
      <c r="AR230" s="177" t="s">
        <v>1992</v>
      </c>
      <c r="AS230" s="433"/>
      <c r="AT230" s="964"/>
      <c r="AU230" s="964"/>
      <c r="AV230" s="964"/>
    </row>
    <row r="231" spans="2:48" ht="47.25" customHeight="1" x14ac:dyDescent="0.25">
      <c r="B231" s="15">
        <v>225</v>
      </c>
      <c r="C231" s="437"/>
      <c r="D231" s="437" t="str">
        <f t="shared" si="38"/>
        <v>2014</v>
      </c>
      <c r="E231" s="345" t="s">
        <v>1155</v>
      </c>
      <c r="F231" s="212" t="s">
        <v>33</v>
      </c>
      <c r="G231" s="133">
        <v>860509265</v>
      </c>
      <c r="H231" s="998" t="s">
        <v>1156</v>
      </c>
      <c r="I231" s="166">
        <v>807000</v>
      </c>
      <c r="J231" s="134" t="s">
        <v>1088</v>
      </c>
      <c r="K231" s="167">
        <v>2014</v>
      </c>
      <c r="L231" s="546" t="s">
        <v>1088</v>
      </c>
      <c r="M231" s="168">
        <v>41912</v>
      </c>
      <c r="N231" s="168">
        <v>42277</v>
      </c>
      <c r="O231" s="127">
        <f>COUNTA(Modificaciones!I231,Modificaciones!K231,Modificaciones!M231,Modificaciones!O231)</f>
        <v>0</v>
      </c>
      <c r="P231" s="128">
        <f>VLOOKUP(E231,Modificaciones!$B$7:$Q$300,16,0)</f>
        <v>0</v>
      </c>
      <c r="Q231" s="129">
        <f>COUNTA(Modificaciones!S231,Modificaciones!U231,Modificaciones!W231,Modificaciones!Y231)</f>
        <v>0</v>
      </c>
      <c r="R231" s="130" t="str">
        <f>IF(Modificaciones!Z231=0,"",VLOOKUP(E231,Modificaciones!$B$7:$AA$400,25,0))</f>
        <v/>
      </c>
      <c r="S231" s="131" t="str">
        <f>IF(Modificaciones!AA231=0,"",VLOOKUP(E231,Modificaciones!$B$7:$AA$400,26,0))</f>
        <v/>
      </c>
      <c r="T231" s="126">
        <f t="shared" si="37"/>
        <v>42277</v>
      </c>
      <c r="U231" s="62">
        <f t="shared" si="39"/>
        <v>807000</v>
      </c>
      <c r="V231" s="172">
        <f>VLOOKUP(E231,Modificaciones!$B$7:$AU$300,46,0)</f>
        <v>807000</v>
      </c>
      <c r="W231" s="93">
        <f t="shared" si="40"/>
        <v>0</v>
      </c>
      <c r="X231" s="314" t="s">
        <v>1200</v>
      </c>
      <c r="Y231" s="42">
        <f t="shared" si="41"/>
        <v>1</v>
      </c>
      <c r="Z231" s="42">
        <f t="shared" ca="1" si="42"/>
        <v>1</v>
      </c>
      <c r="AA231" s="45">
        <f t="shared" ca="1" si="43"/>
        <v>0</v>
      </c>
      <c r="AB231" s="202" t="str">
        <f t="shared" ca="1" si="44"/>
        <v/>
      </c>
      <c r="AC231" s="44" t="str">
        <f t="shared" si="48"/>
        <v>SI</v>
      </c>
      <c r="AD231" s="44"/>
      <c r="AE231" s="173" t="s">
        <v>1256</v>
      </c>
      <c r="AF231" s="301" t="s">
        <v>1469</v>
      </c>
      <c r="AG231" s="173" t="s">
        <v>1430</v>
      </c>
      <c r="AH231" s="281" t="s">
        <v>564</v>
      </c>
      <c r="AI231" s="174" t="s">
        <v>2167</v>
      </c>
      <c r="AJ231" s="174" t="s">
        <v>954</v>
      </c>
      <c r="AK231" s="181" t="str">
        <f t="shared" ca="1" si="46"/>
        <v>TERMINO</v>
      </c>
      <c r="AL231" s="181" t="s">
        <v>582</v>
      </c>
      <c r="AM231" s="176" t="s">
        <v>390</v>
      </c>
      <c r="AN231" s="848" t="str">
        <f>IFERROR(VLOOKUP(E231,'liquidaciones '!$B$2:$C$1048576,2,0),"NO")</f>
        <v>LIQUIDADO</v>
      </c>
      <c r="AO231" s="944">
        <f>IFERROR(VLOOKUP(E231,'liquidaciones '!$B$2:$I$1048576,8,0),"")</f>
        <v>0</v>
      </c>
      <c r="AP231" s="338"/>
      <c r="AQ231" s="177" t="str">
        <f t="shared" ca="1" si="49"/>
        <v>NO</v>
      </c>
      <c r="AR231" s="177" t="s">
        <v>1607</v>
      </c>
      <c r="AS231" s="433"/>
      <c r="AT231" s="964"/>
      <c r="AU231" s="964"/>
      <c r="AV231" s="964"/>
    </row>
    <row r="232" spans="2:48" ht="47.25" customHeight="1" x14ac:dyDescent="0.25">
      <c r="B232" s="15">
        <v>226</v>
      </c>
      <c r="C232" s="437"/>
      <c r="D232" s="437" t="str">
        <f t="shared" si="38"/>
        <v>2014</v>
      </c>
      <c r="E232" s="345" t="s">
        <v>548</v>
      </c>
      <c r="F232" s="132" t="s">
        <v>13</v>
      </c>
      <c r="G232" s="133">
        <v>860007590</v>
      </c>
      <c r="H232" s="998" t="s">
        <v>550</v>
      </c>
      <c r="I232" s="166">
        <v>936000</v>
      </c>
      <c r="J232" s="134" t="s">
        <v>1088</v>
      </c>
      <c r="K232" s="167">
        <v>2014</v>
      </c>
      <c r="L232" s="546" t="s">
        <v>1088</v>
      </c>
      <c r="M232" s="168">
        <v>41893</v>
      </c>
      <c r="N232" s="168">
        <v>42258</v>
      </c>
      <c r="O232" s="127">
        <f>COUNTA(Modificaciones!I232,Modificaciones!K232,Modificaciones!M232,Modificaciones!O232)</f>
        <v>0</v>
      </c>
      <c r="P232" s="128">
        <f>VLOOKUP(E232,Modificaciones!$B$7:$Q$300,16,0)</f>
        <v>0</v>
      </c>
      <c r="Q232" s="129">
        <f>COUNTA(Modificaciones!S232,Modificaciones!U232,Modificaciones!W232,Modificaciones!Y232)</f>
        <v>0</v>
      </c>
      <c r="R232" s="130" t="str">
        <f>IF(Modificaciones!Z232=0,"",VLOOKUP(E232,Modificaciones!$B$7:$AA$400,25,0))</f>
        <v/>
      </c>
      <c r="S232" s="131" t="str">
        <f>IF(Modificaciones!AA232=0,"",VLOOKUP(E232,Modificaciones!$B$7:$AA$400,26,0))</f>
        <v/>
      </c>
      <c r="T232" s="126">
        <f t="shared" si="37"/>
        <v>42258</v>
      </c>
      <c r="U232" s="62">
        <f t="shared" si="39"/>
        <v>936000</v>
      </c>
      <c r="V232" s="172">
        <f>VLOOKUP(E232,Modificaciones!$B$7:$AU$300,46,0)</f>
        <v>936000</v>
      </c>
      <c r="W232" s="93">
        <f t="shared" si="40"/>
        <v>0</v>
      </c>
      <c r="X232" s="314" t="s">
        <v>1201</v>
      </c>
      <c r="Y232" s="42">
        <f t="shared" si="41"/>
        <v>1</v>
      </c>
      <c r="Z232" s="42">
        <f t="shared" ca="1" si="42"/>
        <v>1</v>
      </c>
      <c r="AA232" s="45">
        <f t="shared" ca="1" si="43"/>
        <v>0</v>
      </c>
      <c r="AB232" s="202" t="str">
        <f t="shared" ca="1" si="44"/>
        <v/>
      </c>
      <c r="AC232" s="44" t="str">
        <f t="shared" si="48"/>
        <v>SI</v>
      </c>
      <c r="AD232" s="44"/>
      <c r="AE232" s="173" t="s">
        <v>1256</v>
      </c>
      <c r="AF232" s="301" t="s">
        <v>1125</v>
      </c>
      <c r="AG232" s="173" t="s">
        <v>1430</v>
      </c>
      <c r="AH232" s="281" t="s">
        <v>564</v>
      </c>
      <c r="AI232" s="174" t="s">
        <v>2167</v>
      </c>
      <c r="AJ232" s="174" t="s">
        <v>954</v>
      </c>
      <c r="AK232" s="181" t="str">
        <f t="shared" ca="1" si="46"/>
        <v>TERMINO</v>
      </c>
      <c r="AL232" s="181" t="s">
        <v>582</v>
      </c>
      <c r="AM232" s="176" t="s">
        <v>390</v>
      </c>
      <c r="AN232" s="848" t="str">
        <f>IFERROR(VLOOKUP(E232,'liquidaciones '!$B$2:$C$1048576,2,0),"NO")</f>
        <v>LIQUIDADO</v>
      </c>
      <c r="AO232" s="944">
        <f>IFERROR(VLOOKUP(E232,'liquidaciones '!$B$2:$I$1048576,8,0),"")</f>
        <v>0</v>
      </c>
      <c r="AP232" s="338">
        <v>42377</v>
      </c>
      <c r="AQ232" s="177" t="str">
        <f t="shared" ca="1" si="49"/>
        <v>NO</v>
      </c>
      <c r="AR232" s="177" t="s">
        <v>1510</v>
      </c>
      <c r="AS232" s="433"/>
      <c r="AT232" s="964"/>
      <c r="AU232" s="964"/>
      <c r="AV232" s="964"/>
    </row>
    <row r="233" spans="2:48" ht="47.25" customHeight="1" x14ac:dyDescent="0.25">
      <c r="B233" s="15">
        <v>227</v>
      </c>
      <c r="C233" s="437"/>
      <c r="D233" s="437" t="str">
        <f t="shared" si="38"/>
        <v>2014</v>
      </c>
      <c r="E233" s="344" t="s">
        <v>551</v>
      </c>
      <c r="F233" s="132" t="s">
        <v>29</v>
      </c>
      <c r="G233" s="133">
        <v>860536029</v>
      </c>
      <c r="H233" s="997" t="s">
        <v>1001</v>
      </c>
      <c r="I233" s="166">
        <v>855000</v>
      </c>
      <c r="J233" s="769" t="s">
        <v>551</v>
      </c>
      <c r="K233" s="167">
        <v>2014</v>
      </c>
      <c r="L233" s="546" t="s">
        <v>1088</v>
      </c>
      <c r="M233" s="168">
        <v>41896</v>
      </c>
      <c r="N233" s="168">
        <v>42261</v>
      </c>
      <c r="O233" s="127">
        <f>COUNTA(Modificaciones!I233,Modificaciones!K233,Modificaciones!M233,Modificaciones!O233)</f>
        <v>0</v>
      </c>
      <c r="P233" s="128">
        <f>VLOOKUP(E233,Modificaciones!$B$7:$Q$300,16,0)</f>
        <v>0</v>
      </c>
      <c r="Q233" s="129">
        <f>COUNTA(Modificaciones!S233,Modificaciones!U233,Modificaciones!W233,Modificaciones!Y233)</f>
        <v>0</v>
      </c>
      <c r="R233" s="130" t="str">
        <f>IF(Modificaciones!Z233=0,"",VLOOKUP(E233,Modificaciones!$B$7:$AA$400,25,0))</f>
        <v/>
      </c>
      <c r="S233" s="131" t="str">
        <f>IF(Modificaciones!AA233=0,"",VLOOKUP(E233,Modificaciones!$B$7:$AA$400,26,0))</f>
        <v/>
      </c>
      <c r="T233" s="7">
        <f t="shared" si="37"/>
        <v>42261</v>
      </c>
      <c r="U233" s="62">
        <f t="shared" si="39"/>
        <v>855000</v>
      </c>
      <c r="V233" s="172">
        <f>VLOOKUP(E233,Modificaciones!$B$7:$AU$300,46,0)</f>
        <v>855000</v>
      </c>
      <c r="W233" s="93">
        <f t="shared" si="40"/>
        <v>0</v>
      </c>
      <c r="X233" s="314" t="s">
        <v>1202</v>
      </c>
      <c r="Y233" s="42">
        <f t="shared" si="41"/>
        <v>1</v>
      </c>
      <c r="Z233" s="42">
        <f t="shared" ca="1" si="42"/>
        <v>1</v>
      </c>
      <c r="AA233" s="45">
        <f t="shared" ca="1" si="43"/>
        <v>0</v>
      </c>
      <c r="AB233" s="202" t="str">
        <f t="shared" ca="1" si="44"/>
        <v/>
      </c>
      <c r="AC233" s="44" t="str">
        <f t="shared" si="48"/>
        <v>SI</v>
      </c>
      <c r="AD233" s="44"/>
      <c r="AE233" s="173" t="s">
        <v>1256</v>
      </c>
      <c r="AF233" s="301" t="s">
        <v>1125</v>
      </c>
      <c r="AG233" s="173" t="s">
        <v>1430</v>
      </c>
      <c r="AH233" s="281" t="s">
        <v>564</v>
      </c>
      <c r="AI233" s="174" t="s">
        <v>2167</v>
      </c>
      <c r="AJ233" s="174" t="s">
        <v>954</v>
      </c>
      <c r="AK233" s="181" t="str">
        <f t="shared" ca="1" si="46"/>
        <v>TERMINO</v>
      </c>
      <c r="AL233" s="181" t="s">
        <v>582</v>
      </c>
      <c r="AM233" s="176" t="s">
        <v>390</v>
      </c>
      <c r="AN233" s="848" t="str">
        <f>IFERROR(VLOOKUP(E233,'liquidaciones '!$B$2:$C$1048576,2,0),"NO")</f>
        <v>LIQUIDADO</v>
      </c>
      <c r="AO233" s="944">
        <f>IFERROR(VLOOKUP(E233,'liquidaciones '!$B$2:$I$1048576,8,0),"")</f>
        <v>0</v>
      </c>
      <c r="AP233" s="338">
        <v>42318</v>
      </c>
      <c r="AQ233" s="177" t="str">
        <f t="shared" ca="1" si="49"/>
        <v>NO</v>
      </c>
      <c r="AR233" s="177" t="s">
        <v>1510</v>
      </c>
      <c r="AS233" s="433"/>
      <c r="AT233" s="964"/>
      <c r="AU233" s="964"/>
      <c r="AV233" s="964"/>
    </row>
    <row r="234" spans="2:48" ht="47.25" customHeight="1" x14ac:dyDescent="0.25">
      <c r="B234" s="15">
        <v>228</v>
      </c>
      <c r="C234" s="437"/>
      <c r="D234" s="437" t="str">
        <f t="shared" si="38"/>
        <v>2014</v>
      </c>
      <c r="E234" s="344" t="s">
        <v>553</v>
      </c>
      <c r="F234" s="164" t="s">
        <v>554</v>
      </c>
      <c r="G234" s="165">
        <v>830144875</v>
      </c>
      <c r="H234" s="997" t="s">
        <v>1002</v>
      </c>
      <c r="I234" s="166">
        <v>19356282</v>
      </c>
      <c r="J234" s="134" t="s">
        <v>1088</v>
      </c>
      <c r="K234" s="167">
        <v>2014</v>
      </c>
      <c r="L234" s="546" t="s">
        <v>1088</v>
      </c>
      <c r="M234" s="168">
        <v>41887</v>
      </c>
      <c r="N234" s="168">
        <v>42009</v>
      </c>
      <c r="O234" s="127">
        <f>COUNTA(Modificaciones!I234,Modificaciones!K234,Modificaciones!M234,Modificaciones!O234)</f>
        <v>0</v>
      </c>
      <c r="P234" s="128">
        <f>VLOOKUP(E234,Modificaciones!$B$7:$Q$300,16,0)</f>
        <v>0</v>
      </c>
      <c r="Q234" s="129">
        <f>COUNTA(Modificaciones!S234,Modificaciones!U234,Modificaciones!W234,Modificaciones!Y234)</f>
        <v>0</v>
      </c>
      <c r="R234" s="130" t="str">
        <f>IF(Modificaciones!Z234=0,"",VLOOKUP(E234,Modificaciones!$B$7:$AA$400,25,0))</f>
        <v/>
      </c>
      <c r="S234" s="131" t="str">
        <f>IF(Modificaciones!AA234=0,"",VLOOKUP(E234,Modificaciones!$B$7:$AA$400,26,0))</f>
        <v/>
      </c>
      <c r="T234" s="7">
        <f t="shared" si="37"/>
        <v>42009</v>
      </c>
      <c r="U234" s="62">
        <f t="shared" si="39"/>
        <v>19356282</v>
      </c>
      <c r="V234" s="172">
        <f>VLOOKUP(E234,Modificaciones!$B$7:$AU$300,46,0)</f>
        <v>19356282</v>
      </c>
      <c r="W234" s="93">
        <f t="shared" si="40"/>
        <v>0</v>
      </c>
      <c r="X234" s="314" t="s">
        <v>1203</v>
      </c>
      <c r="Y234" s="42">
        <f t="shared" si="41"/>
        <v>1</v>
      </c>
      <c r="Z234" s="42">
        <f t="shared" ca="1" si="42"/>
        <v>1</v>
      </c>
      <c r="AA234" s="45">
        <f t="shared" ca="1" si="43"/>
        <v>0</v>
      </c>
      <c r="AB234" s="202" t="str">
        <f t="shared" ca="1" si="44"/>
        <v/>
      </c>
      <c r="AC234" s="44" t="str">
        <f t="shared" si="48"/>
        <v>SI</v>
      </c>
      <c r="AD234" s="44"/>
      <c r="AE234" s="173" t="s">
        <v>1256</v>
      </c>
      <c r="AF234" s="173" t="s">
        <v>1304</v>
      </c>
      <c r="AG234" s="173" t="s">
        <v>1435</v>
      </c>
      <c r="AH234" s="281" t="s">
        <v>560</v>
      </c>
      <c r="AI234" s="174" t="s">
        <v>1388</v>
      </c>
      <c r="AJ234" s="174" t="s">
        <v>954</v>
      </c>
      <c r="AK234" s="181" t="str">
        <f t="shared" ca="1" si="46"/>
        <v>TERMINO</v>
      </c>
      <c r="AL234" s="181" t="s">
        <v>582</v>
      </c>
      <c r="AM234" s="176" t="s">
        <v>390</v>
      </c>
      <c r="AN234" s="848" t="str">
        <f>IFERROR(VLOOKUP(E234,'liquidaciones '!$B$2:$C$1048576,2,0),"NO")</f>
        <v>LIQUIDADO</v>
      </c>
      <c r="AO234" s="944">
        <f>IFERROR(VLOOKUP(E234,'liquidaciones '!$B$2:$I$1048576,8,0),"")</f>
        <v>0</v>
      </c>
      <c r="AP234" s="338"/>
      <c r="AQ234" s="177" t="str">
        <f t="shared" ca="1" si="49"/>
        <v>NO</v>
      </c>
      <c r="AR234" s="177" t="s">
        <v>2390</v>
      </c>
      <c r="AS234" s="433"/>
      <c r="AT234" s="964"/>
      <c r="AU234" s="964"/>
      <c r="AV234" s="964"/>
    </row>
    <row r="235" spans="2:48" ht="47.25" customHeight="1" x14ac:dyDescent="0.25">
      <c r="B235" s="15">
        <v>229</v>
      </c>
      <c r="C235" s="437"/>
      <c r="D235" s="437" t="str">
        <f t="shared" si="38"/>
        <v>2014</v>
      </c>
      <c r="E235" s="344" t="s">
        <v>1329</v>
      </c>
      <c r="F235" s="164" t="s">
        <v>1020</v>
      </c>
      <c r="G235" s="133">
        <v>900169179</v>
      </c>
      <c r="H235" s="997" t="s">
        <v>1330</v>
      </c>
      <c r="I235" s="166">
        <v>810000</v>
      </c>
      <c r="J235" s="850" t="s">
        <v>2624</v>
      </c>
      <c r="K235" s="167">
        <v>2014</v>
      </c>
      <c r="L235" s="546" t="s">
        <v>1088</v>
      </c>
      <c r="M235" s="168">
        <v>41940</v>
      </c>
      <c r="N235" s="168">
        <v>42305</v>
      </c>
      <c r="O235" s="127">
        <f>COUNTA(Modificaciones!I235,Modificaciones!K235,Modificaciones!M235,Modificaciones!O235)</f>
        <v>0</v>
      </c>
      <c r="P235" s="128">
        <f>VLOOKUP(E235,Modificaciones!$B$7:$Q$300,16,0)</f>
        <v>0</v>
      </c>
      <c r="Q235" s="129">
        <f>COUNTA(Modificaciones!S235,Modificaciones!U235,Modificaciones!W235,Modificaciones!Y235)</f>
        <v>0</v>
      </c>
      <c r="R235" s="130" t="str">
        <f>IF(Modificaciones!Z235=0,"",VLOOKUP(E235,Modificaciones!$B$7:$AA$400,25,0))</f>
        <v/>
      </c>
      <c r="S235" s="131" t="str">
        <f>IF(Modificaciones!AA235=0,"",VLOOKUP(E235,Modificaciones!$B$7:$AA$400,26,0))</f>
        <v/>
      </c>
      <c r="T235" s="126">
        <f t="shared" si="37"/>
        <v>42305</v>
      </c>
      <c r="U235" s="62">
        <f t="shared" si="39"/>
        <v>810000</v>
      </c>
      <c r="V235" s="172">
        <f>VLOOKUP(E235,Modificaciones!$B$7:$AU$300,46,0)</f>
        <v>810000</v>
      </c>
      <c r="W235" s="93">
        <f t="shared" si="40"/>
        <v>0</v>
      </c>
      <c r="X235" s="314"/>
      <c r="Y235" s="42">
        <f t="shared" si="41"/>
        <v>1</v>
      </c>
      <c r="Z235" s="42">
        <f t="shared" ca="1" si="42"/>
        <v>1</v>
      </c>
      <c r="AA235" s="45">
        <f t="shared" ca="1" si="43"/>
        <v>0</v>
      </c>
      <c r="AB235" s="202" t="str">
        <f t="shared" ca="1" si="44"/>
        <v/>
      </c>
      <c r="AC235" s="44" t="str">
        <f t="shared" si="48"/>
        <v>SI</v>
      </c>
      <c r="AD235" s="44"/>
      <c r="AE235" s="173" t="s">
        <v>1256</v>
      </c>
      <c r="AF235" s="301" t="s">
        <v>1125</v>
      </c>
      <c r="AG235" s="173" t="s">
        <v>1430</v>
      </c>
      <c r="AH235" s="281" t="s">
        <v>564</v>
      </c>
      <c r="AI235" s="174" t="s">
        <v>2167</v>
      </c>
      <c r="AJ235" s="174" t="s">
        <v>954</v>
      </c>
      <c r="AK235" s="181" t="str">
        <f t="shared" ca="1" si="46"/>
        <v>TERMINO</v>
      </c>
      <c r="AL235" s="181" t="s">
        <v>582</v>
      </c>
      <c r="AM235" s="176" t="s">
        <v>390</v>
      </c>
      <c r="AN235" s="848" t="str">
        <f>IFERROR(VLOOKUP(E235,'liquidaciones '!$B$2:$C$1048576,2,0),"NO")</f>
        <v>LIQUIDADO</v>
      </c>
      <c r="AO235" s="944">
        <f>IFERROR(VLOOKUP(E235,'liquidaciones '!$B$2:$I$1048576,8,0),"")</f>
        <v>0</v>
      </c>
      <c r="AP235" s="338">
        <v>42341</v>
      </c>
      <c r="AQ235" s="177" t="str">
        <f t="shared" ca="1" si="49"/>
        <v>NO</v>
      </c>
      <c r="AR235" s="177" t="s">
        <v>1607</v>
      </c>
      <c r="AS235" s="433"/>
      <c r="AT235" s="964"/>
      <c r="AU235" s="964"/>
      <c r="AV235" s="964"/>
    </row>
    <row r="236" spans="2:48" ht="47.25" customHeight="1" x14ac:dyDescent="0.25">
      <c r="B236" s="15">
        <v>230</v>
      </c>
      <c r="C236" s="437"/>
      <c r="D236" s="437" t="str">
        <f t="shared" si="38"/>
        <v>2014</v>
      </c>
      <c r="E236" s="344" t="s">
        <v>1336</v>
      </c>
      <c r="F236" s="164" t="s">
        <v>203</v>
      </c>
      <c r="G236" s="133">
        <v>860049921</v>
      </c>
      <c r="H236" s="997" t="s">
        <v>1337</v>
      </c>
      <c r="I236" s="166">
        <v>4621440</v>
      </c>
      <c r="J236" s="134" t="s">
        <v>1088</v>
      </c>
      <c r="K236" s="167">
        <v>2014</v>
      </c>
      <c r="L236" s="546" t="s">
        <v>1088</v>
      </c>
      <c r="M236" s="168">
        <v>41934</v>
      </c>
      <c r="N236" s="168">
        <v>42085</v>
      </c>
      <c r="O236" s="127">
        <f>COUNTA(Modificaciones!I236,Modificaciones!K236,Modificaciones!M236,Modificaciones!O236)</f>
        <v>0</v>
      </c>
      <c r="P236" s="128">
        <f>VLOOKUP(E236,Modificaciones!$B$7:$Q$300,16,0)</f>
        <v>0</v>
      </c>
      <c r="Q236" s="129">
        <f>COUNTA(Modificaciones!S236,Modificaciones!U236,Modificaciones!W236,Modificaciones!Y236)</f>
        <v>0</v>
      </c>
      <c r="R236" s="130" t="str">
        <f>IF(Modificaciones!Z236=0,"",VLOOKUP(E236,Modificaciones!$B$7:$AA$400,25,0))</f>
        <v/>
      </c>
      <c r="S236" s="131" t="str">
        <f>IF(Modificaciones!AA236=0,"",VLOOKUP(E236,Modificaciones!$B$7:$AA$400,26,0))</f>
        <v/>
      </c>
      <c r="T236" s="126">
        <f t="shared" si="37"/>
        <v>42085</v>
      </c>
      <c r="U236" s="62">
        <f t="shared" si="39"/>
        <v>4621440</v>
      </c>
      <c r="V236" s="172">
        <f>VLOOKUP(E236,Modificaciones!$B$7:$AU$300,46,0)</f>
        <v>4621440</v>
      </c>
      <c r="W236" s="93">
        <f t="shared" si="40"/>
        <v>0</v>
      </c>
      <c r="X236" s="314"/>
      <c r="Y236" s="42">
        <f t="shared" si="41"/>
        <v>1</v>
      </c>
      <c r="Z236" s="42">
        <f t="shared" ca="1" si="42"/>
        <v>1</v>
      </c>
      <c r="AA236" s="45">
        <f t="shared" ca="1" si="43"/>
        <v>0</v>
      </c>
      <c r="AB236" s="202" t="str">
        <f t="shared" ca="1" si="44"/>
        <v/>
      </c>
      <c r="AC236" s="44" t="str">
        <f t="shared" si="48"/>
        <v>SI</v>
      </c>
      <c r="AD236" s="44"/>
      <c r="AE236" s="173" t="s">
        <v>1256</v>
      </c>
      <c r="AF236" s="301" t="s">
        <v>1350</v>
      </c>
      <c r="AG236" s="173" t="s">
        <v>1431</v>
      </c>
      <c r="AH236" s="281" t="s">
        <v>563</v>
      </c>
      <c r="AI236" s="174"/>
      <c r="AJ236" s="174" t="s">
        <v>954</v>
      </c>
      <c r="AK236" s="181" t="str">
        <f t="shared" ca="1" si="46"/>
        <v>TERMINO</v>
      </c>
      <c r="AL236" s="181" t="s">
        <v>582</v>
      </c>
      <c r="AM236" s="176" t="s">
        <v>390</v>
      </c>
      <c r="AN236" s="848" t="str">
        <f>IFERROR(VLOOKUP(E236,'liquidaciones '!$B$2:$C$1048576,2,0),"NO")</f>
        <v>LIQUIDADO</v>
      </c>
      <c r="AO236" s="944">
        <f>IFERROR(VLOOKUP(E236,'liquidaciones '!$B$2:$I$1048576,8,0),"")</f>
        <v>0</v>
      </c>
      <c r="AP236" s="338"/>
      <c r="AQ236" s="177" t="str">
        <f t="shared" ca="1" si="49"/>
        <v>NO</v>
      </c>
      <c r="AR236" s="177" t="s">
        <v>1570</v>
      </c>
      <c r="AS236" s="433"/>
      <c r="AT236" s="964"/>
      <c r="AU236" s="964"/>
      <c r="AV236" s="964"/>
    </row>
    <row r="237" spans="2:48" ht="47.25" customHeight="1" x14ac:dyDescent="0.25">
      <c r="B237" s="15">
        <v>231</v>
      </c>
      <c r="C237" s="437"/>
      <c r="D237" s="437" t="str">
        <f t="shared" si="38"/>
        <v>2014</v>
      </c>
      <c r="E237" s="344" t="s">
        <v>1160</v>
      </c>
      <c r="F237" s="164" t="s">
        <v>1161</v>
      </c>
      <c r="G237" s="165">
        <v>800180176</v>
      </c>
      <c r="H237" s="997" t="s">
        <v>1769</v>
      </c>
      <c r="I237" s="166">
        <v>41850000</v>
      </c>
      <c r="J237" s="134" t="s">
        <v>1088</v>
      </c>
      <c r="K237" s="167">
        <v>2014</v>
      </c>
      <c r="L237" s="546" t="s">
        <v>1088</v>
      </c>
      <c r="M237" s="168">
        <v>41926</v>
      </c>
      <c r="N237" s="168">
        <v>42138</v>
      </c>
      <c r="O237" s="127">
        <f>COUNTA(Modificaciones!I237,Modificaciones!K237,Modificaciones!M237,Modificaciones!O237)</f>
        <v>0</v>
      </c>
      <c r="P237" s="128">
        <f>VLOOKUP(E237,Modificaciones!$B$7:$Q$300,16,0)</f>
        <v>0</v>
      </c>
      <c r="Q237" s="129">
        <f>COUNTA(Modificaciones!S237,Modificaciones!U237,Modificaciones!W237,Modificaciones!Y237)</f>
        <v>0</v>
      </c>
      <c r="R237" s="130" t="str">
        <f>IF(Modificaciones!Z237=0,"",VLOOKUP(E237,Modificaciones!$B$7:$AA$400,25,0))</f>
        <v/>
      </c>
      <c r="S237" s="131" t="str">
        <f>IF(Modificaciones!AA237=0,"",VLOOKUP(E237,Modificaciones!$B$7:$AA$400,26,0))</f>
        <v/>
      </c>
      <c r="T237" s="126">
        <f t="shared" si="37"/>
        <v>42138</v>
      </c>
      <c r="U237" s="62">
        <f t="shared" si="39"/>
        <v>41850000</v>
      </c>
      <c r="V237" s="172">
        <f>VLOOKUP(E237,Modificaciones!$B$7:$AU$300,46,0)</f>
        <v>26363000</v>
      </c>
      <c r="W237" s="93">
        <f t="shared" si="40"/>
        <v>15487000</v>
      </c>
      <c r="X237" s="314" t="s">
        <v>1204</v>
      </c>
      <c r="Y237" s="42">
        <f t="shared" si="41"/>
        <v>0.6299402628434887</v>
      </c>
      <c r="Z237" s="42">
        <f t="shared" ca="1" si="42"/>
        <v>1</v>
      </c>
      <c r="AA237" s="45">
        <f t="shared" ca="1" si="43"/>
        <v>0.3700597371565113</v>
      </c>
      <c r="AB237" s="202" t="str">
        <f t="shared" ca="1" si="44"/>
        <v/>
      </c>
      <c r="AC237" s="44" t="str">
        <f t="shared" si="48"/>
        <v>NO</v>
      </c>
      <c r="AD237" s="44"/>
      <c r="AE237" s="173" t="s">
        <v>1256</v>
      </c>
      <c r="AF237" s="301" t="s">
        <v>1175</v>
      </c>
      <c r="AG237" s="173" t="s">
        <v>1435</v>
      </c>
      <c r="AH237" s="281" t="s">
        <v>560</v>
      </c>
      <c r="AI237" s="174" t="s">
        <v>1389</v>
      </c>
      <c r="AJ237" s="174" t="s">
        <v>954</v>
      </c>
      <c r="AK237" s="181" t="str">
        <f t="shared" ca="1" si="46"/>
        <v>TERMINO</v>
      </c>
      <c r="AL237" s="173" t="s">
        <v>577</v>
      </c>
      <c r="AM237" s="176" t="s">
        <v>390</v>
      </c>
      <c r="AN237" s="848" t="str">
        <f>IFERROR(VLOOKUP(E237,'liquidaciones '!$B$2:$C$1048576,2,0),"NO")</f>
        <v>LIQUIDADO</v>
      </c>
      <c r="AO237" s="944">
        <f>IFERROR(VLOOKUP(E237,'liquidaciones '!$B$2:$I$1048576,8,0),"")</f>
        <v>0</v>
      </c>
      <c r="AP237" s="338"/>
      <c r="AQ237" s="177" t="str">
        <f t="shared" ca="1" si="49"/>
        <v>NO</v>
      </c>
      <c r="AR237" s="177" t="s">
        <v>2390</v>
      </c>
      <c r="AS237" s="433"/>
      <c r="AT237" s="964"/>
      <c r="AU237" s="964"/>
      <c r="AV237" s="964"/>
    </row>
    <row r="238" spans="2:48" ht="47.25" customHeight="1" x14ac:dyDescent="0.25">
      <c r="B238" s="15">
        <v>232</v>
      </c>
      <c r="C238" s="437"/>
      <c r="D238" s="437" t="str">
        <f t="shared" si="38"/>
        <v>2014</v>
      </c>
      <c r="E238" s="344" t="s">
        <v>555</v>
      </c>
      <c r="F238" s="164" t="s">
        <v>1067</v>
      </c>
      <c r="G238" s="165">
        <v>52857895</v>
      </c>
      <c r="H238" s="997" t="s">
        <v>1003</v>
      </c>
      <c r="I238" s="166">
        <v>25000000</v>
      </c>
      <c r="J238" s="134" t="s">
        <v>1088</v>
      </c>
      <c r="K238" s="167">
        <v>2014</v>
      </c>
      <c r="L238" s="546" t="s">
        <v>1088</v>
      </c>
      <c r="M238" s="168">
        <v>41891</v>
      </c>
      <c r="N238" s="168">
        <v>42013</v>
      </c>
      <c r="O238" s="127">
        <f>COUNTA(Modificaciones!I238,Modificaciones!K238,Modificaciones!M238,Modificaciones!O238)</f>
        <v>0</v>
      </c>
      <c r="P238" s="128">
        <f>VLOOKUP(E238,Modificaciones!$B$7:$Q$300,16,0)</f>
        <v>0</v>
      </c>
      <c r="Q238" s="129">
        <f>COUNTA(Modificaciones!S238,Modificaciones!U238,Modificaciones!W238,Modificaciones!Y238)</f>
        <v>0</v>
      </c>
      <c r="R238" s="130" t="str">
        <f>IF(Modificaciones!Z238=0,"",VLOOKUP(E238,Modificaciones!$B$7:$AA$400,25,0))</f>
        <v/>
      </c>
      <c r="S238" s="131" t="str">
        <f>IF(Modificaciones!AA238=0,"",VLOOKUP(E238,Modificaciones!$B$7:$AA$400,26,0))</f>
        <v/>
      </c>
      <c r="T238" s="7">
        <f t="shared" si="37"/>
        <v>42013</v>
      </c>
      <c r="U238" s="62">
        <f t="shared" si="39"/>
        <v>25000000</v>
      </c>
      <c r="V238" s="172">
        <f>VLOOKUP(E238,Modificaciones!$B$7:$AU$300,46,0)</f>
        <v>25000000</v>
      </c>
      <c r="W238" s="93">
        <f t="shared" si="40"/>
        <v>0</v>
      </c>
      <c r="X238" s="314" t="s">
        <v>1275</v>
      </c>
      <c r="Y238" s="42">
        <f t="shared" si="41"/>
        <v>1</v>
      </c>
      <c r="Z238" s="42">
        <f t="shared" ca="1" si="42"/>
        <v>1</v>
      </c>
      <c r="AA238" s="45">
        <f t="shared" ca="1" si="43"/>
        <v>0</v>
      </c>
      <c r="AB238" s="202" t="str">
        <f t="shared" ca="1" si="44"/>
        <v/>
      </c>
      <c r="AC238" s="44" t="str">
        <f t="shared" si="48"/>
        <v>SI</v>
      </c>
      <c r="AD238" s="44"/>
      <c r="AE238" s="173" t="s">
        <v>1256</v>
      </c>
      <c r="AF238" s="301" t="s">
        <v>1131</v>
      </c>
      <c r="AG238" s="173" t="s">
        <v>1177</v>
      </c>
      <c r="AH238" s="281" t="s">
        <v>559</v>
      </c>
      <c r="AI238" s="174"/>
      <c r="AJ238" s="174" t="s">
        <v>954</v>
      </c>
      <c r="AK238" s="181" t="str">
        <f t="shared" ca="1" si="46"/>
        <v>TERMINO</v>
      </c>
      <c r="AL238" s="181" t="s">
        <v>582</v>
      </c>
      <c r="AM238" s="176" t="s">
        <v>391</v>
      </c>
      <c r="AN238" s="848" t="str">
        <f>IFERROR(VLOOKUP(E238,'liquidaciones '!$B$2:$C$1048576,2,0),"NO")</f>
        <v>LIQUIDADO</v>
      </c>
      <c r="AO238" s="944">
        <f>IFERROR(VLOOKUP(E238,'liquidaciones '!$B$2:$I$1048576,8,0),"")</f>
        <v>0</v>
      </c>
      <c r="AP238" s="338">
        <v>42145</v>
      </c>
      <c r="AQ238" s="177" t="str">
        <f t="shared" ca="1" si="49"/>
        <v>NO</v>
      </c>
      <c r="AR238" s="177" t="s">
        <v>981</v>
      </c>
      <c r="AS238" s="433"/>
      <c r="AT238" s="964"/>
      <c r="AU238" s="964"/>
      <c r="AV238" s="964"/>
    </row>
    <row r="239" spans="2:48" ht="47.25" customHeight="1" x14ac:dyDescent="0.25">
      <c r="B239" s="15">
        <v>233</v>
      </c>
      <c r="C239" s="437"/>
      <c r="D239" s="437" t="str">
        <f t="shared" si="38"/>
        <v>2014</v>
      </c>
      <c r="E239" s="344" t="s">
        <v>556</v>
      </c>
      <c r="F239" s="164" t="s">
        <v>1004</v>
      </c>
      <c r="G239" s="165">
        <v>1026250449</v>
      </c>
      <c r="H239" s="997" t="s">
        <v>557</v>
      </c>
      <c r="I239" s="166">
        <v>25000000</v>
      </c>
      <c r="J239" s="134" t="s">
        <v>1088</v>
      </c>
      <c r="K239" s="167">
        <v>2014</v>
      </c>
      <c r="L239" s="546" t="s">
        <v>1088</v>
      </c>
      <c r="M239" s="168">
        <v>41893</v>
      </c>
      <c r="N239" s="168">
        <v>42046</v>
      </c>
      <c r="O239" s="127">
        <f>COUNTA(Modificaciones!I239,Modificaciones!K239,Modificaciones!M239,Modificaciones!O239)</f>
        <v>0</v>
      </c>
      <c r="P239" s="128">
        <f>VLOOKUP(E239,Modificaciones!$B$7:$Q$300,16,0)</f>
        <v>0</v>
      </c>
      <c r="Q239" s="129">
        <f>COUNTA(Modificaciones!S239,Modificaciones!U239,Modificaciones!W239,Modificaciones!Y239)</f>
        <v>0</v>
      </c>
      <c r="R239" s="130" t="str">
        <f>IF(Modificaciones!Z239=0,"",VLOOKUP(E239,Modificaciones!$B$7:$AA$400,25,0))</f>
        <v/>
      </c>
      <c r="S239" s="131" t="str">
        <f>IF(Modificaciones!AA239=0,"",VLOOKUP(E239,Modificaciones!$B$7:$AA$400,26,0))</f>
        <v/>
      </c>
      <c r="T239" s="7">
        <f t="shared" si="37"/>
        <v>42046</v>
      </c>
      <c r="U239" s="62">
        <f t="shared" si="39"/>
        <v>25000000</v>
      </c>
      <c r="V239" s="172">
        <f>VLOOKUP(E239,Modificaciones!$B$7:$AU$300,46,0)</f>
        <v>25000000</v>
      </c>
      <c r="W239" s="93">
        <f t="shared" si="40"/>
        <v>0</v>
      </c>
      <c r="X239" s="314" t="s">
        <v>1274</v>
      </c>
      <c r="Y239" s="42">
        <f t="shared" si="41"/>
        <v>1</v>
      </c>
      <c r="Z239" s="42">
        <f t="shared" ca="1" si="42"/>
        <v>1</v>
      </c>
      <c r="AA239" s="43">
        <f t="shared" ca="1" si="43"/>
        <v>0</v>
      </c>
      <c r="AB239" s="202" t="str">
        <f t="shared" ca="1" si="44"/>
        <v/>
      </c>
      <c r="AC239" s="44" t="str">
        <f t="shared" si="48"/>
        <v>SI</v>
      </c>
      <c r="AD239" s="44"/>
      <c r="AE239" s="173" t="s">
        <v>1256</v>
      </c>
      <c r="AF239" s="301" t="s">
        <v>1131</v>
      </c>
      <c r="AG239" s="173" t="s">
        <v>1177</v>
      </c>
      <c r="AH239" s="281" t="s">
        <v>559</v>
      </c>
      <c r="AI239" s="174"/>
      <c r="AJ239" s="174" t="s">
        <v>954</v>
      </c>
      <c r="AK239" s="181" t="str">
        <f t="shared" ca="1" si="46"/>
        <v>TERMINO</v>
      </c>
      <c r="AL239" s="181" t="s">
        <v>582</v>
      </c>
      <c r="AM239" s="176" t="s">
        <v>391</v>
      </c>
      <c r="AN239" s="848" t="str">
        <f>IFERROR(VLOOKUP(E239,'liquidaciones '!$B$2:$C$1048576,2,0),"NO")</f>
        <v>LIQUIDADO</v>
      </c>
      <c r="AO239" s="944">
        <f>IFERROR(VLOOKUP(E239,'liquidaciones '!$B$2:$I$1048576,8,0),"")</f>
        <v>0</v>
      </c>
      <c r="AP239" s="338">
        <v>42254</v>
      </c>
      <c r="AQ239" s="177" t="str">
        <f t="shared" ca="1" si="49"/>
        <v>NO</v>
      </c>
      <c r="AR239" s="177" t="s">
        <v>981</v>
      </c>
      <c r="AS239" s="433"/>
      <c r="AT239" s="964"/>
      <c r="AU239" s="964"/>
      <c r="AV239" s="964"/>
    </row>
    <row r="240" spans="2:48" ht="65.25" customHeight="1" x14ac:dyDescent="0.25">
      <c r="B240" s="15">
        <v>234</v>
      </c>
      <c r="C240" s="437"/>
      <c r="D240" s="437" t="str">
        <f t="shared" si="38"/>
        <v>2014</v>
      </c>
      <c r="E240" s="344" t="s">
        <v>1157</v>
      </c>
      <c r="F240" s="132" t="s">
        <v>186</v>
      </c>
      <c r="G240" s="133">
        <v>800039398</v>
      </c>
      <c r="H240" s="997" t="s">
        <v>1316</v>
      </c>
      <c r="I240" s="166">
        <v>311460000</v>
      </c>
      <c r="J240" s="850" t="s">
        <v>2618</v>
      </c>
      <c r="K240" s="167">
        <v>2014</v>
      </c>
      <c r="L240" s="546" t="s">
        <v>1088</v>
      </c>
      <c r="M240" s="168">
        <v>41907</v>
      </c>
      <c r="N240" s="168">
        <v>41996</v>
      </c>
      <c r="O240" s="127">
        <f>COUNTA(Modificaciones!I240,Modificaciones!K240,Modificaciones!M240,Modificaciones!O240)</f>
        <v>0</v>
      </c>
      <c r="P240" s="128">
        <f>VLOOKUP(E240,Modificaciones!$B$7:$Q$300,16,0)</f>
        <v>0</v>
      </c>
      <c r="Q240" s="129">
        <f>COUNTA(Modificaciones!S240,Modificaciones!U240,Modificaciones!W240,Modificaciones!Y240)</f>
        <v>0</v>
      </c>
      <c r="R240" s="130" t="str">
        <f>IF(Modificaciones!Z240=0,"",VLOOKUP(E240,Modificaciones!$B$7:$AA$400,25,0))</f>
        <v/>
      </c>
      <c r="S240" s="131" t="str">
        <f>IF(Modificaciones!AA240=0,"",VLOOKUP(E240,Modificaciones!$B$7:$AA$400,26,0))</f>
        <v/>
      </c>
      <c r="T240" s="126">
        <f t="shared" si="37"/>
        <v>41996</v>
      </c>
      <c r="U240" s="62">
        <f t="shared" si="39"/>
        <v>311460000</v>
      </c>
      <c r="V240" s="172">
        <f>VLOOKUP(E240,Modificaciones!$B$7:$AU$300,46,0)</f>
        <v>311460000</v>
      </c>
      <c r="W240" s="93">
        <f t="shared" si="40"/>
        <v>0</v>
      </c>
      <c r="X240" s="314" t="s">
        <v>5008</v>
      </c>
      <c r="Y240" s="42">
        <f t="shared" si="41"/>
        <v>1</v>
      </c>
      <c r="Z240" s="42">
        <f t="shared" ca="1" si="42"/>
        <v>1</v>
      </c>
      <c r="AA240" s="43">
        <f t="shared" ca="1" si="43"/>
        <v>0</v>
      </c>
      <c r="AB240" s="202" t="str">
        <f t="shared" ca="1" si="44"/>
        <v/>
      </c>
      <c r="AC240" s="44" t="str">
        <f t="shared" si="48"/>
        <v>SI</v>
      </c>
      <c r="AD240" s="44"/>
      <c r="AE240" s="173" t="s">
        <v>1257</v>
      </c>
      <c r="AF240" s="301" t="s">
        <v>1317</v>
      </c>
      <c r="AG240" s="173" t="s">
        <v>1439</v>
      </c>
      <c r="AH240" s="281" t="s">
        <v>560</v>
      </c>
      <c r="AI240" s="174" t="s">
        <v>1509</v>
      </c>
      <c r="AJ240" s="174" t="s">
        <v>954</v>
      </c>
      <c r="AK240" s="181" t="str">
        <f t="shared" ca="1" si="46"/>
        <v>TERMINO</v>
      </c>
      <c r="AL240" s="173" t="s">
        <v>575</v>
      </c>
      <c r="AM240" s="176" t="s">
        <v>390</v>
      </c>
      <c r="AN240" s="848" t="str">
        <f>IFERROR(VLOOKUP(E240,'liquidaciones '!$B$2:$C$1048576,2,0),"NO")</f>
        <v>LIQUIDADO</v>
      </c>
      <c r="AO240" s="944">
        <f>IFERROR(VLOOKUP(E240,'liquidaciones '!$B$2:$I$1048576,8,0),"")</f>
        <v>0</v>
      </c>
      <c r="AP240" s="338">
        <v>42298</v>
      </c>
      <c r="AQ240" s="177" t="str">
        <f t="shared" ca="1" si="49"/>
        <v>NO</v>
      </c>
      <c r="AR240" s="177" t="s">
        <v>981</v>
      </c>
      <c r="AS240" s="433"/>
      <c r="AT240" s="964"/>
      <c r="AU240" s="964"/>
      <c r="AV240" s="964"/>
    </row>
    <row r="241" spans="2:48" ht="47.25" customHeight="1" x14ac:dyDescent="0.25">
      <c r="B241" s="15">
        <v>235</v>
      </c>
      <c r="C241" s="437"/>
      <c r="D241" s="437" t="str">
        <f t="shared" si="38"/>
        <v>2014</v>
      </c>
      <c r="E241" s="346" t="s">
        <v>1069</v>
      </c>
      <c r="F241" s="132" t="s">
        <v>1070</v>
      </c>
      <c r="G241" s="165">
        <v>1073156298</v>
      </c>
      <c r="H241" s="993" t="s">
        <v>1074</v>
      </c>
      <c r="I241" s="166">
        <v>17500000</v>
      </c>
      <c r="J241" s="134" t="s">
        <v>1088</v>
      </c>
      <c r="K241" s="167">
        <v>2014</v>
      </c>
      <c r="L241" s="546" t="s">
        <v>1088</v>
      </c>
      <c r="M241" s="138">
        <v>41900</v>
      </c>
      <c r="N241" s="138">
        <v>42053</v>
      </c>
      <c r="O241" s="127">
        <f>COUNTA(Modificaciones!I241,Modificaciones!K241,Modificaciones!M241,Modificaciones!O241)</f>
        <v>0</v>
      </c>
      <c r="P241" s="128">
        <f>VLOOKUP(E241,Modificaciones!$B$7:$Q$300,16,0)</f>
        <v>0</v>
      </c>
      <c r="Q241" s="129">
        <f>COUNTA(Modificaciones!S241,Modificaciones!U241,Modificaciones!W241,Modificaciones!Y241)</f>
        <v>0</v>
      </c>
      <c r="R241" s="130" t="str">
        <f>IF(Modificaciones!Z241=0,"",VLOOKUP(E241,Modificaciones!$B$7:$AA$400,25,0))</f>
        <v/>
      </c>
      <c r="S241" s="131" t="str">
        <f>IF(Modificaciones!AA241=0,"",VLOOKUP(E241,Modificaciones!$B$7:$AA$400,26,0))</f>
        <v/>
      </c>
      <c r="T241" s="126">
        <f t="shared" si="37"/>
        <v>42053</v>
      </c>
      <c r="U241" s="62">
        <f t="shared" si="39"/>
        <v>17500000</v>
      </c>
      <c r="V241" s="172">
        <f>VLOOKUP(E241,Modificaciones!$B$7:$AU$300,46,0)</f>
        <v>17500000</v>
      </c>
      <c r="W241" s="93">
        <f t="shared" si="40"/>
        <v>0</v>
      </c>
      <c r="X241" s="314" t="s">
        <v>1205</v>
      </c>
      <c r="Y241" s="42">
        <f t="shared" si="41"/>
        <v>1</v>
      </c>
      <c r="Z241" s="42">
        <f t="shared" ca="1" si="42"/>
        <v>1</v>
      </c>
      <c r="AA241" s="43">
        <f t="shared" ca="1" si="43"/>
        <v>0</v>
      </c>
      <c r="AB241" s="202" t="str">
        <f t="shared" ca="1" si="44"/>
        <v/>
      </c>
      <c r="AC241" s="44" t="str">
        <f t="shared" si="48"/>
        <v>SI</v>
      </c>
      <c r="AD241" s="44"/>
      <c r="AE241" s="173" t="s">
        <v>1256</v>
      </c>
      <c r="AF241" s="173" t="s">
        <v>1131</v>
      </c>
      <c r="AG241" s="173" t="s">
        <v>1177</v>
      </c>
      <c r="AH241" s="281" t="s">
        <v>559</v>
      </c>
      <c r="AI241" s="174"/>
      <c r="AJ241" s="174" t="s">
        <v>954</v>
      </c>
      <c r="AK241" s="181" t="str">
        <f t="shared" ca="1" si="46"/>
        <v>TERMINO</v>
      </c>
      <c r="AL241" s="181" t="s">
        <v>582</v>
      </c>
      <c r="AM241" s="176" t="s">
        <v>391</v>
      </c>
      <c r="AN241" s="848" t="str">
        <f>IFERROR(VLOOKUP(E241,'liquidaciones '!$B$2:$C$1048576,2,0),"NO")</f>
        <v>LIQUIDADO</v>
      </c>
      <c r="AO241" s="944">
        <f>IFERROR(VLOOKUP(E241,'liquidaciones '!$B$2:$I$1048576,8,0),"")</f>
        <v>0</v>
      </c>
      <c r="AP241" s="338">
        <v>42187</v>
      </c>
      <c r="AQ241" s="177" t="str">
        <f t="shared" ca="1" si="49"/>
        <v>NO</v>
      </c>
      <c r="AR241" s="177" t="s">
        <v>981</v>
      </c>
      <c r="AS241" s="433"/>
      <c r="AT241" s="964"/>
      <c r="AU241" s="964"/>
      <c r="AV241" s="964"/>
    </row>
    <row r="242" spans="2:48" ht="47.25" customHeight="1" x14ac:dyDescent="0.25">
      <c r="B242" s="15">
        <v>236</v>
      </c>
      <c r="C242" s="437"/>
      <c r="D242" s="437" t="str">
        <f t="shared" si="38"/>
        <v>2014</v>
      </c>
      <c r="E242" s="346" t="s">
        <v>1113</v>
      </c>
      <c r="F242" s="132" t="s">
        <v>1114</v>
      </c>
      <c r="G242" s="165">
        <v>830024826</v>
      </c>
      <c r="H242" s="993" t="s">
        <v>1115</v>
      </c>
      <c r="I242" s="166">
        <v>14153603</v>
      </c>
      <c r="J242" s="850" t="s">
        <v>4313</v>
      </c>
      <c r="K242" s="167">
        <v>2014</v>
      </c>
      <c r="L242" s="546" t="s">
        <v>1088</v>
      </c>
      <c r="M242" s="138">
        <v>41929</v>
      </c>
      <c r="N242" s="138">
        <v>42021</v>
      </c>
      <c r="O242" s="127">
        <f>COUNTA(Modificaciones!I242,Modificaciones!K242,Modificaciones!M242,Modificaciones!O242)</f>
        <v>0</v>
      </c>
      <c r="P242" s="128">
        <f>VLOOKUP(E242,Modificaciones!$B$7:$Q$300,16,0)</f>
        <v>0</v>
      </c>
      <c r="Q242" s="129">
        <f>COUNTA(Modificaciones!S242,Modificaciones!U242,Modificaciones!W242,Modificaciones!Y242)</f>
        <v>0</v>
      </c>
      <c r="R242" s="130" t="str">
        <f>IF(Modificaciones!Z242=0,"",VLOOKUP(E242,Modificaciones!$B$7:$AA$400,25,0))</f>
        <v/>
      </c>
      <c r="S242" s="131" t="str">
        <f>IF(Modificaciones!AA242=0,"",VLOOKUP(E242,Modificaciones!$B$7:$AA$400,26,0))</f>
        <v/>
      </c>
      <c r="T242" s="126">
        <f t="shared" si="37"/>
        <v>42021</v>
      </c>
      <c r="U242" s="62">
        <f t="shared" si="39"/>
        <v>14153603</v>
      </c>
      <c r="V242" s="172">
        <f>VLOOKUP(E242,Modificaciones!$B$7:$AU$300,46,0)</f>
        <v>14153603</v>
      </c>
      <c r="W242" s="93">
        <f t="shared" si="40"/>
        <v>0</v>
      </c>
      <c r="X242" s="314" t="s">
        <v>1206</v>
      </c>
      <c r="Y242" s="42">
        <f t="shared" si="41"/>
        <v>1</v>
      </c>
      <c r="Z242" s="42">
        <f t="shared" ca="1" si="42"/>
        <v>1</v>
      </c>
      <c r="AA242" s="43">
        <f t="shared" ca="1" si="43"/>
        <v>0</v>
      </c>
      <c r="AB242" s="202" t="str">
        <f t="shared" ca="1" si="44"/>
        <v/>
      </c>
      <c r="AC242" s="44" t="str">
        <f t="shared" si="48"/>
        <v>SI</v>
      </c>
      <c r="AD242" s="44"/>
      <c r="AE242" s="173" t="s">
        <v>1257</v>
      </c>
      <c r="AF242" s="301" t="s">
        <v>1176</v>
      </c>
      <c r="AG242" s="173" t="s">
        <v>1439</v>
      </c>
      <c r="AH242" s="281" t="s">
        <v>560</v>
      </c>
      <c r="AI242" s="174" t="s">
        <v>1509</v>
      </c>
      <c r="AJ242" s="174" t="s">
        <v>954</v>
      </c>
      <c r="AK242" s="181" t="str">
        <f t="shared" ca="1" si="46"/>
        <v>TERMINO</v>
      </c>
      <c r="AL242" s="173" t="s">
        <v>575</v>
      </c>
      <c r="AM242" s="176" t="s">
        <v>390</v>
      </c>
      <c r="AN242" s="848" t="str">
        <f>IFERROR(VLOOKUP(E242,'liquidaciones '!$B$2:$C$1048576,2,0),"NO")</f>
        <v>LIQUIDADO</v>
      </c>
      <c r="AO242" s="944">
        <f>IFERROR(VLOOKUP(E242,'liquidaciones '!$B$2:$I$1048576,8,0),"")</f>
        <v>0</v>
      </c>
      <c r="AP242" s="338">
        <v>42145</v>
      </c>
      <c r="AQ242" s="177" t="str">
        <f t="shared" ca="1" si="49"/>
        <v>NO</v>
      </c>
      <c r="AR242" s="177" t="s">
        <v>981</v>
      </c>
      <c r="AS242" s="433"/>
      <c r="AT242" s="964"/>
      <c r="AU242" s="964"/>
      <c r="AV242" s="964"/>
    </row>
    <row r="243" spans="2:48" ht="47.25" customHeight="1" x14ac:dyDescent="0.25">
      <c r="B243" s="15">
        <v>237</v>
      </c>
      <c r="C243" s="437"/>
      <c r="D243" s="437" t="str">
        <f t="shared" si="38"/>
        <v>2014</v>
      </c>
      <c r="E243" s="343" t="s">
        <v>1071</v>
      </c>
      <c r="F243" s="132" t="s">
        <v>1072</v>
      </c>
      <c r="G243" s="165">
        <v>1026269949</v>
      </c>
      <c r="H243" s="993" t="s">
        <v>1075</v>
      </c>
      <c r="I243" s="166">
        <v>10000000</v>
      </c>
      <c r="J243" s="134" t="s">
        <v>1088</v>
      </c>
      <c r="K243" s="167">
        <v>2014</v>
      </c>
      <c r="L243" s="546" t="s">
        <v>1088</v>
      </c>
      <c r="M243" s="138">
        <v>41911</v>
      </c>
      <c r="N243" s="138">
        <v>42033</v>
      </c>
      <c r="O243" s="127">
        <f>COUNTA(Modificaciones!I243,Modificaciones!K243,Modificaciones!M243,Modificaciones!O243)</f>
        <v>0</v>
      </c>
      <c r="P243" s="128">
        <f>VLOOKUP(E243,Modificaciones!$B$7:$Q$300,16,0)</f>
        <v>0</v>
      </c>
      <c r="Q243" s="129">
        <f>COUNTA(Modificaciones!S243,Modificaciones!U243,Modificaciones!W243,Modificaciones!Y243)</f>
        <v>0</v>
      </c>
      <c r="R243" s="130" t="str">
        <f>IF(Modificaciones!Z243=0,"",VLOOKUP(E243,Modificaciones!$B$7:$AA$400,25,0))</f>
        <v/>
      </c>
      <c r="S243" s="131" t="str">
        <f>IF(Modificaciones!AA243=0,"",VLOOKUP(E243,Modificaciones!$B$7:$AA$400,26,0))</f>
        <v/>
      </c>
      <c r="T243" s="126">
        <f t="shared" si="37"/>
        <v>42033</v>
      </c>
      <c r="U243" s="62">
        <f t="shared" si="39"/>
        <v>10000000</v>
      </c>
      <c r="V243" s="172">
        <f>VLOOKUP(E243,Modificaciones!$B$7:$AU$300,46,0)</f>
        <v>10000000</v>
      </c>
      <c r="W243" s="93">
        <f t="shared" si="40"/>
        <v>0</v>
      </c>
      <c r="X243" s="314" t="s">
        <v>1207</v>
      </c>
      <c r="Y243" s="42">
        <f t="shared" si="41"/>
        <v>1</v>
      </c>
      <c r="Z243" s="42">
        <f t="shared" ca="1" si="42"/>
        <v>1</v>
      </c>
      <c r="AA243" s="43">
        <f t="shared" ca="1" si="43"/>
        <v>0</v>
      </c>
      <c r="AB243" s="202" t="str">
        <f t="shared" ca="1" si="44"/>
        <v/>
      </c>
      <c r="AC243" s="44" t="str">
        <f t="shared" si="48"/>
        <v>SI</v>
      </c>
      <c r="AD243" s="44"/>
      <c r="AE243" s="173" t="s">
        <v>1256</v>
      </c>
      <c r="AF243" s="301" t="s">
        <v>1131</v>
      </c>
      <c r="AG243" s="173" t="s">
        <v>1177</v>
      </c>
      <c r="AH243" s="281" t="s">
        <v>559</v>
      </c>
      <c r="AI243" s="174"/>
      <c r="AJ243" s="174" t="s">
        <v>954</v>
      </c>
      <c r="AK243" s="181" t="str">
        <f t="shared" ca="1" si="46"/>
        <v>TERMINO</v>
      </c>
      <c r="AL243" s="181" t="s">
        <v>582</v>
      </c>
      <c r="AM243" s="176" t="s">
        <v>391</v>
      </c>
      <c r="AN243" s="848" t="str">
        <f>IFERROR(VLOOKUP(E243,'liquidaciones '!$B$2:$C$1048576,2,0),"NO")</f>
        <v>LIQUIDADO</v>
      </c>
      <c r="AO243" s="944">
        <f>IFERROR(VLOOKUP(E243,'liquidaciones '!$B$2:$I$1048576,8,0),"")</f>
        <v>0</v>
      </c>
      <c r="AP243" s="338">
        <v>42152</v>
      </c>
      <c r="AQ243" s="177" t="str">
        <f t="shared" ca="1" si="49"/>
        <v>NO</v>
      </c>
      <c r="AR243" s="177" t="s">
        <v>981</v>
      </c>
      <c r="AS243" s="433"/>
      <c r="AT243" s="964"/>
      <c r="AU243" s="964"/>
      <c r="AV243" s="964"/>
    </row>
    <row r="244" spans="2:48" ht="47.25" customHeight="1" x14ac:dyDescent="0.25">
      <c r="B244" s="15">
        <v>238</v>
      </c>
      <c r="C244" s="437"/>
      <c r="D244" s="437" t="str">
        <f t="shared" si="38"/>
        <v>2014</v>
      </c>
      <c r="E244" s="347" t="s">
        <v>1119</v>
      </c>
      <c r="F244" s="207" t="s">
        <v>1120</v>
      </c>
      <c r="G244" s="20">
        <v>900332071</v>
      </c>
      <c r="H244" s="999" t="s">
        <v>1770</v>
      </c>
      <c r="I244" s="209">
        <v>812500</v>
      </c>
      <c r="J244" s="134" t="s">
        <v>1088</v>
      </c>
      <c r="K244" s="167">
        <v>2014</v>
      </c>
      <c r="L244" s="546" t="s">
        <v>1088</v>
      </c>
      <c r="M244" s="308">
        <v>41928</v>
      </c>
      <c r="N244" s="308">
        <v>42004</v>
      </c>
      <c r="O244" s="127">
        <f>COUNTA(Modificaciones!I244,Modificaciones!K244,Modificaciones!M244,Modificaciones!O244)</f>
        <v>0</v>
      </c>
      <c r="P244" s="128">
        <f>VLOOKUP(E244,Modificaciones!$B$7:$Q$300,16,0)</f>
        <v>0</v>
      </c>
      <c r="Q244" s="129">
        <f>COUNTA(Modificaciones!S244,Modificaciones!U244,Modificaciones!W244,Modificaciones!Y244)</f>
        <v>0</v>
      </c>
      <c r="R244" s="130" t="str">
        <f>IF(Modificaciones!Z244=0,"",VLOOKUP(E244,Modificaciones!$B$7:$AA$400,25,0))</f>
        <v/>
      </c>
      <c r="S244" s="131" t="str">
        <f>IF(Modificaciones!AA244=0,"",VLOOKUP(E244,Modificaciones!$B$7:$AA$400,26,0))</f>
        <v/>
      </c>
      <c r="T244" s="126">
        <f t="shared" si="37"/>
        <v>42004</v>
      </c>
      <c r="U244" s="62">
        <f t="shared" si="39"/>
        <v>812500</v>
      </c>
      <c r="V244" s="172">
        <f>VLOOKUP(E244,Modificaciones!$B$7:$AU$300,46,0)</f>
        <v>812500</v>
      </c>
      <c r="W244" s="93">
        <f t="shared" si="40"/>
        <v>0</v>
      </c>
      <c r="X244" s="314"/>
      <c r="Y244" s="42">
        <f t="shared" si="41"/>
        <v>1</v>
      </c>
      <c r="Z244" s="42">
        <f t="shared" ca="1" si="42"/>
        <v>1</v>
      </c>
      <c r="AA244" s="43">
        <f t="shared" ca="1" si="43"/>
        <v>0</v>
      </c>
      <c r="AB244" s="202" t="str">
        <f t="shared" ca="1" si="44"/>
        <v/>
      </c>
      <c r="AC244" s="44" t="str">
        <f t="shared" si="48"/>
        <v>SI</v>
      </c>
      <c r="AD244" s="44"/>
      <c r="AE244" s="173" t="s">
        <v>1257</v>
      </c>
      <c r="AF244" s="301" t="s">
        <v>1471</v>
      </c>
      <c r="AG244" s="173" t="s">
        <v>1439</v>
      </c>
      <c r="AH244" s="281" t="s">
        <v>560</v>
      </c>
      <c r="AI244" s="174" t="s">
        <v>1509</v>
      </c>
      <c r="AJ244" s="174" t="s">
        <v>954</v>
      </c>
      <c r="AK244" s="181" t="str">
        <f t="shared" ca="1" si="46"/>
        <v>TERMINO</v>
      </c>
      <c r="AL244" s="181" t="s">
        <v>582</v>
      </c>
      <c r="AM244" s="176" t="s">
        <v>390</v>
      </c>
      <c r="AN244" s="848" t="str">
        <f>IFERROR(VLOOKUP(E244,'liquidaciones '!$B$2:$C$1048576,2,0),"NO")</f>
        <v>NO</v>
      </c>
      <c r="AO244" s="944" t="str">
        <f>IFERROR(VLOOKUP(E244,'liquidaciones '!$B$2:$I$1048576,8,0),"")</f>
        <v/>
      </c>
      <c r="AP244" s="338"/>
      <c r="AQ244" s="177" t="str">
        <f t="shared" ca="1" si="49"/>
        <v>NO</v>
      </c>
      <c r="AR244" s="177" t="s">
        <v>981</v>
      </c>
      <c r="AS244" s="433"/>
      <c r="AT244" s="964"/>
      <c r="AU244" s="964"/>
      <c r="AV244" s="964"/>
    </row>
    <row r="245" spans="2:48" ht="128.25" customHeight="1" x14ac:dyDescent="0.25">
      <c r="B245" s="15">
        <v>239</v>
      </c>
      <c r="C245" s="437"/>
      <c r="D245" s="437" t="str">
        <f t="shared" si="38"/>
        <v>2014</v>
      </c>
      <c r="E245" s="347" t="s">
        <v>1158</v>
      </c>
      <c r="F245" s="207" t="s">
        <v>22</v>
      </c>
      <c r="G245" s="133">
        <v>830112518</v>
      </c>
      <c r="H245" s="999" t="s">
        <v>1159</v>
      </c>
      <c r="I245" s="209">
        <v>44544000</v>
      </c>
      <c r="J245" s="850" t="s">
        <v>4414</v>
      </c>
      <c r="K245" s="167">
        <v>2014</v>
      </c>
      <c r="L245" s="546" t="s">
        <v>1088</v>
      </c>
      <c r="M245" s="308">
        <v>41929</v>
      </c>
      <c r="N245" s="308">
        <v>42294</v>
      </c>
      <c r="O245" s="127">
        <f>COUNTA(Modificaciones!I245,Modificaciones!K245,Modificaciones!M245,Modificaciones!O245)</f>
        <v>1</v>
      </c>
      <c r="P245" s="128">
        <f>VLOOKUP(E245,Modificaciones!$B$7:$Q$300,16,0)</f>
        <v>22272000</v>
      </c>
      <c r="Q245" s="129">
        <f>COUNTA(Modificaciones!S245,Modificaciones!U245,Modificaciones!W245,Modificaciones!Y245)</f>
        <v>1</v>
      </c>
      <c r="R245" s="130" t="str">
        <f>IF(Modificaciones!Z245=0,"",VLOOKUP(E245,Modificaciones!$B$7:$AA$400,25,0))</f>
        <v>6 meses</v>
      </c>
      <c r="S245" s="131">
        <f>IF(Modificaciones!AA245=0,"",VLOOKUP(E245,Modificaciones!$B$7:$AA$400,26,0))</f>
        <v>42477</v>
      </c>
      <c r="T245" s="126">
        <f t="shared" si="37"/>
        <v>42477</v>
      </c>
      <c r="U245" s="62">
        <f t="shared" si="39"/>
        <v>66816000</v>
      </c>
      <c r="V245" s="172">
        <f>VLOOKUP(E245,Modificaciones!$B$7:$AU$300,46,0)</f>
        <v>66816000</v>
      </c>
      <c r="W245" s="93">
        <f t="shared" si="40"/>
        <v>0</v>
      </c>
      <c r="X245" s="314" t="s">
        <v>1254</v>
      </c>
      <c r="Y245" s="42">
        <f t="shared" si="41"/>
        <v>1</v>
      </c>
      <c r="Z245" s="42">
        <f t="shared" ca="1" si="42"/>
        <v>1</v>
      </c>
      <c r="AA245" s="43">
        <f t="shared" ca="1" si="43"/>
        <v>0</v>
      </c>
      <c r="AB245" s="202" t="str">
        <f t="shared" ca="1" si="44"/>
        <v/>
      </c>
      <c r="AC245" s="44" t="str">
        <f t="shared" si="48"/>
        <v>SI</v>
      </c>
      <c r="AD245" s="44"/>
      <c r="AE245" s="173" t="s">
        <v>1257</v>
      </c>
      <c r="AF245" s="173" t="s">
        <v>1174</v>
      </c>
      <c r="AG245" s="173" t="s">
        <v>1439</v>
      </c>
      <c r="AH245" s="281" t="s">
        <v>560</v>
      </c>
      <c r="AI245" s="174" t="s">
        <v>1509</v>
      </c>
      <c r="AJ245" s="174" t="s">
        <v>954</v>
      </c>
      <c r="AK245" s="181" t="str">
        <f t="shared" ca="1" si="46"/>
        <v>TERMINO</v>
      </c>
      <c r="AL245" s="181" t="s">
        <v>582</v>
      </c>
      <c r="AM245" s="176" t="s">
        <v>390</v>
      </c>
      <c r="AN245" s="848" t="str">
        <f>IFERROR(VLOOKUP(E245,'liquidaciones '!$B$2:$C$1048576,2,0),"NO")</f>
        <v>LIQUIDADO</v>
      </c>
      <c r="AO245" s="944">
        <f>IFERROR(VLOOKUP(E245,'liquidaciones '!$B$2:$I$1048576,8,0),"")</f>
        <v>0</v>
      </c>
      <c r="AP245" s="338"/>
      <c r="AQ245" s="177" t="str">
        <f t="shared" ca="1" si="49"/>
        <v>NO</v>
      </c>
      <c r="AR245" s="177" t="s">
        <v>1992</v>
      </c>
      <c r="AS245" s="433"/>
      <c r="AT245" s="964"/>
      <c r="AU245" s="964"/>
      <c r="AV245" s="964"/>
    </row>
    <row r="246" spans="2:48" ht="47.25" customHeight="1" x14ac:dyDescent="0.25">
      <c r="B246" s="15">
        <v>240</v>
      </c>
      <c r="C246" s="437"/>
      <c r="D246" s="437" t="str">
        <f t="shared" si="38"/>
        <v>2014</v>
      </c>
      <c r="E246" s="347" t="s">
        <v>1110</v>
      </c>
      <c r="F246" s="207" t="s">
        <v>1111</v>
      </c>
      <c r="G246" s="20">
        <v>830005370</v>
      </c>
      <c r="H246" s="999" t="s">
        <v>1112</v>
      </c>
      <c r="I246" s="209">
        <v>818527824</v>
      </c>
      <c r="J246" s="850" t="s">
        <v>4694</v>
      </c>
      <c r="K246" s="167">
        <v>2014</v>
      </c>
      <c r="L246" s="546" t="s">
        <v>1088</v>
      </c>
      <c r="M246" s="308">
        <v>41921</v>
      </c>
      <c r="N246" s="308">
        <v>42102</v>
      </c>
      <c r="O246" s="127">
        <f>COUNTA(Modificaciones!I246,Modificaciones!K246,Modificaciones!M246,Modificaciones!O246)</f>
        <v>0</v>
      </c>
      <c r="P246" s="128">
        <f>VLOOKUP(E246,Modificaciones!$B$7:$Q$300,16,0)</f>
        <v>0</v>
      </c>
      <c r="Q246" s="129">
        <f>COUNTA(Modificaciones!S246,Modificaciones!U246,Modificaciones!W246,Modificaciones!Y246)</f>
        <v>1</v>
      </c>
      <c r="R246" s="130" t="str">
        <f>IF(Modificaciones!Z246=0,"",VLOOKUP(E246,Modificaciones!$B$7:$AA$400,25,0))</f>
        <v>13 días</v>
      </c>
      <c r="S246" s="131">
        <f>IF(Modificaciones!AA246=0,"",VLOOKUP(E246,Modificaciones!$B$7:$AA$400,26,0))</f>
        <v>42116</v>
      </c>
      <c r="T246" s="126">
        <f t="shared" si="37"/>
        <v>42116</v>
      </c>
      <c r="U246" s="62">
        <f t="shared" si="39"/>
        <v>818527824</v>
      </c>
      <c r="V246" s="172">
        <f>VLOOKUP(E246,Modificaciones!$B$7:$AU$300,46,0)</f>
        <v>800790708</v>
      </c>
      <c r="W246" s="93">
        <f t="shared" si="40"/>
        <v>17737116</v>
      </c>
      <c r="X246" s="314"/>
      <c r="Y246" s="42">
        <f t="shared" si="41"/>
        <v>0.97833046662565259</v>
      </c>
      <c r="Z246" s="42">
        <f t="shared" ca="1" si="42"/>
        <v>1</v>
      </c>
      <c r="AA246" s="45">
        <f t="shared" ca="1" si="43"/>
        <v>2.1669533374347405E-2</v>
      </c>
      <c r="AB246" s="202" t="str">
        <f t="shared" ca="1" si="44"/>
        <v/>
      </c>
      <c r="AC246" s="44" t="str">
        <f t="shared" si="48"/>
        <v>NO</v>
      </c>
      <c r="AD246" s="44"/>
      <c r="AE246" s="173" t="s">
        <v>1256</v>
      </c>
      <c r="AF246" s="173" t="s">
        <v>1292</v>
      </c>
      <c r="AG246" s="173" t="s">
        <v>1430</v>
      </c>
      <c r="AH246" s="281" t="s">
        <v>564</v>
      </c>
      <c r="AI246" s="174" t="s">
        <v>1381</v>
      </c>
      <c r="AJ246" s="174" t="s">
        <v>954</v>
      </c>
      <c r="AK246" s="181" t="str">
        <f t="shared" ca="1" si="46"/>
        <v>TERMINO</v>
      </c>
      <c r="AL246" s="181" t="s">
        <v>582</v>
      </c>
      <c r="AM246" s="176" t="s">
        <v>390</v>
      </c>
      <c r="AN246" s="848" t="str">
        <f>IFERROR(VLOOKUP(E246,'liquidaciones '!$B$2:$C$1048576,2,0),"NO")</f>
        <v>LIQUIDADO</v>
      </c>
      <c r="AO246" s="944">
        <f>IFERROR(VLOOKUP(E246,'liquidaciones '!$B$2:$I$1048576,8,0),"")</f>
        <v>0</v>
      </c>
      <c r="AP246" s="338"/>
      <c r="AQ246" s="177" t="str">
        <f t="shared" ca="1" si="49"/>
        <v>NO</v>
      </c>
      <c r="AR246" s="177" t="s">
        <v>2076</v>
      </c>
      <c r="AS246" s="433"/>
      <c r="AT246" s="964"/>
      <c r="AU246" s="964"/>
      <c r="AV246" s="964"/>
    </row>
    <row r="247" spans="2:48" ht="47.25" customHeight="1" x14ac:dyDescent="0.25">
      <c r="B247" s="15">
        <v>241</v>
      </c>
      <c r="C247" s="437"/>
      <c r="D247" s="437" t="str">
        <f t="shared" si="38"/>
        <v>2014</v>
      </c>
      <c r="E247" s="348" t="s">
        <v>1116</v>
      </c>
      <c r="F247" s="208" t="s">
        <v>1117</v>
      </c>
      <c r="G247" s="151">
        <v>830001338</v>
      </c>
      <c r="H247" s="858" t="s">
        <v>1118</v>
      </c>
      <c r="I247" s="210">
        <v>75520000</v>
      </c>
      <c r="J247" s="134" t="s">
        <v>1088</v>
      </c>
      <c r="K247" s="157">
        <v>2014</v>
      </c>
      <c r="L247" s="546" t="s">
        <v>1088</v>
      </c>
      <c r="M247" s="865">
        <v>41929</v>
      </c>
      <c r="N247" s="865">
        <v>42294</v>
      </c>
      <c r="O247" s="127">
        <f>COUNTA(Modificaciones!I247,Modificaciones!K247,Modificaciones!M247,Modificaciones!O247)</f>
        <v>0</v>
      </c>
      <c r="P247" s="128">
        <f>VLOOKUP(E247,Modificaciones!$B$7:$Q$300,16,0)</f>
        <v>0</v>
      </c>
      <c r="Q247" s="129">
        <f>COUNTA(Modificaciones!S247,Modificaciones!U247,Modificaciones!W247,Modificaciones!Y247)</f>
        <v>0</v>
      </c>
      <c r="R247" s="130" t="str">
        <f>IF(Modificaciones!Z247=0,"",VLOOKUP(E247,Modificaciones!$B$7:$AA$400,25,0))</f>
        <v>2 meses</v>
      </c>
      <c r="S247" s="131">
        <f>IF(Modificaciones!AA247=0,"",VLOOKUP(E247,Modificaciones!$B$7:$AA$400,26,0))</f>
        <v>42369</v>
      </c>
      <c r="T247" s="126">
        <f t="shared" si="37"/>
        <v>42369</v>
      </c>
      <c r="U247" s="62">
        <f t="shared" si="39"/>
        <v>75520000</v>
      </c>
      <c r="V247" s="172">
        <f>VLOOKUP(E247,Modificaciones!$B$7:$AU$300,46,0)</f>
        <v>75519999</v>
      </c>
      <c r="W247" s="93">
        <f t="shared" si="40"/>
        <v>1</v>
      </c>
      <c r="X247" s="314"/>
      <c r="Y247" s="42">
        <f t="shared" si="41"/>
        <v>0.99999998675847457</v>
      </c>
      <c r="Z247" s="42">
        <f t="shared" ca="1" si="42"/>
        <v>1</v>
      </c>
      <c r="AA247" s="43">
        <f t="shared" ca="1" si="43"/>
        <v>1.3241525431695322E-8</v>
      </c>
      <c r="AB247" s="202" t="str">
        <f t="shared" ca="1" si="44"/>
        <v/>
      </c>
      <c r="AC247" s="44" t="str">
        <f t="shared" si="48"/>
        <v>SI</v>
      </c>
      <c r="AD247" s="44"/>
      <c r="AE247" s="173" t="s">
        <v>1257</v>
      </c>
      <c r="AF247" s="281" t="s">
        <v>1176</v>
      </c>
      <c r="AG247" s="173" t="s">
        <v>1439</v>
      </c>
      <c r="AH247" s="281" t="s">
        <v>560</v>
      </c>
      <c r="AI247" s="305" t="s">
        <v>1509</v>
      </c>
      <c r="AJ247" s="305" t="s">
        <v>954</v>
      </c>
      <c r="AK247" s="181" t="str">
        <f t="shared" ca="1" si="46"/>
        <v>TERMINO</v>
      </c>
      <c r="AL247" s="281" t="s">
        <v>575</v>
      </c>
      <c r="AM247" s="176" t="s">
        <v>390</v>
      </c>
      <c r="AN247" s="848" t="str">
        <f>IFERROR(VLOOKUP(E247,'liquidaciones '!$B$2:$C$1048576,2,0),"NO")</f>
        <v>LIQUIDADO</v>
      </c>
      <c r="AO247" s="944">
        <f>IFERROR(VLOOKUP(E247,'liquidaciones '!$B$2:$I$1048576,8,0),"")</f>
        <v>0</v>
      </c>
      <c r="AP247" s="338"/>
      <c r="AQ247" s="177" t="str">
        <f t="shared" ca="1" si="49"/>
        <v>NO</v>
      </c>
      <c r="AR247" s="177" t="s">
        <v>1992</v>
      </c>
      <c r="AS247" s="433"/>
      <c r="AT247" s="964"/>
      <c r="AU247" s="964"/>
      <c r="AV247" s="964"/>
    </row>
    <row r="248" spans="2:48" ht="47.25" customHeight="1" x14ac:dyDescent="0.25">
      <c r="B248" s="15">
        <v>242</v>
      </c>
      <c r="C248" s="437"/>
      <c r="D248" s="437" t="str">
        <f t="shared" si="38"/>
        <v>2014</v>
      </c>
      <c r="E248" s="349" t="s">
        <v>1331</v>
      </c>
      <c r="F248" s="173" t="s">
        <v>212</v>
      </c>
      <c r="G248" s="133">
        <v>830080652</v>
      </c>
      <c r="H248" s="1000" t="s">
        <v>1332</v>
      </c>
      <c r="I248" s="241">
        <v>324800</v>
      </c>
      <c r="J248" s="134" t="s">
        <v>1088</v>
      </c>
      <c r="K248" s="290">
        <v>2014</v>
      </c>
      <c r="L248" s="546" t="s">
        <v>1088</v>
      </c>
      <c r="M248" s="292">
        <v>41939</v>
      </c>
      <c r="N248" s="292">
        <v>41970</v>
      </c>
      <c r="O248" s="127">
        <f>COUNTA(Modificaciones!I248,Modificaciones!K248,Modificaciones!M248,Modificaciones!O248)</f>
        <v>0</v>
      </c>
      <c r="P248" s="128">
        <f>VLOOKUP(E248,Modificaciones!$B$7:$Q$300,16,0)</f>
        <v>0</v>
      </c>
      <c r="Q248" s="129">
        <f>COUNTA(Modificaciones!S248,Modificaciones!U248,Modificaciones!W248,Modificaciones!Y248)</f>
        <v>0</v>
      </c>
      <c r="R248" s="130" t="str">
        <f>IF(Modificaciones!Z248=0,"",VLOOKUP(E248,Modificaciones!$B$7:$AA$400,25,0))</f>
        <v/>
      </c>
      <c r="S248" s="131" t="str">
        <f>IF(Modificaciones!AA248=0,"",VLOOKUP(E248,Modificaciones!$B$7:$AA$400,26,0))</f>
        <v/>
      </c>
      <c r="T248" s="126">
        <f t="shared" si="37"/>
        <v>41970</v>
      </c>
      <c r="U248" s="62">
        <f t="shared" si="39"/>
        <v>324800</v>
      </c>
      <c r="V248" s="172">
        <f>VLOOKUP(E248,Modificaciones!$B$7:$AU$300,46,0)</f>
        <v>324800</v>
      </c>
      <c r="W248" s="93">
        <f t="shared" si="40"/>
        <v>0</v>
      </c>
      <c r="X248" s="309" t="s">
        <v>1895</v>
      </c>
      <c r="Y248" s="42">
        <f t="shared" si="41"/>
        <v>1</v>
      </c>
      <c r="Z248" s="42">
        <f t="shared" ca="1" si="42"/>
        <v>1</v>
      </c>
      <c r="AA248" s="45">
        <f t="shared" ca="1" si="43"/>
        <v>0</v>
      </c>
      <c r="AB248" s="202" t="str">
        <f t="shared" ca="1" si="44"/>
        <v/>
      </c>
      <c r="AC248" s="44" t="str">
        <f t="shared" si="48"/>
        <v>SI</v>
      </c>
      <c r="AD248" s="44"/>
      <c r="AE248" s="173" t="s">
        <v>1256</v>
      </c>
      <c r="AF248" s="281" t="s">
        <v>1363</v>
      </c>
      <c r="AG248" s="173" t="s">
        <v>1442</v>
      </c>
      <c r="AH248" s="281" t="s">
        <v>560</v>
      </c>
      <c r="AI248" s="305" t="s">
        <v>1380</v>
      </c>
      <c r="AJ248" s="305" t="s">
        <v>954</v>
      </c>
      <c r="AK248" s="181" t="str">
        <f t="shared" ca="1" si="46"/>
        <v>TERMINO</v>
      </c>
      <c r="AL248" s="310" t="s">
        <v>576</v>
      </c>
      <c r="AM248" s="176" t="s">
        <v>391</v>
      </c>
      <c r="AN248" s="848" t="str">
        <f>IFERROR(VLOOKUP(E248,'liquidaciones '!$B$2:$C$1048576,2,0),"NO")</f>
        <v>LIQUIDADO</v>
      </c>
      <c r="AO248" s="944">
        <f>IFERROR(VLOOKUP(E248,'liquidaciones '!$B$2:$I$1048576,8,0),"")</f>
        <v>0</v>
      </c>
      <c r="AP248" s="338">
        <v>42145</v>
      </c>
      <c r="AQ248" s="177" t="str">
        <f t="shared" ca="1" si="49"/>
        <v>NO</v>
      </c>
      <c r="AR248" s="177" t="s">
        <v>1056</v>
      </c>
      <c r="AS248" s="433"/>
      <c r="AT248" s="964"/>
      <c r="AU248" s="964"/>
      <c r="AV248" s="964"/>
    </row>
    <row r="249" spans="2:48" ht="47.25" customHeight="1" x14ac:dyDescent="0.25">
      <c r="B249" s="15">
        <v>243</v>
      </c>
      <c r="C249" s="437"/>
      <c r="D249" s="437" t="str">
        <f t="shared" si="38"/>
        <v>2014</v>
      </c>
      <c r="E249" s="349" t="s">
        <v>1344</v>
      </c>
      <c r="F249" s="173" t="s">
        <v>1345</v>
      </c>
      <c r="G249" s="143">
        <v>830120684</v>
      </c>
      <c r="H249" s="1000" t="s">
        <v>1346</v>
      </c>
      <c r="I249" s="241">
        <v>1659960</v>
      </c>
      <c r="J249" s="850" t="s">
        <v>2626</v>
      </c>
      <c r="K249" s="290">
        <v>2014</v>
      </c>
      <c r="L249" s="546" t="s">
        <v>1088</v>
      </c>
      <c r="M249" s="292">
        <v>41968</v>
      </c>
      <c r="N249" s="292">
        <v>42241</v>
      </c>
      <c r="O249" s="127">
        <f>COUNTA(Modificaciones!I249,Modificaciones!K249,Modificaciones!M249,Modificaciones!O249)</f>
        <v>1</v>
      </c>
      <c r="P249" s="128">
        <f>VLOOKUP(E249,Modificaciones!$B$7:$Q$300,16,0)</f>
        <v>800000</v>
      </c>
      <c r="Q249" s="129">
        <f>COUNTA(Modificaciones!S249,Modificaciones!U249,Modificaciones!W249,Modificaciones!Y249)</f>
        <v>0</v>
      </c>
      <c r="R249" s="130" t="str">
        <f>IF(Modificaciones!Z249=0,"",VLOOKUP(E249,Modificaciones!$B$7:$AA$400,25,0))</f>
        <v/>
      </c>
      <c r="S249" s="131" t="str">
        <f>IF(Modificaciones!AA249=0,"",VLOOKUP(E249,Modificaciones!$B$7:$AA$400,26,0))</f>
        <v/>
      </c>
      <c r="T249" s="126">
        <f t="shared" si="37"/>
        <v>42241</v>
      </c>
      <c r="U249" s="62">
        <f t="shared" si="39"/>
        <v>2459960</v>
      </c>
      <c r="V249" s="172">
        <f>VLOOKUP(E249,Modificaciones!$B$7:$AU$300,46,0)</f>
        <v>2457884</v>
      </c>
      <c r="W249" s="93">
        <f t="shared" si="40"/>
        <v>2076</v>
      </c>
      <c r="X249" s="309" t="s">
        <v>1427</v>
      </c>
      <c r="Y249" s="42">
        <f t="shared" si="41"/>
        <v>0.99915608383876164</v>
      </c>
      <c r="Z249" s="42">
        <f t="shared" ca="1" si="42"/>
        <v>1</v>
      </c>
      <c r="AA249" s="45">
        <f t="shared" ca="1" si="43"/>
        <v>8.4391616123835611E-4</v>
      </c>
      <c r="AB249" s="202" t="str">
        <f t="shared" ca="1" si="44"/>
        <v/>
      </c>
      <c r="AC249" s="44" t="str">
        <f t="shared" si="48"/>
        <v>SI</v>
      </c>
      <c r="AD249" s="44"/>
      <c r="AE249" s="173" t="s">
        <v>1256</v>
      </c>
      <c r="AF249" s="281" t="s">
        <v>1299</v>
      </c>
      <c r="AG249" s="173" t="s">
        <v>1440</v>
      </c>
      <c r="AH249" s="281" t="s">
        <v>562</v>
      </c>
      <c r="AI249" s="305" t="s">
        <v>1473</v>
      </c>
      <c r="AJ249" s="305" t="s">
        <v>954</v>
      </c>
      <c r="AK249" s="181" t="str">
        <f t="shared" ca="1" si="46"/>
        <v>TERMINO</v>
      </c>
      <c r="AL249" s="310" t="s">
        <v>576</v>
      </c>
      <c r="AM249" s="176" t="s">
        <v>390</v>
      </c>
      <c r="AN249" s="848" t="str">
        <f>IFERROR(VLOOKUP(E249,'liquidaciones '!$B$2:$C$1048576,2,0),"NO")</f>
        <v>LIQUIDADO</v>
      </c>
      <c r="AO249" s="944">
        <f>IFERROR(VLOOKUP(E249,'liquidaciones '!$B$2:$I$1048576,8,0),"")</f>
        <v>0</v>
      </c>
      <c r="AP249" s="338">
        <v>42368</v>
      </c>
      <c r="AQ249" s="177" t="str">
        <f t="shared" ca="1" si="49"/>
        <v>NO</v>
      </c>
      <c r="AR249" s="177" t="s">
        <v>1570</v>
      </c>
      <c r="AS249" s="433"/>
      <c r="AT249" s="964"/>
      <c r="AU249" s="964"/>
      <c r="AV249" s="964"/>
    </row>
    <row r="250" spans="2:48" ht="47.25" customHeight="1" x14ac:dyDescent="0.25">
      <c r="B250" s="15">
        <v>244</v>
      </c>
      <c r="C250" s="437"/>
      <c r="D250" s="437" t="str">
        <f t="shared" si="38"/>
        <v>2014</v>
      </c>
      <c r="E250" s="349" t="s">
        <v>1347</v>
      </c>
      <c r="F250" s="173" t="s">
        <v>1348</v>
      </c>
      <c r="G250" s="143">
        <v>79403174</v>
      </c>
      <c r="H250" s="1000" t="s">
        <v>1349</v>
      </c>
      <c r="I250" s="241">
        <v>20188000</v>
      </c>
      <c r="J250" s="850" t="s">
        <v>2615</v>
      </c>
      <c r="K250" s="290">
        <v>2014</v>
      </c>
      <c r="L250" s="546" t="s">
        <v>1088</v>
      </c>
      <c r="M250" s="292">
        <v>41957</v>
      </c>
      <c r="N250" s="292">
        <v>42077</v>
      </c>
      <c r="O250" s="127">
        <f>COUNTA(Modificaciones!I250,Modificaciones!K250,Modificaciones!M250,Modificaciones!O250)</f>
        <v>0</v>
      </c>
      <c r="P250" s="128">
        <f>VLOOKUP(E250,Modificaciones!$B$7:$Q$300,16,0)</f>
        <v>0</v>
      </c>
      <c r="Q250" s="129">
        <f>COUNTA(Modificaciones!S250,Modificaciones!U250,Modificaciones!W250,Modificaciones!Y250)</f>
        <v>0</v>
      </c>
      <c r="R250" s="130" t="str">
        <f>IF(Modificaciones!Z250=0,"",VLOOKUP(E250,Modificaciones!$B$7:$AA$400,25,0))</f>
        <v/>
      </c>
      <c r="S250" s="131" t="str">
        <f>IF(Modificaciones!AA250=0,"",VLOOKUP(E250,Modificaciones!$B$7:$AA$400,26,0))</f>
        <v/>
      </c>
      <c r="T250" s="126">
        <f t="shared" si="37"/>
        <v>42077</v>
      </c>
      <c r="U250" s="62">
        <f t="shared" si="39"/>
        <v>20188000</v>
      </c>
      <c r="V250" s="172">
        <f>VLOOKUP(E250,Modificaciones!$B$7:$AU$300,46,0)</f>
        <v>20188000</v>
      </c>
      <c r="W250" s="93">
        <f t="shared" si="40"/>
        <v>0</v>
      </c>
      <c r="X250" s="309" t="s">
        <v>1095</v>
      </c>
      <c r="Y250" s="42">
        <f t="shared" si="41"/>
        <v>1</v>
      </c>
      <c r="Z250" s="42">
        <f t="shared" ca="1" si="42"/>
        <v>1</v>
      </c>
      <c r="AA250" s="45">
        <f t="shared" ca="1" si="43"/>
        <v>0</v>
      </c>
      <c r="AB250" s="202" t="str">
        <f t="shared" ca="1" si="44"/>
        <v/>
      </c>
      <c r="AC250" s="44" t="str">
        <f t="shared" si="48"/>
        <v>SI</v>
      </c>
      <c r="AD250" s="44"/>
      <c r="AE250" s="173" t="s">
        <v>1257</v>
      </c>
      <c r="AF250" s="173" t="s">
        <v>1131</v>
      </c>
      <c r="AG250" s="173" t="s">
        <v>1439</v>
      </c>
      <c r="AH250" s="281" t="s">
        <v>560</v>
      </c>
      <c r="AI250" s="305"/>
      <c r="AJ250" s="305" t="s">
        <v>954</v>
      </c>
      <c r="AK250" s="181" t="str">
        <f t="shared" ca="1" si="46"/>
        <v>TERMINO</v>
      </c>
      <c r="AL250" s="310" t="s">
        <v>582</v>
      </c>
      <c r="AM250" s="176" t="s">
        <v>391</v>
      </c>
      <c r="AN250" s="848" t="str">
        <f>IFERROR(VLOOKUP(E250,'liquidaciones '!$B$2:$C$1048576,2,0),"NO")</f>
        <v>LIQUIDADO</v>
      </c>
      <c r="AO250" s="944">
        <f>IFERROR(VLOOKUP(E250,'liquidaciones '!$B$2:$I$1048576,8,0),"")</f>
        <v>0</v>
      </c>
      <c r="AP250" s="338">
        <v>42251</v>
      </c>
      <c r="AQ250" s="177" t="str">
        <f t="shared" ca="1" si="49"/>
        <v>NO</v>
      </c>
      <c r="AR250" s="177" t="s">
        <v>1472</v>
      </c>
      <c r="AS250" s="433"/>
      <c r="AT250" s="964"/>
      <c r="AU250" s="964"/>
      <c r="AV250" s="964"/>
    </row>
    <row r="251" spans="2:48" ht="47.25" customHeight="1" x14ac:dyDescent="0.25">
      <c r="B251" s="15">
        <v>245</v>
      </c>
      <c r="C251" s="437"/>
      <c r="D251" s="437" t="str">
        <f t="shared" si="38"/>
        <v>2014</v>
      </c>
      <c r="E251" s="350" t="s">
        <v>1351</v>
      </c>
      <c r="F251" s="281" t="s">
        <v>1352</v>
      </c>
      <c r="G251" s="305">
        <v>830025104</v>
      </c>
      <c r="H251" s="1000" t="s">
        <v>1572</v>
      </c>
      <c r="I251" s="289">
        <v>59383678</v>
      </c>
      <c r="J251" s="850" t="s">
        <v>2622</v>
      </c>
      <c r="K251" s="290">
        <v>2014</v>
      </c>
      <c r="L251" s="546" t="s">
        <v>1088</v>
      </c>
      <c r="M251" s="291">
        <v>41941</v>
      </c>
      <c r="N251" s="292">
        <v>42033</v>
      </c>
      <c r="O251" s="127">
        <f>COUNTA(Modificaciones!I251,Modificaciones!K251,Modificaciones!M251,Modificaciones!O251)</f>
        <v>0</v>
      </c>
      <c r="P251" s="128">
        <f>VLOOKUP(E251,Modificaciones!$B$7:$Q$300,16,0)</f>
        <v>0</v>
      </c>
      <c r="Q251" s="129">
        <f>COUNTA(Modificaciones!S251,Modificaciones!U251,Modificaciones!W251,Modificaciones!Y251)</f>
        <v>3</v>
      </c>
      <c r="R251" s="130" t="str">
        <f>IF(Modificaciones!Z251=0,"",VLOOKUP(E251,Modificaciones!$B$7:$AA$400,25,0))</f>
        <v>5 meses</v>
      </c>
      <c r="S251" s="131">
        <f>IF(Modificaciones!AA251=0,"",VLOOKUP(E251,Modificaciones!$B$7:$AA$400,26,0))</f>
        <v>42184</v>
      </c>
      <c r="T251" s="126">
        <f t="shared" si="37"/>
        <v>42184</v>
      </c>
      <c r="U251" s="62">
        <f t="shared" si="39"/>
        <v>59383678</v>
      </c>
      <c r="V251" s="172">
        <f>VLOOKUP(E251,Modificaciones!$B$7:$AU$300,46,0)</f>
        <v>27770152</v>
      </c>
      <c r="W251" s="293">
        <f t="shared" si="40"/>
        <v>31613526</v>
      </c>
      <c r="X251" s="309" t="s">
        <v>1353</v>
      </c>
      <c r="Y251" s="42">
        <f t="shared" si="41"/>
        <v>0.46763947494124564</v>
      </c>
      <c r="Z251" s="42">
        <f t="shared" ca="1" si="42"/>
        <v>1</v>
      </c>
      <c r="AA251" s="43">
        <f t="shared" ca="1" si="43"/>
        <v>0.53236052505875442</v>
      </c>
      <c r="AB251" s="202" t="str">
        <f t="shared" ca="1" si="44"/>
        <v/>
      </c>
      <c r="AC251" s="44" t="str">
        <f t="shared" si="48"/>
        <v>NO</v>
      </c>
      <c r="AD251" s="44"/>
      <c r="AE251" s="173" t="s">
        <v>1257</v>
      </c>
      <c r="AF251" s="173" t="s">
        <v>1573</v>
      </c>
      <c r="AG251" s="173" t="s">
        <v>1439</v>
      </c>
      <c r="AH251" s="281" t="s">
        <v>560</v>
      </c>
      <c r="AI251" s="305" t="s">
        <v>1509</v>
      </c>
      <c r="AJ251" s="305" t="s">
        <v>954</v>
      </c>
      <c r="AK251" s="181" t="str">
        <f t="shared" ca="1" si="46"/>
        <v>TERMINO</v>
      </c>
      <c r="AL251" s="310" t="s">
        <v>576</v>
      </c>
      <c r="AM251" s="176" t="s">
        <v>390</v>
      </c>
      <c r="AN251" s="848" t="str">
        <f>IFERROR(VLOOKUP(E251,'liquidaciones '!$B$2:$C$1048576,2,0),"NO")</f>
        <v>LIQUIDADO</v>
      </c>
      <c r="AO251" s="944">
        <f>IFERROR(VLOOKUP(E251,'liquidaciones '!$B$2:$I$1048576,8,0),"")</f>
        <v>0</v>
      </c>
      <c r="AP251" s="338"/>
      <c r="AQ251" s="177" t="str">
        <f t="shared" ca="1" si="49"/>
        <v>NO</v>
      </c>
      <c r="AR251" s="177" t="s">
        <v>1992</v>
      </c>
      <c r="AS251" s="433"/>
      <c r="AT251" s="964"/>
      <c r="AU251" s="964"/>
      <c r="AV251" s="964"/>
    </row>
    <row r="252" spans="2:48" ht="47.25" customHeight="1" x14ac:dyDescent="0.25">
      <c r="B252" s="15">
        <v>246</v>
      </c>
      <c r="C252" s="437"/>
      <c r="D252" s="437" t="str">
        <f t="shared" si="38"/>
        <v>2014</v>
      </c>
      <c r="E252" s="351" t="s">
        <v>1354</v>
      </c>
      <c r="F252" s="864" t="s">
        <v>27</v>
      </c>
      <c r="G252" s="866">
        <v>860009759</v>
      </c>
      <c r="H252" s="858" t="s">
        <v>1355</v>
      </c>
      <c r="I252" s="294">
        <v>764100</v>
      </c>
      <c r="J252" s="134" t="s">
        <v>1088</v>
      </c>
      <c r="K252" s="295">
        <v>2014</v>
      </c>
      <c r="L252" s="546" t="s">
        <v>1088</v>
      </c>
      <c r="M252" s="865">
        <v>41970</v>
      </c>
      <c r="N252" s="865">
        <v>42335</v>
      </c>
      <c r="O252" s="127">
        <f>COUNTA(Modificaciones!I252,Modificaciones!K252,Modificaciones!M252,Modificaciones!O252)</f>
        <v>0</v>
      </c>
      <c r="P252" s="128">
        <f>VLOOKUP(E252,Modificaciones!$B$7:$Q$300,16,0)</f>
        <v>0</v>
      </c>
      <c r="Q252" s="129">
        <f>COUNTA(Modificaciones!S252,Modificaciones!U252,Modificaciones!W252,Modificaciones!Y252)</f>
        <v>0</v>
      </c>
      <c r="R252" s="130" t="str">
        <f>IF(Modificaciones!Z252=0,"",VLOOKUP(E252,Modificaciones!$B$7:$AA$400,25,0))</f>
        <v/>
      </c>
      <c r="S252" s="131" t="str">
        <f>IF(Modificaciones!AA252=0,"",VLOOKUP(E252,Modificaciones!$B$7:$AA$400,26,0))</f>
        <v/>
      </c>
      <c r="T252" s="126">
        <f t="shared" si="37"/>
        <v>42335</v>
      </c>
      <c r="U252" s="62">
        <f t="shared" si="39"/>
        <v>764100</v>
      </c>
      <c r="V252" s="172">
        <f>VLOOKUP(E252,Modificaciones!$B$7:$AU$300,46,0)</f>
        <v>764100</v>
      </c>
      <c r="W252" s="293">
        <f t="shared" si="40"/>
        <v>0</v>
      </c>
      <c r="X252" s="309" t="s">
        <v>1895</v>
      </c>
      <c r="Y252" s="42">
        <f t="shared" si="41"/>
        <v>1</v>
      </c>
      <c r="Z252" s="42">
        <f t="shared" ca="1" si="42"/>
        <v>1</v>
      </c>
      <c r="AA252" s="43">
        <f t="shared" ca="1" si="43"/>
        <v>0</v>
      </c>
      <c r="AB252" s="202" t="str">
        <f t="shared" ca="1" si="44"/>
        <v/>
      </c>
      <c r="AC252" s="44" t="str">
        <f t="shared" si="48"/>
        <v>SI</v>
      </c>
      <c r="AD252" s="44"/>
      <c r="AE252" s="173" t="s">
        <v>1256</v>
      </c>
      <c r="AF252" s="281" t="s">
        <v>1125</v>
      </c>
      <c r="AG252" s="173" t="s">
        <v>1430</v>
      </c>
      <c r="AH252" s="281" t="s">
        <v>564</v>
      </c>
      <c r="AI252" s="174" t="s">
        <v>2167</v>
      </c>
      <c r="AJ252" s="305" t="s">
        <v>954</v>
      </c>
      <c r="AK252" s="181" t="str">
        <f t="shared" ca="1" si="46"/>
        <v>TERMINO</v>
      </c>
      <c r="AL252" s="310" t="s">
        <v>582</v>
      </c>
      <c r="AM252" s="176" t="s">
        <v>390</v>
      </c>
      <c r="AN252" s="848" t="str">
        <f>IFERROR(VLOOKUP(E252,'liquidaciones '!$B$2:$C$1048576,2,0),"NO")</f>
        <v>LIQUIDADO</v>
      </c>
      <c r="AO252" s="944">
        <f>IFERROR(VLOOKUP(E252,'liquidaciones '!$B$2:$I$1048576,8,0),"")</f>
        <v>0</v>
      </c>
      <c r="AP252" s="338"/>
      <c r="AQ252" s="177" t="str">
        <f t="shared" ca="1" si="49"/>
        <v>NO</v>
      </c>
      <c r="AR252" s="177" t="s">
        <v>1510</v>
      </c>
      <c r="AS252" s="433"/>
      <c r="AT252" s="964"/>
      <c r="AU252" s="964"/>
      <c r="AV252" s="964"/>
    </row>
    <row r="253" spans="2:48" ht="47.25" customHeight="1" x14ac:dyDescent="0.25">
      <c r="B253" s="15">
        <v>247</v>
      </c>
      <c r="C253" s="437"/>
      <c r="D253" s="437" t="str">
        <f t="shared" si="38"/>
        <v>2014</v>
      </c>
      <c r="E253" s="351" t="s">
        <v>1356</v>
      </c>
      <c r="F253" s="864" t="s">
        <v>1357</v>
      </c>
      <c r="G253" s="866">
        <v>805007625</v>
      </c>
      <c r="H253" s="858" t="s">
        <v>1358</v>
      </c>
      <c r="I253" s="294">
        <v>108570688</v>
      </c>
      <c r="J253" s="134" t="s">
        <v>1088</v>
      </c>
      <c r="K253" s="295">
        <v>2014</v>
      </c>
      <c r="L253" s="546" t="s">
        <v>1088</v>
      </c>
      <c r="M253" s="865">
        <v>41935</v>
      </c>
      <c r="N253" s="865">
        <v>42117</v>
      </c>
      <c r="O253" s="127">
        <f>COUNTA(Modificaciones!I253,Modificaciones!K253,Modificaciones!M253,Modificaciones!O253)</f>
        <v>1</v>
      </c>
      <c r="P253" s="128">
        <f>VLOOKUP(E253,Modificaciones!$B$7:$Q$300,16,0)</f>
        <v>54285345</v>
      </c>
      <c r="Q253" s="129">
        <f>COUNTA(Modificaciones!S253,Modificaciones!U253,Modificaciones!W253,Modificaciones!Y253)</f>
        <v>1</v>
      </c>
      <c r="R253" s="130" t="str">
        <f>IF(Modificaciones!Z253=0,"",VLOOKUP(E253,Modificaciones!$B$7:$AA$400,25,0))</f>
        <v>3 meses</v>
      </c>
      <c r="S253" s="131">
        <f>IF(Modificaciones!AA253=0,"",VLOOKUP(E253,Modificaciones!$B$7:$AA$400,26,0))</f>
        <v>42208</v>
      </c>
      <c r="T253" s="126">
        <f t="shared" si="37"/>
        <v>42208</v>
      </c>
      <c r="U253" s="62">
        <f t="shared" si="39"/>
        <v>162856033</v>
      </c>
      <c r="V253" s="172">
        <f>VLOOKUP(E253,Modificaciones!$B$7:$AU$300,46,0)</f>
        <v>155665571</v>
      </c>
      <c r="W253" s="293">
        <f t="shared" si="40"/>
        <v>7190462</v>
      </c>
      <c r="X253" s="309" t="s">
        <v>1095</v>
      </c>
      <c r="Y253" s="42">
        <f t="shared" si="41"/>
        <v>0.95584773945709456</v>
      </c>
      <c r="Z253" s="42">
        <f t="shared" ca="1" si="42"/>
        <v>1</v>
      </c>
      <c r="AA253" s="43">
        <f t="shared" ca="1" si="43"/>
        <v>4.4152260542905442E-2</v>
      </c>
      <c r="AB253" s="202" t="str">
        <f t="shared" ca="1" si="44"/>
        <v/>
      </c>
      <c r="AC253" s="44" t="str">
        <f t="shared" si="48"/>
        <v>NO</v>
      </c>
      <c r="AD253" s="44"/>
      <c r="AE253" s="173" t="s">
        <v>1257</v>
      </c>
      <c r="AF253" s="178" t="s">
        <v>1463</v>
      </c>
      <c r="AG253" s="173" t="s">
        <v>1439</v>
      </c>
      <c r="AH253" s="281" t="s">
        <v>560</v>
      </c>
      <c r="AI253" s="305" t="s">
        <v>1509</v>
      </c>
      <c r="AJ253" s="305" t="s">
        <v>954</v>
      </c>
      <c r="AK253" s="181" t="str">
        <f t="shared" ca="1" si="46"/>
        <v>TERMINO</v>
      </c>
      <c r="AL253" s="310" t="s">
        <v>576</v>
      </c>
      <c r="AM253" s="176" t="s">
        <v>390</v>
      </c>
      <c r="AN253" s="848" t="str">
        <f>IFERROR(VLOOKUP(E253,'liquidaciones '!$B$2:$C$1048576,2,0),"NO")</f>
        <v>LIQUIDADO</v>
      </c>
      <c r="AO253" s="944">
        <f>IFERROR(VLOOKUP(E253,'liquidaciones '!$B$2:$I$1048576,8,0),"")</f>
        <v>0</v>
      </c>
      <c r="AP253" s="338"/>
      <c r="AQ253" s="177" t="str">
        <f t="shared" ca="1" si="49"/>
        <v>NO</v>
      </c>
      <c r="AR253" s="177" t="s">
        <v>1992</v>
      </c>
      <c r="AS253" s="433"/>
      <c r="AT253" s="964"/>
      <c r="AU253" s="964"/>
      <c r="AV253" s="964"/>
    </row>
    <row r="254" spans="2:48" ht="47.25" customHeight="1" x14ac:dyDescent="0.25">
      <c r="B254" s="15">
        <v>248</v>
      </c>
      <c r="C254" s="437"/>
      <c r="D254" s="437" t="str">
        <f t="shared" si="38"/>
        <v>2014</v>
      </c>
      <c r="E254" s="351" t="s">
        <v>1359</v>
      </c>
      <c r="F254" s="307" t="s">
        <v>1360</v>
      </c>
      <c r="G254" s="866">
        <v>860353110</v>
      </c>
      <c r="H254" s="858" t="s">
        <v>1361</v>
      </c>
      <c r="I254" s="294">
        <v>27235640</v>
      </c>
      <c r="J254" s="134" t="s">
        <v>1088</v>
      </c>
      <c r="K254" s="295">
        <v>2014</v>
      </c>
      <c r="L254" s="546" t="s">
        <v>1088</v>
      </c>
      <c r="M254" s="865">
        <v>41969</v>
      </c>
      <c r="N254" s="865">
        <v>42334</v>
      </c>
      <c r="O254" s="127">
        <f>COUNTA(Modificaciones!I254,Modificaciones!K254,Modificaciones!M254,Modificaciones!O254)</f>
        <v>0</v>
      </c>
      <c r="P254" s="128">
        <f>VLOOKUP(E254,Modificaciones!$B$7:$Q$300,16,0)</f>
        <v>0</v>
      </c>
      <c r="Q254" s="129">
        <f>COUNTA(Modificaciones!S254,Modificaciones!U254,Modificaciones!W254,Modificaciones!Y254)</f>
        <v>0</v>
      </c>
      <c r="R254" s="130" t="str">
        <f>IF(Modificaciones!Z254=0,"",VLOOKUP(E254,Modificaciones!$B$7:$AA$400,25,0))</f>
        <v/>
      </c>
      <c r="S254" s="131" t="str">
        <f>IF(Modificaciones!AA254=0,"",VLOOKUP(E254,Modificaciones!$B$7:$AA$400,26,0))</f>
        <v/>
      </c>
      <c r="T254" s="126">
        <f t="shared" si="37"/>
        <v>42334</v>
      </c>
      <c r="U254" s="62">
        <f t="shared" si="39"/>
        <v>27235640</v>
      </c>
      <c r="V254" s="172">
        <f>VLOOKUP(E254,Modificaciones!$B$7:$AU$300,46,0)</f>
        <v>27235640</v>
      </c>
      <c r="W254" s="293">
        <f t="shared" si="40"/>
        <v>0</v>
      </c>
      <c r="X254" s="309" t="s">
        <v>1353</v>
      </c>
      <c r="Y254" s="42">
        <f t="shared" si="41"/>
        <v>1</v>
      </c>
      <c r="Z254" s="42">
        <f t="shared" ca="1" si="42"/>
        <v>1</v>
      </c>
      <c r="AA254" s="43">
        <f t="shared" ca="1" si="43"/>
        <v>0</v>
      </c>
      <c r="AB254" s="202" t="str">
        <f t="shared" ca="1" si="44"/>
        <v/>
      </c>
      <c r="AC254" s="44" t="str">
        <f t="shared" si="48"/>
        <v>SI</v>
      </c>
      <c r="AD254" s="44"/>
      <c r="AE254" s="173" t="s">
        <v>1257</v>
      </c>
      <c r="AF254" s="281" t="s">
        <v>1362</v>
      </c>
      <c r="AG254" s="173" t="s">
        <v>1439</v>
      </c>
      <c r="AH254" s="281" t="s">
        <v>560</v>
      </c>
      <c r="AI254" s="305" t="s">
        <v>1509</v>
      </c>
      <c r="AJ254" s="305" t="s">
        <v>954</v>
      </c>
      <c r="AK254" s="181" t="str">
        <f t="shared" ca="1" si="46"/>
        <v>TERMINO</v>
      </c>
      <c r="AL254" s="310" t="s">
        <v>576</v>
      </c>
      <c r="AM254" s="176" t="s">
        <v>390</v>
      </c>
      <c r="AN254" s="848" t="str">
        <f>IFERROR(VLOOKUP(E254,'liquidaciones '!$B$2:$C$1048576,2,0),"NO")</f>
        <v>LIQUIDADO</v>
      </c>
      <c r="AO254" s="944">
        <f>IFERROR(VLOOKUP(E254,'liquidaciones '!$B$2:$I$1048576,8,0),"")</f>
        <v>0</v>
      </c>
      <c r="AP254" s="338"/>
      <c r="AQ254" s="177" t="str">
        <f t="shared" ca="1" si="49"/>
        <v>NO</v>
      </c>
      <c r="AR254" s="177" t="s">
        <v>1992</v>
      </c>
      <c r="AS254" s="433"/>
      <c r="AT254" s="964"/>
      <c r="AU254" s="964"/>
      <c r="AV254" s="964"/>
    </row>
    <row r="255" spans="2:48" ht="47.25" customHeight="1" x14ac:dyDescent="0.25">
      <c r="B255" s="15">
        <v>249</v>
      </c>
      <c r="C255" s="437"/>
      <c r="D255" s="437" t="str">
        <f t="shared" si="38"/>
        <v>2014</v>
      </c>
      <c r="E255" s="866" t="s">
        <v>1366</v>
      </c>
      <c r="F255" s="864" t="s">
        <v>1367</v>
      </c>
      <c r="G255" s="866">
        <v>79797614</v>
      </c>
      <c r="H255" s="858" t="s">
        <v>1368</v>
      </c>
      <c r="I255" s="294">
        <v>39999999</v>
      </c>
      <c r="J255" s="850"/>
      <c r="K255" s="295">
        <v>2014</v>
      </c>
      <c r="L255" s="546" t="s">
        <v>1088</v>
      </c>
      <c r="M255" s="865">
        <v>41957</v>
      </c>
      <c r="N255" s="865">
        <v>42504</v>
      </c>
      <c r="O255" s="127">
        <f>COUNTA(Modificaciones!I255,Modificaciones!K255,Modificaciones!M255,Modificaciones!O255)</f>
        <v>0</v>
      </c>
      <c r="P255" s="128">
        <f>VLOOKUP(E255,Modificaciones!$B$7:$Q$300,16,0)</f>
        <v>0</v>
      </c>
      <c r="Q255" s="129">
        <f>COUNTA(Modificaciones!S255,Modificaciones!U255,Modificaciones!W255,Modificaciones!Y255)</f>
        <v>0</v>
      </c>
      <c r="R255" s="130" t="str">
        <f>IF(Modificaciones!Z255=0,"",VLOOKUP(E255,Modificaciones!$B$7:$AA$400,25,0))</f>
        <v/>
      </c>
      <c r="S255" s="131" t="str">
        <f>IF(Modificaciones!AA255=0,"",VLOOKUP(E255,Modificaciones!$B$7:$AA$400,26,0))</f>
        <v/>
      </c>
      <c r="T255" s="126">
        <f t="shared" si="37"/>
        <v>42504</v>
      </c>
      <c r="U255" s="62">
        <f t="shared" si="39"/>
        <v>39999999</v>
      </c>
      <c r="V255" s="172">
        <f>VLOOKUP(E255,Modificaciones!$B$7:$AU$300,46,0)</f>
        <v>39999998</v>
      </c>
      <c r="W255" s="293">
        <f t="shared" si="40"/>
        <v>1</v>
      </c>
      <c r="X255" s="309" t="s">
        <v>1353</v>
      </c>
      <c r="Y255" s="42">
        <f t="shared" si="41"/>
        <v>0.99999997499999937</v>
      </c>
      <c r="Z255" s="42">
        <f t="shared" ca="1" si="42"/>
        <v>1</v>
      </c>
      <c r="AA255" s="43">
        <f t="shared" ca="1" si="43"/>
        <v>2.5000000625219343E-8</v>
      </c>
      <c r="AB255" s="202" t="str">
        <f t="shared" ca="1" si="44"/>
        <v/>
      </c>
      <c r="AC255" s="44" t="str">
        <f t="shared" ref="AC255:AC286" si="50">IF(Y255&lt;=99.9%,"NO","SI")</f>
        <v>SI</v>
      </c>
      <c r="AD255" s="44"/>
      <c r="AE255" s="173" t="s">
        <v>1257</v>
      </c>
      <c r="AF255" s="281" t="s">
        <v>1369</v>
      </c>
      <c r="AG255" s="173" t="s">
        <v>1439</v>
      </c>
      <c r="AH255" s="281" t="s">
        <v>560</v>
      </c>
      <c r="AI255" s="305" t="s">
        <v>1509</v>
      </c>
      <c r="AJ255" s="305" t="s">
        <v>954</v>
      </c>
      <c r="AK255" s="181" t="str">
        <f t="shared" ca="1" si="46"/>
        <v>TERMINO</v>
      </c>
      <c r="AL255" s="310" t="s">
        <v>576</v>
      </c>
      <c r="AM255" s="176" t="s">
        <v>390</v>
      </c>
      <c r="AN255" s="848" t="str">
        <f>IFERROR(VLOOKUP(E255,'liquidaciones '!$B$2:$C$1048576,2,0),"NO")</f>
        <v>EN TRÁMITE</v>
      </c>
      <c r="AO255" s="944">
        <f>IFERROR(VLOOKUP(E255,'liquidaciones '!$B$2:$I$1048576,8,0),"")</f>
        <v>0</v>
      </c>
      <c r="AP255" s="338"/>
      <c r="AQ255" s="177" t="str">
        <f t="shared" ref="AQ255:AQ286" ca="1" si="51">IF((TODAY()-T255&lt;900),"SI","NO")</f>
        <v>NO</v>
      </c>
      <c r="AR255" s="177" t="s">
        <v>2390</v>
      </c>
      <c r="AS255" s="433"/>
      <c r="AT255" s="964"/>
      <c r="AU255" s="964"/>
      <c r="AV255" s="964"/>
    </row>
    <row r="256" spans="2:48" ht="47.25" customHeight="1" x14ac:dyDescent="0.25">
      <c r="B256" s="15">
        <v>250</v>
      </c>
      <c r="C256" s="437"/>
      <c r="D256" s="437" t="str">
        <f t="shared" si="38"/>
        <v>2014</v>
      </c>
      <c r="E256" s="351" t="s">
        <v>1364</v>
      </c>
      <c r="F256" s="864" t="s">
        <v>1535</v>
      </c>
      <c r="G256" s="866">
        <v>80100229</v>
      </c>
      <c r="H256" s="858" t="s">
        <v>1365</v>
      </c>
      <c r="I256" s="294">
        <v>17664500</v>
      </c>
      <c r="J256" s="134" t="s">
        <v>1088</v>
      </c>
      <c r="K256" s="295">
        <v>2014</v>
      </c>
      <c r="L256" s="546" t="s">
        <v>1088</v>
      </c>
      <c r="M256" s="865">
        <v>41956</v>
      </c>
      <c r="N256" s="865">
        <v>42063</v>
      </c>
      <c r="O256" s="127">
        <f>COUNTA(Modificaciones!I256,Modificaciones!K256,Modificaciones!M256,Modificaciones!O256)</f>
        <v>0</v>
      </c>
      <c r="P256" s="128">
        <f>VLOOKUP(E256,Modificaciones!$B$7:$Q$300,16,0)</f>
        <v>0</v>
      </c>
      <c r="Q256" s="129">
        <f>COUNTA(Modificaciones!S256,Modificaciones!U256,Modificaciones!W256,Modificaciones!Y256)</f>
        <v>0</v>
      </c>
      <c r="R256" s="130" t="str">
        <f>IF(Modificaciones!Z256=0,"",VLOOKUP(E256,Modificaciones!$B$7:$AA$400,25,0))</f>
        <v/>
      </c>
      <c r="S256" s="131" t="str">
        <f>IF(Modificaciones!AA256=0,"",VLOOKUP(E256,Modificaciones!$B$7:$AA$400,26,0))</f>
        <v/>
      </c>
      <c r="T256" s="126">
        <f t="shared" ref="T256:T319" si="52">MAX(N256,S256)</f>
        <v>42063</v>
      </c>
      <c r="U256" s="62">
        <f t="shared" si="39"/>
        <v>17664500</v>
      </c>
      <c r="V256" s="172">
        <f>VLOOKUP(E256,Modificaciones!$B$7:$AU$300,46,0)</f>
        <v>17664500</v>
      </c>
      <c r="W256" s="293">
        <f t="shared" si="40"/>
        <v>0</v>
      </c>
      <c r="X256" s="309" t="s">
        <v>1095</v>
      </c>
      <c r="Y256" s="42">
        <f t="shared" si="41"/>
        <v>1</v>
      </c>
      <c r="Z256" s="42">
        <f t="shared" ca="1" si="42"/>
        <v>1</v>
      </c>
      <c r="AA256" s="43">
        <f t="shared" ca="1" si="43"/>
        <v>0</v>
      </c>
      <c r="AB256" s="202" t="str">
        <f t="shared" ca="1" si="44"/>
        <v/>
      </c>
      <c r="AC256" s="44" t="str">
        <f t="shared" si="50"/>
        <v>SI</v>
      </c>
      <c r="AD256" s="44"/>
      <c r="AE256" s="173" t="s">
        <v>1257</v>
      </c>
      <c r="AF256" s="173" t="s">
        <v>2190</v>
      </c>
      <c r="AG256" s="173" t="s">
        <v>1177</v>
      </c>
      <c r="AH256" s="281" t="s">
        <v>559</v>
      </c>
      <c r="AI256" s="305" t="s">
        <v>2189</v>
      </c>
      <c r="AJ256" s="305" t="s">
        <v>954</v>
      </c>
      <c r="AK256" s="181" t="str">
        <f t="shared" ca="1" si="46"/>
        <v>TERMINO</v>
      </c>
      <c r="AL256" s="311" t="s">
        <v>582</v>
      </c>
      <c r="AM256" s="176" t="s">
        <v>391</v>
      </c>
      <c r="AN256" s="848" t="str">
        <f>IFERROR(VLOOKUP(E256,'liquidaciones '!$B$2:$C$1048576,2,0),"NO")</f>
        <v>LIQUIDADO</v>
      </c>
      <c r="AO256" s="944">
        <f>IFERROR(VLOOKUP(E256,'liquidaciones '!$B$2:$I$1048576,8,0),"")</f>
        <v>0</v>
      </c>
      <c r="AP256" s="338">
        <v>42265</v>
      </c>
      <c r="AQ256" s="177" t="str">
        <f t="shared" ca="1" si="51"/>
        <v>NO</v>
      </c>
      <c r="AR256" s="177" t="s">
        <v>981</v>
      </c>
      <c r="AS256" s="433"/>
      <c r="AT256" s="964"/>
      <c r="AU256" s="964"/>
      <c r="AV256" s="964"/>
    </row>
    <row r="257" spans="2:48" ht="47.25" customHeight="1" x14ac:dyDescent="0.25">
      <c r="B257" s="15">
        <v>251</v>
      </c>
      <c r="C257" s="437"/>
      <c r="D257" s="437" t="str">
        <f t="shared" si="38"/>
        <v>2014</v>
      </c>
      <c r="E257" s="351" t="s">
        <v>1419</v>
      </c>
      <c r="F257" s="864" t="s">
        <v>1420</v>
      </c>
      <c r="G257" s="866">
        <v>830087030</v>
      </c>
      <c r="H257" s="858" t="s">
        <v>1421</v>
      </c>
      <c r="I257" s="210">
        <v>4750000</v>
      </c>
      <c r="J257" s="134" t="s">
        <v>1088</v>
      </c>
      <c r="K257" s="295">
        <v>2014</v>
      </c>
      <c r="L257" s="546" t="s">
        <v>1088</v>
      </c>
      <c r="M257" s="865">
        <v>41968</v>
      </c>
      <c r="N257" s="865">
        <v>42060</v>
      </c>
      <c r="O257" s="127">
        <f>COUNTA(Modificaciones!I257,Modificaciones!K257,Modificaciones!M257,Modificaciones!O257)</f>
        <v>0</v>
      </c>
      <c r="P257" s="128">
        <f>VLOOKUP(E257,Modificaciones!$B$7:$Q$300,16,0)</f>
        <v>0</v>
      </c>
      <c r="Q257" s="129">
        <f>COUNTA(Modificaciones!S257,Modificaciones!U257,Modificaciones!W257,Modificaciones!Y257)</f>
        <v>0</v>
      </c>
      <c r="R257" s="130" t="str">
        <f>IF(Modificaciones!Z257=0,"",VLOOKUP(E257,Modificaciones!$B$7:$AA$400,25,0))</f>
        <v/>
      </c>
      <c r="S257" s="131" t="str">
        <f>IF(Modificaciones!AA257=0,"",VLOOKUP(E257,Modificaciones!$B$7:$AA$400,26,0))</f>
        <v/>
      </c>
      <c r="T257" s="126">
        <f t="shared" si="52"/>
        <v>42060</v>
      </c>
      <c r="U257" s="62">
        <f t="shared" si="39"/>
        <v>4750000</v>
      </c>
      <c r="V257" s="172">
        <f>VLOOKUP(E257,Modificaciones!$B$7:$AU$300,46,0)</f>
        <v>3978684</v>
      </c>
      <c r="W257" s="93">
        <f t="shared" si="40"/>
        <v>771316</v>
      </c>
      <c r="X257" s="309" t="s">
        <v>1422</v>
      </c>
      <c r="Y257" s="42">
        <f t="shared" si="41"/>
        <v>0.83761768421052629</v>
      </c>
      <c r="Z257" s="42">
        <f t="shared" ca="1" si="42"/>
        <v>1</v>
      </c>
      <c r="AA257" s="43">
        <f t="shared" ca="1" si="43"/>
        <v>0.16238231578947371</v>
      </c>
      <c r="AB257" s="202" t="str">
        <f t="shared" ca="1" si="44"/>
        <v/>
      </c>
      <c r="AC257" s="44" t="str">
        <f t="shared" si="50"/>
        <v>NO</v>
      </c>
      <c r="AD257" s="44"/>
      <c r="AE257" s="173" t="s">
        <v>1256</v>
      </c>
      <c r="AF257" s="281" t="s">
        <v>1423</v>
      </c>
      <c r="AG257" s="173" t="s">
        <v>1442</v>
      </c>
      <c r="AH257" s="281" t="s">
        <v>560</v>
      </c>
      <c r="AI257" s="305" t="s">
        <v>1507</v>
      </c>
      <c r="AJ257" s="305" t="s">
        <v>954</v>
      </c>
      <c r="AK257" s="181" t="str">
        <f t="shared" ca="1" si="46"/>
        <v>TERMINO</v>
      </c>
      <c r="AL257" s="310" t="s">
        <v>576</v>
      </c>
      <c r="AM257" s="176" t="s">
        <v>390</v>
      </c>
      <c r="AN257" s="848" t="str">
        <f>IFERROR(VLOOKUP(E257,'liquidaciones '!$B$2:$C$1048576,2,0),"NO")</f>
        <v>LIQUIDADO</v>
      </c>
      <c r="AO257" s="944">
        <f>IFERROR(VLOOKUP(E257,'liquidaciones '!$B$2:$I$1048576,8,0),"")</f>
        <v>0</v>
      </c>
      <c r="AP257" s="338"/>
      <c r="AQ257" s="177" t="str">
        <f t="shared" ca="1" si="51"/>
        <v>NO</v>
      </c>
      <c r="AR257" s="177" t="s">
        <v>1570</v>
      </c>
      <c r="AS257" s="433"/>
      <c r="AT257" s="964"/>
      <c r="AU257" s="964"/>
      <c r="AV257" s="964"/>
    </row>
    <row r="258" spans="2:48" ht="47.25" customHeight="1" x14ac:dyDescent="0.25">
      <c r="B258" s="15">
        <v>252</v>
      </c>
      <c r="C258" s="437"/>
      <c r="D258" s="437" t="str">
        <f t="shared" si="38"/>
        <v>2014</v>
      </c>
      <c r="E258" s="351" t="s">
        <v>1424</v>
      </c>
      <c r="F258" s="864" t="s">
        <v>428</v>
      </c>
      <c r="G258" s="866">
        <v>830050919</v>
      </c>
      <c r="H258" s="858" t="s">
        <v>1425</v>
      </c>
      <c r="I258" s="210">
        <v>506601000</v>
      </c>
      <c r="J258" s="850" t="s">
        <v>2454</v>
      </c>
      <c r="K258" s="295">
        <v>2014</v>
      </c>
      <c r="L258" s="546" t="s">
        <v>1088</v>
      </c>
      <c r="M258" s="865">
        <v>41963</v>
      </c>
      <c r="N258" s="865">
        <v>42205</v>
      </c>
      <c r="O258" s="127">
        <f>COUNTA(Modificaciones!I258,Modificaciones!K258,Modificaciones!M258,Modificaciones!O258)</f>
        <v>2</v>
      </c>
      <c r="P258" s="128">
        <f>VLOOKUP(E258,Modificaciones!$B$7:$Q$300,16,0)</f>
        <v>162106669</v>
      </c>
      <c r="Q258" s="129">
        <f>COUNTA(Modificaciones!S258,Modificaciones!U258,Modificaciones!W258,Modificaciones!Y258)</f>
        <v>0</v>
      </c>
      <c r="R258" s="130" t="str">
        <f>IF(Modificaciones!Z258=0,"",VLOOKUP(E258,Modificaciones!$B$7:$AA$400,25,0))</f>
        <v/>
      </c>
      <c r="S258" s="131" t="str">
        <f>IF(Modificaciones!AA258=0,"",VLOOKUP(E258,Modificaciones!$B$7:$AA$400,26,0))</f>
        <v/>
      </c>
      <c r="T258" s="126">
        <f t="shared" si="52"/>
        <v>42205</v>
      </c>
      <c r="U258" s="62">
        <f t="shared" si="39"/>
        <v>668707669</v>
      </c>
      <c r="V258" s="172">
        <f>VLOOKUP(E258,Modificaciones!$B$7:$AU$300,46,0)</f>
        <v>665337830</v>
      </c>
      <c r="W258" s="93">
        <f t="shared" si="40"/>
        <v>3369839</v>
      </c>
      <c r="X258" s="309" t="s">
        <v>1095</v>
      </c>
      <c r="Y258" s="42">
        <f t="shared" si="41"/>
        <v>0.99496066942818329</v>
      </c>
      <c r="Z258" s="42">
        <f t="shared" ca="1" si="42"/>
        <v>1</v>
      </c>
      <c r="AA258" s="43">
        <f t="shared" ca="1" si="43"/>
        <v>5.0393305718167136E-3</v>
      </c>
      <c r="AB258" s="202" t="str">
        <f t="shared" ca="1" si="44"/>
        <v/>
      </c>
      <c r="AC258" s="44" t="str">
        <f t="shared" si="50"/>
        <v>NO</v>
      </c>
      <c r="AD258" s="44"/>
      <c r="AE258" s="173" t="s">
        <v>1256</v>
      </c>
      <c r="AF258" s="281" t="s">
        <v>1426</v>
      </c>
      <c r="AG258" s="173" t="s">
        <v>1435</v>
      </c>
      <c r="AH258" s="281" t="s">
        <v>560</v>
      </c>
      <c r="AI258" s="174" t="s">
        <v>1386</v>
      </c>
      <c r="AJ258" s="305" t="s">
        <v>954</v>
      </c>
      <c r="AK258" s="181" t="str">
        <f t="shared" ca="1" si="46"/>
        <v>TERMINO</v>
      </c>
      <c r="AL258" s="310" t="s">
        <v>573</v>
      </c>
      <c r="AM258" s="176" t="s">
        <v>390</v>
      </c>
      <c r="AN258" s="848" t="str">
        <f>IFERROR(VLOOKUP(E258,'liquidaciones '!$B$2:$C$1048576,2,0),"NO")</f>
        <v>LIQUIDADO</v>
      </c>
      <c r="AO258" s="944">
        <f>IFERROR(VLOOKUP(E258,'liquidaciones '!$B$2:$I$1048576,8,0),"")</f>
        <v>0</v>
      </c>
      <c r="AP258" s="338"/>
      <c r="AQ258" s="177" t="str">
        <f t="shared" ca="1" si="51"/>
        <v>NO</v>
      </c>
      <c r="AR258" s="177" t="s">
        <v>2076</v>
      </c>
      <c r="AS258" s="433"/>
      <c r="AT258" s="964"/>
      <c r="AU258" s="964"/>
      <c r="AV258" s="964"/>
    </row>
    <row r="259" spans="2:48" ht="47.25" customHeight="1" x14ac:dyDescent="0.25">
      <c r="B259" s="15">
        <v>253</v>
      </c>
      <c r="C259" s="437"/>
      <c r="D259" s="437" t="str">
        <f t="shared" si="38"/>
        <v>2014</v>
      </c>
      <c r="E259" s="351" t="s">
        <v>1474</v>
      </c>
      <c r="F259" s="864" t="s">
        <v>64</v>
      </c>
      <c r="G259" s="866">
        <v>830143378</v>
      </c>
      <c r="H259" s="858" t="s">
        <v>1475</v>
      </c>
      <c r="I259" s="210">
        <v>401058400</v>
      </c>
      <c r="J259" s="134" t="s">
        <v>1088</v>
      </c>
      <c r="K259" s="295">
        <v>2014</v>
      </c>
      <c r="L259" s="546" t="s">
        <v>1088</v>
      </c>
      <c r="M259" s="865">
        <v>42031</v>
      </c>
      <c r="N259" s="865">
        <v>42274</v>
      </c>
      <c r="O259" s="127">
        <f>COUNTA(Modificaciones!I259,Modificaciones!K259,Modificaciones!M259,Modificaciones!O259)</f>
        <v>0</v>
      </c>
      <c r="P259" s="128">
        <f>VLOOKUP(E259,Modificaciones!$B$7:$Q$300,16,0)</f>
        <v>0</v>
      </c>
      <c r="Q259" s="129">
        <f>COUNTA(Modificaciones!S259,Modificaciones!U259,Modificaciones!W259,Modificaciones!Y259)</f>
        <v>1</v>
      </c>
      <c r="R259" s="130" t="str">
        <f>IF(Modificaciones!Z259=0,"",VLOOKUP(E259,Modificaciones!$B$7:$AA$400,25,0))</f>
        <v>2 meses</v>
      </c>
      <c r="S259" s="131">
        <f>IF(Modificaciones!AA259=0,"",VLOOKUP(E259,Modificaciones!$B$7:$AA$400,26,0))</f>
        <v>42335</v>
      </c>
      <c r="T259" s="126">
        <f t="shared" si="52"/>
        <v>42335</v>
      </c>
      <c r="U259" s="62">
        <f t="shared" si="39"/>
        <v>401058400</v>
      </c>
      <c r="V259" s="172">
        <f>VLOOKUP(E259,Modificaciones!$B$7:$AU$300,46,0)</f>
        <v>401058400</v>
      </c>
      <c r="W259" s="93">
        <f t="shared" si="40"/>
        <v>0</v>
      </c>
      <c r="X259" s="309" t="s">
        <v>1476</v>
      </c>
      <c r="Y259" s="42">
        <f t="shared" si="41"/>
        <v>1</v>
      </c>
      <c r="Z259" s="42">
        <f t="shared" ca="1" si="42"/>
        <v>1</v>
      </c>
      <c r="AA259" s="43">
        <f t="shared" ca="1" si="43"/>
        <v>0</v>
      </c>
      <c r="AB259" s="202" t="str">
        <f t="shared" ca="1" si="44"/>
        <v/>
      </c>
      <c r="AC259" s="44" t="str">
        <f t="shared" si="50"/>
        <v>SI</v>
      </c>
      <c r="AD259" s="44"/>
      <c r="AE259" s="173" t="s">
        <v>1256</v>
      </c>
      <c r="AF259" s="281" t="s">
        <v>1283</v>
      </c>
      <c r="AG259" s="173" t="s">
        <v>1435</v>
      </c>
      <c r="AH259" s="281" t="s">
        <v>560</v>
      </c>
      <c r="AI259" s="305" t="s">
        <v>1386</v>
      </c>
      <c r="AJ259" s="305" t="s">
        <v>954</v>
      </c>
      <c r="AK259" s="181" t="str">
        <f t="shared" ca="1" si="46"/>
        <v>TERMINO</v>
      </c>
      <c r="AL259" s="310" t="s">
        <v>573</v>
      </c>
      <c r="AM259" s="176" t="s">
        <v>390</v>
      </c>
      <c r="AN259" s="848" t="str">
        <f>IFERROR(VLOOKUP(E259,'liquidaciones '!$B$2:$C$1048576,2,0),"NO")</f>
        <v>LIQUIDADO</v>
      </c>
      <c r="AO259" s="944" t="str">
        <f>IFERROR(VLOOKUP(E259,'liquidaciones '!$B$2:$I$1048576,8,0),"")</f>
        <v>LEIDY RIVERA</v>
      </c>
      <c r="AP259" s="338"/>
      <c r="AQ259" s="177" t="str">
        <f t="shared" ca="1" si="51"/>
        <v>NO</v>
      </c>
      <c r="AR259" s="177" t="s">
        <v>2076</v>
      </c>
      <c r="AS259" s="433"/>
      <c r="AT259" s="964"/>
      <c r="AU259" s="964"/>
      <c r="AV259" s="964"/>
    </row>
    <row r="260" spans="2:48" ht="47.25" customHeight="1" x14ac:dyDescent="0.25">
      <c r="B260" s="15">
        <v>254</v>
      </c>
      <c r="C260" s="437"/>
      <c r="D260" s="437" t="str">
        <f t="shared" si="38"/>
        <v>2014</v>
      </c>
      <c r="E260" s="866" t="s">
        <v>1477</v>
      </c>
      <c r="F260" s="864" t="s">
        <v>3</v>
      </c>
      <c r="G260" s="133">
        <v>830095213</v>
      </c>
      <c r="H260" s="858" t="s">
        <v>402</v>
      </c>
      <c r="I260" s="210">
        <v>171253333</v>
      </c>
      <c r="J260" s="134" t="s">
        <v>1088</v>
      </c>
      <c r="K260" s="295">
        <v>2014</v>
      </c>
      <c r="L260" s="546" t="s">
        <v>1088</v>
      </c>
      <c r="M260" s="865">
        <v>41961</v>
      </c>
      <c r="N260" s="865">
        <v>42063</v>
      </c>
      <c r="O260" s="127">
        <f>COUNTA(Modificaciones!I260,Modificaciones!K260,Modificaciones!M260,Modificaciones!O260)</f>
        <v>0</v>
      </c>
      <c r="P260" s="128">
        <f>VLOOKUP(E260,Modificaciones!$B$7:$Q$300,16,0)</f>
        <v>0</v>
      </c>
      <c r="Q260" s="129">
        <f>COUNTA(Modificaciones!S260,Modificaciones!U260,Modificaciones!W260,Modificaciones!Y260)</f>
        <v>0</v>
      </c>
      <c r="R260" s="130" t="str">
        <f>IF(Modificaciones!Z260=0,"",VLOOKUP(E260,Modificaciones!$B$7:$AA$400,25,0))</f>
        <v/>
      </c>
      <c r="S260" s="131" t="str">
        <f>IF(Modificaciones!AA260=0,"",VLOOKUP(E260,Modificaciones!$B$7:$AA$400,26,0))</f>
        <v/>
      </c>
      <c r="T260" s="126">
        <f t="shared" si="52"/>
        <v>42063</v>
      </c>
      <c r="U260" s="62">
        <f t="shared" si="39"/>
        <v>171253333</v>
      </c>
      <c r="V260" s="172">
        <f>VLOOKUP(E260,Modificaciones!$B$7:$AU$300,46,0)</f>
        <v>123537109</v>
      </c>
      <c r="W260" s="93">
        <f t="shared" si="40"/>
        <v>47716224</v>
      </c>
      <c r="X260" s="309" t="s">
        <v>1478</v>
      </c>
      <c r="Y260" s="42">
        <f t="shared" si="41"/>
        <v>0.72137053823063402</v>
      </c>
      <c r="Z260" s="42">
        <f t="shared" ca="1" si="42"/>
        <v>1</v>
      </c>
      <c r="AA260" s="43">
        <f t="shared" ca="1" si="43"/>
        <v>0.27862946176936598</v>
      </c>
      <c r="AB260" s="202" t="str">
        <f t="shared" ca="1" si="44"/>
        <v/>
      </c>
      <c r="AC260" s="44" t="str">
        <f t="shared" si="50"/>
        <v>NO</v>
      </c>
      <c r="AD260" s="44"/>
      <c r="AE260" s="173" t="s">
        <v>1256</v>
      </c>
      <c r="AF260" s="281" t="s">
        <v>1139</v>
      </c>
      <c r="AG260" s="173" t="s">
        <v>1442</v>
      </c>
      <c r="AH260" s="281" t="s">
        <v>560</v>
      </c>
      <c r="AI260" s="305" t="s">
        <v>1319</v>
      </c>
      <c r="AJ260" s="305" t="s">
        <v>954</v>
      </c>
      <c r="AK260" s="181" t="str">
        <f t="shared" ca="1" si="46"/>
        <v>TERMINO</v>
      </c>
      <c r="AL260" s="310"/>
      <c r="AM260" s="176"/>
      <c r="AN260" s="848" t="str">
        <f>IFERROR(VLOOKUP(E260,'liquidaciones '!$B$2:$C$1048576,2,0),"NO")</f>
        <v>EN TRÁMITE</v>
      </c>
      <c r="AO260" s="944" t="str">
        <f>IFERROR(VLOOKUP(E260,'liquidaciones '!$B$2:$I$1048576,8,0),"")</f>
        <v>JULIETH ANGARITA</v>
      </c>
      <c r="AP260" s="338"/>
      <c r="AQ260" s="177" t="str">
        <f t="shared" ca="1" si="51"/>
        <v>NO</v>
      </c>
      <c r="AR260" s="177" t="s">
        <v>1571</v>
      </c>
      <c r="AS260" s="433"/>
      <c r="AT260" s="964"/>
      <c r="AU260" s="964"/>
      <c r="AV260" s="964"/>
    </row>
    <row r="261" spans="2:48" ht="47.25" customHeight="1" x14ac:dyDescent="0.25">
      <c r="B261" s="15">
        <v>255</v>
      </c>
      <c r="C261" s="437"/>
      <c r="D261" s="437" t="str">
        <f t="shared" si="38"/>
        <v>2014</v>
      </c>
      <c r="E261" s="351" t="s">
        <v>1485</v>
      </c>
      <c r="F261" s="864" t="s">
        <v>1596</v>
      </c>
      <c r="G261" s="133">
        <v>79106019</v>
      </c>
      <c r="H261" s="858" t="s">
        <v>1486</v>
      </c>
      <c r="I261" s="210">
        <v>12700000</v>
      </c>
      <c r="J261" s="850" t="s">
        <v>4312</v>
      </c>
      <c r="K261" s="295">
        <v>2014</v>
      </c>
      <c r="L261" s="546" t="s">
        <v>1088</v>
      </c>
      <c r="M261" s="865">
        <v>41982</v>
      </c>
      <c r="N261" s="865">
        <v>42044</v>
      </c>
      <c r="O261" s="127">
        <f>COUNTA(Modificaciones!I261,Modificaciones!K261,Modificaciones!M261,Modificaciones!O261)</f>
        <v>0</v>
      </c>
      <c r="P261" s="128">
        <f>VLOOKUP(E261,Modificaciones!$B$7:$Q$300,16,0)</f>
        <v>0</v>
      </c>
      <c r="Q261" s="129">
        <f>COUNTA(Modificaciones!S261,Modificaciones!U261,Modificaciones!W261,Modificaciones!Y261)</f>
        <v>0</v>
      </c>
      <c r="R261" s="130" t="str">
        <f>IF(Modificaciones!Z261=0,"",VLOOKUP(E261,Modificaciones!$B$7:$AA$400,25,0))</f>
        <v/>
      </c>
      <c r="S261" s="131" t="str">
        <f>IF(Modificaciones!AA261=0,"",VLOOKUP(E261,Modificaciones!$B$7:$AA$400,26,0))</f>
        <v/>
      </c>
      <c r="T261" s="126">
        <f t="shared" si="52"/>
        <v>42044</v>
      </c>
      <c r="U261" s="62">
        <f t="shared" si="39"/>
        <v>12700000</v>
      </c>
      <c r="V261" s="172">
        <f>VLOOKUP(E261,Modificaciones!$B$7:$AU$300,46,0)</f>
        <v>12458400</v>
      </c>
      <c r="W261" s="93">
        <f t="shared" si="40"/>
        <v>241600</v>
      </c>
      <c r="X261" s="309" t="s">
        <v>1487</v>
      </c>
      <c r="Y261" s="42">
        <f t="shared" si="41"/>
        <v>0.98097637795275594</v>
      </c>
      <c r="Z261" s="42">
        <f t="shared" ca="1" si="42"/>
        <v>1</v>
      </c>
      <c r="AA261" s="43">
        <f t="shared" ca="1" si="43"/>
        <v>1.902362204724406E-2</v>
      </c>
      <c r="AB261" s="202" t="str">
        <f t="shared" ca="1" si="44"/>
        <v/>
      </c>
      <c r="AC261" s="44" t="str">
        <f t="shared" si="50"/>
        <v>NO</v>
      </c>
      <c r="AD261" s="44"/>
      <c r="AE261" s="173" t="s">
        <v>1256</v>
      </c>
      <c r="AF261" s="281" t="s">
        <v>1488</v>
      </c>
      <c r="AG261" s="173" t="s">
        <v>1442</v>
      </c>
      <c r="AH261" s="281" t="s">
        <v>560</v>
      </c>
      <c r="AI261" s="305" t="s">
        <v>1380</v>
      </c>
      <c r="AJ261" s="305" t="s">
        <v>954</v>
      </c>
      <c r="AK261" s="181" t="str">
        <f t="shared" ca="1" si="46"/>
        <v>TERMINO</v>
      </c>
      <c r="AL261" s="310" t="s">
        <v>576</v>
      </c>
      <c r="AM261" s="176" t="s">
        <v>390</v>
      </c>
      <c r="AN261" s="848" t="str">
        <f>IFERROR(VLOOKUP(E261,'liquidaciones '!$B$2:$C$1048576,2,0),"NO")</f>
        <v>LIQUIDADO</v>
      </c>
      <c r="AO261" s="944">
        <f>IFERROR(VLOOKUP(E261,'liquidaciones '!$B$2:$I$1048576,8,0),"")</f>
        <v>0</v>
      </c>
      <c r="AP261" s="338">
        <v>42272</v>
      </c>
      <c r="AQ261" s="177" t="str">
        <f t="shared" ca="1" si="51"/>
        <v>NO</v>
      </c>
      <c r="AR261" s="177" t="s">
        <v>1056</v>
      </c>
      <c r="AS261" s="433"/>
      <c r="AT261" s="964"/>
      <c r="AU261" s="964"/>
      <c r="AV261" s="964"/>
    </row>
    <row r="262" spans="2:48" ht="47.25" customHeight="1" x14ac:dyDescent="0.25">
      <c r="B262" s="15">
        <v>256</v>
      </c>
      <c r="C262" s="437"/>
      <c r="D262" s="437" t="str">
        <f t="shared" si="38"/>
        <v>2014</v>
      </c>
      <c r="E262" s="351" t="s">
        <v>1481</v>
      </c>
      <c r="F262" s="864" t="s">
        <v>1482</v>
      </c>
      <c r="G262" s="866">
        <v>860007336</v>
      </c>
      <c r="H262" s="858" t="s">
        <v>1483</v>
      </c>
      <c r="I262" s="210">
        <v>39424000</v>
      </c>
      <c r="J262" s="134" t="s">
        <v>1088</v>
      </c>
      <c r="K262" s="295">
        <v>2014</v>
      </c>
      <c r="L262" s="546" t="s">
        <v>1088</v>
      </c>
      <c r="M262" s="865">
        <v>41982</v>
      </c>
      <c r="N262" s="865">
        <v>42013</v>
      </c>
      <c r="O262" s="127">
        <f>COUNTA(Modificaciones!I262,Modificaciones!K262,Modificaciones!M262,Modificaciones!O262)</f>
        <v>0</v>
      </c>
      <c r="P262" s="128">
        <f>VLOOKUP(E262,Modificaciones!$B$7:$Q$300,16,0)</f>
        <v>0</v>
      </c>
      <c r="Q262" s="129">
        <f>COUNTA(Modificaciones!S262,Modificaciones!U262,Modificaciones!W262,Modificaciones!Y262)</f>
        <v>0</v>
      </c>
      <c r="R262" s="130" t="str">
        <f>IF(Modificaciones!Z262=0,"",VLOOKUP(E262,Modificaciones!$B$7:$AA$400,25,0))</f>
        <v/>
      </c>
      <c r="S262" s="131" t="str">
        <f>IF(Modificaciones!AA262=0,"",VLOOKUP(E262,Modificaciones!$B$7:$AA$400,26,0))</f>
        <v/>
      </c>
      <c r="T262" s="126">
        <f t="shared" si="52"/>
        <v>42013</v>
      </c>
      <c r="U262" s="62">
        <f t="shared" si="39"/>
        <v>39424000</v>
      </c>
      <c r="V262" s="172">
        <f>VLOOKUP(E262,Modificaciones!$B$7:$AU$300,46,0)</f>
        <v>39424000</v>
      </c>
      <c r="W262" s="93">
        <f t="shared" si="40"/>
        <v>0</v>
      </c>
      <c r="X262" s="309" t="s">
        <v>1895</v>
      </c>
      <c r="Y262" s="42">
        <f t="shared" si="41"/>
        <v>1</v>
      </c>
      <c r="Z262" s="42">
        <f t="shared" ca="1" si="42"/>
        <v>1</v>
      </c>
      <c r="AA262" s="43">
        <f t="shared" ca="1" si="43"/>
        <v>0</v>
      </c>
      <c r="AB262" s="202" t="str">
        <f t="shared" ca="1" si="44"/>
        <v/>
      </c>
      <c r="AC262" s="44" t="str">
        <f t="shared" si="50"/>
        <v>SI</v>
      </c>
      <c r="AD262" s="44"/>
      <c r="AE262" s="173" t="s">
        <v>1256</v>
      </c>
      <c r="AF262" s="281" t="s">
        <v>1484</v>
      </c>
      <c r="AG262" s="173" t="s">
        <v>1435</v>
      </c>
      <c r="AH262" s="281" t="s">
        <v>560</v>
      </c>
      <c r="AI262" s="305" t="s">
        <v>1386</v>
      </c>
      <c r="AJ262" s="305" t="s">
        <v>954</v>
      </c>
      <c r="AK262" s="181" t="str">
        <f t="shared" ca="1" si="46"/>
        <v>TERMINO</v>
      </c>
      <c r="AL262" s="310" t="s">
        <v>574</v>
      </c>
      <c r="AM262" s="176" t="s">
        <v>391</v>
      </c>
      <c r="AN262" s="848" t="str">
        <f>IFERROR(VLOOKUP(E262,'liquidaciones '!$B$2:$C$1048576,2,0),"NO")</f>
        <v>LIQUIDADO</v>
      </c>
      <c r="AO262" s="944">
        <f>IFERROR(VLOOKUP(E262,'liquidaciones '!$B$2:$I$1048576,8,0),"")</f>
        <v>0</v>
      </c>
      <c r="AP262" s="338">
        <v>42278</v>
      </c>
      <c r="AQ262" s="177" t="str">
        <f t="shared" ca="1" si="51"/>
        <v>NO</v>
      </c>
      <c r="AR262" s="177" t="s">
        <v>1571</v>
      </c>
      <c r="AS262" s="433"/>
      <c r="AT262" s="964"/>
      <c r="AU262" s="964"/>
      <c r="AV262" s="964"/>
    </row>
    <row r="263" spans="2:48" ht="47.25" customHeight="1" x14ac:dyDescent="0.25">
      <c r="B263" s="15">
        <v>257</v>
      </c>
      <c r="C263" s="437"/>
      <c r="D263" s="437" t="str">
        <f t="shared" ref="D263:D326" si="53">K263&amp;C263</f>
        <v>2014</v>
      </c>
      <c r="E263" s="351" t="s">
        <v>1497</v>
      </c>
      <c r="F263" s="132" t="s">
        <v>418</v>
      </c>
      <c r="G263" s="133">
        <v>891501783</v>
      </c>
      <c r="H263" s="858" t="s">
        <v>1498</v>
      </c>
      <c r="I263" s="210">
        <v>187940000</v>
      </c>
      <c r="J263" s="134" t="s">
        <v>1088</v>
      </c>
      <c r="K263" s="295">
        <v>2014</v>
      </c>
      <c r="L263" s="546" t="s">
        <v>1088</v>
      </c>
      <c r="M263" s="865">
        <v>42023</v>
      </c>
      <c r="N263" s="865">
        <v>42102</v>
      </c>
      <c r="O263" s="127">
        <f>COUNTA(Modificaciones!I263,Modificaciones!K263,Modificaciones!M263,Modificaciones!O263)</f>
        <v>0</v>
      </c>
      <c r="P263" s="128">
        <f>VLOOKUP(E263,Modificaciones!$B$7:$Q$300,16,0)</f>
        <v>0</v>
      </c>
      <c r="Q263" s="129">
        <f>COUNTA(Modificaciones!S263,Modificaciones!U263,Modificaciones!W263,Modificaciones!Y263)</f>
        <v>0</v>
      </c>
      <c r="R263" s="130" t="str">
        <f>IF(Modificaciones!Z263=0,"",VLOOKUP(E263,Modificaciones!$B$7:$AA$400,25,0))</f>
        <v/>
      </c>
      <c r="S263" s="131" t="str">
        <f>IF(Modificaciones!AA263=0,"",VLOOKUP(E263,Modificaciones!$B$7:$AA$400,26,0))</f>
        <v/>
      </c>
      <c r="T263" s="126">
        <f t="shared" si="52"/>
        <v>42102</v>
      </c>
      <c r="U263" s="62">
        <f t="shared" ref="U263:U326" si="54">I263+P263</f>
        <v>187940000</v>
      </c>
      <c r="V263" s="172">
        <f>VLOOKUP(E263,Modificaciones!$B$7:$AU$300,46,0)</f>
        <v>187940000</v>
      </c>
      <c r="W263" s="93">
        <f t="shared" ref="W263:W326" si="55">U263-V263</f>
        <v>0</v>
      </c>
      <c r="X263" s="309" t="s">
        <v>1107</v>
      </c>
      <c r="Y263" s="42">
        <f t="shared" ref="Y263:Y326" si="56">(V263*100%)/U263</f>
        <v>1</v>
      </c>
      <c r="Z263" s="42">
        <f t="shared" ref="Z263:Z326" ca="1" si="57">IF((($F$3-M263)*100%/(T263-M263))&gt;100%,100%,(($F$3-M263)*100%/(T263-M263)))</f>
        <v>1</v>
      </c>
      <c r="AA263" s="43">
        <f t="shared" ref="AA263:AA326" ca="1" si="58">Z263-Y263</f>
        <v>0</v>
      </c>
      <c r="AB263" s="202" t="str">
        <f t="shared" ref="AB263:AB326" ca="1" si="59">IF(Z263&lt;100%,T263-$F$3,"")</f>
        <v/>
      </c>
      <c r="AC263" s="44" t="str">
        <f t="shared" si="50"/>
        <v>SI</v>
      </c>
      <c r="AD263" s="44"/>
      <c r="AE263" s="173" t="s">
        <v>1257</v>
      </c>
      <c r="AF263" s="281" t="s">
        <v>1499</v>
      </c>
      <c r="AG263" s="173" t="s">
        <v>1439</v>
      </c>
      <c r="AH263" s="281" t="s">
        <v>560</v>
      </c>
      <c r="AI263" s="305" t="s">
        <v>1509</v>
      </c>
      <c r="AJ263" s="305" t="s">
        <v>954</v>
      </c>
      <c r="AK263" s="181" t="str">
        <f t="shared" ref="AK263:AK326" ca="1" si="60">IF(T263&gt;=$F$3,"EN EJECUCIÓN","TERMINO")</f>
        <v>TERMINO</v>
      </c>
      <c r="AL263" s="310" t="s">
        <v>575</v>
      </c>
      <c r="AM263" s="176" t="s">
        <v>390</v>
      </c>
      <c r="AN263" s="848" t="str">
        <f>IFERROR(VLOOKUP(E263,'liquidaciones '!$B$2:$C$1048576,2,0),"NO")</f>
        <v>LIQUIDADO</v>
      </c>
      <c r="AO263" s="944">
        <f>IFERROR(VLOOKUP(E263,'liquidaciones '!$B$2:$I$1048576,8,0),"")</f>
        <v>0</v>
      </c>
      <c r="AP263" s="338"/>
      <c r="AQ263" s="177" t="str">
        <f t="shared" ca="1" si="51"/>
        <v>NO</v>
      </c>
      <c r="AR263" s="177" t="s">
        <v>1992</v>
      </c>
      <c r="AS263" s="433"/>
      <c r="AT263" s="964"/>
      <c r="AU263" s="964"/>
      <c r="AV263" s="964"/>
    </row>
    <row r="264" spans="2:48" ht="47.25" customHeight="1" x14ac:dyDescent="0.25">
      <c r="B264" s="15">
        <v>258</v>
      </c>
      <c r="C264" s="437"/>
      <c r="D264" s="437" t="str">
        <f t="shared" si="53"/>
        <v>2014</v>
      </c>
      <c r="E264" s="866" t="s">
        <v>1491</v>
      </c>
      <c r="F264" s="864" t="s">
        <v>1492</v>
      </c>
      <c r="G264" s="866">
        <v>800085526</v>
      </c>
      <c r="H264" s="858" t="s">
        <v>1493</v>
      </c>
      <c r="I264" s="210">
        <v>300000000</v>
      </c>
      <c r="J264" s="134" t="s">
        <v>1088</v>
      </c>
      <c r="K264" s="295">
        <v>2014</v>
      </c>
      <c r="L264" s="546" t="s">
        <v>1088</v>
      </c>
      <c r="M264" s="865">
        <v>41989</v>
      </c>
      <c r="N264" s="865">
        <v>42140</v>
      </c>
      <c r="O264" s="127">
        <f>COUNTA(Modificaciones!I264,Modificaciones!K264,Modificaciones!M264,Modificaciones!O264)</f>
        <v>0</v>
      </c>
      <c r="P264" s="128">
        <f>VLOOKUP(E264,Modificaciones!$B$7:$Q$300,16,0)</f>
        <v>0</v>
      </c>
      <c r="Q264" s="129">
        <f>COUNTA(Modificaciones!S264,Modificaciones!U264,Modificaciones!W264,Modificaciones!Y264)</f>
        <v>0</v>
      </c>
      <c r="R264" s="130" t="str">
        <f>IF(Modificaciones!Z264=0,"",VLOOKUP(E264,Modificaciones!$B$7:$AA$400,25,0))</f>
        <v/>
      </c>
      <c r="S264" s="131" t="str">
        <f>IF(Modificaciones!AA264=0,"",VLOOKUP(E264,Modificaciones!$B$7:$AA$400,26,0))</f>
        <v/>
      </c>
      <c r="T264" s="126">
        <f t="shared" si="52"/>
        <v>42140</v>
      </c>
      <c r="U264" s="62">
        <f t="shared" si="54"/>
        <v>300000000</v>
      </c>
      <c r="V264" s="172">
        <f>VLOOKUP(E264,Modificaciones!$B$7:$AU$300,46,0)</f>
        <v>238626484</v>
      </c>
      <c r="W264" s="93">
        <f t="shared" si="55"/>
        <v>61373516</v>
      </c>
      <c r="X264" s="309" t="s">
        <v>1095</v>
      </c>
      <c r="Y264" s="42">
        <f t="shared" si="56"/>
        <v>0.79542161333333339</v>
      </c>
      <c r="Z264" s="42">
        <f t="shared" ca="1" si="57"/>
        <v>1</v>
      </c>
      <c r="AA264" s="43">
        <f t="shared" ca="1" si="58"/>
        <v>0.20457838666666661</v>
      </c>
      <c r="AB264" s="202" t="str">
        <f t="shared" ca="1" si="59"/>
        <v/>
      </c>
      <c r="AC264" s="44" t="str">
        <f t="shared" si="50"/>
        <v>NO</v>
      </c>
      <c r="AD264" s="44"/>
      <c r="AE264" s="173" t="s">
        <v>1256</v>
      </c>
      <c r="AF264" s="281" t="s">
        <v>1127</v>
      </c>
      <c r="AG264" s="173"/>
      <c r="AH264" s="281" t="s">
        <v>560</v>
      </c>
      <c r="AI264" s="305"/>
      <c r="AJ264" s="305" t="s">
        <v>954</v>
      </c>
      <c r="AK264" s="181" t="str">
        <f t="shared" ca="1" si="60"/>
        <v>TERMINO</v>
      </c>
      <c r="AL264" s="310" t="s">
        <v>575</v>
      </c>
      <c r="AM264" s="176" t="s">
        <v>390</v>
      </c>
      <c r="AN264" s="848" t="str">
        <f>IFERROR(VLOOKUP(E264,'liquidaciones '!$B$2:$C$1048576,2,0),"NO")</f>
        <v>LIQUIDADO</v>
      </c>
      <c r="AO264" s="944">
        <f>IFERROR(VLOOKUP(E264,'liquidaciones '!$B$2:$I$1048576,8,0),"")</f>
        <v>0</v>
      </c>
      <c r="AP264" s="338"/>
      <c r="AQ264" s="177" t="str">
        <f t="shared" ca="1" si="51"/>
        <v>NO</v>
      </c>
      <c r="AR264" s="177" t="s">
        <v>2076</v>
      </c>
      <c r="AS264" s="433"/>
      <c r="AT264" s="964"/>
      <c r="AU264" s="964"/>
      <c r="AV264" s="964"/>
    </row>
    <row r="265" spans="2:48" ht="67.5" x14ac:dyDescent="0.25">
      <c r="B265" s="15">
        <v>259</v>
      </c>
      <c r="C265" s="437"/>
      <c r="D265" s="437" t="str">
        <f t="shared" si="53"/>
        <v>2014</v>
      </c>
      <c r="E265" s="866" t="s">
        <v>1494</v>
      </c>
      <c r="F265" s="864" t="s">
        <v>1420</v>
      </c>
      <c r="G265" s="866">
        <v>830087030</v>
      </c>
      <c r="H265" s="858" t="s">
        <v>1495</v>
      </c>
      <c r="I265" s="210">
        <v>29997466</v>
      </c>
      <c r="J265" s="134" t="s">
        <v>1088</v>
      </c>
      <c r="K265" s="295">
        <v>2014</v>
      </c>
      <c r="L265" s="546" t="s">
        <v>1088</v>
      </c>
      <c r="M265" s="865">
        <v>41988</v>
      </c>
      <c r="N265" s="865">
        <v>42109</v>
      </c>
      <c r="O265" s="127">
        <f>COUNTA(Modificaciones!I265,Modificaciones!K265,Modificaciones!M265,Modificaciones!O265)</f>
        <v>0</v>
      </c>
      <c r="P265" s="128">
        <f>VLOOKUP(E265,Modificaciones!$B$7:$Q$300,16,0)</f>
        <v>0</v>
      </c>
      <c r="Q265" s="129">
        <f>COUNTA(Modificaciones!S265,Modificaciones!U265,Modificaciones!W265,Modificaciones!Y265)</f>
        <v>0</v>
      </c>
      <c r="R265" s="130" t="str">
        <f>IF(Modificaciones!Z265=0,"",VLOOKUP(E265,Modificaciones!$B$7:$AA$400,25,0))</f>
        <v/>
      </c>
      <c r="S265" s="131" t="str">
        <f>IF(Modificaciones!AA265=0,"",VLOOKUP(E265,Modificaciones!$B$7:$AA$400,26,0))</f>
        <v/>
      </c>
      <c r="T265" s="126">
        <f t="shared" si="52"/>
        <v>42109</v>
      </c>
      <c r="U265" s="62">
        <f t="shared" si="54"/>
        <v>29997466</v>
      </c>
      <c r="V265" s="172">
        <f>VLOOKUP(E265,Modificaciones!$B$7:$AU$300,46,0)</f>
        <v>29997466</v>
      </c>
      <c r="W265" s="93">
        <f t="shared" si="55"/>
        <v>0</v>
      </c>
      <c r="X265" s="309" t="s">
        <v>1496</v>
      </c>
      <c r="Y265" s="42">
        <f t="shared" si="56"/>
        <v>1</v>
      </c>
      <c r="Z265" s="42">
        <f t="shared" ca="1" si="57"/>
        <v>1</v>
      </c>
      <c r="AA265" s="43">
        <f t="shared" ca="1" si="58"/>
        <v>0</v>
      </c>
      <c r="AB265" s="202" t="str">
        <f t="shared" ca="1" si="59"/>
        <v/>
      </c>
      <c r="AC265" s="44" t="str">
        <f t="shared" si="50"/>
        <v>SI</v>
      </c>
      <c r="AD265" s="44"/>
      <c r="AE265" s="173" t="s">
        <v>1256</v>
      </c>
      <c r="AF265" s="281" t="s">
        <v>1130</v>
      </c>
      <c r="AG265" s="173" t="s">
        <v>1442</v>
      </c>
      <c r="AH265" s="281" t="s">
        <v>560</v>
      </c>
      <c r="AI265" s="305" t="s">
        <v>1379</v>
      </c>
      <c r="AJ265" s="305" t="s">
        <v>954</v>
      </c>
      <c r="AK265" s="181" t="str">
        <f t="shared" ca="1" si="60"/>
        <v>TERMINO</v>
      </c>
      <c r="AL265" s="310" t="s">
        <v>574</v>
      </c>
      <c r="AM265" s="176" t="s">
        <v>390</v>
      </c>
      <c r="AN265" s="848" t="str">
        <f>IFERROR(VLOOKUP(E265,'liquidaciones '!$B$2:$C$1048576,2,0),"NO")</f>
        <v>EN TRÁMITE</v>
      </c>
      <c r="AO265" s="944">
        <f>IFERROR(VLOOKUP(E265,'liquidaciones '!$B$2:$I$1048576,8,0),"")</f>
        <v>0</v>
      </c>
      <c r="AP265" s="338"/>
      <c r="AQ265" s="177" t="str">
        <f t="shared" ca="1" si="51"/>
        <v>NO</v>
      </c>
      <c r="AR265" s="177" t="s">
        <v>1510</v>
      </c>
      <c r="AS265" s="433"/>
      <c r="AT265" s="964"/>
      <c r="AU265" s="964"/>
      <c r="AV265" s="964"/>
    </row>
    <row r="266" spans="2:48" ht="47.25" customHeight="1" x14ac:dyDescent="0.25">
      <c r="B266" s="15">
        <v>260</v>
      </c>
      <c r="C266" s="437"/>
      <c r="D266" s="437" t="str">
        <f t="shared" si="53"/>
        <v>2014</v>
      </c>
      <c r="E266" s="866" t="s">
        <v>1501</v>
      </c>
      <c r="F266" s="864" t="s">
        <v>1502</v>
      </c>
      <c r="G266" s="866">
        <v>830117370</v>
      </c>
      <c r="H266" s="858" t="s">
        <v>1503</v>
      </c>
      <c r="I266" s="210">
        <v>1624000</v>
      </c>
      <c r="J266" s="134" t="s">
        <v>1088</v>
      </c>
      <c r="K266" s="295">
        <v>2014</v>
      </c>
      <c r="L266" s="546" t="s">
        <v>1088</v>
      </c>
      <c r="M266" s="865">
        <v>42037</v>
      </c>
      <c r="N266" s="865">
        <v>42279</v>
      </c>
      <c r="O266" s="127">
        <f>COUNTA(Modificaciones!I266,Modificaciones!K266,Modificaciones!M266,Modificaciones!O266)</f>
        <v>0</v>
      </c>
      <c r="P266" s="128">
        <f>VLOOKUP(E266,Modificaciones!$B$7:$Q$300,16,0)</f>
        <v>0</v>
      </c>
      <c r="Q266" s="129">
        <f>COUNTA(Modificaciones!S266,Modificaciones!U266,Modificaciones!W266,Modificaciones!Y266)</f>
        <v>0</v>
      </c>
      <c r="R266" s="130" t="str">
        <f>IF(Modificaciones!Z266=0,"",VLOOKUP(E266,Modificaciones!$B$7:$AA$400,25,0))</f>
        <v/>
      </c>
      <c r="S266" s="131" t="str">
        <f>IF(Modificaciones!AA266=0,"",VLOOKUP(E266,Modificaciones!$B$7:$AA$400,26,0))</f>
        <v/>
      </c>
      <c r="T266" s="126">
        <f t="shared" si="52"/>
        <v>42279</v>
      </c>
      <c r="U266" s="62">
        <f t="shared" si="54"/>
        <v>1624000</v>
      </c>
      <c r="V266" s="172">
        <f>VLOOKUP(E266,Modificaciones!$B$7:$AU$300,46,0)</f>
        <v>0</v>
      </c>
      <c r="W266" s="93">
        <f t="shared" si="55"/>
        <v>1624000</v>
      </c>
      <c r="X266" s="309" t="s">
        <v>1505</v>
      </c>
      <c r="Y266" s="42">
        <f t="shared" si="56"/>
        <v>0</v>
      </c>
      <c r="Z266" s="42">
        <f t="shared" ca="1" si="57"/>
        <v>1</v>
      </c>
      <c r="AA266" s="43">
        <f t="shared" ca="1" si="58"/>
        <v>1</v>
      </c>
      <c r="AB266" s="202" t="str">
        <f t="shared" ca="1" si="59"/>
        <v/>
      </c>
      <c r="AC266" s="44" t="str">
        <f t="shared" si="50"/>
        <v>NO</v>
      </c>
      <c r="AD266" s="44"/>
      <c r="AE266" s="173" t="s">
        <v>1256</v>
      </c>
      <c r="AF266" s="281" t="s">
        <v>1504</v>
      </c>
      <c r="AG266" s="173" t="s">
        <v>1442</v>
      </c>
      <c r="AH266" s="281" t="s">
        <v>560</v>
      </c>
      <c r="AI266" s="305"/>
      <c r="AJ266" s="305" t="s">
        <v>954</v>
      </c>
      <c r="AK266" s="181" t="str">
        <f t="shared" ca="1" si="60"/>
        <v>TERMINO</v>
      </c>
      <c r="AL266" s="310" t="s">
        <v>576</v>
      </c>
      <c r="AM266" s="176" t="s">
        <v>390</v>
      </c>
      <c r="AN266" s="848" t="str">
        <f>IFERROR(VLOOKUP(E266,'liquidaciones '!$B$2:$C$1048576,2,0),"NO")</f>
        <v>EN TRÁMITE</v>
      </c>
      <c r="AO266" s="944">
        <f>IFERROR(VLOOKUP(E266,'liquidaciones '!$B$2:$I$1048576,8,0),"")</f>
        <v>0</v>
      </c>
      <c r="AP266" s="338"/>
      <c r="AQ266" s="177" t="str">
        <f t="shared" ca="1" si="51"/>
        <v>NO</v>
      </c>
      <c r="AR266" s="177" t="s">
        <v>1510</v>
      </c>
      <c r="AS266" s="433"/>
      <c r="AT266" s="964"/>
      <c r="AU266" s="964"/>
      <c r="AV266" s="964"/>
    </row>
    <row r="267" spans="2:48" ht="47.25" customHeight="1" x14ac:dyDescent="0.25">
      <c r="B267" s="15">
        <v>261</v>
      </c>
      <c r="C267" s="437"/>
      <c r="D267" s="437" t="str">
        <f t="shared" si="53"/>
        <v>2014</v>
      </c>
      <c r="E267" s="351" t="s">
        <v>1516</v>
      </c>
      <c r="F267" s="864" t="s">
        <v>1517</v>
      </c>
      <c r="G267" s="866">
        <v>900335488</v>
      </c>
      <c r="H267" s="858" t="s">
        <v>1518</v>
      </c>
      <c r="I267" s="210">
        <v>64621280</v>
      </c>
      <c r="J267" s="850" t="s">
        <v>4690</v>
      </c>
      <c r="K267" s="295">
        <v>2014</v>
      </c>
      <c r="L267" s="546" t="s">
        <v>1088</v>
      </c>
      <c r="M267" s="865">
        <v>42045</v>
      </c>
      <c r="N267" s="865">
        <v>42165</v>
      </c>
      <c r="O267" s="127">
        <f>COUNTA(Modificaciones!I267,Modificaciones!K267,Modificaciones!M267,Modificaciones!O267)</f>
        <v>0</v>
      </c>
      <c r="P267" s="128">
        <f>VLOOKUP(E267,Modificaciones!$B$7:$Q$300,16,0)</f>
        <v>0</v>
      </c>
      <c r="Q267" s="129">
        <f>COUNTA(Modificaciones!S267,Modificaciones!U267,Modificaciones!W267,Modificaciones!Y267)</f>
        <v>3</v>
      </c>
      <c r="R267" s="130" t="str">
        <f>IF(Modificaciones!Z267=0,"",VLOOKUP(E267,Modificaciones!$B$7:$AA$400,25,0))</f>
        <v>6 meses</v>
      </c>
      <c r="S267" s="131">
        <f>IF(Modificaciones!AA267=0,"",VLOOKUP(E267,Modificaciones!$B$7:$AA$400,26,0))</f>
        <v>42348</v>
      </c>
      <c r="T267" s="126">
        <f t="shared" si="52"/>
        <v>42348</v>
      </c>
      <c r="U267" s="62">
        <f t="shared" si="54"/>
        <v>64621280</v>
      </c>
      <c r="V267" s="172">
        <f>VLOOKUP(E267,Modificaciones!$B$7:$AU$300,46,0)</f>
        <v>64621280</v>
      </c>
      <c r="W267" s="93">
        <f t="shared" si="55"/>
        <v>0</v>
      </c>
      <c r="X267" s="309"/>
      <c r="Y267" s="42">
        <f t="shared" si="56"/>
        <v>1</v>
      </c>
      <c r="Z267" s="42">
        <f t="shared" ca="1" si="57"/>
        <v>1</v>
      </c>
      <c r="AA267" s="43">
        <f t="shared" ca="1" si="58"/>
        <v>0</v>
      </c>
      <c r="AB267" s="202" t="str">
        <f t="shared" ca="1" si="59"/>
        <v/>
      </c>
      <c r="AC267" s="44" t="str">
        <f t="shared" si="50"/>
        <v>SI</v>
      </c>
      <c r="AD267" s="44"/>
      <c r="AE267" s="173" t="s">
        <v>1257</v>
      </c>
      <c r="AF267" s="281" t="s">
        <v>1519</v>
      </c>
      <c r="AG267" s="173" t="s">
        <v>1431</v>
      </c>
      <c r="AH267" s="281" t="s">
        <v>560</v>
      </c>
      <c r="AI267" s="305" t="s">
        <v>2162</v>
      </c>
      <c r="AJ267" s="305" t="s">
        <v>954</v>
      </c>
      <c r="AK267" s="181" t="str">
        <f t="shared" ca="1" si="60"/>
        <v>TERMINO</v>
      </c>
      <c r="AL267" s="310" t="s">
        <v>574</v>
      </c>
      <c r="AM267" s="176" t="s">
        <v>390</v>
      </c>
      <c r="AN267" s="848" t="str">
        <f>IFERROR(VLOOKUP(E267,'liquidaciones '!$B$2:$C$1048576,2,0),"NO")</f>
        <v>LIQUIDADO</v>
      </c>
      <c r="AO267" s="944">
        <f>IFERROR(VLOOKUP(E267,'liquidaciones '!$B$2:$I$1048576,8,0),"")</f>
        <v>0</v>
      </c>
      <c r="AP267" s="338"/>
      <c r="AQ267" s="177" t="str">
        <f t="shared" ca="1" si="51"/>
        <v>NO</v>
      </c>
      <c r="AR267" s="177" t="s">
        <v>2390</v>
      </c>
      <c r="AS267" s="433"/>
      <c r="AT267" s="964"/>
      <c r="AU267" s="964"/>
      <c r="AV267" s="964"/>
    </row>
    <row r="268" spans="2:48" ht="78.75" customHeight="1" x14ac:dyDescent="0.25">
      <c r="B268" s="15">
        <v>262</v>
      </c>
      <c r="C268" s="437">
        <v>305</v>
      </c>
      <c r="D268" s="437" t="str">
        <f t="shared" si="53"/>
        <v>2014305</v>
      </c>
      <c r="E268" s="866" t="s">
        <v>1520</v>
      </c>
      <c r="F268" s="864" t="s">
        <v>1521</v>
      </c>
      <c r="G268" s="1039">
        <v>899999035</v>
      </c>
      <c r="H268" s="858" t="s">
        <v>1522</v>
      </c>
      <c r="I268" s="210">
        <v>300000000</v>
      </c>
      <c r="J268" s="1046" t="s">
        <v>3780</v>
      </c>
      <c r="K268" s="295">
        <v>2014</v>
      </c>
      <c r="L268" s="546">
        <v>42002</v>
      </c>
      <c r="M268" s="865">
        <v>42002</v>
      </c>
      <c r="N268" s="865">
        <v>43828</v>
      </c>
      <c r="O268" s="127">
        <f>COUNTA(Modificaciones!I268,Modificaciones!K268,Modificaciones!M268,Modificaciones!O268)</f>
        <v>3</v>
      </c>
      <c r="P268" s="128">
        <f>VLOOKUP(E268,Modificaciones!$B$7:$Q$300,16,0)</f>
        <v>900000000</v>
      </c>
      <c r="Q268" s="129">
        <f>COUNTA(Modificaciones!S268,Modificaciones!U268,Modificaciones!W268,Modificaciones!Y268)</f>
        <v>0</v>
      </c>
      <c r="R268" s="130" t="str">
        <f>IF(Modificaciones!Z268=0,"",VLOOKUP(E268,Modificaciones!$B$7:$AA$400,25,0))</f>
        <v/>
      </c>
      <c r="S268" s="131" t="str">
        <f>IF(Modificaciones!AA268=0,"",VLOOKUP(E268,Modificaciones!$B$7:$AA$400,26,0))</f>
        <v/>
      </c>
      <c r="T268" s="126">
        <f t="shared" si="52"/>
        <v>43828</v>
      </c>
      <c r="U268" s="62">
        <f t="shared" si="54"/>
        <v>1200000000</v>
      </c>
      <c r="V268" s="172">
        <f>VLOOKUP(E268,Modificaciones!$B$7:$AU$300,46,0)</f>
        <v>1200000000</v>
      </c>
      <c r="W268" s="93">
        <f t="shared" si="55"/>
        <v>0</v>
      </c>
      <c r="X268" s="342" t="s">
        <v>1523</v>
      </c>
      <c r="Y268" s="42">
        <f t="shared" si="56"/>
        <v>1</v>
      </c>
      <c r="Z268" s="42">
        <f t="shared" ca="1" si="57"/>
        <v>0.89868565169769987</v>
      </c>
      <c r="AA268" s="43">
        <f t="shared" ca="1" si="58"/>
        <v>-0.10131434830230013</v>
      </c>
      <c r="AB268" s="202">
        <f t="shared" ca="1" si="59"/>
        <v>185</v>
      </c>
      <c r="AC268" s="44" t="str">
        <f t="shared" si="50"/>
        <v>SI</v>
      </c>
      <c r="AD268" s="44"/>
      <c r="AE268" s="173" t="s">
        <v>1256</v>
      </c>
      <c r="AF268" s="281" t="s">
        <v>1524</v>
      </c>
      <c r="AG268" s="173" t="s">
        <v>1435</v>
      </c>
      <c r="AH268" s="281" t="s">
        <v>560</v>
      </c>
      <c r="AI268" s="305"/>
      <c r="AJ268" s="305" t="s">
        <v>954</v>
      </c>
      <c r="AK268" s="181" t="str">
        <f t="shared" ca="1" si="60"/>
        <v>EN EJECUCIÓN</v>
      </c>
      <c r="AL268" s="310" t="s">
        <v>582</v>
      </c>
      <c r="AM268" s="176" t="s">
        <v>390</v>
      </c>
      <c r="AN268" s="848" t="str">
        <f>IFERROR(VLOOKUP(E268,'liquidaciones '!$B$2:$C$1048576,2,0),"NO")</f>
        <v>NO</v>
      </c>
      <c r="AO268" s="944" t="str">
        <f>IFERROR(VLOOKUP(E268,'liquidaciones '!$B$2:$I$1048576,8,0),"")</f>
        <v/>
      </c>
      <c r="AP268" s="338"/>
      <c r="AQ268" s="177" t="str">
        <f t="shared" ca="1" si="51"/>
        <v>SI</v>
      </c>
      <c r="AR268" s="966" t="s">
        <v>4819</v>
      </c>
      <c r="AS268" s="433"/>
      <c r="AT268" s="966" t="s">
        <v>3947</v>
      </c>
      <c r="AU268" s="966" t="s">
        <v>4920</v>
      </c>
      <c r="AV268" s="964"/>
    </row>
    <row r="269" spans="2:48" ht="47.25" customHeight="1" x14ac:dyDescent="0.25">
      <c r="B269" s="15">
        <v>263</v>
      </c>
      <c r="C269" s="437"/>
      <c r="D269" s="437" t="str">
        <f t="shared" si="53"/>
        <v>2014</v>
      </c>
      <c r="E269" s="351" t="s">
        <v>1525</v>
      </c>
      <c r="F269" s="945" t="s">
        <v>1360</v>
      </c>
      <c r="G269" s="866">
        <v>860353110</v>
      </c>
      <c r="H269" s="858" t="s">
        <v>1526</v>
      </c>
      <c r="I269" s="210">
        <v>137450000</v>
      </c>
      <c r="J269" s="134" t="s">
        <v>2254</v>
      </c>
      <c r="K269" s="295">
        <v>2014</v>
      </c>
      <c r="L269" s="546" t="s">
        <v>1088</v>
      </c>
      <c r="M269" s="865">
        <v>42018</v>
      </c>
      <c r="N269" s="865">
        <v>42383</v>
      </c>
      <c r="O269" s="127">
        <f>COUNTA(Modificaciones!I269,Modificaciones!K269,Modificaciones!M269,Modificaciones!O269)</f>
        <v>0</v>
      </c>
      <c r="P269" s="128">
        <f>VLOOKUP(E269,Modificaciones!$B$7:$Q$300,16,0)</f>
        <v>0</v>
      </c>
      <c r="Q269" s="129">
        <f>COUNTA(Modificaciones!S269,Modificaciones!U269,Modificaciones!W269,Modificaciones!Y269)</f>
        <v>0</v>
      </c>
      <c r="R269" s="130" t="str">
        <f>IF(Modificaciones!Z269=0,"",VLOOKUP(E269,Modificaciones!$B$7:$AA$400,25,0))</f>
        <v/>
      </c>
      <c r="S269" s="131" t="str">
        <f>IF(Modificaciones!AA269=0,"",VLOOKUP(E269,Modificaciones!$B$7:$AA$400,26,0))</f>
        <v/>
      </c>
      <c r="T269" s="126">
        <f t="shared" si="52"/>
        <v>42383</v>
      </c>
      <c r="U269" s="62">
        <f t="shared" si="54"/>
        <v>137450000</v>
      </c>
      <c r="V269" s="172">
        <f>VLOOKUP(E269,Modificaciones!$B$7:$AU$300,46,0)</f>
        <v>137449999</v>
      </c>
      <c r="W269" s="93">
        <f t="shared" si="55"/>
        <v>1</v>
      </c>
      <c r="X269" s="309" t="s">
        <v>1527</v>
      </c>
      <c r="Y269" s="42">
        <f t="shared" si="56"/>
        <v>0.99999999272462714</v>
      </c>
      <c r="Z269" s="42">
        <f t="shared" ca="1" si="57"/>
        <v>1</v>
      </c>
      <c r="AA269" s="43">
        <f t="shared" ca="1" si="58"/>
        <v>7.2753728597163558E-9</v>
      </c>
      <c r="AB269" s="202" t="str">
        <f t="shared" ca="1" si="59"/>
        <v/>
      </c>
      <c r="AC269" s="44" t="str">
        <f t="shared" si="50"/>
        <v>SI</v>
      </c>
      <c r="AD269" s="44"/>
      <c r="AE269" s="173" t="s">
        <v>1257</v>
      </c>
      <c r="AF269" s="281" t="s">
        <v>1528</v>
      </c>
      <c r="AG269" s="173" t="s">
        <v>1439</v>
      </c>
      <c r="AH269" s="281" t="s">
        <v>560</v>
      </c>
      <c r="AI269" s="305" t="s">
        <v>1509</v>
      </c>
      <c r="AJ269" s="305" t="s">
        <v>954</v>
      </c>
      <c r="AK269" s="181" t="str">
        <f t="shared" ca="1" si="60"/>
        <v>TERMINO</v>
      </c>
      <c r="AL269" s="310" t="s">
        <v>575</v>
      </c>
      <c r="AM269" s="176" t="s">
        <v>390</v>
      </c>
      <c r="AN269" s="848" t="str">
        <f>IFERROR(VLOOKUP(E269,'liquidaciones '!$B$2:$C$1048576,2,0),"NO")</f>
        <v>LIQUIDADO</v>
      </c>
      <c r="AO269" s="944">
        <f>IFERROR(VLOOKUP(E269,'liquidaciones '!$B$2:$I$1048576,8,0),"")</f>
        <v>0</v>
      </c>
      <c r="AP269" s="338"/>
      <c r="AQ269" s="177" t="str">
        <f t="shared" ca="1" si="51"/>
        <v>NO</v>
      </c>
      <c r="AR269" s="177" t="s">
        <v>1992</v>
      </c>
      <c r="AS269" s="433"/>
      <c r="AT269" s="964"/>
      <c r="AU269" s="964"/>
      <c r="AV269" s="964"/>
    </row>
    <row r="270" spans="2:48" ht="47.25" customHeight="1" x14ac:dyDescent="0.25">
      <c r="B270" s="15">
        <v>264</v>
      </c>
      <c r="C270" s="437"/>
      <c r="D270" s="437" t="str">
        <f t="shared" si="53"/>
        <v>2014</v>
      </c>
      <c r="E270" s="351" t="s">
        <v>1529</v>
      </c>
      <c r="F270" s="864" t="s">
        <v>1530</v>
      </c>
      <c r="G270" s="866">
        <v>830075011</v>
      </c>
      <c r="H270" s="858" t="s">
        <v>1531</v>
      </c>
      <c r="I270" s="210">
        <v>249210000</v>
      </c>
      <c r="J270" s="850" t="s">
        <v>2274</v>
      </c>
      <c r="K270" s="295">
        <v>2014</v>
      </c>
      <c r="L270" s="546" t="s">
        <v>1088</v>
      </c>
      <c r="M270" s="865">
        <v>42017</v>
      </c>
      <c r="N270" s="865">
        <v>42198</v>
      </c>
      <c r="O270" s="127">
        <f>COUNTA(Modificaciones!I270,Modificaciones!K270,Modificaciones!M270,Modificaciones!O270)</f>
        <v>1</v>
      </c>
      <c r="P270" s="128">
        <f>VLOOKUP(E270,Modificaciones!$B$7:$Q$300,16,0)</f>
        <v>60000000</v>
      </c>
      <c r="Q270" s="129">
        <f>COUNTA(Modificaciones!S270,Modificaciones!U270,Modificaciones!W270,Modificaciones!Y270)</f>
        <v>2</v>
      </c>
      <c r="R270" s="130" t="str">
        <f>IF(Modificaciones!Z270=0,"",VLOOKUP(E270,Modificaciones!$B$7:$AA$400,25,0))</f>
        <v>4 meses y 18 días</v>
      </c>
      <c r="S270" s="131">
        <f>IF(Modificaciones!AA270=0,"",VLOOKUP(E270,Modificaciones!$B$7:$AA$400,26,0))</f>
        <v>42338</v>
      </c>
      <c r="T270" s="126">
        <f t="shared" si="52"/>
        <v>42338</v>
      </c>
      <c r="U270" s="62">
        <f t="shared" si="54"/>
        <v>309210000</v>
      </c>
      <c r="V270" s="172">
        <f>VLOOKUP(E270,Modificaciones!$B$7:$AU$300,46,0)</f>
        <v>309210000</v>
      </c>
      <c r="W270" s="93">
        <f t="shared" si="55"/>
        <v>0</v>
      </c>
      <c r="X270" s="309" t="s">
        <v>1095</v>
      </c>
      <c r="Y270" s="42">
        <f t="shared" si="56"/>
        <v>1</v>
      </c>
      <c r="Z270" s="42">
        <f t="shared" ca="1" si="57"/>
        <v>1</v>
      </c>
      <c r="AA270" s="43">
        <f t="shared" ca="1" si="58"/>
        <v>0</v>
      </c>
      <c r="AB270" s="202" t="str">
        <f t="shared" ca="1" si="59"/>
        <v/>
      </c>
      <c r="AC270" s="44" t="str">
        <f t="shared" si="50"/>
        <v>SI</v>
      </c>
      <c r="AD270" s="44"/>
      <c r="AE270" s="173" t="s">
        <v>1256</v>
      </c>
      <c r="AF270" s="281" t="s">
        <v>1532</v>
      </c>
      <c r="AG270" s="173" t="s">
        <v>1430</v>
      </c>
      <c r="AH270" s="281" t="s">
        <v>564</v>
      </c>
      <c r="AI270" s="174" t="s">
        <v>2167</v>
      </c>
      <c r="AJ270" s="305" t="s">
        <v>954</v>
      </c>
      <c r="AK270" s="181" t="str">
        <f t="shared" ca="1" si="60"/>
        <v>TERMINO</v>
      </c>
      <c r="AL270" s="310" t="s">
        <v>575</v>
      </c>
      <c r="AM270" s="176" t="s">
        <v>390</v>
      </c>
      <c r="AN270" s="848" t="str">
        <f>IFERROR(VLOOKUP(E270,'liquidaciones '!$B$2:$C$1048576,2,0),"NO")</f>
        <v>LIQUIDADO</v>
      </c>
      <c r="AO270" s="944">
        <f>IFERROR(VLOOKUP(E270,'liquidaciones '!$B$2:$I$1048576,8,0),"")</f>
        <v>0</v>
      </c>
      <c r="AP270" s="338"/>
      <c r="AQ270" s="177" t="str">
        <f t="shared" ca="1" si="51"/>
        <v>NO</v>
      </c>
      <c r="AR270" s="177" t="s">
        <v>2076</v>
      </c>
      <c r="AS270" s="433"/>
      <c r="AT270" s="964"/>
      <c r="AU270" s="964"/>
      <c r="AV270" s="964"/>
    </row>
    <row r="271" spans="2:48" ht="47.25" customHeight="1" x14ac:dyDescent="0.25">
      <c r="B271" s="15">
        <v>265</v>
      </c>
      <c r="C271" s="437">
        <v>135</v>
      </c>
      <c r="D271" s="437" t="str">
        <f t="shared" si="53"/>
        <v>2015135</v>
      </c>
      <c r="E271" s="911" t="s">
        <v>1536</v>
      </c>
      <c r="F271" s="864" t="s">
        <v>2022</v>
      </c>
      <c r="G271" s="866">
        <v>19335623</v>
      </c>
      <c r="H271" s="858" t="s">
        <v>1003</v>
      </c>
      <c r="I271" s="210">
        <v>84000000</v>
      </c>
      <c r="J271" s="726" t="s">
        <v>1536</v>
      </c>
      <c r="K271" s="295">
        <v>2015</v>
      </c>
      <c r="L271" s="546">
        <v>42027</v>
      </c>
      <c r="M271" s="865">
        <v>42031</v>
      </c>
      <c r="N271" s="865">
        <v>42396</v>
      </c>
      <c r="O271" s="127">
        <f>COUNTA(Modificaciones!I271,Modificaciones!K271,Modificaciones!M271,Modificaciones!O271)</f>
        <v>0</v>
      </c>
      <c r="P271" s="128">
        <f>VLOOKUP(E271,Modificaciones!$B$7:$Q$300,16,0)</f>
        <v>0</v>
      </c>
      <c r="Q271" s="129">
        <f>COUNTA(Modificaciones!S271,Modificaciones!U271,Modificaciones!W271,Modificaciones!Y271)</f>
        <v>0</v>
      </c>
      <c r="R271" s="130" t="str">
        <f>IF(Modificaciones!Z271=0,"",VLOOKUP(E271,Modificaciones!$B$7:$AA$400,25,0))</f>
        <v/>
      </c>
      <c r="S271" s="131" t="str">
        <f>IF(Modificaciones!AA271=0,"",VLOOKUP(E271,Modificaciones!$B$7:$AA$400,26,0))</f>
        <v/>
      </c>
      <c r="T271" s="126">
        <f t="shared" si="52"/>
        <v>42396</v>
      </c>
      <c r="U271" s="62">
        <f t="shared" si="54"/>
        <v>84000000</v>
      </c>
      <c r="V271" s="172">
        <f>VLOOKUP(E271,Modificaciones!$B$7:$AU$300,46,0)</f>
        <v>84000000</v>
      </c>
      <c r="W271" s="93">
        <f t="shared" si="55"/>
        <v>0</v>
      </c>
      <c r="X271" s="309" t="s">
        <v>1095</v>
      </c>
      <c r="Y271" s="42">
        <f t="shared" si="56"/>
        <v>1</v>
      </c>
      <c r="Z271" s="42">
        <f t="shared" ca="1" si="57"/>
        <v>1</v>
      </c>
      <c r="AA271" s="43">
        <f t="shared" ca="1" si="58"/>
        <v>0</v>
      </c>
      <c r="AB271" s="202" t="str">
        <f t="shared" ca="1" si="59"/>
        <v/>
      </c>
      <c r="AC271" s="44" t="str">
        <f t="shared" si="50"/>
        <v>SI</v>
      </c>
      <c r="AD271" s="760" t="s">
        <v>2898</v>
      </c>
      <c r="AE271" s="173" t="s">
        <v>1256</v>
      </c>
      <c r="AF271" s="173" t="s">
        <v>2169</v>
      </c>
      <c r="AG271" s="173" t="s">
        <v>1177</v>
      </c>
      <c r="AH271" s="281" t="s">
        <v>559</v>
      </c>
      <c r="AI271" s="305"/>
      <c r="AJ271" s="305" t="s">
        <v>954</v>
      </c>
      <c r="AK271" s="181" t="str">
        <f t="shared" ca="1" si="60"/>
        <v>TERMINO</v>
      </c>
      <c r="AL271" s="310" t="s">
        <v>582</v>
      </c>
      <c r="AM271" s="176" t="s">
        <v>391</v>
      </c>
      <c r="AN271" s="848" t="str">
        <f>IFERROR(VLOOKUP(E271,'liquidaciones '!$B$2:$C$1048576,2,0),"NO")</f>
        <v>LIQUIDADO</v>
      </c>
      <c r="AO271" s="944">
        <f>IFERROR(VLOOKUP(E271,'liquidaciones '!$B$2:$I$1048576,8,0),"")</f>
        <v>0</v>
      </c>
      <c r="AP271" s="338"/>
      <c r="AQ271" s="177" t="str">
        <f t="shared" ca="1" si="51"/>
        <v>NO</v>
      </c>
      <c r="AR271" s="177" t="s">
        <v>981</v>
      </c>
      <c r="AS271" s="433"/>
      <c r="AT271" s="964"/>
      <c r="AU271" s="964"/>
      <c r="AV271" s="964"/>
    </row>
    <row r="272" spans="2:48" ht="47.25" customHeight="1" x14ac:dyDescent="0.25">
      <c r="B272" s="41">
        <v>266</v>
      </c>
      <c r="C272" s="437"/>
      <c r="D272" s="437" t="str">
        <f t="shared" si="53"/>
        <v>2014</v>
      </c>
      <c r="E272" s="351" t="s">
        <v>1537</v>
      </c>
      <c r="F272" s="864" t="s">
        <v>1538</v>
      </c>
      <c r="G272" s="866">
        <v>860012336</v>
      </c>
      <c r="H272" s="858" t="s">
        <v>1539</v>
      </c>
      <c r="I272" s="210">
        <v>4961088</v>
      </c>
      <c r="J272" s="700" t="s">
        <v>2086</v>
      </c>
      <c r="K272" s="295">
        <v>2014</v>
      </c>
      <c r="L272" s="546">
        <v>41971</v>
      </c>
      <c r="M272" s="865">
        <v>42178</v>
      </c>
      <c r="N272" s="865">
        <v>42423</v>
      </c>
      <c r="O272" s="127">
        <f>COUNTA(Modificaciones!I272,Modificaciones!K272,Modificaciones!M272,Modificaciones!O272)</f>
        <v>0</v>
      </c>
      <c r="P272" s="128">
        <f>VLOOKUP(E272,Modificaciones!$B$7:$Q$300,16,0)</f>
        <v>0</v>
      </c>
      <c r="Q272" s="129">
        <f>COUNTA(Modificaciones!S272,Modificaciones!U272,Modificaciones!W272,Modificaciones!Y272)</f>
        <v>0</v>
      </c>
      <c r="R272" s="130" t="str">
        <f>IF(Modificaciones!Z272=0,"",VLOOKUP(E272,Modificaciones!$B$7:$AA$400,25,0))</f>
        <v/>
      </c>
      <c r="S272" s="131" t="str">
        <f>IF(Modificaciones!AA272=0,"",VLOOKUP(E272,Modificaciones!$B$7:$AA$400,26,0))</f>
        <v/>
      </c>
      <c r="T272" s="126">
        <f t="shared" si="52"/>
        <v>42423</v>
      </c>
      <c r="U272" s="62">
        <f t="shared" si="54"/>
        <v>4961088</v>
      </c>
      <c r="V272" s="172">
        <f>VLOOKUP(E272,Modificaciones!$B$7:$AU$300,46,0)</f>
        <v>4961088</v>
      </c>
      <c r="W272" s="93">
        <f t="shared" si="55"/>
        <v>0</v>
      </c>
      <c r="X272" s="309" t="s">
        <v>1095</v>
      </c>
      <c r="Y272" s="42">
        <f t="shared" si="56"/>
        <v>1</v>
      </c>
      <c r="Z272" s="42">
        <f t="shared" ca="1" si="57"/>
        <v>1</v>
      </c>
      <c r="AA272" s="43">
        <f t="shared" ca="1" si="58"/>
        <v>0</v>
      </c>
      <c r="AB272" s="202" t="str">
        <f t="shared" ca="1" si="59"/>
        <v/>
      </c>
      <c r="AC272" s="44" t="str">
        <f t="shared" si="50"/>
        <v>SI</v>
      </c>
      <c r="AD272" s="44"/>
      <c r="AE272" s="173" t="s">
        <v>1256</v>
      </c>
      <c r="AF272" s="281" t="s">
        <v>1283</v>
      </c>
      <c r="AG272" s="173" t="s">
        <v>1435</v>
      </c>
      <c r="AH272" s="281" t="s">
        <v>560</v>
      </c>
      <c r="AI272" s="305" t="s">
        <v>1386</v>
      </c>
      <c r="AJ272" s="305" t="s">
        <v>954</v>
      </c>
      <c r="AK272" s="181" t="str">
        <f t="shared" ca="1" si="60"/>
        <v>TERMINO</v>
      </c>
      <c r="AL272" s="310" t="s">
        <v>573</v>
      </c>
      <c r="AM272" s="176" t="s">
        <v>390</v>
      </c>
      <c r="AN272" s="848" t="str">
        <f>IFERROR(VLOOKUP(E272,'liquidaciones '!$B$2:$C$1048576,2,0),"NO")</f>
        <v>LIQUIDADO</v>
      </c>
      <c r="AO272" s="944">
        <f>IFERROR(VLOOKUP(E272,'liquidaciones '!$B$2:$I$1048576,8,0),"")</f>
        <v>0</v>
      </c>
      <c r="AP272" s="338"/>
      <c r="AQ272" s="177" t="str">
        <f t="shared" ca="1" si="51"/>
        <v>NO</v>
      </c>
      <c r="AR272" s="177" t="s">
        <v>2076</v>
      </c>
      <c r="AS272" s="433"/>
      <c r="AT272" s="964"/>
      <c r="AU272" s="964"/>
      <c r="AV272" s="964"/>
    </row>
    <row r="273" spans="2:48" ht="47.25" customHeight="1" x14ac:dyDescent="0.25">
      <c r="B273" s="15">
        <v>267</v>
      </c>
      <c r="C273" s="437"/>
      <c r="D273" s="437" t="str">
        <f t="shared" si="53"/>
        <v>2014</v>
      </c>
      <c r="E273" s="351" t="s">
        <v>3104</v>
      </c>
      <c r="F273" s="864" t="s">
        <v>1541</v>
      </c>
      <c r="G273" s="866">
        <v>900801132</v>
      </c>
      <c r="H273" s="858" t="s">
        <v>1542</v>
      </c>
      <c r="I273" s="210">
        <v>10075000</v>
      </c>
      <c r="J273" s="850" t="s">
        <v>2625</v>
      </c>
      <c r="K273" s="295">
        <v>2014</v>
      </c>
      <c r="L273" s="546" t="s">
        <v>1088</v>
      </c>
      <c r="M273" s="865">
        <v>42020</v>
      </c>
      <c r="N273" s="865">
        <v>42079</v>
      </c>
      <c r="O273" s="127">
        <f>COUNTA(Modificaciones!I273,Modificaciones!K273,Modificaciones!M273,Modificaciones!O273)</f>
        <v>0</v>
      </c>
      <c r="P273" s="128">
        <f>VLOOKUP(E273,Modificaciones!$B$7:$Q$300,16,0)</f>
        <v>0</v>
      </c>
      <c r="Q273" s="129">
        <f>COUNTA(Modificaciones!S273,Modificaciones!U273,Modificaciones!W273,Modificaciones!Y273)</f>
        <v>0</v>
      </c>
      <c r="R273" s="130" t="str">
        <f>IF(Modificaciones!Z273=0,"",VLOOKUP(E273,Modificaciones!$B$7:$AA$400,25,0))</f>
        <v/>
      </c>
      <c r="S273" s="131" t="str">
        <f>IF(Modificaciones!AA273=0,"",VLOOKUP(E273,Modificaciones!$B$7:$AA$400,26,0))</f>
        <v/>
      </c>
      <c r="T273" s="126">
        <f t="shared" si="52"/>
        <v>42079</v>
      </c>
      <c r="U273" s="62">
        <f t="shared" si="54"/>
        <v>10075000</v>
      </c>
      <c r="V273" s="172">
        <f>VLOOKUP(E273,Modificaciones!$B$7:$AU$300,46,0)</f>
        <v>10075000</v>
      </c>
      <c r="W273" s="93">
        <f t="shared" si="55"/>
        <v>0</v>
      </c>
      <c r="X273" s="309" t="s">
        <v>1895</v>
      </c>
      <c r="Y273" s="42">
        <f t="shared" si="56"/>
        <v>1</v>
      </c>
      <c r="Z273" s="42">
        <f t="shared" ca="1" si="57"/>
        <v>1</v>
      </c>
      <c r="AA273" s="43">
        <f t="shared" ca="1" si="58"/>
        <v>0</v>
      </c>
      <c r="AB273" s="202" t="str">
        <f t="shared" ca="1" si="59"/>
        <v/>
      </c>
      <c r="AC273" s="44" t="str">
        <f t="shared" si="50"/>
        <v>SI</v>
      </c>
      <c r="AD273" s="44"/>
      <c r="AE273" s="173" t="s">
        <v>1257</v>
      </c>
      <c r="AF273" s="281" t="s">
        <v>1545</v>
      </c>
      <c r="AG273" s="173" t="s">
        <v>1439</v>
      </c>
      <c r="AH273" s="281" t="s">
        <v>560</v>
      </c>
      <c r="AI273" s="305" t="s">
        <v>1509</v>
      </c>
      <c r="AJ273" s="305" t="s">
        <v>954</v>
      </c>
      <c r="AK273" s="181" t="str">
        <f t="shared" ca="1" si="60"/>
        <v>TERMINO</v>
      </c>
      <c r="AL273" s="310" t="s">
        <v>575</v>
      </c>
      <c r="AM273" s="176" t="s">
        <v>390</v>
      </c>
      <c r="AN273" s="848" t="str">
        <f>IFERROR(VLOOKUP(E273,'liquidaciones '!$B$2:$C$1048576,2,0),"NO")</f>
        <v>LIQUIDADO</v>
      </c>
      <c r="AO273" s="944">
        <f>IFERROR(VLOOKUP(E273,'liquidaciones '!$B$2:$I$1048576,8,0),"")</f>
        <v>0</v>
      </c>
      <c r="AP273" s="338"/>
      <c r="AQ273" s="177" t="str">
        <f t="shared" ca="1" si="51"/>
        <v>NO</v>
      </c>
      <c r="AR273" s="177" t="s">
        <v>1510</v>
      </c>
      <c r="AS273" s="433"/>
      <c r="AT273" s="964"/>
      <c r="AU273" s="964"/>
      <c r="AV273" s="964"/>
    </row>
    <row r="274" spans="2:48" ht="47.25" customHeight="1" x14ac:dyDescent="0.25">
      <c r="B274" s="15">
        <v>268</v>
      </c>
      <c r="C274" s="437">
        <v>129</v>
      </c>
      <c r="D274" s="437" t="str">
        <f t="shared" si="53"/>
        <v>2015129</v>
      </c>
      <c r="E274" s="866" t="s">
        <v>1543</v>
      </c>
      <c r="F274" s="864" t="s">
        <v>1035</v>
      </c>
      <c r="G274" s="866">
        <v>4098836</v>
      </c>
      <c r="H274" s="858" t="s">
        <v>1544</v>
      </c>
      <c r="I274" s="210">
        <v>46068000</v>
      </c>
      <c r="J274" s="850" t="s">
        <v>1767</v>
      </c>
      <c r="K274" s="295">
        <v>2015</v>
      </c>
      <c r="L274" s="546">
        <v>42033</v>
      </c>
      <c r="M274" s="865">
        <v>42037</v>
      </c>
      <c r="N274" s="865">
        <v>42402</v>
      </c>
      <c r="O274" s="127">
        <f>COUNTA(Modificaciones!I274,Modificaciones!K274,Modificaciones!M274,Modificaciones!O274)</f>
        <v>0</v>
      </c>
      <c r="P274" s="128">
        <f>VLOOKUP(E274,Modificaciones!$B$7:$Q$300,16,0)</f>
        <v>0</v>
      </c>
      <c r="Q274" s="129">
        <f>COUNTA(Modificaciones!S274,Modificaciones!U274,Modificaciones!W274,Modificaciones!Y274)</f>
        <v>0</v>
      </c>
      <c r="R274" s="130" t="str">
        <f>IF(Modificaciones!Z274=0,"",VLOOKUP(E274,Modificaciones!$B$7:$AA$400,25,0))</f>
        <v/>
      </c>
      <c r="S274" s="131" t="str">
        <f>IF(Modificaciones!AA274=0,"",VLOOKUP(E274,Modificaciones!$B$7:$AA$400,26,0))</f>
        <v/>
      </c>
      <c r="T274" s="126">
        <f t="shared" si="52"/>
        <v>42402</v>
      </c>
      <c r="U274" s="62">
        <f t="shared" si="54"/>
        <v>46068000</v>
      </c>
      <c r="V274" s="172">
        <f>VLOOKUP(E274,Modificaciones!$B$7:$AU$300,46,0)</f>
        <v>46068000</v>
      </c>
      <c r="W274" s="93">
        <f t="shared" si="55"/>
        <v>0</v>
      </c>
      <c r="X274" s="309" t="s">
        <v>1095</v>
      </c>
      <c r="Y274" s="42">
        <f t="shared" si="56"/>
        <v>1</v>
      </c>
      <c r="Z274" s="42">
        <f t="shared" ca="1" si="57"/>
        <v>1</v>
      </c>
      <c r="AA274" s="43">
        <f t="shared" ca="1" si="58"/>
        <v>0</v>
      </c>
      <c r="AB274" s="202" t="str">
        <f t="shared" ca="1" si="59"/>
        <v/>
      </c>
      <c r="AC274" s="44" t="str">
        <f t="shared" si="50"/>
        <v>SI</v>
      </c>
      <c r="AD274" s="760" t="s">
        <v>2898</v>
      </c>
      <c r="AE274" s="173" t="s">
        <v>1256</v>
      </c>
      <c r="AF274" s="173" t="s">
        <v>2170</v>
      </c>
      <c r="AG274" s="173" t="s">
        <v>1177</v>
      </c>
      <c r="AH274" s="281" t="s">
        <v>559</v>
      </c>
      <c r="AI274" s="305"/>
      <c r="AJ274" s="305" t="s">
        <v>954</v>
      </c>
      <c r="AK274" s="181" t="str">
        <f t="shared" ca="1" si="60"/>
        <v>TERMINO</v>
      </c>
      <c r="AL274" s="310" t="s">
        <v>582</v>
      </c>
      <c r="AM274" s="176" t="s">
        <v>391</v>
      </c>
      <c r="AN274" s="848" t="str">
        <f>IFERROR(VLOOKUP(E274,'liquidaciones '!$B$2:$C$1048576,2,0),"NO")</f>
        <v>LIQUIDADO</v>
      </c>
      <c r="AO274" s="944">
        <f>IFERROR(VLOOKUP(E274,'liquidaciones '!$B$2:$I$1048576,8,0),"")</f>
        <v>0</v>
      </c>
      <c r="AP274" s="338"/>
      <c r="AQ274" s="177" t="str">
        <f t="shared" ca="1" si="51"/>
        <v>NO</v>
      </c>
      <c r="AR274" s="177" t="s">
        <v>981</v>
      </c>
      <c r="AS274" s="433"/>
      <c r="AT274" s="964"/>
      <c r="AU274" s="964"/>
      <c r="AV274" s="964"/>
    </row>
    <row r="275" spans="2:48" ht="47.25" customHeight="1" x14ac:dyDescent="0.25">
      <c r="B275" s="15">
        <v>269</v>
      </c>
      <c r="C275" s="437"/>
      <c r="D275" s="437" t="str">
        <f t="shared" si="53"/>
        <v>2014</v>
      </c>
      <c r="E275" s="866" t="s">
        <v>1546</v>
      </c>
      <c r="F275" s="864" t="s">
        <v>3672</v>
      </c>
      <c r="G275" s="866">
        <v>860506170</v>
      </c>
      <c r="H275" s="858" t="s">
        <v>1547</v>
      </c>
      <c r="I275" s="210">
        <v>0</v>
      </c>
      <c r="J275" s="134" t="s">
        <v>1088</v>
      </c>
      <c r="K275" s="295">
        <v>2014</v>
      </c>
      <c r="L275" s="546" t="s">
        <v>1088</v>
      </c>
      <c r="M275" s="865">
        <v>41984</v>
      </c>
      <c r="N275" s="865">
        <v>42046</v>
      </c>
      <c r="O275" s="127">
        <f>COUNTA(Modificaciones!I275,Modificaciones!K275,Modificaciones!M275,Modificaciones!O275)</f>
        <v>0</v>
      </c>
      <c r="P275" s="128">
        <f>VLOOKUP(E275,Modificaciones!$B$7:$Q$300,16,0)</f>
        <v>0</v>
      </c>
      <c r="Q275" s="129">
        <f>COUNTA(Modificaciones!S275,Modificaciones!U275,Modificaciones!W275,Modificaciones!Y275)</f>
        <v>0</v>
      </c>
      <c r="R275" s="130" t="str">
        <f>IF(Modificaciones!Z275=0,"",VLOOKUP(E275,Modificaciones!$B$7:$AA$400,25,0))</f>
        <v/>
      </c>
      <c r="S275" s="131" t="str">
        <f>IF(Modificaciones!AA275=0,"",VLOOKUP(E275,Modificaciones!$B$7:$AA$400,26,0))</f>
        <v/>
      </c>
      <c r="T275" s="126">
        <f t="shared" si="52"/>
        <v>42046</v>
      </c>
      <c r="U275" s="62">
        <f t="shared" si="54"/>
        <v>0</v>
      </c>
      <c r="V275" s="172">
        <f>VLOOKUP(E275,Modificaciones!$B$7:$AU$300,46,0)</f>
        <v>0</v>
      </c>
      <c r="W275" s="93">
        <f t="shared" si="55"/>
        <v>0</v>
      </c>
      <c r="X275" s="309" t="s">
        <v>590</v>
      </c>
      <c r="Y275" s="42" t="e">
        <f t="shared" si="56"/>
        <v>#DIV/0!</v>
      </c>
      <c r="Z275" s="42">
        <f t="shared" ca="1" si="57"/>
        <v>1</v>
      </c>
      <c r="AA275" s="43" t="e">
        <f t="shared" ca="1" si="58"/>
        <v>#DIV/0!</v>
      </c>
      <c r="AB275" s="202" t="str">
        <f t="shared" ca="1" si="59"/>
        <v/>
      </c>
      <c r="AC275" s="44" t="e">
        <f t="shared" si="50"/>
        <v>#DIV/0!</v>
      </c>
      <c r="AD275" s="44"/>
      <c r="AE275" s="173"/>
      <c r="AF275" s="281" t="s">
        <v>1548</v>
      </c>
      <c r="AG275" s="173"/>
      <c r="AH275" s="281"/>
      <c r="AI275" s="305"/>
      <c r="AJ275" s="305" t="s">
        <v>1549</v>
      </c>
      <c r="AK275" s="181" t="str">
        <f t="shared" ca="1" si="60"/>
        <v>TERMINO</v>
      </c>
      <c r="AL275" s="310" t="s">
        <v>582</v>
      </c>
      <c r="AM275" s="176"/>
      <c r="AN275" s="848" t="str">
        <f>IFERROR(VLOOKUP(E275,'liquidaciones '!$B$2:$C$1048576,2,0),"NO")</f>
        <v>EN TRÁMITE</v>
      </c>
      <c r="AO275" s="944">
        <f>IFERROR(VLOOKUP(E275,'liquidaciones '!$B$2:$I$1048576,8,0),"")</f>
        <v>0</v>
      </c>
      <c r="AP275" s="338"/>
      <c r="AQ275" s="177" t="str">
        <f t="shared" ca="1" si="51"/>
        <v>NO</v>
      </c>
      <c r="AR275" s="177"/>
      <c r="AS275" s="433"/>
      <c r="AT275" s="964"/>
      <c r="AU275" s="964"/>
      <c r="AV275" s="964"/>
    </row>
    <row r="276" spans="2:48" ht="47.25" customHeight="1" x14ac:dyDescent="0.25">
      <c r="B276" s="15">
        <v>270</v>
      </c>
      <c r="C276" s="437">
        <v>124</v>
      </c>
      <c r="D276" s="437" t="str">
        <f t="shared" si="53"/>
        <v>2015124</v>
      </c>
      <c r="E276" s="351" t="s">
        <v>1550</v>
      </c>
      <c r="F276" s="864" t="s">
        <v>1033</v>
      </c>
      <c r="G276" s="866">
        <v>51931422</v>
      </c>
      <c r="H276" s="858" t="s">
        <v>1551</v>
      </c>
      <c r="I276" s="210">
        <v>60000000</v>
      </c>
      <c r="J276" s="726" t="s">
        <v>1550</v>
      </c>
      <c r="K276" s="295">
        <v>2015</v>
      </c>
      <c r="L276" s="546">
        <v>42044</v>
      </c>
      <c r="M276" s="865">
        <v>42045</v>
      </c>
      <c r="N276" s="865">
        <v>42410</v>
      </c>
      <c r="O276" s="127">
        <f>COUNTA(Modificaciones!I276,Modificaciones!K276,Modificaciones!M276,Modificaciones!O276)</f>
        <v>0</v>
      </c>
      <c r="P276" s="128">
        <f>VLOOKUP(E276,Modificaciones!$B$7:$Q$300,16,0)</f>
        <v>0</v>
      </c>
      <c r="Q276" s="129">
        <f>COUNTA(Modificaciones!S276,Modificaciones!U276,Modificaciones!W276,Modificaciones!Y276)</f>
        <v>0</v>
      </c>
      <c r="R276" s="130" t="str">
        <f>IF(Modificaciones!Z276=0,"",VLOOKUP(E276,Modificaciones!$B$7:$AA$400,25,0))</f>
        <v/>
      </c>
      <c r="S276" s="131" t="str">
        <f>IF(Modificaciones!AA276=0,"",VLOOKUP(E276,Modificaciones!$B$7:$AA$400,26,0))</f>
        <v/>
      </c>
      <c r="T276" s="126">
        <f t="shared" si="52"/>
        <v>42410</v>
      </c>
      <c r="U276" s="62">
        <f t="shared" si="54"/>
        <v>60000000</v>
      </c>
      <c r="V276" s="172">
        <f>VLOOKUP(E276,Modificaciones!$B$7:$AU$300,46,0)</f>
        <v>60000000</v>
      </c>
      <c r="W276" s="93">
        <f t="shared" si="55"/>
        <v>0</v>
      </c>
      <c r="X276" s="309" t="s">
        <v>1095</v>
      </c>
      <c r="Y276" s="42">
        <f t="shared" si="56"/>
        <v>1</v>
      </c>
      <c r="Z276" s="42">
        <f t="shared" ca="1" si="57"/>
        <v>1</v>
      </c>
      <c r="AA276" s="43">
        <f t="shared" ca="1" si="58"/>
        <v>0</v>
      </c>
      <c r="AB276" s="202" t="str">
        <f t="shared" ca="1" si="59"/>
        <v/>
      </c>
      <c r="AC276" s="44" t="str">
        <f t="shared" si="50"/>
        <v>SI</v>
      </c>
      <c r="AD276" s="760" t="s">
        <v>2898</v>
      </c>
      <c r="AE276" s="173" t="s">
        <v>1256</v>
      </c>
      <c r="AF276" s="173" t="s">
        <v>2171</v>
      </c>
      <c r="AG276" s="173" t="s">
        <v>1177</v>
      </c>
      <c r="AH276" s="281" t="s">
        <v>559</v>
      </c>
      <c r="AI276" s="174"/>
      <c r="AJ276" s="305" t="s">
        <v>954</v>
      </c>
      <c r="AK276" s="181" t="str">
        <f t="shared" ca="1" si="60"/>
        <v>TERMINO</v>
      </c>
      <c r="AL276" s="181" t="s">
        <v>582</v>
      </c>
      <c r="AM276" s="176" t="s">
        <v>391</v>
      </c>
      <c r="AN276" s="848" t="str">
        <f>IFERROR(VLOOKUP(E276,'liquidaciones '!$B$2:$C$1048576,2,0),"NO")</f>
        <v>LIQUIDADO</v>
      </c>
      <c r="AO276" s="944">
        <f>IFERROR(VLOOKUP(E276,'liquidaciones '!$B$2:$I$1048576,8,0),"")</f>
        <v>0</v>
      </c>
      <c r="AP276" s="338"/>
      <c r="AQ276" s="177" t="str">
        <f t="shared" ca="1" si="51"/>
        <v>NO</v>
      </c>
      <c r="AR276" s="177" t="s">
        <v>981</v>
      </c>
      <c r="AS276" s="433"/>
      <c r="AT276" s="964"/>
      <c r="AU276" s="964"/>
      <c r="AV276" s="964"/>
    </row>
    <row r="277" spans="2:48" ht="47.25" customHeight="1" x14ac:dyDescent="0.25">
      <c r="B277" s="15">
        <v>271</v>
      </c>
      <c r="C277" s="437">
        <v>137</v>
      </c>
      <c r="D277" s="437" t="str">
        <f t="shared" si="53"/>
        <v>2015137</v>
      </c>
      <c r="E277" s="351" t="s">
        <v>1552</v>
      </c>
      <c r="F277" s="864" t="s">
        <v>2015</v>
      </c>
      <c r="G277" s="866">
        <v>79799184</v>
      </c>
      <c r="H277" s="858" t="s">
        <v>1553</v>
      </c>
      <c r="I277" s="210">
        <v>63654000</v>
      </c>
      <c r="J277" s="726" t="s">
        <v>1552</v>
      </c>
      <c r="K277" s="295">
        <v>2015</v>
      </c>
      <c r="L277" s="546">
        <v>42044</v>
      </c>
      <c r="M277" s="865">
        <v>42045</v>
      </c>
      <c r="N277" s="865">
        <v>42379</v>
      </c>
      <c r="O277" s="127">
        <f>COUNTA(Modificaciones!I277,Modificaciones!K277,Modificaciones!M277,Modificaciones!O277)</f>
        <v>0</v>
      </c>
      <c r="P277" s="128">
        <f>VLOOKUP(E277,Modificaciones!$B$7:$Q$300,16,0)</f>
        <v>0</v>
      </c>
      <c r="Q277" s="129">
        <f>COUNTA(Modificaciones!S277,Modificaciones!U277,Modificaciones!W277,Modificaciones!Y277)</f>
        <v>1</v>
      </c>
      <c r="R277" s="130" t="str">
        <f>IF(Modificaciones!Z277=0,"",VLOOKUP(E277,Modificaciones!$B$7:$AA$400,25,0))</f>
        <v>1 mes</v>
      </c>
      <c r="S277" s="131">
        <f>IF(Modificaciones!AA277=0,"",VLOOKUP(E277,Modificaciones!$B$7:$AA$400,26,0))</f>
        <v>42410</v>
      </c>
      <c r="T277" s="126">
        <f t="shared" si="52"/>
        <v>42410</v>
      </c>
      <c r="U277" s="62">
        <f t="shared" si="54"/>
        <v>63654000</v>
      </c>
      <c r="V277" s="172">
        <f>VLOOKUP(E277,Modificaciones!$B$7:$AU$300,46,0)</f>
        <v>63654000</v>
      </c>
      <c r="W277" s="93">
        <f t="shared" si="55"/>
        <v>0</v>
      </c>
      <c r="X277" s="309" t="s">
        <v>1095</v>
      </c>
      <c r="Y277" s="42">
        <f t="shared" si="56"/>
        <v>1</v>
      </c>
      <c r="Z277" s="42">
        <f t="shared" ca="1" si="57"/>
        <v>1</v>
      </c>
      <c r="AA277" s="43">
        <f t="shared" ca="1" si="58"/>
        <v>0</v>
      </c>
      <c r="AB277" s="202" t="str">
        <f t="shared" ca="1" si="59"/>
        <v/>
      </c>
      <c r="AC277" s="44" t="str">
        <f t="shared" si="50"/>
        <v>SI</v>
      </c>
      <c r="AD277" s="760" t="s">
        <v>2898</v>
      </c>
      <c r="AE277" s="173" t="s">
        <v>1257</v>
      </c>
      <c r="AF277" s="173" t="s">
        <v>2172</v>
      </c>
      <c r="AG277" s="173" t="s">
        <v>1177</v>
      </c>
      <c r="AH277" s="281" t="s">
        <v>559</v>
      </c>
      <c r="AI277" s="174"/>
      <c r="AJ277" s="305" t="s">
        <v>954</v>
      </c>
      <c r="AK277" s="181" t="str">
        <f t="shared" ca="1" si="60"/>
        <v>TERMINO</v>
      </c>
      <c r="AL277" s="181" t="s">
        <v>582</v>
      </c>
      <c r="AM277" s="176" t="s">
        <v>391</v>
      </c>
      <c r="AN277" s="848" t="str">
        <f>IFERROR(VLOOKUP(E277,'liquidaciones '!$B$2:$C$1048576,2,0),"NO")</f>
        <v>LIQUIDADO</v>
      </c>
      <c r="AO277" s="944">
        <f>IFERROR(VLOOKUP(E277,'liquidaciones '!$B$2:$I$1048576,8,0),"")</f>
        <v>0</v>
      </c>
      <c r="AP277" s="338"/>
      <c r="AQ277" s="177" t="str">
        <f t="shared" ca="1" si="51"/>
        <v>NO</v>
      </c>
      <c r="AR277" s="177"/>
      <c r="AS277" s="433"/>
      <c r="AT277" s="964"/>
      <c r="AU277" s="964"/>
      <c r="AV277" s="964"/>
    </row>
    <row r="278" spans="2:48" ht="47.25" customHeight="1" x14ac:dyDescent="0.25">
      <c r="B278" s="15">
        <v>272</v>
      </c>
      <c r="C278" s="437">
        <v>126</v>
      </c>
      <c r="D278" s="437" t="str">
        <f t="shared" si="53"/>
        <v>2015126</v>
      </c>
      <c r="E278" s="351" t="s">
        <v>1554</v>
      </c>
      <c r="F278" s="864" t="s">
        <v>1515</v>
      </c>
      <c r="G278" s="133">
        <v>80117116</v>
      </c>
      <c r="H278" s="858" t="s">
        <v>1575</v>
      </c>
      <c r="I278" s="210">
        <v>48000000</v>
      </c>
      <c r="J278" s="726" t="s">
        <v>1554</v>
      </c>
      <c r="K278" s="295">
        <v>2015</v>
      </c>
      <c r="L278" s="546">
        <v>42051</v>
      </c>
      <c r="M278" s="865">
        <v>42053</v>
      </c>
      <c r="N278" s="865">
        <v>42418</v>
      </c>
      <c r="O278" s="127">
        <f>COUNTA(Modificaciones!I278,Modificaciones!K278,Modificaciones!M278,Modificaciones!O278)</f>
        <v>0</v>
      </c>
      <c r="P278" s="128">
        <f>VLOOKUP(E278,Modificaciones!$B$7:$Q$300,16,0)</f>
        <v>0</v>
      </c>
      <c r="Q278" s="129">
        <f>COUNTA(Modificaciones!S278,Modificaciones!U278,Modificaciones!W278,Modificaciones!Y278)</f>
        <v>0</v>
      </c>
      <c r="R278" s="130" t="str">
        <f>IF(Modificaciones!Z278=0,"",VLOOKUP(E278,Modificaciones!$B$7:$AA$400,25,0))</f>
        <v/>
      </c>
      <c r="S278" s="131" t="str">
        <f>IF(Modificaciones!AA278=0,"",VLOOKUP(E278,Modificaciones!$B$7:$AA$400,26,0))</f>
        <v/>
      </c>
      <c r="T278" s="126">
        <f t="shared" si="52"/>
        <v>42418</v>
      </c>
      <c r="U278" s="62">
        <f t="shared" si="54"/>
        <v>48000000</v>
      </c>
      <c r="V278" s="172">
        <f>VLOOKUP(E278,Modificaciones!$B$7:$AU$300,46,0)</f>
        <v>48000000</v>
      </c>
      <c r="W278" s="93">
        <f t="shared" si="55"/>
        <v>0</v>
      </c>
      <c r="X278" s="309" t="s">
        <v>1095</v>
      </c>
      <c r="Y278" s="42">
        <f t="shared" si="56"/>
        <v>1</v>
      </c>
      <c r="Z278" s="42">
        <f t="shared" ca="1" si="57"/>
        <v>1</v>
      </c>
      <c r="AA278" s="43">
        <f t="shared" ca="1" si="58"/>
        <v>0</v>
      </c>
      <c r="AB278" s="202" t="str">
        <f t="shared" ca="1" si="59"/>
        <v/>
      </c>
      <c r="AC278" s="44" t="str">
        <f t="shared" si="50"/>
        <v>SI</v>
      </c>
      <c r="AD278" s="760" t="s">
        <v>2898</v>
      </c>
      <c r="AE278" s="173" t="s">
        <v>1256</v>
      </c>
      <c r="AF278" s="173" t="s">
        <v>2173</v>
      </c>
      <c r="AG278" s="173" t="s">
        <v>1430</v>
      </c>
      <c r="AH278" s="281" t="s">
        <v>564</v>
      </c>
      <c r="AI278" s="174" t="s">
        <v>2167</v>
      </c>
      <c r="AJ278" s="305" t="s">
        <v>954</v>
      </c>
      <c r="AK278" s="181" t="str">
        <f t="shared" ca="1" si="60"/>
        <v>TERMINO</v>
      </c>
      <c r="AL278" s="181" t="s">
        <v>582</v>
      </c>
      <c r="AM278" s="176" t="s">
        <v>391</v>
      </c>
      <c r="AN278" s="848" t="str">
        <f>IFERROR(VLOOKUP(E278,'liquidaciones '!$B$2:$C$1048576,2,0),"NO")</f>
        <v>LIQUIDADO</v>
      </c>
      <c r="AO278" s="944">
        <f>IFERROR(VLOOKUP(E278,'liquidaciones '!$B$2:$I$1048576,8,0),"")</f>
        <v>0</v>
      </c>
      <c r="AP278" s="338"/>
      <c r="AQ278" s="177" t="str">
        <f t="shared" ca="1" si="51"/>
        <v>NO</v>
      </c>
      <c r="AR278" s="177" t="s">
        <v>981</v>
      </c>
      <c r="AS278" s="433"/>
      <c r="AT278" s="964"/>
      <c r="AU278" s="964"/>
      <c r="AV278" s="964"/>
    </row>
    <row r="279" spans="2:48" ht="47.25" customHeight="1" x14ac:dyDescent="0.25">
      <c r="B279" s="15">
        <v>273</v>
      </c>
      <c r="C279" s="437">
        <v>133</v>
      </c>
      <c r="D279" s="437" t="str">
        <f t="shared" si="53"/>
        <v>2015133</v>
      </c>
      <c r="E279" s="351" t="s">
        <v>1567</v>
      </c>
      <c r="F279" s="864" t="s">
        <v>1566</v>
      </c>
      <c r="G279" s="866">
        <v>41468417</v>
      </c>
      <c r="H279" s="858" t="s">
        <v>1560</v>
      </c>
      <c r="I279" s="210">
        <v>63654000</v>
      </c>
      <c r="J279" s="726" t="s">
        <v>1567</v>
      </c>
      <c r="K279" s="295">
        <v>2015</v>
      </c>
      <c r="L279" s="546">
        <v>42053</v>
      </c>
      <c r="M279" s="865">
        <v>42054</v>
      </c>
      <c r="N279" s="865">
        <v>42419</v>
      </c>
      <c r="O279" s="127">
        <f>COUNTA(Modificaciones!I279,Modificaciones!K279,Modificaciones!M279,Modificaciones!O279)</f>
        <v>0</v>
      </c>
      <c r="P279" s="128">
        <f>VLOOKUP(E279,Modificaciones!$B$7:$Q$300,16,0)</f>
        <v>0</v>
      </c>
      <c r="Q279" s="129">
        <f>COUNTA(Modificaciones!S279,Modificaciones!U279,Modificaciones!W279,Modificaciones!Y279)</f>
        <v>0</v>
      </c>
      <c r="R279" s="130" t="str">
        <f>IF(Modificaciones!Z279=0,"",VLOOKUP(E279,Modificaciones!$B$7:$AA$400,25,0))</f>
        <v/>
      </c>
      <c r="S279" s="131" t="str">
        <f>IF(Modificaciones!AA279=0,"",VLOOKUP(E279,Modificaciones!$B$7:$AA$400,26,0))</f>
        <v/>
      </c>
      <c r="T279" s="126">
        <f t="shared" si="52"/>
        <v>42419</v>
      </c>
      <c r="U279" s="62">
        <f t="shared" si="54"/>
        <v>63654000</v>
      </c>
      <c r="V279" s="172">
        <f>VLOOKUP(E279,Modificaciones!$B$7:$AU$300,46,0)</f>
        <v>63654000</v>
      </c>
      <c r="W279" s="93">
        <f t="shared" si="55"/>
        <v>0</v>
      </c>
      <c r="X279" s="309" t="s">
        <v>1095</v>
      </c>
      <c r="Y279" s="42">
        <f t="shared" si="56"/>
        <v>1</v>
      </c>
      <c r="Z279" s="42">
        <f t="shared" ca="1" si="57"/>
        <v>1</v>
      </c>
      <c r="AA279" s="43">
        <f t="shared" ca="1" si="58"/>
        <v>0</v>
      </c>
      <c r="AB279" s="202" t="str">
        <f t="shared" ca="1" si="59"/>
        <v/>
      </c>
      <c r="AC279" s="44" t="str">
        <f t="shared" si="50"/>
        <v>SI</v>
      </c>
      <c r="AD279" s="760" t="s">
        <v>2898</v>
      </c>
      <c r="AE279" s="173" t="s">
        <v>1256</v>
      </c>
      <c r="AF279" s="173" t="s">
        <v>2174</v>
      </c>
      <c r="AG279" s="173" t="s">
        <v>1177</v>
      </c>
      <c r="AH279" s="281" t="s">
        <v>559</v>
      </c>
      <c r="AI279" s="174"/>
      <c r="AJ279" s="305" t="s">
        <v>954</v>
      </c>
      <c r="AK279" s="181" t="str">
        <f t="shared" ca="1" si="60"/>
        <v>TERMINO</v>
      </c>
      <c r="AL279" s="181" t="s">
        <v>582</v>
      </c>
      <c r="AM279" s="176" t="s">
        <v>391</v>
      </c>
      <c r="AN279" s="848" t="str">
        <f>IFERROR(VLOOKUP(E279,'liquidaciones '!$B$2:$C$1048576,2,0),"NO")</f>
        <v>LIQUIDADO</v>
      </c>
      <c r="AO279" s="944">
        <f>IFERROR(VLOOKUP(E279,'liquidaciones '!$B$2:$I$1048576,8,0),"")</f>
        <v>0</v>
      </c>
      <c r="AP279" s="338"/>
      <c r="AQ279" s="177" t="str">
        <f t="shared" ca="1" si="51"/>
        <v>NO</v>
      </c>
      <c r="AR279" s="177" t="s">
        <v>2076</v>
      </c>
      <c r="AS279" s="433"/>
      <c r="AT279" s="964"/>
      <c r="AU279" s="964"/>
      <c r="AV279" s="964"/>
    </row>
    <row r="280" spans="2:48" ht="47.25" customHeight="1" x14ac:dyDescent="0.25">
      <c r="B280" s="15">
        <v>274</v>
      </c>
      <c r="C280" s="437">
        <v>130</v>
      </c>
      <c r="D280" s="437" t="str">
        <f t="shared" si="53"/>
        <v>2015130</v>
      </c>
      <c r="E280" s="351" t="s">
        <v>1608</v>
      </c>
      <c r="F280" s="864" t="s">
        <v>2388</v>
      </c>
      <c r="G280" s="866">
        <v>74323767</v>
      </c>
      <c r="H280" s="858" t="s">
        <v>1555</v>
      </c>
      <c r="I280" s="210">
        <v>60000000</v>
      </c>
      <c r="J280" s="726" t="s">
        <v>1608</v>
      </c>
      <c r="K280" s="295">
        <v>2015</v>
      </c>
      <c r="L280" s="546">
        <v>42052</v>
      </c>
      <c r="M280" s="865">
        <v>42054</v>
      </c>
      <c r="N280" s="865">
        <v>42419</v>
      </c>
      <c r="O280" s="127">
        <f>COUNTA(Modificaciones!I280,Modificaciones!K280,Modificaciones!M280,Modificaciones!O280)</f>
        <v>0</v>
      </c>
      <c r="P280" s="128">
        <f>VLOOKUP(E280,Modificaciones!$B$7:$Q$300,16,0)</f>
        <v>0</v>
      </c>
      <c r="Q280" s="129">
        <f>COUNTA(Modificaciones!S280,Modificaciones!U280,Modificaciones!W280,Modificaciones!Y280)</f>
        <v>0</v>
      </c>
      <c r="R280" s="130" t="str">
        <f>IF(Modificaciones!Z280=0,"",VLOOKUP(E280,Modificaciones!$B$7:$AA$400,25,0))</f>
        <v/>
      </c>
      <c r="S280" s="131" t="str">
        <f>IF(Modificaciones!AA280=0,"",VLOOKUP(E280,Modificaciones!$B$7:$AA$400,26,0))</f>
        <v/>
      </c>
      <c r="T280" s="126">
        <f t="shared" si="52"/>
        <v>42419</v>
      </c>
      <c r="U280" s="62">
        <f t="shared" si="54"/>
        <v>60000000</v>
      </c>
      <c r="V280" s="172">
        <f>VLOOKUP(E280,Modificaciones!$B$7:$AU$300,46,0)</f>
        <v>60000000</v>
      </c>
      <c r="W280" s="93">
        <f t="shared" si="55"/>
        <v>0</v>
      </c>
      <c r="X280" s="309" t="s">
        <v>1095</v>
      </c>
      <c r="Y280" s="42">
        <f t="shared" si="56"/>
        <v>1</v>
      </c>
      <c r="Z280" s="42">
        <f t="shared" ca="1" si="57"/>
        <v>1</v>
      </c>
      <c r="AA280" s="43">
        <f t="shared" ca="1" si="58"/>
        <v>0</v>
      </c>
      <c r="AB280" s="202" t="str">
        <f t="shared" ca="1" si="59"/>
        <v/>
      </c>
      <c r="AC280" s="44" t="str">
        <f t="shared" si="50"/>
        <v>SI</v>
      </c>
      <c r="AD280" s="760" t="s">
        <v>2898</v>
      </c>
      <c r="AE280" s="173" t="s">
        <v>1256</v>
      </c>
      <c r="AF280" s="173" t="s">
        <v>2175</v>
      </c>
      <c r="AG280" s="173" t="s">
        <v>1177</v>
      </c>
      <c r="AH280" s="281" t="s">
        <v>559</v>
      </c>
      <c r="AI280" s="174"/>
      <c r="AJ280" s="305" t="s">
        <v>954</v>
      </c>
      <c r="AK280" s="181" t="str">
        <f t="shared" ca="1" si="60"/>
        <v>TERMINO</v>
      </c>
      <c r="AL280" s="181" t="s">
        <v>582</v>
      </c>
      <c r="AM280" s="176" t="s">
        <v>391</v>
      </c>
      <c r="AN280" s="848" t="str">
        <f>IFERROR(VLOOKUP(E280,'liquidaciones '!$B$2:$C$1048576,2,0),"NO")</f>
        <v>LIQUIDADO</v>
      </c>
      <c r="AO280" s="944">
        <f>IFERROR(VLOOKUP(E280,'liquidaciones '!$B$2:$I$1048576,8,0),"")</f>
        <v>0</v>
      </c>
      <c r="AP280" s="338"/>
      <c r="AQ280" s="177" t="str">
        <f t="shared" ca="1" si="51"/>
        <v>NO</v>
      </c>
      <c r="AR280" s="177" t="s">
        <v>2076</v>
      </c>
      <c r="AS280" s="433"/>
      <c r="AT280" s="964"/>
      <c r="AU280" s="964"/>
      <c r="AV280" s="964"/>
    </row>
    <row r="281" spans="2:48" ht="47.25" customHeight="1" x14ac:dyDescent="0.25">
      <c r="B281" s="15">
        <v>275</v>
      </c>
      <c r="C281" s="437">
        <v>136</v>
      </c>
      <c r="D281" s="437" t="str">
        <f t="shared" si="53"/>
        <v>2015136</v>
      </c>
      <c r="E281" s="351" t="s">
        <v>1557</v>
      </c>
      <c r="F281" s="864" t="s">
        <v>1070</v>
      </c>
      <c r="G281" s="866">
        <v>1073156298</v>
      </c>
      <c r="H281" s="858" t="s">
        <v>1559</v>
      </c>
      <c r="I281" s="210">
        <v>43260000</v>
      </c>
      <c r="J281" s="726" t="s">
        <v>1557</v>
      </c>
      <c r="K281" s="295">
        <v>2015</v>
      </c>
      <c r="L281" s="546">
        <v>42054</v>
      </c>
      <c r="M281" s="865">
        <v>42060</v>
      </c>
      <c r="N281" s="865">
        <v>42425</v>
      </c>
      <c r="O281" s="127">
        <f>COUNTA(Modificaciones!I281,Modificaciones!K281,Modificaciones!M281,Modificaciones!O281)</f>
        <v>0</v>
      </c>
      <c r="P281" s="128">
        <f>VLOOKUP(E281,Modificaciones!$B$7:$Q$300,16,0)</f>
        <v>0</v>
      </c>
      <c r="Q281" s="129">
        <f>COUNTA(Modificaciones!S281,Modificaciones!U281,Modificaciones!W281,Modificaciones!Y281)</f>
        <v>0</v>
      </c>
      <c r="R281" s="130" t="str">
        <f>IF(Modificaciones!Z281=0,"",VLOOKUP(E281,Modificaciones!$B$7:$AA$400,25,0))</f>
        <v/>
      </c>
      <c r="S281" s="131" t="str">
        <f>IF(Modificaciones!AA281=0,"",VLOOKUP(E281,Modificaciones!$B$7:$AA$400,26,0))</f>
        <v/>
      </c>
      <c r="T281" s="126">
        <f t="shared" si="52"/>
        <v>42425</v>
      </c>
      <c r="U281" s="62">
        <f t="shared" si="54"/>
        <v>43260000</v>
      </c>
      <c r="V281" s="172">
        <f>VLOOKUP(E281,Modificaciones!$B$7:$AU$300,46,0)</f>
        <v>43260000</v>
      </c>
      <c r="W281" s="93">
        <f t="shared" si="55"/>
        <v>0</v>
      </c>
      <c r="X281" s="309" t="s">
        <v>1095</v>
      </c>
      <c r="Y281" s="42">
        <f t="shared" si="56"/>
        <v>1</v>
      </c>
      <c r="Z281" s="42">
        <f t="shared" ca="1" si="57"/>
        <v>1</v>
      </c>
      <c r="AA281" s="43">
        <f t="shared" ca="1" si="58"/>
        <v>0</v>
      </c>
      <c r="AB281" s="202" t="str">
        <f t="shared" ca="1" si="59"/>
        <v/>
      </c>
      <c r="AC281" s="44" t="str">
        <f t="shared" si="50"/>
        <v>SI</v>
      </c>
      <c r="AD281" s="760" t="s">
        <v>2898</v>
      </c>
      <c r="AE281" s="173" t="s">
        <v>1256</v>
      </c>
      <c r="AF281" s="173" t="s">
        <v>2176</v>
      </c>
      <c r="AG281" s="173" t="s">
        <v>1177</v>
      </c>
      <c r="AH281" s="281" t="s">
        <v>559</v>
      </c>
      <c r="AI281" s="174"/>
      <c r="AJ281" s="305" t="s">
        <v>954</v>
      </c>
      <c r="AK281" s="181" t="str">
        <f t="shared" ca="1" si="60"/>
        <v>TERMINO</v>
      </c>
      <c r="AL281" s="181" t="s">
        <v>582</v>
      </c>
      <c r="AM281" s="176" t="s">
        <v>391</v>
      </c>
      <c r="AN281" s="848" t="str">
        <f>IFERROR(VLOOKUP(E281,'liquidaciones '!$B$2:$C$1048576,2,0),"NO")</f>
        <v>LIQUIDADO</v>
      </c>
      <c r="AO281" s="944">
        <f>IFERROR(VLOOKUP(E281,'liquidaciones '!$B$2:$I$1048576,8,0),"")</f>
        <v>0</v>
      </c>
      <c r="AP281" s="338"/>
      <c r="AQ281" s="177" t="str">
        <f t="shared" ca="1" si="51"/>
        <v>NO</v>
      </c>
      <c r="AR281" s="177" t="s">
        <v>2076</v>
      </c>
      <c r="AS281" s="433"/>
      <c r="AT281" s="964"/>
      <c r="AU281" s="964"/>
      <c r="AV281" s="964"/>
    </row>
    <row r="282" spans="2:48" ht="47.25" customHeight="1" x14ac:dyDescent="0.25">
      <c r="B282" s="15">
        <v>276</v>
      </c>
      <c r="C282" s="437">
        <v>125</v>
      </c>
      <c r="D282" s="437" t="str">
        <f t="shared" si="53"/>
        <v>2015125</v>
      </c>
      <c r="E282" s="351" t="s">
        <v>1558</v>
      </c>
      <c r="F282" s="864" t="s">
        <v>2437</v>
      </c>
      <c r="G282" s="866">
        <v>52967877</v>
      </c>
      <c r="H282" s="858" t="s">
        <v>1556</v>
      </c>
      <c r="I282" s="210">
        <v>63654000</v>
      </c>
      <c r="J282" s="726" t="s">
        <v>1558</v>
      </c>
      <c r="K282" s="295">
        <v>2015</v>
      </c>
      <c r="L282" s="546">
        <v>42054</v>
      </c>
      <c r="M282" s="865">
        <v>42060</v>
      </c>
      <c r="N282" s="865">
        <v>42425</v>
      </c>
      <c r="O282" s="127">
        <f>COUNTA(Modificaciones!I282,Modificaciones!K282,Modificaciones!M282,Modificaciones!O282)</f>
        <v>0</v>
      </c>
      <c r="P282" s="128">
        <f>VLOOKUP(E282,Modificaciones!$B$7:$Q$300,16,0)</f>
        <v>0</v>
      </c>
      <c r="Q282" s="129">
        <f>COUNTA(Modificaciones!S282,Modificaciones!U282,Modificaciones!W282,Modificaciones!Y282)</f>
        <v>2</v>
      </c>
      <c r="R282" s="130" t="str">
        <f>IF(Modificaciones!Z282=0,"",VLOOKUP(E282,Modificaciones!$B$7:$AA$400,25,0))</f>
        <v>3 meses y 14 días</v>
      </c>
      <c r="S282" s="131">
        <f>IF(Modificaciones!AA282=0,"",VLOOKUP(E282,Modificaciones!$B$7:$AA$400,26,0))</f>
        <v>42530</v>
      </c>
      <c r="T282" s="126">
        <f t="shared" si="52"/>
        <v>42530</v>
      </c>
      <c r="U282" s="62">
        <f t="shared" si="54"/>
        <v>63654000</v>
      </c>
      <c r="V282" s="172">
        <f>VLOOKUP(E282,Modificaciones!$B$7:$AU$300,46,0)</f>
        <v>62769917</v>
      </c>
      <c r="W282" s="93">
        <f t="shared" si="55"/>
        <v>884083</v>
      </c>
      <c r="X282" s="309" t="s">
        <v>1095</v>
      </c>
      <c r="Y282" s="42">
        <f t="shared" si="56"/>
        <v>0.98611111634775506</v>
      </c>
      <c r="Z282" s="42">
        <f t="shared" ca="1" si="57"/>
        <v>1</v>
      </c>
      <c r="AA282" s="43">
        <f t="shared" ca="1" si="58"/>
        <v>1.3888883652244943E-2</v>
      </c>
      <c r="AB282" s="202" t="str">
        <f t="shared" ca="1" si="59"/>
        <v/>
      </c>
      <c r="AC282" s="44" t="str">
        <f t="shared" si="50"/>
        <v>NO</v>
      </c>
      <c r="AD282" s="760" t="s">
        <v>2898</v>
      </c>
      <c r="AE282" s="173" t="s">
        <v>1256</v>
      </c>
      <c r="AF282" s="173" t="s">
        <v>2175</v>
      </c>
      <c r="AG282" s="173" t="s">
        <v>1177</v>
      </c>
      <c r="AH282" s="281" t="s">
        <v>559</v>
      </c>
      <c r="AI282" s="174"/>
      <c r="AJ282" s="305" t="s">
        <v>954</v>
      </c>
      <c r="AK282" s="181" t="str">
        <f t="shared" ca="1" si="60"/>
        <v>TERMINO</v>
      </c>
      <c r="AL282" s="181" t="s">
        <v>582</v>
      </c>
      <c r="AM282" s="176" t="s">
        <v>391</v>
      </c>
      <c r="AN282" s="848" t="str">
        <f>IFERROR(VLOOKUP(E282,'liquidaciones '!$B$2:$C$1048576,2,0),"NO")</f>
        <v>LIQUIDADO</v>
      </c>
      <c r="AO282" s="944">
        <f>IFERROR(VLOOKUP(E282,'liquidaciones '!$B$2:$I$1048576,8,0),"")</f>
        <v>0</v>
      </c>
      <c r="AP282" s="338"/>
      <c r="AQ282" s="177" t="str">
        <f t="shared" ca="1" si="51"/>
        <v>NO</v>
      </c>
      <c r="AR282" s="177" t="s">
        <v>2076</v>
      </c>
      <c r="AS282" s="433"/>
      <c r="AT282" s="964"/>
      <c r="AU282" s="964"/>
      <c r="AV282" s="964"/>
    </row>
    <row r="283" spans="2:48" ht="47.25" customHeight="1" x14ac:dyDescent="0.25">
      <c r="B283" s="15">
        <v>277</v>
      </c>
      <c r="C283" s="437">
        <v>132</v>
      </c>
      <c r="D283" s="437" t="str">
        <f t="shared" si="53"/>
        <v>2015132</v>
      </c>
      <c r="E283" s="351" t="s">
        <v>1576</v>
      </c>
      <c r="F283" s="864" t="s">
        <v>1577</v>
      </c>
      <c r="G283" s="866">
        <v>28557652</v>
      </c>
      <c r="H283" s="858" t="s">
        <v>1578</v>
      </c>
      <c r="I283" s="210">
        <v>30900000</v>
      </c>
      <c r="J283" s="726" t="s">
        <v>1576</v>
      </c>
      <c r="K283" s="295">
        <v>2015</v>
      </c>
      <c r="L283" s="546">
        <v>42055</v>
      </c>
      <c r="M283" s="865">
        <v>42065</v>
      </c>
      <c r="N283" s="865">
        <v>42431</v>
      </c>
      <c r="O283" s="127">
        <f>COUNTA(Modificaciones!I283,Modificaciones!K283,Modificaciones!M283,Modificaciones!O283)</f>
        <v>0</v>
      </c>
      <c r="P283" s="128">
        <f>VLOOKUP(E283,Modificaciones!$B$7:$Q$300,16,0)</f>
        <v>0</v>
      </c>
      <c r="Q283" s="129">
        <f>COUNTA(Modificaciones!S283,Modificaciones!U283,Modificaciones!W283,Modificaciones!Y283)</f>
        <v>0</v>
      </c>
      <c r="R283" s="130" t="str">
        <f>IF(Modificaciones!Z283=0,"",VLOOKUP(E283,Modificaciones!$B$7:$AA$400,25,0))</f>
        <v/>
      </c>
      <c r="S283" s="131" t="str">
        <f>IF(Modificaciones!AA283=0,"",VLOOKUP(E283,Modificaciones!$B$7:$AA$400,26,0))</f>
        <v/>
      </c>
      <c r="T283" s="126">
        <f t="shared" si="52"/>
        <v>42431</v>
      </c>
      <c r="U283" s="62">
        <f t="shared" si="54"/>
        <v>30900000</v>
      </c>
      <c r="V283" s="172">
        <f>VLOOKUP(E283,Modificaciones!$B$7:$AU$300,46,0)</f>
        <v>30900000</v>
      </c>
      <c r="W283" s="93">
        <f t="shared" si="55"/>
        <v>0</v>
      </c>
      <c r="X283" s="309" t="s">
        <v>1095</v>
      </c>
      <c r="Y283" s="42">
        <f t="shared" si="56"/>
        <v>1</v>
      </c>
      <c r="Z283" s="42">
        <f t="shared" ca="1" si="57"/>
        <v>1</v>
      </c>
      <c r="AA283" s="43">
        <f t="shared" ca="1" si="58"/>
        <v>0</v>
      </c>
      <c r="AB283" s="202" t="str">
        <f t="shared" ca="1" si="59"/>
        <v/>
      </c>
      <c r="AC283" s="44" t="str">
        <f t="shared" si="50"/>
        <v>SI</v>
      </c>
      <c r="AD283" s="760" t="s">
        <v>2898</v>
      </c>
      <c r="AE283" s="173" t="s">
        <v>1256</v>
      </c>
      <c r="AF283" s="173" t="s">
        <v>2177</v>
      </c>
      <c r="AG283" s="173" t="s">
        <v>1430</v>
      </c>
      <c r="AH283" s="281" t="s">
        <v>564</v>
      </c>
      <c r="AI283" s="305"/>
      <c r="AJ283" s="305" t="s">
        <v>954</v>
      </c>
      <c r="AK283" s="181" t="str">
        <f t="shared" ca="1" si="60"/>
        <v>TERMINO</v>
      </c>
      <c r="AL283" s="181" t="s">
        <v>582</v>
      </c>
      <c r="AM283" s="176" t="s">
        <v>391</v>
      </c>
      <c r="AN283" s="848" t="str">
        <f>IFERROR(VLOOKUP(E283,'liquidaciones '!$B$2:$C$1048576,2,0),"NO")</f>
        <v>LIQUIDADO</v>
      </c>
      <c r="AO283" s="944">
        <f>IFERROR(VLOOKUP(E283,'liquidaciones '!$B$2:$I$1048576,8,0),"")</f>
        <v>0</v>
      </c>
      <c r="AP283" s="338"/>
      <c r="AQ283" s="177" t="str">
        <f t="shared" ca="1" si="51"/>
        <v>NO</v>
      </c>
      <c r="AR283" s="177" t="s">
        <v>981</v>
      </c>
      <c r="AS283" s="433"/>
      <c r="AT283" s="964"/>
      <c r="AU283" s="964"/>
      <c r="AV283" s="964"/>
    </row>
    <row r="284" spans="2:48" ht="47.25" customHeight="1" x14ac:dyDescent="0.25">
      <c r="B284" s="15">
        <v>278</v>
      </c>
      <c r="C284" s="437">
        <v>162</v>
      </c>
      <c r="D284" s="437" t="str">
        <f t="shared" si="53"/>
        <v>2015162</v>
      </c>
      <c r="E284" s="866" t="s">
        <v>1579</v>
      </c>
      <c r="F284" s="864" t="s">
        <v>3</v>
      </c>
      <c r="G284" s="133">
        <v>830095213</v>
      </c>
      <c r="H284" s="858" t="s">
        <v>402</v>
      </c>
      <c r="I284" s="210">
        <v>444600000</v>
      </c>
      <c r="J284" s="699"/>
      <c r="K284" s="295">
        <v>2015</v>
      </c>
      <c r="L284" s="546"/>
      <c r="M284" s="865">
        <v>42064</v>
      </c>
      <c r="N284" s="865">
        <v>42339</v>
      </c>
      <c r="O284" s="127">
        <f>COUNTA(Modificaciones!I284,Modificaciones!K284,Modificaciones!M284,Modificaciones!O284)</f>
        <v>0</v>
      </c>
      <c r="P284" s="128">
        <f>VLOOKUP(E284,Modificaciones!$B$7:$Q$300,16,0)</f>
        <v>0</v>
      </c>
      <c r="Q284" s="129">
        <f>COUNTA(Modificaciones!S284,Modificaciones!U284,Modificaciones!W284,Modificaciones!Y284)</f>
        <v>0</v>
      </c>
      <c r="R284" s="130" t="str">
        <f>IF(Modificaciones!Z284=0,"",VLOOKUP(E284,Modificaciones!$B$7:$AA$400,25,0))</f>
        <v/>
      </c>
      <c r="S284" s="131" t="str">
        <f>IF(Modificaciones!AA284=0,"",VLOOKUP(E284,Modificaciones!$B$7:$AA$400,26,0))</f>
        <v/>
      </c>
      <c r="T284" s="126">
        <f t="shared" si="52"/>
        <v>42339</v>
      </c>
      <c r="U284" s="62">
        <f t="shared" si="54"/>
        <v>444600000</v>
      </c>
      <c r="V284" s="172">
        <f>VLOOKUP(E284,Modificaciones!$B$7:$AU$300,46,0)</f>
        <v>365337152</v>
      </c>
      <c r="W284" s="93">
        <f t="shared" si="55"/>
        <v>79262848</v>
      </c>
      <c r="X284" s="309"/>
      <c r="Y284" s="42">
        <f t="shared" si="56"/>
        <v>0.82172098965362128</v>
      </c>
      <c r="Z284" s="42">
        <f t="shared" ca="1" si="57"/>
        <v>1</v>
      </c>
      <c r="AA284" s="43">
        <f t="shared" ca="1" si="58"/>
        <v>0.17827901034637872</v>
      </c>
      <c r="AB284" s="202" t="str">
        <f t="shared" ca="1" si="59"/>
        <v/>
      </c>
      <c r="AC284" s="44" t="str">
        <f t="shared" si="50"/>
        <v>NO</v>
      </c>
      <c r="AD284" s="760" t="str">
        <f>VLOOKUP(C284,[2]Hoja4!$A$2:$E$116,5,0)</f>
        <v>SUMINISTRO</v>
      </c>
      <c r="AE284" s="173" t="s">
        <v>1256</v>
      </c>
      <c r="AF284" s="281" t="s">
        <v>1139</v>
      </c>
      <c r="AG284" s="173" t="s">
        <v>1442</v>
      </c>
      <c r="AH284" s="281" t="s">
        <v>560</v>
      </c>
      <c r="AI284" s="305" t="s">
        <v>1319</v>
      </c>
      <c r="AJ284" s="305" t="s">
        <v>954</v>
      </c>
      <c r="AK284" s="181" t="str">
        <f t="shared" ca="1" si="60"/>
        <v>TERMINO</v>
      </c>
      <c r="AL284" s="310"/>
      <c r="AM284" s="176"/>
      <c r="AN284" s="848" t="str">
        <f>IFERROR(VLOOKUP(E284,'liquidaciones '!$B$2:$C$1048576,2,0),"NO")</f>
        <v>LIQUIDADO</v>
      </c>
      <c r="AO284" s="944" t="str">
        <f>IFERROR(VLOOKUP(E284,'liquidaciones '!$B$2:$I$1048576,8,0),"")</f>
        <v>JULIETH ANGARITA</v>
      </c>
      <c r="AP284" s="338"/>
      <c r="AQ284" s="177" t="str">
        <f t="shared" ca="1" si="51"/>
        <v>NO</v>
      </c>
      <c r="AR284" s="177" t="s">
        <v>1510</v>
      </c>
      <c r="AS284" s="433"/>
      <c r="AT284" s="964"/>
      <c r="AU284" s="964"/>
      <c r="AV284" s="964"/>
    </row>
    <row r="285" spans="2:48" ht="47.25" customHeight="1" x14ac:dyDescent="0.25">
      <c r="B285" s="15">
        <v>279</v>
      </c>
      <c r="C285" s="437">
        <v>128</v>
      </c>
      <c r="D285" s="437" t="str">
        <f t="shared" si="53"/>
        <v>2015128</v>
      </c>
      <c r="E285" s="351" t="s">
        <v>1580</v>
      </c>
      <c r="F285" s="864" t="s">
        <v>1034</v>
      </c>
      <c r="G285" s="866">
        <v>79887061</v>
      </c>
      <c r="H285" s="858" t="s">
        <v>1609</v>
      </c>
      <c r="I285" s="210">
        <v>38400000</v>
      </c>
      <c r="J285" s="726" t="s">
        <v>1580</v>
      </c>
      <c r="K285" s="295">
        <v>2015</v>
      </c>
      <c r="L285" s="546">
        <v>42062</v>
      </c>
      <c r="M285" s="865">
        <v>42073</v>
      </c>
      <c r="N285" s="865">
        <v>42439</v>
      </c>
      <c r="O285" s="127">
        <f>COUNTA(Modificaciones!I285,Modificaciones!K285,Modificaciones!M285,Modificaciones!O285)</f>
        <v>0</v>
      </c>
      <c r="P285" s="128">
        <f>VLOOKUP(E285,Modificaciones!$B$7:$Q$300,16,0)</f>
        <v>0</v>
      </c>
      <c r="Q285" s="129">
        <f>COUNTA(Modificaciones!S285,Modificaciones!U285,Modificaciones!W285,Modificaciones!Y285)</f>
        <v>0</v>
      </c>
      <c r="R285" s="130" t="str">
        <f>IF(Modificaciones!Z285=0,"",VLOOKUP(E285,Modificaciones!$B$7:$AA$400,25,0))</f>
        <v/>
      </c>
      <c r="S285" s="131" t="str">
        <f>IF(Modificaciones!AA285=0,"",VLOOKUP(E285,Modificaciones!$B$7:$AA$400,26,0))</f>
        <v/>
      </c>
      <c r="T285" s="126">
        <f t="shared" si="52"/>
        <v>42439</v>
      </c>
      <c r="U285" s="62">
        <f t="shared" si="54"/>
        <v>38400000</v>
      </c>
      <c r="V285" s="172">
        <f>VLOOKUP(E285,Modificaciones!$B$7:$AU$300,46,0)</f>
        <v>38400000</v>
      </c>
      <c r="W285" s="93">
        <f t="shared" si="55"/>
        <v>0</v>
      </c>
      <c r="X285" s="309" t="s">
        <v>1095</v>
      </c>
      <c r="Y285" s="42">
        <f t="shared" si="56"/>
        <v>1</v>
      </c>
      <c r="Z285" s="42">
        <f t="shared" ca="1" si="57"/>
        <v>1</v>
      </c>
      <c r="AA285" s="43">
        <f t="shared" ca="1" si="58"/>
        <v>0</v>
      </c>
      <c r="AB285" s="202" t="str">
        <f t="shared" ca="1" si="59"/>
        <v/>
      </c>
      <c r="AC285" s="44" t="str">
        <f t="shared" si="50"/>
        <v>SI</v>
      </c>
      <c r="AD285" s="760" t="s">
        <v>2898</v>
      </c>
      <c r="AE285" s="173" t="s">
        <v>1256</v>
      </c>
      <c r="AF285" s="173" t="s">
        <v>2178</v>
      </c>
      <c r="AG285" s="173" t="s">
        <v>1439</v>
      </c>
      <c r="AH285" s="281" t="s">
        <v>560</v>
      </c>
      <c r="AI285" s="305" t="s">
        <v>1509</v>
      </c>
      <c r="AJ285" s="305" t="s">
        <v>954</v>
      </c>
      <c r="AK285" s="181" t="str">
        <f t="shared" ca="1" si="60"/>
        <v>TERMINO</v>
      </c>
      <c r="AL285" s="181" t="s">
        <v>582</v>
      </c>
      <c r="AM285" s="176" t="s">
        <v>391</v>
      </c>
      <c r="AN285" s="848" t="str">
        <f>IFERROR(VLOOKUP(E285,'liquidaciones '!$B$2:$C$1048576,2,0),"NO")</f>
        <v>LIQUIDADO</v>
      </c>
      <c r="AO285" s="944">
        <f>IFERROR(VLOOKUP(E285,'liquidaciones '!$B$2:$I$1048576,8,0),"")</f>
        <v>0</v>
      </c>
      <c r="AP285" s="338"/>
      <c r="AQ285" s="177" t="str">
        <f t="shared" ca="1" si="51"/>
        <v>NO</v>
      </c>
      <c r="AR285" s="177" t="s">
        <v>981</v>
      </c>
      <c r="AS285" s="433"/>
      <c r="AT285" s="964"/>
      <c r="AU285" s="964"/>
      <c r="AV285" s="964"/>
    </row>
    <row r="286" spans="2:48" ht="47.25" customHeight="1" x14ac:dyDescent="0.25">
      <c r="B286" s="15">
        <v>280</v>
      </c>
      <c r="C286" s="437">
        <v>127</v>
      </c>
      <c r="D286" s="437" t="str">
        <f t="shared" si="53"/>
        <v>2015127</v>
      </c>
      <c r="E286" s="351" t="s">
        <v>1581</v>
      </c>
      <c r="F286" s="864" t="s">
        <v>1582</v>
      </c>
      <c r="G286" s="866">
        <v>53124369</v>
      </c>
      <c r="H286" s="858" t="s">
        <v>1583</v>
      </c>
      <c r="I286" s="210">
        <v>78000000</v>
      </c>
      <c r="J286" s="726" t="s">
        <v>1581</v>
      </c>
      <c r="K286" s="295">
        <v>2015</v>
      </c>
      <c r="L286" s="546">
        <v>42066</v>
      </c>
      <c r="M286" s="865">
        <v>42066</v>
      </c>
      <c r="N286" s="865">
        <v>42432</v>
      </c>
      <c r="O286" s="127">
        <f>COUNTA(Modificaciones!I286,Modificaciones!K286,Modificaciones!M286,Modificaciones!O286)</f>
        <v>0</v>
      </c>
      <c r="P286" s="128">
        <f>VLOOKUP(E286,Modificaciones!$B$7:$Q$300,16,0)</f>
        <v>0</v>
      </c>
      <c r="Q286" s="129">
        <f>COUNTA(Modificaciones!S286,Modificaciones!U286,Modificaciones!W286,Modificaciones!Y286)</f>
        <v>0</v>
      </c>
      <c r="R286" s="130" t="str">
        <f>IF(Modificaciones!Z286=0,"",VLOOKUP(E286,Modificaciones!$B$7:$AA$400,25,0))</f>
        <v/>
      </c>
      <c r="S286" s="131" t="str">
        <f>IF(Modificaciones!AA286=0,"",VLOOKUP(E286,Modificaciones!$B$7:$AA$400,26,0))</f>
        <v/>
      </c>
      <c r="T286" s="126">
        <f t="shared" si="52"/>
        <v>42432</v>
      </c>
      <c r="U286" s="62">
        <f t="shared" si="54"/>
        <v>78000000</v>
      </c>
      <c r="V286" s="172">
        <f>VLOOKUP(E286,Modificaciones!$B$7:$AU$300,46,0)</f>
        <v>78000000</v>
      </c>
      <c r="W286" s="93">
        <f t="shared" si="55"/>
        <v>0</v>
      </c>
      <c r="X286" s="309" t="s">
        <v>1095</v>
      </c>
      <c r="Y286" s="42">
        <f t="shared" si="56"/>
        <v>1</v>
      </c>
      <c r="Z286" s="42">
        <f t="shared" ca="1" si="57"/>
        <v>1</v>
      </c>
      <c r="AA286" s="43">
        <f t="shared" ca="1" si="58"/>
        <v>0</v>
      </c>
      <c r="AB286" s="202" t="str">
        <f t="shared" ca="1" si="59"/>
        <v/>
      </c>
      <c r="AC286" s="44" t="str">
        <f t="shared" si="50"/>
        <v>SI</v>
      </c>
      <c r="AD286" s="760" t="s">
        <v>2898</v>
      </c>
      <c r="AE286" s="173" t="s">
        <v>1256</v>
      </c>
      <c r="AF286" s="173" t="s">
        <v>1969</v>
      </c>
      <c r="AG286" s="173" t="s">
        <v>1437</v>
      </c>
      <c r="AH286" s="281" t="s">
        <v>561</v>
      </c>
      <c r="AI286" s="305"/>
      <c r="AJ286" s="305" t="s">
        <v>954</v>
      </c>
      <c r="AK286" s="181" t="str">
        <f t="shared" ca="1" si="60"/>
        <v>TERMINO</v>
      </c>
      <c r="AL286" s="310" t="s">
        <v>582</v>
      </c>
      <c r="AM286" s="176" t="s">
        <v>391</v>
      </c>
      <c r="AN286" s="848" t="str">
        <f>IFERROR(VLOOKUP(E286,'liquidaciones '!$B$2:$C$1048576,2,0),"NO")</f>
        <v>LIQUIDADO</v>
      </c>
      <c r="AO286" s="944">
        <f>IFERROR(VLOOKUP(E286,'liquidaciones '!$B$2:$I$1048576,8,0),"")</f>
        <v>0</v>
      </c>
      <c r="AP286" s="338"/>
      <c r="AQ286" s="177" t="str">
        <f t="shared" ca="1" si="51"/>
        <v>NO</v>
      </c>
      <c r="AR286" s="177" t="s">
        <v>1510</v>
      </c>
      <c r="AS286" s="433"/>
      <c r="AT286" s="964"/>
      <c r="AU286" s="964"/>
      <c r="AV286" s="964"/>
    </row>
    <row r="287" spans="2:48" ht="47.25" customHeight="1" x14ac:dyDescent="0.25">
      <c r="B287" s="15">
        <v>281</v>
      </c>
      <c r="C287" s="437">
        <v>131</v>
      </c>
      <c r="D287" s="437" t="str">
        <f t="shared" si="53"/>
        <v>2015131</v>
      </c>
      <c r="E287" s="351" t="s">
        <v>1584</v>
      </c>
      <c r="F287" s="864" t="s">
        <v>1585</v>
      </c>
      <c r="G287" s="866">
        <v>51961125</v>
      </c>
      <c r="H287" s="858" t="s">
        <v>1075</v>
      </c>
      <c r="I287" s="210">
        <v>30900000</v>
      </c>
      <c r="J287" s="726" t="s">
        <v>1584</v>
      </c>
      <c r="K287" s="295">
        <v>2015</v>
      </c>
      <c r="L287" s="546">
        <v>42066</v>
      </c>
      <c r="M287" s="865">
        <v>42073</v>
      </c>
      <c r="N287" s="865">
        <v>42439</v>
      </c>
      <c r="O287" s="127">
        <f>COUNTA(Modificaciones!I287,Modificaciones!K287,Modificaciones!M287,Modificaciones!O287)</f>
        <v>0</v>
      </c>
      <c r="P287" s="128">
        <f>VLOOKUP(E287,Modificaciones!$B$7:$Q$300,16,0)</f>
        <v>0</v>
      </c>
      <c r="Q287" s="129">
        <f>COUNTA(Modificaciones!S287,Modificaciones!U287,Modificaciones!W287,Modificaciones!Y287)</f>
        <v>0</v>
      </c>
      <c r="R287" s="130" t="str">
        <f>IF(Modificaciones!Z287=0,"",VLOOKUP(E287,Modificaciones!$B$7:$AA$400,25,0))</f>
        <v/>
      </c>
      <c r="S287" s="131" t="str">
        <f>IF(Modificaciones!AA287=0,"",VLOOKUP(E287,Modificaciones!$B$7:$AA$400,26,0))</f>
        <v/>
      </c>
      <c r="T287" s="126">
        <f t="shared" si="52"/>
        <v>42439</v>
      </c>
      <c r="U287" s="62">
        <f t="shared" si="54"/>
        <v>30900000</v>
      </c>
      <c r="V287" s="172">
        <f>VLOOKUP(E287,Modificaciones!$B$7:$AU$300,46,0)</f>
        <v>30900000</v>
      </c>
      <c r="W287" s="93">
        <f t="shared" si="55"/>
        <v>0</v>
      </c>
      <c r="X287" s="309" t="s">
        <v>1095</v>
      </c>
      <c r="Y287" s="42">
        <f t="shared" si="56"/>
        <v>1</v>
      </c>
      <c r="Z287" s="42">
        <f t="shared" ca="1" si="57"/>
        <v>1</v>
      </c>
      <c r="AA287" s="43">
        <f t="shared" ca="1" si="58"/>
        <v>0</v>
      </c>
      <c r="AB287" s="202" t="str">
        <f t="shared" ca="1" si="59"/>
        <v/>
      </c>
      <c r="AC287" s="44" t="str">
        <f t="shared" ref="AC287:AC318" si="61">IF(Y287&lt;=99.9%,"NO","SI")</f>
        <v>SI</v>
      </c>
      <c r="AD287" s="760" t="s">
        <v>2898</v>
      </c>
      <c r="AE287" s="173" t="s">
        <v>1256</v>
      </c>
      <c r="AF287" s="173" t="s">
        <v>2179</v>
      </c>
      <c r="AG287" s="173" t="s">
        <v>1177</v>
      </c>
      <c r="AH287" s="281" t="s">
        <v>559</v>
      </c>
      <c r="AI287" s="305"/>
      <c r="AJ287" s="305" t="s">
        <v>954</v>
      </c>
      <c r="AK287" s="181" t="str">
        <f t="shared" ca="1" si="60"/>
        <v>TERMINO</v>
      </c>
      <c r="AL287" s="310" t="s">
        <v>582</v>
      </c>
      <c r="AM287" s="176" t="s">
        <v>391</v>
      </c>
      <c r="AN287" s="848" t="str">
        <f>IFERROR(VLOOKUP(E287,'liquidaciones '!$B$2:$C$1048576,2,0),"NO")</f>
        <v>LIQUIDADO</v>
      </c>
      <c r="AO287" s="944">
        <f>IFERROR(VLOOKUP(E287,'liquidaciones '!$B$2:$I$1048576,8,0),"")</f>
        <v>0</v>
      </c>
      <c r="AP287" s="338"/>
      <c r="AQ287" s="177" t="str">
        <f t="shared" ref="AQ287:AQ318" ca="1" si="62">IF((TODAY()-T287&lt;900),"SI","NO")</f>
        <v>NO</v>
      </c>
      <c r="AR287" s="177" t="s">
        <v>2076</v>
      </c>
      <c r="AS287" s="433"/>
      <c r="AT287" s="964"/>
      <c r="AU287" s="964"/>
      <c r="AV287" s="964"/>
    </row>
    <row r="288" spans="2:48" ht="47.25" customHeight="1" x14ac:dyDescent="0.25">
      <c r="B288" s="15">
        <v>282</v>
      </c>
      <c r="C288" s="437">
        <v>68</v>
      </c>
      <c r="D288" s="437" t="str">
        <f t="shared" si="53"/>
        <v>201568</v>
      </c>
      <c r="E288" s="351" t="s">
        <v>1603</v>
      </c>
      <c r="F288" s="864" t="s">
        <v>1338</v>
      </c>
      <c r="G288" s="866">
        <v>899999115</v>
      </c>
      <c r="H288" s="858" t="s">
        <v>1604</v>
      </c>
      <c r="I288" s="210">
        <v>150000000</v>
      </c>
      <c r="J288" s="726" t="s">
        <v>1603</v>
      </c>
      <c r="K288" s="295">
        <v>2015</v>
      </c>
      <c r="L288" s="546">
        <v>42066</v>
      </c>
      <c r="M288" s="865">
        <v>42090</v>
      </c>
      <c r="N288" s="865">
        <v>42456</v>
      </c>
      <c r="O288" s="127">
        <f>COUNTA(Modificaciones!I288,Modificaciones!K288,Modificaciones!M288,Modificaciones!O288)</f>
        <v>0</v>
      </c>
      <c r="P288" s="128">
        <f>VLOOKUP(E288,Modificaciones!$B$7:$Q$300,16,0)</f>
        <v>0</v>
      </c>
      <c r="Q288" s="129">
        <f>COUNTA(Modificaciones!S288,Modificaciones!U288,Modificaciones!W288,Modificaciones!Y288)</f>
        <v>0</v>
      </c>
      <c r="R288" s="130" t="str">
        <f>IF(Modificaciones!Z288=0,"",VLOOKUP(E288,Modificaciones!$B$7:$AA$400,25,0))</f>
        <v/>
      </c>
      <c r="S288" s="131" t="str">
        <f>IF(Modificaciones!AA288=0,"",VLOOKUP(E288,Modificaciones!$B$7:$AA$400,26,0))</f>
        <v/>
      </c>
      <c r="T288" s="126">
        <f t="shared" si="52"/>
        <v>42456</v>
      </c>
      <c r="U288" s="62">
        <f t="shared" si="54"/>
        <v>150000000</v>
      </c>
      <c r="V288" s="172">
        <f>VLOOKUP(E288,Modificaciones!$B$7:$AU$300,46,0)</f>
        <v>150000000</v>
      </c>
      <c r="W288" s="93">
        <f t="shared" si="55"/>
        <v>0</v>
      </c>
      <c r="X288" s="309" t="s">
        <v>1605</v>
      </c>
      <c r="Y288" s="42">
        <f t="shared" si="56"/>
        <v>1</v>
      </c>
      <c r="Z288" s="42">
        <f t="shared" ca="1" si="57"/>
        <v>1</v>
      </c>
      <c r="AA288" s="43">
        <f t="shared" ca="1" si="58"/>
        <v>0</v>
      </c>
      <c r="AB288" s="202" t="str">
        <f t="shared" ca="1" si="59"/>
        <v/>
      </c>
      <c r="AC288" s="44" t="str">
        <f t="shared" si="61"/>
        <v>SI</v>
      </c>
      <c r="AD288" s="760" t="str">
        <f>VLOOKUP(C288,[2]Hoja4!$A$2:$E$116,5,0)</f>
        <v>PRESTACION DE SERVICIOS</v>
      </c>
      <c r="AE288" s="173" t="s">
        <v>1257</v>
      </c>
      <c r="AF288" s="281" t="s">
        <v>1606</v>
      </c>
      <c r="AG288" s="173" t="s">
        <v>1439</v>
      </c>
      <c r="AH288" s="281" t="s">
        <v>560</v>
      </c>
      <c r="AI288" s="305" t="s">
        <v>1509</v>
      </c>
      <c r="AJ288" s="305" t="s">
        <v>954</v>
      </c>
      <c r="AK288" s="181" t="str">
        <f t="shared" ca="1" si="60"/>
        <v>TERMINO</v>
      </c>
      <c r="AL288" s="310" t="s">
        <v>582</v>
      </c>
      <c r="AM288" s="176" t="s">
        <v>390</v>
      </c>
      <c r="AN288" s="848" t="str">
        <f>IFERROR(VLOOKUP(E288,'liquidaciones '!$B$2:$C$1048576,2,0),"NO")</f>
        <v>LIQUIDADO</v>
      </c>
      <c r="AO288" s="944">
        <f>IFERROR(VLOOKUP(E288,'liquidaciones '!$B$2:$I$1048576,8,0),"")</f>
        <v>0</v>
      </c>
      <c r="AP288" s="338"/>
      <c r="AQ288" s="177" t="str">
        <f t="shared" ca="1" si="62"/>
        <v>NO</v>
      </c>
      <c r="AR288" s="177" t="s">
        <v>1992</v>
      </c>
      <c r="AS288" s="433"/>
      <c r="AT288" s="964"/>
      <c r="AU288" s="964"/>
      <c r="AV288" s="964"/>
    </row>
    <row r="289" spans="2:48" ht="73.5" customHeight="1" x14ac:dyDescent="0.25">
      <c r="B289" s="15">
        <v>283</v>
      </c>
      <c r="C289" s="437"/>
      <c r="D289" s="437" t="str">
        <f t="shared" si="53"/>
        <v>2015</v>
      </c>
      <c r="E289" s="866" t="s">
        <v>1586</v>
      </c>
      <c r="F289" s="864" t="s">
        <v>1587</v>
      </c>
      <c r="G289" s="866">
        <v>800018165</v>
      </c>
      <c r="H289" s="858" t="s">
        <v>1588</v>
      </c>
      <c r="I289" s="210">
        <v>0</v>
      </c>
      <c r="J289" s="700" t="s">
        <v>2087</v>
      </c>
      <c r="K289" s="295">
        <v>2015</v>
      </c>
      <c r="L289" s="546">
        <v>42068</v>
      </c>
      <c r="M289" s="865"/>
      <c r="N289" s="865"/>
      <c r="O289" s="127">
        <f>COUNTA(Modificaciones!I289,Modificaciones!K289,Modificaciones!M289,Modificaciones!O289)</f>
        <v>0</v>
      </c>
      <c r="P289" s="128">
        <f>VLOOKUP(E289,Modificaciones!$B$7:$Q$300,16,0)</f>
        <v>0</v>
      </c>
      <c r="Q289" s="129">
        <f>COUNTA(Modificaciones!S289,Modificaciones!U289,Modificaciones!W289,Modificaciones!Y289)</f>
        <v>0</v>
      </c>
      <c r="R289" s="130" t="str">
        <f>IF(Modificaciones!Z289=0,"",VLOOKUP(E289,Modificaciones!$B$7:$AA$400,25,0))</f>
        <v/>
      </c>
      <c r="S289" s="131" t="str">
        <f>IF(Modificaciones!AA289=0,"",VLOOKUP(E289,Modificaciones!$B$7:$AA$400,26,0))</f>
        <v/>
      </c>
      <c r="T289" s="126">
        <f t="shared" si="52"/>
        <v>0</v>
      </c>
      <c r="U289" s="62">
        <f t="shared" si="54"/>
        <v>0</v>
      </c>
      <c r="V289" s="172">
        <f>VLOOKUP(E289,Modificaciones!$B$7:$AU$300,46,0)</f>
        <v>0</v>
      </c>
      <c r="W289" s="93">
        <f t="shared" si="55"/>
        <v>0</v>
      </c>
      <c r="X289" s="309" t="s">
        <v>590</v>
      </c>
      <c r="Y289" s="42" t="e">
        <f t="shared" si="56"/>
        <v>#DIV/0!</v>
      </c>
      <c r="Z289" s="42" t="e">
        <f t="shared" ca="1" si="57"/>
        <v>#DIV/0!</v>
      </c>
      <c r="AA289" s="43" t="e">
        <f t="shared" ca="1" si="58"/>
        <v>#DIV/0!</v>
      </c>
      <c r="AB289" s="202" t="e">
        <f t="shared" ca="1" si="59"/>
        <v>#DIV/0!</v>
      </c>
      <c r="AC289" s="44" t="e">
        <f t="shared" si="61"/>
        <v>#DIV/0!</v>
      </c>
      <c r="AD289" s="760" t="e">
        <f>VLOOKUP(C289,[2]Hoja4!$A$2:$E$116,5,0)</f>
        <v>#N/A</v>
      </c>
      <c r="AE289" s="173" t="s">
        <v>1256</v>
      </c>
      <c r="AF289" s="281" t="s">
        <v>1589</v>
      </c>
      <c r="AG289" s="173"/>
      <c r="AH289" s="281"/>
      <c r="AI289" s="305"/>
      <c r="AJ289" s="305" t="s">
        <v>1590</v>
      </c>
      <c r="AK289" s="181" t="str">
        <f t="shared" ca="1" si="60"/>
        <v>TERMINO</v>
      </c>
      <c r="AL289" s="310" t="s">
        <v>573</v>
      </c>
      <c r="AM289" s="176" t="s">
        <v>390</v>
      </c>
      <c r="AN289" s="848" t="str">
        <f>IFERROR(VLOOKUP(E289,'liquidaciones '!$B$2:$C$1048576,2,0),"NO")</f>
        <v>LIQUIDADO</v>
      </c>
      <c r="AO289" s="944">
        <f>IFERROR(VLOOKUP(E289,'liquidaciones '!$B$2:$I$1048576,8,0),"")</f>
        <v>0</v>
      </c>
      <c r="AP289" s="338"/>
      <c r="AQ289" s="177" t="str">
        <f t="shared" ca="1" si="62"/>
        <v>NO</v>
      </c>
      <c r="AR289" s="177"/>
      <c r="AS289" s="433"/>
      <c r="AT289" s="964"/>
      <c r="AU289" s="964"/>
      <c r="AV289" s="964"/>
    </row>
    <row r="290" spans="2:48" ht="47.25" customHeight="1" x14ac:dyDescent="0.25">
      <c r="B290" s="15">
        <v>284</v>
      </c>
      <c r="C290" s="437">
        <v>143</v>
      </c>
      <c r="D290" s="437" t="str">
        <f t="shared" si="53"/>
        <v>2015143</v>
      </c>
      <c r="E290" s="866" t="s">
        <v>1592</v>
      </c>
      <c r="F290" s="864" t="s">
        <v>1031</v>
      </c>
      <c r="G290" s="866">
        <v>800249557</v>
      </c>
      <c r="H290" s="858" t="s">
        <v>1593</v>
      </c>
      <c r="I290" s="210">
        <v>4100000</v>
      </c>
      <c r="J290" s="850" t="s">
        <v>1592</v>
      </c>
      <c r="K290" s="295">
        <v>2015</v>
      </c>
      <c r="L290" s="546">
        <v>42080</v>
      </c>
      <c r="M290" s="865">
        <v>42088</v>
      </c>
      <c r="N290" s="865">
        <v>42241</v>
      </c>
      <c r="O290" s="127">
        <f>COUNTA(Modificaciones!I290,Modificaciones!K290,Modificaciones!M290,Modificaciones!O290)</f>
        <v>0</v>
      </c>
      <c r="P290" s="128">
        <f>VLOOKUP(E290,Modificaciones!$B$7:$Q$300,16,0)</f>
        <v>0</v>
      </c>
      <c r="Q290" s="129">
        <f>COUNTA(Modificaciones!S290,Modificaciones!U290,Modificaciones!W290,Modificaciones!Y290)</f>
        <v>0</v>
      </c>
      <c r="R290" s="130" t="str">
        <f>IF(Modificaciones!Z290=0,"",VLOOKUP(E290,Modificaciones!$B$7:$AA$400,25,0))</f>
        <v/>
      </c>
      <c r="S290" s="131" t="str">
        <f>IF(Modificaciones!AA290=0,"",VLOOKUP(E290,Modificaciones!$B$7:$AA$400,26,0))</f>
        <v/>
      </c>
      <c r="T290" s="126">
        <f t="shared" si="52"/>
        <v>42241</v>
      </c>
      <c r="U290" s="62">
        <f t="shared" si="54"/>
        <v>4100000</v>
      </c>
      <c r="V290" s="172">
        <f>VLOOKUP(E290,Modificaciones!$B$7:$AU$300,46,0)</f>
        <v>4100000</v>
      </c>
      <c r="W290" s="93">
        <f t="shared" si="55"/>
        <v>0</v>
      </c>
      <c r="X290" s="309" t="s">
        <v>1895</v>
      </c>
      <c r="Y290" s="42">
        <f t="shared" si="56"/>
        <v>1</v>
      </c>
      <c r="Z290" s="42">
        <f t="shared" ca="1" si="57"/>
        <v>1</v>
      </c>
      <c r="AA290" s="43">
        <f t="shared" ca="1" si="58"/>
        <v>0</v>
      </c>
      <c r="AB290" s="202" t="str">
        <f t="shared" ca="1" si="59"/>
        <v/>
      </c>
      <c r="AC290" s="44" t="str">
        <f t="shared" si="61"/>
        <v>SI</v>
      </c>
      <c r="AD290" s="760" t="str">
        <f>VLOOKUP(C290,[2]Hoja4!$A$2:$E$116,5,0)</f>
        <v>SUSCRIPCION</v>
      </c>
      <c r="AE290" s="173" t="s">
        <v>1256</v>
      </c>
      <c r="AF290" s="281" t="s">
        <v>1291</v>
      </c>
      <c r="AG290" s="173" t="s">
        <v>1430</v>
      </c>
      <c r="AH290" s="281" t="s">
        <v>564</v>
      </c>
      <c r="AI290" s="305"/>
      <c r="AJ290" s="305" t="s">
        <v>954</v>
      </c>
      <c r="AK290" s="181" t="str">
        <f t="shared" ca="1" si="60"/>
        <v>TERMINO</v>
      </c>
      <c r="AL290" s="181" t="s">
        <v>582</v>
      </c>
      <c r="AM290" s="176" t="s">
        <v>391</v>
      </c>
      <c r="AN290" s="848" t="str">
        <f>IFERROR(VLOOKUP(E290,'liquidaciones '!$B$2:$C$1048576,2,0),"NO")</f>
        <v>LIQUIDADO</v>
      </c>
      <c r="AO290" s="944">
        <f>IFERROR(VLOOKUP(E290,'liquidaciones '!$B$2:$I$1048576,8,0),"")</f>
        <v>0</v>
      </c>
      <c r="AP290" s="338">
        <v>42304</v>
      </c>
      <c r="AQ290" s="177" t="str">
        <f t="shared" ca="1" si="62"/>
        <v>NO</v>
      </c>
      <c r="AR290" s="177" t="s">
        <v>1510</v>
      </c>
      <c r="AS290" s="433"/>
      <c r="AT290" s="964"/>
      <c r="AU290" s="964"/>
      <c r="AV290" s="964"/>
    </row>
    <row r="291" spans="2:48" ht="47.25" customHeight="1" x14ac:dyDescent="0.25">
      <c r="B291" s="15">
        <v>285</v>
      </c>
      <c r="C291" s="437">
        <v>141</v>
      </c>
      <c r="D291" s="437" t="str">
        <f t="shared" si="53"/>
        <v>2015141</v>
      </c>
      <c r="E291" s="351" t="s">
        <v>1594</v>
      </c>
      <c r="F291" s="864" t="s">
        <v>86</v>
      </c>
      <c r="G291" s="866">
        <v>860001022</v>
      </c>
      <c r="H291" s="858" t="s">
        <v>511</v>
      </c>
      <c r="I291" s="210">
        <v>1226994</v>
      </c>
      <c r="J291" s="726" t="s">
        <v>1594</v>
      </c>
      <c r="K291" s="295">
        <v>2015</v>
      </c>
      <c r="L291" s="546">
        <v>42080</v>
      </c>
      <c r="M291" s="865">
        <v>42082</v>
      </c>
      <c r="N291" s="865">
        <v>42447</v>
      </c>
      <c r="O291" s="127">
        <f>COUNTA(Modificaciones!I291,Modificaciones!K291,Modificaciones!M291,Modificaciones!O291)</f>
        <v>0</v>
      </c>
      <c r="P291" s="128">
        <f>VLOOKUP(E291,Modificaciones!$B$7:$Q$300,16,0)</f>
        <v>0</v>
      </c>
      <c r="Q291" s="129">
        <f>COUNTA(Modificaciones!S291,Modificaciones!U291,Modificaciones!W291,Modificaciones!Y291)</f>
        <v>0</v>
      </c>
      <c r="R291" s="130" t="str">
        <f>IF(Modificaciones!Z291=0,"",VLOOKUP(E291,Modificaciones!$B$7:$AA$400,25,0))</f>
        <v/>
      </c>
      <c r="S291" s="131" t="str">
        <f>IF(Modificaciones!AA291=0,"",VLOOKUP(E291,Modificaciones!$B$7:$AA$400,26,0))</f>
        <v/>
      </c>
      <c r="T291" s="126">
        <f t="shared" si="52"/>
        <v>42447</v>
      </c>
      <c r="U291" s="62">
        <f t="shared" si="54"/>
        <v>1226994</v>
      </c>
      <c r="V291" s="172">
        <f>VLOOKUP(E291,Modificaciones!$B$7:$AU$300,46,0)</f>
        <v>1226994</v>
      </c>
      <c r="W291" s="93">
        <f t="shared" si="55"/>
        <v>0</v>
      </c>
      <c r="X291" s="309" t="s">
        <v>1895</v>
      </c>
      <c r="Y291" s="42">
        <f t="shared" si="56"/>
        <v>1</v>
      </c>
      <c r="Z291" s="42">
        <f t="shared" ca="1" si="57"/>
        <v>1</v>
      </c>
      <c r="AA291" s="43">
        <f t="shared" ca="1" si="58"/>
        <v>0</v>
      </c>
      <c r="AB291" s="202" t="str">
        <f t="shared" ca="1" si="59"/>
        <v/>
      </c>
      <c r="AC291" s="44" t="str">
        <f t="shared" si="61"/>
        <v>SI</v>
      </c>
      <c r="AD291" s="760" t="str">
        <f>VLOOKUP(C291,[2]Hoja4!$A$2:$E$116,5,0)</f>
        <v>SUSCRIPCION</v>
      </c>
      <c r="AE291" s="173" t="s">
        <v>1256</v>
      </c>
      <c r="AF291" s="281" t="s">
        <v>1125</v>
      </c>
      <c r="AG291" s="173" t="s">
        <v>1430</v>
      </c>
      <c r="AH291" s="281" t="s">
        <v>564</v>
      </c>
      <c r="AI291" s="305"/>
      <c r="AJ291" s="305" t="s">
        <v>954</v>
      </c>
      <c r="AK291" s="181" t="str">
        <f t="shared" ca="1" si="60"/>
        <v>TERMINO</v>
      </c>
      <c r="AL291" s="310" t="s">
        <v>582</v>
      </c>
      <c r="AM291" s="176" t="s">
        <v>390</v>
      </c>
      <c r="AN291" s="848" t="str">
        <f>IFERROR(VLOOKUP(E291,'liquidaciones '!$B$2:$C$1048576,2,0),"NO")</f>
        <v>LIQUIDADO</v>
      </c>
      <c r="AO291" s="944">
        <f>IFERROR(VLOOKUP(E291,'liquidaciones '!$B$2:$I$1048576,8,0),"")</f>
        <v>0</v>
      </c>
      <c r="AP291" s="338"/>
      <c r="AQ291" s="177" t="str">
        <f t="shared" ca="1" si="62"/>
        <v>NO</v>
      </c>
      <c r="AR291" s="177" t="s">
        <v>1510</v>
      </c>
      <c r="AS291" s="433"/>
      <c r="AT291" s="964"/>
      <c r="AU291" s="964"/>
      <c r="AV291" s="964"/>
    </row>
    <row r="292" spans="2:48" ht="67.5" customHeight="1" x14ac:dyDescent="0.25">
      <c r="B292" s="15">
        <v>286</v>
      </c>
      <c r="C292" s="437"/>
      <c r="D292" s="437" t="str">
        <f t="shared" si="53"/>
        <v>2015</v>
      </c>
      <c r="E292" s="351" t="s">
        <v>1598</v>
      </c>
      <c r="F292" s="864" t="s">
        <v>1599</v>
      </c>
      <c r="G292" s="866">
        <v>900175316</v>
      </c>
      <c r="H292" s="858" t="s">
        <v>1600</v>
      </c>
      <c r="I292" s="210">
        <v>334080000</v>
      </c>
      <c r="J292" s="700" t="s">
        <v>1977</v>
      </c>
      <c r="K292" s="295">
        <v>2015</v>
      </c>
      <c r="L292" s="546">
        <v>42082</v>
      </c>
      <c r="M292" s="865">
        <v>42104</v>
      </c>
      <c r="N292" s="865">
        <v>42287</v>
      </c>
      <c r="O292" s="127">
        <f>COUNTA(Modificaciones!I292,Modificaciones!K292,Modificaciones!M292,Modificaciones!O292)</f>
        <v>0</v>
      </c>
      <c r="P292" s="128">
        <f>VLOOKUP(E292,Modificaciones!$B$7:$Q$300,16,0)</f>
        <v>0</v>
      </c>
      <c r="Q292" s="129">
        <f>COUNTA(Modificaciones!S292,Modificaciones!U292,Modificaciones!W292,Modificaciones!Y292)</f>
        <v>1</v>
      </c>
      <c r="R292" s="130" t="str">
        <f>IF(Modificaciones!Z292=0,"",VLOOKUP(E292,Modificaciones!$B$7:$AA$400,25,0))</f>
        <v>2 meses</v>
      </c>
      <c r="S292" s="131">
        <f>IF(Modificaciones!AA292=0,"",VLOOKUP(E292,Modificaciones!$B$7:$AA$400,26,0))</f>
        <v>42348</v>
      </c>
      <c r="T292" s="126">
        <f t="shared" si="52"/>
        <v>42348</v>
      </c>
      <c r="U292" s="62">
        <f t="shared" si="54"/>
        <v>334080000</v>
      </c>
      <c r="V292" s="172">
        <f>VLOOKUP(E292,Modificaciones!$B$7:$AU$300,46,0)</f>
        <v>334080000</v>
      </c>
      <c r="W292" s="93">
        <f t="shared" si="55"/>
        <v>0</v>
      </c>
      <c r="X292" s="309" t="s">
        <v>1601</v>
      </c>
      <c r="Y292" s="42">
        <f t="shared" si="56"/>
        <v>1</v>
      </c>
      <c r="Z292" s="42">
        <f t="shared" ca="1" si="57"/>
        <v>1</v>
      </c>
      <c r="AA292" s="43">
        <f t="shared" ca="1" si="58"/>
        <v>0</v>
      </c>
      <c r="AB292" s="202" t="str">
        <f t="shared" ca="1" si="59"/>
        <v/>
      </c>
      <c r="AC292" s="44" t="str">
        <f t="shared" si="61"/>
        <v>SI</v>
      </c>
      <c r="AD292" s="760" t="e">
        <f>VLOOKUP(C292,[2]Hoja4!$A$2:$E$116,5,0)</f>
        <v>#N/A</v>
      </c>
      <c r="AE292" s="173" t="s">
        <v>1256</v>
      </c>
      <c r="AF292" s="281" t="s">
        <v>1602</v>
      </c>
      <c r="AG292" s="173" t="s">
        <v>1439</v>
      </c>
      <c r="AH292" s="281" t="s">
        <v>560</v>
      </c>
      <c r="AI292" s="305" t="s">
        <v>1509</v>
      </c>
      <c r="AJ292" s="305" t="s">
        <v>954</v>
      </c>
      <c r="AK292" s="181" t="str">
        <f t="shared" ca="1" si="60"/>
        <v>TERMINO</v>
      </c>
      <c r="AL292" s="310" t="s">
        <v>580</v>
      </c>
      <c r="AM292" s="176" t="s">
        <v>390</v>
      </c>
      <c r="AN292" s="848" t="str">
        <f>IFERROR(VLOOKUP(E292,'liquidaciones '!$B$2:$C$1048576,2,0),"NO")</f>
        <v>EN TRÁMITE</v>
      </c>
      <c r="AO292" s="944">
        <f>IFERROR(VLOOKUP(E292,'liquidaciones '!$B$2:$I$1048576,8,0),"")</f>
        <v>0</v>
      </c>
      <c r="AP292" s="338"/>
      <c r="AQ292" s="177" t="str">
        <f t="shared" ca="1" si="62"/>
        <v>NO</v>
      </c>
      <c r="AR292" s="177" t="s">
        <v>2390</v>
      </c>
      <c r="AS292" s="433"/>
      <c r="AT292" s="964"/>
      <c r="AU292" s="964"/>
      <c r="AV292" s="964"/>
    </row>
    <row r="293" spans="2:48" ht="47.25" customHeight="1" x14ac:dyDescent="0.25">
      <c r="B293" s="15">
        <v>287</v>
      </c>
      <c r="C293" s="437">
        <v>152</v>
      </c>
      <c r="D293" s="437" t="str">
        <f t="shared" si="53"/>
        <v>2015152</v>
      </c>
      <c r="E293" s="351" t="s">
        <v>1610</v>
      </c>
      <c r="F293" s="864" t="s">
        <v>1611</v>
      </c>
      <c r="G293" s="866">
        <v>80852726</v>
      </c>
      <c r="H293" s="858" t="s">
        <v>1612</v>
      </c>
      <c r="I293" s="210">
        <v>7442000</v>
      </c>
      <c r="J293" s="700" t="s">
        <v>1741</v>
      </c>
      <c r="K293" s="295">
        <v>2015</v>
      </c>
      <c r="L293" s="546">
        <v>42082</v>
      </c>
      <c r="M293" s="865">
        <v>42111</v>
      </c>
      <c r="N293" s="865">
        <v>42477</v>
      </c>
      <c r="O293" s="127">
        <f>COUNTA(Modificaciones!I293,Modificaciones!K293,Modificaciones!M293,Modificaciones!O293)</f>
        <v>0</v>
      </c>
      <c r="P293" s="128">
        <f>VLOOKUP(E293,Modificaciones!$B$7:$Q$300,16,0)</f>
        <v>0</v>
      </c>
      <c r="Q293" s="129">
        <f>COUNTA(Modificaciones!S293,Modificaciones!U293,Modificaciones!W293,Modificaciones!Y293)</f>
        <v>0</v>
      </c>
      <c r="R293" s="130" t="str">
        <f>IF(Modificaciones!Z293=0,"",VLOOKUP(E293,Modificaciones!$B$7:$AA$400,25,0))</f>
        <v/>
      </c>
      <c r="S293" s="131" t="str">
        <f>IF(Modificaciones!AA293=0,"",VLOOKUP(E293,Modificaciones!$B$7:$AA$400,26,0))</f>
        <v/>
      </c>
      <c r="T293" s="126">
        <f t="shared" si="52"/>
        <v>42477</v>
      </c>
      <c r="U293" s="62">
        <f t="shared" si="54"/>
        <v>7442000</v>
      </c>
      <c r="V293" s="172">
        <f>VLOOKUP(E293,Modificaciones!$B$7:$AU$300,46,0)</f>
        <v>5249000</v>
      </c>
      <c r="W293" s="93">
        <f t="shared" si="55"/>
        <v>2193000</v>
      </c>
      <c r="X293" s="313" t="s">
        <v>1613</v>
      </c>
      <c r="Y293" s="42">
        <f t="shared" si="56"/>
        <v>0.70532115022843322</v>
      </c>
      <c r="Z293" s="42">
        <f t="shared" ca="1" si="57"/>
        <v>1</v>
      </c>
      <c r="AA293" s="43">
        <f t="shared" ca="1" si="58"/>
        <v>0.29467884977156678</v>
      </c>
      <c r="AB293" s="202" t="str">
        <f t="shared" ca="1" si="59"/>
        <v/>
      </c>
      <c r="AC293" s="44" t="str">
        <f t="shared" si="61"/>
        <v>NO</v>
      </c>
      <c r="AD293" s="760" t="str">
        <f>VLOOKUP(C293,[2]Hoja4!$A$2:$E$116,5,0)</f>
        <v>PRESTACION DE SERVICIOS</v>
      </c>
      <c r="AE293" s="173" t="s">
        <v>1256</v>
      </c>
      <c r="AF293" s="301" t="s">
        <v>1171</v>
      </c>
      <c r="AG293" s="173" t="s">
        <v>1442</v>
      </c>
      <c r="AH293" s="281" t="s">
        <v>560</v>
      </c>
      <c r="AI293" s="174" t="s">
        <v>1380</v>
      </c>
      <c r="AJ293" s="305" t="s">
        <v>954</v>
      </c>
      <c r="AK293" s="181" t="str">
        <f t="shared" ca="1" si="60"/>
        <v>TERMINO</v>
      </c>
      <c r="AL293" s="181" t="s">
        <v>576</v>
      </c>
      <c r="AM293" s="176" t="s">
        <v>390</v>
      </c>
      <c r="AN293" s="848" t="str">
        <f>IFERROR(VLOOKUP(E293,'liquidaciones '!$B$2:$C$1048576,2,0),"NO")</f>
        <v>LIQUIDADO</v>
      </c>
      <c r="AO293" s="944">
        <f>IFERROR(VLOOKUP(E293,'liquidaciones '!$B$2:$I$1048576,8,0),"")</f>
        <v>0</v>
      </c>
      <c r="AP293" s="338"/>
      <c r="AQ293" s="177" t="str">
        <f t="shared" ca="1" si="62"/>
        <v>NO</v>
      </c>
      <c r="AR293" s="177" t="s">
        <v>2390</v>
      </c>
      <c r="AS293" s="433"/>
      <c r="AT293" s="964"/>
      <c r="AU293" s="964"/>
      <c r="AV293" s="964"/>
    </row>
    <row r="294" spans="2:48" ht="47.25" customHeight="1" x14ac:dyDescent="0.25">
      <c r="B294" s="15">
        <v>288</v>
      </c>
      <c r="C294" s="437">
        <v>208</v>
      </c>
      <c r="D294" s="437" t="str">
        <f t="shared" si="53"/>
        <v>2015208</v>
      </c>
      <c r="E294" s="351" t="s">
        <v>1615</v>
      </c>
      <c r="F294" s="864" t="s">
        <v>144</v>
      </c>
      <c r="G294" s="866">
        <v>900450570</v>
      </c>
      <c r="H294" s="858" t="s">
        <v>1616</v>
      </c>
      <c r="I294" s="210">
        <v>379200000</v>
      </c>
      <c r="J294" s="726" t="s">
        <v>1615</v>
      </c>
      <c r="K294" s="295">
        <v>2015</v>
      </c>
      <c r="L294" s="546">
        <v>42109</v>
      </c>
      <c r="M294" s="865">
        <v>42109</v>
      </c>
      <c r="N294" s="865">
        <v>42429</v>
      </c>
      <c r="O294" s="127">
        <f>COUNTA(Modificaciones!I294,Modificaciones!K294,Modificaciones!M294,Modificaciones!O294)</f>
        <v>1</v>
      </c>
      <c r="P294" s="128">
        <f>VLOOKUP(E294,Modificaciones!$B$7:$Q$300,16,0)</f>
        <v>180000000</v>
      </c>
      <c r="Q294" s="129">
        <f>COUNTA(Modificaciones!S294,Modificaciones!U294,Modificaciones!W294,Modificaciones!Y294)</f>
        <v>1</v>
      </c>
      <c r="R294" s="130" t="str">
        <f>IF(Modificaciones!Z294=0,"",VLOOKUP(E294,Modificaciones!$B$7:$AA$400,25,0))</f>
        <v>5 meses y 16 dias</v>
      </c>
      <c r="S294" s="131">
        <f>IF(Modificaciones!AA294=0,"",VLOOKUP(E294,Modificaciones!$B$7:$AA$400,26,0))</f>
        <v>42582</v>
      </c>
      <c r="T294" s="126">
        <f t="shared" si="52"/>
        <v>42582</v>
      </c>
      <c r="U294" s="62">
        <f t="shared" si="54"/>
        <v>559200000</v>
      </c>
      <c r="V294" s="172">
        <f>VLOOKUP(E294,Modificaciones!$B$7:$AU$300,46,0)</f>
        <v>559200000</v>
      </c>
      <c r="W294" s="93">
        <f t="shared" si="55"/>
        <v>0</v>
      </c>
      <c r="X294" s="342" t="s">
        <v>1617</v>
      </c>
      <c r="Y294" s="42">
        <f t="shared" si="56"/>
        <v>1</v>
      </c>
      <c r="Z294" s="42">
        <f t="shared" ca="1" si="57"/>
        <v>1</v>
      </c>
      <c r="AA294" s="43">
        <f t="shared" ca="1" si="58"/>
        <v>0</v>
      </c>
      <c r="AB294" s="202" t="str">
        <f t="shared" ca="1" si="59"/>
        <v/>
      </c>
      <c r="AC294" s="44" t="str">
        <f t="shared" si="61"/>
        <v>SI</v>
      </c>
      <c r="AD294" s="760" t="str">
        <f>VLOOKUP(C294,[2]Hoja4!$A$2:$E$116,5,0)</f>
        <v>ARRENDAMIENTO</v>
      </c>
      <c r="AE294" s="173" t="s">
        <v>1256</v>
      </c>
      <c r="AF294" s="281" t="s">
        <v>1146</v>
      </c>
      <c r="AG294" s="173" t="s">
        <v>1442</v>
      </c>
      <c r="AH294" s="281" t="s">
        <v>560</v>
      </c>
      <c r="AI294" s="174" t="s">
        <v>1319</v>
      </c>
      <c r="AJ294" s="305" t="s">
        <v>1618</v>
      </c>
      <c r="AK294" s="181" t="str">
        <f t="shared" ca="1" si="60"/>
        <v>TERMINO</v>
      </c>
      <c r="AL294" s="310" t="s">
        <v>582</v>
      </c>
      <c r="AM294" s="176" t="s">
        <v>390</v>
      </c>
      <c r="AN294" s="848" t="str">
        <f>IFERROR(VLOOKUP(E294,'liquidaciones '!$B$2:$C$1048576,2,0),"NO")</f>
        <v>LIQUIDADO</v>
      </c>
      <c r="AO294" s="944">
        <f>IFERROR(VLOOKUP(E294,'liquidaciones '!$B$2:$I$1048576,8,0),"")</f>
        <v>0</v>
      </c>
      <c r="AP294" s="338"/>
      <c r="AQ294" s="177" t="str">
        <f t="shared" ca="1" si="62"/>
        <v>NO</v>
      </c>
      <c r="AR294" s="177" t="s">
        <v>2601</v>
      </c>
      <c r="AS294" s="433"/>
      <c r="AT294" s="964"/>
      <c r="AU294" s="964"/>
      <c r="AV294" s="964"/>
    </row>
    <row r="295" spans="2:48" ht="47.25" customHeight="1" x14ac:dyDescent="0.25">
      <c r="B295" s="15">
        <v>289</v>
      </c>
      <c r="C295" s="437">
        <v>178</v>
      </c>
      <c r="D295" s="437" t="str">
        <f t="shared" si="53"/>
        <v>2015178</v>
      </c>
      <c r="E295" s="351" t="s">
        <v>1620</v>
      </c>
      <c r="F295" s="864" t="s">
        <v>1621</v>
      </c>
      <c r="G295" s="866" t="s">
        <v>1622</v>
      </c>
      <c r="H295" s="858" t="s">
        <v>1623</v>
      </c>
      <c r="I295" s="210">
        <v>3035520</v>
      </c>
      <c r="J295" s="700" t="s">
        <v>1739</v>
      </c>
      <c r="K295" s="295">
        <v>2015</v>
      </c>
      <c r="L295" s="546">
        <v>42100</v>
      </c>
      <c r="M295" s="865">
        <v>42121</v>
      </c>
      <c r="N295" s="865">
        <v>42487</v>
      </c>
      <c r="O295" s="127">
        <f>COUNTA(Modificaciones!I295,Modificaciones!K295,Modificaciones!M295,Modificaciones!O295)</f>
        <v>0</v>
      </c>
      <c r="P295" s="128">
        <f>VLOOKUP(E295,Modificaciones!$B$7:$Q$300,16,0)</f>
        <v>0</v>
      </c>
      <c r="Q295" s="129">
        <f>COUNTA(Modificaciones!S295,Modificaciones!U295,Modificaciones!W295,Modificaciones!Y295)</f>
        <v>0</v>
      </c>
      <c r="R295" s="130" t="str">
        <f>IF(Modificaciones!Z295=0,"",VLOOKUP(E295,Modificaciones!$B$7:$AA$400,25,0))</f>
        <v/>
      </c>
      <c r="S295" s="131" t="str">
        <f>IF(Modificaciones!AA295=0,"",VLOOKUP(E295,Modificaciones!$B$7:$AA$400,26,0))</f>
        <v/>
      </c>
      <c r="T295" s="126">
        <f t="shared" si="52"/>
        <v>42487</v>
      </c>
      <c r="U295" s="62">
        <f t="shared" si="54"/>
        <v>3035520</v>
      </c>
      <c r="V295" s="172">
        <f>VLOOKUP(E295,Modificaciones!$B$7:$AU$300,46,0)</f>
        <v>2009011</v>
      </c>
      <c r="W295" s="93">
        <f t="shared" si="55"/>
        <v>1026509</v>
      </c>
      <c r="X295" s="313" t="s">
        <v>1624</v>
      </c>
      <c r="Y295" s="42">
        <f t="shared" si="56"/>
        <v>0.66183421621336702</v>
      </c>
      <c r="Z295" s="42">
        <f t="shared" ca="1" si="57"/>
        <v>1</v>
      </c>
      <c r="AA295" s="43">
        <f t="shared" ca="1" si="58"/>
        <v>0.33816578378663298</v>
      </c>
      <c r="AB295" s="202" t="str">
        <f t="shared" ca="1" si="59"/>
        <v/>
      </c>
      <c r="AC295" s="44" t="str">
        <f t="shared" si="61"/>
        <v>NO</v>
      </c>
      <c r="AD295" s="760" t="str">
        <f>VLOOKUP(C295,[2]Hoja4!$A$2:$E$116,5,0)</f>
        <v>PRESTACION DE SERVICIOS</v>
      </c>
      <c r="AE295" s="173" t="s">
        <v>1256</v>
      </c>
      <c r="AF295" s="281" t="s">
        <v>1168</v>
      </c>
      <c r="AG295" s="173" t="s">
        <v>1442</v>
      </c>
      <c r="AH295" s="281" t="s">
        <v>560</v>
      </c>
      <c r="AI295" s="174" t="s">
        <v>1387</v>
      </c>
      <c r="AJ295" s="305" t="s">
        <v>1618</v>
      </c>
      <c r="AK295" s="181" t="str">
        <f t="shared" ca="1" si="60"/>
        <v>TERMINO</v>
      </c>
      <c r="AL295" s="181" t="s">
        <v>576</v>
      </c>
      <c r="AM295" s="176" t="s">
        <v>390</v>
      </c>
      <c r="AN295" s="848" t="str">
        <f>IFERROR(VLOOKUP(E295,'liquidaciones '!$B$2:$C$1048576,2,0),"NO")</f>
        <v>LIQUIDADO</v>
      </c>
      <c r="AO295" s="944" t="str">
        <f>IFERROR(VLOOKUP(E295,'liquidaciones '!$B$2:$I$1048576,8,0),"")</f>
        <v>MANUEL ROJAS</v>
      </c>
      <c r="AP295" s="338"/>
      <c r="AQ295" s="177" t="str">
        <f t="shared" ca="1" si="62"/>
        <v>NO</v>
      </c>
      <c r="AR295" s="177" t="s">
        <v>1570</v>
      </c>
      <c r="AS295" s="433"/>
      <c r="AT295" s="964"/>
      <c r="AU295" s="964"/>
      <c r="AV295" s="964"/>
    </row>
    <row r="296" spans="2:48" ht="47.25" customHeight="1" x14ac:dyDescent="0.25">
      <c r="B296" s="15">
        <v>290</v>
      </c>
      <c r="C296" s="437">
        <v>150</v>
      </c>
      <c r="D296" s="437" t="str">
        <f t="shared" si="53"/>
        <v>2015150</v>
      </c>
      <c r="E296" s="351" t="s">
        <v>1625</v>
      </c>
      <c r="F296" s="578" t="s">
        <v>1626</v>
      </c>
      <c r="G296" s="866" t="s">
        <v>1627</v>
      </c>
      <c r="H296" s="858" t="s">
        <v>1628</v>
      </c>
      <c r="I296" s="210">
        <v>4721200</v>
      </c>
      <c r="J296" s="700" t="s">
        <v>1740</v>
      </c>
      <c r="K296" s="295">
        <v>2015</v>
      </c>
      <c r="L296" s="546">
        <v>42104</v>
      </c>
      <c r="M296" s="865">
        <v>42116</v>
      </c>
      <c r="N296" s="865">
        <v>42451</v>
      </c>
      <c r="O296" s="127">
        <f>COUNTA(Modificaciones!I296,Modificaciones!K296,Modificaciones!M296,Modificaciones!O296)</f>
        <v>0</v>
      </c>
      <c r="P296" s="128">
        <f>VLOOKUP(E296,Modificaciones!$B$7:$Q$300,16,0)</f>
        <v>0</v>
      </c>
      <c r="Q296" s="129">
        <f>COUNTA(Modificaciones!S296,Modificaciones!U296,Modificaciones!W296,Modificaciones!Y296)</f>
        <v>0</v>
      </c>
      <c r="R296" s="130" t="str">
        <f>IF(Modificaciones!Z296=0,"",VLOOKUP(E296,Modificaciones!$B$7:$AA$400,25,0))</f>
        <v/>
      </c>
      <c r="S296" s="131" t="str">
        <f>IF(Modificaciones!AA296=0,"",VLOOKUP(E296,Modificaciones!$B$7:$AA$400,26,0))</f>
        <v/>
      </c>
      <c r="T296" s="126">
        <f t="shared" si="52"/>
        <v>42451</v>
      </c>
      <c r="U296" s="62">
        <f t="shared" si="54"/>
        <v>4721200</v>
      </c>
      <c r="V296" s="172">
        <f>VLOOKUP(E296,Modificaciones!$B$7:$AU$300,46,0)</f>
        <v>4721200</v>
      </c>
      <c r="W296" s="93">
        <f t="shared" si="55"/>
        <v>0</v>
      </c>
      <c r="X296" s="313" t="s">
        <v>1629</v>
      </c>
      <c r="Y296" s="42">
        <f t="shared" si="56"/>
        <v>1</v>
      </c>
      <c r="Z296" s="42">
        <f t="shared" ca="1" si="57"/>
        <v>1</v>
      </c>
      <c r="AA296" s="43">
        <f t="shared" ca="1" si="58"/>
        <v>0</v>
      </c>
      <c r="AB296" s="202" t="str">
        <f t="shared" ca="1" si="59"/>
        <v/>
      </c>
      <c r="AC296" s="44" t="str">
        <f t="shared" si="61"/>
        <v>SI</v>
      </c>
      <c r="AD296" s="760" t="str">
        <f>VLOOKUP(C296,[2]Hoja4!$A$2:$E$116,5,0)</f>
        <v>PRESTACION DE SERVICIOS</v>
      </c>
      <c r="AE296" s="173" t="s">
        <v>1256</v>
      </c>
      <c r="AF296" s="301" t="s">
        <v>1468</v>
      </c>
      <c r="AG296" s="173" t="s">
        <v>1438</v>
      </c>
      <c r="AH296" s="281" t="s">
        <v>560</v>
      </c>
      <c r="AI296" s="305" t="s">
        <v>2163</v>
      </c>
      <c r="AJ296" s="305" t="s">
        <v>1618</v>
      </c>
      <c r="AK296" s="181" t="str">
        <f t="shared" ca="1" si="60"/>
        <v>TERMINO</v>
      </c>
      <c r="AL296" s="181" t="s">
        <v>576</v>
      </c>
      <c r="AM296" s="176" t="s">
        <v>390</v>
      </c>
      <c r="AN296" s="848" t="str">
        <f>IFERROR(VLOOKUP(E296,'liquidaciones '!$B$2:$C$1048576,2,0),"NO")</f>
        <v>LIQUIDADO</v>
      </c>
      <c r="AO296" s="944">
        <f>IFERROR(VLOOKUP(E296,'liquidaciones '!$B$2:$I$1048576,8,0),"")</f>
        <v>0</v>
      </c>
      <c r="AP296" s="338"/>
      <c r="AQ296" s="177" t="str">
        <f t="shared" ca="1" si="62"/>
        <v>NO</v>
      </c>
      <c r="AR296" s="177" t="s">
        <v>1570</v>
      </c>
      <c r="AS296" s="433"/>
      <c r="AT296" s="964"/>
      <c r="AU296" s="964"/>
      <c r="AV296" s="964"/>
    </row>
    <row r="297" spans="2:48" ht="47.25" customHeight="1" x14ac:dyDescent="0.25">
      <c r="B297" s="15">
        <v>291</v>
      </c>
      <c r="C297" s="437">
        <v>176</v>
      </c>
      <c r="D297" s="437" t="str">
        <f t="shared" si="53"/>
        <v>2015176</v>
      </c>
      <c r="E297" s="351" t="s">
        <v>1630</v>
      </c>
      <c r="F297" s="864" t="s">
        <v>1025</v>
      </c>
      <c r="G297" s="866">
        <v>80199707</v>
      </c>
      <c r="H297" s="858" t="s">
        <v>1631</v>
      </c>
      <c r="I297" s="210">
        <v>28000000</v>
      </c>
      <c r="J297" s="700" t="s">
        <v>1742</v>
      </c>
      <c r="K297" s="295">
        <v>2015</v>
      </c>
      <c r="L297" s="546">
        <v>42093</v>
      </c>
      <c r="M297" s="865">
        <v>42116</v>
      </c>
      <c r="N297" s="865">
        <v>42482</v>
      </c>
      <c r="O297" s="127">
        <f>COUNTA(Modificaciones!I297,Modificaciones!K297,Modificaciones!M297,Modificaciones!O297)</f>
        <v>0</v>
      </c>
      <c r="P297" s="128">
        <f>VLOOKUP(E297,Modificaciones!$B$7:$Q$300,16,0)</f>
        <v>0</v>
      </c>
      <c r="Q297" s="129">
        <f>COUNTA(Modificaciones!S297,Modificaciones!U297,Modificaciones!W297,Modificaciones!Y297)</f>
        <v>0</v>
      </c>
      <c r="R297" s="130" t="str">
        <f>IF(Modificaciones!Z297=0,"",VLOOKUP(E297,Modificaciones!$B$7:$AA$400,25,0))</f>
        <v/>
      </c>
      <c r="S297" s="131" t="str">
        <f>IF(Modificaciones!AA297=0,"",VLOOKUP(E297,Modificaciones!$B$7:$AA$400,26,0))</f>
        <v/>
      </c>
      <c r="T297" s="126">
        <f t="shared" si="52"/>
        <v>42482</v>
      </c>
      <c r="U297" s="62">
        <f t="shared" si="54"/>
        <v>28000000</v>
      </c>
      <c r="V297" s="172">
        <f>VLOOKUP(E297,Modificaciones!$B$7:$AU$300,46,0)</f>
        <v>27999658</v>
      </c>
      <c r="W297" s="93">
        <f t="shared" si="55"/>
        <v>342</v>
      </c>
      <c r="X297" s="309" t="s">
        <v>1632</v>
      </c>
      <c r="Y297" s="42">
        <f t="shared" si="56"/>
        <v>0.9999877857142857</v>
      </c>
      <c r="Z297" s="42">
        <f t="shared" ca="1" si="57"/>
        <v>1</v>
      </c>
      <c r="AA297" s="43">
        <f t="shared" ca="1" si="58"/>
        <v>1.2214285714295947E-5</v>
      </c>
      <c r="AB297" s="202" t="str">
        <f t="shared" ca="1" si="59"/>
        <v/>
      </c>
      <c r="AC297" s="44" t="str">
        <f t="shared" si="61"/>
        <v>SI</v>
      </c>
      <c r="AD297" s="760" t="str">
        <f>VLOOKUP(C297,[2]Hoja4!$A$2:$E$116,5,0)</f>
        <v>PRESTACION DE SERVICIOS</v>
      </c>
      <c r="AE297" s="173" t="s">
        <v>1256</v>
      </c>
      <c r="AF297" s="281" t="s">
        <v>1298</v>
      </c>
      <c r="AG297" s="173" t="s">
        <v>1442</v>
      </c>
      <c r="AH297" s="281" t="s">
        <v>560</v>
      </c>
      <c r="AI297" s="174" t="s">
        <v>1380</v>
      </c>
      <c r="AJ297" s="305" t="s">
        <v>1618</v>
      </c>
      <c r="AK297" s="181" t="str">
        <f t="shared" ca="1" si="60"/>
        <v>TERMINO</v>
      </c>
      <c r="AL297" s="181" t="s">
        <v>576</v>
      </c>
      <c r="AM297" s="176" t="s">
        <v>390</v>
      </c>
      <c r="AN297" s="848" t="str">
        <f>IFERROR(VLOOKUP(E297,'liquidaciones '!$B$2:$C$1048576,2,0),"NO")</f>
        <v>LIQUIDADO</v>
      </c>
      <c r="AO297" s="944" t="str">
        <f>IFERROR(VLOOKUP(E297,'liquidaciones '!$B$2:$I$1048576,8,0),"")</f>
        <v>MANUEL ROJAS</v>
      </c>
      <c r="AP297" s="338"/>
      <c r="AQ297" s="177" t="str">
        <f t="shared" ca="1" si="62"/>
        <v>NO</v>
      </c>
      <c r="AR297" s="177" t="s">
        <v>2390</v>
      </c>
      <c r="AS297" s="433"/>
      <c r="AT297" s="964"/>
      <c r="AU297" s="964"/>
      <c r="AV297" s="964"/>
    </row>
    <row r="298" spans="2:48" ht="63" customHeight="1" x14ac:dyDescent="0.25">
      <c r="B298" s="15">
        <v>292</v>
      </c>
      <c r="C298" s="437">
        <v>210</v>
      </c>
      <c r="D298" s="437" t="str">
        <f t="shared" si="53"/>
        <v>2015210</v>
      </c>
      <c r="E298" s="351" t="s">
        <v>1636</v>
      </c>
      <c r="F298" s="864" t="s">
        <v>1637</v>
      </c>
      <c r="G298" s="866">
        <v>900475780</v>
      </c>
      <c r="H298" s="858" t="s">
        <v>1638</v>
      </c>
      <c r="I298" s="210">
        <v>4174276985</v>
      </c>
      <c r="J298" s="726" t="s">
        <v>1636</v>
      </c>
      <c r="K298" s="295">
        <v>2015</v>
      </c>
      <c r="L298" s="546">
        <v>42117</v>
      </c>
      <c r="M298" s="865">
        <v>42117</v>
      </c>
      <c r="N298" s="865">
        <v>42468</v>
      </c>
      <c r="O298" s="127">
        <f>COUNTA(Modificaciones!I298,Modificaciones!K298,Modificaciones!M298,Modificaciones!O298)</f>
        <v>0</v>
      </c>
      <c r="P298" s="128">
        <f>VLOOKUP(E298,Modificaciones!$B$7:$Q$300,16,0)</f>
        <v>0</v>
      </c>
      <c r="Q298" s="129">
        <f>COUNTA(Modificaciones!S298,Modificaciones!U298,Modificaciones!W298,Modificaciones!Y298)</f>
        <v>0</v>
      </c>
      <c r="R298" s="130" t="str">
        <f>IF(Modificaciones!Z298=0,"",VLOOKUP(E298,Modificaciones!$B$7:$AA$400,25,0))</f>
        <v/>
      </c>
      <c r="S298" s="131" t="str">
        <f>IF(Modificaciones!AA298=0,"",VLOOKUP(E298,Modificaciones!$B$7:$AA$400,26,0))</f>
        <v/>
      </c>
      <c r="T298" s="126">
        <f t="shared" si="52"/>
        <v>42468</v>
      </c>
      <c r="U298" s="62">
        <f t="shared" si="54"/>
        <v>4174276985</v>
      </c>
      <c r="V298" s="172">
        <f>VLOOKUP(E298,Modificaciones!$B$7:$AU$300,46,0)</f>
        <v>3756849288</v>
      </c>
      <c r="W298" s="93">
        <f t="shared" si="55"/>
        <v>417427697</v>
      </c>
      <c r="X298" s="309" t="s">
        <v>1107</v>
      </c>
      <c r="Y298" s="42">
        <f t="shared" si="56"/>
        <v>0.90000000035934369</v>
      </c>
      <c r="Z298" s="42">
        <f t="shared" ca="1" si="57"/>
        <v>1</v>
      </c>
      <c r="AA298" s="43">
        <f t="shared" ca="1" si="58"/>
        <v>9.9999999640656312E-2</v>
      </c>
      <c r="AB298" s="202" t="str">
        <f t="shared" ca="1" si="59"/>
        <v/>
      </c>
      <c r="AC298" s="44" t="str">
        <f t="shared" si="61"/>
        <v>NO</v>
      </c>
      <c r="AD298" s="760" t="str">
        <f>VLOOKUP(C298,[2]Hoja4!$A$2:$E$116,5,0)</f>
        <v>CONTRATO INTERADMINISTRATIVO</v>
      </c>
      <c r="AE298" s="173" t="s">
        <v>1256</v>
      </c>
      <c r="AF298" s="281" t="s">
        <v>1508</v>
      </c>
      <c r="AG298" s="173" t="s">
        <v>1442</v>
      </c>
      <c r="AH298" s="281" t="s">
        <v>560</v>
      </c>
      <c r="AI298" s="174" t="s">
        <v>1319</v>
      </c>
      <c r="AJ298" s="305" t="s">
        <v>1618</v>
      </c>
      <c r="AK298" s="181" t="str">
        <f t="shared" ca="1" si="60"/>
        <v>TERMINO</v>
      </c>
      <c r="AL298" s="181" t="s">
        <v>582</v>
      </c>
      <c r="AM298" s="176" t="s">
        <v>390</v>
      </c>
      <c r="AN298" s="848" t="str">
        <f>IFERROR(VLOOKUP(E298,'liquidaciones '!$B$2:$C$1048576,2,0),"NO")</f>
        <v>LIQUIDADO</v>
      </c>
      <c r="AO298" s="944">
        <f>IFERROR(VLOOKUP(E298,'liquidaciones '!$B$2:$I$1048576,8,0),"")</f>
        <v>0</v>
      </c>
      <c r="AP298" s="338"/>
      <c r="AQ298" s="177" t="str">
        <f t="shared" ca="1" si="62"/>
        <v>NO</v>
      </c>
      <c r="AR298" s="177" t="s">
        <v>1570</v>
      </c>
      <c r="AS298" s="433"/>
      <c r="AT298" s="964"/>
      <c r="AU298" s="964"/>
      <c r="AV298" s="964"/>
    </row>
    <row r="299" spans="2:48" ht="47.25" customHeight="1" x14ac:dyDescent="0.25">
      <c r="B299" s="15">
        <v>293</v>
      </c>
      <c r="C299" s="437">
        <v>175</v>
      </c>
      <c r="D299" s="437" t="str">
        <f t="shared" si="53"/>
        <v>2015175</v>
      </c>
      <c r="E299" s="866" t="s">
        <v>1639</v>
      </c>
      <c r="F299" s="864" t="s">
        <v>53</v>
      </c>
      <c r="G299" s="866">
        <v>4831</v>
      </c>
      <c r="H299" s="858" t="s">
        <v>1640</v>
      </c>
      <c r="I299" s="210">
        <v>27620000</v>
      </c>
      <c r="J299" s="700" t="s">
        <v>1753</v>
      </c>
      <c r="K299" s="295">
        <v>2015</v>
      </c>
      <c r="L299" s="546">
        <v>42109</v>
      </c>
      <c r="M299" s="865">
        <v>42137</v>
      </c>
      <c r="N299" s="865">
        <v>42503</v>
      </c>
      <c r="O299" s="127">
        <f>COUNTA(Modificaciones!I299,Modificaciones!K299,Modificaciones!M299,Modificaciones!O299)</f>
        <v>1</v>
      </c>
      <c r="P299" s="128">
        <f>VLOOKUP(E299,Modificaciones!$B$7:$Q$300,16,0)</f>
        <v>14000000</v>
      </c>
      <c r="Q299" s="129">
        <f>COUNTA(Modificaciones!S299,Modificaciones!U299,Modificaciones!W299,Modificaciones!Y299)</f>
        <v>1</v>
      </c>
      <c r="R299" s="130" t="str">
        <f>IF(Modificaciones!Z299=0,"",VLOOKUP(E299,Modificaciones!$B$7:$AA$400,25,0))</f>
        <v>28 días calendario</v>
      </c>
      <c r="S299" s="131">
        <f>IF(Modificaciones!AA299=0,"",VLOOKUP(E299,Modificaciones!$B$7:$AA$400,26,0))</f>
        <v>42531</v>
      </c>
      <c r="T299" s="126">
        <f t="shared" si="52"/>
        <v>42531</v>
      </c>
      <c r="U299" s="62">
        <f t="shared" si="54"/>
        <v>41620000</v>
      </c>
      <c r="V299" s="172">
        <f>VLOOKUP(E299,Modificaciones!$B$7:$AU$300,46,0)</f>
        <v>40473799</v>
      </c>
      <c r="W299" s="93">
        <f t="shared" si="55"/>
        <v>1146201</v>
      </c>
      <c r="X299" s="309" t="s">
        <v>1641</v>
      </c>
      <c r="Y299" s="42">
        <f t="shared" si="56"/>
        <v>0.97246033157135991</v>
      </c>
      <c r="Z299" s="42">
        <f t="shared" ca="1" si="57"/>
        <v>1</v>
      </c>
      <c r="AA299" s="43">
        <f t="shared" ca="1" si="58"/>
        <v>2.7539668428640085E-2</v>
      </c>
      <c r="AB299" s="202" t="str">
        <f t="shared" ca="1" si="59"/>
        <v/>
      </c>
      <c r="AC299" s="44" t="str">
        <f t="shared" si="61"/>
        <v>NO</v>
      </c>
      <c r="AD299" s="760" t="str">
        <f>VLOOKUP(C299,[2]Hoja4!$A$2:$E$116,5,0)</f>
        <v>PRESTACION DE SERVICIOS</v>
      </c>
      <c r="AE299" s="173" t="s">
        <v>1256</v>
      </c>
      <c r="AF299" s="173" t="s">
        <v>1126</v>
      </c>
      <c r="AG299" s="173" t="s">
        <v>1442</v>
      </c>
      <c r="AH299" s="281" t="s">
        <v>560</v>
      </c>
      <c r="AI299" s="174" t="s">
        <v>1319</v>
      </c>
      <c r="AJ299" s="305" t="s">
        <v>1618</v>
      </c>
      <c r="AK299" s="181" t="str">
        <f t="shared" ca="1" si="60"/>
        <v>TERMINO</v>
      </c>
      <c r="AL299" s="181" t="s">
        <v>576</v>
      </c>
      <c r="AM299" s="176" t="s">
        <v>390</v>
      </c>
      <c r="AN299" s="848" t="str">
        <f>IFERROR(VLOOKUP(E299,'liquidaciones '!$B$2:$C$1048576,2,0),"NO")</f>
        <v>LIQUIDADO</v>
      </c>
      <c r="AO299" s="944">
        <f>IFERROR(VLOOKUP(E299,'liquidaciones '!$B$2:$I$1048576,8,0),"")</f>
        <v>0</v>
      </c>
      <c r="AP299" s="338"/>
      <c r="AQ299" s="177" t="str">
        <f t="shared" ca="1" si="62"/>
        <v>NO</v>
      </c>
      <c r="AR299" s="177" t="s">
        <v>2390</v>
      </c>
      <c r="AS299" s="433"/>
      <c r="AT299" s="964"/>
      <c r="AU299" s="964"/>
      <c r="AV299" s="964"/>
    </row>
    <row r="300" spans="2:48" ht="47.25" customHeight="1" x14ac:dyDescent="0.25">
      <c r="B300" s="15">
        <v>294</v>
      </c>
      <c r="C300" s="437">
        <v>168</v>
      </c>
      <c r="D300" s="437" t="str">
        <f t="shared" si="53"/>
        <v>2015168</v>
      </c>
      <c r="E300" s="866" t="s">
        <v>1743</v>
      </c>
      <c r="F300" s="864" t="s">
        <v>284</v>
      </c>
      <c r="G300" s="866">
        <v>830055842</v>
      </c>
      <c r="H300" s="858" t="s">
        <v>1771</v>
      </c>
      <c r="I300" s="210">
        <v>33500000</v>
      </c>
      <c r="J300" s="700" t="s">
        <v>1744</v>
      </c>
      <c r="K300" s="295">
        <v>2015</v>
      </c>
      <c r="L300" s="546">
        <v>42124</v>
      </c>
      <c r="M300" s="865">
        <v>42130</v>
      </c>
      <c r="N300" s="865">
        <v>42496</v>
      </c>
      <c r="O300" s="127">
        <f>COUNTA(Modificaciones!I300,Modificaciones!K300,Modificaciones!M300,Modificaciones!O300)</f>
        <v>0</v>
      </c>
      <c r="P300" s="128">
        <f>VLOOKUP(E300,Modificaciones!$B$7:$Q$300,16,0)</f>
        <v>0</v>
      </c>
      <c r="Q300" s="129">
        <f>COUNTA(Modificaciones!S300,Modificaciones!U300,Modificaciones!W300,Modificaciones!Y300)</f>
        <v>1</v>
      </c>
      <c r="R300" s="130" t="str">
        <f>IF(Modificaciones!Z300=0,"",VLOOKUP(E300,Modificaciones!$B$7:$AA$400,25,0))</f>
        <v>14 DIAS</v>
      </c>
      <c r="S300" s="131">
        <f>IF(Modificaciones!AA300=0,"",VLOOKUP(E300,Modificaciones!$B$7:$AA$400,26,0))</f>
        <v>42510</v>
      </c>
      <c r="T300" s="126">
        <f t="shared" si="52"/>
        <v>42510</v>
      </c>
      <c r="U300" s="62">
        <f t="shared" si="54"/>
        <v>33500000</v>
      </c>
      <c r="V300" s="172">
        <f>VLOOKUP(E300,Modificaciones!$B$7:$AU$300,46,0)</f>
        <v>28680629</v>
      </c>
      <c r="W300" s="93">
        <f t="shared" si="55"/>
        <v>4819371</v>
      </c>
      <c r="X300" s="309" t="s">
        <v>1865</v>
      </c>
      <c r="Y300" s="42">
        <f t="shared" si="56"/>
        <v>0.85613817910447765</v>
      </c>
      <c r="Z300" s="42">
        <f t="shared" ca="1" si="57"/>
        <v>1</v>
      </c>
      <c r="AA300" s="43">
        <f t="shared" ca="1" si="58"/>
        <v>0.14386182089552235</v>
      </c>
      <c r="AB300" s="202" t="str">
        <f t="shared" ca="1" si="59"/>
        <v/>
      </c>
      <c r="AC300" s="44" t="str">
        <f t="shared" si="61"/>
        <v>NO</v>
      </c>
      <c r="AD300" s="760" t="str">
        <f>VLOOKUP(C300,[2]Hoja4!$A$2:$E$116,5,0)</f>
        <v>PRESTACION DE SERVICIOS</v>
      </c>
      <c r="AE300" s="173" t="s">
        <v>1256</v>
      </c>
      <c r="AF300" s="281" t="s">
        <v>1137</v>
      </c>
      <c r="AG300" s="173" t="s">
        <v>1436</v>
      </c>
      <c r="AH300" s="281" t="s">
        <v>562</v>
      </c>
      <c r="AI300" s="174" t="s">
        <v>1385</v>
      </c>
      <c r="AJ300" s="305" t="s">
        <v>1618</v>
      </c>
      <c r="AK300" s="181" t="str">
        <f t="shared" ca="1" si="60"/>
        <v>TERMINO</v>
      </c>
      <c r="AL300" s="310" t="s">
        <v>575</v>
      </c>
      <c r="AM300" s="176" t="s">
        <v>390</v>
      </c>
      <c r="AN300" s="848" t="str">
        <f>IFERROR(VLOOKUP(E300,'liquidaciones '!$B$2:$C$1048576,2,0),"NO")</f>
        <v>LIQUIDADO</v>
      </c>
      <c r="AO300" s="944">
        <f>IFERROR(VLOOKUP(E300,'liquidaciones '!$B$2:$I$1048576,8,0),"")</f>
        <v>0</v>
      </c>
      <c r="AP300" s="338"/>
      <c r="AQ300" s="177" t="str">
        <f t="shared" ca="1" si="62"/>
        <v>NO</v>
      </c>
      <c r="AR300" s="177" t="s">
        <v>1510</v>
      </c>
      <c r="AS300" s="433"/>
      <c r="AT300" s="964"/>
      <c r="AU300" s="964"/>
      <c r="AV300" s="964"/>
    </row>
    <row r="301" spans="2:48" ht="47.25" customHeight="1" x14ac:dyDescent="0.25">
      <c r="B301" s="15">
        <v>295</v>
      </c>
      <c r="C301" s="437">
        <v>277</v>
      </c>
      <c r="D301" s="437" t="str">
        <f t="shared" si="53"/>
        <v>2015277</v>
      </c>
      <c r="E301" s="351" t="s">
        <v>1748</v>
      </c>
      <c r="F301" s="864" t="s">
        <v>1749</v>
      </c>
      <c r="G301" s="866" t="s">
        <v>1772</v>
      </c>
      <c r="H301" s="858" t="s">
        <v>1773</v>
      </c>
      <c r="I301" s="210">
        <v>12975945</v>
      </c>
      <c r="J301" s="700" t="s">
        <v>1747</v>
      </c>
      <c r="K301" s="295">
        <v>2015</v>
      </c>
      <c r="L301" s="546">
        <v>42117</v>
      </c>
      <c r="M301" s="865">
        <v>42135</v>
      </c>
      <c r="N301" s="865">
        <v>42258</v>
      </c>
      <c r="O301" s="127">
        <f>COUNTA(Modificaciones!I301,Modificaciones!K301,Modificaciones!M301,Modificaciones!O301)</f>
        <v>0</v>
      </c>
      <c r="P301" s="128">
        <f>VLOOKUP(E301,Modificaciones!$B$7:$Q$400,16,0)</f>
        <v>0</v>
      </c>
      <c r="Q301" s="129">
        <f>COUNTA(Modificaciones!S301,Modificaciones!U301,Modificaciones!W301,Modificaciones!Y301)</f>
        <v>0</v>
      </c>
      <c r="R301" s="130" t="str">
        <f>IF(Modificaciones!Z301=0,"",VLOOKUP(E301,Modificaciones!$B$7:$AA$400,25,0))</f>
        <v/>
      </c>
      <c r="S301" s="131" t="str">
        <f>IF(Modificaciones!AA301=0,"",VLOOKUP(E301,Modificaciones!$B$7:$AA$400,26,0))</f>
        <v/>
      </c>
      <c r="T301" s="126">
        <f t="shared" si="52"/>
        <v>42258</v>
      </c>
      <c r="U301" s="62">
        <f t="shared" si="54"/>
        <v>12975945</v>
      </c>
      <c r="V301" s="172">
        <f>VLOOKUP(E301,Modificaciones!$B$7:$AU$400,46,0)</f>
        <v>12975945</v>
      </c>
      <c r="W301" s="93">
        <f t="shared" si="55"/>
        <v>0</v>
      </c>
      <c r="X301" s="309"/>
      <c r="Y301" s="42">
        <f t="shared" si="56"/>
        <v>1</v>
      </c>
      <c r="Z301" s="42">
        <f t="shared" ca="1" si="57"/>
        <v>1</v>
      </c>
      <c r="AA301" s="43">
        <f t="shared" ca="1" si="58"/>
        <v>0</v>
      </c>
      <c r="AB301" s="202" t="str">
        <f t="shared" ca="1" si="59"/>
        <v/>
      </c>
      <c r="AC301" s="44" t="str">
        <f t="shared" si="61"/>
        <v>SI</v>
      </c>
      <c r="AD301" s="760" t="str">
        <f>VLOOKUP(C301,[2]Hoja4!$A$2:$E$116,5,0)</f>
        <v>PRESTACION DE SERVICIOS</v>
      </c>
      <c r="AE301" s="173" t="s">
        <v>1257</v>
      </c>
      <c r="AF301" s="173" t="s">
        <v>1573</v>
      </c>
      <c r="AG301" s="173" t="s">
        <v>1439</v>
      </c>
      <c r="AH301" s="281" t="s">
        <v>560</v>
      </c>
      <c r="AI301" s="305" t="s">
        <v>1509</v>
      </c>
      <c r="AJ301" s="305" t="s">
        <v>1867</v>
      </c>
      <c r="AK301" s="181" t="str">
        <f t="shared" ca="1" si="60"/>
        <v>TERMINO</v>
      </c>
      <c r="AL301" s="310" t="s">
        <v>576</v>
      </c>
      <c r="AM301" s="176" t="s">
        <v>391</v>
      </c>
      <c r="AN301" s="848" t="str">
        <f>IFERROR(VLOOKUP(E301,'liquidaciones '!$B$2:$C$1048576,2,0),"NO")</f>
        <v>LIQUIDADO</v>
      </c>
      <c r="AO301" s="944">
        <f>IFERROR(VLOOKUP(E301,'liquidaciones '!$B$2:$I$1048576,8,0),"")</f>
        <v>0</v>
      </c>
      <c r="AP301" s="338"/>
      <c r="AQ301" s="177" t="str">
        <f t="shared" ca="1" si="62"/>
        <v>NO</v>
      </c>
      <c r="AR301" s="177" t="s">
        <v>1992</v>
      </c>
      <c r="AS301" s="433"/>
      <c r="AT301" s="964"/>
      <c r="AU301" s="964"/>
      <c r="AV301" s="964"/>
    </row>
    <row r="302" spans="2:48" ht="63" customHeight="1" x14ac:dyDescent="0.25">
      <c r="B302" s="15">
        <v>296</v>
      </c>
      <c r="C302" s="437">
        <v>177</v>
      </c>
      <c r="D302" s="437" t="str">
        <f t="shared" si="53"/>
        <v>2015177</v>
      </c>
      <c r="E302" s="351" t="s">
        <v>1755</v>
      </c>
      <c r="F302" s="864" t="s">
        <v>1756</v>
      </c>
      <c r="G302" s="866" t="s">
        <v>1757</v>
      </c>
      <c r="H302" s="858" t="s">
        <v>1758</v>
      </c>
      <c r="I302" s="210">
        <v>11000000</v>
      </c>
      <c r="J302" s="700" t="s">
        <v>1754</v>
      </c>
      <c r="K302" s="295">
        <v>2015</v>
      </c>
      <c r="L302" s="546">
        <v>42109</v>
      </c>
      <c r="M302" s="865">
        <v>42135</v>
      </c>
      <c r="N302" s="865">
        <v>42501</v>
      </c>
      <c r="O302" s="127">
        <f>COUNTA(Modificaciones!I302,Modificaciones!K302,Modificaciones!M302,Modificaciones!O302)</f>
        <v>0</v>
      </c>
      <c r="P302" s="128">
        <f>VLOOKUP(E302,Modificaciones!$B$7:$Q$400,16,0)</f>
        <v>0</v>
      </c>
      <c r="Q302" s="129">
        <f>COUNTA(Modificaciones!S302,Modificaciones!U302,Modificaciones!W302,Modificaciones!Y302)</f>
        <v>1</v>
      </c>
      <c r="R302" s="130" t="str">
        <f>IF(Modificaciones!Z302=0,"",VLOOKUP(E302,Modificaciones!$B$7:$AA$400,25,0))</f>
        <v>1 mes</v>
      </c>
      <c r="S302" s="131">
        <f>IF(Modificaciones!AA302=0,"",VLOOKUP(E302,Modificaciones!$B$7:$AA$400,26,0))</f>
        <v>42532</v>
      </c>
      <c r="T302" s="126">
        <f t="shared" si="52"/>
        <v>42532</v>
      </c>
      <c r="U302" s="62">
        <f t="shared" si="54"/>
        <v>11000000</v>
      </c>
      <c r="V302" s="172">
        <f>VLOOKUP(E302,Modificaciones!$B$7:$AU$400,46,0)</f>
        <v>7486074</v>
      </c>
      <c r="W302" s="93">
        <f t="shared" si="55"/>
        <v>3513926</v>
      </c>
      <c r="X302" s="309" t="s">
        <v>1868</v>
      </c>
      <c r="Y302" s="42">
        <f t="shared" si="56"/>
        <v>0.68055218181818178</v>
      </c>
      <c r="Z302" s="42">
        <f t="shared" ca="1" si="57"/>
        <v>1</v>
      </c>
      <c r="AA302" s="43">
        <f t="shared" ca="1" si="58"/>
        <v>0.31944781818181822</v>
      </c>
      <c r="AB302" s="202" t="str">
        <f t="shared" ca="1" si="59"/>
        <v/>
      </c>
      <c r="AC302" s="44" t="str">
        <f t="shared" si="61"/>
        <v>NO</v>
      </c>
      <c r="AD302" s="760" t="str">
        <f>VLOOKUP(C302,[2]Hoja4!$A$2:$E$116,5,0)</f>
        <v>PRESTACION DE SERVICIOS</v>
      </c>
      <c r="AE302" s="173" t="s">
        <v>1256</v>
      </c>
      <c r="AF302" s="301" t="s">
        <v>1144</v>
      </c>
      <c r="AG302" s="173" t="s">
        <v>1442</v>
      </c>
      <c r="AH302" s="281" t="s">
        <v>560</v>
      </c>
      <c r="AI302" s="174" t="s">
        <v>1380</v>
      </c>
      <c r="AJ302" s="305" t="s">
        <v>1867</v>
      </c>
      <c r="AK302" s="181" t="str">
        <f t="shared" ca="1" si="60"/>
        <v>TERMINO</v>
      </c>
      <c r="AL302" s="310" t="s">
        <v>576</v>
      </c>
      <c r="AM302" s="176" t="s">
        <v>390</v>
      </c>
      <c r="AN302" s="848" t="str">
        <f>IFERROR(VLOOKUP(E302,'liquidaciones '!$B$2:$C$1048576,2,0),"NO")</f>
        <v>LIQUIDADO</v>
      </c>
      <c r="AO302" s="944" t="str">
        <f>IFERROR(VLOOKUP(E302,'liquidaciones '!$B$2:$I$1048576,8,0),"")</f>
        <v>CLAUDIA VANEGAS</v>
      </c>
      <c r="AP302" s="338"/>
      <c r="AQ302" s="177" t="str">
        <f t="shared" ca="1" si="62"/>
        <v>NO</v>
      </c>
      <c r="AR302" s="177" t="s">
        <v>1570</v>
      </c>
      <c r="AS302" s="433"/>
      <c r="AT302" s="964"/>
      <c r="AU302" s="964"/>
      <c r="AV302" s="964"/>
    </row>
    <row r="303" spans="2:48" ht="47.25" customHeight="1" x14ac:dyDescent="0.25">
      <c r="B303" s="15">
        <v>297</v>
      </c>
      <c r="C303" s="437">
        <v>55</v>
      </c>
      <c r="D303" s="437" t="str">
        <f t="shared" si="53"/>
        <v>201555</v>
      </c>
      <c r="E303" s="866" t="s">
        <v>1761</v>
      </c>
      <c r="F303" s="864" t="s">
        <v>290</v>
      </c>
      <c r="G303" s="866" t="s">
        <v>1762</v>
      </c>
      <c r="H303" s="858" t="s">
        <v>1763</v>
      </c>
      <c r="I303" s="210">
        <v>10514762</v>
      </c>
      <c r="J303" s="700" t="s">
        <v>1760</v>
      </c>
      <c r="K303" s="295">
        <v>2015</v>
      </c>
      <c r="L303" s="546">
        <v>42108</v>
      </c>
      <c r="M303" s="865">
        <v>42117</v>
      </c>
      <c r="N303" s="865">
        <v>42147</v>
      </c>
      <c r="O303" s="127">
        <f>COUNTA(Modificaciones!I303,Modificaciones!K303,Modificaciones!M303,Modificaciones!O303)</f>
        <v>0</v>
      </c>
      <c r="P303" s="128">
        <f>VLOOKUP(E303,Modificaciones!$B$7:$Q$400,16,0)</f>
        <v>0</v>
      </c>
      <c r="Q303" s="129">
        <f>COUNTA(Modificaciones!S303,Modificaciones!U303,Modificaciones!W303,Modificaciones!Y303)</f>
        <v>0</v>
      </c>
      <c r="R303" s="130" t="str">
        <f>IF(Modificaciones!Z303=0,"",VLOOKUP(E303,Modificaciones!$B$7:$AA$400,25,0))</f>
        <v/>
      </c>
      <c r="S303" s="131" t="str">
        <f>IF(Modificaciones!AA303=0,"",VLOOKUP(E303,Modificaciones!$B$7:$AA$400,26,0))</f>
        <v/>
      </c>
      <c r="T303" s="126">
        <f t="shared" si="52"/>
        <v>42147</v>
      </c>
      <c r="U303" s="62">
        <f t="shared" si="54"/>
        <v>10514762</v>
      </c>
      <c r="V303" s="172">
        <f>VLOOKUP(E303,Modificaciones!$B$7:$AU$400,46,0)</f>
        <v>10514762</v>
      </c>
      <c r="W303" s="93">
        <f t="shared" si="55"/>
        <v>0</v>
      </c>
      <c r="X303" s="309" t="s">
        <v>1820</v>
      </c>
      <c r="Y303" s="42">
        <f t="shared" si="56"/>
        <v>1</v>
      </c>
      <c r="Z303" s="42">
        <f t="shared" ca="1" si="57"/>
        <v>1</v>
      </c>
      <c r="AA303" s="43">
        <f t="shared" ca="1" si="58"/>
        <v>0</v>
      </c>
      <c r="AB303" s="202" t="str">
        <f t="shared" ca="1" si="59"/>
        <v/>
      </c>
      <c r="AC303" s="44" t="str">
        <f t="shared" si="61"/>
        <v>SI</v>
      </c>
      <c r="AD303" s="760" t="str">
        <f>VLOOKUP(C303,[2]Hoja4!$A$2:$E$116,5,0)</f>
        <v>COMPRAVENTA</v>
      </c>
      <c r="AE303" s="173" t="s">
        <v>1257</v>
      </c>
      <c r="AF303" s="281" t="s">
        <v>1311</v>
      </c>
      <c r="AG303" s="173" t="s">
        <v>1439</v>
      </c>
      <c r="AH303" s="281" t="s">
        <v>560</v>
      </c>
      <c r="AI303" s="305" t="s">
        <v>1509</v>
      </c>
      <c r="AJ303" s="305" t="s">
        <v>1618</v>
      </c>
      <c r="AK303" s="181" t="str">
        <f t="shared" ca="1" si="60"/>
        <v>TERMINO</v>
      </c>
      <c r="AL303" s="310" t="s">
        <v>576</v>
      </c>
      <c r="AM303" s="176" t="s">
        <v>391</v>
      </c>
      <c r="AN303" s="848" t="str">
        <f>IFERROR(VLOOKUP(E303,'liquidaciones '!$B$2:$C$1048576,2,0),"NO")</f>
        <v>LIQUIDADO</v>
      </c>
      <c r="AO303" s="944">
        <f>IFERROR(VLOOKUP(E303,'liquidaciones '!$B$2:$I$1048576,8,0),"")</f>
        <v>0</v>
      </c>
      <c r="AP303" s="338"/>
      <c r="AQ303" s="177" t="str">
        <f t="shared" ca="1" si="62"/>
        <v>NO</v>
      </c>
      <c r="AR303" s="177" t="s">
        <v>1992</v>
      </c>
      <c r="AS303" s="433"/>
      <c r="AT303" s="964"/>
      <c r="AU303" s="964"/>
      <c r="AV303" s="964"/>
    </row>
    <row r="304" spans="2:48" ht="47.25" customHeight="1" x14ac:dyDescent="0.25">
      <c r="B304" s="15">
        <v>298</v>
      </c>
      <c r="C304" s="437">
        <v>172</v>
      </c>
      <c r="D304" s="437" t="str">
        <f t="shared" si="53"/>
        <v>2015172</v>
      </c>
      <c r="E304" s="866" t="s">
        <v>1976</v>
      </c>
      <c r="F304" s="864" t="s">
        <v>272</v>
      </c>
      <c r="G304" s="133">
        <v>900197284</v>
      </c>
      <c r="H304" s="858" t="s">
        <v>1844</v>
      </c>
      <c r="I304" s="210">
        <v>5874000</v>
      </c>
      <c r="J304" s="700" t="s">
        <v>1764</v>
      </c>
      <c r="K304" s="295">
        <v>2015</v>
      </c>
      <c r="L304" s="546">
        <v>42130</v>
      </c>
      <c r="M304" s="865">
        <v>42149</v>
      </c>
      <c r="N304" s="865">
        <v>42515</v>
      </c>
      <c r="O304" s="127">
        <f>COUNTA(Modificaciones!I304,Modificaciones!K304,Modificaciones!M304,Modificaciones!O304)</f>
        <v>0</v>
      </c>
      <c r="P304" s="128">
        <f>VLOOKUP(E304,Modificaciones!$B$7:$Q$400,16,0)</f>
        <v>0</v>
      </c>
      <c r="Q304" s="129">
        <f>COUNTA(Modificaciones!S304,Modificaciones!U304,Modificaciones!W304,Modificaciones!Y304)</f>
        <v>0</v>
      </c>
      <c r="R304" s="130" t="str">
        <f>IF(Modificaciones!Z304=0,"",VLOOKUP(E304,Modificaciones!$B$7:$AA$400,25,0))</f>
        <v/>
      </c>
      <c r="S304" s="131" t="str">
        <f>IF(Modificaciones!AA304=0,"",VLOOKUP(E304,Modificaciones!$B$7:$AA$400,26,0))</f>
        <v/>
      </c>
      <c r="T304" s="126">
        <f t="shared" si="52"/>
        <v>42515</v>
      </c>
      <c r="U304" s="62">
        <f t="shared" si="54"/>
        <v>5874000</v>
      </c>
      <c r="V304" s="172">
        <f>VLOOKUP(E304,Modificaciones!$B$7:$AU$400,46,0)</f>
        <v>4940614</v>
      </c>
      <c r="W304" s="93">
        <f t="shared" si="55"/>
        <v>933386</v>
      </c>
      <c r="X304" s="309" t="s">
        <v>1632</v>
      </c>
      <c r="Y304" s="42">
        <f t="shared" si="56"/>
        <v>0.84109874021109976</v>
      </c>
      <c r="Z304" s="42">
        <f t="shared" ca="1" si="57"/>
        <v>1</v>
      </c>
      <c r="AA304" s="43">
        <f t="shared" ca="1" si="58"/>
        <v>0.15890125978890024</v>
      </c>
      <c r="AB304" s="202" t="str">
        <f t="shared" ca="1" si="59"/>
        <v/>
      </c>
      <c r="AC304" s="44" t="str">
        <f t="shared" si="61"/>
        <v>NO</v>
      </c>
      <c r="AD304" s="760" t="str">
        <f>VLOOKUP(C304,[2]Hoja4!$A$2:$E$116,5,0)</f>
        <v>PRESTACION DE SERVICIOS</v>
      </c>
      <c r="AE304" s="173" t="s">
        <v>1256</v>
      </c>
      <c r="AF304" s="173" t="s">
        <v>1511</v>
      </c>
      <c r="AG304" s="173" t="s">
        <v>1442</v>
      </c>
      <c r="AH304" s="281" t="s">
        <v>560</v>
      </c>
      <c r="AI304" s="174" t="s">
        <v>1380</v>
      </c>
      <c r="AJ304" s="305" t="s">
        <v>1618</v>
      </c>
      <c r="AK304" s="181" t="str">
        <f t="shared" ca="1" si="60"/>
        <v>TERMINO</v>
      </c>
      <c r="AL304" s="181" t="s">
        <v>576</v>
      </c>
      <c r="AM304" s="176" t="s">
        <v>390</v>
      </c>
      <c r="AN304" s="848" t="str">
        <f>IFERROR(VLOOKUP(E304,'liquidaciones '!$B$2:$C$1048576,2,0),"NO")</f>
        <v>DEVUELTO</v>
      </c>
      <c r="AO304" s="944" t="str">
        <f>IFERROR(VLOOKUP(E304,'liquidaciones '!$B$2:$I$1048576,8,0),"")</f>
        <v>CLAUDIA VANEGAS</v>
      </c>
      <c r="AP304" s="338"/>
      <c r="AQ304" s="177" t="str">
        <f t="shared" ca="1" si="62"/>
        <v>NO</v>
      </c>
      <c r="AR304" s="177" t="s">
        <v>1570</v>
      </c>
      <c r="AS304" s="433"/>
      <c r="AT304" s="964"/>
      <c r="AU304" s="964"/>
      <c r="AV304" s="964"/>
    </row>
    <row r="305" spans="2:48" ht="47.25" customHeight="1" x14ac:dyDescent="0.25">
      <c r="B305" s="15">
        <v>299</v>
      </c>
      <c r="C305" s="437">
        <v>171</v>
      </c>
      <c r="D305" s="437" t="str">
        <f t="shared" si="53"/>
        <v>2015171</v>
      </c>
      <c r="E305" s="351" t="s">
        <v>1856</v>
      </c>
      <c r="F305" s="864" t="s">
        <v>1857</v>
      </c>
      <c r="G305" s="866">
        <v>860025639</v>
      </c>
      <c r="H305" s="858" t="s">
        <v>1858</v>
      </c>
      <c r="I305" s="210">
        <v>14210000</v>
      </c>
      <c r="J305" s="726" t="s">
        <v>1856</v>
      </c>
      <c r="K305" s="295">
        <v>2015</v>
      </c>
      <c r="L305" s="546">
        <v>42132</v>
      </c>
      <c r="M305" s="865">
        <v>42149</v>
      </c>
      <c r="N305" s="865">
        <v>42454</v>
      </c>
      <c r="O305" s="127">
        <f>COUNTA(Modificaciones!I305,Modificaciones!K305,Modificaciones!M305,Modificaciones!O305)</f>
        <v>1</v>
      </c>
      <c r="P305" s="128">
        <f>VLOOKUP(E305,Modificaciones!$B$7:$Q$400,16,0)</f>
        <v>4626508</v>
      </c>
      <c r="Q305" s="129">
        <f>COUNTA(Modificaciones!S305,Modificaciones!U305,Modificaciones!W305,Modificaciones!Y305)</f>
        <v>0</v>
      </c>
      <c r="R305" s="130" t="str">
        <f>IF(Modificaciones!Z305=0,"",VLOOKUP(E305,Modificaciones!$B$7:$AA$400,25,0))</f>
        <v/>
      </c>
      <c r="S305" s="131" t="str">
        <f>IF(Modificaciones!AA305=0,"",VLOOKUP(E305,Modificaciones!$B$7:$AA$400,26,0))</f>
        <v/>
      </c>
      <c r="T305" s="126">
        <f t="shared" si="52"/>
        <v>42454</v>
      </c>
      <c r="U305" s="62">
        <f t="shared" si="54"/>
        <v>18836508</v>
      </c>
      <c r="V305" s="172">
        <f>VLOOKUP(E305,Modificaciones!$B$7:$AU$400,46,0)</f>
        <v>18291633</v>
      </c>
      <c r="W305" s="93">
        <f t="shared" si="55"/>
        <v>544875</v>
      </c>
      <c r="X305" s="309" t="s">
        <v>1632</v>
      </c>
      <c r="Y305" s="42">
        <f t="shared" si="56"/>
        <v>0.97107346011267059</v>
      </c>
      <c r="Z305" s="42">
        <f t="shared" ca="1" si="57"/>
        <v>1</v>
      </c>
      <c r="AA305" s="43">
        <f t="shared" ca="1" si="58"/>
        <v>2.8926539887329406E-2</v>
      </c>
      <c r="AB305" s="202" t="str">
        <f t="shared" ca="1" si="59"/>
        <v/>
      </c>
      <c r="AC305" s="44" t="str">
        <f t="shared" si="61"/>
        <v>NO</v>
      </c>
      <c r="AD305" s="760" t="str">
        <f>VLOOKUP(C305,[2]Hoja4!$A$2:$E$116,5,0)</f>
        <v>PRESTACION DE SERVICIOS</v>
      </c>
      <c r="AE305" s="173" t="s">
        <v>1256</v>
      </c>
      <c r="AF305" s="281" t="s">
        <v>1170</v>
      </c>
      <c r="AG305" s="173" t="s">
        <v>1442</v>
      </c>
      <c r="AH305" s="281" t="s">
        <v>560</v>
      </c>
      <c r="AI305" s="305"/>
      <c r="AJ305" s="305" t="s">
        <v>1618</v>
      </c>
      <c r="AK305" s="181" t="str">
        <f t="shared" ca="1" si="60"/>
        <v>TERMINO</v>
      </c>
      <c r="AL305" s="181" t="s">
        <v>582</v>
      </c>
      <c r="AM305" s="176" t="s">
        <v>390</v>
      </c>
      <c r="AN305" s="848" t="str">
        <f>IFERROR(VLOOKUP(E305,'liquidaciones '!$B$2:$C$1048576,2,0),"NO")</f>
        <v>LIQUIDADO</v>
      </c>
      <c r="AO305" s="944">
        <f>IFERROR(VLOOKUP(E305,'liquidaciones '!$B$2:$I$1048576,8,0),"")</f>
        <v>0</v>
      </c>
      <c r="AP305" s="338"/>
      <c r="AQ305" s="177" t="str">
        <f t="shared" ca="1" si="62"/>
        <v>NO</v>
      </c>
      <c r="AR305" s="177" t="s">
        <v>1510</v>
      </c>
      <c r="AS305" s="433"/>
      <c r="AT305" s="964"/>
      <c r="AU305" s="964"/>
      <c r="AV305" s="964"/>
    </row>
    <row r="306" spans="2:48" ht="47.25" customHeight="1" x14ac:dyDescent="0.25">
      <c r="B306" s="15">
        <v>300</v>
      </c>
      <c r="C306" s="437">
        <v>123</v>
      </c>
      <c r="D306" s="437" t="str">
        <f t="shared" si="53"/>
        <v>2015123</v>
      </c>
      <c r="E306" s="866" t="s">
        <v>1859</v>
      </c>
      <c r="F306" s="864" t="s">
        <v>203</v>
      </c>
      <c r="G306" s="866">
        <v>860049921</v>
      </c>
      <c r="H306" s="858" t="s">
        <v>1860</v>
      </c>
      <c r="I306" s="210">
        <v>7714000</v>
      </c>
      <c r="J306" s="700" t="s">
        <v>1745</v>
      </c>
      <c r="K306" s="295">
        <v>2015</v>
      </c>
      <c r="L306" s="546">
        <v>42132</v>
      </c>
      <c r="M306" s="865">
        <v>42144</v>
      </c>
      <c r="N306" s="865">
        <v>42236</v>
      </c>
      <c r="O306" s="127">
        <f>COUNTA(Modificaciones!I306,Modificaciones!K306,Modificaciones!M306,Modificaciones!O306)</f>
        <v>0</v>
      </c>
      <c r="P306" s="128">
        <f>VLOOKUP(E306,Modificaciones!$B$7:$Q$400,16,0)</f>
        <v>0</v>
      </c>
      <c r="Q306" s="129">
        <f>COUNTA(Modificaciones!S306,Modificaciones!U306,Modificaciones!W306,Modificaciones!Y306)</f>
        <v>0</v>
      </c>
      <c r="R306" s="130" t="str">
        <f>IF(Modificaciones!Z306=0,"",VLOOKUP(E306,Modificaciones!$B$7:$AA$400,25,0))</f>
        <v/>
      </c>
      <c r="S306" s="131" t="str">
        <f>IF(Modificaciones!AA306=0,"",VLOOKUP(E306,Modificaciones!$B$7:$AA$400,26,0))</f>
        <v/>
      </c>
      <c r="T306" s="126">
        <f t="shared" si="52"/>
        <v>42236</v>
      </c>
      <c r="U306" s="62">
        <f t="shared" si="54"/>
        <v>7714000</v>
      </c>
      <c r="V306" s="172">
        <f>VLOOKUP(E306,Modificaciones!$B$7:$AU$400,46,0)</f>
        <v>7714000</v>
      </c>
      <c r="W306" s="93">
        <f t="shared" si="55"/>
        <v>0</v>
      </c>
      <c r="X306" s="309" t="s">
        <v>1866</v>
      </c>
      <c r="Y306" s="42">
        <f t="shared" si="56"/>
        <v>1</v>
      </c>
      <c r="Z306" s="42">
        <f t="shared" ca="1" si="57"/>
        <v>1</v>
      </c>
      <c r="AA306" s="43">
        <f t="shared" ca="1" si="58"/>
        <v>0</v>
      </c>
      <c r="AB306" s="202" t="str">
        <f t="shared" ca="1" si="59"/>
        <v/>
      </c>
      <c r="AC306" s="44" t="str">
        <f t="shared" si="61"/>
        <v>SI</v>
      </c>
      <c r="AD306" s="760" t="str">
        <f>VLOOKUP(C306,[2]Hoja4!$A$2:$E$116,5,0)</f>
        <v>PRESTACION DE SERVICIOS</v>
      </c>
      <c r="AE306" s="173" t="s">
        <v>1256</v>
      </c>
      <c r="AF306" s="301" t="s">
        <v>1350</v>
      </c>
      <c r="AG306" s="173" t="s">
        <v>1431</v>
      </c>
      <c r="AH306" s="281" t="s">
        <v>563</v>
      </c>
      <c r="AI306" s="305" t="s">
        <v>2162</v>
      </c>
      <c r="AJ306" s="305" t="s">
        <v>1867</v>
      </c>
      <c r="AK306" s="181" t="str">
        <f t="shared" ca="1" si="60"/>
        <v>TERMINO</v>
      </c>
      <c r="AL306" s="181" t="s">
        <v>582</v>
      </c>
      <c r="AM306" s="176" t="s">
        <v>390</v>
      </c>
      <c r="AN306" s="848" t="str">
        <f>IFERROR(VLOOKUP(E306,'liquidaciones '!$B$2:$C$1048576,2,0),"NO")</f>
        <v>LIQUIDADO</v>
      </c>
      <c r="AO306" s="944">
        <f>IFERROR(VLOOKUP(E306,'liquidaciones '!$B$2:$I$1048576,8,0),"")</f>
        <v>0</v>
      </c>
      <c r="AP306" s="338"/>
      <c r="AQ306" s="177" t="str">
        <f t="shared" ca="1" si="62"/>
        <v>NO</v>
      </c>
      <c r="AR306" s="177" t="s">
        <v>2390</v>
      </c>
      <c r="AS306" s="433"/>
      <c r="AT306" s="964"/>
      <c r="AU306" s="964"/>
      <c r="AV306" s="964"/>
    </row>
    <row r="307" spans="2:48" ht="47.25" customHeight="1" x14ac:dyDescent="0.25">
      <c r="B307" s="15">
        <v>301</v>
      </c>
      <c r="C307" s="437">
        <v>54</v>
      </c>
      <c r="D307" s="437" t="str">
        <f t="shared" si="53"/>
        <v>201554</v>
      </c>
      <c r="E307" s="351" t="s">
        <v>1861</v>
      </c>
      <c r="F307" s="864" t="s">
        <v>1862</v>
      </c>
      <c r="G307" s="866">
        <v>830124848</v>
      </c>
      <c r="H307" s="858" t="s">
        <v>1863</v>
      </c>
      <c r="I307" s="210">
        <v>60000000</v>
      </c>
      <c r="J307" s="700" t="s">
        <v>1765</v>
      </c>
      <c r="K307" s="295">
        <v>2015</v>
      </c>
      <c r="L307" s="546">
        <v>42128</v>
      </c>
      <c r="M307" s="865">
        <v>42156</v>
      </c>
      <c r="N307" s="865">
        <v>42522</v>
      </c>
      <c r="O307" s="127">
        <f>COUNTA(Modificaciones!I307,Modificaciones!K307,Modificaciones!M307,Modificaciones!O307)</f>
        <v>1</v>
      </c>
      <c r="P307" s="128">
        <f>VLOOKUP(E307,Modificaciones!$B$7:$Q$400,16,0)</f>
        <v>8000000</v>
      </c>
      <c r="Q307" s="129">
        <f>COUNTA(Modificaciones!S307,Modificaciones!U307,Modificaciones!W307,Modificaciones!Y307)</f>
        <v>1</v>
      </c>
      <c r="R307" s="130" t="str">
        <f>IF(Modificaciones!Z307=0,"",VLOOKUP(E307,Modificaciones!$B$7:$AA$400,25,0))</f>
        <v>4 meses</v>
      </c>
      <c r="S307" s="131">
        <f>IF(Modificaciones!AA307=0,"",VLOOKUP(E307,Modificaciones!$B$7:$AA$400,26,0))</f>
        <v>42644</v>
      </c>
      <c r="T307" s="126">
        <f t="shared" si="52"/>
        <v>42644</v>
      </c>
      <c r="U307" s="62">
        <f t="shared" si="54"/>
        <v>68000000</v>
      </c>
      <c r="V307" s="172">
        <f>VLOOKUP(E307,Modificaciones!$B$7:$AU$400,46,0)</f>
        <v>67544655</v>
      </c>
      <c r="W307" s="93">
        <f t="shared" si="55"/>
        <v>455345</v>
      </c>
      <c r="X307" s="309" t="s">
        <v>1864</v>
      </c>
      <c r="Y307" s="42">
        <f t="shared" si="56"/>
        <v>0.99330375000000004</v>
      </c>
      <c r="Z307" s="42">
        <f t="shared" ca="1" si="57"/>
        <v>1</v>
      </c>
      <c r="AA307" s="43">
        <f t="shared" ca="1" si="58"/>
        <v>6.6962499999999592E-3</v>
      </c>
      <c r="AB307" s="202" t="str">
        <f t="shared" ca="1" si="59"/>
        <v/>
      </c>
      <c r="AC307" s="44" t="str">
        <f t="shared" si="61"/>
        <v>NO</v>
      </c>
      <c r="AD307" s="760" t="str">
        <f>VLOOKUP(C307,[2]Hoja4!$A$2:$E$116,5,0)</f>
        <v>PRESTACION DE SERVICIOS</v>
      </c>
      <c r="AE307" s="173" t="s">
        <v>1257</v>
      </c>
      <c r="AF307" s="301" t="s">
        <v>1166</v>
      </c>
      <c r="AG307" s="173" t="s">
        <v>1439</v>
      </c>
      <c r="AH307" s="281" t="s">
        <v>560</v>
      </c>
      <c r="AI307" s="305" t="s">
        <v>1509</v>
      </c>
      <c r="AJ307" s="305" t="s">
        <v>1618</v>
      </c>
      <c r="AK307" s="181" t="str">
        <f t="shared" ca="1" si="60"/>
        <v>TERMINO</v>
      </c>
      <c r="AL307" s="310" t="s">
        <v>575</v>
      </c>
      <c r="AM307" s="176" t="s">
        <v>390</v>
      </c>
      <c r="AN307" s="848" t="str">
        <f>IFERROR(VLOOKUP(E307,'liquidaciones '!$B$2:$C$1048576,2,0),"NO")</f>
        <v>LIQUIDADO</v>
      </c>
      <c r="AO307" s="944">
        <f>IFERROR(VLOOKUP(E307,'liquidaciones '!$B$2:$I$1048576,8,0),"")</f>
        <v>0</v>
      </c>
      <c r="AP307" s="338"/>
      <c r="AQ307" s="177" t="str">
        <f t="shared" ca="1" si="62"/>
        <v>NO</v>
      </c>
      <c r="AR307" s="177" t="s">
        <v>2605</v>
      </c>
      <c r="AS307" s="433"/>
      <c r="AT307" s="964"/>
      <c r="AU307" s="964"/>
      <c r="AV307" s="964"/>
    </row>
    <row r="308" spans="2:48" ht="47.25" customHeight="1" x14ac:dyDescent="0.25">
      <c r="B308" s="15">
        <v>302</v>
      </c>
      <c r="C308" s="437">
        <v>149</v>
      </c>
      <c r="D308" s="437" t="str">
        <f t="shared" si="53"/>
        <v>2015149</v>
      </c>
      <c r="E308" s="351" t="s">
        <v>1869</v>
      </c>
      <c r="F308" s="864" t="s">
        <v>1870</v>
      </c>
      <c r="G308" s="866">
        <v>900587953</v>
      </c>
      <c r="H308" s="858" t="s">
        <v>1871</v>
      </c>
      <c r="I308" s="210">
        <v>2000000</v>
      </c>
      <c r="J308" s="700" t="s">
        <v>1750</v>
      </c>
      <c r="K308" s="295">
        <v>2015</v>
      </c>
      <c r="L308" s="546">
        <v>42135</v>
      </c>
      <c r="M308" s="865">
        <v>42150</v>
      </c>
      <c r="N308" s="865">
        <v>42455</v>
      </c>
      <c r="O308" s="127">
        <f>COUNTA(Modificaciones!I308,Modificaciones!K308,Modificaciones!M308,Modificaciones!O308)</f>
        <v>0</v>
      </c>
      <c r="P308" s="128">
        <f>VLOOKUP(E308,Modificaciones!$B$7:$Q$400,16,0)</f>
        <v>0</v>
      </c>
      <c r="Q308" s="129">
        <f>COUNTA(Modificaciones!S308,Modificaciones!U308,Modificaciones!W308,Modificaciones!Y308)</f>
        <v>0</v>
      </c>
      <c r="R308" s="130" t="str">
        <f>IF(Modificaciones!Z308=0,"",VLOOKUP(E308,Modificaciones!$B$7:$AA$400,25,0))</f>
        <v/>
      </c>
      <c r="S308" s="131" t="str">
        <f>IF(Modificaciones!AA308=0,"",VLOOKUP(E308,Modificaciones!$B$7:$AA$400,26,0))</f>
        <v/>
      </c>
      <c r="T308" s="126">
        <f t="shared" si="52"/>
        <v>42455</v>
      </c>
      <c r="U308" s="62">
        <f t="shared" si="54"/>
        <v>2000000</v>
      </c>
      <c r="V308" s="172">
        <f>VLOOKUP(E308,Modificaciones!$B$7:$AU$400,46,0)</f>
        <v>824760</v>
      </c>
      <c r="W308" s="93">
        <f t="shared" si="55"/>
        <v>1175240</v>
      </c>
      <c r="X308" s="309" t="s">
        <v>1613</v>
      </c>
      <c r="Y308" s="42">
        <f t="shared" si="56"/>
        <v>0.41238000000000002</v>
      </c>
      <c r="Z308" s="42">
        <f t="shared" ca="1" si="57"/>
        <v>1</v>
      </c>
      <c r="AA308" s="43">
        <f t="shared" ca="1" si="58"/>
        <v>0.58762000000000003</v>
      </c>
      <c r="AB308" s="202" t="str">
        <f t="shared" ca="1" si="59"/>
        <v/>
      </c>
      <c r="AC308" s="44" t="str">
        <f t="shared" si="61"/>
        <v>NO</v>
      </c>
      <c r="AD308" s="760" t="str">
        <f>VLOOKUP(C308,[2]Hoja4!$A$2:$E$116,5,0)</f>
        <v>PRESTACION DE SERVICIOS</v>
      </c>
      <c r="AE308" s="173" t="s">
        <v>1256</v>
      </c>
      <c r="AF308" s="281" t="s">
        <v>1383</v>
      </c>
      <c r="AG308" s="173" t="s">
        <v>1442</v>
      </c>
      <c r="AH308" s="281" t="s">
        <v>560</v>
      </c>
      <c r="AI308" s="174" t="s">
        <v>1380</v>
      </c>
      <c r="AJ308" s="305" t="s">
        <v>1867</v>
      </c>
      <c r="AK308" s="181" t="str">
        <f t="shared" ca="1" si="60"/>
        <v>TERMINO</v>
      </c>
      <c r="AL308" s="181" t="s">
        <v>576</v>
      </c>
      <c r="AM308" s="176" t="s">
        <v>390</v>
      </c>
      <c r="AN308" s="848" t="str">
        <f>IFERROR(VLOOKUP(E308,'liquidaciones '!$B$2:$C$1048576,2,0),"NO")</f>
        <v>LIQUIDADO</v>
      </c>
      <c r="AO308" s="944" t="str">
        <f>IFERROR(VLOOKUP(E308,'liquidaciones '!$B$2:$I$1048576,8,0),"")</f>
        <v>GIOVANNI SUAREZ</v>
      </c>
      <c r="AP308" s="338"/>
      <c r="AQ308" s="177" t="str">
        <f t="shared" ca="1" si="62"/>
        <v>NO</v>
      </c>
      <c r="AR308" s="177" t="s">
        <v>2390</v>
      </c>
      <c r="AS308" s="433"/>
      <c r="AT308" s="964"/>
      <c r="AU308" s="964"/>
      <c r="AV308" s="964"/>
    </row>
    <row r="309" spans="2:48" ht="62.25" customHeight="1" x14ac:dyDescent="0.25">
      <c r="B309" s="15">
        <v>303</v>
      </c>
      <c r="C309" s="437">
        <v>174</v>
      </c>
      <c r="D309" s="437" t="str">
        <f t="shared" si="53"/>
        <v>2015174</v>
      </c>
      <c r="E309" s="351" t="s">
        <v>1875</v>
      </c>
      <c r="F309" s="864" t="s">
        <v>1876</v>
      </c>
      <c r="G309" s="866">
        <v>830101476</v>
      </c>
      <c r="H309" s="858" t="s">
        <v>1877</v>
      </c>
      <c r="I309" s="210">
        <v>566000000</v>
      </c>
      <c r="J309" s="700" t="s">
        <v>1766</v>
      </c>
      <c r="K309" s="295">
        <v>2015</v>
      </c>
      <c r="L309" s="546">
        <v>42136</v>
      </c>
      <c r="M309" s="865">
        <v>42141</v>
      </c>
      <c r="N309" s="865">
        <v>42507</v>
      </c>
      <c r="O309" s="127">
        <f>COUNTA(Modificaciones!I309,Modificaciones!K309,Modificaciones!M309,Modificaciones!O309)</f>
        <v>0</v>
      </c>
      <c r="P309" s="128">
        <f>VLOOKUP(E309,Modificaciones!$B$7:$Q$400,16,0)</f>
        <v>0</v>
      </c>
      <c r="Q309" s="129">
        <f>COUNTA(Modificaciones!S309,Modificaciones!U309,Modificaciones!W309,Modificaciones!Y309)</f>
        <v>0</v>
      </c>
      <c r="R309" s="130" t="str">
        <f>IF(Modificaciones!Z309=0,"",VLOOKUP(E309,Modificaciones!$B$7:$AA$400,25,0))</f>
        <v>2 meses y 14 días calendario</v>
      </c>
      <c r="S309" s="131">
        <f>IF(Modificaciones!AA309=0,"",VLOOKUP(E309,Modificaciones!$B$7:$AA$400,26,0))</f>
        <v>42582</v>
      </c>
      <c r="T309" s="126">
        <f t="shared" si="52"/>
        <v>42582</v>
      </c>
      <c r="U309" s="62">
        <f t="shared" si="54"/>
        <v>566000000</v>
      </c>
      <c r="V309" s="172">
        <f>VLOOKUP(E309,Modificaciones!$B$7:$AU$400,46,0)</f>
        <v>549713874</v>
      </c>
      <c r="W309" s="93">
        <f t="shared" si="55"/>
        <v>16286126</v>
      </c>
      <c r="X309" s="309" t="s">
        <v>1878</v>
      </c>
      <c r="Y309" s="42">
        <f t="shared" si="56"/>
        <v>0.97122592579505296</v>
      </c>
      <c r="Z309" s="42">
        <f t="shared" ca="1" si="57"/>
        <v>1</v>
      </c>
      <c r="AA309" s="43">
        <f t="shared" ca="1" si="58"/>
        <v>2.8774074204947042E-2</v>
      </c>
      <c r="AB309" s="202" t="str">
        <f t="shared" ca="1" si="59"/>
        <v/>
      </c>
      <c r="AC309" s="44" t="str">
        <f t="shared" si="61"/>
        <v>NO</v>
      </c>
      <c r="AD309" s="760" t="str">
        <f>VLOOKUP(C309,[2]Hoja4!$A$2:$E$116,5,0)</f>
        <v>PRESTACION DE SERVICIOS</v>
      </c>
      <c r="AE309" s="173" t="s">
        <v>1256</v>
      </c>
      <c r="AF309" s="281" t="s">
        <v>1127</v>
      </c>
      <c r="AG309" s="173"/>
      <c r="AH309" s="281" t="s">
        <v>560</v>
      </c>
      <c r="AI309" s="305"/>
      <c r="AJ309" s="305" t="s">
        <v>1867</v>
      </c>
      <c r="AK309" s="181" t="str">
        <f t="shared" ca="1" si="60"/>
        <v>TERMINO</v>
      </c>
      <c r="AL309" s="310" t="s">
        <v>575</v>
      </c>
      <c r="AM309" s="176" t="s">
        <v>390</v>
      </c>
      <c r="AN309" s="848" t="str">
        <f>IFERROR(VLOOKUP(E309,'liquidaciones '!$B$2:$C$1048576,2,0),"NO")</f>
        <v>LIQUIDADO</v>
      </c>
      <c r="AO309" s="944" t="str">
        <f>IFERROR(VLOOKUP(E309,'liquidaciones '!$B$2:$I$1048576,8,0),"")</f>
        <v>JULIETH ANGARITA</v>
      </c>
      <c r="AP309" s="338"/>
      <c r="AQ309" s="177" t="str">
        <f t="shared" ca="1" si="62"/>
        <v>NO</v>
      </c>
      <c r="AR309" s="177" t="s">
        <v>981</v>
      </c>
      <c r="AS309" s="433"/>
      <c r="AT309" s="964"/>
      <c r="AU309" s="964"/>
      <c r="AV309" s="964"/>
    </row>
    <row r="310" spans="2:48" ht="47.25" customHeight="1" x14ac:dyDescent="0.25">
      <c r="B310" s="15">
        <v>304</v>
      </c>
      <c r="C310" s="437">
        <v>274</v>
      </c>
      <c r="D310" s="437" t="str">
        <f t="shared" si="53"/>
        <v>2015274</v>
      </c>
      <c r="E310" s="866" t="s">
        <v>1880</v>
      </c>
      <c r="F310" s="864" t="s">
        <v>1881</v>
      </c>
      <c r="G310" s="866">
        <v>1085916707</v>
      </c>
      <c r="H310" s="858" t="s">
        <v>1882</v>
      </c>
      <c r="I310" s="210">
        <v>18000000</v>
      </c>
      <c r="J310" s="726" t="s">
        <v>1880</v>
      </c>
      <c r="K310" s="295">
        <v>2015</v>
      </c>
      <c r="L310" s="546">
        <v>42130</v>
      </c>
      <c r="M310" s="865">
        <v>42137</v>
      </c>
      <c r="N310" s="865">
        <v>42413</v>
      </c>
      <c r="O310" s="127">
        <f>COUNTA(Modificaciones!I310,Modificaciones!K310,Modificaciones!M310,Modificaciones!O310)</f>
        <v>0</v>
      </c>
      <c r="P310" s="128">
        <f>VLOOKUP(E310,Modificaciones!$B$7:$Q$400,16,0)</f>
        <v>0</v>
      </c>
      <c r="Q310" s="129">
        <f>COUNTA(Modificaciones!S310,Modificaciones!U310,Modificaciones!W310,Modificaciones!Y310)</f>
        <v>0</v>
      </c>
      <c r="R310" s="130" t="str">
        <f>IF(Modificaciones!Z310=0,"",VLOOKUP(E310,Modificaciones!$B$7:$AA$400,25,0))</f>
        <v/>
      </c>
      <c r="S310" s="131" t="str">
        <f>IF(Modificaciones!AA310=0,"",VLOOKUP(E310,Modificaciones!$B$7:$AA$400,26,0))</f>
        <v/>
      </c>
      <c r="T310" s="126">
        <f t="shared" si="52"/>
        <v>42413</v>
      </c>
      <c r="U310" s="62">
        <f t="shared" si="54"/>
        <v>18000000</v>
      </c>
      <c r="V310" s="172">
        <f>VLOOKUP(E310,Modificaciones!$B$7:$AU$400,46,0)</f>
        <v>18000000</v>
      </c>
      <c r="W310" s="93">
        <f t="shared" si="55"/>
        <v>0</v>
      </c>
      <c r="X310" s="309" t="s">
        <v>1095</v>
      </c>
      <c r="Y310" s="42">
        <f t="shared" si="56"/>
        <v>1</v>
      </c>
      <c r="Z310" s="42">
        <f t="shared" ca="1" si="57"/>
        <v>1</v>
      </c>
      <c r="AA310" s="43">
        <f t="shared" ca="1" si="58"/>
        <v>0</v>
      </c>
      <c r="AB310" s="202" t="str">
        <f t="shared" ca="1" si="59"/>
        <v/>
      </c>
      <c r="AC310" s="44" t="str">
        <f t="shared" si="61"/>
        <v>SI</v>
      </c>
      <c r="AD310" s="760" t="str">
        <f>VLOOKUP(C310,[2]Hoja4!$A$2:$E$116,5,0)</f>
        <v>PRESTACION DE SERVICIOS</v>
      </c>
      <c r="AE310" s="173" t="s">
        <v>1256</v>
      </c>
      <c r="AF310" s="173" t="s">
        <v>1969</v>
      </c>
      <c r="AG310" s="173" t="s">
        <v>1437</v>
      </c>
      <c r="AH310" s="281" t="s">
        <v>561</v>
      </c>
      <c r="AI310" s="305"/>
      <c r="AJ310" s="305" t="s">
        <v>1867</v>
      </c>
      <c r="AK310" s="181" t="str">
        <f t="shared" ca="1" si="60"/>
        <v>TERMINO</v>
      </c>
      <c r="AL310" s="310" t="s">
        <v>582</v>
      </c>
      <c r="AM310" s="176" t="s">
        <v>391</v>
      </c>
      <c r="AN310" s="848" t="str">
        <f>IFERROR(VLOOKUP(E310,'liquidaciones '!$B$2:$C$1048576,2,0),"NO")</f>
        <v>LIQUIDADO</v>
      </c>
      <c r="AO310" s="944">
        <f>IFERROR(VLOOKUP(E310,'liquidaciones '!$B$2:$I$1048576,8,0),"")</f>
        <v>0</v>
      </c>
      <c r="AP310" s="338"/>
      <c r="AQ310" s="177" t="str">
        <f t="shared" ca="1" si="62"/>
        <v>NO</v>
      </c>
      <c r="AR310" s="177" t="s">
        <v>1510</v>
      </c>
      <c r="AS310" s="433"/>
      <c r="AT310" s="964"/>
      <c r="AU310" s="964"/>
      <c r="AV310" s="964"/>
    </row>
    <row r="311" spans="2:48" ht="47.25" customHeight="1" x14ac:dyDescent="0.25">
      <c r="B311" s="15">
        <v>305</v>
      </c>
      <c r="C311" s="437">
        <v>161</v>
      </c>
      <c r="D311" s="437" t="str">
        <f t="shared" si="53"/>
        <v>2015161</v>
      </c>
      <c r="E311" s="866" t="s">
        <v>1888</v>
      </c>
      <c r="F311" s="864" t="s">
        <v>1111</v>
      </c>
      <c r="G311" s="20">
        <v>830005370</v>
      </c>
      <c r="H311" s="858" t="s">
        <v>1889</v>
      </c>
      <c r="I311" s="210">
        <v>1291938453</v>
      </c>
      <c r="J311" s="726" t="s">
        <v>1888</v>
      </c>
      <c r="K311" s="295">
        <v>2015</v>
      </c>
      <c r="L311" s="546">
        <v>42135</v>
      </c>
      <c r="M311" s="865">
        <v>42139</v>
      </c>
      <c r="N311" s="865">
        <v>42421</v>
      </c>
      <c r="O311" s="127">
        <f>COUNTA(Modificaciones!I311,Modificaciones!K311,Modificaciones!M311,Modificaciones!O311)</f>
        <v>1</v>
      </c>
      <c r="P311" s="128">
        <f>VLOOKUP(E311,Modificaciones!$B$7:$Q$400,16,0)</f>
        <v>141414324</v>
      </c>
      <c r="Q311" s="129">
        <f>COUNTA(Modificaciones!S311,Modificaciones!U311,Modificaciones!W311,Modificaciones!Y311)</f>
        <v>1</v>
      </c>
      <c r="R311" s="130" t="str">
        <f>IF(Modificaciones!Z311=0,"",VLOOKUP(E311,Modificaciones!$B$7:$AA$400,25,0))</f>
        <v>2 meses</v>
      </c>
      <c r="S311" s="131">
        <f>IF(Modificaciones!AA311=0,"",VLOOKUP(E311,Modificaciones!$B$7:$AA$400,26,0))</f>
        <v>42450</v>
      </c>
      <c r="T311" s="126">
        <f t="shared" si="52"/>
        <v>42450</v>
      </c>
      <c r="U311" s="62">
        <f t="shared" si="54"/>
        <v>1433352777</v>
      </c>
      <c r="V311" s="172">
        <f>VLOOKUP(E311,Modificaciones!$B$7:$AU$400,46,0)</f>
        <v>1433352777</v>
      </c>
      <c r="W311" s="93">
        <f t="shared" si="55"/>
        <v>0</v>
      </c>
      <c r="X311" s="309" t="s">
        <v>1890</v>
      </c>
      <c r="Y311" s="42">
        <f t="shared" si="56"/>
        <v>1</v>
      </c>
      <c r="Z311" s="42">
        <f t="shared" ca="1" si="57"/>
        <v>1</v>
      </c>
      <c r="AA311" s="43">
        <f t="shared" ca="1" si="58"/>
        <v>0</v>
      </c>
      <c r="AB311" s="202" t="str">
        <f t="shared" ca="1" si="59"/>
        <v/>
      </c>
      <c r="AC311" s="44" t="str">
        <f t="shared" si="61"/>
        <v>SI</v>
      </c>
      <c r="AD311" s="760" t="str">
        <f>VLOOKUP(C311,[2]Hoja4!$A$2:$E$116,5,0)</f>
        <v>CONTRATO INTERADMINISTRATIVO</v>
      </c>
      <c r="AE311" s="173" t="s">
        <v>1256</v>
      </c>
      <c r="AF311" s="173" t="s">
        <v>1292</v>
      </c>
      <c r="AG311" s="173" t="s">
        <v>1430</v>
      </c>
      <c r="AH311" s="281" t="s">
        <v>564</v>
      </c>
      <c r="AI311" s="305"/>
      <c r="AJ311" s="305" t="s">
        <v>1867</v>
      </c>
      <c r="AK311" s="181" t="str">
        <f t="shared" ca="1" si="60"/>
        <v>TERMINO</v>
      </c>
      <c r="AL311" s="310" t="s">
        <v>582</v>
      </c>
      <c r="AM311" s="176" t="s">
        <v>390</v>
      </c>
      <c r="AN311" s="848" t="str">
        <f>IFERROR(VLOOKUP(E311,'liquidaciones '!$B$2:$C$1048576,2,0),"NO")</f>
        <v>LIQUIDADO</v>
      </c>
      <c r="AO311" s="944" t="str">
        <f>IFERROR(VLOOKUP(E311,'liquidaciones '!$B$2:$I$1048576,8,0),"")</f>
        <v>DORA PINILLA</v>
      </c>
      <c r="AP311" s="338"/>
      <c r="AQ311" s="177" t="str">
        <f t="shared" ca="1" si="62"/>
        <v>NO</v>
      </c>
      <c r="AR311" s="177" t="s">
        <v>981</v>
      </c>
      <c r="AS311" s="433"/>
      <c r="AT311" s="964"/>
      <c r="AU311" s="964"/>
      <c r="AV311" s="964"/>
    </row>
    <row r="312" spans="2:48" ht="47.25" customHeight="1" x14ac:dyDescent="0.25">
      <c r="B312" s="15">
        <v>306</v>
      </c>
      <c r="C312" s="437">
        <v>142</v>
      </c>
      <c r="D312" s="437" t="str">
        <f t="shared" si="53"/>
        <v>2015142</v>
      </c>
      <c r="E312" s="866" t="s">
        <v>1892</v>
      </c>
      <c r="F312" s="864" t="s">
        <v>1893</v>
      </c>
      <c r="G312" s="866">
        <v>830067096</v>
      </c>
      <c r="H312" s="858" t="s">
        <v>1894</v>
      </c>
      <c r="I312" s="210">
        <v>7800000</v>
      </c>
      <c r="J312" s="726" t="s">
        <v>1892</v>
      </c>
      <c r="K312" s="295">
        <v>2015</v>
      </c>
      <c r="L312" s="546">
        <v>42139</v>
      </c>
      <c r="M312" s="865">
        <v>42145</v>
      </c>
      <c r="N312" s="865">
        <v>42511</v>
      </c>
      <c r="O312" s="127">
        <f>COUNTA(Modificaciones!I312,Modificaciones!K312,Modificaciones!M312,Modificaciones!O312)</f>
        <v>0</v>
      </c>
      <c r="P312" s="128">
        <f>VLOOKUP(E312,Modificaciones!$B$7:$Q$400,16,0)</f>
        <v>0</v>
      </c>
      <c r="Q312" s="129">
        <f>COUNTA(Modificaciones!S312,Modificaciones!U312,Modificaciones!W312,Modificaciones!Y312)</f>
        <v>0</v>
      </c>
      <c r="R312" s="130" t="str">
        <f>IF(Modificaciones!Z312=0,"",VLOOKUP(E312,Modificaciones!$B$7:$AA$400,25,0))</f>
        <v/>
      </c>
      <c r="S312" s="131" t="str">
        <f>IF(Modificaciones!AA312=0,"",VLOOKUP(E312,Modificaciones!$B$7:$AA$400,26,0))</f>
        <v/>
      </c>
      <c r="T312" s="126">
        <f t="shared" si="52"/>
        <v>42511</v>
      </c>
      <c r="U312" s="62">
        <f t="shared" si="54"/>
        <v>7800000</v>
      </c>
      <c r="V312" s="172">
        <f>VLOOKUP(E312,Modificaciones!$B$7:$AU$400,46,0)</f>
        <v>7800000</v>
      </c>
      <c r="W312" s="93">
        <f t="shared" si="55"/>
        <v>0</v>
      </c>
      <c r="X312" s="309" t="s">
        <v>1895</v>
      </c>
      <c r="Y312" s="42">
        <f t="shared" si="56"/>
        <v>1</v>
      </c>
      <c r="Z312" s="42">
        <f t="shared" ca="1" si="57"/>
        <v>1</v>
      </c>
      <c r="AA312" s="43">
        <f t="shared" ca="1" si="58"/>
        <v>0</v>
      </c>
      <c r="AB312" s="202" t="str">
        <f t="shared" ca="1" si="59"/>
        <v/>
      </c>
      <c r="AC312" s="44" t="str">
        <f t="shared" si="61"/>
        <v>SI</v>
      </c>
      <c r="AD312" s="760" t="str">
        <f>VLOOKUP(C312,[2]Hoja4!$A$2:$E$116,5,0)</f>
        <v>SUSCRIPCION</v>
      </c>
      <c r="AE312" s="173"/>
      <c r="AF312" s="301" t="s">
        <v>1125</v>
      </c>
      <c r="AG312" s="173" t="s">
        <v>1430</v>
      </c>
      <c r="AH312" s="281" t="s">
        <v>564</v>
      </c>
      <c r="AI312" s="305"/>
      <c r="AJ312" s="305" t="s">
        <v>1867</v>
      </c>
      <c r="AK312" s="181" t="str">
        <f t="shared" ca="1" si="60"/>
        <v>TERMINO</v>
      </c>
      <c r="AL312" s="310" t="s">
        <v>582</v>
      </c>
      <c r="AM312" s="176" t="s">
        <v>390</v>
      </c>
      <c r="AN312" s="848" t="str">
        <f>IFERROR(VLOOKUP(E312,'liquidaciones '!$B$2:$C$1048576,2,0),"NO")</f>
        <v>LIQUIDADO</v>
      </c>
      <c r="AO312" s="944">
        <f>IFERROR(VLOOKUP(E312,'liquidaciones '!$B$2:$I$1048576,8,0),"")</f>
        <v>0</v>
      </c>
      <c r="AP312" s="338"/>
      <c r="AQ312" s="177" t="str">
        <f t="shared" ca="1" si="62"/>
        <v>NO</v>
      </c>
      <c r="AR312" s="177" t="s">
        <v>1510</v>
      </c>
      <c r="AS312" s="433"/>
      <c r="AT312" s="964"/>
      <c r="AU312" s="964"/>
      <c r="AV312" s="964"/>
    </row>
    <row r="313" spans="2:48" ht="47.25" customHeight="1" x14ac:dyDescent="0.25">
      <c r="B313" s="15">
        <v>307</v>
      </c>
      <c r="C313" s="437">
        <v>154</v>
      </c>
      <c r="D313" s="437" t="str">
        <f t="shared" si="53"/>
        <v>2015154</v>
      </c>
      <c r="E313" s="351" t="s">
        <v>1905</v>
      </c>
      <c r="F313" s="864" t="s">
        <v>1906</v>
      </c>
      <c r="G313" s="866" t="s">
        <v>1908</v>
      </c>
      <c r="H313" s="858" t="s">
        <v>1907</v>
      </c>
      <c r="I313" s="210">
        <v>28000000</v>
      </c>
      <c r="J313" s="726" t="s">
        <v>1905</v>
      </c>
      <c r="K313" s="295">
        <v>2015</v>
      </c>
      <c r="L313" s="546">
        <v>42144</v>
      </c>
      <c r="M313" s="865">
        <v>42180</v>
      </c>
      <c r="N313" s="865">
        <v>42546</v>
      </c>
      <c r="O313" s="127">
        <f>COUNTA(Modificaciones!I313,Modificaciones!K313,Modificaciones!M313,Modificaciones!O313)</f>
        <v>0</v>
      </c>
      <c r="P313" s="128">
        <f>VLOOKUP(E313,Modificaciones!$B$7:$Q$400,16,0)</f>
        <v>0</v>
      </c>
      <c r="Q313" s="129">
        <f>COUNTA(Modificaciones!S313,Modificaciones!U313,Modificaciones!W313,Modificaciones!Y313)</f>
        <v>0</v>
      </c>
      <c r="R313" s="130" t="str">
        <f>IF(Modificaciones!Z313=0,"",VLOOKUP(E313,Modificaciones!$B$7:$AA$400,25,0))</f>
        <v/>
      </c>
      <c r="S313" s="131" t="str">
        <f>IF(Modificaciones!AA313=0,"",VLOOKUP(E313,Modificaciones!$B$7:$AA$400,26,0))</f>
        <v/>
      </c>
      <c r="T313" s="126">
        <f t="shared" si="52"/>
        <v>42546</v>
      </c>
      <c r="U313" s="62">
        <f t="shared" si="54"/>
        <v>28000000</v>
      </c>
      <c r="V313" s="172">
        <f>VLOOKUP(E313,Modificaciones!$B$7:$AU$400,46,0)</f>
        <v>26596777</v>
      </c>
      <c r="W313" s="93">
        <f t="shared" si="55"/>
        <v>1403223</v>
      </c>
      <c r="X313" s="309" t="s">
        <v>1909</v>
      </c>
      <c r="Y313" s="42">
        <f t="shared" si="56"/>
        <v>0.94988489285714284</v>
      </c>
      <c r="Z313" s="42">
        <f t="shared" ca="1" si="57"/>
        <v>1</v>
      </c>
      <c r="AA313" s="43">
        <f t="shared" ca="1" si="58"/>
        <v>5.0115107142857163E-2</v>
      </c>
      <c r="AB313" s="202" t="str">
        <f t="shared" ca="1" si="59"/>
        <v/>
      </c>
      <c r="AC313" s="44" t="str">
        <f t="shared" si="61"/>
        <v>NO</v>
      </c>
      <c r="AD313" s="760" t="str">
        <f>VLOOKUP(C313,[2]Hoja4!$A$2:$E$116,5,0)</f>
        <v>PRESTACION DE SERVICIOS</v>
      </c>
      <c r="AE313" s="173" t="s">
        <v>1256</v>
      </c>
      <c r="AF313" s="173" t="s">
        <v>1126</v>
      </c>
      <c r="AG313" s="173" t="s">
        <v>1442</v>
      </c>
      <c r="AH313" s="281" t="s">
        <v>560</v>
      </c>
      <c r="AI313" s="174" t="s">
        <v>1319</v>
      </c>
      <c r="AJ313" s="305" t="s">
        <v>1867</v>
      </c>
      <c r="AK313" s="181" t="str">
        <f t="shared" ca="1" si="60"/>
        <v>TERMINO</v>
      </c>
      <c r="AL313" s="310" t="s">
        <v>582</v>
      </c>
      <c r="AM313" s="176" t="s">
        <v>390</v>
      </c>
      <c r="AN313" s="848" t="str">
        <f>IFERROR(VLOOKUP(E313,'liquidaciones '!$B$2:$C$1048576,2,0),"NO")</f>
        <v>LIQUIDADO</v>
      </c>
      <c r="AO313" s="944" t="str">
        <f>IFERROR(VLOOKUP(E313,'liquidaciones '!$B$2:$I$1048576,8,0),"")</f>
        <v>GIOVANNI SUAREZ</v>
      </c>
      <c r="AP313" s="338"/>
      <c r="AQ313" s="177" t="str">
        <f t="shared" ca="1" si="62"/>
        <v>NO</v>
      </c>
      <c r="AR313" s="177" t="s">
        <v>1570</v>
      </c>
      <c r="AS313" s="433"/>
      <c r="AT313" s="964"/>
      <c r="AU313" s="964"/>
      <c r="AV313" s="964"/>
    </row>
    <row r="314" spans="2:48" ht="47.25" customHeight="1" x14ac:dyDescent="0.25">
      <c r="B314" s="15">
        <v>308</v>
      </c>
      <c r="C314" s="437">
        <v>75</v>
      </c>
      <c r="D314" s="437" t="str">
        <f t="shared" si="53"/>
        <v>201575</v>
      </c>
      <c r="E314" s="866" t="s">
        <v>1949</v>
      </c>
      <c r="F314" s="864" t="s">
        <v>1950</v>
      </c>
      <c r="G314" s="866" t="s">
        <v>1951</v>
      </c>
      <c r="H314" s="858" t="s">
        <v>1778</v>
      </c>
      <c r="I314" s="210">
        <v>8086410</v>
      </c>
      <c r="J314" s="703" t="s">
        <v>1879</v>
      </c>
      <c r="K314" s="295">
        <v>2015</v>
      </c>
      <c r="L314" s="546">
        <v>42152</v>
      </c>
      <c r="M314" s="865">
        <v>42165</v>
      </c>
      <c r="N314" s="865">
        <v>42226</v>
      </c>
      <c r="O314" s="127">
        <f>COUNTA(Modificaciones!I314,Modificaciones!K314,Modificaciones!M314,Modificaciones!O314)</f>
        <v>0</v>
      </c>
      <c r="P314" s="128">
        <f>VLOOKUP(E314,Modificaciones!$B$7:$Q$400,16,0)</f>
        <v>0</v>
      </c>
      <c r="Q314" s="129">
        <f>COUNTA(Modificaciones!S314,Modificaciones!U314,Modificaciones!W314,Modificaciones!Y314)</f>
        <v>0</v>
      </c>
      <c r="R314" s="130" t="str">
        <f>IF(Modificaciones!Z314=0,"",VLOOKUP(E314,Modificaciones!$B$7:$AA$400,25,0))</f>
        <v/>
      </c>
      <c r="S314" s="131" t="str">
        <f>IF(Modificaciones!AA314=0,"",VLOOKUP(E314,Modificaciones!$B$7:$AA$400,26,0))</f>
        <v/>
      </c>
      <c r="T314" s="126">
        <f t="shared" si="52"/>
        <v>42226</v>
      </c>
      <c r="U314" s="62">
        <f t="shared" si="54"/>
        <v>8086410</v>
      </c>
      <c r="V314" s="172">
        <f>VLOOKUP(E314,Modificaciones!$B$7:$AU$400,46,0)</f>
        <v>8086406</v>
      </c>
      <c r="W314" s="93">
        <f t="shared" si="55"/>
        <v>4</v>
      </c>
      <c r="X314" s="309" t="s">
        <v>1895</v>
      </c>
      <c r="Y314" s="42">
        <f t="shared" si="56"/>
        <v>0.99999950534291482</v>
      </c>
      <c r="Z314" s="42">
        <f t="shared" ca="1" si="57"/>
        <v>1</v>
      </c>
      <c r="AA314" s="43">
        <f t="shared" ca="1" si="58"/>
        <v>4.9465708518159346E-7</v>
      </c>
      <c r="AB314" s="202" t="str">
        <f t="shared" ca="1" si="59"/>
        <v/>
      </c>
      <c r="AC314" s="44" t="str">
        <f t="shared" si="61"/>
        <v>SI</v>
      </c>
      <c r="AD314" s="760" t="str">
        <f>VLOOKUP(C314,[2]Hoja4!$A$2:$E$116,5,0)</f>
        <v>COMPRAVENTA</v>
      </c>
      <c r="AE314" s="173" t="s">
        <v>1257</v>
      </c>
      <c r="AF314" s="281" t="s">
        <v>1952</v>
      </c>
      <c r="AG314" s="173" t="s">
        <v>1439</v>
      </c>
      <c r="AH314" s="281" t="s">
        <v>560</v>
      </c>
      <c r="AI314" s="305" t="s">
        <v>1509</v>
      </c>
      <c r="AJ314" s="305" t="s">
        <v>1867</v>
      </c>
      <c r="AK314" s="181" t="str">
        <f t="shared" ca="1" si="60"/>
        <v>TERMINO</v>
      </c>
      <c r="AL314" s="310" t="s">
        <v>576</v>
      </c>
      <c r="AM314" s="176" t="s">
        <v>391</v>
      </c>
      <c r="AN314" s="848" t="str">
        <f>IFERROR(VLOOKUP(E314,'liquidaciones '!$B$2:$C$1048576,2,0),"NO")</f>
        <v>EN TRÁMITE</v>
      </c>
      <c r="AO314" s="944">
        <f>IFERROR(VLOOKUP(E314,'liquidaciones '!$B$2:$I$1048576,8,0),"")</f>
        <v>0</v>
      </c>
      <c r="AP314" s="338"/>
      <c r="AQ314" s="177" t="str">
        <f t="shared" ca="1" si="62"/>
        <v>NO</v>
      </c>
      <c r="AR314" s="177" t="s">
        <v>1992</v>
      </c>
      <c r="AS314" s="433"/>
      <c r="AT314" s="964"/>
      <c r="AU314" s="964"/>
      <c r="AV314" s="964"/>
    </row>
    <row r="315" spans="2:48" ht="47.25" customHeight="1" x14ac:dyDescent="0.25">
      <c r="B315" s="15">
        <v>309</v>
      </c>
      <c r="C315" s="437">
        <v>166</v>
      </c>
      <c r="D315" s="437" t="str">
        <f t="shared" si="53"/>
        <v>2015166</v>
      </c>
      <c r="E315" s="866" t="s">
        <v>1954</v>
      </c>
      <c r="F315" s="864" t="s">
        <v>1955</v>
      </c>
      <c r="G315" s="866" t="s">
        <v>1956</v>
      </c>
      <c r="H315" s="858" t="s">
        <v>1957</v>
      </c>
      <c r="I315" s="210">
        <v>5000000</v>
      </c>
      <c r="J315" s="702" t="s">
        <v>1843</v>
      </c>
      <c r="K315" s="295">
        <v>2015</v>
      </c>
      <c r="L315" s="546">
        <v>42149</v>
      </c>
      <c r="M315" s="865">
        <v>42160</v>
      </c>
      <c r="N315" s="865">
        <v>42252</v>
      </c>
      <c r="O315" s="127">
        <f>COUNTA(Modificaciones!I315,Modificaciones!K315,Modificaciones!M315,Modificaciones!O315)</f>
        <v>0</v>
      </c>
      <c r="P315" s="128">
        <f>VLOOKUP(E315,Modificaciones!$B$7:$Q$400,16,0)</f>
        <v>0</v>
      </c>
      <c r="Q315" s="129">
        <f>COUNTA(Modificaciones!S315,Modificaciones!U315,Modificaciones!W315,Modificaciones!Y315)</f>
        <v>0</v>
      </c>
      <c r="R315" s="130" t="str">
        <f>IF(Modificaciones!Z315=0,"",VLOOKUP(E315,Modificaciones!$B$7:$AA$400,25,0))</f>
        <v/>
      </c>
      <c r="S315" s="131" t="str">
        <f>IF(Modificaciones!AA315=0,"",VLOOKUP(E315,Modificaciones!$B$7:$AA$400,26,0))</f>
        <v/>
      </c>
      <c r="T315" s="126">
        <f t="shared" si="52"/>
        <v>42252</v>
      </c>
      <c r="U315" s="62">
        <f t="shared" si="54"/>
        <v>5000000</v>
      </c>
      <c r="V315" s="172">
        <f>VLOOKUP(E315,Modificaciones!$B$7:$AU$400,46,0)</f>
        <v>3489976</v>
      </c>
      <c r="W315" s="93">
        <f t="shared" si="55"/>
        <v>1510024</v>
      </c>
      <c r="X315" s="309" t="s">
        <v>1958</v>
      </c>
      <c r="Y315" s="42">
        <f t="shared" si="56"/>
        <v>0.69799520000000004</v>
      </c>
      <c r="Z315" s="42">
        <f t="shared" ca="1" si="57"/>
        <v>1</v>
      </c>
      <c r="AA315" s="43">
        <f t="shared" ca="1" si="58"/>
        <v>0.30200479999999996</v>
      </c>
      <c r="AB315" s="202" t="str">
        <f t="shared" ca="1" si="59"/>
        <v/>
      </c>
      <c r="AC315" s="44" t="str">
        <f t="shared" si="61"/>
        <v>NO</v>
      </c>
      <c r="AD315" s="760" t="str">
        <f>VLOOKUP(C315,[2]Hoja4!$A$2:$E$116,5,0)</f>
        <v>SUMINISTRO</v>
      </c>
      <c r="AE315" s="173" t="s">
        <v>1256</v>
      </c>
      <c r="AF315" s="281" t="s">
        <v>1959</v>
      </c>
      <c r="AG315" s="173" t="s">
        <v>1442</v>
      </c>
      <c r="AH315" s="281" t="s">
        <v>560</v>
      </c>
      <c r="AI315" s="305" t="s">
        <v>1473</v>
      </c>
      <c r="AJ315" s="305" t="s">
        <v>1867</v>
      </c>
      <c r="AK315" s="181" t="str">
        <f t="shared" ca="1" si="60"/>
        <v>TERMINO</v>
      </c>
      <c r="AL315" s="310" t="s">
        <v>576</v>
      </c>
      <c r="AM315" s="176" t="s">
        <v>390</v>
      </c>
      <c r="AN315" s="848" t="str">
        <f>IFERROR(VLOOKUP(E315,'liquidaciones '!$B$2:$C$1048576,2,0),"NO")</f>
        <v>LIQUIDADO</v>
      </c>
      <c r="AO315" s="944">
        <f>IFERROR(VLOOKUP(E315,'liquidaciones '!$B$2:$I$1048576,8,0),"")</f>
        <v>0</v>
      </c>
      <c r="AP315" s="338"/>
      <c r="AQ315" s="177" t="str">
        <f t="shared" ca="1" si="62"/>
        <v>NO</v>
      </c>
      <c r="AR315" s="177" t="s">
        <v>1570</v>
      </c>
      <c r="AS315" s="433"/>
      <c r="AT315" s="964"/>
      <c r="AU315" s="964"/>
      <c r="AV315" s="964"/>
    </row>
    <row r="316" spans="2:48" ht="47.25" customHeight="1" x14ac:dyDescent="0.25">
      <c r="B316" s="15">
        <v>310</v>
      </c>
      <c r="C316" s="437">
        <v>170</v>
      </c>
      <c r="D316" s="437" t="str">
        <f t="shared" si="53"/>
        <v>2015170</v>
      </c>
      <c r="E316" s="866" t="s">
        <v>1961</v>
      </c>
      <c r="F316" s="864" t="s">
        <v>38</v>
      </c>
      <c r="G316" s="866">
        <v>830053669</v>
      </c>
      <c r="H316" s="858" t="s">
        <v>1962</v>
      </c>
      <c r="I316" s="210">
        <v>30552000</v>
      </c>
      <c r="J316" s="703" t="s">
        <v>1746</v>
      </c>
      <c r="K316" s="295">
        <v>2015</v>
      </c>
      <c r="L316" s="546">
        <v>42157</v>
      </c>
      <c r="M316" s="865">
        <v>42187</v>
      </c>
      <c r="N316" s="865">
        <v>42431</v>
      </c>
      <c r="O316" s="127">
        <f>COUNTA(Modificaciones!I316,Modificaciones!K316,Modificaciones!M316,Modificaciones!O316)</f>
        <v>1</v>
      </c>
      <c r="P316" s="128">
        <f>VLOOKUP(E316,Modificaciones!$B$7:$Q$400,16,0)</f>
        <v>11000000</v>
      </c>
      <c r="Q316" s="129">
        <f>COUNTA(Modificaciones!S316,Modificaciones!U316,Modificaciones!W316,Modificaciones!Y316)</f>
        <v>3</v>
      </c>
      <c r="R316" s="130" t="str">
        <f>IF(Modificaciones!Z316=0,"",VLOOKUP(E316,Modificaciones!$B$7:$AA$400,25,0))</f>
        <v>4 meses y 29 dias</v>
      </c>
      <c r="S316" s="131">
        <f>IF(Modificaciones!AA316=0,"",VLOOKUP(E316,Modificaciones!$B$7:$AA$400,26,0))</f>
        <v>42582</v>
      </c>
      <c r="T316" s="126">
        <f t="shared" si="52"/>
        <v>42582</v>
      </c>
      <c r="U316" s="62">
        <f t="shared" si="54"/>
        <v>41552000</v>
      </c>
      <c r="V316" s="172">
        <f>VLOOKUP(E316,Modificaciones!$B$7:$AU$400,46,0)</f>
        <v>39465611</v>
      </c>
      <c r="W316" s="93">
        <f t="shared" si="55"/>
        <v>2086389</v>
      </c>
      <c r="X316" s="309" t="s">
        <v>1963</v>
      </c>
      <c r="Y316" s="42">
        <f t="shared" si="56"/>
        <v>0.94978848190219489</v>
      </c>
      <c r="Z316" s="42">
        <f t="shared" ca="1" si="57"/>
        <v>1</v>
      </c>
      <c r="AA316" s="43">
        <f t="shared" ca="1" si="58"/>
        <v>5.0211518097805108E-2</v>
      </c>
      <c r="AB316" s="202" t="str">
        <f t="shared" ca="1" si="59"/>
        <v/>
      </c>
      <c r="AC316" s="44" t="str">
        <f t="shared" si="61"/>
        <v>NO</v>
      </c>
      <c r="AD316" s="760" t="str">
        <f>VLOOKUP(C316,[2]Hoja4!$A$2:$E$116,5,0)</f>
        <v>PRESTACION DE SERVICIOS</v>
      </c>
      <c r="AE316" s="173" t="s">
        <v>1256</v>
      </c>
      <c r="AF316" s="281" t="s">
        <v>1140</v>
      </c>
      <c r="AG316" s="173" t="s">
        <v>1442</v>
      </c>
      <c r="AH316" s="281" t="s">
        <v>560</v>
      </c>
      <c r="AI316" s="174" t="s">
        <v>1379</v>
      </c>
      <c r="AJ316" s="305" t="s">
        <v>1867</v>
      </c>
      <c r="AK316" s="181" t="str">
        <f t="shared" ca="1" si="60"/>
        <v>TERMINO</v>
      </c>
      <c r="AL316" s="310" t="s">
        <v>575</v>
      </c>
      <c r="AM316" s="176" t="s">
        <v>390</v>
      </c>
      <c r="AN316" s="848" t="str">
        <f>IFERROR(VLOOKUP(E316,'liquidaciones '!$B$2:$C$1048576,2,0),"NO")</f>
        <v>LIQUIDADO</v>
      </c>
      <c r="AO316" s="944">
        <f>IFERROR(VLOOKUP(E316,'liquidaciones '!$B$2:$I$1048576,8,0),"")</f>
        <v>0</v>
      </c>
      <c r="AP316" s="338"/>
      <c r="AQ316" s="177" t="str">
        <f t="shared" ca="1" si="62"/>
        <v>NO</v>
      </c>
      <c r="AR316" s="177" t="s">
        <v>981</v>
      </c>
      <c r="AS316" s="433"/>
      <c r="AT316" s="964"/>
      <c r="AU316" s="964"/>
      <c r="AV316" s="964"/>
    </row>
    <row r="317" spans="2:48" ht="47.25" customHeight="1" x14ac:dyDescent="0.25">
      <c r="B317" s="15">
        <v>311</v>
      </c>
      <c r="C317" s="437">
        <v>298</v>
      </c>
      <c r="D317" s="437" t="str">
        <f t="shared" si="53"/>
        <v>2015298</v>
      </c>
      <c r="E317" s="866" t="s">
        <v>1964</v>
      </c>
      <c r="F317" s="864" t="s">
        <v>1965</v>
      </c>
      <c r="G317" s="866">
        <v>51647190</v>
      </c>
      <c r="H317" s="858" t="s">
        <v>1966</v>
      </c>
      <c r="I317" s="210">
        <v>40800000</v>
      </c>
      <c r="J317" s="702" t="s">
        <v>1964</v>
      </c>
      <c r="K317" s="295">
        <v>2015</v>
      </c>
      <c r="L317" s="546">
        <v>42158</v>
      </c>
      <c r="M317" s="865">
        <v>42160</v>
      </c>
      <c r="N317" s="865">
        <v>42343</v>
      </c>
      <c r="O317" s="127">
        <f>COUNTA(Modificaciones!I317,Modificaciones!K317,Modificaciones!M317,Modificaciones!O317)</f>
        <v>1</v>
      </c>
      <c r="P317" s="128">
        <f>VLOOKUP(E317,Modificaciones!$B$7:$Q$400,16,0)</f>
        <v>20400000</v>
      </c>
      <c r="Q317" s="129">
        <f>COUNTA(Modificaciones!S317,Modificaciones!U317,Modificaciones!W317,Modificaciones!Y317)</f>
        <v>2</v>
      </c>
      <c r="R317" s="130" t="str">
        <f>IF(Modificaciones!Z317=0,"",VLOOKUP(E317,Modificaciones!$B$7:$AA$400,25,0))</f>
        <v>3 meses y 9 días</v>
      </c>
      <c r="S317" s="131">
        <f>IF(Modificaciones!AA317=0,"",VLOOKUP(E317,Modificaciones!$B$7:$AA$400,26,0))</f>
        <v>42443</v>
      </c>
      <c r="T317" s="126">
        <f t="shared" si="52"/>
        <v>42443</v>
      </c>
      <c r="U317" s="62">
        <f t="shared" si="54"/>
        <v>61200000</v>
      </c>
      <c r="V317" s="172">
        <f>VLOOKUP(E317,Modificaciones!$B$7:$AU$400,46,0)</f>
        <v>61200000</v>
      </c>
      <c r="W317" s="93">
        <f t="shared" si="55"/>
        <v>0</v>
      </c>
      <c r="X317" s="309" t="s">
        <v>1967</v>
      </c>
      <c r="Y317" s="42">
        <f t="shared" si="56"/>
        <v>1</v>
      </c>
      <c r="Z317" s="42">
        <f t="shared" ca="1" si="57"/>
        <v>1</v>
      </c>
      <c r="AA317" s="43">
        <f t="shared" ca="1" si="58"/>
        <v>0</v>
      </c>
      <c r="AB317" s="202" t="str">
        <f t="shared" ca="1" si="59"/>
        <v/>
      </c>
      <c r="AC317" s="44" t="str">
        <f t="shared" si="61"/>
        <v>SI</v>
      </c>
      <c r="AD317" s="760" t="s">
        <v>2898</v>
      </c>
      <c r="AE317" s="173" t="s">
        <v>1256</v>
      </c>
      <c r="AF317" s="281" t="s">
        <v>1968</v>
      </c>
      <c r="AG317" s="173" t="s">
        <v>1429</v>
      </c>
      <c r="AH317" s="281" t="s">
        <v>563</v>
      </c>
      <c r="AI317" s="305" t="s">
        <v>2162</v>
      </c>
      <c r="AJ317" s="305" t="s">
        <v>1867</v>
      </c>
      <c r="AK317" s="181" t="str">
        <f t="shared" ca="1" si="60"/>
        <v>TERMINO</v>
      </c>
      <c r="AL317" s="310" t="s">
        <v>582</v>
      </c>
      <c r="AM317" s="176" t="s">
        <v>391</v>
      </c>
      <c r="AN317" s="848" t="str">
        <f>IFERROR(VLOOKUP(E317,'liquidaciones '!$B$2:$C$1048576,2,0),"NO")</f>
        <v>LIQUIDADO</v>
      </c>
      <c r="AO317" s="944">
        <f>IFERROR(VLOOKUP(E317,'liquidaciones '!$B$2:$I$1048576,8,0),"")</f>
        <v>0</v>
      </c>
      <c r="AP317" s="338"/>
      <c r="AQ317" s="177" t="str">
        <f t="shared" ca="1" si="62"/>
        <v>NO</v>
      </c>
      <c r="AR317" s="177" t="s">
        <v>2390</v>
      </c>
      <c r="AS317" s="433"/>
      <c r="AT317" s="964"/>
      <c r="AU317" s="964"/>
      <c r="AV317" s="964"/>
    </row>
    <row r="318" spans="2:48" ht="47.25" customHeight="1" x14ac:dyDescent="0.25">
      <c r="B318" s="15">
        <v>312</v>
      </c>
      <c r="C318" s="437">
        <v>122</v>
      </c>
      <c r="D318" s="437" t="str">
        <f t="shared" si="53"/>
        <v>2015122</v>
      </c>
      <c r="E318" s="866" t="s">
        <v>1970</v>
      </c>
      <c r="F318" s="864" t="s">
        <v>1971</v>
      </c>
      <c r="G318" s="866">
        <v>830040274</v>
      </c>
      <c r="H318" s="858" t="s">
        <v>1972</v>
      </c>
      <c r="I318" s="210">
        <v>2365972</v>
      </c>
      <c r="J318" s="726" t="s">
        <v>1970</v>
      </c>
      <c r="K318" s="295">
        <v>2015</v>
      </c>
      <c r="L318" s="546">
        <v>42158</v>
      </c>
      <c r="M318" s="865">
        <v>42174</v>
      </c>
      <c r="N318" s="865">
        <v>42296</v>
      </c>
      <c r="O318" s="127">
        <f>COUNTA(Modificaciones!I318,Modificaciones!K318,Modificaciones!M318,Modificaciones!O318)</f>
        <v>0</v>
      </c>
      <c r="P318" s="128">
        <f>VLOOKUP(E318,Modificaciones!$B$7:$Q$400,16,0)</f>
        <v>0</v>
      </c>
      <c r="Q318" s="129">
        <f>COUNTA(Modificaciones!S318,Modificaciones!U318,Modificaciones!W318,Modificaciones!Y318)</f>
        <v>0</v>
      </c>
      <c r="R318" s="130" t="str">
        <f>IF(Modificaciones!Z318=0,"",VLOOKUP(E318,Modificaciones!$B$7:$AA$400,25,0))</f>
        <v/>
      </c>
      <c r="S318" s="131" t="str">
        <f>IF(Modificaciones!AA318=0,"",VLOOKUP(E318,Modificaciones!$B$7:$AA$400,26,0))</f>
        <v/>
      </c>
      <c r="T318" s="126">
        <f t="shared" si="52"/>
        <v>42296</v>
      </c>
      <c r="U318" s="62">
        <f t="shared" si="54"/>
        <v>2365972</v>
      </c>
      <c r="V318" s="172">
        <f>VLOOKUP(E318,Modificaciones!$B$7:$AU$400,46,0)</f>
        <v>2365972</v>
      </c>
      <c r="W318" s="93">
        <f t="shared" si="55"/>
        <v>0</v>
      </c>
      <c r="X318" s="309" t="s">
        <v>1973</v>
      </c>
      <c r="Y318" s="42">
        <f t="shared" si="56"/>
        <v>1</v>
      </c>
      <c r="Z318" s="42">
        <f t="shared" ca="1" si="57"/>
        <v>1</v>
      </c>
      <c r="AA318" s="43">
        <f t="shared" ca="1" si="58"/>
        <v>0</v>
      </c>
      <c r="AB318" s="202" t="str">
        <f t="shared" ca="1" si="59"/>
        <v/>
      </c>
      <c r="AC318" s="44" t="str">
        <f t="shared" si="61"/>
        <v>SI</v>
      </c>
      <c r="AD318" s="760" t="str">
        <f>VLOOKUP(C318,[2]Hoja4!$A$2:$E$116,5,0)</f>
        <v>PRESTACION DE SERVICIOS</v>
      </c>
      <c r="AE318" s="173" t="s">
        <v>1256</v>
      </c>
      <c r="AF318" s="281" t="s">
        <v>1974</v>
      </c>
      <c r="AG318" s="173"/>
      <c r="AH318" s="281" t="s">
        <v>563</v>
      </c>
      <c r="AI318" s="305" t="s">
        <v>1975</v>
      </c>
      <c r="AJ318" s="305" t="s">
        <v>1867</v>
      </c>
      <c r="AK318" s="181" t="str">
        <f t="shared" ca="1" si="60"/>
        <v>TERMINO</v>
      </c>
      <c r="AL318" s="310" t="s">
        <v>582</v>
      </c>
      <c r="AM318" s="176" t="s">
        <v>390</v>
      </c>
      <c r="AN318" s="848" t="str">
        <f>IFERROR(VLOOKUP(E318,'liquidaciones '!$B$2:$C$1048576,2,0),"NO")</f>
        <v>LIQUIDADO</v>
      </c>
      <c r="AO318" s="944" t="str">
        <f>IFERROR(VLOOKUP(E318,'liquidaciones '!$B$2:$I$1048576,8,0),"")</f>
        <v>CLAUDIA VANEGAS</v>
      </c>
      <c r="AP318" s="338"/>
      <c r="AQ318" s="177" t="str">
        <f t="shared" ca="1" si="62"/>
        <v>NO</v>
      </c>
      <c r="AR318" s="177" t="s">
        <v>2390</v>
      </c>
      <c r="AS318" s="433"/>
      <c r="AT318" s="964"/>
      <c r="AU318" s="964"/>
      <c r="AV318" s="964"/>
    </row>
    <row r="319" spans="2:48" ht="47.25" customHeight="1" x14ac:dyDescent="0.25">
      <c r="B319" s="15">
        <v>313</v>
      </c>
      <c r="C319" s="437">
        <v>299</v>
      </c>
      <c r="D319" s="437" t="str">
        <f t="shared" si="53"/>
        <v>2015299</v>
      </c>
      <c r="E319" s="866" t="s">
        <v>1984</v>
      </c>
      <c r="F319" s="864" t="s">
        <v>1985</v>
      </c>
      <c r="G319" s="866">
        <v>1016042559</v>
      </c>
      <c r="H319" s="858" t="s">
        <v>1986</v>
      </c>
      <c r="I319" s="210">
        <v>12000000</v>
      </c>
      <c r="J319" s="702" t="s">
        <v>1984</v>
      </c>
      <c r="K319" s="295">
        <v>2015</v>
      </c>
      <c r="L319" s="546">
        <v>42166</v>
      </c>
      <c r="M319" s="865">
        <v>42173</v>
      </c>
      <c r="N319" s="865">
        <v>42356</v>
      </c>
      <c r="O319" s="127">
        <f>COUNTA(Modificaciones!I319,Modificaciones!K319,Modificaciones!M319,Modificaciones!O319)</f>
        <v>1</v>
      </c>
      <c r="P319" s="128">
        <f>VLOOKUP(E319,Modificaciones!$B$7:$Q$400,16,0)</f>
        <v>6000000</v>
      </c>
      <c r="Q319" s="129">
        <f>COUNTA(Modificaciones!S319,Modificaciones!U319,Modificaciones!W319,Modificaciones!Y319)</f>
        <v>1</v>
      </c>
      <c r="R319" s="130" t="str">
        <f>IF(Modificaciones!Z319=0,"",VLOOKUP(E319,Modificaciones!$B$7:$AA$400,25,0))</f>
        <v>3 meses</v>
      </c>
      <c r="S319" s="131">
        <f>IF(Modificaciones!AA319=0,"",VLOOKUP(E319,Modificaciones!$B$7:$AA$400,26,0))</f>
        <v>42447</v>
      </c>
      <c r="T319" s="126">
        <f t="shared" si="52"/>
        <v>42447</v>
      </c>
      <c r="U319" s="62">
        <f t="shared" si="54"/>
        <v>18000000</v>
      </c>
      <c r="V319" s="172">
        <f>VLOOKUP(E319,Modificaciones!$B$7:$AU$400,46,0)</f>
        <v>18000000</v>
      </c>
      <c r="W319" s="93">
        <f t="shared" si="55"/>
        <v>0</v>
      </c>
      <c r="X319" s="309" t="s">
        <v>1095</v>
      </c>
      <c r="Y319" s="42">
        <f t="shared" si="56"/>
        <v>1</v>
      </c>
      <c r="Z319" s="42">
        <f t="shared" ca="1" si="57"/>
        <v>1</v>
      </c>
      <c r="AA319" s="43">
        <f t="shared" ca="1" si="58"/>
        <v>0</v>
      </c>
      <c r="AB319" s="202" t="str">
        <f t="shared" ca="1" si="59"/>
        <v/>
      </c>
      <c r="AC319" s="44" t="str">
        <f t="shared" ref="AC319:AC350" si="63">IF(Y319&lt;=99.9%,"NO","SI")</f>
        <v>SI</v>
      </c>
      <c r="AD319" s="760" t="str">
        <f>VLOOKUP(C319,[2]Hoja4!$A$2:$E$116,5,0)</f>
        <v>PRESTACION DE SERVICIOS</v>
      </c>
      <c r="AE319" s="173" t="s">
        <v>1256</v>
      </c>
      <c r="AF319" s="281" t="s">
        <v>1968</v>
      </c>
      <c r="AG319" s="173" t="s">
        <v>1429</v>
      </c>
      <c r="AH319" s="281" t="s">
        <v>563</v>
      </c>
      <c r="AI319" s="305" t="s">
        <v>2162</v>
      </c>
      <c r="AJ319" s="305" t="s">
        <v>1867</v>
      </c>
      <c r="AK319" s="181" t="str">
        <f t="shared" ca="1" si="60"/>
        <v>TERMINO</v>
      </c>
      <c r="AL319" s="310" t="s">
        <v>582</v>
      </c>
      <c r="AM319" s="176" t="s">
        <v>391</v>
      </c>
      <c r="AN319" s="848" t="str">
        <f>IFERROR(VLOOKUP(E319,'liquidaciones '!$B$2:$C$1048576,2,0),"NO")</f>
        <v>LIQUIDADO</v>
      </c>
      <c r="AO319" s="944">
        <f>IFERROR(VLOOKUP(E319,'liquidaciones '!$B$2:$I$1048576,8,0),"")</f>
        <v>0</v>
      </c>
      <c r="AP319" s="338"/>
      <c r="AQ319" s="177" t="str">
        <f t="shared" ref="AQ319:AQ350" ca="1" si="64">IF((TODAY()-T319&lt;900),"SI","NO")</f>
        <v>NO</v>
      </c>
      <c r="AR319" s="177" t="s">
        <v>2390</v>
      </c>
      <c r="AS319" s="433"/>
      <c r="AT319" s="964"/>
      <c r="AU319" s="964"/>
      <c r="AV319" s="964"/>
    </row>
    <row r="320" spans="2:48" ht="47.25" customHeight="1" x14ac:dyDescent="0.25">
      <c r="B320" s="15">
        <v>314</v>
      </c>
      <c r="C320" s="437">
        <v>71</v>
      </c>
      <c r="D320" s="437" t="str">
        <f t="shared" si="53"/>
        <v>201571</v>
      </c>
      <c r="E320" s="866" t="s">
        <v>1987</v>
      </c>
      <c r="F320" s="864" t="s">
        <v>1988</v>
      </c>
      <c r="G320" s="866" t="s">
        <v>1989</v>
      </c>
      <c r="H320" s="858" t="s">
        <v>1990</v>
      </c>
      <c r="I320" s="210">
        <v>11167296</v>
      </c>
      <c r="J320" s="702" t="s">
        <v>1896</v>
      </c>
      <c r="K320" s="295">
        <v>2015</v>
      </c>
      <c r="L320" s="546">
        <v>42167</v>
      </c>
      <c r="M320" s="865">
        <v>42188</v>
      </c>
      <c r="N320" s="865">
        <v>42250</v>
      </c>
      <c r="O320" s="127">
        <f>COUNTA(Modificaciones!I320,Modificaciones!K320,Modificaciones!M320,Modificaciones!O320)</f>
        <v>0</v>
      </c>
      <c r="P320" s="128">
        <f>VLOOKUP(E320,Modificaciones!$B$7:$Q$400,16,0)</f>
        <v>0</v>
      </c>
      <c r="Q320" s="129">
        <f>COUNTA(Modificaciones!S320,Modificaciones!U320,Modificaciones!W320,Modificaciones!Y320)</f>
        <v>0</v>
      </c>
      <c r="R320" s="130" t="str">
        <f>IF(Modificaciones!Z320=0,"",VLOOKUP(E320,Modificaciones!$B$7:$AA$400,25,0))</f>
        <v/>
      </c>
      <c r="S320" s="131" t="str">
        <f>IF(Modificaciones!AA320=0,"",VLOOKUP(E320,Modificaciones!$B$7:$AA$400,26,0))</f>
        <v/>
      </c>
      <c r="T320" s="126">
        <f t="shared" ref="T320:T383" si="65">MAX(N320,S320)</f>
        <v>42250</v>
      </c>
      <c r="U320" s="62">
        <f t="shared" si="54"/>
        <v>11167296</v>
      </c>
      <c r="V320" s="172">
        <f>VLOOKUP(E320,Modificaciones!$B$7:$AU$400,46,0)</f>
        <v>11167296</v>
      </c>
      <c r="W320" s="93">
        <f t="shared" si="55"/>
        <v>0</v>
      </c>
      <c r="X320" s="309" t="s">
        <v>1895</v>
      </c>
      <c r="Y320" s="42">
        <f t="shared" si="56"/>
        <v>1</v>
      </c>
      <c r="Z320" s="42">
        <f t="shared" ca="1" si="57"/>
        <v>1</v>
      </c>
      <c r="AA320" s="43">
        <f t="shared" ca="1" si="58"/>
        <v>0</v>
      </c>
      <c r="AB320" s="202" t="str">
        <f t="shared" ca="1" si="59"/>
        <v/>
      </c>
      <c r="AC320" s="44" t="str">
        <f t="shared" si="63"/>
        <v>SI</v>
      </c>
      <c r="AD320" s="760" t="str">
        <f>VLOOKUP(C320,[2]Hoja4!$A$2:$E$116,5,0)</f>
        <v>COMPRAVENTA</v>
      </c>
      <c r="AE320" s="173" t="s">
        <v>1257</v>
      </c>
      <c r="AF320" s="281" t="s">
        <v>1991</v>
      </c>
      <c r="AG320" s="173" t="s">
        <v>1439</v>
      </c>
      <c r="AH320" s="281" t="s">
        <v>560</v>
      </c>
      <c r="AI320" s="305" t="s">
        <v>1509</v>
      </c>
      <c r="AJ320" s="305" t="s">
        <v>1867</v>
      </c>
      <c r="AK320" s="181" t="str">
        <f t="shared" ca="1" si="60"/>
        <v>TERMINO</v>
      </c>
      <c r="AL320" s="181" t="s">
        <v>576</v>
      </c>
      <c r="AM320" s="176" t="s">
        <v>391</v>
      </c>
      <c r="AN320" s="848" t="str">
        <f>IFERROR(VLOOKUP(E320,'liquidaciones '!$B$2:$C$1048576,2,0),"NO")</f>
        <v>LIQUIDADO</v>
      </c>
      <c r="AO320" s="944">
        <f>IFERROR(VLOOKUP(E320,'liquidaciones '!$B$2:$I$1048576,8,0),"")</f>
        <v>0</v>
      </c>
      <c r="AP320" s="338"/>
      <c r="AQ320" s="177" t="str">
        <f t="shared" ca="1" si="64"/>
        <v>NO</v>
      </c>
      <c r="AR320" s="177" t="s">
        <v>1992</v>
      </c>
      <c r="AS320" s="433"/>
      <c r="AT320" s="964"/>
      <c r="AU320" s="964"/>
      <c r="AV320" s="964"/>
    </row>
    <row r="321" spans="2:48" ht="47.25" customHeight="1" x14ac:dyDescent="0.25">
      <c r="B321" s="15">
        <v>315</v>
      </c>
      <c r="C321" s="437">
        <v>157</v>
      </c>
      <c r="D321" s="437" t="str">
        <f t="shared" si="53"/>
        <v>2015157</v>
      </c>
      <c r="E321" s="866" t="s">
        <v>1993</v>
      </c>
      <c r="F321" s="858" t="s">
        <v>1994</v>
      </c>
      <c r="G321" s="866">
        <v>860053195</v>
      </c>
      <c r="H321" s="858" t="s">
        <v>1995</v>
      </c>
      <c r="I321" s="210">
        <v>29000000</v>
      </c>
      <c r="J321" s="702" t="s">
        <v>1943</v>
      </c>
      <c r="K321" s="295">
        <v>2015</v>
      </c>
      <c r="L321" s="546">
        <v>42167</v>
      </c>
      <c r="M321" s="865">
        <v>42179</v>
      </c>
      <c r="N321" s="865">
        <v>42484</v>
      </c>
      <c r="O321" s="127">
        <f>COUNTA(Modificaciones!I321,Modificaciones!K321,Modificaciones!M321,Modificaciones!O321)</f>
        <v>1</v>
      </c>
      <c r="P321" s="128">
        <f>VLOOKUP(E321,Modificaciones!$B$7:$Q$400,16,0)</f>
        <v>14417333</v>
      </c>
      <c r="Q321" s="129">
        <f>COUNTA(Modificaciones!S321,Modificaciones!U321,Modificaciones!W321,Modificaciones!Y321)</f>
        <v>2</v>
      </c>
      <c r="R321" s="130" t="str">
        <f>IF(Modificaciones!Z321=0,"",VLOOKUP(E321,Modificaciones!$B$7:$AA$400,25,0))</f>
        <v>2 meses</v>
      </c>
      <c r="S321" s="131">
        <f>IF(Modificaciones!AA321=0,"",VLOOKUP(E321,Modificaciones!$B$7:$AA$400,26,0))</f>
        <v>42545</v>
      </c>
      <c r="T321" s="126">
        <f t="shared" si="65"/>
        <v>42545</v>
      </c>
      <c r="U321" s="62">
        <f t="shared" si="54"/>
        <v>43417333</v>
      </c>
      <c r="V321" s="172">
        <f>VLOOKUP(E321,Modificaciones!$B$7:$AU$400,46,0)</f>
        <v>43376678</v>
      </c>
      <c r="W321" s="93">
        <f t="shared" si="55"/>
        <v>40655</v>
      </c>
      <c r="X321" s="309" t="s">
        <v>1967</v>
      </c>
      <c r="Y321" s="42">
        <f t="shared" si="56"/>
        <v>0.99906362281626093</v>
      </c>
      <c r="Z321" s="42">
        <f t="shared" ca="1" si="57"/>
        <v>1</v>
      </c>
      <c r="AA321" s="43">
        <f t="shared" ca="1" si="58"/>
        <v>9.3637718373906775E-4</v>
      </c>
      <c r="AB321" s="202" t="str">
        <f t="shared" ca="1" si="59"/>
        <v/>
      </c>
      <c r="AC321" s="44" t="str">
        <f t="shared" si="63"/>
        <v>SI</v>
      </c>
      <c r="AD321" s="760" t="str">
        <f>VLOOKUP(C321,[2]Hoja4!$A$2:$E$116,5,0)</f>
        <v>SUMINISTRO</v>
      </c>
      <c r="AE321" s="173" t="s">
        <v>1256</v>
      </c>
      <c r="AF321" s="281" t="s">
        <v>1135</v>
      </c>
      <c r="AG321" s="173"/>
      <c r="AH321" s="281" t="s">
        <v>562</v>
      </c>
      <c r="AI321" s="305" t="s">
        <v>1384</v>
      </c>
      <c r="AJ321" s="305" t="s">
        <v>1867</v>
      </c>
      <c r="AK321" s="181" t="str">
        <f t="shared" ca="1" si="60"/>
        <v>TERMINO</v>
      </c>
      <c r="AL321" s="181" t="s">
        <v>576</v>
      </c>
      <c r="AM321" s="176" t="s">
        <v>390</v>
      </c>
      <c r="AN321" s="848" t="str">
        <f>IFERROR(VLOOKUP(E321,'liquidaciones '!$B$2:$C$1048576,2,0),"NO")</f>
        <v>LIQUIDADO</v>
      </c>
      <c r="AO321" s="944" t="str">
        <f>IFERROR(VLOOKUP(E321,'liquidaciones '!$B$2:$I$1048576,8,0),"")</f>
        <v>LEIDY RIVERA</v>
      </c>
      <c r="AP321" s="338"/>
      <c r="AQ321" s="177" t="str">
        <f t="shared" ca="1" si="64"/>
        <v>NO</v>
      </c>
      <c r="AR321" s="177" t="s">
        <v>1570</v>
      </c>
      <c r="AS321" s="433"/>
      <c r="AT321" s="964"/>
      <c r="AU321" s="964"/>
      <c r="AV321" s="964"/>
    </row>
    <row r="322" spans="2:48" ht="47.25" customHeight="1" x14ac:dyDescent="0.25">
      <c r="B322" s="15">
        <v>316</v>
      </c>
      <c r="C322" s="437">
        <v>300</v>
      </c>
      <c r="D322" s="437" t="str">
        <f t="shared" si="53"/>
        <v>2015300</v>
      </c>
      <c r="E322" s="866" t="s">
        <v>1996</v>
      </c>
      <c r="F322" s="864" t="s">
        <v>1997</v>
      </c>
      <c r="G322" s="866">
        <v>1015452774</v>
      </c>
      <c r="H322" s="858" t="s">
        <v>1998</v>
      </c>
      <c r="I322" s="210">
        <v>12000000</v>
      </c>
      <c r="J322" s="726" t="s">
        <v>1996</v>
      </c>
      <c r="K322" s="295">
        <v>2015</v>
      </c>
      <c r="L322" s="546">
        <v>42171</v>
      </c>
      <c r="M322" s="865">
        <v>42174</v>
      </c>
      <c r="N322" s="865">
        <v>42357</v>
      </c>
      <c r="O322" s="127">
        <f>COUNTA(Modificaciones!I322,Modificaciones!K322,Modificaciones!M322,Modificaciones!O322)</f>
        <v>0</v>
      </c>
      <c r="P322" s="128">
        <f>VLOOKUP(E322,Modificaciones!$B$7:$Q$400,16,0)</f>
        <v>0</v>
      </c>
      <c r="Q322" s="129">
        <f>COUNTA(Modificaciones!S322,Modificaciones!U322,Modificaciones!W322,Modificaciones!Y322)</f>
        <v>0</v>
      </c>
      <c r="R322" s="130" t="str">
        <f>IF(Modificaciones!Z322=0,"",VLOOKUP(E322,Modificaciones!$B$7:$AA$400,25,0))</f>
        <v/>
      </c>
      <c r="S322" s="131" t="str">
        <f>IF(Modificaciones!AA322=0,"",VLOOKUP(E322,Modificaciones!$B$7:$AA$400,26,0))</f>
        <v/>
      </c>
      <c r="T322" s="126">
        <f t="shared" si="65"/>
        <v>42357</v>
      </c>
      <c r="U322" s="62">
        <f t="shared" si="54"/>
        <v>12000000</v>
      </c>
      <c r="V322" s="172">
        <f>VLOOKUP(E322,Modificaciones!$B$7:$AU$400,46,0)</f>
        <v>12000000</v>
      </c>
      <c r="W322" s="93">
        <f t="shared" si="55"/>
        <v>0</v>
      </c>
      <c r="X322" s="309" t="s">
        <v>1095</v>
      </c>
      <c r="Y322" s="42">
        <f t="shared" si="56"/>
        <v>1</v>
      </c>
      <c r="Z322" s="42">
        <f t="shared" ca="1" si="57"/>
        <v>1</v>
      </c>
      <c r="AA322" s="43">
        <f t="shared" ca="1" si="58"/>
        <v>0</v>
      </c>
      <c r="AB322" s="202" t="str">
        <f t="shared" ca="1" si="59"/>
        <v/>
      </c>
      <c r="AC322" s="44" t="str">
        <f t="shared" si="63"/>
        <v>SI</v>
      </c>
      <c r="AD322" s="760" t="str">
        <f>VLOOKUP(C322,[2]Hoja4!$A$2:$E$116,5,0)</f>
        <v>PRESTACION DE SERVICIOS</v>
      </c>
      <c r="AE322" s="173" t="s">
        <v>1256</v>
      </c>
      <c r="AF322" s="281" t="s">
        <v>1968</v>
      </c>
      <c r="AG322" s="173" t="s">
        <v>1429</v>
      </c>
      <c r="AH322" s="281" t="s">
        <v>563</v>
      </c>
      <c r="AI322" s="305" t="s">
        <v>2162</v>
      </c>
      <c r="AJ322" s="305" t="s">
        <v>1867</v>
      </c>
      <c r="AK322" s="181" t="str">
        <f t="shared" ca="1" si="60"/>
        <v>TERMINO</v>
      </c>
      <c r="AL322" s="310" t="s">
        <v>582</v>
      </c>
      <c r="AM322" s="176" t="s">
        <v>391</v>
      </c>
      <c r="AN322" s="848" t="str">
        <f>IFERROR(VLOOKUP(E322,'liquidaciones '!$B$2:$C$1048576,2,0),"NO")</f>
        <v>LIQUIDADO</v>
      </c>
      <c r="AO322" s="944">
        <f>IFERROR(VLOOKUP(E322,'liquidaciones '!$B$2:$I$1048576,8,0),"")</f>
        <v>0</v>
      </c>
      <c r="AP322" s="338"/>
      <c r="AQ322" s="177" t="str">
        <f t="shared" ca="1" si="64"/>
        <v>NO</v>
      </c>
      <c r="AR322" s="177" t="s">
        <v>2390</v>
      </c>
      <c r="AS322" s="433"/>
      <c r="AT322" s="964"/>
      <c r="AU322" s="964"/>
      <c r="AV322" s="964"/>
    </row>
    <row r="323" spans="2:48" ht="47.25" customHeight="1" x14ac:dyDescent="0.25">
      <c r="B323" s="15">
        <v>317</v>
      </c>
      <c r="C323" s="437">
        <v>167</v>
      </c>
      <c r="D323" s="437" t="str">
        <f t="shared" si="53"/>
        <v>2015167</v>
      </c>
      <c r="E323" s="866" t="s">
        <v>1999</v>
      </c>
      <c r="F323" s="864" t="s">
        <v>2000</v>
      </c>
      <c r="G323" s="866">
        <v>830113914</v>
      </c>
      <c r="H323" s="858" t="s">
        <v>2005</v>
      </c>
      <c r="I323" s="210">
        <v>69400000</v>
      </c>
      <c r="J323" s="703" t="s">
        <v>1752</v>
      </c>
      <c r="K323" s="295">
        <v>2015</v>
      </c>
      <c r="L323" s="546">
        <v>42167</v>
      </c>
      <c r="M323" s="865">
        <v>42186</v>
      </c>
      <c r="N323" s="865">
        <v>42491</v>
      </c>
      <c r="O323" s="127">
        <f>COUNTA(Modificaciones!I323,Modificaciones!K323,Modificaciones!M323,Modificaciones!O323)</f>
        <v>0</v>
      </c>
      <c r="P323" s="128">
        <f>VLOOKUP(E323,Modificaciones!$B$7:$Q$400,16,0)</f>
        <v>0</v>
      </c>
      <c r="Q323" s="129">
        <f>COUNTA(Modificaciones!S323,Modificaciones!U323,Modificaciones!W323,Modificaciones!Y323)</f>
        <v>2</v>
      </c>
      <c r="R323" s="130" t="str">
        <f>IF(Modificaciones!Z323=0,"",VLOOKUP(E323,Modificaciones!$B$7:$AA$400,25,0))</f>
        <v>4 meses y 15 días</v>
      </c>
      <c r="S323" s="131">
        <f>IF(Modificaciones!AA323=0,"",VLOOKUP(E323,Modificaciones!$B$7:$AA$400,26,0))</f>
        <v>42629</v>
      </c>
      <c r="T323" s="126">
        <f t="shared" si="65"/>
        <v>42629</v>
      </c>
      <c r="U323" s="62">
        <f t="shared" si="54"/>
        <v>69400000</v>
      </c>
      <c r="V323" s="172">
        <f>VLOOKUP(E323,Modificaciones!$B$7:$AU$400,46,0)</f>
        <v>69399898</v>
      </c>
      <c r="W323" s="93">
        <f t="shared" si="55"/>
        <v>102</v>
      </c>
      <c r="X323" s="309" t="s">
        <v>2006</v>
      </c>
      <c r="Y323" s="42">
        <f t="shared" si="56"/>
        <v>0.99999853025936603</v>
      </c>
      <c r="Z323" s="42">
        <f t="shared" ca="1" si="57"/>
        <v>1</v>
      </c>
      <c r="AA323" s="43">
        <f t="shared" ca="1" si="58"/>
        <v>1.4697406339747587E-6</v>
      </c>
      <c r="AB323" s="202" t="str">
        <f t="shared" ca="1" si="59"/>
        <v/>
      </c>
      <c r="AC323" s="44" t="str">
        <f t="shared" si="63"/>
        <v>SI</v>
      </c>
      <c r="AD323" s="760" t="str">
        <f>VLOOKUP(C323,[2]Hoja4!$A$2:$E$116,5,0)</f>
        <v>SUMINISTRO</v>
      </c>
      <c r="AE323" s="173" t="s">
        <v>1256</v>
      </c>
      <c r="AF323" s="304" t="s">
        <v>1130</v>
      </c>
      <c r="AG323" s="173" t="s">
        <v>1442</v>
      </c>
      <c r="AH323" s="281" t="s">
        <v>560</v>
      </c>
      <c r="AI323" s="179" t="s">
        <v>1379</v>
      </c>
      <c r="AJ323" s="305" t="s">
        <v>1867</v>
      </c>
      <c r="AK323" s="181" t="str">
        <f t="shared" ca="1" si="60"/>
        <v>TERMINO</v>
      </c>
      <c r="AL323" s="310" t="s">
        <v>575</v>
      </c>
      <c r="AM323" s="176" t="s">
        <v>390</v>
      </c>
      <c r="AN323" s="848" t="str">
        <f>IFERROR(VLOOKUP(E323,'liquidaciones '!$B$2:$C$1048576,2,0),"NO")</f>
        <v>LIQUIDADO</v>
      </c>
      <c r="AO323" s="944">
        <f>IFERROR(VLOOKUP(E323,'liquidaciones '!$B$2:$I$1048576,8,0),"")</f>
        <v>0</v>
      </c>
      <c r="AP323" s="338"/>
      <c r="AQ323" s="177" t="str">
        <f t="shared" ca="1" si="64"/>
        <v>NO</v>
      </c>
      <c r="AR323" s="177" t="s">
        <v>1510</v>
      </c>
      <c r="AS323" s="433"/>
      <c r="AT323" s="964"/>
      <c r="AU323" s="964"/>
      <c r="AV323" s="964"/>
    </row>
    <row r="324" spans="2:48" ht="47.25" customHeight="1" x14ac:dyDescent="0.25">
      <c r="B324" s="15">
        <v>318</v>
      </c>
      <c r="C324" s="437">
        <v>139</v>
      </c>
      <c r="D324" s="437" t="str">
        <f t="shared" si="53"/>
        <v>2015139</v>
      </c>
      <c r="E324" s="866" t="s">
        <v>3329</v>
      </c>
      <c r="F324" s="864" t="s">
        <v>2004</v>
      </c>
      <c r="G324" s="866" t="s">
        <v>2014</v>
      </c>
      <c r="H324" s="858" t="s">
        <v>2013</v>
      </c>
      <c r="I324" s="210">
        <v>1607400</v>
      </c>
      <c r="J324" s="703" t="s">
        <v>1953</v>
      </c>
      <c r="K324" s="295">
        <v>2015</v>
      </c>
      <c r="L324" s="546">
        <v>42172</v>
      </c>
      <c r="M324" s="865">
        <v>42202</v>
      </c>
      <c r="N324" s="865">
        <v>42567</v>
      </c>
      <c r="O324" s="127">
        <f>COUNTA(Modificaciones!I324,Modificaciones!K324,Modificaciones!M324,Modificaciones!O324)</f>
        <v>0</v>
      </c>
      <c r="P324" s="128">
        <f>VLOOKUP(E324,Modificaciones!$B$7:$Q$400,16,0)</f>
        <v>0</v>
      </c>
      <c r="Q324" s="129">
        <f>COUNTA(Modificaciones!S324,Modificaciones!U324,Modificaciones!W324,Modificaciones!Y324)</f>
        <v>0</v>
      </c>
      <c r="R324" s="130" t="str">
        <f>IF(Modificaciones!Z324=0,"",VLOOKUP(E324,Modificaciones!$B$7:$AA$400,25,0))</f>
        <v/>
      </c>
      <c r="S324" s="131" t="str">
        <f>IF(Modificaciones!AA324=0,"",VLOOKUP(E324,Modificaciones!$B$7:$AA$400,26,0))</f>
        <v/>
      </c>
      <c r="T324" s="126">
        <f t="shared" si="65"/>
        <v>42567</v>
      </c>
      <c r="U324" s="62">
        <f t="shared" si="54"/>
        <v>1607400</v>
      </c>
      <c r="V324" s="172">
        <f>VLOOKUP(E324,Modificaciones!$B$7:$AU$400,46,0)</f>
        <v>1586586</v>
      </c>
      <c r="W324" s="93">
        <f t="shared" si="55"/>
        <v>20814</v>
      </c>
      <c r="X324" s="309" t="s">
        <v>1895</v>
      </c>
      <c r="Y324" s="42">
        <f t="shared" si="56"/>
        <v>0.98705113848450909</v>
      </c>
      <c r="Z324" s="42">
        <f t="shared" ca="1" si="57"/>
        <v>1</v>
      </c>
      <c r="AA324" s="43">
        <f t="shared" ca="1" si="58"/>
        <v>1.2948861515490906E-2</v>
      </c>
      <c r="AB324" s="202" t="str">
        <f t="shared" ca="1" si="59"/>
        <v/>
      </c>
      <c r="AC324" s="44" t="str">
        <f t="shared" si="63"/>
        <v>NO</v>
      </c>
      <c r="AD324" s="760" t="str">
        <f>VLOOKUP(C324,[2]Hoja4!$A$2:$E$116,5,0)</f>
        <v>SUSCRIPCION</v>
      </c>
      <c r="AE324" s="173" t="s">
        <v>1256</v>
      </c>
      <c r="AF324" s="281" t="s">
        <v>1133</v>
      </c>
      <c r="AG324" s="173" t="s">
        <v>1442</v>
      </c>
      <c r="AH324" s="281" t="s">
        <v>560</v>
      </c>
      <c r="AI324" s="305"/>
      <c r="AJ324" s="305" t="s">
        <v>1867</v>
      </c>
      <c r="AK324" s="181" t="str">
        <f t="shared" ca="1" si="60"/>
        <v>TERMINO</v>
      </c>
      <c r="AL324" s="181" t="s">
        <v>576</v>
      </c>
      <c r="AM324" s="176" t="s">
        <v>390</v>
      </c>
      <c r="AN324" s="848" t="str">
        <f>IFERROR(VLOOKUP(E324,'liquidaciones '!$B$2:$C$1048576,2,0),"NO")</f>
        <v>DEVUELTO</v>
      </c>
      <c r="AO324" s="944" t="str">
        <f>IFERROR(VLOOKUP(E324,'liquidaciones '!$B$2:$I$1048576,8,0),"")</f>
        <v>JULIETH ANGARITA</v>
      </c>
      <c r="AP324" s="338"/>
      <c r="AQ324" s="177" t="str">
        <f t="shared" ca="1" si="64"/>
        <v>NO</v>
      </c>
      <c r="AR324" s="177" t="s">
        <v>1510</v>
      </c>
      <c r="AS324" s="433" t="s">
        <v>3515</v>
      </c>
      <c r="AT324" s="964"/>
      <c r="AU324" s="964"/>
      <c r="AV324" s="964"/>
    </row>
    <row r="325" spans="2:48" ht="66.75" customHeight="1" x14ac:dyDescent="0.25">
      <c r="B325" s="15">
        <v>319</v>
      </c>
      <c r="C325" s="437">
        <v>182</v>
      </c>
      <c r="D325" s="437" t="str">
        <f t="shared" si="53"/>
        <v>2015182</v>
      </c>
      <c r="E325" s="866" t="s">
        <v>2007</v>
      </c>
      <c r="F325" s="864" t="s">
        <v>2008</v>
      </c>
      <c r="G325" s="866" t="s">
        <v>2009</v>
      </c>
      <c r="H325" s="858" t="s">
        <v>2010</v>
      </c>
      <c r="I325" s="210">
        <v>102000000</v>
      </c>
      <c r="J325" s="703" t="s">
        <v>1751</v>
      </c>
      <c r="K325" s="295">
        <v>2015</v>
      </c>
      <c r="L325" s="546">
        <v>42171</v>
      </c>
      <c r="M325" s="865">
        <v>42186</v>
      </c>
      <c r="N325" s="865">
        <v>42519</v>
      </c>
      <c r="O325" s="127">
        <f>COUNTA(Modificaciones!I325,Modificaciones!K325,Modificaciones!M325,Modificaciones!O325)</f>
        <v>1</v>
      </c>
      <c r="P325" s="128">
        <f>VLOOKUP(E325,Modificaciones!$B$7:$Q$400,16,0)</f>
        <v>22930204</v>
      </c>
      <c r="Q325" s="129">
        <f>COUNTA(Modificaciones!S325,Modificaciones!U325,Modificaciones!W325,Modificaciones!Y325)</f>
        <v>1</v>
      </c>
      <c r="R325" s="130" t="str">
        <f>IF(Modificaciones!Z325=0,"",VLOOKUP(E325,Modificaciones!$B$7:$AA$400,25,0))</f>
        <v>1 mes</v>
      </c>
      <c r="S325" s="131">
        <f>IF(Modificaciones!AA325=0,"",VLOOKUP(E325,Modificaciones!$B$7:$AA$400,26,0))</f>
        <v>42522</v>
      </c>
      <c r="T325" s="126">
        <f t="shared" si="65"/>
        <v>42522</v>
      </c>
      <c r="U325" s="62">
        <f t="shared" si="54"/>
        <v>124930204</v>
      </c>
      <c r="V325" s="172">
        <f>VLOOKUP(E325,Modificaciones!$B$7:$AU$400,46,0)</f>
        <v>124874187</v>
      </c>
      <c r="W325" s="93">
        <f t="shared" si="55"/>
        <v>56017</v>
      </c>
      <c r="X325" s="309" t="s">
        <v>2011</v>
      </c>
      <c r="Y325" s="42">
        <f t="shared" si="56"/>
        <v>0.99955161363540235</v>
      </c>
      <c r="Z325" s="42">
        <f t="shared" ca="1" si="57"/>
        <v>1</v>
      </c>
      <c r="AA325" s="43">
        <f t="shared" ca="1" si="58"/>
        <v>4.4838636459765269E-4</v>
      </c>
      <c r="AB325" s="202" t="str">
        <f t="shared" ca="1" si="59"/>
        <v/>
      </c>
      <c r="AC325" s="44" t="str">
        <f t="shared" si="63"/>
        <v>SI</v>
      </c>
      <c r="AD325" s="760" t="str">
        <f>VLOOKUP(C325,[2]Hoja4!$A$2:$E$116,5,0)</f>
        <v>PRESTACION DE SERVICIOS</v>
      </c>
      <c r="AE325" s="173" t="s">
        <v>1256</v>
      </c>
      <c r="AF325" s="281" t="s">
        <v>1301</v>
      </c>
      <c r="AG325" s="173" t="s">
        <v>1435</v>
      </c>
      <c r="AH325" s="281" t="s">
        <v>560</v>
      </c>
      <c r="AI325" s="174" t="s">
        <v>1386</v>
      </c>
      <c r="AJ325" s="305" t="s">
        <v>1867</v>
      </c>
      <c r="AK325" s="181" t="str">
        <f t="shared" ca="1" si="60"/>
        <v>TERMINO</v>
      </c>
      <c r="AL325" s="310" t="s">
        <v>574</v>
      </c>
      <c r="AM325" s="176" t="s">
        <v>390</v>
      </c>
      <c r="AN325" s="848" t="str">
        <f>IFERROR(VLOOKUP(E325,'liquidaciones '!$B$2:$C$1048576,2,0),"NO")</f>
        <v>LIQUIDADO</v>
      </c>
      <c r="AO325" s="944">
        <f>IFERROR(VLOOKUP(E325,'liquidaciones '!$B$2:$I$1048576,8,0),"")</f>
        <v>0</v>
      </c>
      <c r="AP325" s="338"/>
      <c r="AQ325" s="177" t="str">
        <f t="shared" ca="1" si="64"/>
        <v>NO</v>
      </c>
      <c r="AR325" s="177" t="s">
        <v>2076</v>
      </c>
      <c r="AS325" s="433"/>
      <c r="AT325" s="964"/>
      <c r="AU325" s="964"/>
      <c r="AV325" s="964"/>
    </row>
    <row r="326" spans="2:48" ht="66" customHeight="1" x14ac:dyDescent="0.25">
      <c r="B326" s="15">
        <v>320</v>
      </c>
      <c r="C326" s="437">
        <v>165</v>
      </c>
      <c r="D326" s="437" t="str">
        <f t="shared" si="53"/>
        <v>2015165</v>
      </c>
      <c r="E326" s="866" t="s">
        <v>2016</v>
      </c>
      <c r="F326" s="864" t="s">
        <v>2017</v>
      </c>
      <c r="G326" s="866">
        <v>807003866</v>
      </c>
      <c r="H326" s="858" t="s">
        <v>2018</v>
      </c>
      <c r="I326" s="210">
        <v>342000000</v>
      </c>
      <c r="J326" s="703" t="s">
        <v>1759</v>
      </c>
      <c r="K326" s="295">
        <v>2015</v>
      </c>
      <c r="L326" s="546">
        <v>42174</v>
      </c>
      <c r="M326" s="865">
        <v>42187</v>
      </c>
      <c r="N326" s="865">
        <v>42492</v>
      </c>
      <c r="O326" s="127">
        <f>COUNTA(Modificaciones!I326,Modificaciones!K326,Modificaciones!M326,Modificaciones!O326)</f>
        <v>2</v>
      </c>
      <c r="P326" s="128">
        <f>VLOOKUP(E326,Modificaciones!$B$7:$Q$400,16,0)</f>
        <v>92000000</v>
      </c>
      <c r="Q326" s="129">
        <f>COUNTA(Modificaciones!S326,Modificaciones!U326,Modificaciones!W326,Modificaciones!Y326)</f>
        <v>4</v>
      </c>
      <c r="R326" s="130" t="str">
        <f>IF(Modificaciones!Z326=0,"",VLOOKUP(E326,Modificaciones!$B$7:$AA$400,25,0))</f>
        <v>7 meses          23 días</v>
      </c>
      <c r="S326" s="131">
        <f>IF(Modificaciones!AA326=0,"",VLOOKUP(E326,Modificaciones!$B$7:$AA$400,26,0))</f>
        <v>42728</v>
      </c>
      <c r="T326" s="126">
        <f t="shared" si="65"/>
        <v>42728</v>
      </c>
      <c r="U326" s="62">
        <f t="shared" si="54"/>
        <v>434000000</v>
      </c>
      <c r="V326" s="172">
        <f>VLOOKUP(E326,Modificaciones!$B$7:$AU$400,46,0)</f>
        <v>374724848</v>
      </c>
      <c r="W326" s="93">
        <f t="shared" si="55"/>
        <v>59275152</v>
      </c>
      <c r="X326" s="309"/>
      <c r="Y326" s="42">
        <f t="shared" si="56"/>
        <v>0.8634213087557604</v>
      </c>
      <c r="Z326" s="42">
        <f t="shared" ca="1" si="57"/>
        <v>1</v>
      </c>
      <c r="AA326" s="43">
        <f t="shared" ca="1" si="58"/>
        <v>0.1365786912442396</v>
      </c>
      <c r="AB326" s="202" t="str">
        <f t="shared" ca="1" si="59"/>
        <v/>
      </c>
      <c r="AC326" s="44" t="str">
        <f t="shared" si="63"/>
        <v>NO</v>
      </c>
      <c r="AD326" s="760" t="str">
        <f>VLOOKUP(C326,[2]Hoja4!$A$2:$E$116,5,0)</f>
        <v>PRESTACION DE SERVICIOS</v>
      </c>
      <c r="AE326" s="173" t="s">
        <v>1256</v>
      </c>
      <c r="AF326" s="281" t="s">
        <v>1138</v>
      </c>
      <c r="AG326" s="173" t="s">
        <v>1442</v>
      </c>
      <c r="AH326" s="281" t="s">
        <v>560</v>
      </c>
      <c r="AI326" s="174" t="s">
        <v>1379</v>
      </c>
      <c r="AJ326" s="305" t="s">
        <v>1867</v>
      </c>
      <c r="AK326" s="181" t="str">
        <f t="shared" ca="1" si="60"/>
        <v>TERMINO</v>
      </c>
      <c r="AL326" s="310" t="s">
        <v>575</v>
      </c>
      <c r="AM326" s="176" t="s">
        <v>390</v>
      </c>
      <c r="AN326" s="848" t="str">
        <f>IFERROR(VLOOKUP(E326,'liquidaciones '!$B$2:$C$1048576,2,0),"NO")</f>
        <v>EN TRÁMITE</v>
      </c>
      <c r="AO326" s="944" t="str">
        <f>IFERROR(VLOOKUP(E326,'liquidaciones '!$B$2:$I$1048576,8,0),"")</f>
        <v>MANUEL ROJAS</v>
      </c>
      <c r="AP326" s="338"/>
      <c r="AQ326" s="177" t="str">
        <f t="shared" ca="1" si="64"/>
        <v>NO</v>
      </c>
      <c r="AR326" s="177" t="s">
        <v>1510</v>
      </c>
      <c r="AS326" s="433"/>
      <c r="AT326" s="964"/>
      <c r="AU326" s="964"/>
      <c r="AV326" s="964"/>
    </row>
    <row r="327" spans="2:48" ht="64.5" customHeight="1" x14ac:dyDescent="0.25">
      <c r="B327" s="15">
        <v>321</v>
      </c>
      <c r="C327" s="437">
        <v>158</v>
      </c>
      <c r="D327" s="437" t="str">
        <f t="shared" ref="D327:D379" si="66">K327&amp;C327</f>
        <v>2015158</v>
      </c>
      <c r="E327" s="866" t="s">
        <v>2019</v>
      </c>
      <c r="F327" s="864" t="s">
        <v>3672</v>
      </c>
      <c r="G327" s="866" t="s">
        <v>2020</v>
      </c>
      <c r="H327" s="858" t="s">
        <v>2021</v>
      </c>
      <c r="I327" s="210">
        <v>180000000</v>
      </c>
      <c r="J327" s="726" t="s">
        <v>2019</v>
      </c>
      <c r="K327" s="295">
        <v>2015</v>
      </c>
      <c r="L327" s="546">
        <v>42179</v>
      </c>
      <c r="M327" s="865">
        <v>42219</v>
      </c>
      <c r="N327" s="865">
        <v>42492</v>
      </c>
      <c r="O327" s="127">
        <f>COUNTA(Modificaciones!I327,Modificaciones!K327,Modificaciones!M327,Modificaciones!O327)</f>
        <v>0</v>
      </c>
      <c r="P327" s="128">
        <f>VLOOKUP(E327,Modificaciones!$B$7:$Q$400,16,0)</f>
        <v>0</v>
      </c>
      <c r="Q327" s="129">
        <f>COUNTA(Modificaciones!S327,Modificaciones!U327,Modificaciones!W327,Modificaciones!Y327)</f>
        <v>2</v>
      </c>
      <c r="R327" s="130" t="str">
        <f>IF(Modificaciones!Z327=0,"",VLOOKUP(E327,Modificaciones!$B$7:$AA$400,25,0))</f>
        <v>9 meses</v>
      </c>
      <c r="S327" s="131">
        <f>IF(Modificaciones!AA327=0,"",VLOOKUP(E327,Modificaciones!$B$7:$AA$400,26,0))</f>
        <v>42949</v>
      </c>
      <c r="T327" s="126">
        <f t="shared" si="65"/>
        <v>42949</v>
      </c>
      <c r="U327" s="62">
        <f t="shared" ref="U327:U390" si="67">I327+P327</f>
        <v>180000000</v>
      </c>
      <c r="V327" s="172">
        <f>VLOOKUP(E327,Modificaciones!$B$7:$AU$400,46,0)</f>
        <v>180000000</v>
      </c>
      <c r="W327" s="93">
        <f t="shared" ref="W327:W376" si="68">U327-V327</f>
        <v>0</v>
      </c>
      <c r="X327" s="309"/>
      <c r="Y327" s="42">
        <f t="shared" ref="Y327:Y390" si="69">(V327*100%)/U327</f>
        <v>1</v>
      </c>
      <c r="Z327" s="42">
        <f t="shared" ref="Z327:Z390" ca="1" si="70">IF((($F$3-M327)*100%/(T327-M327))&gt;100%,100%,(($F$3-M327)*100%/(T327-M327)))</f>
        <v>1</v>
      </c>
      <c r="AA327" s="43">
        <f t="shared" ref="AA327:AA390" ca="1" si="71">Z327-Y327</f>
        <v>0</v>
      </c>
      <c r="AB327" s="202" t="str">
        <f t="shared" ref="AB327:AB390" ca="1" si="72">IF(Z327&lt;100%,T327-$F$3,"")</f>
        <v/>
      </c>
      <c r="AC327" s="44" t="str">
        <f t="shared" si="63"/>
        <v>SI</v>
      </c>
      <c r="AD327" s="760" t="str">
        <f>VLOOKUP(C327,[2]Hoja4!$A$2:$E$116,5,0)</f>
        <v>CONVENIO INTERADMINISTRATIVO</v>
      </c>
      <c r="AE327" s="173" t="s">
        <v>1256</v>
      </c>
      <c r="AF327" s="281"/>
      <c r="AG327" s="173"/>
      <c r="AH327" s="281"/>
      <c r="AI327" s="305" t="s">
        <v>2026</v>
      </c>
      <c r="AJ327" s="305"/>
      <c r="AK327" s="181" t="str">
        <f t="shared" ref="AK327:AK390" ca="1" si="73">IF(T327&gt;=$F$3,"EN EJECUCIÓN","TERMINO")</f>
        <v>TERMINO</v>
      </c>
      <c r="AL327" s="310"/>
      <c r="AM327" s="176"/>
      <c r="AN327" s="848" t="str">
        <f>IFERROR(VLOOKUP(E327,'liquidaciones '!$B$2:$C$1048576,2,0),"NO")</f>
        <v>LIQUIDADO</v>
      </c>
      <c r="AO327" s="944">
        <f>IFERROR(VLOOKUP(E327,'liquidaciones '!$B$2:$I$1048576,8,0),"")</f>
        <v>0</v>
      </c>
      <c r="AP327" s="338"/>
      <c r="AQ327" s="177" t="str">
        <f t="shared" ca="1" si="64"/>
        <v>SI</v>
      </c>
      <c r="AR327" s="177" t="s">
        <v>2965</v>
      </c>
      <c r="AS327" s="433"/>
      <c r="AT327" s="964"/>
      <c r="AU327" s="964"/>
      <c r="AV327" s="964"/>
    </row>
    <row r="328" spans="2:48" ht="47.25" customHeight="1" x14ac:dyDescent="0.25">
      <c r="B328" s="15">
        <v>322</v>
      </c>
      <c r="C328" s="437">
        <v>63</v>
      </c>
      <c r="D328" s="437" t="str">
        <f t="shared" si="66"/>
        <v>201563</v>
      </c>
      <c r="E328" s="866" t="s">
        <v>2023</v>
      </c>
      <c r="F328" s="864" t="s">
        <v>2024</v>
      </c>
      <c r="G328" s="866">
        <v>800198591</v>
      </c>
      <c r="H328" s="858" t="s">
        <v>2025</v>
      </c>
      <c r="I328" s="210">
        <v>213397762</v>
      </c>
      <c r="J328" s="713" t="s">
        <v>2023</v>
      </c>
      <c r="K328" s="295">
        <v>2015</v>
      </c>
      <c r="L328" s="546">
        <v>42165</v>
      </c>
      <c r="M328" s="865">
        <v>42181</v>
      </c>
      <c r="N328" s="865">
        <v>42537</v>
      </c>
      <c r="O328" s="127">
        <f>COUNTA(Modificaciones!I328,Modificaciones!K328,Modificaciones!M328,Modificaciones!O328)</f>
        <v>0</v>
      </c>
      <c r="P328" s="128">
        <f>VLOOKUP(E328,Modificaciones!$B$7:$Q$400,16,0)</f>
        <v>0</v>
      </c>
      <c r="Q328" s="129">
        <f>COUNTA(Modificaciones!S328,Modificaciones!U328,Modificaciones!W328,Modificaciones!Y328)</f>
        <v>0</v>
      </c>
      <c r="R328" s="130" t="str">
        <f>IF(Modificaciones!Z328=0,"",VLOOKUP(E328,Modificaciones!$B$7:$AA$400,25,0))</f>
        <v/>
      </c>
      <c r="S328" s="131" t="str">
        <f>IF(Modificaciones!AA328=0,"",VLOOKUP(E328,Modificaciones!$B$7:$AA$400,26,0))</f>
        <v/>
      </c>
      <c r="T328" s="126">
        <f t="shared" si="65"/>
        <v>42537</v>
      </c>
      <c r="U328" s="62">
        <f t="shared" si="67"/>
        <v>213397762</v>
      </c>
      <c r="V328" s="172">
        <f>VLOOKUP(E328,Modificaciones!$B$7:$AU$400,46,0)</f>
        <v>213397758</v>
      </c>
      <c r="W328" s="93">
        <f t="shared" si="68"/>
        <v>4</v>
      </c>
      <c r="X328" s="309"/>
      <c r="Y328" s="42">
        <f t="shared" si="69"/>
        <v>0.99999998125566092</v>
      </c>
      <c r="Z328" s="42">
        <f t="shared" ca="1" si="70"/>
        <v>1</v>
      </c>
      <c r="AA328" s="43">
        <f t="shared" ca="1" si="71"/>
        <v>1.8744339080889461E-8</v>
      </c>
      <c r="AB328" s="202" t="str">
        <f t="shared" ca="1" si="72"/>
        <v/>
      </c>
      <c r="AC328" s="44" t="str">
        <f t="shared" si="63"/>
        <v>SI</v>
      </c>
      <c r="AD328" s="760" t="str">
        <f>VLOOKUP(C328,[2]Hoja4!$A$2:$E$116,5,0)</f>
        <v>PRESTACION DE SERVICIOS</v>
      </c>
      <c r="AE328" s="173" t="s">
        <v>1257</v>
      </c>
      <c r="AF328" s="173" t="s">
        <v>1174</v>
      </c>
      <c r="AG328" s="173" t="s">
        <v>1439</v>
      </c>
      <c r="AH328" s="281" t="s">
        <v>560</v>
      </c>
      <c r="AI328" s="305" t="s">
        <v>1509</v>
      </c>
      <c r="AJ328" s="305" t="s">
        <v>1867</v>
      </c>
      <c r="AK328" s="181" t="str">
        <f t="shared" ca="1" si="73"/>
        <v>TERMINO</v>
      </c>
      <c r="AL328" s="310" t="s">
        <v>582</v>
      </c>
      <c r="AM328" s="176" t="s">
        <v>390</v>
      </c>
      <c r="AN328" s="848" t="str">
        <f>IFERROR(VLOOKUP(E328,'liquidaciones '!$B$2:$C$1048576,2,0),"NO")</f>
        <v>LIQUIDADO</v>
      </c>
      <c r="AO328" s="944">
        <f>IFERROR(VLOOKUP(E328,'liquidaciones '!$B$2:$I$1048576,8,0),"")</f>
        <v>0</v>
      </c>
      <c r="AP328" s="338"/>
      <c r="AQ328" s="177" t="str">
        <f t="shared" ca="1" si="64"/>
        <v>NO</v>
      </c>
      <c r="AR328" s="177" t="s">
        <v>1992</v>
      </c>
      <c r="AS328" s="433"/>
      <c r="AT328" s="964"/>
      <c r="AU328" s="964"/>
      <c r="AV328" s="964"/>
    </row>
    <row r="329" spans="2:48" ht="47.25" customHeight="1" x14ac:dyDescent="0.25">
      <c r="B329" s="15">
        <v>323</v>
      </c>
      <c r="C329" s="437">
        <v>321</v>
      </c>
      <c r="D329" s="437" t="str">
        <f t="shared" si="66"/>
        <v>2015321</v>
      </c>
      <c r="E329" s="866" t="s">
        <v>2027</v>
      </c>
      <c r="F329" s="864" t="s">
        <v>2028</v>
      </c>
      <c r="G329" s="866">
        <v>80854911</v>
      </c>
      <c r="H329" s="858" t="s">
        <v>2029</v>
      </c>
      <c r="I329" s="210">
        <v>10800000</v>
      </c>
      <c r="J329" s="726" t="s">
        <v>2027</v>
      </c>
      <c r="K329" s="295">
        <v>2015</v>
      </c>
      <c r="L329" s="546">
        <v>42179</v>
      </c>
      <c r="M329" s="865">
        <v>42186</v>
      </c>
      <c r="N329" s="865">
        <v>42370</v>
      </c>
      <c r="O329" s="127">
        <f>COUNTA(Modificaciones!I329,Modificaciones!K329,Modificaciones!M329,Modificaciones!O329)</f>
        <v>0</v>
      </c>
      <c r="P329" s="128">
        <f>VLOOKUP(E329,Modificaciones!$B$7:$Q$400,16,0)</f>
        <v>0</v>
      </c>
      <c r="Q329" s="129">
        <f>COUNTA(Modificaciones!S329,Modificaciones!U329,Modificaciones!W329,Modificaciones!Y329)</f>
        <v>0</v>
      </c>
      <c r="R329" s="130" t="str">
        <f>IF(Modificaciones!Z329=0,"",VLOOKUP(E329,Modificaciones!$B$7:$AA$400,25,0))</f>
        <v/>
      </c>
      <c r="S329" s="131" t="str">
        <f>IF(Modificaciones!AA329=0,"",VLOOKUP(E329,Modificaciones!$B$7:$AA$400,26,0))</f>
        <v/>
      </c>
      <c r="T329" s="126">
        <f t="shared" si="65"/>
        <v>42370</v>
      </c>
      <c r="U329" s="62">
        <f t="shared" si="67"/>
        <v>10800000</v>
      </c>
      <c r="V329" s="172">
        <f>VLOOKUP(E329,Modificaciones!$B$7:$AU$400,46,0)</f>
        <v>10800000</v>
      </c>
      <c r="W329" s="93">
        <f t="shared" si="68"/>
        <v>0</v>
      </c>
      <c r="X329" s="309" t="s">
        <v>1095</v>
      </c>
      <c r="Y329" s="42">
        <f t="shared" si="69"/>
        <v>1</v>
      </c>
      <c r="Z329" s="42">
        <f t="shared" ca="1" si="70"/>
        <v>1</v>
      </c>
      <c r="AA329" s="43">
        <f t="shared" ca="1" si="71"/>
        <v>0</v>
      </c>
      <c r="AB329" s="202" t="str">
        <f t="shared" ca="1" si="72"/>
        <v/>
      </c>
      <c r="AC329" s="44" t="str">
        <f t="shared" si="63"/>
        <v>SI</v>
      </c>
      <c r="AD329" s="760" t="str">
        <f>VLOOKUP(C329,[2]Hoja4!$A$2:$E$116,5,0)</f>
        <v>PRESTACION DE SERVICIOS</v>
      </c>
      <c r="AE329" s="173" t="s">
        <v>1256</v>
      </c>
      <c r="AF329" s="281" t="s">
        <v>2058</v>
      </c>
      <c r="AG329" s="173" t="s">
        <v>1438</v>
      </c>
      <c r="AH329" s="281" t="s">
        <v>562</v>
      </c>
      <c r="AI329" s="305" t="s">
        <v>2165</v>
      </c>
      <c r="AJ329" s="305" t="s">
        <v>1867</v>
      </c>
      <c r="AK329" s="181" t="str">
        <f t="shared" ca="1" si="73"/>
        <v>TERMINO</v>
      </c>
      <c r="AL329" s="310" t="s">
        <v>582</v>
      </c>
      <c r="AM329" s="176" t="s">
        <v>391</v>
      </c>
      <c r="AN329" s="848" t="str">
        <f>IFERROR(VLOOKUP(E329,'liquidaciones '!$B$2:$C$1048576,2,0),"NO")</f>
        <v>LIQUIDADO</v>
      </c>
      <c r="AO329" s="944" t="str">
        <f>IFERROR(VLOOKUP(E329,'liquidaciones '!$B$2:$I$1048576,8,0),"")</f>
        <v>MANUEL ROJAS</v>
      </c>
      <c r="AP329" s="338"/>
      <c r="AQ329" s="177" t="str">
        <f t="shared" ca="1" si="64"/>
        <v>NO</v>
      </c>
      <c r="AR329" s="177" t="s">
        <v>1570</v>
      </c>
      <c r="AS329" s="433"/>
      <c r="AT329" s="964"/>
      <c r="AU329" s="964"/>
      <c r="AV329" s="964"/>
    </row>
    <row r="330" spans="2:48" ht="47.25" customHeight="1" x14ac:dyDescent="0.25">
      <c r="B330" s="15">
        <v>324</v>
      </c>
      <c r="C330" s="437">
        <v>320</v>
      </c>
      <c r="D330" s="437" t="str">
        <f t="shared" si="66"/>
        <v>2015320</v>
      </c>
      <c r="E330" s="866" t="s">
        <v>2030</v>
      </c>
      <c r="F330" s="864" t="s">
        <v>2031</v>
      </c>
      <c r="G330" s="866">
        <v>79246871</v>
      </c>
      <c r="H330" s="858" t="s">
        <v>2032</v>
      </c>
      <c r="I330" s="210">
        <v>21600000</v>
      </c>
      <c r="J330" s="726" t="s">
        <v>2030</v>
      </c>
      <c r="K330" s="295">
        <v>2015</v>
      </c>
      <c r="L330" s="546">
        <v>42179</v>
      </c>
      <c r="M330" s="865">
        <v>42186</v>
      </c>
      <c r="N330" s="865">
        <v>42370</v>
      </c>
      <c r="O330" s="127">
        <f>COUNTA(Modificaciones!I330,Modificaciones!K330,Modificaciones!M330,Modificaciones!O330)</f>
        <v>1</v>
      </c>
      <c r="P330" s="128">
        <f>VLOOKUP(E330,Modificaciones!$B$7:$Q$400,16,0)</f>
        <v>10800000</v>
      </c>
      <c r="Q330" s="129">
        <f>COUNTA(Modificaciones!S330,Modificaciones!U330,Modificaciones!W330,Modificaciones!Y330)</f>
        <v>1</v>
      </c>
      <c r="R330" s="130" t="str">
        <f>IF(Modificaciones!Z330=0,"",VLOOKUP(E330,Modificaciones!$B$7:$AA$400,25,0))</f>
        <v/>
      </c>
      <c r="S330" s="131">
        <f>IF(Modificaciones!AA330=0,"",VLOOKUP(E330,Modificaciones!$B$7:$AA$400,26,0))</f>
        <v>42461</v>
      </c>
      <c r="T330" s="126">
        <f t="shared" si="65"/>
        <v>42461</v>
      </c>
      <c r="U330" s="62">
        <f t="shared" si="67"/>
        <v>32400000</v>
      </c>
      <c r="V330" s="172">
        <f>VLOOKUP(E330,Modificaciones!$B$7:$AU$400,46,0)</f>
        <v>32400000</v>
      </c>
      <c r="W330" s="93">
        <f t="shared" si="68"/>
        <v>0</v>
      </c>
      <c r="X330" s="309" t="s">
        <v>1095</v>
      </c>
      <c r="Y330" s="42">
        <f t="shared" si="69"/>
        <v>1</v>
      </c>
      <c r="Z330" s="42">
        <f t="shared" ca="1" si="70"/>
        <v>1</v>
      </c>
      <c r="AA330" s="43">
        <f t="shared" ca="1" si="71"/>
        <v>0</v>
      </c>
      <c r="AB330" s="202" t="str">
        <f t="shared" ca="1" si="72"/>
        <v/>
      </c>
      <c r="AC330" s="44" t="str">
        <f t="shared" si="63"/>
        <v>SI</v>
      </c>
      <c r="AD330" s="760" t="s">
        <v>2898</v>
      </c>
      <c r="AE330" s="173" t="s">
        <v>1256</v>
      </c>
      <c r="AF330" s="281" t="s">
        <v>2060</v>
      </c>
      <c r="AG330" s="173" t="s">
        <v>1437</v>
      </c>
      <c r="AH330" s="281" t="s">
        <v>561</v>
      </c>
      <c r="AI330" s="305" t="s">
        <v>2166</v>
      </c>
      <c r="AJ330" s="305" t="s">
        <v>1867</v>
      </c>
      <c r="AK330" s="181" t="str">
        <f t="shared" ca="1" si="73"/>
        <v>TERMINO</v>
      </c>
      <c r="AL330" s="310" t="s">
        <v>582</v>
      </c>
      <c r="AM330" s="176" t="s">
        <v>391</v>
      </c>
      <c r="AN330" s="848" t="str">
        <f>IFERROR(VLOOKUP(E330,'liquidaciones '!$B$2:$C$1048576,2,0),"NO")</f>
        <v>LIQUIDADO</v>
      </c>
      <c r="AO330" s="944">
        <f>IFERROR(VLOOKUP(E330,'liquidaciones '!$B$2:$I$1048576,8,0),"")</f>
        <v>0</v>
      </c>
      <c r="AP330" s="338"/>
      <c r="AQ330" s="177" t="str">
        <f t="shared" ca="1" si="64"/>
        <v>NO</v>
      </c>
      <c r="AR330" s="177" t="s">
        <v>2076</v>
      </c>
      <c r="AS330" s="433"/>
      <c r="AT330" s="964"/>
      <c r="AU330" s="964"/>
      <c r="AV330" s="964"/>
    </row>
    <row r="331" spans="2:48" ht="47.25" customHeight="1" x14ac:dyDescent="0.25">
      <c r="B331" s="15">
        <v>325</v>
      </c>
      <c r="C331" s="437">
        <v>321</v>
      </c>
      <c r="D331" s="437" t="str">
        <f t="shared" si="66"/>
        <v>2015321</v>
      </c>
      <c r="E331" s="866" t="s">
        <v>2033</v>
      </c>
      <c r="F331" s="864" t="s">
        <v>2034</v>
      </c>
      <c r="G331" s="866">
        <v>80170782</v>
      </c>
      <c r="H331" s="858" t="s">
        <v>2029</v>
      </c>
      <c r="I331" s="210">
        <v>10800000</v>
      </c>
      <c r="J331" s="726" t="s">
        <v>2033</v>
      </c>
      <c r="K331" s="295">
        <v>2015</v>
      </c>
      <c r="L331" s="546">
        <v>42179</v>
      </c>
      <c r="M331" s="865">
        <v>42186</v>
      </c>
      <c r="N331" s="865">
        <v>42370</v>
      </c>
      <c r="O331" s="127">
        <f>COUNTA(Modificaciones!I331,Modificaciones!K331,Modificaciones!M331,Modificaciones!O331)</f>
        <v>0</v>
      </c>
      <c r="P331" s="128">
        <f>VLOOKUP(E331,Modificaciones!$B$7:$Q$400,16,0)</f>
        <v>0</v>
      </c>
      <c r="Q331" s="129">
        <f>COUNTA(Modificaciones!S331,Modificaciones!U331,Modificaciones!W331,Modificaciones!Y331)</f>
        <v>0</v>
      </c>
      <c r="R331" s="130" t="str">
        <f>IF(Modificaciones!Z331=0,"",VLOOKUP(E331,Modificaciones!$B$7:$AA$400,25,0))</f>
        <v/>
      </c>
      <c r="S331" s="131" t="str">
        <f>IF(Modificaciones!AA331=0,"",VLOOKUP(E331,Modificaciones!$B$7:$AA$400,26,0))</f>
        <v/>
      </c>
      <c r="T331" s="126">
        <f t="shared" si="65"/>
        <v>42370</v>
      </c>
      <c r="U331" s="62">
        <f t="shared" si="67"/>
        <v>10800000</v>
      </c>
      <c r="V331" s="172">
        <f>VLOOKUP(E331,Modificaciones!$B$7:$AU$400,46,0)</f>
        <v>9000000</v>
      </c>
      <c r="W331" s="93">
        <f t="shared" si="68"/>
        <v>1800000</v>
      </c>
      <c r="X331" s="309" t="s">
        <v>1095</v>
      </c>
      <c r="Y331" s="42">
        <f t="shared" si="69"/>
        <v>0.83333333333333337</v>
      </c>
      <c r="Z331" s="42">
        <f t="shared" ca="1" si="70"/>
        <v>1</v>
      </c>
      <c r="AA331" s="43">
        <f t="shared" ca="1" si="71"/>
        <v>0.16666666666666663</v>
      </c>
      <c r="AB331" s="202" t="str">
        <f t="shared" ca="1" si="72"/>
        <v/>
      </c>
      <c r="AC331" s="44" t="str">
        <f t="shared" si="63"/>
        <v>NO</v>
      </c>
      <c r="AD331" s="760" t="str">
        <f>VLOOKUP(C331,[2]Hoja4!$A$2:$E$116,5,0)</f>
        <v>PRESTACION DE SERVICIOS</v>
      </c>
      <c r="AE331" s="173" t="s">
        <v>1256</v>
      </c>
      <c r="AF331" s="281" t="s">
        <v>2058</v>
      </c>
      <c r="AG331" s="173" t="s">
        <v>1438</v>
      </c>
      <c r="AH331" s="281" t="s">
        <v>562</v>
      </c>
      <c r="AI331" s="305" t="s">
        <v>2165</v>
      </c>
      <c r="AJ331" s="305" t="s">
        <v>1867</v>
      </c>
      <c r="AK331" s="181" t="str">
        <f t="shared" ca="1" si="73"/>
        <v>TERMINO</v>
      </c>
      <c r="AL331" s="310" t="s">
        <v>582</v>
      </c>
      <c r="AM331" s="176" t="s">
        <v>391</v>
      </c>
      <c r="AN331" s="848" t="str">
        <f>IFERROR(VLOOKUP(E331,'liquidaciones '!$B$2:$C$1048576,2,0),"NO")</f>
        <v>LIQUIDADO</v>
      </c>
      <c r="AO331" s="944" t="str">
        <f>IFERROR(VLOOKUP(E331,'liquidaciones '!$B$2:$I$1048576,8,0),"")</f>
        <v>MANUEL ROJAS</v>
      </c>
      <c r="AP331" s="338"/>
      <c r="AQ331" s="177" t="str">
        <f t="shared" ca="1" si="64"/>
        <v>NO</v>
      </c>
      <c r="AR331" s="177" t="s">
        <v>1570</v>
      </c>
      <c r="AS331" s="433"/>
      <c r="AT331" s="964"/>
      <c r="AU331" s="964"/>
      <c r="AV331" s="964"/>
    </row>
    <row r="332" spans="2:48" ht="47.25" customHeight="1" x14ac:dyDescent="0.25">
      <c r="B332" s="15">
        <v>326</v>
      </c>
      <c r="C332" s="437">
        <v>322</v>
      </c>
      <c r="D332" s="437" t="str">
        <f t="shared" si="66"/>
        <v>2015322</v>
      </c>
      <c r="E332" s="866" t="s">
        <v>2035</v>
      </c>
      <c r="F332" s="864" t="s">
        <v>2036</v>
      </c>
      <c r="G332" s="866">
        <v>1032369925</v>
      </c>
      <c r="H332" s="858" t="s">
        <v>2037</v>
      </c>
      <c r="I332" s="210">
        <v>10800000</v>
      </c>
      <c r="J332" s="726" t="s">
        <v>2035</v>
      </c>
      <c r="K332" s="295">
        <v>2015</v>
      </c>
      <c r="L332" s="546">
        <v>42179</v>
      </c>
      <c r="M332" s="865">
        <v>42186</v>
      </c>
      <c r="N332" s="865">
        <v>42370</v>
      </c>
      <c r="O332" s="127">
        <f>COUNTA(Modificaciones!I332,Modificaciones!K332,Modificaciones!M332,Modificaciones!O332)</f>
        <v>0</v>
      </c>
      <c r="P332" s="128">
        <f>VLOOKUP(E332,Modificaciones!$B$7:$Q$400,16,0)</f>
        <v>0</v>
      </c>
      <c r="Q332" s="129">
        <f>COUNTA(Modificaciones!S332,Modificaciones!U332,Modificaciones!W332,Modificaciones!Y332)</f>
        <v>0</v>
      </c>
      <c r="R332" s="130" t="str">
        <f>IF(Modificaciones!Z332=0,"",VLOOKUP(E332,Modificaciones!$B$7:$AA$400,25,0))</f>
        <v/>
      </c>
      <c r="S332" s="131" t="str">
        <f>IF(Modificaciones!AA332=0,"",VLOOKUP(E332,Modificaciones!$B$7:$AA$400,26,0))</f>
        <v/>
      </c>
      <c r="T332" s="126">
        <f t="shared" si="65"/>
        <v>42370</v>
      </c>
      <c r="U332" s="62">
        <f t="shared" si="67"/>
        <v>10800000</v>
      </c>
      <c r="V332" s="172">
        <f>VLOOKUP(E332,Modificaciones!$B$7:$AU$400,46,0)</f>
        <v>10800000</v>
      </c>
      <c r="W332" s="93">
        <f t="shared" si="68"/>
        <v>0</v>
      </c>
      <c r="X332" s="309" t="s">
        <v>1095</v>
      </c>
      <c r="Y332" s="42">
        <f t="shared" si="69"/>
        <v>1</v>
      </c>
      <c r="Z332" s="42">
        <f t="shared" ca="1" si="70"/>
        <v>1</v>
      </c>
      <c r="AA332" s="43">
        <f t="shared" ca="1" si="71"/>
        <v>0</v>
      </c>
      <c r="AB332" s="202" t="str">
        <f t="shared" ca="1" si="72"/>
        <v/>
      </c>
      <c r="AC332" s="44" t="str">
        <f t="shared" si="63"/>
        <v>SI</v>
      </c>
      <c r="AD332" s="760" t="str">
        <f>VLOOKUP(C332,[2]Hoja4!$A$2:$E$116,5,0)</f>
        <v>PRESTACION DE SERVICIOS</v>
      </c>
      <c r="AE332" s="173" t="s">
        <v>1256</v>
      </c>
      <c r="AF332" s="281" t="s">
        <v>2061</v>
      </c>
      <c r="AG332" s="173" t="s">
        <v>1177</v>
      </c>
      <c r="AH332" s="281" t="s">
        <v>559</v>
      </c>
      <c r="AI332" s="305" t="s">
        <v>2168</v>
      </c>
      <c r="AJ332" s="305" t="s">
        <v>1867</v>
      </c>
      <c r="AK332" s="181" t="str">
        <f t="shared" ca="1" si="73"/>
        <v>TERMINO</v>
      </c>
      <c r="AL332" s="310" t="s">
        <v>582</v>
      </c>
      <c r="AM332" s="176" t="s">
        <v>391</v>
      </c>
      <c r="AN332" s="848" t="str">
        <f>IFERROR(VLOOKUP(E332,'liquidaciones '!$B$2:$C$1048576,2,0),"NO")</f>
        <v>LIQUIDADO</v>
      </c>
      <c r="AO332" s="944" t="str">
        <f>IFERROR(VLOOKUP(E332,'liquidaciones '!$B$2:$I$1048576,8,0),"")</f>
        <v>DORA PINILLA</v>
      </c>
      <c r="AP332" s="338"/>
      <c r="AQ332" s="177" t="str">
        <f t="shared" ca="1" si="64"/>
        <v>NO</v>
      </c>
      <c r="AR332" s="177" t="s">
        <v>2076</v>
      </c>
      <c r="AS332" s="433"/>
      <c r="AT332" s="964"/>
      <c r="AU332" s="964"/>
      <c r="AV332" s="964"/>
    </row>
    <row r="333" spans="2:48" ht="47.25" customHeight="1" x14ac:dyDescent="0.25">
      <c r="B333" s="15">
        <v>327</v>
      </c>
      <c r="C333" s="437">
        <v>321</v>
      </c>
      <c r="D333" s="437" t="str">
        <f t="shared" si="66"/>
        <v>2015321</v>
      </c>
      <c r="E333" s="866" t="s">
        <v>2038</v>
      </c>
      <c r="F333" s="864" t="s">
        <v>2039</v>
      </c>
      <c r="G333" s="866">
        <v>1019064265</v>
      </c>
      <c r="H333" s="858" t="s">
        <v>2029</v>
      </c>
      <c r="I333" s="210">
        <v>10800000</v>
      </c>
      <c r="J333" s="726" t="s">
        <v>2038</v>
      </c>
      <c r="K333" s="295">
        <v>2015</v>
      </c>
      <c r="L333" s="546">
        <v>42179</v>
      </c>
      <c r="M333" s="865">
        <v>42186</v>
      </c>
      <c r="N333" s="865">
        <v>42370</v>
      </c>
      <c r="O333" s="127">
        <f>COUNTA(Modificaciones!I333,Modificaciones!K333,Modificaciones!M333,Modificaciones!O333)</f>
        <v>0</v>
      </c>
      <c r="P333" s="128">
        <f>VLOOKUP(E333,Modificaciones!$B$7:$Q$400,16,0)</f>
        <v>0</v>
      </c>
      <c r="Q333" s="129">
        <f>COUNTA(Modificaciones!S333,Modificaciones!U333,Modificaciones!W333,Modificaciones!Y333)</f>
        <v>0</v>
      </c>
      <c r="R333" s="130" t="str">
        <f>IF(Modificaciones!Z333=0,"",VLOOKUP(E333,Modificaciones!$B$7:$AA$400,25,0))</f>
        <v/>
      </c>
      <c r="S333" s="131" t="str">
        <f>IF(Modificaciones!AA333=0,"",VLOOKUP(E333,Modificaciones!$B$7:$AA$400,26,0))</f>
        <v/>
      </c>
      <c r="T333" s="126">
        <f t="shared" si="65"/>
        <v>42370</v>
      </c>
      <c r="U333" s="62">
        <f t="shared" si="67"/>
        <v>10800000</v>
      </c>
      <c r="V333" s="172">
        <f>VLOOKUP(E333,Modificaciones!$B$7:$AU$400,46,0)</f>
        <v>10800000</v>
      </c>
      <c r="W333" s="93">
        <f t="shared" si="68"/>
        <v>0</v>
      </c>
      <c r="X333" s="309" t="s">
        <v>1095</v>
      </c>
      <c r="Y333" s="42">
        <f t="shared" si="69"/>
        <v>1</v>
      </c>
      <c r="Z333" s="42">
        <f t="shared" ca="1" si="70"/>
        <v>1</v>
      </c>
      <c r="AA333" s="43">
        <f t="shared" ca="1" si="71"/>
        <v>0</v>
      </c>
      <c r="AB333" s="202" t="str">
        <f t="shared" ca="1" si="72"/>
        <v/>
      </c>
      <c r="AC333" s="44" t="str">
        <f t="shared" si="63"/>
        <v>SI</v>
      </c>
      <c r="AD333" s="760" t="str">
        <f>VLOOKUP(C333,[2]Hoja4!$A$2:$E$116,5,0)</f>
        <v>PRESTACION DE SERVICIOS</v>
      </c>
      <c r="AE333" s="173" t="s">
        <v>1256</v>
      </c>
      <c r="AF333" s="281" t="s">
        <v>2058</v>
      </c>
      <c r="AG333" s="173" t="s">
        <v>1438</v>
      </c>
      <c r="AH333" s="281" t="s">
        <v>562</v>
      </c>
      <c r="AI333" s="305" t="s">
        <v>2165</v>
      </c>
      <c r="AJ333" s="305" t="s">
        <v>1867</v>
      </c>
      <c r="AK333" s="181" t="str">
        <f t="shared" ca="1" si="73"/>
        <v>TERMINO</v>
      </c>
      <c r="AL333" s="310" t="s">
        <v>582</v>
      </c>
      <c r="AM333" s="176" t="s">
        <v>391</v>
      </c>
      <c r="AN333" s="848" t="str">
        <f>IFERROR(VLOOKUP(E333,'liquidaciones '!$B$2:$C$1048576,2,0),"NO")</f>
        <v>LIQUIDADO</v>
      </c>
      <c r="AO333" s="944">
        <f>IFERROR(VLOOKUP(E333,'liquidaciones '!$B$2:$I$1048576,8,0),"")</f>
        <v>0</v>
      </c>
      <c r="AP333" s="338"/>
      <c r="AQ333" s="177" t="str">
        <f t="shared" ca="1" si="64"/>
        <v>NO</v>
      </c>
      <c r="AR333" s="177" t="s">
        <v>1570</v>
      </c>
      <c r="AS333" s="433"/>
      <c r="AT333" s="964"/>
      <c r="AU333" s="964"/>
      <c r="AV333" s="964"/>
    </row>
    <row r="334" spans="2:48" ht="47.25" customHeight="1" x14ac:dyDescent="0.25">
      <c r="B334" s="15">
        <v>328</v>
      </c>
      <c r="C334" s="437">
        <v>321</v>
      </c>
      <c r="D334" s="437" t="str">
        <f t="shared" si="66"/>
        <v>2015321</v>
      </c>
      <c r="E334" s="866" t="s">
        <v>2040</v>
      </c>
      <c r="F334" s="864" t="s">
        <v>2041</v>
      </c>
      <c r="G334" s="866">
        <v>36547458</v>
      </c>
      <c r="H334" s="858" t="s">
        <v>2042</v>
      </c>
      <c r="I334" s="210">
        <v>10800000</v>
      </c>
      <c r="J334" s="726" t="s">
        <v>2040</v>
      </c>
      <c r="K334" s="295">
        <v>2015</v>
      </c>
      <c r="L334" s="546">
        <v>42179</v>
      </c>
      <c r="M334" s="865">
        <v>42186</v>
      </c>
      <c r="N334" s="865">
        <v>42370</v>
      </c>
      <c r="O334" s="127">
        <f>COUNTA(Modificaciones!I334,Modificaciones!K334,Modificaciones!M334,Modificaciones!O334)</f>
        <v>0</v>
      </c>
      <c r="P334" s="128">
        <f>VLOOKUP(E334,Modificaciones!$B$7:$Q$400,16,0)</f>
        <v>0</v>
      </c>
      <c r="Q334" s="129">
        <f>COUNTA(Modificaciones!S334,Modificaciones!U334,Modificaciones!W334,Modificaciones!Y334)</f>
        <v>0</v>
      </c>
      <c r="R334" s="130" t="str">
        <f>IF(Modificaciones!Z334=0,"",VLOOKUP(E334,Modificaciones!$B$7:$AA$400,25,0))</f>
        <v/>
      </c>
      <c r="S334" s="131" t="str">
        <f>IF(Modificaciones!AA334=0,"",VLOOKUP(E334,Modificaciones!$B$7:$AA$400,26,0))</f>
        <v/>
      </c>
      <c r="T334" s="126">
        <f t="shared" si="65"/>
        <v>42370</v>
      </c>
      <c r="U334" s="62">
        <f t="shared" si="67"/>
        <v>10800000</v>
      </c>
      <c r="V334" s="172">
        <f>VLOOKUP(E334,Modificaciones!$B$7:$AU$400,46,0)</f>
        <v>10800000</v>
      </c>
      <c r="W334" s="93">
        <f t="shared" si="68"/>
        <v>0</v>
      </c>
      <c r="X334" s="309" t="s">
        <v>1095</v>
      </c>
      <c r="Y334" s="42">
        <f t="shared" si="69"/>
        <v>1</v>
      </c>
      <c r="Z334" s="42">
        <f t="shared" ca="1" si="70"/>
        <v>1</v>
      </c>
      <c r="AA334" s="43">
        <f t="shared" ca="1" si="71"/>
        <v>0</v>
      </c>
      <c r="AB334" s="202" t="str">
        <f t="shared" ca="1" si="72"/>
        <v/>
      </c>
      <c r="AC334" s="44" t="str">
        <f t="shared" si="63"/>
        <v>SI</v>
      </c>
      <c r="AD334" s="760" t="str">
        <f>VLOOKUP(C334,[2]Hoja4!$A$2:$E$116,5,0)</f>
        <v>PRESTACION DE SERVICIOS</v>
      </c>
      <c r="AE334" s="173" t="s">
        <v>1256</v>
      </c>
      <c r="AF334" s="281" t="s">
        <v>2058</v>
      </c>
      <c r="AG334" s="173" t="s">
        <v>1438</v>
      </c>
      <c r="AH334" s="281" t="s">
        <v>562</v>
      </c>
      <c r="AI334" s="305" t="s">
        <v>2165</v>
      </c>
      <c r="AJ334" s="305" t="s">
        <v>1867</v>
      </c>
      <c r="AK334" s="181" t="str">
        <f t="shared" ca="1" si="73"/>
        <v>TERMINO</v>
      </c>
      <c r="AL334" s="310" t="s">
        <v>582</v>
      </c>
      <c r="AM334" s="176" t="s">
        <v>391</v>
      </c>
      <c r="AN334" s="848" t="str">
        <f>IFERROR(VLOOKUP(E334,'liquidaciones '!$B$2:$C$1048576,2,0),"NO")</f>
        <v>LIQUIDADO</v>
      </c>
      <c r="AO334" s="944">
        <f>IFERROR(VLOOKUP(E334,'liquidaciones '!$B$2:$I$1048576,8,0),"")</f>
        <v>0</v>
      </c>
      <c r="AP334" s="338"/>
      <c r="AQ334" s="177" t="str">
        <f t="shared" ca="1" si="64"/>
        <v>NO</v>
      </c>
      <c r="AR334" s="177" t="s">
        <v>1570</v>
      </c>
      <c r="AS334" s="433"/>
      <c r="AT334" s="964"/>
      <c r="AU334" s="964"/>
      <c r="AV334" s="964"/>
    </row>
    <row r="335" spans="2:48" ht="47.25" customHeight="1" x14ac:dyDescent="0.25">
      <c r="B335" s="15">
        <v>329</v>
      </c>
      <c r="C335" s="437">
        <v>324</v>
      </c>
      <c r="D335" s="437" t="str">
        <f t="shared" si="66"/>
        <v>2015324</v>
      </c>
      <c r="E335" s="866" t="s">
        <v>2043</v>
      </c>
      <c r="F335" s="864" t="s">
        <v>2044</v>
      </c>
      <c r="G335" s="866">
        <v>35493364</v>
      </c>
      <c r="H335" s="858" t="s">
        <v>2045</v>
      </c>
      <c r="I335" s="210">
        <v>31800000</v>
      </c>
      <c r="J335" s="726" t="s">
        <v>2043</v>
      </c>
      <c r="K335" s="295">
        <v>2015</v>
      </c>
      <c r="L335" s="546">
        <v>42179</v>
      </c>
      <c r="M335" s="865">
        <v>42186</v>
      </c>
      <c r="N335" s="865">
        <v>42370</v>
      </c>
      <c r="O335" s="127">
        <f>COUNTA(Modificaciones!I335,Modificaciones!K335,Modificaciones!M335,Modificaciones!O335)</f>
        <v>1</v>
      </c>
      <c r="P335" s="128">
        <f>VLOOKUP(E335,Modificaciones!$B$7:$Q$400,16,0)</f>
        <v>15900000</v>
      </c>
      <c r="Q335" s="129">
        <f>COUNTA(Modificaciones!S335,Modificaciones!U335,Modificaciones!W335,Modificaciones!Y335)</f>
        <v>1</v>
      </c>
      <c r="R335" s="130" t="str">
        <f>IF(Modificaciones!Z335=0,"",VLOOKUP(E335,Modificaciones!$B$7:$AA$400,25,0))</f>
        <v/>
      </c>
      <c r="S335" s="131">
        <f>IF(Modificaciones!AA335=0,"",VLOOKUP(E335,Modificaciones!$B$7:$AA$400,26,0))</f>
        <v>42461</v>
      </c>
      <c r="T335" s="126">
        <f t="shared" si="65"/>
        <v>42461</v>
      </c>
      <c r="U335" s="62">
        <f t="shared" si="67"/>
        <v>47700000</v>
      </c>
      <c r="V335" s="172">
        <f>VLOOKUP(E335,Modificaciones!$B$7:$AU$400,46,0)</f>
        <v>47700000</v>
      </c>
      <c r="W335" s="93">
        <f t="shared" si="68"/>
        <v>0</v>
      </c>
      <c r="X335" s="309" t="s">
        <v>1095</v>
      </c>
      <c r="Y335" s="42">
        <f t="shared" si="69"/>
        <v>1</v>
      </c>
      <c r="Z335" s="42">
        <f t="shared" ca="1" si="70"/>
        <v>1</v>
      </c>
      <c r="AA335" s="43">
        <f t="shared" ca="1" si="71"/>
        <v>0</v>
      </c>
      <c r="AB335" s="202" t="str">
        <f t="shared" ca="1" si="72"/>
        <v/>
      </c>
      <c r="AC335" s="44" t="str">
        <f t="shared" si="63"/>
        <v>SI</v>
      </c>
      <c r="AD335" s="760" t="s">
        <v>2898</v>
      </c>
      <c r="AE335" s="173" t="s">
        <v>1256</v>
      </c>
      <c r="AF335" s="281" t="s">
        <v>2059</v>
      </c>
      <c r="AG335" s="173" t="s">
        <v>1429</v>
      </c>
      <c r="AH335" s="281" t="s">
        <v>563</v>
      </c>
      <c r="AI335" s="305"/>
      <c r="AJ335" s="305" t="s">
        <v>1867</v>
      </c>
      <c r="AK335" s="181" t="str">
        <f t="shared" ca="1" si="73"/>
        <v>TERMINO</v>
      </c>
      <c r="AL335" s="310" t="s">
        <v>582</v>
      </c>
      <c r="AM335" s="176" t="s">
        <v>391</v>
      </c>
      <c r="AN335" s="848" t="str">
        <f>IFERROR(VLOOKUP(E335,'liquidaciones '!$B$2:$C$1048576,2,0),"NO")</f>
        <v>LIQUIDADO</v>
      </c>
      <c r="AO335" s="944">
        <f>IFERROR(VLOOKUP(E335,'liquidaciones '!$B$2:$I$1048576,8,0),"")</f>
        <v>0</v>
      </c>
      <c r="AP335" s="338"/>
      <c r="AQ335" s="177" t="str">
        <f t="shared" ca="1" si="64"/>
        <v>NO</v>
      </c>
      <c r="AR335" s="177" t="s">
        <v>2076</v>
      </c>
      <c r="AS335" s="433"/>
      <c r="AT335" s="964"/>
      <c r="AU335" s="964"/>
      <c r="AV335" s="964"/>
    </row>
    <row r="336" spans="2:48" ht="47.25" customHeight="1" x14ac:dyDescent="0.25">
      <c r="B336" s="15">
        <v>330</v>
      </c>
      <c r="C336" s="437">
        <v>321</v>
      </c>
      <c r="D336" s="437" t="str">
        <f t="shared" si="66"/>
        <v>2015321</v>
      </c>
      <c r="E336" s="866" t="s">
        <v>2046</v>
      </c>
      <c r="F336" s="864" t="s">
        <v>2047</v>
      </c>
      <c r="G336" s="866">
        <v>52289212</v>
      </c>
      <c r="H336" s="858" t="s">
        <v>2042</v>
      </c>
      <c r="I336" s="210">
        <v>10800000</v>
      </c>
      <c r="J336" s="726" t="s">
        <v>2046</v>
      </c>
      <c r="K336" s="295">
        <v>2015</v>
      </c>
      <c r="L336" s="546">
        <v>42179</v>
      </c>
      <c r="M336" s="865">
        <v>42186</v>
      </c>
      <c r="N336" s="865">
        <v>42370</v>
      </c>
      <c r="O336" s="127">
        <f>COUNTA(Modificaciones!I336,Modificaciones!K336,Modificaciones!M336,Modificaciones!O336)</f>
        <v>0</v>
      </c>
      <c r="P336" s="128">
        <f>VLOOKUP(E336,Modificaciones!$B$7:$Q$400,16,0)</f>
        <v>0</v>
      </c>
      <c r="Q336" s="129">
        <f>COUNTA(Modificaciones!S336,Modificaciones!U336,Modificaciones!W336,Modificaciones!Y336)</f>
        <v>0</v>
      </c>
      <c r="R336" s="130" t="str">
        <f>IF(Modificaciones!Z336=0,"",VLOOKUP(E336,Modificaciones!$B$7:$AA$400,25,0))</f>
        <v/>
      </c>
      <c r="S336" s="131" t="str">
        <f>IF(Modificaciones!AA336=0,"",VLOOKUP(E336,Modificaciones!$B$7:$AA$400,26,0))</f>
        <v/>
      </c>
      <c r="T336" s="126">
        <f t="shared" si="65"/>
        <v>42370</v>
      </c>
      <c r="U336" s="62">
        <f t="shared" si="67"/>
        <v>10800000</v>
      </c>
      <c r="V336" s="172">
        <f>VLOOKUP(E336,Modificaciones!$B$7:$AU$400,46,0)</f>
        <v>10800000</v>
      </c>
      <c r="W336" s="93">
        <f t="shared" si="68"/>
        <v>0</v>
      </c>
      <c r="X336" s="309" t="s">
        <v>1095</v>
      </c>
      <c r="Y336" s="42">
        <f t="shared" si="69"/>
        <v>1</v>
      </c>
      <c r="Z336" s="42">
        <f t="shared" ca="1" si="70"/>
        <v>1</v>
      </c>
      <c r="AA336" s="43">
        <f t="shared" ca="1" si="71"/>
        <v>0</v>
      </c>
      <c r="AB336" s="202" t="str">
        <f t="shared" ca="1" si="72"/>
        <v/>
      </c>
      <c r="AC336" s="44" t="str">
        <f t="shared" si="63"/>
        <v>SI</v>
      </c>
      <c r="AD336" s="760" t="str">
        <f>VLOOKUP(C336,[2]Hoja4!$A$2:$E$116,5,0)</f>
        <v>PRESTACION DE SERVICIOS</v>
      </c>
      <c r="AE336" s="173" t="s">
        <v>1256</v>
      </c>
      <c r="AF336" s="281" t="s">
        <v>2058</v>
      </c>
      <c r="AG336" s="173" t="s">
        <v>1438</v>
      </c>
      <c r="AH336" s="281" t="s">
        <v>562</v>
      </c>
      <c r="AI336" s="305" t="s">
        <v>2165</v>
      </c>
      <c r="AJ336" s="305" t="s">
        <v>1867</v>
      </c>
      <c r="AK336" s="181" t="str">
        <f t="shared" ca="1" si="73"/>
        <v>TERMINO</v>
      </c>
      <c r="AL336" s="310" t="s">
        <v>582</v>
      </c>
      <c r="AM336" s="176" t="s">
        <v>391</v>
      </c>
      <c r="AN336" s="848" t="str">
        <f>IFERROR(VLOOKUP(E336,'liquidaciones '!$B$2:$C$1048576,2,0),"NO")</f>
        <v>LIQUIDADO</v>
      </c>
      <c r="AO336" s="944">
        <f>IFERROR(VLOOKUP(E336,'liquidaciones '!$B$2:$I$1048576,8,0),"")</f>
        <v>0</v>
      </c>
      <c r="AP336" s="338"/>
      <c r="AQ336" s="177" t="str">
        <f t="shared" ca="1" si="64"/>
        <v>NO</v>
      </c>
      <c r="AR336" s="177" t="s">
        <v>1570</v>
      </c>
      <c r="AS336" s="433"/>
      <c r="AT336" s="964"/>
      <c r="AU336" s="964"/>
      <c r="AV336" s="964"/>
    </row>
    <row r="337" spans="2:48" ht="47.25" customHeight="1" x14ac:dyDescent="0.25">
      <c r="B337" s="15">
        <v>331</v>
      </c>
      <c r="C337" s="437">
        <v>319</v>
      </c>
      <c r="D337" s="437" t="str">
        <f t="shared" si="66"/>
        <v>2015319</v>
      </c>
      <c r="E337" s="866" t="s">
        <v>2048</v>
      </c>
      <c r="F337" s="864" t="s">
        <v>2049</v>
      </c>
      <c r="G337" s="866">
        <v>19465430</v>
      </c>
      <c r="H337" s="858" t="s">
        <v>2050</v>
      </c>
      <c r="I337" s="210">
        <v>31800000</v>
      </c>
      <c r="J337" s="726" t="s">
        <v>2048</v>
      </c>
      <c r="K337" s="295">
        <v>2015</v>
      </c>
      <c r="L337" s="546">
        <v>42179</v>
      </c>
      <c r="M337" s="865">
        <v>42186</v>
      </c>
      <c r="N337" s="865">
        <v>42370</v>
      </c>
      <c r="O337" s="127">
        <f>COUNTA(Modificaciones!I337,Modificaciones!K337,Modificaciones!M337,Modificaciones!O337)</f>
        <v>0</v>
      </c>
      <c r="P337" s="128">
        <f>VLOOKUP(E337,Modificaciones!$B$7:$Q$400,16,0)</f>
        <v>0</v>
      </c>
      <c r="Q337" s="129">
        <f>COUNTA(Modificaciones!S337,Modificaciones!U337,Modificaciones!W337,Modificaciones!Y337)</f>
        <v>0</v>
      </c>
      <c r="R337" s="130" t="str">
        <f>IF(Modificaciones!Z337=0,"",VLOOKUP(E337,Modificaciones!$B$7:$AA$400,25,0))</f>
        <v/>
      </c>
      <c r="S337" s="131" t="str">
        <f>IF(Modificaciones!AA337=0,"",VLOOKUP(E337,Modificaciones!$B$7:$AA$400,26,0))</f>
        <v/>
      </c>
      <c r="T337" s="126">
        <f t="shared" si="65"/>
        <v>42370</v>
      </c>
      <c r="U337" s="62">
        <f t="shared" si="67"/>
        <v>31800000</v>
      </c>
      <c r="V337" s="172">
        <f>VLOOKUP(E337,Modificaciones!$B$7:$AU$400,46,0)</f>
        <v>31800000</v>
      </c>
      <c r="W337" s="93">
        <f t="shared" si="68"/>
        <v>0</v>
      </c>
      <c r="X337" s="309" t="s">
        <v>1095</v>
      </c>
      <c r="Y337" s="42">
        <f t="shared" si="69"/>
        <v>1</v>
      </c>
      <c r="Z337" s="42">
        <f t="shared" ca="1" si="70"/>
        <v>1</v>
      </c>
      <c r="AA337" s="43">
        <f t="shared" ca="1" si="71"/>
        <v>0</v>
      </c>
      <c r="AB337" s="202" t="str">
        <f t="shared" ca="1" si="72"/>
        <v/>
      </c>
      <c r="AC337" s="44" t="str">
        <f t="shared" si="63"/>
        <v>SI</v>
      </c>
      <c r="AD337" s="760" t="s">
        <v>2898</v>
      </c>
      <c r="AE337" s="173" t="s">
        <v>1256</v>
      </c>
      <c r="AF337" s="281" t="s">
        <v>2057</v>
      </c>
      <c r="AG337" s="173" t="s">
        <v>1177</v>
      </c>
      <c r="AH337" s="281" t="s">
        <v>559</v>
      </c>
      <c r="AI337" s="305" t="s">
        <v>2168</v>
      </c>
      <c r="AJ337" s="305" t="s">
        <v>1867</v>
      </c>
      <c r="AK337" s="181" t="str">
        <f t="shared" ca="1" si="73"/>
        <v>TERMINO</v>
      </c>
      <c r="AL337" s="310" t="s">
        <v>582</v>
      </c>
      <c r="AM337" s="176" t="s">
        <v>391</v>
      </c>
      <c r="AN337" s="848" t="str">
        <f>IFERROR(VLOOKUP(E337,'liquidaciones '!$B$2:$C$1048576,2,0),"NO")</f>
        <v>LIQUIDADO</v>
      </c>
      <c r="AO337" s="944" t="str">
        <f>IFERROR(VLOOKUP(E337,'liquidaciones '!$B$2:$I$1048576,8,0),"")</f>
        <v>CLAUDIA VANEGAS</v>
      </c>
      <c r="AP337" s="338"/>
      <c r="AQ337" s="177" t="str">
        <f t="shared" ca="1" si="64"/>
        <v>NO</v>
      </c>
      <c r="AR337" s="177" t="s">
        <v>2076</v>
      </c>
      <c r="AS337" s="433"/>
      <c r="AT337" s="964"/>
      <c r="AU337" s="964"/>
      <c r="AV337" s="964"/>
    </row>
    <row r="338" spans="2:48" ht="47.25" customHeight="1" x14ac:dyDescent="0.25">
      <c r="B338" s="15">
        <v>332</v>
      </c>
      <c r="C338" s="437">
        <v>188</v>
      </c>
      <c r="D338" s="437" t="str">
        <f t="shared" si="66"/>
        <v>2015188</v>
      </c>
      <c r="E338" s="866" t="s">
        <v>2054</v>
      </c>
      <c r="F338" s="864" t="s">
        <v>2055</v>
      </c>
      <c r="G338" s="866">
        <v>900409217</v>
      </c>
      <c r="H338" s="858" t="s">
        <v>2056</v>
      </c>
      <c r="I338" s="210">
        <v>52390000</v>
      </c>
      <c r="J338" s="703" t="s">
        <v>1873</v>
      </c>
      <c r="K338" s="295">
        <v>2015</v>
      </c>
      <c r="L338" s="546">
        <v>42181</v>
      </c>
      <c r="M338" s="865">
        <v>42200</v>
      </c>
      <c r="N338" s="865">
        <v>42475</v>
      </c>
      <c r="O338" s="127">
        <f>COUNTA(Modificaciones!I338,Modificaciones!K338,Modificaciones!M338,Modificaciones!O338)</f>
        <v>0</v>
      </c>
      <c r="P338" s="128">
        <f>VLOOKUP(E338,Modificaciones!$B$7:$Q$400,16,0)</f>
        <v>0</v>
      </c>
      <c r="Q338" s="129">
        <f>COUNTA(Modificaciones!S338,Modificaciones!U338,Modificaciones!W338,Modificaciones!Y338)</f>
        <v>0</v>
      </c>
      <c r="R338" s="130" t="str">
        <f>IF(Modificaciones!Z338=0,"",VLOOKUP(E338,Modificaciones!$B$7:$AA$400,25,0))</f>
        <v/>
      </c>
      <c r="S338" s="131" t="str">
        <f>IF(Modificaciones!AA338=0,"",VLOOKUP(E338,Modificaciones!$B$7:$AA$400,26,0))</f>
        <v/>
      </c>
      <c r="T338" s="126">
        <f t="shared" si="65"/>
        <v>42475</v>
      </c>
      <c r="U338" s="62">
        <f t="shared" si="67"/>
        <v>52390000</v>
      </c>
      <c r="V338" s="172">
        <f>VLOOKUP(E338,Modificaciones!$B$7:$AU$400,46,0)</f>
        <v>49166000</v>
      </c>
      <c r="W338" s="93">
        <f t="shared" si="68"/>
        <v>3224000</v>
      </c>
      <c r="X338" s="309" t="s">
        <v>1878</v>
      </c>
      <c r="Y338" s="42">
        <f t="shared" si="69"/>
        <v>0.93846153846153846</v>
      </c>
      <c r="Z338" s="42">
        <f t="shared" ca="1" si="70"/>
        <v>1</v>
      </c>
      <c r="AA338" s="43">
        <f t="shared" ca="1" si="71"/>
        <v>6.1538461538461542E-2</v>
      </c>
      <c r="AB338" s="202" t="str">
        <f t="shared" ca="1" si="72"/>
        <v/>
      </c>
      <c r="AC338" s="44" t="str">
        <f t="shared" si="63"/>
        <v>NO</v>
      </c>
      <c r="AD338" s="760" t="str">
        <f>VLOOKUP(C338,[2]Hoja4!$A$2:$E$116,5,0)</f>
        <v>PRESTACION DE SERVICIOS</v>
      </c>
      <c r="AE338" s="173" t="s">
        <v>1256</v>
      </c>
      <c r="AF338" s="281" t="s">
        <v>1175</v>
      </c>
      <c r="AG338" s="173" t="s">
        <v>1435</v>
      </c>
      <c r="AH338" s="281" t="s">
        <v>560</v>
      </c>
      <c r="AI338" s="174" t="s">
        <v>1389</v>
      </c>
      <c r="AJ338" s="305" t="s">
        <v>1867</v>
      </c>
      <c r="AK338" s="181" t="str">
        <f t="shared" ca="1" si="73"/>
        <v>TERMINO</v>
      </c>
      <c r="AL338" s="310" t="s">
        <v>574</v>
      </c>
      <c r="AM338" s="176" t="s">
        <v>390</v>
      </c>
      <c r="AN338" s="848" t="str">
        <f>IFERROR(VLOOKUP(E338,'liquidaciones '!$B$2:$C$1048576,2,0),"NO")</f>
        <v>LIQUIDADO</v>
      </c>
      <c r="AO338" s="944">
        <f>IFERROR(VLOOKUP(E338,'liquidaciones '!$B$2:$I$1048576,8,0),"")</f>
        <v>0</v>
      </c>
      <c r="AP338" s="338"/>
      <c r="AQ338" s="177" t="str">
        <f t="shared" ca="1" si="64"/>
        <v>NO</v>
      </c>
      <c r="AR338" s="177" t="s">
        <v>2390</v>
      </c>
      <c r="AS338" s="433"/>
      <c r="AT338" s="964"/>
      <c r="AU338" s="964"/>
      <c r="AV338" s="964"/>
    </row>
    <row r="339" spans="2:48" ht="47.25" customHeight="1" x14ac:dyDescent="0.25">
      <c r="B339" s="15">
        <v>333</v>
      </c>
      <c r="C339" s="437">
        <v>321</v>
      </c>
      <c r="D339" s="437" t="str">
        <f t="shared" si="66"/>
        <v>2015321</v>
      </c>
      <c r="E339" s="866" t="s">
        <v>2066</v>
      </c>
      <c r="F339" s="864" t="s">
        <v>2065</v>
      </c>
      <c r="G339" s="866">
        <v>1030580992</v>
      </c>
      <c r="H339" s="858" t="s">
        <v>2042</v>
      </c>
      <c r="I339" s="210">
        <v>10800000</v>
      </c>
      <c r="J339" s="726" t="s">
        <v>2066</v>
      </c>
      <c r="K339" s="295">
        <v>2015</v>
      </c>
      <c r="L339" s="546">
        <v>42193</v>
      </c>
      <c r="M339" s="865">
        <v>42198</v>
      </c>
      <c r="N339" s="865">
        <v>42382</v>
      </c>
      <c r="O339" s="127">
        <f>COUNTA(Modificaciones!I339,Modificaciones!K339,Modificaciones!M339,Modificaciones!O339)</f>
        <v>0</v>
      </c>
      <c r="P339" s="128">
        <f>VLOOKUP(E339,Modificaciones!$B$7:$Q$400,16,0)</f>
        <v>0</v>
      </c>
      <c r="Q339" s="129">
        <f>COUNTA(Modificaciones!S339,Modificaciones!U339,Modificaciones!W339,Modificaciones!Y339)</f>
        <v>0</v>
      </c>
      <c r="R339" s="130" t="str">
        <f>IF(Modificaciones!Z339=0,"",VLOOKUP(E339,Modificaciones!$B$7:$AA$400,25,0))</f>
        <v/>
      </c>
      <c r="S339" s="131" t="str">
        <f>IF(Modificaciones!AA339=0,"",VLOOKUP(E339,Modificaciones!$B$7:$AA$400,26,0))</f>
        <v/>
      </c>
      <c r="T339" s="126">
        <f t="shared" si="65"/>
        <v>42382</v>
      </c>
      <c r="U339" s="62">
        <f t="shared" si="67"/>
        <v>10800000</v>
      </c>
      <c r="V339" s="172">
        <f>VLOOKUP(E339,Modificaciones!$B$7:$AU$400,46,0)</f>
        <v>4680000</v>
      </c>
      <c r="W339" s="93">
        <f t="shared" si="68"/>
        <v>6120000</v>
      </c>
      <c r="X339" s="309" t="s">
        <v>1095</v>
      </c>
      <c r="Y339" s="42">
        <f t="shared" si="69"/>
        <v>0.43333333333333335</v>
      </c>
      <c r="Z339" s="42">
        <f t="shared" ca="1" si="70"/>
        <v>1</v>
      </c>
      <c r="AA339" s="43">
        <f t="shared" ca="1" si="71"/>
        <v>0.56666666666666665</v>
      </c>
      <c r="AB339" s="202" t="str">
        <f t="shared" ca="1" si="72"/>
        <v/>
      </c>
      <c r="AC339" s="44" t="str">
        <f t="shared" si="63"/>
        <v>NO</v>
      </c>
      <c r="AD339" s="760" t="str">
        <f>VLOOKUP(C339,[2]Hoja4!$A$2:$E$116,5,0)</f>
        <v>PRESTACION DE SERVICIOS</v>
      </c>
      <c r="AE339" s="173" t="s">
        <v>1256</v>
      </c>
      <c r="AF339" s="281" t="s">
        <v>2058</v>
      </c>
      <c r="AG339" s="173" t="s">
        <v>1438</v>
      </c>
      <c r="AH339" s="281" t="s">
        <v>562</v>
      </c>
      <c r="AI339" s="305" t="s">
        <v>2165</v>
      </c>
      <c r="AJ339" s="305" t="s">
        <v>1867</v>
      </c>
      <c r="AK339" s="181" t="str">
        <f t="shared" ca="1" si="73"/>
        <v>TERMINO</v>
      </c>
      <c r="AL339" s="310" t="s">
        <v>582</v>
      </c>
      <c r="AM339" s="176" t="s">
        <v>391</v>
      </c>
      <c r="AN339" s="848" t="str">
        <f>IFERROR(VLOOKUP(E339,'liquidaciones '!$B$2:$C$1048576,2,0),"NO")</f>
        <v>LIQUIDADO</v>
      </c>
      <c r="AO339" s="944" t="str">
        <f>IFERROR(VLOOKUP(E339,'liquidaciones '!$B$2:$I$1048576,8,0),"")</f>
        <v>MANUEL ROJAS</v>
      </c>
      <c r="AP339" s="338"/>
      <c r="AQ339" s="177" t="str">
        <f t="shared" ca="1" si="64"/>
        <v>NO</v>
      </c>
      <c r="AR339" s="177" t="s">
        <v>1570</v>
      </c>
      <c r="AS339" s="433"/>
      <c r="AT339" s="964"/>
      <c r="AU339" s="964"/>
      <c r="AV339" s="964"/>
    </row>
    <row r="340" spans="2:48" ht="47.25" customHeight="1" x14ac:dyDescent="0.25">
      <c r="B340" s="15">
        <v>334</v>
      </c>
      <c r="C340" s="437">
        <v>58</v>
      </c>
      <c r="D340" s="437" t="str">
        <f t="shared" si="66"/>
        <v>201558</v>
      </c>
      <c r="E340" s="866" t="s">
        <v>2067</v>
      </c>
      <c r="F340" s="864" t="s">
        <v>2068</v>
      </c>
      <c r="G340" s="866">
        <v>830048145</v>
      </c>
      <c r="H340" s="858" t="s">
        <v>2069</v>
      </c>
      <c r="I340" s="210">
        <v>450880</v>
      </c>
      <c r="J340" s="702" t="s">
        <v>2067</v>
      </c>
      <c r="K340" s="295">
        <v>2015</v>
      </c>
      <c r="L340" s="546">
        <v>42194</v>
      </c>
      <c r="M340" s="865">
        <v>42219</v>
      </c>
      <c r="N340" s="865">
        <v>42311</v>
      </c>
      <c r="O340" s="127">
        <f>COUNTA(Modificaciones!I340,Modificaciones!K340,Modificaciones!M340,Modificaciones!O340)</f>
        <v>0</v>
      </c>
      <c r="P340" s="128">
        <f>VLOOKUP(E340,Modificaciones!$B$7:$Q$400,16,0)</f>
        <v>0</v>
      </c>
      <c r="Q340" s="129">
        <f>COUNTA(Modificaciones!S340,Modificaciones!U340,Modificaciones!W340,Modificaciones!Y340)</f>
        <v>0</v>
      </c>
      <c r="R340" s="130" t="str">
        <f>IF(Modificaciones!Z340=0,"",VLOOKUP(E340,Modificaciones!$B$7:$AA$400,25,0))</f>
        <v/>
      </c>
      <c r="S340" s="131" t="str">
        <f>IF(Modificaciones!AA340=0,"",VLOOKUP(E340,Modificaciones!$B$7:$AA$400,26,0))</f>
        <v/>
      </c>
      <c r="T340" s="126">
        <f t="shared" si="65"/>
        <v>42311</v>
      </c>
      <c r="U340" s="62">
        <f t="shared" si="67"/>
        <v>450880</v>
      </c>
      <c r="V340" s="172">
        <f>VLOOKUP(E340,Modificaciones!$B$7:$AU$400,46,0)</f>
        <v>450880</v>
      </c>
      <c r="W340" s="93">
        <f t="shared" si="68"/>
        <v>0</v>
      </c>
      <c r="X340" s="309" t="s">
        <v>1895</v>
      </c>
      <c r="Y340" s="42">
        <f t="shared" si="69"/>
        <v>1</v>
      </c>
      <c r="Z340" s="42">
        <f t="shared" ca="1" si="70"/>
        <v>1</v>
      </c>
      <c r="AA340" s="43">
        <f t="shared" ca="1" si="71"/>
        <v>0</v>
      </c>
      <c r="AB340" s="202" t="str">
        <f t="shared" ca="1" si="72"/>
        <v/>
      </c>
      <c r="AC340" s="44" t="str">
        <f t="shared" si="63"/>
        <v>SI</v>
      </c>
      <c r="AD340" s="760" t="str">
        <f>VLOOKUP(C340,[2]Hoja4!$A$2:$E$116,5,0)</f>
        <v>PRESTACION DE SERVICIOS</v>
      </c>
      <c r="AE340" s="173" t="s">
        <v>1257</v>
      </c>
      <c r="AF340" s="301" t="s">
        <v>1471</v>
      </c>
      <c r="AG340" s="173" t="s">
        <v>1439</v>
      </c>
      <c r="AH340" s="281" t="s">
        <v>560</v>
      </c>
      <c r="AI340" s="174" t="s">
        <v>1509</v>
      </c>
      <c r="AJ340" s="305" t="s">
        <v>1867</v>
      </c>
      <c r="AK340" s="181" t="str">
        <f t="shared" ca="1" si="73"/>
        <v>TERMINO</v>
      </c>
      <c r="AL340" s="310" t="s">
        <v>582</v>
      </c>
      <c r="AM340" s="176" t="s">
        <v>390</v>
      </c>
      <c r="AN340" s="848" t="str">
        <f>IFERROR(VLOOKUP(E340,'liquidaciones '!$B$2:$C$1048576,2,0),"NO")</f>
        <v>LIQUIDADO</v>
      </c>
      <c r="AO340" s="944">
        <f>IFERROR(VLOOKUP(E340,'liquidaciones '!$B$2:$I$1048576,8,0),"")</f>
        <v>0</v>
      </c>
      <c r="AP340" s="338"/>
      <c r="AQ340" s="177" t="str">
        <f t="shared" ca="1" si="64"/>
        <v>NO</v>
      </c>
      <c r="AR340" s="177" t="s">
        <v>1992</v>
      </c>
      <c r="AS340" s="433"/>
      <c r="AT340" s="964"/>
      <c r="AU340" s="964"/>
      <c r="AV340" s="964"/>
    </row>
    <row r="341" spans="2:48" ht="58.5" customHeight="1" x14ac:dyDescent="0.25">
      <c r="B341" s="15">
        <v>335</v>
      </c>
      <c r="C341" s="437">
        <v>179</v>
      </c>
      <c r="D341" s="437" t="str">
        <f t="shared" si="66"/>
        <v>2015179</v>
      </c>
      <c r="E341" s="866" t="s">
        <v>4292</v>
      </c>
      <c r="F341" s="864" t="s">
        <v>2070</v>
      </c>
      <c r="G341" s="712">
        <v>860002184</v>
      </c>
      <c r="H341" s="858" t="s">
        <v>2071</v>
      </c>
      <c r="I341" s="210">
        <v>186482674</v>
      </c>
      <c r="J341" s="702" t="s">
        <v>2072</v>
      </c>
      <c r="K341" s="295">
        <v>2015</v>
      </c>
      <c r="L341" s="546">
        <v>42187</v>
      </c>
      <c r="M341" s="865"/>
      <c r="N341" s="865"/>
      <c r="O341" s="127">
        <f>COUNTA(Modificaciones!I341,Modificaciones!K341,Modificaciones!M341,Modificaciones!O341)</f>
        <v>1</v>
      </c>
      <c r="P341" s="128">
        <f>VLOOKUP(E341,Modificaciones!$B$7:$Q$400,16,0)</f>
        <v>18223304</v>
      </c>
      <c r="Q341" s="129">
        <f>COUNTA(Modificaciones!S341,Modificaciones!U341,Modificaciones!W341,Modificaciones!Y341)</f>
        <v>0</v>
      </c>
      <c r="R341" s="130" t="str">
        <f>IF(Modificaciones!Z341=0,"",VLOOKUP(E341,Modificaciones!$B$7:$AA$400,25,0))</f>
        <v/>
      </c>
      <c r="S341" s="131" t="str">
        <f>IF(Modificaciones!AA341=0,"",VLOOKUP(E341,Modificaciones!$B$7:$AA$400,26,0))</f>
        <v/>
      </c>
      <c r="T341" s="126">
        <f t="shared" si="65"/>
        <v>0</v>
      </c>
      <c r="U341" s="62">
        <f t="shared" si="67"/>
        <v>204705978</v>
      </c>
      <c r="V341" s="172">
        <f>VLOOKUP(E341,Modificaciones!$B$7:$AU$400,46,0)</f>
        <v>204705978</v>
      </c>
      <c r="W341" s="93">
        <f t="shared" si="68"/>
        <v>0</v>
      </c>
      <c r="X341" s="309" t="s">
        <v>2073</v>
      </c>
      <c r="Y341" s="42">
        <f t="shared" si="69"/>
        <v>1</v>
      </c>
      <c r="Z341" s="42" t="e">
        <f t="shared" ca="1" si="70"/>
        <v>#DIV/0!</v>
      </c>
      <c r="AA341" s="43" t="e">
        <f t="shared" ca="1" si="71"/>
        <v>#DIV/0!</v>
      </c>
      <c r="AB341" s="202" t="e">
        <f t="shared" ca="1" si="72"/>
        <v>#DIV/0!</v>
      </c>
      <c r="AC341" s="44" t="str">
        <f t="shared" si="63"/>
        <v>SI</v>
      </c>
      <c r="AD341" s="760" t="str">
        <f>VLOOKUP(C341,[2]Hoja4!$A$2:$E$116,5,0)</f>
        <v>PRESTACION DE SERVICIOS</v>
      </c>
      <c r="AE341" s="173" t="s">
        <v>1256</v>
      </c>
      <c r="AF341" s="281" t="s">
        <v>2074</v>
      </c>
      <c r="AG341" s="173"/>
      <c r="AH341" s="281" t="s">
        <v>560</v>
      </c>
      <c r="AI341" s="305"/>
      <c r="AJ341" s="305" t="s">
        <v>2075</v>
      </c>
      <c r="AK341" s="181" t="str">
        <f t="shared" ca="1" si="73"/>
        <v>TERMINO</v>
      </c>
      <c r="AL341" s="310" t="s">
        <v>574</v>
      </c>
      <c r="AM341" s="176" t="s">
        <v>390</v>
      </c>
      <c r="AN341" s="848" t="str">
        <f>IFERROR(VLOOKUP(E341,'liquidaciones '!$B$2:$C$1048576,2,0),"NO")</f>
        <v>LIQUIDADO</v>
      </c>
      <c r="AO341" s="944">
        <f>IFERROR(VLOOKUP(E341,'liquidaciones '!$B$2:$I$1048576,8,0),"")</f>
        <v>0</v>
      </c>
      <c r="AP341" s="338"/>
      <c r="AQ341" s="177" t="str">
        <f t="shared" ca="1" si="64"/>
        <v>NO</v>
      </c>
      <c r="AR341" s="177"/>
      <c r="AS341" s="433"/>
      <c r="AT341" s="964"/>
      <c r="AU341" s="964"/>
      <c r="AV341" s="964"/>
    </row>
    <row r="342" spans="2:48" ht="47.25" customHeight="1" x14ac:dyDescent="0.25">
      <c r="B342" s="15">
        <v>336</v>
      </c>
      <c r="C342" s="437">
        <v>60</v>
      </c>
      <c r="D342" s="437" t="str">
        <f t="shared" si="66"/>
        <v>201560</v>
      </c>
      <c r="E342" s="866" t="s">
        <v>2077</v>
      </c>
      <c r="F342" s="864" t="s">
        <v>186</v>
      </c>
      <c r="G342" s="866">
        <v>800039398</v>
      </c>
      <c r="H342" s="858" t="s">
        <v>2078</v>
      </c>
      <c r="I342" s="210">
        <v>85933385</v>
      </c>
      <c r="J342" s="702" t="s">
        <v>2079</v>
      </c>
      <c r="K342" s="295">
        <v>2015</v>
      </c>
      <c r="L342" s="546">
        <v>42200</v>
      </c>
      <c r="M342" s="865">
        <v>42209</v>
      </c>
      <c r="N342" s="865">
        <v>42575</v>
      </c>
      <c r="O342" s="127">
        <f>COUNTA(Modificaciones!I342,Modificaciones!K342,Modificaciones!M342,Modificaciones!O342)</f>
        <v>0</v>
      </c>
      <c r="P342" s="128">
        <f>VLOOKUP(E342,Modificaciones!$B$7:$Q$400,16,0)</f>
        <v>0</v>
      </c>
      <c r="Q342" s="129">
        <f>COUNTA(Modificaciones!S342,Modificaciones!U342,Modificaciones!W342,Modificaciones!Y342)</f>
        <v>0</v>
      </c>
      <c r="R342" s="130" t="str">
        <f>IF(Modificaciones!Z342=0,"",VLOOKUP(E342,Modificaciones!$B$7:$AA$400,25,0))</f>
        <v/>
      </c>
      <c r="S342" s="131" t="str">
        <f>IF(Modificaciones!AA342=0,"",VLOOKUP(E342,Modificaciones!$B$7:$AA$400,26,0))</f>
        <v/>
      </c>
      <c r="T342" s="126">
        <f t="shared" si="65"/>
        <v>42575</v>
      </c>
      <c r="U342" s="62">
        <f t="shared" si="67"/>
        <v>85933385</v>
      </c>
      <c r="V342" s="172">
        <f>VLOOKUP(E342,Modificaciones!$B$7:$AU$400,46,0)</f>
        <v>80837232</v>
      </c>
      <c r="W342" s="93">
        <f t="shared" si="68"/>
        <v>5096153</v>
      </c>
      <c r="X342" s="309"/>
      <c r="Y342" s="42">
        <f t="shared" si="69"/>
        <v>0.94069647087683095</v>
      </c>
      <c r="Z342" s="42">
        <f t="shared" ca="1" si="70"/>
        <v>1</v>
      </c>
      <c r="AA342" s="43">
        <f t="shared" ca="1" si="71"/>
        <v>5.9303529123169052E-2</v>
      </c>
      <c r="AB342" s="202" t="str">
        <f t="shared" ca="1" si="72"/>
        <v/>
      </c>
      <c r="AC342" s="44" t="str">
        <f t="shared" si="63"/>
        <v>NO</v>
      </c>
      <c r="AD342" s="760" t="str">
        <f>VLOOKUP(C342,[2]Hoja4!$A$2:$E$116,5,0)</f>
        <v>PRESTACION DE SERVICIOS</v>
      </c>
      <c r="AE342" s="173" t="s">
        <v>1257</v>
      </c>
      <c r="AF342" s="281" t="s">
        <v>2080</v>
      </c>
      <c r="AG342" s="173" t="s">
        <v>1439</v>
      </c>
      <c r="AH342" s="281" t="s">
        <v>560</v>
      </c>
      <c r="AI342" s="305" t="s">
        <v>1509</v>
      </c>
      <c r="AJ342" s="305" t="s">
        <v>1867</v>
      </c>
      <c r="AK342" s="181" t="str">
        <f t="shared" ca="1" si="73"/>
        <v>TERMINO</v>
      </c>
      <c r="AL342" s="310" t="s">
        <v>575</v>
      </c>
      <c r="AM342" s="176" t="s">
        <v>390</v>
      </c>
      <c r="AN342" s="848" t="str">
        <f>IFERROR(VLOOKUP(E342,'liquidaciones '!$B$2:$C$1048576,2,0),"NO")</f>
        <v>LIQUIDADO</v>
      </c>
      <c r="AO342" s="944" t="str">
        <f>IFERROR(VLOOKUP(E342,'liquidaciones '!$B$2:$I$1048576,8,0),"")</f>
        <v>JULIETH ANGARITA</v>
      </c>
      <c r="AP342" s="338"/>
      <c r="AQ342" s="177" t="str">
        <f t="shared" ca="1" si="64"/>
        <v>NO</v>
      </c>
      <c r="AR342" s="177" t="s">
        <v>2605</v>
      </c>
      <c r="AS342" s="433"/>
      <c r="AT342" s="964"/>
      <c r="AU342" s="964"/>
      <c r="AV342" s="964"/>
    </row>
    <row r="343" spans="2:48" ht="47.25" customHeight="1" x14ac:dyDescent="0.25">
      <c r="B343" s="15">
        <v>337</v>
      </c>
      <c r="C343" s="437">
        <v>189</v>
      </c>
      <c r="D343" s="437" t="str">
        <f t="shared" si="66"/>
        <v>2015189</v>
      </c>
      <c r="E343" s="866" t="s">
        <v>2081</v>
      </c>
      <c r="F343" s="864" t="s">
        <v>2082</v>
      </c>
      <c r="G343" s="866">
        <v>800105847</v>
      </c>
      <c r="H343" s="858" t="s">
        <v>2083</v>
      </c>
      <c r="I343" s="210">
        <v>3608000</v>
      </c>
      <c r="J343" s="702" t="s">
        <v>2012</v>
      </c>
      <c r="K343" s="295">
        <v>2015</v>
      </c>
      <c r="L343" s="546">
        <v>42201</v>
      </c>
      <c r="M343" s="865">
        <v>42295</v>
      </c>
      <c r="N343" s="865">
        <v>42387</v>
      </c>
      <c r="O343" s="127">
        <f>COUNTA(Modificaciones!I343,Modificaciones!K343,Modificaciones!M343,Modificaciones!O343)</f>
        <v>0</v>
      </c>
      <c r="P343" s="128">
        <f>VLOOKUP(E343,Modificaciones!$B$7:$Q$400,16,0)</f>
        <v>0</v>
      </c>
      <c r="Q343" s="129">
        <f>COUNTA(Modificaciones!S343,Modificaciones!U343,Modificaciones!W343,Modificaciones!Y343)</f>
        <v>0</v>
      </c>
      <c r="R343" s="130" t="str">
        <f>IF(Modificaciones!Z343=0,"",VLOOKUP(E343,Modificaciones!$B$7:$AA$400,25,0))</f>
        <v/>
      </c>
      <c r="S343" s="131" t="str">
        <f>IF(Modificaciones!AA343=0,"",VLOOKUP(E343,Modificaciones!$B$7:$AA$400,26,0))</f>
        <v/>
      </c>
      <c r="T343" s="126">
        <f t="shared" si="65"/>
        <v>42387</v>
      </c>
      <c r="U343" s="62">
        <f t="shared" si="67"/>
        <v>3608000</v>
      </c>
      <c r="V343" s="172">
        <f>VLOOKUP(E343,Modificaciones!$B$7:$AU$400,46,0)</f>
        <v>3608000</v>
      </c>
      <c r="W343" s="93">
        <f t="shared" si="68"/>
        <v>0</v>
      </c>
      <c r="X343" s="309" t="s">
        <v>2084</v>
      </c>
      <c r="Y343" s="42">
        <f t="shared" si="69"/>
        <v>1</v>
      </c>
      <c r="Z343" s="42">
        <f t="shared" ca="1" si="70"/>
        <v>1</v>
      </c>
      <c r="AA343" s="43">
        <f t="shared" ca="1" si="71"/>
        <v>0</v>
      </c>
      <c r="AB343" s="202" t="str">
        <f t="shared" ca="1" si="72"/>
        <v/>
      </c>
      <c r="AC343" s="44" t="str">
        <f t="shared" si="63"/>
        <v>SI</v>
      </c>
      <c r="AD343" s="760" t="str">
        <f>VLOOKUP(C343,[2]Hoja4!$A$2:$E$116,5,0)</f>
        <v>PRESTACION DE SERVICIOS</v>
      </c>
      <c r="AE343" s="173" t="s">
        <v>1256</v>
      </c>
      <c r="AF343" s="281" t="s">
        <v>1300</v>
      </c>
      <c r="AG343" s="173" t="s">
        <v>1442</v>
      </c>
      <c r="AH343" s="281" t="s">
        <v>560</v>
      </c>
      <c r="AI343" s="174" t="s">
        <v>1380</v>
      </c>
      <c r="AJ343" s="305" t="s">
        <v>1867</v>
      </c>
      <c r="AK343" s="181" t="str">
        <f t="shared" ca="1" si="73"/>
        <v>TERMINO</v>
      </c>
      <c r="AL343" s="310" t="s">
        <v>576</v>
      </c>
      <c r="AM343" s="176" t="s">
        <v>390</v>
      </c>
      <c r="AN343" s="848" t="str">
        <f>IFERROR(VLOOKUP(E343,'liquidaciones '!$B$2:$C$1048576,2,0),"NO")</f>
        <v>LIQUIDADO</v>
      </c>
      <c r="AO343" s="944" t="str">
        <f>IFERROR(VLOOKUP(E343,'liquidaciones '!$B$2:$I$1048576,8,0),"")</f>
        <v>GIOVANNI SUAREZ</v>
      </c>
      <c r="AP343" s="338"/>
      <c r="AQ343" s="177" t="str">
        <f t="shared" ca="1" si="64"/>
        <v>NO</v>
      </c>
      <c r="AR343" s="177" t="s">
        <v>2390</v>
      </c>
      <c r="AS343" s="433"/>
      <c r="AT343" s="964"/>
      <c r="AU343" s="964"/>
      <c r="AV343" s="964"/>
    </row>
    <row r="344" spans="2:48" ht="47.25" customHeight="1" x14ac:dyDescent="0.25">
      <c r="B344" s="15">
        <v>338</v>
      </c>
      <c r="C344" s="437">
        <v>140</v>
      </c>
      <c r="D344" s="437" t="str">
        <f t="shared" si="66"/>
        <v>2015140</v>
      </c>
      <c r="E344" s="866" t="s">
        <v>2090</v>
      </c>
      <c r="F344" s="864" t="s">
        <v>2091</v>
      </c>
      <c r="G344" s="866">
        <v>900631629</v>
      </c>
      <c r="H344" s="858" t="s">
        <v>2092</v>
      </c>
      <c r="I344" s="210">
        <v>715000</v>
      </c>
      <c r="J344" s="702" t="s">
        <v>2053</v>
      </c>
      <c r="K344" s="295">
        <v>2015</v>
      </c>
      <c r="L344" s="546">
        <v>42207</v>
      </c>
      <c r="M344" s="865">
        <v>42221</v>
      </c>
      <c r="N344" s="865">
        <v>42587</v>
      </c>
      <c r="O344" s="127">
        <f>COUNTA(Modificaciones!I344,Modificaciones!K344,Modificaciones!M344,Modificaciones!O344)</f>
        <v>0</v>
      </c>
      <c r="P344" s="128">
        <f>VLOOKUP(E344,Modificaciones!$B$7:$Q$400,16,0)</f>
        <v>0</v>
      </c>
      <c r="Q344" s="129">
        <f>COUNTA(Modificaciones!S344,Modificaciones!U344,Modificaciones!W344,Modificaciones!Y344)</f>
        <v>0</v>
      </c>
      <c r="R344" s="130" t="str">
        <f>IF(Modificaciones!Z344=0,"",VLOOKUP(E344,Modificaciones!$B$7:$AA$400,25,0))</f>
        <v/>
      </c>
      <c r="S344" s="131" t="str">
        <f>IF(Modificaciones!AA344=0,"",VLOOKUP(E344,Modificaciones!$B$7:$AA$400,26,0))</f>
        <v/>
      </c>
      <c r="T344" s="126">
        <f t="shared" si="65"/>
        <v>42587</v>
      </c>
      <c r="U344" s="62">
        <f t="shared" si="67"/>
        <v>715000</v>
      </c>
      <c r="V344" s="172">
        <f>VLOOKUP(E344,Modificaciones!$B$7:$AU$400,46,0)</f>
        <v>715000</v>
      </c>
      <c r="W344" s="93">
        <f t="shared" si="68"/>
        <v>0</v>
      </c>
      <c r="X344" s="309" t="s">
        <v>1895</v>
      </c>
      <c r="Y344" s="42">
        <f t="shared" si="69"/>
        <v>1</v>
      </c>
      <c r="Z344" s="42">
        <f t="shared" ca="1" si="70"/>
        <v>1</v>
      </c>
      <c r="AA344" s="43">
        <f t="shared" ca="1" si="71"/>
        <v>0</v>
      </c>
      <c r="AB344" s="202" t="str">
        <f t="shared" ca="1" si="72"/>
        <v/>
      </c>
      <c r="AC344" s="44" t="str">
        <f t="shared" si="63"/>
        <v>SI</v>
      </c>
      <c r="AD344" s="760" t="str">
        <f>VLOOKUP(C344,[2]Hoja4!$A$2:$E$116,5,0)</f>
        <v>SUSCRIPCION</v>
      </c>
      <c r="AE344" s="173" t="s">
        <v>1256</v>
      </c>
      <c r="AF344" s="281" t="s">
        <v>1142</v>
      </c>
      <c r="AG344" s="173" t="s">
        <v>1430</v>
      </c>
      <c r="AH344" s="281" t="s">
        <v>564</v>
      </c>
      <c r="AI344" s="305"/>
      <c r="AJ344" s="305" t="s">
        <v>1867</v>
      </c>
      <c r="AK344" s="181" t="str">
        <f t="shared" ca="1" si="73"/>
        <v>TERMINO</v>
      </c>
      <c r="AL344" s="181" t="s">
        <v>576</v>
      </c>
      <c r="AM344" s="176" t="s">
        <v>390</v>
      </c>
      <c r="AN344" s="848" t="str">
        <f>IFERROR(VLOOKUP(E344,'liquidaciones '!$B$2:$C$1048576,2,0),"NO")</f>
        <v>LIQUIDADO</v>
      </c>
      <c r="AO344" s="944" t="str">
        <f>IFERROR(VLOOKUP(E344,'liquidaciones '!$B$2:$I$1048576,8,0),"")</f>
        <v>GIOVANNI SUAREZ</v>
      </c>
      <c r="AP344" s="338"/>
      <c r="AQ344" s="177" t="str">
        <f t="shared" ca="1" si="64"/>
        <v>NO</v>
      </c>
      <c r="AR344" s="177" t="s">
        <v>2602</v>
      </c>
      <c r="AS344" s="433"/>
      <c r="AT344" s="964"/>
      <c r="AU344" s="964"/>
      <c r="AV344" s="964"/>
    </row>
    <row r="345" spans="2:48" ht="47.25" customHeight="1" x14ac:dyDescent="0.25">
      <c r="B345" s="15">
        <v>339</v>
      </c>
      <c r="C345" s="437">
        <v>314</v>
      </c>
      <c r="D345" s="437" t="str">
        <f t="shared" si="66"/>
        <v>2015314</v>
      </c>
      <c r="E345" s="866" t="s">
        <v>2097</v>
      </c>
      <c r="F345" s="864" t="s">
        <v>2095</v>
      </c>
      <c r="G345" s="866">
        <v>830099766</v>
      </c>
      <c r="H345" s="858" t="s">
        <v>2096</v>
      </c>
      <c r="I345" s="210">
        <v>80041097</v>
      </c>
      <c r="J345" s="702" t="s">
        <v>2097</v>
      </c>
      <c r="K345" s="295">
        <v>2015</v>
      </c>
      <c r="L345" s="546">
        <v>42193</v>
      </c>
      <c r="M345" s="865">
        <v>42199</v>
      </c>
      <c r="N345" s="865">
        <v>42565</v>
      </c>
      <c r="O345" s="127">
        <f>COUNTA(Modificaciones!I345,Modificaciones!K345,Modificaciones!M345,Modificaciones!O345)</f>
        <v>0</v>
      </c>
      <c r="P345" s="128">
        <f>VLOOKUP(E345,Modificaciones!$B$7:$Q$400,16,0)</f>
        <v>0</v>
      </c>
      <c r="Q345" s="129">
        <f>COUNTA(Modificaciones!S345,Modificaciones!U345,Modificaciones!W345,Modificaciones!Y345)</f>
        <v>0</v>
      </c>
      <c r="R345" s="130" t="str">
        <f>IF(Modificaciones!Z345=0,"",VLOOKUP(E345,Modificaciones!$B$7:$AA$400,25,0))</f>
        <v/>
      </c>
      <c r="S345" s="131" t="str">
        <f>IF(Modificaciones!AA345=0,"",VLOOKUP(E345,Modificaciones!$B$7:$AA$400,26,0))</f>
        <v/>
      </c>
      <c r="T345" s="126">
        <f t="shared" si="65"/>
        <v>42565</v>
      </c>
      <c r="U345" s="62">
        <f t="shared" si="67"/>
        <v>80041097</v>
      </c>
      <c r="V345" s="172">
        <f>VLOOKUP(E345,Modificaciones!$B$7:$AU$400,46,0)</f>
        <v>80041097</v>
      </c>
      <c r="W345" s="93">
        <f t="shared" si="68"/>
        <v>0</v>
      </c>
      <c r="X345" s="309" t="s">
        <v>1527</v>
      </c>
      <c r="Y345" s="42">
        <f t="shared" si="69"/>
        <v>1</v>
      </c>
      <c r="Z345" s="42">
        <f t="shared" ca="1" si="70"/>
        <v>1</v>
      </c>
      <c r="AA345" s="43">
        <f t="shared" ca="1" si="71"/>
        <v>0</v>
      </c>
      <c r="AB345" s="202" t="str">
        <f t="shared" ca="1" si="72"/>
        <v/>
      </c>
      <c r="AC345" s="44" t="str">
        <f t="shared" si="63"/>
        <v>SI</v>
      </c>
      <c r="AD345" s="760" t="str">
        <f>VLOOKUP(C345,[2]Hoja4!$A$2:$E$116,5,0)</f>
        <v>PRESTACION DE SERVICIOS</v>
      </c>
      <c r="AE345" s="173" t="s">
        <v>1257</v>
      </c>
      <c r="AF345" s="281" t="s">
        <v>2098</v>
      </c>
      <c r="AG345" s="173" t="s">
        <v>1439</v>
      </c>
      <c r="AH345" s="281" t="s">
        <v>560</v>
      </c>
      <c r="AI345" s="305" t="s">
        <v>1509</v>
      </c>
      <c r="AJ345" s="305" t="s">
        <v>1867</v>
      </c>
      <c r="AK345" s="181" t="str">
        <f t="shared" ca="1" si="73"/>
        <v>TERMINO</v>
      </c>
      <c r="AL345" s="310" t="s">
        <v>582</v>
      </c>
      <c r="AM345" s="176" t="s">
        <v>390</v>
      </c>
      <c r="AN345" s="848" t="str">
        <f>IFERROR(VLOOKUP(E345,'liquidaciones '!$B$2:$C$1048576,2,0),"NO")</f>
        <v>LIQUIDADO</v>
      </c>
      <c r="AO345" s="944" t="str">
        <f>IFERROR(VLOOKUP(E345,'liquidaciones '!$B$2:$I$1048576,8,0),"")</f>
        <v>GIOVANNI SUAREZ</v>
      </c>
      <c r="AP345" s="338"/>
      <c r="AQ345" s="177" t="str">
        <f t="shared" ca="1" si="64"/>
        <v>NO</v>
      </c>
      <c r="AR345" s="177" t="s">
        <v>2605</v>
      </c>
      <c r="AS345" s="433"/>
      <c r="AT345" s="964"/>
      <c r="AU345" s="964"/>
      <c r="AV345" s="964"/>
    </row>
    <row r="346" spans="2:48" ht="33.75" x14ac:dyDescent="0.25">
      <c r="B346" s="15">
        <v>340</v>
      </c>
      <c r="C346" s="437">
        <v>59</v>
      </c>
      <c r="D346" s="437" t="str">
        <f t="shared" si="66"/>
        <v>201559</v>
      </c>
      <c r="E346" s="866" t="s">
        <v>2099</v>
      </c>
      <c r="F346" s="864" t="s">
        <v>2101</v>
      </c>
      <c r="G346" s="866" t="s">
        <v>2102</v>
      </c>
      <c r="H346" s="858" t="s">
        <v>2100</v>
      </c>
      <c r="I346" s="210">
        <v>20136071</v>
      </c>
      <c r="J346" s="702" t="s">
        <v>2052</v>
      </c>
      <c r="K346" s="295">
        <v>2015</v>
      </c>
      <c r="L346" s="546">
        <v>42209</v>
      </c>
      <c r="M346" s="865">
        <v>42221</v>
      </c>
      <c r="N346" s="865">
        <v>42587</v>
      </c>
      <c r="O346" s="127">
        <f>COUNTA(Modificaciones!I346,Modificaciones!K346,Modificaciones!M346,Modificaciones!O346)</f>
        <v>0</v>
      </c>
      <c r="P346" s="128">
        <f>VLOOKUP(E346,Modificaciones!$B$7:$Q$400,16,0)</f>
        <v>0</v>
      </c>
      <c r="Q346" s="129">
        <f>COUNTA(Modificaciones!S346,Modificaciones!U346,Modificaciones!W346,Modificaciones!Y346)</f>
        <v>0</v>
      </c>
      <c r="R346" s="130" t="str">
        <f>IF(Modificaciones!Z346=0,"",VLOOKUP(E346,Modificaciones!$B$7:$AA$400,25,0))</f>
        <v/>
      </c>
      <c r="S346" s="131" t="str">
        <f>IF(Modificaciones!AA346=0,"",VLOOKUP(E346,Modificaciones!$B$7:$AA$400,26,0))</f>
        <v/>
      </c>
      <c r="T346" s="126">
        <f t="shared" si="65"/>
        <v>42587</v>
      </c>
      <c r="U346" s="62">
        <f t="shared" si="67"/>
        <v>20136071</v>
      </c>
      <c r="V346" s="172">
        <f>VLOOKUP(E346,Modificaciones!$B$7:$AU$400,46,0)</f>
        <v>10939929</v>
      </c>
      <c r="W346" s="93">
        <f t="shared" si="68"/>
        <v>9196142</v>
      </c>
      <c r="X346" s="309" t="s">
        <v>1527</v>
      </c>
      <c r="Y346" s="42">
        <f t="shared" si="69"/>
        <v>0.54330008073571057</v>
      </c>
      <c r="Z346" s="42">
        <f t="shared" ca="1" si="70"/>
        <v>1</v>
      </c>
      <c r="AA346" s="43">
        <f t="shared" ca="1" si="71"/>
        <v>0.45669991926428943</v>
      </c>
      <c r="AB346" s="202" t="str">
        <f t="shared" ca="1" si="72"/>
        <v/>
      </c>
      <c r="AC346" s="44" t="str">
        <f t="shared" si="63"/>
        <v>NO</v>
      </c>
      <c r="AD346" s="760" t="str">
        <f>VLOOKUP(C346,[2]Hoja4!$A$2:$E$116,5,0)</f>
        <v>PRESTACION DE SERVICIOS</v>
      </c>
      <c r="AE346" s="173" t="s">
        <v>1257</v>
      </c>
      <c r="AF346" s="281" t="s">
        <v>1824</v>
      </c>
      <c r="AG346" s="173" t="s">
        <v>1439</v>
      </c>
      <c r="AH346" s="281" t="s">
        <v>560</v>
      </c>
      <c r="AI346" s="305" t="s">
        <v>1509</v>
      </c>
      <c r="AJ346" s="305" t="s">
        <v>1867</v>
      </c>
      <c r="AK346" s="181" t="str">
        <f t="shared" ca="1" si="73"/>
        <v>TERMINO</v>
      </c>
      <c r="AL346" s="310" t="s">
        <v>576</v>
      </c>
      <c r="AM346" s="176" t="s">
        <v>390</v>
      </c>
      <c r="AN346" s="848" t="str">
        <f>IFERROR(VLOOKUP(E346,'liquidaciones '!$B$2:$C$1048576,2,0),"NO")</f>
        <v>LIQUIDADO</v>
      </c>
      <c r="AO346" s="944" t="str">
        <f>IFERROR(VLOOKUP(E346,'liquidaciones '!$B$2:$I$1048576,8,0),"")</f>
        <v>DORA PINILLA</v>
      </c>
      <c r="AP346" s="338"/>
      <c r="AQ346" s="177" t="str">
        <f t="shared" ca="1" si="64"/>
        <v>NO</v>
      </c>
      <c r="AR346" s="177" t="s">
        <v>2605</v>
      </c>
      <c r="AS346" s="433"/>
      <c r="AT346" s="964"/>
      <c r="AU346" s="964"/>
      <c r="AV346" s="964"/>
    </row>
    <row r="347" spans="2:48" ht="78.75" x14ac:dyDescent="0.25">
      <c r="B347" s="15">
        <v>341</v>
      </c>
      <c r="C347" s="437">
        <v>173</v>
      </c>
      <c r="D347" s="437" t="str">
        <f t="shared" si="66"/>
        <v>2015173</v>
      </c>
      <c r="E347" s="866" t="s">
        <v>2103</v>
      </c>
      <c r="F347" s="864" t="s">
        <v>2436</v>
      </c>
      <c r="G347" s="866">
        <v>9002141080</v>
      </c>
      <c r="H347" s="858" t="s">
        <v>2104</v>
      </c>
      <c r="I347" s="210">
        <v>213921490</v>
      </c>
      <c r="J347" s="702" t="s">
        <v>1982</v>
      </c>
      <c r="K347" s="295">
        <v>2015</v>
      </c>
      <c r="L347" s="546">
        <v>42213</v>
      </c>
      <c r="M347" s="865">
        <v>42250</v>
      </c>
      <c r="N347" s="865">
        <v>42524</v>
      </c>
      <c r="O347" s="127">
        <f>COUNTA(Modificaciones!I347,Modificaciones!K347,Modificaciones!M347,Modificaciones!O347)</f>
        <v>1</v>
      </c>
      <c r="P347" s="128">
        <f>VLOOKUP(E347,Modificaciones!$B$7:$Q$400,16,0)</f>
        <v>41500000</v>
      </c>
      <c r="Q347" s="129">
        <f>COUNTA(Modificaciones!S347,Modificaciones!U347,Modificaciones!W347,Modificaciones!Y347)</f>
        <v>0</v>
      </c>
      <c r="R347" s="130" t="str">
        <f>IF(Modificaciones!Z347=0,"",VLOOKUP(E347,Modificaciones!$B$7:$AA$400,25,0))</f>
        <v/>
      </c>
      <c r="S347" s="131" t="str">
        <f>IF(Modificaciones!AA347=0,"",VLOOKUP(E347,Modificaciones!$B$7:$AA$400,26,0))</f>
        <v/>
      </c>
      <c r="T347" s="126">
        <f t="shared" si="65"/>
        <v>42524</v>
      </c>
      <c r="U347" s="62">
        <f t="shared" si="67"/>
        <v>255421490</v>
      </c>
      <c r="V347" s="172">
        <f>VLOOKUP(E347,Modificaciones!$B$7:$AU$400,46,0)</f>
        <v>225994030</v>
      </c>
      <c r="W347" s="93">
        <f t="shared" si="68"/>
        <v>29427460</v>
      </c>
      <c r="X347" s="309" t="s">
        <v>1967</v>
      </c>
      <c r="Y347" s="42">
        <f t="shared" si="69"/>
        <v>0.88478862917916579</v>
      </c>
      <c r="Z347" s="42">
        <f t="shared" ca="1" si="70"/>
        <v>1</v>
      </c>
      <c r="AA347" s="43">
        <f t="shared" ca="1" si="71"/>
        <v>0.11521137082083421</v>
      </c>
      <c r="AB347" s="202" t="str">
        <f t="shared" ca="1" si="72"/>
        <v/>
      </c>
      <c r="AC347" s="44" t="str">
        <f t="shared" si="63"/>
        <v>NO</v>
      </c>
      <c r="AD347" s="760" t="str">
        <f>VLOOKUP(C347,[2]Hoja4!$A$2:$E$116,5,0)</f>
        <v>OBRA</v>
      </c>
      <c r="AE347" s="173" t="s">
        <v>1256</v>
      </c>
      <c r="AF347" s="281" t="s">
        <v>1286</v>
      </c>
      <c r="AG347" s="173"/>
      <c r="AH347" s="281"/>
      <c r="AI347" s="305" t="s">
        <v>1380</v>
      </c>
      <c r="AJ347" s="305"/>
      <c r="AK347" s="181" t="str">
        <f t="shared" ca="1" si="73"/>
        <v>TERMINO</v>
      </c>
      <c r="AL347" s="310" t="s">
        <v>574</v>
      </c>
      <c r="AM347" s="176" t="s">
        <v>390</v>
      </c>
      <c r="AN347" s="848" t="str">
        <f>IFERROR(VLOOKUP(E347,'liquidaciones '!$B$2:$C$1048576,2,0),"NO")</f>
        <v>LIQUIDADO</v>
      </c>
      <c r="AO347" s="944" t="str">
        <f>IFERROR(VLOOKUP(E347,'liquidaciones '!$B$2:$I$1048576,8,0),"")</f>
        <v>JULIETH ANGARITA</v>
      </c>
      <c r="AP347" s="338"/>
      <c r="AQ347" s="177" t="str">
        <f t="shared" ca="1" si="64"/>
        <v>NO</v>
      </c>
      <c r="AR347" s="177" t="s">
        <v>981</v>
      </c>
      <c r="AS347" s="433"/>
      <c r="AT347" s="964"/>
      <c r="AU347" s="964"/>
      <c r="AV347" s="964"/>
    </row>
    <row r="348" spans="2:48" ht="22.5" x14ac:dyDescent="0.25">
      <c r="B348" s="15">
        <v>342</v>
      </c>
      <c r="C348" s="437">
        <v>307</v>
      </c>
      <c r="D348" s="437" t="str">
        <f t="shared" si="66"/>
        <v>2015307</v>
      </c>
      <c r="E348" s="866" t="s">
        <v>2108</v>
      </c>
      <c r="F348" s="864" t="s">
        <v>2125</v>
      </c>
      <c r="G348" s="866">
        <v>830083523</v>
      </c>
      <c r="H348" s="858" t="s">
        <v>2107</v>
      </c>
      <c r="I348" s="210">
        <v>20880000</v>
      </c>
      <c r="J348" s="702" t="s">
        <v>2108</v>
      </c>
      <c r="K348" s="295">
        <v>2015</v>
      </c>
      <c r="L348" s="546">
        <v>42219</v>
      </c>
      <c r="M348" s="865">
        <v>42226</v>
      </c>
      <c r="N348" s="865">
        <v>42592</v>
      </c>
      <c r="O348" s="127">
        <f>COUNTA(Modificaciones!I348,Modificaciones!K348,Modificaciones!M348,Modificaciones!O348)</f>
        <v>0</v>
      </c>
      <c r="P348" s="128">
        <f>VLOOKUP(E348,Modificaciones!$B$7:$Q$400,16,0)</f>
        <v>0</v>
      </c>
      <c r="Q348" s="129">
        <f>COUNTA(Modificaciones!S348,Modificaciones!U348,Modificaciones!W348,Modificaciones!Y348)</f>
        <v>0</v>
      </c>
      <c r="R348" s="130" t="str">
        <f>IF(Modificaciones!Z348=0,"",VLOOKUP(E348,Modificaciones!$B$7:$AA$400,25,0))</f>
        <v/>
      </c>
      <c r="S348" s="131" t="str">
        <f>IF(Modificaciones!AA348=0,"",VLOOKUP(E348,Modificaciones!$B$7:$AA$400,26,0))</f>
        <v/>
      </c>
      <c r="T348" s="126">
        <f t="shared" si="65"/>
        <v>42592</v>
      </c>
      <c r="U348" s="62">
        <f t="shared" si="67"/>
        <v>20880000</v>
      </c>
      <c r="V348" s="172">
        <f>VLOOKUP(E348,Modificaciones!$B$7:$AU$400,46,0)</f>
        <v>20880000</v>
      </c>
      <c r="W348" s="93">
        <f t="shared" si="68"/>
        <v>0</v>
      </c>
      <c r="X348" s="309" t="s">
        <v>1601</v>
      </c>
      <c r="Y348" s="42">
        <f t="shared" si="69"/>
        <v>1</v>
      </c>
      <c r="Z348" s="42">
        <f t="shared" ca="1" si="70"/>
        <v>1</v>
      </c>
      <c r="AA348" s="43">
        <f t="shared" ca="1" si="71"/>
        <v>0</v>
      </c>
      <c r="AB348" s="202" t="str">
        <f t="shared" ca="1" si="72"/>
        <v/>
      </c>
      <c r="AC348" s="44" t="str">
        <f t="shared" si="63"/>
        <v>SI</v>
      </c>
      <c r="AD348" s="760" t="str">
        <f>VLOOKUP(C348,[2]Hoja4!$A$2:$E$116,5,0)</f>
        <v>NA</v>
      </c>
      <c r="AE348" s="173" t="s">
        <v>1257</v>
      </c>
      <c r="AF348" s="281" t="s">
        <v>2109</v>
      </c>
      <c r="AG348" s="173" t="s">
        <v>1439</v>
      </c>
      <c r="AH348" s="281" t="s">
        <v>560</v>
      </c>
      <c r="AI348" s="305" t="s">
        <v>1509</v>
      </c>
      <c r="AJ348" s="305"/>
      <c r="AK348" s="181" t="str">
        <f t="shared" ca="1" si="73"/>
        <v>TERMINO</v>
      </c>
      <c r="AL348" s="310" t="s">
        <v>582</v>
      </c>
      <c r="AM348" s="176" t="s">
        <v>390</v>
      </c>
      <c r="AN348" s="848" t="str">
        <f>IFERROR(VLOOKUP(E348,'liquidaciones '!$B$2:$C$1048576,2,0),"NO")</f>
        <v>LIQUIDADO</v>
      </c>
      <c r="AO348" s="944">
        <f>IFERROR(VLOOKUP(E348,'liquidaciones '!$B$2:$I$1048576,8,0),"")</f>
        <v>0</v>
      </c>
      <c r="AP348" s="338"/>
      <c r="AQ348" s="177" t="str">
        <f t="shared" ca="1" si="64"/>
        <v>NO</v>
      </c>
      <c r="AR348" s="177" t="s">
        <v>2605</v>
      </c>
      <c r="AS348" s="433"/>
      <c r="AT348" s="964"/>
      <c r="AU348" s="964"/>
      <c r="AV348" s="964"/>
    </row>
    <row r="349" spans="2:48" ht="22.5" x14ac:dyDescent="0.25">
      <c r="B349" s="15">
        <v>343</v>
      </c>
      <c r="C349" s="437">
        <v>266</v>
      </c>
      <c r="D349" s="437" t="str">
        <f t="shared" si="66"/>
        <v>2015266</v>
      </c>
      <c r="E349" s="866" t="s">
        <v>3113</v>
      </c>
      <c r="F349" s="864" t="s">
        <v>2111</v>
      </c>
      <c r="G349" s="866" t="s">
        <v>2112</v>
      </c>
      <c r="H349" s="858" t="s">
        <v>2113</v>
      </c>
      <c r="I349" s="210">
        <v>812000</v>
      </c>
      <c r="J349" s="702" t="s">
        <v>2085</v>
      </c>
      <c r="K349" s="295">
        <v>2015</v>
      </c>
      <c r="L349" s="546">
        <v>42220</v>
      </c>
      <c r="M349" s="865">
        <v>42235</v>
      </c>
      <c r="N349" s="865">
        <v>42265</v>
      </c>
      <c r="O349" s="127">
        <f>COUNTA(Modificaciones!I349,Modificaciones!K349,Modificaciones!M349,Modificaciones!O349)</f>
        <v>0</v>
      </c>
      <c r="P349" s="128">
        <f>VLOOKUP(E349,Modificaciones!$B$7:$Q$400,16,0)</f>
        <v>0</v>
      </c>
      <c r="Q349" s="129">
        <f>COUNTA(Modificaciones!S349,Modificaciones!U349,Modificaciones!W349,Modificaciones!Y349)</f>
        <v>0</v>
      </c>
      <c r="R349" s="130" t="str">
        <f>IF(Modificaciones!Z349=0,"",VLOOKUP(E349,Modificaciones!$B$7:$AA$400,25,0))</f>
        <v/>
      </c>
      <c r="S349" s="131" t="str">
        <f>IF(Modificaciones!AA349=0,"",VLOOKUP(E349,Modificaciones!$B$7:$AA$400,26,0))</f>
        <v/>
      </c>
      <c r="T349" s="126">
        <f t="shared" si="65"/>
        <v>42265</v>
      </c>
      <c r="U349" s="62">
        <f t="shared" si="67"/>
        <v>812000</v>
      </c>
      <c r="V349" s="172">
        <f>VLOOKUP(E349,Modificaciones!$B$7:$AU$400,46,0)</f>
        <v>812000</v>
      </c>
      <c r="W349" s="93">
        <f t="shared" si="68"/>
        <v>0</v>
      </c>
      <c r="X349" s="309" t="s">
        <v>2114</v>
      </c>
      <c r="Y349" s="42">
        <f t="shared" si="69"/>
        <v>1</v>
      </c>
      <c r="Z349" s="42">
        <f t="shared" ca="1" si="70"/>
        <v>1</v>
      </c>
      <c r="AA349" s="43">
        <f t="shared" ca="1" si="71"/>
        <v>0</v>
      </c>
      <c r="AB349" s="202" t="str">
        <f t="shared" ca="1" si="72"/>
        <v/>
      </c>
      <c r="AC349" s="44" t="str">
        <f t="shared" si="63"/>
        <v>SI</v>
      </c>
      <c r="AD349" s="760" t="str">
        <f>VLOOKUP(C349,[2]Hoja4!$A$2:$E$116,5,0)</f>
        <v>COMPRAVENTA</v>
      </c>
      <c r="AE349" s="173" t="s">
        <v>1256</v>
      </c>
      <c r="AF349" s="281" t="s">
        <v>1313</v>
      </c>
      <c r="AG349" s="173" t="s">
        <v>1438</v>
      </c>
      <c r="AH349" s="281" t="s">
        <v>562</v>
      </c>
      <c r="AI349" s="305" t="s">
        <v>2164</v>
      </c>
      <c r="AJ349" s="305" t="s">
        <v>1867</v>
      </c>
      <c r="AK349" s="181" t="str">
        <f t="shared" ca="1" si="73"/>
        <v>TERMINO</v>
      </c>
      <c r="AL349" s="310" t="s">
        <v>576</v>
      </c>
      <c r="AM349" s="176" t="s">
        <v>391</v>
      </c>
      <c r="AN349" s="848" t="str">
        <f>IFERROR(VLOOKUP(E349,'liquidaciones '!$B$2:$C$1048576,2,0),"NO")</f>
        <v>LIQUIDADO</v>
      </c>
      <c r="AO349" s="944">
        <f>IFERROR(VLOOKUP(E349,'liquidaciones '!$B$2:$I$1048576,8,0),"")</f>
        <v>0</v>
      </c>
      <c r="AP349" s="338"/>
      <c r="AQ349" s="177" t="str">
        <f t="shared" ca="1" si="64"/>
        <v>NO</v>
      </c>
      <c r="AR349" s="177" t="s">
        <v>2076</v>
      </c>
      <c r="AS349" s="433"/>
      <c r="AT349" s="964"/>
      <c r="AU349" s="964"/>
      <c r="AV349" s="964"/>
    </row>
    <row r="350" spans="2:48" ht="22.5" x14ac:dyDescent="0.25">
      <c r="B350" s="15">
        <v>344</v>
      </c>
      <c r="C350" s="437">
        <v>144</v>
      </c>
      <c r="D350" s="437" t="str">
        <f t="shared" si="66"/>
        <v>2015144</v>
      </c>
      <c r="E350" s="866" t="s">
        <v>2115</v>
      </c>
      <c r="F350" s="864" t="s">
        <v>2116</v>
      </c>
      <c r="G350" s="866">
        <v>860007590</v>
      </c>
      <c r="H350" s="858" t="s">
        <v>2117</v>
      </c>
      <c r="I350" s="210">
        <v>936000</v>
      </c>
      <c r="J350" s="702" t="s">
        <v>2115</v>
      </c>
      <c r="K350" s="295">
        <v>2015</v>
      </c>
      <c r="L350" s="546">
        <v>42220</v>
      </c>
      <c r="M350" s="865">
        <v>42261</v>
      </c>
      <c r="N350" s="865">
        <v>42627</v>
      </c>
      <c r="O350" s="127">
        <f>COUNTA(Modificaciones!I350,Modificaciones!K350,Modificaciones!M350,Modificaciones!O350)</f>
        <v>0</v>
      </c>
      <c r="P350" s="128">
        <f>VLOOKUP(E350,Modificaciones!$B$7:$Q$400,16,0)</f>
        <v>0</v>
      </c>
      <c r="Q350" s="129">
        <f>COUNTA(Modificaciones!S350,Modificaciones!U350,Modificaciones!W350,Modificaciones!Y350)</f>
        <v>0</v>
      </c>
      <c r="R350" s="130" t="str">
        <f>IF(Modificaciones!Z350=0,"",VLOOKUP(E350,Modificaciones!$B$7:$AA$400,25,0))</f>
        <v/>
      </c>
      <c r="S350" s="131" t="str">
        <f>IF(Modificaciones!AA350=0,"",VLOOKUP(E350,Modificaciones!$B$7:$AA$400,26,0))</f>
        <v/>
      </c>
      <c r="T350" s="126">
        <f t="shared" si="65"/>
        <v>42627</v>
      </c>
      <c r="U350" s="62">
        <f t="shared" si="67"/>
        <v>936000</v>
      </c>
      <c r="V350" s="172">
        <f>VLOOKUP(E350,Modificaciones!$B$7:$AU$400,46,0)</f>
        <v>936000</v>
      </c>
      <c r="W350" s="93">
        <f t="shared" si="68"/>
        <v>0</v>
      </c>
      <c r="X350" s="309" t="s">
        <v>1895</v>
      </c>
      <c r="Y350" s="42">
        <f t="shared" si="69"/>
        <v>1</v>
      </c>
      <c r="Z350" s="42">
        <f t="shared" ca="1" si="70"/>
        <v>1</v>
      </c>
      <c r="AA350" s="43">
        <f t="shared" ca="1" si="71"/>
        <v>0</v>
      </c>
      <c r="AB350" s="202" t="str">
        <f t="shared" ca="1" si="72"/>
        <v/>
      </c>
      <c r="AC350" s="44" t="str">
        <f t="shared" si="63"/>
        <v>SI</v>
      </c>
      <c r="AD350" s="760" t="str">
        <f>VLOOKUP(C350,[2]Hoja4!$A$2:$E$116,5,0)</f>
        <v>SUSCRIPCION</v>
      </c>
      <c r="AE350" s="173" t="s">
        <v>1256</v>
      </c>
      <c r="AF350" s="281" t="s">
        <v>1125</v>
      </c>
      <c r="AG350" s="173" t="s">
        <v>1430</v>
      </c>
      <c r="AH350" s="281" t="s">
        <v>564</v>
      </c>
      <c r="AI350" s="305"/>
      <c r="AJ350" s="305"/>
      <c r="AK350" s="181" t="str">
        <f t="shared" ca="1" si="73"/>
        <v>TERMINO</v>
      </c>
      <c r="AL350" s="310" t="s">
        <v>582</v>
      </c>
      <c r="AM350" s="176" t="s">
        <v>390</v>
      </c>
      <c r="AN350" s="848" t="str">
        <f>IFERROR(VLOOKUP(E350,'liquidaciones '!$B$2:$C$1048576,2,0),"NO")</f>
        <v>LIQUIDADO</v>
      </c>
      <c r="AO350" s="944">
        <f>IFERROR(VLOOKUP(E350,'liquidaciones '!$B$2:$I$1048576,8,0),"")</f>
        <v>0</v>
      </c>
      <c r="AP350" s="338"/>
      <c r="AQ350" s="177" t="str">
        <f t="shared" ca="1" si="64"/>
        <v>NO</v>
      </c>
      <c r="AR350" s="177" t="s">
        <v>2604</v>
      </c>
      <c r="AS350" s="433"/>
      <c r="AT350" s="964"/>
      <c r="AU350" s="964"/>
      <c r="AV350" s="964"/>
    </row>
    <row r="351" spans="2:48" ht="30" x14ac:dyDescent="0.25">
      <c r="B351" s="720">
        <v>345</v>
      </c>
      <c r="C351" s="437">
        <v>70</v>
      </c>
      <c r="D351" s="437" t="str">
        <f t="shared" si="66"/>
        <v>201570</v>
      </c>
      <c r="E351" s="866" t="s">
        <v>3177</v>
      </c>
      <c r="F351" s="864" t="s">
        <v>2121</v>
      </c>
      <c r="G351" s="866" t="s">
        <v>2122</v>
      </c>
      <c r="H351" s="858" t="s">
        <v>2123</v>
      </c>
      <c r="I351" s="210">
        <v>31577404</v>
      </c>
      <c r="J351" s="713" t="s">
        <v>2063</v>
      </c>
      <c r="K351" s="295">
        <v>2015</v>
      </c>
      <c r="L351" s="546">
        <v>42208</v>
      </c>
      <c r="M351" s="865">
        <v>42221</v>
      </c>
      <c r="N351" s="865">
        <v>42282</v>
      </c>
      <c r="O351" s="127">
        <f>COUNTA(Modificaciones!I351,Modificaciones!K351,Modificaciones!M351,Modificaciones!O351)</f>
        <v>0</v>
      </c>
      <c r="P351" s="128">
        <f>VLOOKUP(E351,Modificaciones!$B$7:$Q$400,16,0)</f>
        <v>0</v>
      </c>
      <c r="Q351" s="129">
        <f>COUNTA(Modificaciones!S351,Modificaciones!U351,Modificaciones!W351,Modificaciones!Y351)</f>
        <v>0</v>
      </c>
      <c r="R351" s="130" t="str">
        <f>IF(Modificaciones!Z351=0,"",VLOOKUP(E351,Modificaciones!$B$7:$AA$400,25,0))</f>
        <v/>
      </c>
      <c r="S351" s="131" t="str">
        <f>IF(Modificaciones!AA351=0,"",VLOOKUP(E351,Modificaciones!$B$7:$AA$400,26,0))</f>
        <v/>
      </c>
      <c r="T351" s="126">
        <f t="shared" si="65"/>
        <v>42282</v>
      </c>
      <c r="U351" s="62">
        <f t="shared" si="67"/>
        <v>31577404</v>
      </c>
      <c r="V351" s="172">
        <f>VLOOKUP(E351,Modificaciones!$B$7:$AU$400,46,0)</f>
        <v>31577404</v>
      </c>
      <c r="W351" s="93">
        <f t="shared" si="68"/>
        <v>0</v>
      </c>
      <c r="X351" s="309" t="s">
        <v>1895</v>
      </c>
      <c r="Y351" s="42">
        <f t="shared" si="69"/>
        <v>1</v>
      </c>
      <c r="Z351" s="42">
        <f t="shared" ca="1" si="70"/>
        <v>1</v>
      </c>
      <c r="AA351" s="43">
        <f t="shared" ca="1" si="71"/>
        <v>0</v>
      </c>
      <c r="AB351" s="202" t="str">
        <f t="shared" ca="1" si="72"/>
        <v/>
      </c>
      <c r="AC351" s="44" t="str">
        <f t="shared" ref="AC351:AC382" si="74">IF(Y351&lt;=99.9%,"NO","SI")</f>
        <v>SI</v>
      </c>
      <c r="AD351" s="760" t="str">
        <f>VLOOKUP(C351,[2]Hoja4!$A$2:$E$116,5,0)</f>
        <v>COMPRAVENTA</v>
      </c>
      <c r="AE351" s="173" t="s">
        <v>1257</v>
      </c>
      <c r="AF351" s="281" t="s">
        <v>2124</v>
      </c>
      <c r="AG351" s="173" t="s">
        <v>1439</v>
      </c>
      <c r="AH351" s="281" t="s">
        <v>560</v>
      </c>
      <c r="AI351" s="305" t="s">
        <v>1509</v>
      </c>
      <c r="AJ351" s="305" t="s">
        <v>1867</v>
      </c>
      <c r="AK351" s="181" t="str">
        <f t="shared" ca="1" si="73"/>
        <v>TERMINO</v>
      </c>
      <c r="AL351" s="310" t="s">
        <v>576</v>
      </c>
      <c r="AM351" s="176" t="s">
        <v>391</v>
      </c>
      <c r="AN351" s="848" t="str">
        <f>IFERROR(VLOOKUP(E351,'liquidaciones '!$B$2:$C$1048576,2,0),"NO")</f>
        <v>LIQUIDADO</v>
      </c>
      <c r="AO351" s="944">
        <f>IFERROR(VLOOKUP(E351,'liquidaciones '!$B$2:$I$1048576,8,0),"")</f>
        <v>0</v>
      </c>
      <c r="AP351" s="338"/>
      <c r="AQ351" s="177" t="str">
        <f t="shared" ref="AQ351:AQ372" ca="1" si="75">IF((TODAY()-T351&lt;900),"SI","NO")</f>
        <v>NO</v>
      </c>
      <c r="AR351" s="177" t="s">
        <v>1992</v>
      </c>
      <c r="AS351" s="433"/>
      <c r="AT351" s="964"/>
      <c r="AU351" s="964"/>
      <c r="AV351" s="964"/>
    </row>
    <row r="352" spans="2:48" ht="56.25" x14ac:dyDescent="0.25">
      <c r="B352" s="720">
        <v>346</v>
      </c>
      <c r="C352" s="437">
        <v>151</v>
      </c>
      <c r="D352" s="437" t="str">
        <f t="shared" si="66"/>
        <v>2015151</v>
      </c>
      <c r="E352" s="864" t="s">
        <v>2140</v>
      </c>
      <c r="F352" s="864" t="s">
        <v>2143</v>
      </c>
      <c r="G352" s="866" t="s">
        <v>2141</v>
      </c>
      <c r="H352" s="858" t="s">
        <v>2142</v>
      </c>
      <c r="I352" s="210">
        <v>14917500</v>
      </c>
      <c r="J352" s="702" t="s">
        <v>2062</v>
      </c>
      <c r="K352" s="295">
        <v>2015</v>
      </c>
      <c r="L352" s="546">
        <v>42228</v>
      </c>
      <c r="M352" s="865">
        <v>42247</v>
      </c>
      <c r="N352" s="865">
        <v>42551</v>
      </c>
      <c r="O352" s="127">
        <f>COUNTA(Modificaciones!I352,Modificaciones!K352,Modificaciones!M352,Modificaciones!O352)</f>
        <v>0</v>
      </c>
      <c r="P352" s="128">
        <f>VLOOKUP(E352,Modificaciones!$B$7:$Q$400,16,0)</f>
        <v>0</v>
      </c>
      <c r="Q352" s="129">
        <f>COUNTA(Modificaciones!S352,Modificaciones!U352,Modificaciones!W352,Modificaciones!Y352)</f>
        <v>4</v>
      </c>
      <c r="R352" s="130" t="str">
        <f>IF(Modificaciones!Z352=0,"",VLOOKUP(E352,Modificaciones!$B$7:$AA$400,25,0))</f>
        <v xml:space="preserve">5 meses y 15 días </v>
      </c>
      <c r="S352" s="131">
        <f>IF(Modificaciones!AA352=0,"",VLOOKUP(E352,Modificaciones!$B$7:$AA$400,26,0))</f>
        <v>42862</v>
      </c>
      <c r="T352" s="126">
        <f t="shared" si="65"/>
        <v>42862</v>
      </c>
      <c r="U352" s="62">
        <f t="shared" si="67"/>
        <v>14917500</v>
      </c>
      <c r="V352" s="172">
        <f>VLOOKUP(E352,Modificaciones!$B$7:$AU$400,46,0)</f>
        <v>14917500</v>
      </c>
      <c r="W352" s="93">
        <f t="shared" si="68"/>
        <v>0</v>
      </c>
      <c r="X352" s="309" t="s">
        <v>2144</v>
      </c>
      <c r="Y352" s="42">
        <f t="shared" si="69"/>
        <v>1</v>
      </c>
      <c r="Z352" s="42">
        <f t="shared" ca="1" si="70"/>
        <v>1</v>
      </c>
      <c r="AA352" s="43">
        <f t="shared" ca="1" si="71"/>
        <v>0</v>
      </c>
      <c r="AB352" s="202" t="str">
        <f t="shared" ca="1" si="72"/>
        <v/>
      </c>
      <c r="AC352" s="44" t="str">
        <f t="shared" si="74"/>
        <v>SI</v>
      </c>
      <c r="AD352" s="1069" t="s">
        <v>3679</v>
      </c>
      <c r="AE352" s="173" t="s">
        <v>1256</v>
      </c>
      <c r="AF352" s="281" t="s">
        <v>1141</v>
      </c>
      <c r="AG352" s="173" t="s">
        <v>1442</v>
      </c>
      <c r="AH352" s="281" t="s">
        <v>560</v>
      </c>
      <c r="AI352" s="174" t="s">
        <v>1380</v>
      </c>
      <c r="AJ352" s="305" t="s">
        <v>1867</v>
      </c>
      <c r="AK352" s="181" t="str">
        <f t="shared" ca="1" si="73"/>
        <v>TERMINO</v>
      </c>
      <c r="AL352" s="181" t="s">
        <v>576</v>
      </c>
      <c r="AM352" s="176" t="s">
        <v>390</v>
      </c>
      <c r="AN352" s="848" t="str">
        <f>IFERROR(VLOOKUP(E352,'liquidaciones '!$B$2:$C$1048576,2,0),"NO")</f>
        <v>LIQUIDADO</v>
      </c>
      <c r="AO352" s="944">
        <f>IFERROR(VLOOKUP(E352,'liquidaciones '!$B$2:$I$1048576,8,0),"")</f>
        <v>0</v>
      </c>
      <c r="AP352" s="338"/>
      <c r="AQ352" s="177" t="str">
        <f t="shared" ca="1" si="75"/>
        <v>SI</v>
      </c>
      <c r="AR352" s="433" t="s">
        <v>2965</v>
      </c>
      <c r="AS352" s="433"/>
      <c r="AT352" s="964"/>
      <c r="AU352" s="964"/>
      <c r="AV352" s="964"/>
    </row>
    <row r="353" spans="2:48" ht="33.75" x14ac:dyDescent="0.25">
      <c r="B353" s="720">
        <v>347</v>
      </c>
      <c r="C353" s="437">
        <v>148</v>
      </c>
      <c r="D353" s="437" t="str">
        <f t="shared" si="66"/>
        <v>2015148</v>
      </c>
      <c r="E353" s="866" t="s">
        <v>2145</v>
      </c>
      <c r="F353" s="864" t="s">
        <v>2146</v>
      </c>
      <c r="G353" s="866">
        <v>860536029</v>
      </c>
      <c r="H353" s="858" t="s">
        <v>2147</v>
      </c>
      <c r="I353" s="210">
        <v>880500</v>
      </c>
      <c r="J353" s="702" t="s">
        <v>2145</v>
      </c>
      <c r="K353" s="295">
        <v>2015</v>
      </c>
      <c r="L353" s="546">
        <v>42230</v>
      </c>
      <c r="M353" s="865">
        <v>42262</v>
      </c>
      <c r="N353" s="865">
        <v>42628</v>
      </c>
      <c r="O353" s="127">
        <f>COUNTA(Modificaciones!I353,Modificaciones!K353,Modificaciones!M353,Modificaciones!O353)</f>
        <v>0</v>
      </c>
      <c r="P353" s="128">
        <f>VLOOKUP(E353,Modificaciones!$B$7:$Q$400,16,0)</f>
        <v>0</v>
      </c>
      <c r="Q353" s="129">
        <f>COUNTA(Modificaciones!S353,Modificaciones!U353,Modificaciones!W353,Modificaciones!Y353)</f>
        <v>0</v>
      </c>
      <c r="R353" s="130" t="str">
        <f>IF(Modificaciones!Z353=0,"",VLOOKUP(E353,Modificaciones!$B$7:$AA$400,25,0))</f>
        <v/>
      </c>
      <c r="S353" s="131" t="str">
        <f>IF(Modificaciones!AA353=0,"",VLOOKUP(E353,Modificaciones!$B$7:$AA$400,26,0))</f>
        <v/>
      </c>
      <c r="T353" s="126">
        <f t="shared" si="65"/>
        <v>42628</v>
      </c>
      <c r="U353" s="62">
        <f t="shared" si="67"/>
        <v>880500</v>
      </c>
      <c r="V353" s="172">
        <f>VLOOKUP(E353,Modificaciones!$B$7:$AU$400,46,0)</f>
        <v>880500</v>
      </c>
      <c r="W353" s="93">
        <f t="shared" si="68"/>
        <v>0</v>
      </c>
      <c r="X353" s="309" t="s">
        <v>1895</v>
      </c>
      <c r="Y353" s="42">
        <f t="shared" si="69"/>
        <v>1</v>
      </c>
      <c r="Z353" s="42">
        <f t="shared" ca="1" si="70"/>
        <v>1</v>
      </c>
      <c r="AA353" s="43">
        <f t="shared" ca="1" si="71"/>
        <v>0</v>
      </c>
      <c r="AB353" s="202" t="str">
        <f t="shared" ca="1" si="72"/>
        <v/>
      </c>
      <c r="AC353" s="44" t="str">
        <f t="shared" si="74"/>
        <v>SI</v>
      </c>
      <c r="AD353" s="760" t="str">
        <f>VLOOKUP(C353,[2]Hoja4!$A$2:$E$116,5,0)</f>
        <v>SUSCRIPCION</v>
      </c>
      <c r="AE353" s="173" t="s">
        <v>1256</v>
      </c>
      <c r="AF353" s="281" t="s">
        <v>1125</v>
      </c>
      <c r="AG353" s="173" t="s">
        <v>1430</v>
      </c>
      <c r="AH353" s="281" t="s">
        <v>564</v>
      </c>
      <c r="AI353" s="305"/>
      <c r="AJ353" s="305"/>
      <c r="AK353" s="181" t="str">
        <f t="shared" ca="1" si="73"/>
        <v>TERMINO</v>
      </c>
      <c r="AL353" s="310" t="s">
        <v>582</v>
      </c>
      <c r="AM353" s="176" t="s">
        <v>390</v>
      </c>
      <c r="AN353" s="848" t="str">
        <f>IFERROR(VLOOKUP(E353,'liquidaciones '!$B$2:$C$1048576,2,0),"NO")</f>
        <v>LIQUIDADO</v>
      </c>
      <c r="AO353" s="944">
        <f>IFERROR(VLOOKUP(E353,'liquidaciones '!$B$2:$I$1048576,8,0),"")</f>
        <v>0</v>
      </c>
      <c r="AP353" s="338"/>
      <c r="AQ353" s="177" t="str">
        <f t="shared" ca="1" si="75"/>
        <v>NO</v>
      </c>
      <c r="AR353" s="177" t="s">
        <v>2602</v>
      </c>
      <c r="AS353" s="433"/>
      <c r="AT353" s="964"/>
      <c r="AU353" s="964"/>
      <c r="AV353" s="964"/>
    </row>
    <row r="354" spans="2:48" ht="45" x14ac:dyDescent="0.25">
      <c r="B354" s="720">
        <v>348</v>
      </c>
      <c r="C354" s="437">
        <v>155</v>
      </c>
      <c r="D354" s="437" t="str">
        <f t="shared" si="66"/>
        <v>2015155</v>
      </c>
      <c r="E354" s="866" t="s">
        <v>2152</v>
      </c>
      <c r="F354" s="864" t="s">
        <v>2153</v>
      </c>
      <c r="G354" s="866" t="s">
        <v>2154</v>
      </c>
      <c r="H354" s="858" t="s">
        <v>2155</v>
      </c>
      <c r="I354" s="210">
        <v>5000000</v>
      </c>
      <c r="J354" s="702" t="s">
        <v>2105</v>
      </c>
      <c r="K354" s="295">
        <v>2015</v>
      </c>
      <c r="L354" s="546">
        <v>42236</v>
      </c>
      <c r="M354" s="865">
        <v>42244</v>
      </c>
      <c r="N354" s="865">
        <v>42549</v>
      </c>
      <c r="O354" s="127">
        <f>COUNTA(Modificaciones!I354,Modificaciones!K354,Modificaciones!M354,Modificaciones!O354)</f>
        <v>0</v>
      </c>
      <c r="P354" s="128">
        <f>VLOOKUP(E354,Modificaciones!$B$7:$Q$400,16,0)</f>
        <v>0</v>
      </c>
      <c r="Q354" s="129">
        <f>COUNTA(Modificaciones!S354,Modificaciones!U354,Modificaciones!W354,Modificaciones!Y354)</f>
        <v>1</v>
      </c>
      <c r="R354" s="130" t="str">
        <f>IF(Modificaciones!Z354=0,"",VLOOKUP(E354,Modificaciones!$B$7:$AA$400,25,0))</f>
        <v>2 meses</v>
      </c>
      <c r="S354" s="131">
        <f>IF(Modificaciones!AA354=0,"",VLOOKUP(E354,Modificaciones!$B$7:$AA$400,26,0))</f>
        <v>42610</v>
      </c>
      <c r="T354" s="126">
        <f t="shared" si="65"/>
        <v>42610</v>
      </c>
      <c r="U354" s="62">
        <f t="shared" si="67"/>
        <v>5000000</v>
      </c>
      <c r="V354" s="172">
        <f>VLOOKUP(E354,Modificaciones!$B$7:$AU$400,46,0)</f>
        <v>3448399</v>
      </c>
      <c r="W354" s="93">
        <f t="shared" si="68"/>
        <v>1551601</v>
      </c>
      <c r="X354" s="309" t="s">
        <v>2156</v>
      </c>
      <c r="Y354" s="42">
        <f t="shared" si="69"/>
        <v>0.68967979999999995</v>
      </c>
      <c r="Z354" s="42">
        <f t="shared" ca="1" si="70"/>
        <v>1</v>
      </c>
      <c r="AA354" s="43">
        <f t="shared" ca="1" si="71"/>
        <v>0.31032020000000005</v>
      </c>
      <c r="AB354" s="202" t="str">
        <f t="shared" ca="1" si="72"/>
        <v/>
      </c>
      <c r="AC354" s="44" t="str">
        <f t="shared" si="74"/>
        <v>NO</v>
      </c>
      <c r="AD354" s="760" t="str">
        <f>VLOOKUP(C354,[2]Hoja4!$A$2:$E$116,5,0)</f>
        <v>PRESTACION DE SERVICIOS</v>
      </c>
      <c r="AE354" s="173" t="s">
        <v>1256</v>
      </c>
      <c r="AF354" s="281" t="s">
        <v>1172</v>
      </c>
      <c r="AG354" s="173" t="s">
        <v>1442</v>
      </c>
      <c r="AH354" s="281" t="s">
        <v>560</v>
      </c>
      <c r="AI354" s="174" t="s">
        <v>1380</v>
      </c>
      <c r="AJ354" s="305" t="s">
        <v>1867</v>
      </c>
      <c r="AK354" s="181" t="str">
        <f t="shared" ca="1" si="73"/>
        <v>TERMINO</v>
      </c>
      <c r="AL354" s="181" t="s">
        <v>576</v>
      </c>
      <c r="AM354" s="176" t="s">
        <v>390</v>
      </c>
      <c r="AN354" s="848" t="str">
        <f>IFERROR(VLOOKUP(E354,'liquidaciones '!$B$2:$C$1048576,2,0),"NO")</f>
        <v>DEVUELTO</v>
      </c>
      <c r="AO354" s="944" t="str">
        <f>IFERROR(VLOOKUP(E354,'liquidaciones '!$B$2:$I$1048576,8,0),"")</f>
        <v>JULIETH ANGARITA</v>
      </c>
      <c r="AP354" s="338"/>
      <c r="AQ354" s="177" t="str">
        <f t="shared" ca="1" si="75"/>
        <v>NO</v>
      </c>
      <c r="AR354" s="177" t="s">
        <v>2603</v>
      </c>
      <c r="AS354" s="433"/>
      <c r="AT354" s="964"/>
      <c r="AU354" s="964"/>
      <c r="AV354" s="964"/>
    </row>
    <row r="355" spans="2:48" ht="22.5" x14ac:dyDescent="0.25">
      <c r="B355" s="720">
        <v>349</v>
      </c>
      <c r="C355" s="437">
        <v>146</v>
      </c>
      <c r="D355" s="437" t="str">
        <f t="shared" si="66"/>
        <v>2015146</v>
      </c>
      <c r="E355" s="866" t="s">
        <v>2160</v>
      </c>
      <c r="F355" s="864" t="s">
        <v>33</v>
      </c>
      <c r="G355" s="866">
        <v>860509265</v>
      </c>
      <c r="H355" s="858" t="s">
        <v>2161</v>
      </c>
      <c r="I355" s="210">
        <v>825000</v>
      </c>
      <c r="J355" s="702" t="s">
        <v>2160</v>
      </c>
      <c r="K355" s="295">
        <v>2015</v>
      </c>
      <c r="L355" s="546">
        <v>42237</v>
      </c>
      <c r="M355" s="865">
        <v>42278</v>
      </c>
      <c r="N355" s="865">
        <v>42644</v>
      </c>
      <c r="O355" s="127">
        <f>COUNTA(Modificaciones!I355,Modificaciones!K355,Modificaciones!M355,Modificaciones!O355)</f>
        <v>0</v>
      </c>
      <c r="P355" s="128">
        <f>VLOOKUP(E355,Modificaciones!$B$7:$Q$400,16,0)</f>
        <v>0</v>
      </c>
      <c r="Q355" s="129">
        <f>COUNTA(Modificaciones!S355,Modificaciones!U355,Modificaciones!W355,Modificaciones!Y355)</f>
        <v>0</v>
      </c>
      <c r="R355" s="130" t="str">
        <f>IF(Modificaciones!Z355=0,"",VLOOKUP(E355,Modificaciones!$B$7:$AA$400,25,0))</f>
        <v/>
      </c>
      <c r="S355" s="131" t="str">
        <f>IF(Modificaciones!AA355=0,"",VLOOKUP(E355,Modificaciones!$B$7:$AA$400,26,0))</f>
        <v/>
      </c>
      <c r="T355" s="126">
        <f t="shared" si="65"/>
        <v>42644</v>
      </c>
      <c r="U355" s="62">
        <f t="shared" si="67"/>
        <v>825000</v>
      </c>
      <c r="V355" s="172">
        <f>VLOOKUP(E355,Modificaciones!$B$7:$AU$400,46,0)</f>
        <v>825000</v>
      </c>
      <c r="W355" s="93">
        <f t="shared" si="68"/>
        <v>0</v>
      </c>
      <c r="X355" s="309" t="s">
        <v>1895</v>
      </c>
      <c r="Y355" s="42">
        <f t="shared" si="69"/>
        <v>1</v>
      </c>
      <c r="Z355" s="42">
        <f t="shared" ca="1" si="70"/>
        <v>1</v>
      </c>
      <c r="AA355" s="43">
        <f t="shared" ca="1" si="71"/>
        <v>0</v>
      </c>
      <c r="AB355" s="202" t="str">
        <f t="shared" ca="1" si="72"/>
        <v/>
      </c>
      <c r="AC355" s="44" t="str">
        <f t="shared" si="74"/>
        <v>SI</v>
      </c>
      <c r="AD355" s="760" t="str">
        <f>VLOOKUP(C355,[2]Hoja4!$A$2:$E$116,5,0)</f>
        <v>SUSCRIPCION</v>
      </c>
      <c r="AE355" s="173" t="s">
        <v>1256</v>
      </c>
      <c r="AF355" s="301" t="s">
        <v>1469</v>
      </c>
      <c r="AG355" s="173" t="s">
        <v>1430</v>
      </c>
      <c r="AH355" s="281" t="s">
        <v>564</v>
      </c>
      <c r="AI355" s="305"/>
      <c r="AJ355" s="305" t="s">
        <v>1867</v>
      </c>
      <c r="AK355" s="181" t="str">
        <f t="shared" ca="1" si="73"/>
        <v>TERMINO</v>
      </c>
      <c r="AL355" s="181" t="s">
        <v>582</v>
      </c>
      <c r="AM355" s="176" t="s">
        <v>390</v>
      </c>
      <c r="AN355" s="848" t="str">
        <f>IFERROR(VLOOKUP(E355,'liquidaciones '!$B$2:$C$1048576,2,0),"NO")</f>
        <v>LIQUIDADO</v>
      </c>
      <c r="AO355" s="944">
        <f>IFERROR(VLOOKUP(E355,'liquidaciones '!$B$2:$I$1048576,8,0),"")</f>
        <v>0</v>
      </c>
      <c r="AP355" s="338"/>
      <c r="AQ355" s="177" t="str">
        <f t="shared" ca="1" si="75"/>
        <v>NO</v>
      </c>
      <c r="AR355" s="177" t="s">
        <v>2604</v>
      </c>
      <c r="AS355" s="433"/>
      <c r="AT355" s="964"/>
      <c r="AU355" s="964"/>
      <c r="AV355" s="964"/>
    </row>
    <row r="356" spans="2:48" ht="67.5" x14ac:dyDescent="0.25">
      <c r="B356" s="720">
        <v>350</v>
      </c>
      <c r="C356" s="437">
        <v>282</v>
      </c>
      <c r="D356" s="437" t="str">
        <f t="shared" si="66"/>
        <v>2015282</v>
      </c>
      <c r="E356" s="866" t="s">
        <v>2180</v>
      </c>
      <c r="F356" s="864" t="s">
        <v>2181</v>
      </c>
      <c r="G356" s="866">
        <v>900879521</v>
      </c>
      <c r="H356" s="858" t="s">
        <v>2182</v>
      </c>
      <c r="I356" s="210">
        <v>382091582</v>
      </c>
      <c r="J356" s="702" t="s">
        <v>1983</v>
      </c>
      <c r="K356" s="295">
        <v>2015</v>
      </c>
      <c r="L356" s="546">
        <v>42240</v>
      </c>
      <c r="M356" s="865">
        <v>42261</v>
      </c>
      <c r="N356" s="865">
        <v>42565</v>
      </c>
      <c r="O356" s="127">
        <f>COUNTA(Modificaciones!I356,Modificaciones!K356,Modificaciones!M356,Modificaciones!O356)</f>
        <v>2</v>
      </c>
      <c r="P356" s="128">
        <f>VLOOKUP(E356,Modificaciones!$B$7:$Q$400,16,0)</f>
        <v>136483034</v>
      </c>
      <c r="Q356" s="129">
        <f>COUNTA(Modificaciones!S356,Modificaciones!U356,Modificaciones!W356,Modificaciones!Y356)</f>
        <v>2</v>
      </c>
      <c r="R356" s="130" t="str">
        <f>IF(Modificaciones!Z356=0,"",VLOOKUP(E356,Modificaciones!$B$7:$AA$400,25,0))</f>
        <v>4 meses</v>
      </c>
      <c r="S356" s="131">
        <f>IF(Modificaciones!AA356=0,"",VLOOKUP(E356,Modificaciones!$B$7:$AA$400,26,0))</f>
        <v>42688</v>
      </c>
      <c r="T356" s="126">
        <f t="shared" si="65"/>
        <v>42688</v>
      </c>
      <c r="U356" s="62">
        <f t="shared" si="67"/>
        <v>518574616</v>
      </c>
      <c r="V356" s="172">
        <f>VLOOKUP(E356,Modificaciones!$B$7:$AU$400,46,0)</f>
        <v>448431545</v>
      </c>
      <c r="W356" s="93">
        <f t="shared" si="68"/>
        <v>70143071</v>
      </c>
      <c r="X356" s="309" t="s">
        <v>2183</v>
      </c>
      <c r="Y356" s="42">
        <f t="shared" si="69"/>
        <v>0.86473871100547661</v>
      </c>
      <c r="Z356" s="42">
        <f t="shared" ca="1" si="70"/>
        <v>1</v>
      </c>
      <c r="AA356" s="43">
        <f t="shared" ca="1" si="71"/>
        <v>0.13526128899452339</v>
      </c>
      <c r="AB356" s="202" t="str">
        <f t="shared" ca="1" si="72"/>
        <v/>
      </c>
      <c r="AC356" s="44" t="str">
        <f t="shared" si="74"/>
        <v>NO</v>
      </c>
      <c r="AD356" s="760" t="str">
        <f>VLOOKUP(C356,[2]Hoja4!$A$2:$E$116,5,0)</f>
        <v>PRESTACION DE SERVICIOS</v>
      </c>
      <c r="AE356" s="173" t="s">
        <v>1257</v>
      </c>
      <c r="AF356" s="281" t="s">
        <v>2184</v>
      </c>
      <c r="AG356" s="173" t="s">
        <v>1439</v>
      </c>
      <c r="AH356" s="281" t="s">
        <v>560</v>
      </c>
      <c r="AI356" s="305" t="s">
        <v>1509</v>
      </c>
      <c r="AJ356" s="305" t="s">
        <v>1867</v>
      </c>
      <c r="AK356" s="181" t="str">
        <f t="shared" ca="1" si="73"/>
        <v>TERMINO</v>
      </c>
      <c r="AL356" s="310" t="s">
        <v>573</v>
      </c>
      <c r="AM356" s="176" t="s">
        <v>390</v>
      </c>
      <c r="AN356" s="848" t="str">
        <f>IFERROR(VLOOKUP(E356,'liquidaciones '!$B$2:$C$1048576,2,0),"NO")</f>
        <v>LIQUIDADO</v>
      </c>
      <c r="AO356" s="944" t="str">
        <f>IFERROR(VLOOKUP(E356,'liquidaciones '!$B$2:$I$1048576,8,0),"")</f>
        <v>JULIETH ANGARITA</v>
      </c>
      <c r="AP356" s="338"/>
      <c r="AQ356" s="177" t="str">
        <f t="shared" ca="1" si="75"/>
        <v>NO</v>
      </c>
      <c r="AR356" s="177" t="s">
        <v>2605</v>
      </c>
      <c r="AS356" s="433"/>
      <c r="AT356" s="964"/>
      <c r="AU356" s="964"/>
      <c r="AV356" s="964"/>
    </row>
    <row r="357" spans="2:48" ht="45" x14ac:dyDescent="0.25">
      <c r="B357" s="720">
        <v>351</v>
      </c>
      <c r="C357" s="437">
        <v>325</v>
      </c>
      <c r="D357" s="437" t="str">
        <f t="shared" si="66"/>
        <v>2015325</v>
      </c>
      <c r="E357" s="866" t="s">
        <v>2187</v>
      </c>
      <c r="F357" s="864" t="s">
        <v>1535</v>
      </c>
      <c r="G357" s="866">
        <v>80100229</v>
      </c>
      <c r="H357" s="858" t="s">
        <v>2188</v>
      </c>
      <c r="I357" s="210">
        <v>33000000</v>
      </c>
      <c r="J357" s="702" t="s">
        <v>2187</v>
      </c>
      <c r="K357" s="295">
        <v>2015</v>
      </c>
      <c r="L357" s="546">
        <v>42244</v>
      </c>
      <c r="M357" s="865">
        <v>42249</v>
      </c>
      <c r="N357" s="865">
        <v>42431</v>
      </c>
      <c r="O357" s="127">
        <f>COUNTA(Modificaciones!I357,Modificaciones!K357,Modificaciones!M357,Modificaciones!O357)</f>
        <v>0</v>
      </c>
      <c r="P357" s="128">
        <f>VLOOKUP(E357,Modificaciones!$B$7:$Q$400,16,0)</f>
        <v>0</v>
      </c>
      <c r="Q357" s="129">
        <f>COUNTA(Modificaciones!S357,Modificaciones!U357,Modificaciones!W357,Modificaciones!Y357)</f>
        <v>0</v>
      </c>
      <c r="R357" s="130" t="str">
        <f>IF(Modificaciones!Z357=0,"",VLOOKUP(E357,Modificaciones!$B$7:$AA$400,25,0))</f>
        <v/>
      </c>
      <c r="S357" s="131" t="str">
        <f>IF(Modificaciones!AA357=0,"",VLOOKUP(E357,Modificaciones!$B$7:$AA$400,26,0))</f>
        <v/>
      </c>
      <c r="T357" s="126">
        <f t="shared" si="65"/>
        <v>42431</v>
      </c>
      <c r="U357" s="62">
        <f t="shared" si="67"/>
        <v>33000000</v>
      </c>
      <c r="V357" s="172">
        <f>VLOOKUP(E357,Modificaciones!$B$7:$AU$400,46,0)</f>
        <v>33000000</v>
      </c>
      <c r="W357" s="93">
        <f t="shared" si="68"/>
        <v>0</v>
      </c>
      <c r="X357" s="309" t="s">
        <v>1095</v>
      </c>
      <c r="Y357" s="42">
        <f t="shared" si="69"/>
        <v>1</v>
      </c>
      <c r="Z357" s="42">
        <f t="shared" ca="1" si="70"/>
        <v>1</v>
      </c>
      <c r="AA357" s="43">
        <f t="shared" ca="1" si="71"/>
        <v>0</v>
      </c>
      <c r="AB357" s="202" t="str">
        <f t="shared" ca="1" si="72"/>
        <v/>
      </c>
      <c r="AC357" s="44" t="str">
        <f t="shared" si="74"/>
        <v>SI</v>
      </c>
      <c r="AD357" s="760" t="s">
        <v>2898</v>
      </c>
      <c r="AE357" s="173" t="s">
        <v>1257</v>
      </c>
      <c r="AF357" s="173" t="s">
        <v>2190</v>
      </c>
      <c r="AG357" s="173" t="s">
        <v>1177</v>
      </c>
      <c r="AH357" s="281" t="s">
        <v>559</v>
      </c>
      <c r="AI357" s="305" t="s">
        <v>2189</v>
      </c>
      <c r="AJ357" s="305" t="s">
        <v>1867</v>
      </c>
      <c r="AK357" s="181" t="str">
        <f t="shared" ca="1" si="73"/>
        <v>TERMINO</v>
      </c>
      <c r="AL357" s="310" t="s">
        <v>582</v>
      </c>
      <c r="AM357" s="176" t="s">
        <v>391</v>
      </c>
      <c r="AN357" s="848" t="str">
        <f>IFERROR(VLOOKUP(E357,'liquidaciones '!$B$2:$C$1048576,2,0),"NO")</f>
        <v>LIQUIDADO</v>
      </c>
      <c r="AO357" s="944">
        <f>IFERROR(VLOOKUP(E357,'liquidaciones '!$B$2:$I$1048576,8,0),"")</f>
        <v>0</v>
      </c>
      <c r="AP357" s="338"/>
      <c r="AQ357" s="177" t="str">
        <f t="shared" ca="1" si="75"/>
        <v>NO</v>
      </c>
      <c r="AR357" s="177"/>
      <c r="AS357" s="433"/>
      <c r="AT357" s="964"/>
      <c r="AU357" s="964"/>
      <c r="AV357" s="964"/>
    </row>
    <row r="358" spans="2:48" ht="33.75" x14ac:dyDescent="0.25">
      <c r="B358" s="720">
        <v>352</v>
      </c>
      <c r="C358" s="437">
        <v>187</v>
      </c>
      <c r="D358" s="437" t="str">
        <f t="shared" si="66"/>
        <v>2015187</v>
      </c>
      <c r="E358" s="866" t="s">
        <v>2192</v>
      </c>
      <c r="F358" s="864" t="s">
        <v>2193</v>
      </c>
      <c r="G358" s="866" t="s">
        <v>2194</v>
      </c>
      <c r="H358" s="858" t="s">
        <v>2195</v>
      </c>
      <c r="I358" s="210">
        <v>19141000</v>
      </c>
      <c r="J358" s="702" t="s">
        <v>2118</v>
      </c>
      <c r="K358" s="295">
        <v>2015</v>
      </c>
      <c r="L358" s="546">
        <v>42248</v>
      </c>
      <c r="M358" s="865">
        <v>42262</v>
      </c>
      <c r="N358" s="865">
        <v>42384</v>
      </c>
      <c r="O358" s="127">
        <f>COUNTA(Modificaciones!I358,Modificaciones!K358,Modificaciones!M358,Modificaciones!O358)</f>
        <v>0</v>
      </c>
      <c r="P358" s="128">
        <f>VLOOKUP(E358,Modificaciones!$B$7:$Q$400,16,0)</f>
        <v>0</v>
      </c>
      <c r="Q358" s="129">
        <f>COUNTA(Modificaciones!S358,Modificaciones!U358,Modificaciones!W358,Modificaciones!Y358)</f>
        <v>0</v>
      </c>
      <c r="R358" s="130" t="str">
        <f>IF(Modificaciones!Z358=0,"",VLOOKUP(E358,Modificaciones!$B$7:$AA$400,25,0))</f>
        <v/>
      </c>
      <c r="S358" s="131" t="str">
        <f>IF(Modificaciones!AA358=0,"",VLOOKUP(E358,Modificaciones!$B$7:$AA$400,26,0))</f>
        <v/>
      </c>
      <c r="T358" s="126">
        <f t="shared" si="65"/>
        <v>42384</v>
      </c>
      <c r="U358" s="62">
        <f t="shared" si="67"/>
        <v>19141000</v>
      </c>
      <c r="V358" s="172">
        <f>VLOOKUP(E358,Modificaciones!$B$7:$AU$400,46,0)</f>
        <v>19140398</v>
      </c>
      <c r="W358" s="93">
        <f t="shared" si="68"/>
        <v>602</v>
      </c>
      <c r="X358" s="309" t="s">
        <v>2196</v>
      </c>
      <c r="Y358" s="42">
        <f t="shared" si="69"/>
        <v>0.9999685491876078</v>
      </c>
      <c r="Z358" s="42">
        <f t="shared" ca="1" si="70"/>
        <v>1</v>
      </c>
      <c r="AA358" s="43">
        <f t="shared" ca="1" si="71"/>
        <v>3.1450812392197491E-5</v>
      </c>
      <c r="AB358" s="202" t="str">
        <f t="shared" ca="1" si="72"/>
        <v/>
      </c>
      <c r="AC358" s="44" t="str">
        <f t="shared" si="74"/>
        <v>SI</v>
      </c>
      <c r="AD358" s="760" t="str">
        <f>VLOOKUP(C358,[2]Hoja4!$A$2:$E$116,5,0)</f>
        <v>COMPRAVENTA</v>
      </c>
      <c r="AE358" s="173" t="s">
        <v>1256</v>
      </c>
      <c r="AF358" s="281" t="s">
        <v>1304</v>
      </c>
      <c r="AG358" s="173" t="s">
        <v>1435</v>
      </c>
      <c r="AH358" s="281" t="s">
        <v>560</v>
      </c>
      <c r="AI358" s="174" t="s">
        <v>1388</v>
      </c>
      <c r="AJ358" s="305" t="s">
        <v>1867</v>
      </c>
      <c r="AK358" s="181" t="str">
        <f t="shared" ca="1" si="73"/>
        <v>TERMINO</v>
      </c>
      <c r="AL358" s="310" t="s">
        <v>576</v>
      </c>
      <c r="AM358" s="176" t="s">
        <v>390</v>
      </c>
      <c r="AN358" s="848" t="str">
        <f>IFERROR(VLOOKUP(E358,'liquidaciones '!$B$2:$C$1048576,2,0),"NO")</f>
        <v>LIQUIDADO</v>
      </c>
      <c r="AO358" s="944">
        <f>IFERROR(VLOOKUP(E358,'liquidaciones '!$B$2:$I$1048576,8,0),"")</f>
        <v>0</v>
      </c>
      <c r="AP358" s="338"/>
      <c r="AQ358" s="177" t="str">
        <f t="shared" ca="1" si="75"/>
        <v>NO</v>
      </c>
      <c r="AR358" s="177" t="s">
        <v>1570</v>
      </c>
      <c r="AS358" s="433"/>
      <c r="AT358" s="964"/>
      <c r="AU358" s="964"/>
      <c r="AV358" s="964"/>
    </row>
    <row r="359" spans="2:48" ht="22.5" x14ac:dyDescent="0.25">
      <c r="B359" s="720">
        <v>353</v>
      </c>
      <c r="C359" s="437">
        <v>326</v>
      </c>
      <c r="D359" s="437" t="str">
        <f t="shared" si="66"/>
        <v>2015326</v>
      </c>
      <c r="E359" s="866" t="s">
        <v>2197</v>
      </c>
      <c r="F359" s="864" t="s">
        <v>142</v>
      </c>
      <c r="G359" s="866">
        <v>800026212</v>
      </c>
      <c r="H359" s="858" t="s">
        <v>2198</v>
      </c>
      <c r="I359" s="210">
        <v>72727824</v>
      </c>
      <c r="J359" s="702" t="s">
        <v>2197</v>
      </c>
      <c r="K359" s="295">
        <v>2015</v>
      </c>
      <c r="L359" s="546">
        <v>42236</v>
      </c>
      <c r="M359" s="865">
        <v>42244</v>
      </c>
      <c r="N359" s="865">
        <v>42305</v>
      </c>
      <c r="O359" s="127">
        <f>COUNTA(Modificaciones!I359,Modificaciones!K359,Modificaciones!M359,Modificaciones!O359)</f>
        <v>0</v>
      </c>
      <c r="P359" s="128">
        <f>VLOOKUP(E359,Modificaciones!$B$7:$Q$400,16,0)</f>
        <v>0</v>
      </c>
      <c r="Q359" s="129">
        <f>COUNTA(Modificaciones!S359,Modificaciones!U359,Modificaciones!W359,Modificaciones!Y359)</f>
        <v>0</v>
      </c>
      <c r="R359" s="130" t="str">
        <f>IF(Modificaciones!Z359=0,"",VLOOKUP(E359,Modificaciones!$B$7:$AA$400,25,0))</f>
        <v/>
      </c>
      <c r="S359" s="131" t="str">
        <f>IF(Modificaciones!AA359=0,"",VLOOKUP(E359,Modificaciones!$B$7:$AA$400,26,0))</f>
        <v/>
      </c>
      <c r="T359" s="126">
        <f t="shared" si="65"/>
        <v>42305</v>
      </c>
      <c r="U359" s="62">
        <f t="shared" si="67"/>
        <v>72727824</v>
      </c>
      <c r="V359" s="172">
        <f>VLOOKUP(E359,Modificaciones!$B$7:$AU$400,46,0)</f>
        <v>72727824</v>
      </c>
      <c r="W359" s="93">
        <f t="shared" si="68"/>
        <v>0</v>
      </c>
      <c r="X359" s="309" t="s">
        <v>2114</v>
      </c>
      <c r="Y359" s="42">
        <f t="shared" si="69"/>
        <v>1</v>
      </c>
      <c r="Z359" s="42">
        <f t="shared" ca="1" si="70"/>
        <v>1</v>
      </c>
      <c r="AA359" s="43">
        <f t="shared" ca="1" si="71"/>
        <v>0</v>
      </c>
      <c r="AB359" s="202" t="str">
        <f t="shared" ca="1" si="72"/>
        <v/>
      </c>
      <c r="AC359" s="44" t="str">
        <f t="shared" si="74"/>
        <v>SI</v>
      </c>
      <c r="AD359" s="760" t="str">
        <f>VLOOKUP(C359,[2]Hoja4!$A$2:$E$116,5,0)</f>
        <v>NA</v>
      </c>
      <c r="AE359" s="173" t="s">
        <v>1257</v>
      </c>
      <c r="AF359" s="281" t="s">
        <v>2199</v>
      </c>
      <c r="AG359" s="173" t="s">
        <v>1439</v>
      </c>
      <c r="AH359" s="281" t="s">
        <v>560</v>
      </c>
      <c r="AI359" s="305" t="s">
        <v>1509</v>
      </c>
      <c r="AJ359" s="305" t="s">
        <v>1867</v>
      </c>
      <c r="AK359" s="181" t="str">
        <f t="shared" ca="1" si="73"/>
        <v>TERMINO</v>
      </c>
      <c r="AL359" s="310" t="s">
        <v>582</v>
      </c>
      <c r="AM359" s="176" t="s">
        <v>390</v>
      </c>
      <c r="AN359" s="848" t="str">
        <f>IFERROR(VLOOKUP(E359,'liquidaciones '!$B$2:$C$1048576,2,0),"NO")</f>
        <v>LIQUIDADO</v>
      </c>
      <c r="AO359" s="944" t="str">
        <f>IFERROR(VLOOKUP(E359,'liquidaciones '!$B$2:$I$1048576,8,0),"")</f>
        <v>GIOVANNI SUAREZ</v>
      </c>
      <c r="AP359" s="338"/>
      <c r="AQ359" s="177" t="str">
        <f t="shared" ca="1" si="75"/>
        <v>NO</v>
      </c>
      <c r="AR359" s="177" t="s">
        <v>1992</v>
      </c>
      <c r="AS359" s="433"/>
      <c r="AT359" s="964"/>
      <c r="AU359" s="964"/>
      <c r="AV359" s="964"/>
    </row>
    <row r="360" spans="2:48" ht="78.75" x14ac:dyDescent="0.25">
      <c r="B360" s="720">
        <v>354</v>
      </c>
      <c r="C360" s="437">
        <v>57</v>
      </c>
      <c r="D360" s="437" t="str">
        <f t="shared" si="66"/>
        <v>201557</v>
      </c>
      <c r="E360" s="866" t="s">
        <v>2203</v>
      </c>
      <c r="F360" s="280" t="s">
        <v>2204</v>
      </c>
      <c r="G360" s="306">
        <v>9008873661</v>
      </c>
      <c r="H360" s="858" t="s">
        <v>2205</v>
      </c>
      <c r="I360" s="210">
        <v>154954934</v>
      </c>
      <c r="J360" s="702" t="s">
        <v>2157</v>
      </c>
      <c r="K360" s="295">
        <v>2015</v>
      </c>
      <c r="L360" s="546">
        <v>42258</v>
      </c>
      <c r="M360" s="296">
        <v>42293</v>
      </c>
      <c r="N360" s="296">
        <v>42659</v>
      </c>
      <c r="O360" s="127">
        <f>COUNTA(Modificaciones!I360,Modificaciones!K360,Modificaciones!M360,Modificaciones!O360)</f>
        <v>1</v>
      </c>
      <c r="P360" s="128">
        <f>VLOOKUP(E360,Modificaciones!$B$7:$Q$400,16,0)</f>
        <v>77477467</v>
      </c>
      <c r="Q360" s="129">
        <f>COUNTA(Modificaciones!S360,Modificaciones!U360,Modificaciones!W360,Modificaciones!Y360)</f>
        <v>1</v>
      </c>
      <c r="R360" s="130" t="str">
        <f>IF(Modificaciones!Z360=0,"",VLOOKUP(E360,Modificaciones!$B$7:$AA$400,25,0))</f>
        <v>6 meses</v>
      </c>
      <c r="S360" s="131">
        <f>IF(Modificaciones!AA360=0,"",VLOOKUP(E360,Modificaciones!$B$7:$AA$400,26,0))</f>
        <v>42841</v>
      </c>
      <c r="T360" s="126">
        <f t="shared" si="65"/>
        <v>42841</v>
      </c>
      <c r="U360" s="62">
        <f t="shared" si="67"/>
        <v>232432401</v>
      </c>
      <c r="V360" s="172">
        <f>VLOOKUP(E360,Modificaciones!$B$7:$AU$400,46,0)</f>
        <v>232432398</v>
      </c>
      <c r="W360" s="93">
        <f t="shared" si="68"/>
        <v>3</v>
      </c>
      <c r="X360" s="309" t="s">
        <v>2206</v>
      </c>
      <c r="Y360" s="42">
        <f t="shared" si="69"/>
        <v>0.99999998709302151</v>
      </c>
      <c r="Z360" s="42">
        <f t="shared" ca="1" si="70"/>
        <v>1</v>
      </c>
      <c r="AA360" s="43">
        <f t="shared" ca="1" si="71"/>
        <v>1.2906978485993648E-8</v>
      </c>
      <c r="AB360" s="202" t="str">
        <f t="shared" ca="1" si="72"/>
        <v/>
      </c>
      <c r="AC360" s="44" t="str">
        <f t="shared" si="74"/>
        <v>SI</v>
      </c>
      <c r="AD360" s="760" t="str">
        <f>VLOOKUP(C360,[2]Hoja4!$A$2:$E$116,5,0)</f>
        <v>PRESTACION DE SERVICIOS</v>
      </c>
      <c r="AE360" s="173" t="s">
        <v>1257</v>
      </c>
      <c r="AF360" s="281" t="s">
        <v>1936</v>
      </c>
      <c r="AG360" s="173" t="s">
        <v>1439</v>
      </c>
      <c r="AH360" s="281" t="s">
        <v>560</v>
      </c>
      <c r="AI360" s="305" t="s">
        <v>1509</v>
      </c>
      <c r="AJ360" s="305" t="s">
        <v>1867</v>
      </c>
      <c r="AK360" s="181" t="str">
        <f t="shared" ca="1" si="73"/>
        <v>TERMINO</v>
      </c>
      <c r="AL360" s="310" t="s">
        <v>575</v>
      </c>
      <c r="AM360" s="176" t="s">
        <v>390</v>
      </c>
      <c r="AN360" s="848" t="str">
        <f>IFERROR(VLOOKUP(E360,'liquidaciones '!$B$2:$C$1048576,2,0),"NO")</f>
        <v>LIQUIDADO</v>
      </c>
      <c r="AO360" s="944" t="str">
        <f>IFERROR(VLOOKUP(E360,'liquidaciones '!$B$2:$I$1048576,8,0),"")</f>
        <v>MANUEL ROJAS</v>
      </c>
      <c r="AP360" s="338"/>
      <c r="AQ360" s="177" t="str">
        <f t="shared" ca="1" si="75"/>
        <v>SI</v>
      </c>
      <c r="AR360" s="177" t="s">
        <v>2907</v>
      </c>
      <c r="AS360" s="433"/>
      <c r="AT360" s="964"/>
      <c r="AU360" s="964"/>
      <c r="AV360" s="964"/>
    </row>
    <row r="361" spans="2:48" ht="45" x14ac:dyDescent="0.25">
      <c r="B361" s="720">
        <v>355</v>
      </c>
      <c r="C361" s="437">
        <v>164</v>
      </c>
      <c r="D361" s="437" t="str">
        <f t="shared" si="66"/>
        <v>2015164</v>
      </c>
      <c r="E361" s="866" t="s">
        <v>2209</v>
      </c>
      <c r="F361" s="280" t="s">
        <v>2210</v>
      </c>
      <c r="G361" s="866" t="s">
        <v>2211</v>
      </c>
      <c r="H361" s="858" t="s">
        <v>2212</v>
      </c>
      <c r="I361" s="210">
        <v>28805000</v>
      </c>
      <c r="J361" s="702" t="s">
        <v>2213</v>
      </c>
      <c r="K361" s="295">
        <v>2015</v>
      </c>
      <c r="L361" s="546">
        <v>42268</v>
      </c>
      <c r="M361" s="296">
        <v>42296</v>
      </c>
      <c r="N361" s="296">
        <v>42662</v>
      </c>
      <c r="O361" s="127">
        <f>COUNTA(Modificaciones!I361,Modificaciones!K361,Modificaciones!M361,Modificaciones!O361)</f>
        <v>0</v>
      </c>
      <c r="P361" s="128">
        <f>VLOOKUP(E361,Modificaciones!$B$7:$Q$400,16,0)</f>
        <v>0</v>
      </c>
      <c r="Q361" s="129">
        <f>COUNTA(Modificaciones!S361,Modificaciones!U361,Modificaciones!W361,Modificaciones!Y361)</f>
        <v>1</v>
      </c>
      <c r="R361" s="130" t="str">
        <f>IF(Modificaciones!Z361=0,"",VLOOKUP(E361,Modificaciones!$B$7:$AA$400,25,0))</f>
        <v>2 meses     12 días calendario</v>
      </c>
      <c r="S361" s="131">
        <f>IF(Modificaciones!AA361=0,"",VLOOKUP(E361,Modificaciones!$B$7:$AA$400,26,0))</f>
        <v>42735</v>
      </c>
      <c r="T361" s="126">
        <f t="shared" si="65"/>
        <v>42735</v>
      </c>
      <c r="U361" s="62">
        <f t="shared" si="67"/>
        <v>28805000</v>
      </c>
      <c r="V361" s="172">
        <f>VLOOKUP(E361,Modificaciones!$B$7:$AU$400,46,0)</f>
        <v>12294749</v>
      </c>
      <c r="W361" s="93">
        <f t="shared" si="68"/>
        <v>16510251</v>
      </c>
      <c r="X361" s="309" t="s">
        <v>2214</v>
      </c>
      <c r="Y361" s="42">
        <f t="shared" si="69"/>
        <v>0.42682690505120641</v>
      </c>
      <c r="Z361" s="42">
        <f t="shared" ca="1" si="70"/>
        <v>1</v>
      </c>
      <c r="AA361" s="43">
        <f t="shared" ca="1" si="71"/>
        <v>0.57317309494879365</v>
      </c>
      <c r="AB361" s="202" t="str">
        <f t="shared" ca="1" si="72"/>
        <v/>
      </c>
      <c r="AC361" s="44" t="str">
        <f t="shared" si="74"/>
        <v>NO</v>
      </c>
      <c r="AD361" s="760" t="str">
        <f>VLOOKUP(C361,[2]Hoja4!$A$2:$E$116,5,0)</f>
        <v>PRESTACION DE SERVICIOS</v>
      </c>
      <c r="AE361" s="173" t="s">
        <v>1256</v>
      </c>
      <c r="AF361" s="281" t="s">
        <v>1126</v>
      </c>
      <c r="AG361" s="173" t="s">
        <v>1442</v>
      </c>
      <c r="AH361" s="281" t="s">
        <v>560</v>
      </c>
      <c r="AI361" s="174" t="s">
        <v>1319</v>
      </c>
      <c r="AJ361" s="305" t="s">
        <v>1867</v>
      </c>
      <c r="AK361" s="181" t="str">
        <f t="shared" ca="1" si="73"/>
        <v>TERMINO</v>
      </c>
      <c r="AL361" s="310" t="s">
        <v>576</v>
      </c>
      <c r="AM361" s="176" t="s">
        <v>390</v>
      </c>
      <c r="AN361" s="848" t="str">
        <f>IFERROR(VLOOKUP(E361,'liquidaciones '!$B$2:$C$1048576,2,0),"NO")</f>
        <v>LIQUIDADO</v>
      </c>
      <c r="AO361" s="944" t="str">
        <f>IFERROR(VLOOKUP(E361,'liquidaciones '!$B$2:$I$1048576,8,0),"")</f>
        <v>GIOVANNI SUAREZ</v>
      </c>
      <c r="AP361" s="338"/>
      <c r="AQ361" s="177" t="str">
        <f t="shared" ca="1" si="75"/>
        <v>NO</v>
      </c>
      <c r="AR361" s="177" t="s">
        <v>2601</v>
      </c>
      <c r="AS361" s="433"/>
      <c r="AT361" s="964"/>
      <c r="AU361" s="964"/>
      <c r="AV361" s="964"/>
    </row>
    <row r="362" spans="2:48" ht="33.75" x14ac:dyDescent="0.25">
      <c r="B362" s="720">
        <v>356</v>
      </c>
      <c r="C362" s="437">
        <v>186</v>
      </c>
      <c r="D362" s="437" t="str">
        <f t="shared" si="66"/>
        <v>2015186</v>
      </c>
      <c r="E362" s="866" t="s">
        <v>2215</v>
      </c>
      <c r="F362" s="864" t="s">
        <v>2216</v>
      </c>
      <c r="G362" s="866" t="s">
        <v>2217</v>
      </c>
      <c r="H362" s="858" t="s">
        <v>2218</v>
      </c>
      <c r="I362" s="210">
        <v>6000000</v>
      </c>
      <c r="J362" s="702" t="s">
        <v>2158</v>
      </c>
      <c r="K362" s="295">
        <v>2015</v>
      </c>
      <c r="L362" s="546">
        <v>42261</v>
      </c>
      <c r="M362" s="296">
        <v>42291</v>
      </c>
      <c r="N362" s="296">
        <v>42352</v>
      </c>
      <c r="O362" s="127">
        <f>COUNTA(Modificaciones!I362,Modificaciones!K362,Modificaciones!M362,Modificaciones!O362)</f>
        <v>0</v>
      </c>
      <c r="P362" s="128">
        <f>VLOOKUP(E362,Modificaciones!$B$7:$Q$400,16,0)</f>
        <v>0</v>
      </c>
      <c r="Q362" s="129">
        <f>COUNTA(Modificaciones!S362,Modificaciones!U362,Modificaciones!W362,Modificaciones!Y362)</f>
        <v>0</v>
      </c>
      <c r="R362" s="130" t="str">
        <f>IF(Modificaciones!Z362=0,"",VLOOKUP(E362,Modificaciones!$B$7:$AA$400,25,0))</f>
        <v/>
      </c>
      <c r="S362" s="131" t="str">
        <f>IF(Modificaciones!AA362=0,"",VLOOKUP(E362,Modificaciones!$B$7:$AA$400,26,0))</f>
        <v/>
      </c>
      <c r="T362" s="126">
        <f t="shared" si="65"/>
        <v>42352</v>
      </c>
      <c r="U362" s="62">
        <f t="shared" si="67"/>
        <v>6000000</v>
      </c>
      <c r="V362" s="172">
        <f>VLOOKUP(E362,Modificaciones!$B$7:$AU$400,46,0)</f>
        <v>5999890</v>
      </c>
      <c r="W362" s="93">
        <f t="shared" si="68"/>
        <v>110</v>
      </c>
      <c r="X362" s="309" t="s">
        <v>2219</v>
      </c>
      <c r="Y362" s="42">
        <f t="shared" si="69"/>
        <v>0.99998166666666666</v>
      </c>
      <c r="Z362" s="42">
        <f t="shared" ca="1" si="70"/>
        <v>1</v>
      </c>
      <c r="AA362" s="43">
        <f t="shared" ca="1" si="71"/>
        <v>1.8333333333342416E-5</v>
      </c>
      <c r="AB362" s="202" t="str">
        <f t="shared" ca="1" si="72"/>
        <v/>
      </c>
      <c r="AC362" s="44" t="str">
        <f t="shared" si="74"/>
        <v>SI</v>
      </c>
      <c r="AD362" s="760" t="str">
        <f>VLOOKUP(C362,[2]Hoja4!$A$2:$E$116,5,0)</f>
        <v>COMPRAVENTA</v>
      </c>
      <c r="AE362" s="173" t="s">
        <v>1256</v>
      </c>
      <c r="AF362" s="281" t="s">
        <v>1302</v>
      </c>
      <c r="AG362" s="173" t="s">
        <v>1435</v>
      </c>
      <c r="AH362" s="281" t="s">
        <v>560</v>
      </c>
      <c r="AI362" s="305" t="s">
        <v>1389</v>
      </c>
      <c r="AJ362" s="305" t="s">
        <v>1867</v>
      </c>
      <c r="AK362" s="181" t="str">
        <f t="shared" ca="1" si="73"/>
        <v>TERMINO</v>
      </c>
      <c r="AL362" s="310" t="s">
        <v>576</v>
      </c>
      <c r="AM362" s="176" t="s">
        <v>391</v>
      </c>
      <c r="AN362" s="848" t="str">
        <f>IFERROR(VLOOKUP(E362,'liquidaciones '!$B$2:$C$1048576,2,0),"NO")</f>
        <v>LIQUIDADO</v>
      </c>
      <c r="AO362" s="944">
        <f>IFERROR(VLOOKUP(E362,'liquidaciones '!$B$2:$I$1048576,8,0),"")</f>
        <v>0</v>
      </c>
      <c r="AP362" s="338"/>
      <c r="AQ362" s="177" t="str">
        <f t="shared" ca="1" si="75"/>
        <v>NO</v>
      </c>
      <c r="AR362" s="177" t="s">
        <v>1570</v>
      </c>
      <c r="AS362" s="433"/>
      <c r="AT362" s="964"/>
      <c r="AU362" s="964"/>
      <c r="AV362" s="964"/>
    </row>
    <row r="363" spans="2:48" ht="22.5" x14ac:dyDescent="0.25">
      <c r="B363" s="720">
        <v>357</v>
      </c>
      <c r="C363" s="437">
        <v>145</v>
      </c>
      <c r="D363" s="437" t="str">
        <f t="shared" si="66"/>
        <v>2015145</v>
      </c>
      <c r="E363" s="866" t="s">
        <v>2220</v>
      </c>
      <c r="F363" s="280" t="s">
        <v>2221</v>
      </c>
      <c r="G363" s="866">
        <v>860009759</v>
      </c>
      <c r="H363" s="858" t="s">
        <v>2222</v>
      </c>
      <c r="I363" s="210">
        <v>764100</v>
      </c>
      <c r="J363" s="702" t="s">
        <v>2220</v>
      </c>
      <c r="K363" s="295">
        <v>2015</v>
      </c>
      <c r="L363" s="546">
        <v>42272</v>
      </c>
      <c r="M363" s="296">
        <v>42336</v>
      </c>
      <c r="N363" s="296">
        <v>42702</v>
      </c>
      <c r="O363" s="127">
        <f>COUNTA(Modificaciones!I363,Modificaciones!K363,Modificaciones!M363,Modificaciones!O363)</f>
        <v>0</v>
      </c>
      <c r="P363" s="128">
        <f>VLOOKUP(E363,Modificaciones!$B$7:$Q$400,16,0)</f>
        <v>0</v>
      </c>
      <c r="Q363" s="129">
        <f>COUNTA(Modificaciones!S363,Modificaciones!U363,Modificaciones!W363,Modificaciones!Y363)</f>
        <v>0</v>
      </c>
      <c r="R363" s="130" t="str">
        <f>IF(Modificaciones!Z363=0,"",VLOOKUP(E363,Modificaciones!$B$7:$AA$400,25,0))</f>
        <v/>
      </c>
      <c r="S363" s="131" t="str">
        <f>IF(Modificaciones!AA363=0,"",VLOOKUP(E363,Modificaciones!$B$7:$AA$400,26,0))</f>
        <v/>
      </c>
      <c r="T363" s="126">
        <f t="shared" si="65"/>
        <v>42702</v>
      </c>
      <c r="U363" s="62">
        <f t="shared" si="67"/>
        <v>764100</v>
      </c>
      <c r="V363" s="172">
        <f>VLOOKUP(E363,Modificaciones!$B$7:$AU$400,46,0)</f>
        <v>764100</v>
      </c>
      <c r="W363" s="93">
        <f t="shared" si="68"/>
        <v>0</v>
      </c>
      <c r="X363" s="309" t="s">
        <v>2114</v>
      </c>
      <c r="Y363" s="42">
        <f t="shared" si="69"/>
        <v>1</v>
      </c>
      <c r="Z363" s="42">
        <f t="shared" ca="1" si="70"/>
        <v>1</v>
      </c>
      <c r="AA363" s="43">
        <f t="shared" ca="1" si="71"/>
        <v>0</v>
      </c>
      <c r="AB363" s="202" t="str">
        <f t="shared" ca="1" si="72"/>
        <v/>
      </c>
      <c r="AC363" s="44" t="str">
        <f t="shared" si="74"/>
        <v>SI</v>
      </c>
      <c r="AD363" s="760" t="str">
        <f>VLOOKUP(C363,[2]Hoja4!$A$2:$E$116,5,0)</f>
        <v>SUSCRIPCION</v>
      </c>
      <c r="AE363" s="173" t="s">
        <v>1256</v>
      </c>
      <c r="AF363" s="281" t="s">
        <v>1125</v>
      </c>
      <c r="AG363" s="173" t="s">
        <v>1430</v>
      </c>
      <c r="AH363" s="281" t="s">
        <v>564</v>
      </c>
      <c r="AI363" s="305"/>
      <c r="AJ363" s="305" t="s">
        <v>1867</v>
      </c>
      <c r="AK363" s="181" t="str">
        <f t="shared" ca="1" si="73"/>
        <v>TERMINO</v>
      </c>
      <c r="AL363" s="310" t="s">
        <v>582</v>
      </c>
      <c r="AM363" s="176" t="s">
        <v>390</v>
      </c>
      <c r="AN363" s="848" t="str">
        <f>IFERROR(VLOOKUP(E363,'liquidaciones '!$B$2:$C$1048576,2,0),"NO")</f>
        <v>LIQUIDADO</v>
      </c>
      <c r="AO363" s="944">
        <f>IFERROR(VLOOKUP(E363,'liquidaciones '!$B$2:$I$1048576,8,0),"")</f>
        <v>0</v>
      </c>
      <c r="AP363" s="338"/>
      <c r="AQ363" s="177" t="str">
        <f t="shared" ca="1" si="75"/>
        <v>NO</v>
      </c>
      <c r="AR363" s="177" t="s">
        <v>2602</v>
      </c>
      <c r="AS363" s="433"/>
      <c r="AT363" s="964"/>
      <c r="AU363" s="964"/>
      <c r="AV363" s="964"/>
    </row>
    <row r="364" spans="2:48" ht="33.75" x14ac:dyDescent="0.25">
      <c r="B364" s="720">
        <v>358</v>
      </c>
      <c r="C364" s="437">
        <v>134</v>
      </c>
      <c r="D364" s="437" t="str">
        <f t="shared" si="66"/>
        <v>2015134</v>
      </c>
      <c r="E364" s="866" t="s">
        <v>2224</v>
      </c>
      <c r="F364" s="280" t="s">
        <v>2225</v>
      </c>
      <c r="G364" s="866">
        <v>17024109</v>
      </c>
      <c r="H364" s="858" t="s">
        <v>2226</v>
      </c>
      <c r="I364" s="210">
        <v>6660000</v>
      </c>
      <c r="J364" s="702" t="s">
        <v>2224</v>
      </c>
      <c r="K364" s="295">
        <v>2015</v>
      </c>
      <c r="L364" s="546">
        <v>42284</v>
      </c>
      <c r="M364" s="296">
        <v>42303</v>
      </c>
      <c r="N364" s="296">
        <v>42364</v>
      </c>
      <c r="O364" s="127">
        <f>COUNTA(Modificaciones!I364,Modificaciones!K364,Modificaciones!M364,Modificaciones!O364)</f>
        <v>0</v>
      </c>
      <c r="P364" s="128">
        <f>VLOOKUP(E364,Modificaciones!$B$7:$Q$400,16,0)</f>
        <v>0</v>
      </c>
      <c r="Q364" s="129">
        <f>COUNTA(Modificaciones!S364,Modificaciones!U364,Modificaciones!W364,Modificaciones!Y364)</f>
        <v>0</v>
      </c>
      <c r="R364" s="130" t="str">
        <f>IF(Modificaciones!Z364=0,"",VLOOKUP(E364,Modificaciones!$B$7:$AA$400,25,0))</f>
        <v/>
      </c>
      <c r="S364" s="131" t="str">
        <f>IF(Modificaciones!AA364=0,"",VLOOKUP(E364,Modificaciones!$B$7:$AA$400,26,0))</f>
        <v/>
      </c>
      <c r="T364" s="126">
        <f t="shared" si="65"/>
        <v>42364</v>
      </c>
      <c r="U364" s="62">
        <f t="shared" si="67"/>
        <v>6660000</v>
      </c>
      <c r="V364" s="172">
        <f>VLOOKUP(E364,Modificaciones!$B$7:$AU$400,46,0)</f>
        <v>6600000</v>
      </c>
      <c r="W364" s="93">
        <f t="shared" si="68"/>
        <v>60000</v>
      </c>
      <c r="X364" s="309" t="s">
        <v>2114</v>
      </c>
      <c r="Y364" s="42">
        <f t="shared" si="69"/>
        <v>0.99099099099099097</v>
      </c>
      <c r="Z364" s="42">
        <f t="shared" ca="1" si="70"/>
        <v>1</v>
      </c>
      <c r="AA364" s="43">
        <f t="shared" ca="1" si="71"/>
        <v>9.009009009009028E-3</v>
      </c>
      <c r="AB364" s="202" t="str">
        <f t="shared" ca="1" si="72"/>
        <v/>
      </c>
      <c r="AC364" s="44" t="str">
        <f t="shared" si="74"/>
        <v>NO</v>
      </c>
      <c r="AD364" s="760" t="str">
        <f>VLOOKUP(C364,[2]Hoja4!$A$2:$E$116,5,0)</f>
        <v>PRESTACION DE SERVICIOS</v>
      </c>
      <c r="AE364" s="173" t="s">
        <v>1256</v>
      </c>
      <c r="AF364" s="281" t="s">
        <v>1307</v>
      </c>
      <c r="AG364" s="173"/>
      <c r="AH364" s="281"/>
      <c r="AI364" s="305"/>
      <c r="AJ364" s="305" t="s">
        <v>1867</v>
      </c>
      <c r="AK364" s="181" t="str">
        <f t="shared" ca="1" si="73"/>
        <v>TERMINO</v>
      </c>
      <c r="AL364" s="310" t="s">
        <v>582</v>
      </c>
      <c r="AM364" s="176" t="s">
        <v>391</v>
      </c>
      <c r="AN364" s="848" t="str">
        <f>IFERROR(VLOOKUP(E364,'liquidaciones '!$B$2:$C$1048576,2,0),"NO")</f>
        <v>LIQUIDADO</v>
      </c>
      <c r="AO364" s="944">
        <f>IFERROR(VLOOKUP(E364,'liquidaciones '!$B$2:$I$1048576,8,0),"")</f>
        <v>0</v>
      </c>
      <c r="AP364" s="338"/>
      <c r="AQ364" s="177" t="str">
        <f t="shared" ca="1" si="75"/>
        <v>NO</v>
      </c>
      <c r="AR364" s="177" t="s">
        <v>1510</v>
      </c>
      <c r="AS364" s="433"/>
      <c r="AT364" s="964"/>
      <c r="AU364" s="964"/>
      <c r="AV364" s="964"/>
    </row>
    <row r="365" spans="2:48" ht="45" x14ac:dyDescent="0.25">
      <c r="B365" s="720">
        <v>359</v>
      </c>
      <c r="C365" s="437">
        <v>181</v>
      </c>
      <c r="D365" s="437" t="str">
        <f t="shared" si="66"/>
        <v>2015181</v>
      </c>
      <c r="E365" s="866" t="s">
        <v>2228</v>
      </c>
      <c r="F365" s="280" t="s">
        <v>2229</v>
      </c>
      <c r="G365" s="866">
        <v>830143378</v>
      </c>
      <c r="H365" s="858" t="s">
        <v>2230</v>
      </c>
      <c r="I365" s="210">
        <v>436914000</v>
      </c>
      <c r="J365" s="702" t="s">
        <v>2191</v>
      </c>
      <c r="K365" s="295">
        <v>2015</v>
      </c>
      <c r="L365" s="546">
        <v>42293</v>
      </c>
      <c r="M365" s="296">
        <v>42362</v>
      </c>
      <c r="N365" s="296">
        <v>42605</v>
      </c>
      <c r="O365" s="127">
        <f>COUNTA(Modificaciones!I365,Modificaciones!K365,Modificaciones!M365,Modificaciones!O365)</f>
        <v>0</v>
      </c>
      <c r="P365" s="128">
        <f>VLOOKUP(E365,Modificaciones!$B$7:$Q$400,16,0)</f>
        <v>0</v>
      </c>
      <c r="Q365" s="129">
        <f>COUNTA(Modificaciones!S365,Modificaciones!U365,Modificaciones!W365,Modificaciones!Y365)</f>
        <v>2</v>
      </c>
      <c r="R365" s="130" t="str">
        <f>IF(Modificaciones!Z365=0,"",VLOOKUP(E365,Modificaciones!$B$7:$AA$400,25,0))</f>
        <v>3 meses y 7 días</v>
      </c>
      <c r="S365" s="131">
        <f>IF(Modificaciones!AA365=0,"",VLOOKUP(E365,Modificaciones!$B$7:$AA$400,26,0))</f>
        <v>42704</v>
      </c>
      <c r="T365" s="126">
        <f t="shared" si="65"/>
        <v>42704</v>
      </c>
      <c r="U365" s="62">
        <f t="shared" si="67"/>
        <v>436914000</v>
      </c>
      <c r="V365" s="172">
        <f>VLOOKUP(E365,Modificaciones!$B$7:$AU$400,46,0)</f>
        <v>436914000</v>
      </c>
      <c r="W365" s="93">
        <f t="shared" si="68"/>
        <v>0</v>
      </c>
      <c r="X365" s="309" t="s">
        <v>2231</v>
      </c>
      <c r="Y365" s="42">
        <f t="shared" si="69"/>
        <v>1</v>
      </c>
      <c r="Z365" s="42">
        <f t="shared" ca="1" si="70"/>
        <v>1</v>
      </c>
      <c r="AA365" s="43">
        <f t="shared" ca="1" si="71"/>
        <v>0</v>
      </c>
      <c r="AB365" s="202" t="str">
        <f t="shared" ca="1" si="72"/>
        <v/>
      </c>
      <c r="AC365" s="44" t="str">
        <f t="shared" si="74"/>
        <v>SI</v>
      </c>
      <c r="AD365" s="760" t="str">
        <f>VLOOKUP(C365,[2]Hoja4!$A$2:$E$116,5,0)</f>
        <v>PRESTACION DE SERVICIOS</v>
      </c>
      <c r="AE365" s="173" t="s">
        <v>1256</v>
      </c>
      <c r="AF365" s="281" t="s">
        <v>1283</v>
      </c>
      <c r="AG365" s="173" t="s">
        <v>1435</v>
      </c>
      <c r="AH365" s="281" t="s">
        <v>560</v>
      </c>
      <c r="AI365" s="305" t="s">
        <v>1386</v>
      </c>
      <c r="AJ365" s="305" t="s">
        <v>1867</v>
      </c>
      <c r="AK365" s="181" t="str">
        <f t="shared" ca="1" si="73"/>
        <v>TERMINO</v>
      </c>
      <c r="AL365" s="310" t="s">
        <v>573</v>
      </c>
      <c r="AM365" s="176" t="s">
        <v>390</v>
      </c>
      <c r="AN365" s="848" t="str">
        <f>IFERROR(VLOOKUP(E365,'liquidaciones '!$B$2:$C$1048576,2,0),"NO")</f>
        <v>LIQUIDADO</v>
      </c>
      <c r="AO365" s="944" t="str">
        <f>IFERROR(VLOOKUP(E365,'liquidaciones '!$B$2:$I$1048576,8,0),"")</f>
        <v>DORA PINILLA</v>
      </c>
      <c r="AP365" s="338"/>
      <c r="AQ365" s="177" t="str">
        <f t="shared" ca="1" si="75"/>
        <v>NO</v>
      </c>
      <c r="AR365" s="177" t="s">
        <v>1510</v>
      </c>
      <c r="AS365" s="433"/>
      <c r="AT365" s="964"/>
      <c r="AU365" s="964"/>
      <c r="AV365" s="964"/>
    </row>
    <row r="366" spans="2:48" ht="67.5" x14ac:dyDescent="0.25">
      <c r="B366" s="720">
        <v>360</v>
      </c>
      <c r="C366" s="437">
        <v>185</v>
      </c>
      <c r="D366" s="437" t="str">
        <f t="shared" si="66"/>
        <v>2015185</v>
      </c>
      <c r="E366" s="866" t="s">
        <v>2232</v>
      </c>
      <c r="F366" s="864" t="s">
        <v>2008</v>
      </c>
      <c r="G366" s="866">
        <v>8600669427</v>
      </c>
      <c r="H366" s="858" t="s">
        <v>2233</v>
      </c>
      <c r="I366" s="210">
        <v>550762000</v>
      </c>
      <c r="J366" s="702" t="s">
        <v>2234</v>
      </c>
      <c r="K366" s="295">
        <v>2015</v>
      </c>
      <c r="L366" s="546">
        <v>42297</v>
      </c>
      <c r="M366" s="296">
        <v>42305</v>
      </c>
      <c r="N366" s="296">
        <v>42579</v>
      </c>
      <c r="O366" s="127">
        <f>COUNTA(Modificaciones!I366,Modificaciones!K366,Modificaciones!M366,Modificaciones!O366)</f>
        <v>2</v>
      </c>
      <c r="P366" s="128">
        <f>VLOOKUP(E366,Modificaciones!$B$7:$Q$400,16,0)</f>
        <v>256744000</v>
      </c>
      <c r="Q366" s="129">
        <f>COUNTA(Modificaciones!S366,Modificaciones!U366,Modificaciones!W366,Modificaciones!Y366)</f>
        <v>2</v>
      </c>
      <c r="R366" s="130" t="str">
        <f>IF(Modificaciones!Z366=0,"",VLOOKUP(E366,Modificaciones!$B$7:$AA$400,25,0))</f>
        <v>1 mes y 23 días</v>
      </c>
      <c r="S366" s="131">
        <f>IF(Modificaciones!AA366=0,"",VLOOKUP(E366,Modificaciones!$B$7:$AA$400,26,0))</f>
        <v>42633</v>
      </c>
      <c r="T366" s="126">
        <f t="shared" si="65"/>
        <v>42633</v>
      </c>
      <c r="U366" s="62">
        <f t="shared" si="67"/>
        <v>807506000</v>
      </c>
      <c r="V366" s="172">
        <f>VLOOKUP(E366,Modificaciones!$B$7:$AU$400,46,0)</f>
        <v>755178713</v>
      </c>
      <c r="W366" s="93">
        <f t="shared" si="68"/>
        <v>52327287</v>
      </c>
      <c r="X366" s="309" t="s">
        <v>2235</v>
      </c>
      <c r="Y366" s="42">
        <f t="shared" si="69"/>
        <v>0.93519888768628345</v>
      </c>
      <c r="Z366" s="42">
        <f t="shared" ca="1" si="70"/>
        <v>1</v>
      </c>
      <c r="AA366" s="43">
        <f t="shared" ca="1" si="71"/>
        <v>6.4801112313716547E-2</v>
      </c>
      <c r="AB366" s="202" t="str">
        <f t="shared" ca="1" si="72"/>
        <v/>
      </c>
      <c r="AC366" s="44" t="str">
        <f t="shared" si="74"/>
        <v>NO</v>
      </c>
      <c r="AD366" s="760" t="str">
        <f>VLOOKUP(C366,[2]Hoja4!$A$2:$E$116,5,0)</f>
        <v>PRESTACION DE SERVICIOS</v>
      </c>
      <c r="AE366" s="173" t="s">
        <v>1256</v>
      </c>
      <c r="AF366" s="281" t="s">
        <v>1280</v>
      </c>
      <c r="AG366" s="173" t="s">
        <v>1435</v>
      </c>
      <c r="AH366" s="281" t="s">
        <v>560</v>
      </c>
      <c r="AI366" s="305" t="s">
        <v>1386</v>
      </c>
      <c r="AJ366" s="305" t="s">
        <v>1867</v>
      </c>
      <c r="AK366" s="181" t="str">
        <f t="shared" ca="1" si="73"/>
        <v>TERMINO</v>
      </c>
      <c r="AL366" s="310" t="s">
        <v>573</v>
      </c>
      <c r="AM366" s="176" t="s">
        <v>390</v>
      </c>
      <c r="AN366" s="848" t="str">
        <f>IFERROR(VLOOKUP(E366,'liquidaciones '!$B$2:$C$1048576,2,0),"NO")</f>
        <v>LIQUIDADO</v>
      </c>
      <c r="AO366" s="944" t="str">
        <f>IFERROR(VLOOKUP(E366,'liquidaciones '!$B$2:$I$1048576,8,0),"")</f>
        <v>DORA PINILLA</v>
      </c>
      <c r="AP366" s="338"/>
      <c r="AQ366" s="177" t="str">
        <f t="shared" ca="1" si="75"/>
        <v>NO</v>
      </c>
      <c r="AR366" s="177" t="s">
        <v>981</v>
      </c>
      <c r="AS366" s="433"/>
      <c r="AT366" s="964"/>
      <c r="AU366" s="964"/>
      <c r="AV366" s="964"/>
    </row>
    <row r="367" spans="2:48" ht="33.75" x14ac:dyDescent="0.25">
      <c r="B367" s="720">
        <v>361</v>
      </c>
      <c r="C367" s="437">
        <v>335</v>
      </c>
      <c r="D367" s="437" t="str">
        <f t="shared" si="66"/>
        <v>2015335</v>
      </c>
      <c r="E367" s="866" t="s">
        <v>2236</v>
      </c>
      <c r="F367" s="280" t="s">
        <v>1345</v>
      </c>
      <c r="G367" s="866" t="s">
        <v>2237</v>
      </c>
      <c r="H367" s="858" t="s">
        <v>2238</v>
      </c>
      <c r="I367" s="210">
        <v>2742000</v>
      </c>
      <c r="J367" s="702" t="s">
        <v>2239</v>
      </c>
      <c r="K367" s="295">
        <v>2015</v>
      </c>
      <c r="L367" s="546">
        <v>42305</v>
      </c>
      <c r="M367" s="296">
        <v>42321</v>
      </c>
      <c r="N367" s="296">
        <v>42534</v>
      </c>
      <c r="O367" s="127">
        <f>COUNTA(Modificaciones!I367,Modificaciones!K367,Modificaciones!M367,Modificaciones!O367)</f>
        <v>0</v>
      </c>
      <c r="P367" s="128">
        <f>VLOOKUP(E367,Modificaciones!$B$7:$Q$400,16,0)</f>
        <v>0</v>
      </c>
      <c r="Q367" s="129">
        <f>COUNTA(Modificaciones!S367,Modificaciones!U367,Modificaciones!W367,Modificaciones!Y367)</f>
        <v>0</v>
      </c>
      <c r="R367" s="130" t="str">
        <f>IF(Modificaciones!Z367=0,"",VLOOKUP(E367,Modificaciones!$B$7:$AA$400,25,0))</f>
        <v/>
      </c>
      <c r="S367" s="131" t="str">
        <f>IF(Modificaciones!AA367=0,"",VLOOKUP(E367,Modificaciones!$B$7:$AA$400,26,0))</f>
        <v/>
      </c>
      <c r="T367" s="126">
        <f t="shared" si="65"/>
        <v>42534</v>
      </c>
      <c r="U367" s="62">
        <f t="shared" si="67"/>
        <v>2742000</v>
      </c>
      <c r="V367" s="172">
        <f>VLOOKUP(E367,Modificaciones!$B$7:$AU$400,46,0)</f>
        <v>2741204</v>
      </c>
      <c r="W367" s="93">
        <f t="shared" si="68"/>
        <v>796</v>
      </c>
      <c r="X367" s="309" t="s">
        <v>2240</v>
      </c>
      <c r="Y367" s="42">
        <f t="shared" si="69"/>
        <v>0.99970970094821299</v>
      </c>
      <c r="Z367" s="42">
        <f t="shared" ca="1" si="70"/>
        <v>1</v>
      </c>
      <c r="AA367" s="43">
        <f t="shared" ca="1" si="71"/>
        <v>2.9029905178701298E-4</v>
      </c>
      <c r="AB367" s="202" t="str">
        <f t="shared" ca="1" si="72"/>
        <v/>
      </c>
      <c r="AC367" s="44" t="str">
        <f t="shared" si="74"/>
        <v>SI</v>
      </c>
      <c r="AD367" s="760" t="e">
        <f>VLOOKUP(C367,[2]Hoja4!$A$2:$E$116,5,0)</f>
        <v>#N/A</v>
      </c>
      <c r="AE367" s="173" t="s">
        <v>1256</v>
      </c>
      <c r="AF367" s="281" t="s">
        <v>1299</v>
      </c>
      <c r="AG367" s="173" t="s">
        <v>1440</v>
      </c>
      <c r="AH367" s="281" t="s">
        <v>562</v>
      </c>
      <c r="AI367" s="305" t="s">
        <v>1473</v>
      </c>
      <c r="AJ367" s="305" t="s">
        <v>1867</v>
      </c>
      <c r="AK367" s="181" t="str">
        <f t="shared" ca="1" si="73"/>
        <v>TERMINO</v>
      </c>
      <c r="AL367" s="310" t="s">
        <v>576</v>
      </c>
      <c r="AM367" s="176" t="s">
        <v>390</v>
      </c>
      <c r="AN367" s="848" t="str">
        <f>IFERROR(VLOOKUP(E367,'liquidaciones '!$B$2:$C$1048576,2,0),"NO")</f>
        <v>LIQUIDADO</v>
      </c>
      <c r="AO367" s="944" t="str">
        <f>IFERROR(VLOOKUP(E367,'liquidaciones '!$B$2:$I$1048576,8,0),"")</f>
        <v>JULIETH ANGARITA</v>
      </c>
      <c r="AP367" s="338"/>
      <c r="AQ367" s="177" t="str">
        <f t="shared" ca="1" si="75"/>
        <v>NO</v>
      </c>
      <c r="AR367" s="177" t="s">
        <v>1570</v>
      </c>
      <c r="AS367" s="433"/>
      <c r="AT367" s="964"/>
      <c r="AU367" s="964"/>
      <c r="AV367" s="964"/>
    </row>
    <row r="368" spans="2:48" ht="56.25" x14ac:dyDescent="0.25">
      <c r="B368" s="720">
        <v>362</v>
      </c>
      <c r="C368" s="437">
        <v>74</v>
      </c>
      <c r="D368" s="437" t="str">
        <f t="shared" si="66"/>
        <v>201574</v>
      </c>
      <c r="E368" s="306" t="s">
        <v>2243</v>
      </c>
      <c r="F368" s="280" t="s">
        <v>2244</v>
      </c>
      <c r="G368" s="866">
        <v>900254691</v>
      </c>
      <c r="H368" s="858" t="s">
        <v>2245</v>
      </c>
      <c r="I368" s="210">
        <v>1512217703</v>
      </c>
      <c r="J368" s="702" t="s">
        <v>2246</v>
      </c>
      <c r="K368" s="295">
        <v>2015</v>
      </c>
      <c r="L368" s="546">
        <v>42311</v>
      </c>
      <c r="M368" s="296">
        <v>42333</v>
      </c>
      <c r="N368" s="296">
        <v>42515</v>
      </c>
      <c r="O368" s="127">
        <f>COUNTA(Modificaciones!I368,Modificaciones!K368,Modificaciones!M368,Modificaciones!O368)</f>
        <v>0</v>
      </c>
      <c r="P368" s="128">
        <f>VLOOKUP(E368,Modificaciones!$B$7:$Q$400,16,0)</f>
        <v>0</v>
      </c>
      <c r="Q368" s="129">
        <f>COUNTA(Modificaciones!S368,Modificaciones!U368,Modificaciones!W368,Modificaciones!Y368)</f>
        <v>0</v>
      </c>
      <c r="R368" s="130" t="str">
        <f>IF(Modificaciones!Z368=0,"",VLOOKUP(E368,Modificaciones!$B$7:$AA$400,25,0))</f>
        <v/>
      </c>
      <c r="S368" s="131" t="str">
        <f>IF(Modificaciones!AA368=0,"",VLOOKUP(E368,Modificaciones!$B$7:$AA$400,26,0))</f>
        <v/>
      </c>
      <c r="T368" s="126">
        <f t="shared" si="65"/>
        <v>42515</v>
      </c>
      <c r="U368" s="62">
        <f t="shared" si="67"/>
        <v>1512217703</v>
      </c>
      <c r="V368" s="172">
        <f>VLOOKUP(E368,Modificaciones!$B$7:$AU$400,46,0)</f>
        <v>1512217703</v>
      </c>
      <c r="W368" s="93">
        <f t="shared" si="68"/>
        <v>0</v>
      </c>
      <c r="X368" s="309" t="s">
        <v>2247</v>
      </c>
      <c r="Y368" s="42">
        <f t="shared" si="69"/>
        <v>1</v>
      </c>
      <c r="Z368" s="42">
        <f t="shared" ca="1" si="70"/>
        <v>1</v>
      </c>
      <c r="AA368" s="43">
        <f t="shared" ca="1" si="71"/>
        <v>0</v>
      </c>
      <c r="AB368" s="202" t="str">
        <f t="shared" ca="1" si="72"/>
        <v/>
      </c>
      <c r="AC368" s="44" t="str">
        <f t="shared" si="74"/>
        <v>SI</v>
      </c>
      <c r="AD368" s="760" t="str">
        <f>VLOOKUP(C368,[2]Hoja4!$A$2:$E$116,5,0)</f>
        <v>COMPRAVENTA</v>
      </c>
      <c r="AE368" s="173" t="s">
        <v>1257</v>
      </c>
      <c r="AF368" s="281" t="s">
        <v>2248</v>
      </c>
      <c r="AG368" s="173" t="s">
        <v>1439</v>
      </c>
      <c r="AH368" s="281" t="s">
        <v>560</v>
      </c>
      <c r="AI368" s="305" t="s">
        <v>1509</v>
      </c>
      <c r="AJ368" s="305" t="s">
        <v>1867</v>
      </c>
      <c r="AK368" s="181" t="str">
        <f t="shared" ca="1" si="73"/>
        <v>TERMINO</v>
      </c>
      <c r="AL368" s="310" t="s">
        <v>575</v>
      </c>
      <c r="AM368" s="176" t="s">
        <v>390</v>
      </c>
      <c r="AN368" s="848" t="str">
        <f>IFERROR(VLOOKUP(E368,'liquidaciones '!$B$2:$C$1048576,2,0),"NO")</f>
        <v>LIQUIDADO</v>
      </c>
      <c r="AO368" s="944" t="str">
        <f>IFERROR(VLOOKUP(E368,'liquidaciones '!$B$2:$I$1048576,8,0),"")</f>
        <v>DORA PINILLA</v>
      </c>
      <c r="AP368" s="338"/>
      <c r="AQ368" s="177" t="str">
        <f t="shared" ca="1" si="75"/>
        <v>NO</v>
      </c>
      <c r="AR368" s="177" t="s">
        <v>1992</v>
      </c>
      <c r="AS368" s="433"/>
      <c r="AT368" s="964"/>
      <c r="AU368" s="964"/>
      <c r="AV368" s="964"/>
    </row>
    <row r="369" spans="1:53" ht="78.75" x14ac:dyDescent="0.25">
      <c r="B369" s="720">
        <v>363</v>
      </c>
      <c r="C369" s="437">
        <v>184</v>
      </c>
      <c r="D369" s="437" t="str">
        <f t="shared" si="66"/>
        <v>2015184</v>
      </c>
      <c r="E369" s="866" t="s">
        <v>2249</v>
      </c>
      <c r="F369" s="864" t="s">
        <v>2250</v>
      </c>
      <c r="G369" s="866">
        <v>890900608</v>
      </c>
      <c r="H369" s="858" t="s">
        <v>2251</v>
      </c>
      <c r="I369" s="210">
        <v>37372300</v>
      </c>
      <c r="J369" s="702" t="s">
        <v>2201</v>
      </c>
      <c r="K369" s="295">
        <v>2015</v>
      </c>
      <c r="L369" s="546">
        <v>42314</v>
      </c>
      <c r="M369" s="296">
        <v>42331</v>
      </c>
      <c r="N369" s="296">
        <v>42392</v>
      </c>
      <c r="O369" s="127">
        <f>COUNTA(Modificaciones!I369,Modificaciones!K369,Modificaciones!M369,Modificaciones!O369)</f>
        <v>0</v>
      </c>
      <c r="P369" s="128">
        <f>VLOOKUP(E369,Modificaciones!$B$7:$Q$400,16,0)</f>
        <v>0</v>
      </c>
      <c r="Q369" s="129" t="s">
        <v>2445</v>
      </c>
      <c r="R369" s="130" t="str">
        <f>IF(Modificaciones!Z369=0,"",VLOOKUP(E369,Modificaciones!$B$7:$AA$400,25,0))</f>
        <v>5 meses</v>
      </c>
      <c r="S369" s="131">
        <f>IF(Modificaciones!AA369=0,"",VLOOKUP(E369,Modificaciones!$B$7:$AA$400,26,0))</f>
        <v>42544</v>
      </c>
      <c r="T369" s="126">
        <f t="shared" si="65"/>
        <v>42544</v>
      </c>
      <c r="U369" s="62">
        <f t="shared" si="67"/>
        <v>37372300</v>
      </c>
      <c r="V369" s="172">
        <f>VLOOKUP(E369,Modificaciones!$B$7:$AU$400,46,0)</f>
        <v>29897835</v>
      </c>
      <c r="W369" s="93">
        <f t="shared" si="68"/>
        <v>7474465</v>
      </c>
      <c r="X369" s="309" t="s">
        <v>2252</v>
      </c>
      <c r="Y369" s="42">
        <f t="shared" si="69"/>
        <v>0.79999986621107078</v>
      </c>
      <c r="Z369" s="42">
        <f t="shared" ca="1" si="70"/>
        <v>1</v>
      </c>
      <c r="AA369" s="43">
        <f t="shared" ca="1" si="71"/>
        <v>0.20000013378892922</v>
      </c>
      <c r="AB369" s="202" t="str">
        <f t="shared" ca="1" si="72"/>
        <v/>
      </c>
      <c r="AC369" s="44" t="str">
        <f t="shared" si="74"/>
        <v>NO</v>
      </c>
      <c r="AD369" s="760" t="str">
        <f>VLOOKUP(C369,[2]Hoja4!$A$2:$E$116,5,0)</f>
        <v>COMPRAVENTA</v>
      </c>
      <c r="AE369" s="173" t="s">
        <v>1256</v>
      </c>
      <c r="AF369" s="281" t="s">
        <v>1484</v>
      </c>
      <c r="AG369" s="173" t="s">
        <v>1435</v>
      </c>
      <c r="AH369" s="281" t="s">
        <v>560</v>
      </c>
      <c r="AI369" s="305" t="s">
        <v>1386</v>
      </c>
      <c r="AJ369" s="305" t="s">
        <v>1867</v>
      </c>
      <c r="AK369" s="181" t="str">
        <f t="shared" ca="1" si="73"/>
        <v>TERMINO</v>
      </c>
      <c r="AL369" s="310" t="s">
        <v>574</v>
      </c>
      <c r="AM369" s="176" t="s">
        <v>391</v>
      </c>
      <c r="AN369" s="848" t="str">
        <f>IFERROR(VLOOKUP(E369,'liquidaciones '!$B$2:$C$1048576,2,0),"NO")</f>
        <v>LIQUIDADO</v>
      </c>
      <c r="AO369" s="944" t="str">
        <f>IFERROR(VLOOKUP(E369,'liquidaciones '!$B$2:$I$1048576,8,0),"")</f>
        <v>JULIETH ANGARITA</v>
      </c>
      <c r="AP369" s="338"/>
      <c r="AQ369" s="177" t="str">
        <f t="shared" ca="1" si="75"/>
        <v>NO</v>
      </c>
      <c r="AR369" s="177" t="s">
        <v>981</v>
      </c>
      <c r="AS369" s="433"/>
      <c r="AT369" s="964"/>
      <c r="AU369" s="964"/>
      <c r="AV369" s="964"/>
    </row>
    <row r="370" spans="1:53" ht="45" x14ac:dyDescent="0.25">
      <c r="B370" s="720">
        <v>364</v>
      </c>
      <c r="C370" s="437">
        <v>308</v>
      </c>
      <c r="D370" s="437" t="str">
        <f t="shared" si="66"/>
        <v>2015308</v>
      </c>
      <c r="E370" s="866" t="s">
        <v>2257</v>
      </c>
      <c r="F370" s="280" t="s">
        <v>2258</v>
      </c>
      <c r="G370" s="866">
        <v>900908963</v>
      </c>
      <c r="H370" s="858" t="s">
        <v>2259</v>
      </c>
      <c r="I370" s="210">
        <v>96032643</v>
      </c>
      <c r="J370" s="702" t="s">
        <v>2260</v>
      </c>
      <c r="K370" s="295">
        <v>2015</v>
      </c>
      <c r="L370" s="546">
        <v>42325</v>
      </c>
      <c r="M370" s="296">
        <v>42345</v>
      </c>
      <c r="N370" s="296">
        <v>42620</v>
      </c>
      <c r="O370" s="127">
        <f>COUNTA(Modificaciones!I370,Modificaciones!K370,Modificaciones!M370,Modificaciones!O370)</f>
        <v>0</v>
      </c>
      <c r="P370" s="128">
        <f>VLOOKUP(E370,Modificaciones!$B$7:$Q$400,16,0)</f>
        <v>0</v>
      </c>
      <c r="Q370" s="129">
        <f>COUNTA(Modificaciones!S370,Modificaciones!U370,Modificaciones!W370,Modificaciones!Y370)</f>
        <v>0</v>
      </c>
      <c r="R370" s="130" t="str">
        <f>IF(Modificaciones!Z370=0,"",VLOOKUP(E370,Modificaciones!$B$7:$AA$400,25,0))</f>
        <v/>
      </c>
      <c r="S370" s="131" t="str">
        <f>IF(Modificaciones!AA370=0,"",VLOOKUP(E370,Modificaciones!$B$7:$AA$400,26,0))</f>
        <v/>
      </c>
      <c r="T370" s="126">
        <f t="shared" si="65"/>
        <v>42620</v>
      </c>
      <c r="U370" s="62">
        <f t="shared" si="67"/>
        <v>96032643</v>
      </c>
      <c r="V370" s="172">
        <f>VLOOKUP(E370,Modificaciones!$B$7:$AU$400,46,0)</f>
        <v>96032643</v>
      </c>
      <c r="W370" s="93">
        <f t="shared" si="68"/>
        <v>0</v>
      </c>
      <c r="X370" s="309" t="s">
        <v>2261</v>
      </c>
      <c r="Y370" s="42">
        <f t="shared" si="69"/>
        <v>1</v>
      </c>
      <c r="Z370" s="42">
        <f t="shared" ca="1" si="70"/>
        <v>1</v>
      </c>
      <c r="AA370" s="43">
        <f t="shared" ca="1" si="71"/>
        <v>0</v>
      </c>
      <c r="AB370" s="202" t="str">
        <f t="shared" ca="1" si="72"/>
        <v/>
      </c>
      <c r="AC370" s="44" t="str">
        <f t="shared" si="74"/>
        <v>SI</v>
      </c>
      <c r="AD370" s="760" t="str">
        <f>VLOOKUP(C370,[2]Hoja4!$A$2:$E$116,5,0)</f>
        <v>PRESTACION DE SERVICIOS</v>
      </c>
      <c r="AE370" s="173" t="s">
        <v>1257</v>
      </c>
      <c r="AF370" s="281" t="s">
        <v>2262</v>
      </c>
      <c r="AG370" s="173" t="s">
        <v>1439</v>
      </c>
      <c r="AH370" s="281" t="s">
        <v>560</v>
      </c>
      <c r="AI370" s="305" t="s">
        <v>1509</v>
      </c>
      <c r="AJ370" s="305" t="s">
        <v>1867</v>
      </c>
      <c r="AK370" s="181" t="str">
        <f t="shared" ca="1" si="73"/>
        <v>TERMINO</v>
      </c>
      <c r="AL370" s="310" t="s">
        <v>574</v>
      </c>
      <c r="AM370" s="176" t="s">
        <v>390</v>
      </c>
      <c r="AN370" s="848" t="str">
        <f>IFERROR(VLOOKUP(E370,'liquidaciones '!$B$2:$C$1048576,2,0),"NO")</f>
        <v>LIQUIDADO</v>
      </c>
      <c r="AO370" s="944">
        <f>IFERROR(VLOOKUP(E370,'liquidaciones '!$B$2:$I$1048576,8,0),"")</f>
        <v>0</v>
      </c>
      <c r="AP370" s="338"/>
      <c r="AQ370" s="177" t="str">
        <f t="shared" ca="1" si="75"/>
        <v>NO</v>
      </c>
      <c r="AR370" s="177" t="s">
        <v>2605</v>
      </c>
      <c r="AS370" s="433"/>
      <c r="AT370" s="964"/>
      <c r="AU370" s="964"/>
      <c r="AV370" s="964"/>
    </row>
    <row r="371" spans="1:53" ht="56.25" x14ac:dyDescent="0.25">
      <c r="B371" s="720">
        <v>365</v>
      </c>
      <c r="C371" s="437">
        <v>367</v>
      </c>
      <c r="D371" s="437" t="str">
        <f t="shared" si="66"/>
        <v>2015367</v>
      </c>
      <c r="E371" s="306" t="s">
        <v>2268</v>
      </c>
      <c r="F371" s="280" t="s">
        <v>2267</v>
      </c>
      <c r="G371" s="866" t="s">
        <v>2269</v>
      </c>
      <c r="H371" s="858" t="s">
        <v>2270</v>
      </c>
      <c r="I371" s="210">
        <v>17340258</v>
      </c>
      <c r="J371" s="702" t="s">
        <v>2271</v>
      </c>
      <c r="K371" s="295">
        <v>2015</v>
      </c>
      <c r="L371" s="546">
        <v>42332</v>
      </c>
      <c r="M371" s="296">
        <v>42338</v>
      </c>
      <c r="N371" s="296">
        <v>42399</v>
      </c>
      <c r="O371" s="127">
        <f>COUNTA(Modificaciones!I371,Modificaciones!K371,Modificaciones!M371,Modificaciones!O371)</f>
        <v>0</v>
      </c>
      <c r="P371" s="128">
        <f>VLOOKUP(E371,Modificaciones!$B$7:$Q$400,16,0)</f>
        <v>0</v>
      </c>
      <c r="Q371" s="129">
        <f>COUNTA(Modificaciones!S371,Modificaciones!U371,Modificaciones!W371,Modificaciones!Y371)</f>
        <v>0</v>
      </c>
      <c r="R371" s="130" t="str">
        <f>IF(Modificaciones!Z371=0,"",VLOOKUP(E371,Modificaciones!$B$7:$AA$400,25,0))</f>
        <v/>
      </c>
      <c r="S371" s="131" t="str">
        <f>IF(Modificaciones!AA371=0,"",VLOOKUP(E371,Modificaciones!$B$7:$AA$400,26,0))</f>
        <v/>
      </c>
      <c r="T371" s="126">
        <f t="shared" si="65"/>
        <v>42399</v>
      </c>
      <c r="U371" s="62">
        <f t="shared" si="67"/>
        <v>17340258</v>
      </c>
      <c r="V371" s="172">
        <f>VLOOKUP(E371,Modificaciones!$B$7:$AU$400,46,0)</f>
        <v>17340258</v>
      </c>
      <c r="W371" s="93">
        <f t="shared" si="68"/>
        <v>0</v>
      </c>
      <c r="X371" s="309" t="s">
        <v>2272</v>
      </c>
      <c r="Y371" s="42">
        <f t="shared" si="69"/>
        <v>1</v>
      </c>
      <c r="Z371" s="42">
        <f t="shared" ca="1" si="70"/>
        <v>1</v>
      </c>
      <c r="AA371" s="43">
        <f t="shared" ca="1" si="71"/>
        <v>0</v>
      </c>
      <c r="AB371" s="202" t="str">
        <f t="shared" ca="1" si="72"/>
        <v/>
      </c>
      <c r="AC371" s="44" t="str">
        <f t="shared" si="74"/>
        <v>SI</v>
      </c>
      <c r="AD371" s="760" t="e">
        <f>VLOOKUP(C371,[2]Hoja4!$A$2:$E$116,5,0)</f>
        <v>#N/A</v>
      </c>
      <c r="AE371" s="173" t="s">
        <v>1256</v>
      </c>
      <c r="AF371" s="281" t="s">
        <v>1488</v>
      </c>
      <c r="AG371" s="173" t="s">
        <v>1442</v>
      </c>
      <c r="AH371" s="281" t="s">
        <v>560</v>
      </c>
      <c r="AI371" s="305" t="s">
        <v>1380</v>
      </c>
      <c r="AJ371" s="305" t="s">
        <v>1867</v>
      </c>
      <c r="AK371" s="181" t="str">
        <f t="shared" ca="1" si="73"/>
        <v>TERMINO</v>
      </c>
      <c r="AL371" s="310" t="s">
        <v>576</v>
      </c>
      <c r="AM371" s="176" t="s">
        <v>390</v>
      </c>
      <c r="AN371" s="848" t="str">
        <f>IFERROR(VLOOKUP(E371,'liquidaciones '!$B$2:$C$1048576,2,0),"NO")</f>
        <v>LIQUIDADO</v>
      </c>
      <c r="AO371" s="944" t="str">
        <f>IFERROR(VLOOKUP(E371,'liquidaciones '!$B$2:$I$1048576,8,0),"")</f>
        <v>JULIETH ANGARITA</v>
      </c>
      <c r="AP371" s="338"/>
      <c r="AQ371" s="177" t="str">
        <f t="shared" ca="1" si="75"/>
        <v>NO</v>
      </c>
      <c r="AR371" s="177" t="s">
        <v>981</v>
      </c>
      <c r="AS371" s="433"/>
      <c r="AT371" s="964"/>
      <c r="AU371" s="964"/>
      <c r="AV371" s="964"/>
    </row>
    <row r="372" spans="1:53" ht="56.25" x14ac:dyDescent="0.25">
      <c r="B372" s="720">
        <v>366</v>
      </c>
      <c r="C372" s="437">
        <v>366</v>
      </c>
      <c r="D372" s="437" t="str">
        <f t="shared" si="66"/>
        <v>2015366</v>
      </c>
      <c r="E372" s="866" t="s">
        <v>2346</v>
      </c>
      <c r="F372" s="864" t="s">
        <v>2348</v>
      </c>
      <c r="G372" s="866">
        <v>72007383</v>
      </c>
      <c r="H372" s="858" t="s">
        <v>2347</v>
      </c>
      <c r="I372" s="210">
        <v>27500000</v>
      </c>
      <c r="J372" s="702" t="s">
        <v>2346</v>
      </c>
      <c r="K372" s="295">
        <v>2015</v>
      </c>
      <c r="L372" s="546">
        <v>42342</v>
      </c>
      <c r="M372" s="296">
        <v>42349</v>
      </c>
      <c r="N372" s="296">
        <v>42501</v>
      </c>
      <c r="O372" s="127">
        <f>COUNTA(Modificaciones!I372,Modificaciones!K372,Modificaciones!M372,Modificaciones!O372)</f>
        <v>0</v>
      </c>
      <c r="P372" s="128">
        <f>VLOOKUP(E372,Modificaciones!$B$7:$Q$400,16,0)</f>
        <v>0</v>
      </c>
      <c r="Q372" s="129">
        <f>COUNTA(Modificaciones!S372,Modificaciones!U372,Modificaciones!W372,Modificaciones!Y372)</f>
        <v>0</v>
      </c>
      <c r="R372" s="130" t="str">
        <f>IF(Modificaciones!Z372=0,"",VLOOKUP(E372,Modificaciones!$B$7:$AA$400,25,0))</f>
        <v/>
      </c>
      <c r="S372" s="131" t="str">
        <f>IF(Modificaciones!AA372=0,"",VLOOKUP(E372,Modificaciones!$B$7:$AA$400,26,0))</f>
        <v/>
      </c>
      <c r="T372" s="126">
        <f t="shared" si="65"/>
        <v>42501</v>
      </c>
      <c r="U372" s="62">
        <f t="shared" si="67"/>
        <v>27500000</v>
      </c>
      <c r="V372" s="172">
        <f>VLOOKUP(E372,Modificaciones!$B$7:$AU$400,46,0)</f>
        <v>27500000</v>
      </c>
      <c r="W372" s="93">
        <f t="shared" si="68"/>
        <v>0</v>
      </c>
      <c r="X372" s="309" t="s">
        <v>1967</v>
      </c>
      <c r="Y372" s="42">
        <f t="shared" si="69"/>
        <v>1</v>
      </c>
      <c r="Z372" s="42">
        <f t="shared" ca="1" si="70"/>
        <v>1</v>
      </c>
      <c r="AA372" s="43">
        <f t="shared" ca="1" si="71"/>
        <v>0</v>
      </c>
      <c r="AB372" s="202" t="str">
        <f t="shared" ca="1" si="72"/>
        <v/>
      </c>
      <c r="AC372" s="44" t="str">
        <f t="shared" si="74"/>
        <v>SI</v>
      </c>
      <c r="AD372" s="760" t="s">
        <v>2898</v>
      </c>
      <c r="AE372" s="173" t="s">
        <v>1257</v>
      </c>
      <c r="AF372" s="281" t="s">
        <v>2389</v>
      </c>
      <c r="AG372" s="173" t="s">
        <v>1177</v>
      </c>
      <c r="AH372" s="281" t="s">
        <v>559</v>
      </c>
      <c r="AI372" s="305"/>
      <c r="AJ372" s="305" t="s">
        <v>1867</v>
      </c>
      <c r="AK372" s="181" t="str">
        <f t="shared" ca="1" si="73"/>
        <v>TERMINO</v>
      </c>
      <c r="AL372" s="310" t="s">
        <v>582</v>
      </c>
      <c r="AM372" s="176" t="s">
        <v>390</v>
      </c>
      <c r="AN372" s="848" t="str">
        <f>IFERROR(VLOOKUP(E372,'liquidaciones '!$B$2:$C$1048576,2,0),"NO")</f>
        <v>LIQUIDADO</v>
      </c>
      <c r="AO372" s="944">
        <f>IFERROR(VLOOKUP(E372,'liquidaciones '!$B$2:$I$1048576,8,0),"")</f>
        <v>0</v>
      </c>
      <c r="AP372" s="338"/>
      <c r="AQ372" s="177" t="str">
        <f t="shared" ca="1" si="75"/>
        <v>NO</v>
      </c>
      <c r="AR372" s="177" t="s">
        <v>981</v>
      </c>
      <c r="AS372" s="433"/>
      <c r="AT372" s="964"/>
      <c r="AU372" s="964"/>
      <c r="AV372" s="964"/>
    </row>
    <row r="373" spans="1:53" ht="45" x14ac:dyDescent="0.25">
      <c r="B373" s="720">
        <v>367</v>
      </c>
      <c r="C373" s="437">
        <v>365</v>
      </c>
      <c r="D373" s="437" t="str">
        <f t="shared" si="66"/>
        <v>2015365</v>
      </c>
      <c r="E373" s="866" t="s">
        <v>2361</v>
      </c>
      <c r="F373" s="280" t="s">
        <v>2362</v>
      </c>
      <c r="G373" s="866">
        <v>79634149</v>
      </c>
      <c r="H373" s="858" t="s">
        <v>2374</v>
      </c>
      <c r="I373" s="835">
        <v>910786703.20000005</v>
      </c>
      <c r="J373" s="702" t="s">
        <v>2363</v>
      </c>
      <c r="K373" s="295">
        <v>2015</v>
      </c>
      <c r="L373" s="546">
        <v>42341</v>
      </c>
      <c r="M373" s="296">
        <v>42341</v>
      </c>
      <c r="N373" s="296">
        <v>42524</v>
      </c>
      <c r="O373" s="127">
        <f>COUNTA(Modificaciones!I373,Modificaciones!K373,Modificaciones!M373,Modificaciones!O373)</f>
        <v>0</v>
      </c>
      <c r="P373" s="128">
        <f>VLOOKUP(E373,Modificaciones!$B$7:$Q$400,16,0)</f>
        <v>0</v>
      </c>
      <c r="Q373" s="129">
        <f>COUNTA(Modificaciones!S373,Modificaciones!U373,Modificaciones!W373,Modificaciones!Y373)</f>
        <v>0</v>
      </c>
      <c r="R373" s="130" t="str">
        <f>IF(Modificaciones!Z373=0,"",VLOOKUP(E373,Modificaciones!$B$7:$AA$400,25,0))</f>
        <v/>
      </c>
      <c r="S373" s="131" t="str">
        <f>IF(Modificaciones!AA373=0,"",VLOOKUP(E373,Modificaciones!$B$7:$AA$400,26,0))</f>
        <v/>
      </c>
      <c r="T373" s="126">
        <f t="shared" si="65"/>
        <v>42524</v>
      </c>
      <c r="U373" s="62">
        <f t="shared" si="67"/>
        <v>910786703.20000005</v>
      </c>
      <c r="V373" s="172">
        <f>VLOOKUP(E373,Modificaciones!$B$7:$AU$400,46,0)</f>
        <v>910786703</v>
      </c>
      <c r="W373" s="93">
        <f t="shared" si="68"/>
        <v>0.20000004768371582</v>
      </c>
      <c r="X373" s="309" t="s">
        <v>2364</v>
      </c>
      <c r="Y373" s="42">
        <f t="shared" si="69"/>
        <v>0.99999999978040954</v>
      </c>
      <c r="Z373" s="42">
        <f t="shared" ca="1" si="70"/>
        <v>1</v>
      </c>
      <c r="AA373" s="43">
        <f t="shared" ca="1" si="71"/>
        <v>2.195904569290974E-10</v>
      </c>
      <c r="AB373" s="202" t="str">
        <f t="shared" ca="1" si="72"/>
        <v/>
      </c>
      <c r="AC373" s="44" t="str">
        <f t="shared" si="74"/>
        <v>SI</v>
      </c>
      <c r="AD373" s="760" t="e">
        <f>VLOOKUP(C373,[2]Hoja4!$A$2:$E$116,5,0)</f>
        <v>#N/A</v>
      </c>
      <c r="AE373" s="173" t="s">
        <v>1257</v>
      </c>
      <c r="AF373" s="281" t="s">
        <v>2365</v>
      </c>
      <c r="AG373" s="173" t="s">
        <v>1439</v>
      </c>
      <c r="AH373" s="281" t="s">
        <v>560</v>
      </c>
      <c r="AI373" s="305" t="s">
        <v>1509</v>
      </c>
      <c r="AJ373" s="305" t="s">
        <v>1867</v>
      </c>
      <c r="AK373" s="181" t="str">
        <f t="shared" ca="1" si="73"/>
        <v>TERMINO</v>
      </c>
      <c r="AL373" s="310" t="s">
        <v>582</v>
      </c>
      <c r="AM373" s="176"/>
      <c r="AN373" s="848" t="str">
        <f>IFERROR(VLOOKUP(E373,'liquidaciones '!$B$2:$C$1048576,2,0),"NO")</f>
        <v>DEVUELTO</v>
      </c>
      <c r="AO373" s="944" t="str">
        <f>IFERROR(VLOOKUP(E373,'liquidaciones '!$B$2:$I$1048576,8,0),"")</f>
        <v>JULIETH ANGARITA</v>
      </c>
      <c r="AP373" s="338"/>
      <c r="AQ373" s="177"/>
      <c r="AR373" s="177" t="s">
        <v>1992</v>
      </c>
      <c r="AS373" s="433"/>
      <c r="AT373" s="964"/>
      <c r="AU373" s="964"/>
      <c r="AV373" s="964"/>
    </row>
    <row r="374" spans="1:53" ht="22.5" x14ac:dyDescent="0.25">
      <c r="B374" s="720">
        <v>368</v>
      </c>
      <c r="C374" s="437">
        <v>368</v>
      </c>
      <c r="D374" s="437" t="str">
        <f t="shared" si="66"/>
        <v>2015368</v>
      </c>
      <c r="E374" s="866" t="s">
        <v>2355</v>
      </c>
      <c r="F374" s="280" t="s">
        <v>2357</v>
      </c>
      <c r="G374" s="866" t="s">
        <v>2358</v>
      </c>
      <c r="H374" s="858" t="s">
        <v>2356</v>
      </c>
      <c r="I374" s="210">
        <v>8404200</v>
      </c>
      <c r="J374" s="702" t="s">
        <v>2359</v>
      </c>
      <c r="K374" s="295">
        <v>2015</v>
      </c>
      <c r="L374" s="546">
        <v>42352</v>
      </c>
      <c r="M374" s="296">
        <v>42383</v>
      </c>
      <c r="N374" s="296">
        <v>42443</v>
      </c>
      <c r="O374" s="127">
        <f>COUNTA(Modificaciones!I374,Modificaciones!K374,Modificaciones!M374,Modificaciones!O374)</f>
        <v>0</v>
      </c>
      <c r="P374" s="128">
        <f>VLOOKUP(E374,Modificaciones!$B$7:$Q$400,16,0)</f>
        <v>0</v>
      </c>
      <c r="Q374" s="129">
        <f>COUNTA(Modificaciones!S374,Modificaciones!U374,Modificaciones!W374,Modificaciones!Y374)</f>
        <v>0</v>
      </c>
      <c r="R374" s="130" t="str">
        <f>IF(Modificaciones!Z374=0,"",VLOOKUP(E374,Modificaciones!$B$7:$AA$400,25,0))</f>
        <v/>
      </c>
      <c r="S374" s="131" t="str">
        <f>IF(Modificaciones!AA374=0,"",VLOOKUP(E374,Modificaciones!$B$7:$AA$400,26,0))</f>
        <v/>
      </c>
      <c r="T374" s="126">
        <f t="shared" si="65"/>
        <v>42443</v>
      </c>
      <c r="U374" s="62">
        <f t="shared" si="67"/>
        <v>8404200</v>
      </c>
      <c r="V374" s="172">
        <f>VLOOKUP(E374,Modificaciones!$B$7:$AU$400,46,0)</f>
        <v>8404200</v>
      </c>
      <c r="W374" s="93">
        <f t="shared" si="68"/>
        <v>0</v>
      </c>
      <c r="X374" s="309" t="s">
        <v>2360</v>
      </c>
      <c r="Y374" s="42">
        <f t="shared" si="69"/>
        <v>1</v>
      </c>
      <c r="Z374" s="42">
        <f t="shared" ca="1" si="70"/>
        <v>1</v>
      </c>
      <c r="AA374" s="43">
        <f t="shared" ca="1" si="71"/>
        <v>0</v>
      </c>
      <c r="AB374" s="202" t="str">
        <f t="shared" ca="1" si="72"/>
        <v/>
      </c>
      <c r="AC374" s="44" t="str">
        <f t="shared" si="74"/>
        <v>SI</v>
      </c>
      <c r="AD374" s="760" t="e">
        <f>VLOOKUP(C374,[2]Hoja4!$A$2:$E$116,5,0)</f>
        <v>#N/A</v>
      </c>
      <c r="AE374" s="173" t="s">
        <v>1256</v>
      </c>
      <c r="AF374" s="281" t="s">
        <v>2263</v>
      </c>
      <c r="AG374" s="173" t="s">
        <v>1442</v>
      </c>
      <c r="AH374" s="281" t="s">
        <v>560</v>
      </c>
      <c r="AI374" s="305"/>
      <c r="AJ374" s="305" t="s">
        <v>1867</v>
      </c>
      <c r="AK374" s="181" t="str">
        <f t="shared" ca="1" si="73"/>
        <v>TERMINO</v>
      </c>
      <c r="AL374" s="310" t="s">
        <v>576</v>
      </c>
      <c r="AM374" s="176" t="s">
        <v>391</v>
      </c>
      <c r="AN374" s="848" t="str">
        <f>IFERROR(VLOOKUP(E374,'liquidaciones '!$B$2:$C$1048576,2,0),"NO")</f>
        <v>LIQUIDADO</v>
      </c>
      <c r="AO374" s="944">
        <f>IFERROR(VLOOKUP(E374,'liquidaciones '!$B$2:$I$1048576,8,0),"")</f>
        <v>0</v>
      </c>
      <c r="AP374" s="338"/>
      <c r="AQ374" s="177" t="str">
        <f t="shared" ref="AQ374:AQ401" ca="1" si="76">IF((TODAY()-T374&lt;900),"SI","NO")</f>
        <v>NO</v>
      </c>
      <c r="AR374" s="177" t="s">
        <v>981</v>
      </c>
      <c r="AS374" s="433"/>
      <c r="AT374" s="964"/>
      <c r="AU374" s="964"/>
      <c r="AV374" s="964"/>
    </row>
    <row r="375" spans="1:53" ht="56.25" x14ac:dyDescent="0.25">
      <c r="B375" s="720">
        <v>369</v>
      </c>
      <c r="C375" s="437">
        <v>160</v>
      </c>
      <c r="D375" s="437" t="str">
        <f t="shared" si="66"/>
        <v>2015160</v>
      </c>
      <c r="E375" s="866" t="s">
        <v>2366</v>
      </c>
      <c r="F375" s="864" t="s">
        <v>2367</v>
      </c>
      <c r="G375" s="306" t="s">
        <v>2368</v>
      </c>
      <c r="H375" s="858" t="s">
        <v>2369</v>
      </c>
      <c r="I375" s="210">
        <v>345000000</v>
      </c>
      <c r="J375" s="702" t="s">
        <v>2370</v>
      </c>
      <c r="K375" s="295">
        <v>2015</v>
      </c>
      <c r="L375" s="546">
        <v>42349</v>
      </c>
      <c r="M375" s="296">
        <v>42383</v>
      </c>
      <c r="N375" s="296">
        <v>42627</v>
      </c>
      <c r="O375" s="127">
        <f>COUNTA(Modificaciones!I375,Modificaciones!K375,Modificaciones!M375,Modificaciones!O375)</f>
        <v>1</v>
      </c>
      <c r="P375" s="128">
        <f>VLOOKUP(E375,Modificaciones!$B$7:$Q$400,16,0)</f>
        <v>172500000</v>
      </c>
      <c r="Q375" s="129">
        <f>COUNTA(Modificaciones!S375,Modificaciones!U375,Modificaciones!W375,Modificaciones!Y375)</f>
        <v>1</v>
      </c>
      <c r="R375" s="130" t="str">
        <f>IF(Modificaciones!Z375=0,"",VLOOKUP(E375,Modificaciones!$B$7:$AA$400,25,0))</f>
        <v>4 meses             17 días</v>
      </c>
      <c r="S375" s="131">
        <f>IF(Modificaciones!AA375=0,"",VLOOKUP(E375,Modificaciones!$B$7:$AA$400,26,0))</f>
        <v>42766</v>
      </c>
      <c r="T375" s="126">
        <f t="shared" si="65"/>
        <v>42766</v>
      </c>
      <c r="U375" s="62">
        <f t="shared" si="67"/>
        <v>517500000</v>
      </c>
      <c r="V375" s="172">
        <f>VLOOKUP(E375,Modificaciones!$B$7:$AU$400,46,0)</f>
        <v>516394215</v>
      </c>
      <c r="W375" s="93">
        <f t="shared" si="68"/>
        <v>1105785</v>
      </c>
      <c r="X375" s="309" t="s">
        <v>2371</v>
      </c>
      <c r="Y375" s="42">
        <f t="shared" si="69"/>
        <v>0.99786321739130435</v>
      </c>
      <c r="Z375" s="42">
        <f t="shared" ca="1" si="70"/>
        <v>1</v>
      </c>
      <c r="AA375" s="43">
        <f t="shared" ca="1" si="71"/>
        <v>2.1367826086956532E-3</v>
      </c>
      <c r="AB375" s="202" t="str">
        <f t="shared" ca="1" si="72"/>
        <v/>
      </c>
      <c r="AC375" s="44" t="str">
        <f t="shared" si="74"/>
        <v>NO</v>
      </c>
      <c r="AD375" s="760" t="str">
        <f>VLOOKUP(C375,[2]Hoja4!$A$2:$E$116,5,0)</f>
        <v>CONTRATO INTERADMINISTRATIVO</v>
      </c>
      <c r="AE375" s="173" t="s">
        <v>1256</v>
      </c>
      <c r="AF375" s="281" t="s">
        <v>1532</v>
      </c>
      <c r="AG375" s="173" t="s">
        <v>1430</v>
      </c>
      <c r="AH375" s="281" t="s">
        <v>564</v>
      </c>
      <c r="AI375" s="305"/>
      <c r="AJ375" s="305" t="s">
        <v>1867</v>
      </c>
      <c r="AK375" s="181" t="str">
        <f t="shared" ca="1" si="73"/>
        <v>TERMINO</v>
      </c>
      <c r="AL375" s="310" t="s">
        <v>575</v>
      </c>
      <c r="AM375" s="176" t="s">
        <v>390</v>
      </c>
      <c r="AN375" s="848" t="str">
        <f>IFERROR(VLOOKUP(E375,'liquidaciones '!$B$2:$C$1048576,2,0),"NO")</f>
        <v>LIQUIDADO</v>
      </c>
      <c r="AO375" s="944" t="str">
        <f>IFERROR(VLOOKUP(E375,'liquidaciones '!$B$2:$I$1048576,8,0),"")</f>
        <v>MANUEL ROJAS</v>
      </c>
      <c r="AP375" s="338"/>
      <c r="AQ375" s="177" t="str">
        <f t="shared" ca="1" si="76"/>
        <v>SI</v>
      </c>
      <c r="AR375" s="177" t="s">
        <v>981</v>
      </c>
      <c r="AS375" s="433"/>
      <c r="AT375" s="964"/>
      <c r="AU375" s="964"/>
      <c r="AV375" s="964"/>
    </row>
    <row r="376" spans="1:53" ht="45" x14ac:dyDescent="0.25">
      <c r="B376" s="720">
        <v>370</v>
      </c>
      <c r="C376" s="437">
        <v>365</v>
      </c>
      <c r="D376" s="437" t="str">
        <f t="shared" si="66"/>
        <v>2015365</v>
      </c>
      <c r="E376" s="866" t="s">
        <v>2375</v>
      </c>
      <c r="F376" s="280" t="s">
        <v>2362</v>
      </c>
      <c r="G376" s="306">
        <v>79634149</v>
      </c>
      <c r="H376" s="858" t="s">
        <v>2374</v>
      </c>
      <c r="I376" s="835">
        <v>295840339</v>
      </c>
      <c r="J376" s="702" t="s">
        <v>2363</v>
      </c>
      <c r="K376" s="295">
        <v>2015</v>
      </c>
      <c r="L376" s="546">
        <v>42349</v>
      </c>
      <c r="M376" s="296">
        <v>42349</v>
      </c>
      <c r="N376" s="296">
        <v>42532</v>
      </c>
      <c r="O376" s="127">
        <f>COUNTA(Modificaciones!I376,Modificaciones!K376,Modificaciones!M376,Modificaciones!O376)</f>
        <v>0</v>
      </c>
      <c r="P376" s="128">
        <f>VLOOKUP(E376,Modificaciones!$B$7:$Q$400,16,0)</f>
        <v>0</v>
      </c>
      <c r="Q376" s="129">
        <f>COUNTA(Modificaciones!S376,Modificaciones!U376,Modificaciones!W376,Modificaciones!Y376)</f>
        <v>0</v>
      </c>
      <c r="R376" s="130" t="str">
        <f>IF(Modificaciones!Z376=0,"",VLOOKUP(E376,Modificaciones!$B$7:$AA$400,25,0))</f>
        <v/>
      </c>
      <c r="S376" s="131" t="str">
        <f>IF(Modificaciones!AA376=0,"",VLOOKUP(E376,Modificaciones!$B$7:$AA$400,26,0))</f>
        <v/>
      </c>
      <c r="T376" s="126">
        <f t="shared" si="65"/>
        <v>42532</v>
      </c>
      <c r="U376" s="62">
        <f t="shared" si="67"/>
        <v>295840339</v>
      </c>
      <c r="V376" s="172">
        <f>VLOOKUP(E376,Modificaciones!$B$7:$AU$400,46,0)</f>
        <v>295840339</v>
      </c>
      <c r="W376" s="93">
        <f t="shared" si="68"/>
        <v>0</v>
      </c>
      <c r="X376" s="309" t="s">
        <v>2364</v>
      </c>
      <c r="Y376" s="42">
        <f t="shared" si="69"/>
        <v>1</v>
      </c>
      <c r="Z376" s="42">
        <f t="shared" ca="1" si="70"/>
        <v>1</v>
      </c>
      <c r="AA376" s="43">
        <f t="shared" ca="1" si="71"/>
        <v>0</v>
      </c>
      <c r="AB376" s="202" t="str">
        <f t="shared" ca="1" si="72"/>
        <v/>
      </c>
      <c r="AC376" s="44" t="str">
        <f t="shared" si="74"/>
        <v>SI</v>
      </c>
      <c r="AD376" s="760" t="e">
        <f>VLOOKUP(C376,[2]Hoja4!$A$2:$E$116,5,0)</f>
        <v>#N/A</v>
      </c>
      <c r="AE376" s="173" t="s">
        <v>1257</v>
      </c>
      <c r="AF376" s="281" t="s">
        <v>2365</v>
      </c>
      <c r="AG376" s="173" t="s">
        <v>1439</v>
      </c>
      <c r="AH376" s="281" t="s">
        <v>560</v>
      </c>
      <c r="AI376" s="305" t="s">
        <v>1509</v>
      </c>
      <c r="AJ376" s="305" t="s">
        <v>1867</v>
      </c>
      <c r="AK376" s="181" t="str">
        <f t="shared" ca="1" si="73"/>
        <v>TERMINO</v>
      </c>
      <c r="AL376" s="310" t="s">
        <v>582</v>
      </c>
      <c r="AM376" s="176"/>
      <c r="AN376" s="848" t="str">
        <f>IFERROR(VLOOKUP(E376,'liquidaciones '!$B$2:$C$1048576,2,0),"NO")</f>
        <v>EN TRÁMITE</v>
      </c>
      <c r="AO376" s="944">
        <f>IFERROR(VLOOKUP(E376,'liquidaciones '!$B$2:$I$1048576,8,0),"")</f>
        <v>0</v>
      </c>
      <c r="AP376" s="338"/>
      <c r="AQ376" s="177" t="str">
        <f t="shared" ca="1" si="76"/>
        <v>NO</v>
      </c>
      <c r="AR376" s="177" t="s">
        <v>1992</v>
      </c>
      <c r="AS376" s="433"/>
      <c r="AT376" s="964"/>
      <c r="AU376" s="964"/>
      <c r="AV376" s="964"/>
    </row>
    <row r="377" spans="1:53" ht="45" x14ac:dyDescent="0.25">
      <c r="B377" s="720">
        <v>371</v>
      </c>
      <c r="C377" s="437">
        <v>365</v>
      </c>
      <c r="D377" s="437" t="str">
        <f t="shared" si="66"/>
        <v>2015365</v>
      </c>
      <c r="E377" s="866" t="s">
        <v>2373</v>
      </c>
      <c r="F377" s="280" t="s">
        <v>2362</v>
      </c>
      <c r="G377" s="866">
        <v>79634149</v>
      </c>
      <c r="H377" s="858" t="s">
        <v>2374</v>
      </c>
      <c r="I377" s="835">
        <v>188315358.83000001</v>
      </c>
      <c r="J377" s="702" t="s">
        <v>2363</v>
      </c>
      <c r="K377" s="295">
        <v>2015</v>
      </c>
      <c r="L377" s="546">
        <v>42349</v>
      </c>
      <c r="M377" s="296">
        <v>42349</v>
      </c>
      <c r="N377" s="296">
        <v>42532</v>
      </c>
      <c r="O377" s="127">
        <f>COUNTA(Modificaciones!I377,Modificaciones!K377,Modificaciones!M377,Modificaciones!O377)</f>
        <v>0</v>
      </c>
      <c r="P377" s="128">
        <f>VLOOKUP(E377,Modificaciones!$B$7:$Q$400,16,0)</f>
        <v>0</v>
      </c>
      <c r="Q377" s="129">
        <f>COUNTA(Modificaciones!S377,Modificaciones!U377,Modificaciones!W377,Modificaciones!Y377)</f>
        <v>0</v>
      </c>
      <c r="R377" s="130" t="str">
        <f>IF(Modificaciones!Z377=0,"",VLOOKUP(E377,Modificaciones!$B$7:$AA$400,25,0))</f>
        <v/>
      </c>
      <c r="S377" s="131" t="str">
        <f>IF(Modificaciones!AA377=0,"",VLOOKUP(E377,Modificaciones!$B$7:$AA$400,26,0))</f>
        <v/>
      </c>
      <c r="T377" s="126">
        <f t="shared" si="65"/>
        <v>42532</v>
      </c>
      <c r="U377" s="62">
        <f t="shared" si="67"/>
        <v>188315358.83000001</v>
      </c>
      <c r="V377" s="172">
        <f>VLOOKUP(E377,Modificaciones!$B$7:$AU$400,46,0)</f>
        <v>188315359</v>
      </c>
      <c r="W377" s="93">
        <f>+U377-V377</f>
        <v>-0.16999998688697815</v>
      </c>
      <c r="X377" s="309" t="s">
        <v>2364</v>
      </c>
      <c r="Y377" s="42">
        <f t="shared" si="69"/>
        <v>1.000000000902741</v>
      </c>
      <c r="Z377" s="42">
        <f t="shared" ca="1" si="70"/>
        <v>1</v>
      </c>
      <c r="AA377" s="43">
        <f t="shared" ca="1" si="71"/>
        <v>-9.0274099306952849E-10</v>
      </c>
      <c r="AB377" s="202" t="str">
        <f t="shared" ca="1" si="72"/>
        <v/>
      </c>
      <c r="AC377" s="44" t="str">
        <f t="shared" si="74"/>
        <v>SI</v>
      </c>
      <c r="AD377" s="760" t="e">
        <f>VLOOKUP(C377,[2]Hoja4!$A$2:$E$116,5,0)</f>
        <v>#N/A</v>
      </c>
      <c r="AE377" s="173" t="s">
        <v>1257</v>
      </c>
      <c r="AF377" s="281" t="s">
        <v>2365</v>
      </c>
      <c r="AG377" s="173" t="s">
        <v>1439</v>
      </c>
      <c r="AH377" s="281" t="s">
        <v>560</v>
      </c>
      <c r="AI377" s="305" t="s">
        <v>1509</v>
      </c>
      <c r="AJ377" s="305" t="s">
        <v>1867</v>
      </c>
      <c r="AK377" s="181" t="str">
        <f t="shared" ca="1" si="73"/>
        <v>TERMINO</v>
      </c>
      <c r="AL377" s="310" t="s">
        <v>582</v>
      </c>
      <c r="AM377" s="176"/>
      <c r="AN377" s="848" t="str">
        <f>IFERROR(VLOOKUP(E377,'liquidaciones '!$B$2:$C$1048576,2,0),"NO")</f>
        <v>DEVUELTO</v>
      </c>
      <c r="AO377" s="944" t="str">
        <f>IFERROR(VLOOKUP(E377,'liquidaciones '!$B$2:$I$1048576,8,0),"")</f>
        <v>JULIETH ANGARITA</v>
      </c>
      <c r="AP377" s="338"/>
      <c r="AQ377" s="177" t="str">
        <f t="shared" ca="1" si="76"/>
        <v>NO</v>
      </c>
      <c r="AR377" s="177" t="s">
        <v>1992</v>
      </c>
      <c r="AS377" s="433"/>
      <c r="AT377" s="964"/>
      <c r="AU377" s="964"/>
      <c r="AV377" s="964"/>
    </row>
    <row r="378" spans="1:53" ht="56.25" x14ac:dyDescent="0.25">
      <c r="B378" s="720">
        <v>372</v>
      </c>
      <c r="C378" s="437">
        <v>62</v>
      </c>
      <c r="D378" s="437" t="str">
        <f t="shared" si="66"/>
        <v>201562</v>
      </c>
      <c r="E378" s="866" t="s">
        <v>2377</v>
      </c>
      <c r="F378" s="280" t="s">
        <v>2378</v>
      </c>
      <c r="G378" s="866">
        <v>830025104</v>
      </c>
      <c r="H378" s="858" t="s">
        <v>2379</v>
      </c>
      <c r="I378" s="210">
        <v>64250000</v>
      </c>
      <c r="J378" s="702" t="s">
        <v>2380</v>
      </c>
      <c r="K378" s="295">
        <v>2015</v>
      </c>
      <c r="L378" s="546">
        <v>42359</v>
      </c>
      <c r="M378" s="296">
        <v>42384</v>
      </c>
      <c r="N378" s="296">
        <v>42505</v>
      </c>
      <c r="O378" s="127">
        <f>COUNTA(Modificaciones!I378,Modificaciones!K378,Modificaciones!M378,Modificaciones!O378)</f>
        <v>0</v>
      </c>
      <c r="P378" s="128">
        <f>VLOOKUP(E378,Modificaciones!$B$7:$Q$400,16,0)</f>
        <v>0</v>
      </c>
      <c r="Q378" s="129">
        <f>COUNTA(Modificaciones!S378,Modificaciones!U378,Modificaciones!W378,Modificaciones!Y378)</f>
        <v>1</v>
      </c>
      <c r="R378" s="130" t="str">
        <f>IF(Modificaciones!Z378=0,"",VLOOKUP(E378,Modificaciones!$B$7:$AA$400,25,0))</f>
        <v>1 mes</v>
      </c>
      <c r="S378" s="131">
        <f>IF(Modificaciones!AA378=0,"",VLOOKUP(E378,Modificaciones!$B$7:$AA$400,26,0))</f>
        <v>42536</v>
      </c>
      <c r="T378" s="126">
        <f t="shared" si="65"/>
        <v>42536</v>
      </c>
      <c r="U378" s="62">
        <f t="shared" si="67"/>
        <v>64250000</v>
      </c>
      <c r="V378" s="172">
        <f>VLOOKUP(E378,Modificaciones!$B$7:$AU$400,46,0)</f>
        <v>64250000</v>
      </c>
      <c r="W378" s="93">
        <f t="shared" ref="W378:W441" si="77">U378-V378</f>
        <v>0</v>
      </c>
      <c r="X378" s="309" t="s">
        <v>2381</v>
      </c>
      <c r="Y378" s="42">
        <f t="shared" si="69"/>
        <v>1</v>
      </c>
      <c r="Z378" s="42">
        <f t="shared" ca="1" si="70"/>
        <v>1</v>
      </c>
      <c r="AA378" s="43">
        <f t="shared" ca="1" si="71"/>
        <v>0</v>
      </c>
      <c r="AB378" s="202" t="str">
        <f t="shared" ca="1" si="72"/>
        <v/>
      </c>
      <c r="AC378" s="44" t="str">
        <f t="shared" si="74"/>
        <v>SI</v>
      </c>
      <c r="AD378" s="760" t="str">
        <f>VLOOKUP(C378,[2]Hoja4!$A$2:$E$116,5,0)</f>
        <v>PRESTACION DE SERVICIOS</v>
      </c>
      <c r="AE378" s="173" t="s">
        <v>1257</v>
      </c>
      <c r="AF378" s="281" t="s">
        <v>1573</v>
      </c>
      <c r="AG378" s="173" t="s">
        <v>1439</v>
      </c>
      <c r="AH378" s="281" t="s">
        <v>560</v>
      </c>
      <c r="AI378" s="305" t="s">
        <v>1509</v>
      </c>
      <c r="AJ378" s="305" t="s">
        <v>1867</v>
      </c>
      <c r="AK378" s="181" t="str">
        <f t="shared" ca="1" si="73"/>
        <v>TERMINO</v>
      </c>
      <c r="AL378" s="310" t="s">
        <v>576</v>
      </c>
      <c r="AM378" s="176" t="s">
        <v>390</v>
      </c>
      <c r="AN378" s="848" t="str">
        <f>IFERROR(VLOOKUP(E378,'liquidaciones '!$B$2:$C$1048576,2,0),"NO")</f>
        <v>LIQUIDADO</v>
      </c>
      <c r="AO378" s="944" t="str">
        <f>IFERROR(VLOOKUP(E378,'liquidaciones '!$B$2:$I$1048576,8,0),"")</f>
        <v>JULIETH ANGARITA</v>
      </c>
      <c r="AP378" s="338"/>
      <c r="AQ378" s="177" t="str">
        <f t="shared" ca="1" si="76"/>
        <v>NO</v>
      </c>
      <c r="AR378" s="177" t="s">
        <v>1992</v>
      </c>
      <c r="AS378" s="433"/>
      <c r="AT378" s="964"/>
      <c r="AU378" s="964"/>
      <c r="AV378" s="964"/>
    </row>
    <row r="379" spans="1:53" ht="43.5" customHeight="1" x14ac:dyDescent="0.25">
      <c r="B379" s="720">
        <v>373</v>
      </c>
      <c r="C379" s="437"/>
      <c r="D379" s="437" t="str">
        <f t="shared" si="66"/>
        <v>2015</v>
      </c>
      <c r="E379" s="866" t="s">
        <v>2382</v>
      </c>
      <c r="F379" s="280" t="s">
        <v>2383</v>
      </c>
      <c r="G379" s="866" t="s">
        <v>2384</v>
      </c>
      <c r="H379" s="858" t="s">
        <v>2385</v>
      </c>
      <c r="I379" s="210">
        <v>64000000</v>
      </c>
      <c r="J379" s="702" t="s">
        <v>2386</v>
      </c>
      <c r="K379" s="295">
        <v>2015</v>
      </c>
      <c r="L379" s="546">
        <v>42362</v>
      </c>
      <c r="M379" s="296">
        <v>42384</v>
      </c>
      <c r="N379" s="296">
        <v>42750</v>
      </c>
      <c r="O379" s="127">
        <f>COUNTA(Modificaciones!I379,Modificaciones!K379,Modificaciones!M379,Modificaciones!O379)</f>
        <v>0</v>
      </c>
      <c r="P379" s="128">
        <f>VLOOKUP(E379,Modificaciones!$B$7:$Q$400,16,0)</f>
        <v>0</v>
      </c>
      <c r="Q379" s="129">
        <f>COUNTA(Modificaciones!S379,Modificaciones!U379,Modificaciones!W379,Modificaciones!Y379)</f>
        <v>0</v>
      </c>
      <c r="R379" s="130" t="str">
        <f>IF(Modificaciones!Z379=0,"",VLOOKUP(E379,Modificaciones!$B$7:$AA$400,25,0))</f>
        <v/>
      </c>
      <c r="S379" s="131" t="str">
        <f>IF(Modificaciones!AA379=0,"",VLOOKUP(E379,Modificaciones!$B$7:$AA$400,26,0))</f>
        <v/>
      </c>
      <c r="T379" s="126">
        <f t="shared" si="65"/>
        <v>42750</v>
      </c>
      <c r="U379" s="62">
        <f t="shared" si="67"/>
        <v>64000000</v>
      </c>
      <c r="V379" s="172">
        <f>VLOOKUP(E379,Modificaciones!$B$7:$AU$400,46,0)</f>
        <v>64000000</v>
      </c>
      <c r="W379" s="93">
        <f t="shared" si="77"/>
        <v>0</v>
      </c>
      <c r="X379" s="342" t="s">
        <v>2387</v>
      </c>
      <c r="Y379" s="42">
        <f t="shared" si="69"/>
        <v>1</v>
      </c>
      <c r="Z379" s="42">
        <f t="shared" ca="1" si="70"/>
        <v>1</v>
      </c>
      <c r="AA379" s="43">
        <f t="shared" ca="1" si="71"/>
        <v>0</v>
      </c>
      <c r="AB379" s="202" t="str">
        <f t="shared" ca="1" si="72"/>
        <v/>
      </c>
      <c r="AC379" s="44" t="str">
        <f t="shared" si="74"/>
        <v>SI</v>
      </c>
      <c r="AD379" s="760" t="e">
        <f>VLOOKUP(C379,[2]Hoja4!$A$2:$E$116,5,0)</f>
        <v>#N/A</v>
      </c>
      <c r="AE379" s="173" t="s">
        <v>1257</v>
      </c>
      <c r="AF379" s="281" t="s">
        <v>1467</v>
      </c>
      <c r="AG379" s="173" t="s">
        <v>1439</v>
      </c>
      <c r="AH379" s="281" t="s">
        <v>560</v>
      </c>
      <c r="AI379" s="305" t="s">
        <v>1509</v>
      </c>
      <c r="AJ379" s="305" t="s">
        <v>1867</v>
      </c>
      <c r="AK379" s="181" t="str">
        <f t="shared" ca="1" si="73"/>
        <v>TERMINO</v>
      </c>
      <c r="AL379" s="310" t="s">
        <v>576</v>
      </c>
      <c r="AM379" s="176" t="s">
        <v>390</v>
      </c>
      <c r="AN379" s="848" t="str">
        <f>IFERROR(VLOOKUP(E379,'liquidaciones '!$B$2:$C$1048576,2,0),"NO")</f>
        <v>LIQUIDADO</v>
      </c>
      <c r="AO379" s="944" t="str">
        <f>IFERROR(VLOOKUP(E379,'liquidaciones '!$B$2:$I$1048576,8,0),"")</f>
        <v>DORA PINILLA</v>
      </c>
      <c r="AP379" s="338"/>
      <c r="AQ379" s="177" t="str">
        <f t="shared" ca="1" si="76"/>
        <v>SI</v>
      </c>
      <c r="AR379" s="177" t="s">
        <v>2605</v>
      </c>
      <c r="AS379" s="433"/>
      <c r="AT379" s="964"/>
      <c r="AU379" s="964"/>
      <c r="AV379" s="964"/>
    </row>
    <row r="380" spans="1:53" s="846" customFormat="1" ht="22.5" x14ac:dyDescent="0.25">
      <c r="A380" s="286"/>
      <c r="B380" s="1054">
        <v>375</v>
      </c>
      <c r="C380" s="438">
        <v>135</v>
      </c>
      <c r="D380" s="845" t="str">
        <f>+K380&amp;C380</f>
        <v>2016135</v>
      </c>
      <c r="E380" s="847" t="s">
        <v>2414</v>
      </c>
      <c r="F380" s="578" t="s">
        <v>86</v>
      </c>
      <c r="G380" s="1055">
        <v>860001022</v>
      </c>
      <c r="H380" s="1056" t="s">
        <v>2415</v>
      </c>
      <c r="I380" s="1057">
        <v>1226994</v>
      </c>
      <c r="J380" s="1058" t="s">
        <v>2414</v>
      </c>
      <c r="K380" s="1059">
        <v>2016</v>
      </c>
      <c r="L380" s="546">
        <v>42429</v>
      </c>
      <c r="M380" s="1060">
        <v>42451</v>
      </c>
      <c r="N380" s="1060">
        <v>42816</v>
      </c>
      <c r="O380" s="127">
        <f>COUNTA(Modificaciones!I380,Modificaciones!K380,Modificaciones!M380,Modificaciones!O380)</f>
        <v>0</v>
      </c>
      <c r="P380" s="128">
        <f>VLOOKUP(E380,Modificaciones!$B$7:$Q$400,16,0)</f>
        <v>0</v>
      </c>
      <c r="Q380" s="129">
        <f>COUNTA(Modificaciones!S380,Modificaciones!U380,Modificaciones!W380,Modificaciones!Y380)</f>
        <v>0</v>
      </c>
      <c r="R380" s="130" t="str">
        <f>IF(Modificaciones!Z380=0,"",VLOOKUP(E380,Modificaciones!$B$7:$AA$400,25,0))</f>
        <v/>
      </c>
      <c r="S380" s="131" t="str">
        <f>IF(Modificaciones!AA380=0,"",VLOOKUP(E380,Modificaciones!$B$7:$AA$400,26,0))</f>
        <v/>
      </c>
      <c r="T380" s="855">
        <f t="shared" si="65"/>
        <v>42816</v>
      </c>
      <c r="U380" s="61">
        <f t="shared" si="67"/>
        <v>1226994</v>
      </c>
      <c r="V380" s="128">
        <f>VLOOKUP(E380,Modificaciones!$B$7:$AU$400,46,0)</f>
        <v>1226994</v>
      </c>
      <c r="W380" s="98">
        <f t="shared" si="77"/>
        <v>0</v>
      </c>
      <c r="X380" s="309" t="s">
        <v>1895</v>
      </c>
      <c r="Y380" s="94">
        <f t="shared" si="69"/>
        <v>1</v>
      </c>
      <c r="Z380" s="94">
        <f t="shared" ca="1" si="70"/>
        <v>1</v>
      </c>
      <c r="AA380" s="95">
        <f t="shared" ca="1" si="71"/>
        <v>0</v>
      </c>
      <c r="AB380" s="1061" t="str">
        <f t="shared" ca="1" si="72"/>
        <v/>
      </c>
      <c r="AC380" s="96" t="str">
        <f t="shared" si="74"/>
        <v>SI</v>
      </c>
      <c r="AD380" s="1062" t="s">
        <v>2898</v>
      </c>
      <c r="AE380" s="178" t="s">
        <v>1256</v>
      </c>
      <c r="AF380" s="578" t="s">
        <v>1125</v>
      </c>
      <c r="AG380" s="178"/>
      <c r="AH380" s="578" t="s">
        <v>564</v>
      </c>
      <c r="AI380" s="761"/>
      <c r="AJ380" s="761" t="s">
        <v>600</v>
      </c>
      <c r="AK380" s="698" t="str">
        <f t="shared" ca="1" si="73"/>
        <v>TERMINO</v>
      </c>
      <c r="AL380" s="894" t="s">
        <v>582</v>
      </c>
      <c r="AM380" s="180" t="s">
        <v>390</v>
      </c>
      <c r="AN380" s="180" t="str">
        <f>IFERROR(VLOOKUP(E380,'liquidaciones '!$B$2:$C$1048576,2,0),"NO")</f>
        <v>LIQUIDADO</v>
      </c>
      <c r="AO380" s="944" t="str">
        <f>IFERROR(VLOOKUP(E380,'liquidaciones '!$B$2:$I$1048576,8,0),"")</f>
        <v>MANUEL ROJAS</v>
      </c>
      <c r="AP380" s="340"/>
      <c r="AQ380" s="1063" t="str">
        <f t="shared" ca="1" si="76"/>
        <v>SI</v>
      </c>
      <c r="AR380" s="1063" t="s">
        <v>2601</v>
      </c>
      <c r="AS380" s="1064"/>
      <c r="AT380" s="1053"/>
      <c r="AU380" s="1053"/>
      <c r="AV380" s="1053"/>
      <c r="AW380" s="286"/>
      <c r="AX380" s="286"/>
      <c r="AY380" s="286"/>
      <c r="BA380" s="286"/>
    </row>
    <row r="381" spans="1:53" ht="29.25" customHeight="1" x14ac:dyDescent="0.25">
      <c r="B381" s="720">
        <v>376</v>
      </c>
      <c r="C381" s="437"/>
      <c r="D381" s="437" t="str">
        <f t="shared" ref="D381:D406" si="78">K381&amp;C381</f>
        <v>2016</v>
      </c>
      <c r="E381" s="866" t="s">
        <v>2416</v>
      </c>
      <c r="F381" s="280" t="s">
        <v>2417</v>
      </c>
      <c r="G381" s="903">
        <v>900459737</v>
      </c>
      <c r="H381" s="1001" t="s">
        <v>402</v>
      </c>
      <c r="I381" s="908">
        <v>287600000</v>
      </c>
      <c r="J381" s="713" t="s">
        <v>4396</v>
      </c>
      <c r="K381" s="295">
        <v>2016</v>
      </c>
      <c r="L381" s="546"/>
      <c r="M381" s="296">
        <v>42375</v>
      </c>
      <c r="N381" s="296">
        <v>42558</v>
      </c>
      <c r="O381" s="127">
        <f>COUNTA(Modificaciones!I381,Modificaciones!K381,Modificaciones!M381,Modificaciones!O381)</f>
        <v>2</v>
      </c>
      <c r="P381" s="128">
        <f>VLOOKUP(E381,Modificaciones!$B$7:$Q$400,16,0)</f>
        <v>125000000</v>
      </c>
      <c r="Q381" s="129">
        <f>COUNTA(Modificaciones!S381,Modificaciones!U381,Modificaciones!W381,Modificaciones!Y381)</f>
        <v>1</v>
      </c>
      <c r="R381" s="130" t="str">
        <f>IF(Modificaciones!Z381=0,"",VLOOKUP(E381,Modificaciones!$B$7:$AA$400,25,0))</f>
        <v>6 meses 24 días</v>
      </c>
      <c r="S381" s="131">
        <f>IF(Modificaciones!AA381=0,"",VLOOKUP(E381,Modificaciones!$B$7:$AA$400,26,0))</f>
        <v>42766</v>
      </c>
      <c r="T381" s="126">
        <f t="shared" si="65"/>
        <v>42766</v>
      </c>
      <c r="U381" s="62">
        <f t="shared" si="67"/>
        <v>412600000</v>
      </c>
      <c r="V381" s="172">
        <f>VLOOKUP(E381,Modificaciones!$B$7:$AU$400,46,0)</f>
        <v>410092645</v>
      </c>
      <c r="W381" s="93">
        <f t="shared" si="77"/>
        <v>2507355</v>
      </c>
      <c r="X381" s="309"/>
      <c r="Y381" s="42">
        <f t="shared" si="69"/>
        <v>0.99392303683955407</v>
      </c>
      <c r="Z381" s="42">
        <f t="shared" ca="1" si="70"/>
        <v>1</v>
      </c>
      <c r="AA381" s="43">
        <f t="shared" ca="1" si="71"/>
        <v>6.0769631604459251E-3</v>
      </c>
      <c r="AB381" s="202" t="str">
        <f t="shared" ca="1" si="72"/>
        <v/>
      </c>
      <c r="AC381" s="44" t="str">
        <f t="shared" si="74"/>
        <v>NO</v>
      </c>
      <c r="AD381" s="760" t="s">
        <v>1713</v>
      </c>
      <c r="AE381" s="173" t="s">
        <v>1256</v>
      </c>
      <c r="AF381" s="281" t="s">
        <v>1139</v>
      </c>
      <c r="AG381" s="173"/>
      <c r="AH381" s="281" t="s">
        <v>560</v>
      </c>
      <c r="AI381" s="305" t="s">
        <v>1319</v>
      </c>
      <c r="AJ381" s="305" t="s">
        <v>600</v>
      </c>
      <c r="AK381" s="181" t="str">
        <f t="shared" ca="1" si="73"/>
        <v>TERMINO</v>
      </c>
      <c r="AL381" s="310"/>
      <c r="AM381" s="176"/>
      <c r="AN381" s="848" t="str">
        <f>IFERROR(VLOOKUP(E381,'liquidaciones '!$B$2:$C$1048576,2,0),"NO")</f>
        <v>EN TRÁMITE</v>
      </c>
      <c r="AO381" s="944" t="str">
        <f>IFERROR(VLOOKUP(E381,'liquidaciones '!$B$2:$I$1048576,8,0),"")</f>
        <v>MANUEL ROJAS</v>
      </c>
      <c r="AP381" s="338"/>
      <c r="AQ381" s="177" t="str">
        <f t="shared" ca="1" si="76"/>
        <v>SI</v>
      </c>
      <c r="AR381" s="177" t="s">
        <v>1510</v>
      </c>
      <c r="AS381" s="433"/>
      <c r="AT381" s="964"/>
      <c r="AU381" s="964"/>
      <c r="AV381" s="964"/>
    </row>
    <row r="382" spans="1:53" ht="90" x14ac:dyDescent="0.25">
      <c r="B382" s="720">
        <v>377</v>
      </c>
      <c r="C382" s="437"/>
      <c r="D382" s="437" t="str">
        <f t="shared" si="78"/>
        <v>2016</v>
      </c>
      <c r="E382" s="866" t="s">
        <v>2418</v>
      </c>
      <c r="F382" s="280" t="s">
        <v>2419</v>
      </c>
      <c r="G382" s="903"/>
      <c r="H382" s="1001" t="s">
        <v>3007</v>
      </c>
      <c r="I382" s="908">
        <v>601948308</v>
      </c>
      <c r="J382" s="850" t="s">
        <v>2418</v>
      </c>
      <c r="K382" s="295">
        <v>2016</v>
      </c>
      <c r="L382" s="546">
        <v>42447</v>
      </c>
      <c r="M382" s="296">
        <v>42447</v>
      </c>
      <c r="N382" s="296">
        <v>42539</v>
      </c>
      <c r="O382" s="127">
        <f>COUNTA(Modificaciones!I382,Modificaciones!K382,Modificaciones!M382,Modificaciones!O382)</f>
        <v>0</v>
      </c>
      <c r="P382" s="128">
        <f>VLOOKUP(E382,Modificaciones!$B$7:$Q$400,16,0)</f>
        <v>0</v>
      </c>
      <c r="Q382" s="129">
        <f>COUNTA(Modificaciones!S382,Modificaciones!U382,Modificaciones!W382,Modificaciones!Y382)</f>
        <v>0</v>
      </c>
      <c r="R382" s="130" t="str">
        <f>IF(Modificaciones!Z382=0,"",VLOOKUP(E382,Modificaciones!$B$7:$AA$400,25,0))</f>
        <v/>
      </c>
      <c r="S382" s="131" t="str">
        <f>IF(Modificaciones!AA382=0,"",VLOOKUP(E382,Modificaciones!$B$7:$AA$400,26,0))</f>
        <v/>
      </c>
      <c r="T382" s="126">
        <f t="shared" si="65"/>
        <v>42539</v>
      </c>
      <c r="U382" s="62">
        <f t="shared" si="67"/>
        <v>601948308</v>
      </c>
      <c r="V382" s="172">
        <f>VLOOKUP(E382,Modificaciones!$B$7:$AU$400,46,0)</f>
        <v>601948308</v>
      </c>
      <c r="W382" s="93">
        <f t="shared" si="77"/>
        <v>0</v>
      </c>
      <c r="X382" s="309"/>
      <c r="Y382" s="42">
        <f t="shared" si="69"/>
        <v>1</v>
      </c>
      <c r="Z382" s="42">
        <f t="shared" ca="1" si="70"/>
        <v>1</v>
      </c>
      <c r="AA382" s="43">
        <f t="shared" ca="1" si="71"/>
        <v>0</v>
      </c>
      <c r="AB382" s="202" t="str">
        <f t="shared" ca="1" si="72"/>
        <v/>
      </c>
      <c r="AC382" s="44" t="str">
        <f t="shared" si="74"/>
        <v>SI</v>
      </c>
      <c r="AD382" s="760" t="e">
        <f>VLOOKUP(C382,[2]Hoja4!$A$2:$E$116,5,0)</f>
        <v>#N/A</v>
      </c>
      <c r="AE382" s="173"/>
      <c r="AF382" s="281"/>
      <c r="AG382" s="173"/>
      <c r="AH382" s="281"/>
      <c r="AI382" s="305"/>
      <c r="AJ382" s="305"/>
      <c r="AK382" s="181" t="str">
        <f t="shared" ca="1" si="73"/>
        <v>TERMINO</v>
      </c>
      <c r="AL382" s="310"/>
      <c r="AM382" s="176"/>
      <c r="AN382" s="848" t="str">
        <f>IFERROR(VLOOKUP(E382,'liquidaciones '!$B$2:$C$1048576,2,0),"NO")</f>
        <v>LIQUIDADO</v>
      </c>
      <c r="AO382" s="944" t="str">
        <f>IFERROR(VLOOKUP(E382,'liquidaciones '!$B$2:$I$1048576,8,0),"")</f>
        <v>JULIETH ANGARITA</v>
      </c>
      <c r="AP382" s="338"/>
      <c r="AQ382" s="177" t="str">
        <f t="shared" ca="1" si="76"/>
        <v>NO</v>
      </c>
      <c r="AR382" s="177" t="s">
        <v>2601</v>
      </c>
      <c r="AS382" s="433"/>
      <c r="AT382" s="964"/>
      <c r="AU382" s="964"/>
      <c r="AV382" s="964"/>
    </row>
    <row r="383" spans="1:53" ht="56.25" x14ac:dyDescent="0.25">
      <c r="B383" s="720">
        <v>378</v>
      </c>
      <c r="C383" s="1009"/>
      <c r="D383" s="437" t="str">
        <f t="shared" si="78"/>
        <v>2016</v>
      </c>
      <c r="E383" s="1008" t="s">
        <v>3541</v>
      </c>
      <c r="F383" s="280" t="s">
        <v>126</v>
      </c>
      <c r="G383" s="903">
        <v>900333228</v>
      </c>
      <c r="H383" s="1001" t="s">
        <v>2420</v>
      </c>
      <c r="I383" s="908">
        <v>4640000</v>
      </c>
      <c r="J383" s="947" t="s">
        <v>2428</v>
      </c>
      <c r="K383" s="295">
        <v>2016</v>
      </c>
      <c r="L383" s="546">
        <v>42459</v>
      </c>
      <c r="M383" s="296">
        <v>42473</v>
      </c>
      <c r="N383" s="296">
        <v>42807</v>
      </c>
      <c r="O383" s="127">
        <f>COUNTA(Modificaciones!I383,Modificaciones!K383,Modificaciones!M383,Modificaciones!O383)</f>
        <v>0</v>
      </c>
      <c r="P383" s="128">
        <f>VLOOKUP(E383,Modificaciones!$B$7:$Q$400,16,0)</f>
        <v>0</v>
      </c>
      <c r="Q383" s="129">
        <f>COUNTA(Modificaciones!S383,Modificaciones!U383,Modificaciones!W383,Modificaciones!Y383)</f>
        <v>0</v>
      </c>
      <c r="R383" s="130" t="str">
        <f>IF(Modificaciones!Z383=0,"",VLOOKUP(E383,Modificaciones!$B$7:$AA$400,25,0))</f>
        <v/>
      </c>
      <c r="S383" s="131" t="str">
        <f>IF(Modificaciones!AA383=0,"",VLOOKUP(E383,Modificaciones!$B$7:$AA$400,26,0))</f>
        <v/>
      </c>
      <c r="T383" s="126">
        <f t="shared" si="65"/>
        <v>42807</v>
      </c>
      <c r="U383" s="62">
        <f t="shared" si="67"/>
        <v>4640000</v>
      </c>
      <c r="V383" s="172">
        <f>VLOOKUP(E383,Modificaciones!$B$7:$AU$400,46,0)</f>
        <v>4640000</v>
      </c>
      <c r="W383" s="93">
        <f t="shared" si="77"/>
        <v>0</v>
      </c>
      <c r="X383" s="309"/>
      <c r="Y383" s="42">
        <f t="shared" si="69"/>
        <v>1</v>
      </c>
      <c r="Z383" s="42">
        <f t="shared" ca="1" si="70"/>
        <v>1</v>
      </c>
      <c r="AA383" s="43">
        <f t="shared" ca="1" si="71"/>
        <v>0</v>
      </c>
      <c r="AB383" s="202" t="str">
        <f t="shared" ca="1" si="72"/>
        <v/>
      </c>
      <c r="AC383" s="44" t="str">
        <f t="shared" ref="AC383:AC400" si="79">IF(Y383&lt;=99.9%,"NO","SI")</f>
        <v>SI</v>
      </c>
      <c r="AD383" s="760" t="e">
        <f>VLOOKUP(C383,[2]Hoja4!$A$2:$E$116,5,0)</f>
        <v>#N/A</v>
      </c>
      <c r="AE383" s="173" t="s">
        <v>1256</v>
      </c>
      <c r="AF383" s="281" t="s">
        <v>1282</v>
      </c>
      <c r="AG383" s="173"/>
      <c r="AH383" s="281" t="s">
        <v>560</v>
      </c>
      <c r="AI383" s="305" t="s">
        <v>1380</v>
      </c>
      <c r="AJ383" s="305" t="s">
        <v>600</v>
      </c>
      <c r="AK383" s="181" t="str">
        <f t="shared" ca="1" si="73"/>
        <v>TERMINO</v>
      </c>
      <c r="AL383" s="310" t="s">
        <v>576</v>
      </c>
      <c r="AM383" s="176" t="s">
        <v>390</v>
      </c>
      <c r="AN383" s="848" t="str">
        <f>IFERROR(VLOOKUP(E383,'liquidaciones '!$B$2:$C$1048576,2,0),"NO")</f>
        <v>LIQUIDADO</v>
      </c>
      <c r="AO383" s="944">
        <f>IFERROR(VLOOKUP(E383,'liquidaciones '!$B$2:$I$1048576,8,0),"")</f>
        <v>0</v>
      </c>
      <c r="AP383" s="338"/>
      <c r="AQ383" s="177" t="str">
        <f t="shared" ca="1" si="76"/>
        <v>SI</v>
      </c>
      <c r="AR383" s="177" t="s">
        <v>1510</v>
      </c>
      <c r="AS383" s="433"/>
      <c r="AT383" s="964"/>
      <c r="AU383" s="964"/>
      <c r="AV383" s="964"/>
    </row>
    <row r="384" spans="1:53" ht="33.75" x14ac:dyDescent="0.25">
      <c r="B384" s="720">
        <v>379</v>
      </c>
      <c r="C384" s="437"/>
      <c r="D384" s="437" t="str">
        <f t="shared" si="78"/>
        <v>2016</v>
      </c>
      <c r="E384" s="866" t="s">
        <v>2421</v>
      </c>
      <c r="F384" s="280" t="s">
        <v>2423</v>
      </c>
      <c r="G384" s="903">
        <v>800249557</v>
      </c>
      <c r="H384" s="1001" t="s">
        <v>2422</v>
      </c>
      <c r="I384" s="908">
        <v>4200000</v>
      </c>
      <c r="J384" s="851" t="s">
        <v>2421</v>
      </c>
      <c r="K384" s="295">
        <v>2016</v>
      </c>
      <c r="L384" s="546">
        <v>42444</v>
      </c>
      <c r="M384" s="296">
        <v>42467</v>
      </c>
      <c r="N384" s="296">
        <v>42620</v>
      </c>
      <c r="O384" s="127">
        <f>COUNTA(Modificaciones!I384,Modificaciones!K384,Modificaciones!M384,Modificaciones!O384)</f>
        <v>0</v>
      </c>
      <c r="P384" s="128">
        <f>VLOOKUP(E384,Modificaciones!$B$7:$Q$400,16,0)</f>
        <v>0</v>
      </c>
      <c r="Q384" s="129">
        <f>COUNTA(Modificaciones!S384,Modificaciones!U384,Modificaciones!W384,Modificaciones!Y384)</f>
        <v>0</v>
      </c>
      <c r="R384" s="130" t="str">
        <f>IF(Modificaciones!Z384=0,"",VLOOKUP(E384,Modificaciones!$B$7:$AA$400,25,0))</f>
        <v/>
      </c>
      <c r="S384" s="131" t="str">
        <f>IF(Modificaciones!AA384=0,"",VLOOKUP(E384,Modificaciones!$B$7:$AA$400,26,0))</f>
        <v/>
      </c>
      <c r="T384" s="126">
        <f t="shared" ref="T384:T447" si="80">MAX(N384,S384)</f>
        <v>42620</v>
      </c>
      <c r="U384" s="62">
        <f t="shared" si="67"/>
        <v>4200000</v>
      </c>
      <c r="V384" s="172">
        <f>VLOOKUP(E384,Modificaciones!$B$7:$AU$400,46,0)</f>
        <v>4200000</v>
      </c>
      <c r="W384" s="93">
        <f t="shared" si="77"/>
        <v>0</v>
      </c>
      <c r="X384" s="309" t="s">
        <v>1895</v>
      </c>
      <c r="Y384" s="42">
        <f t="shared" si="69"/>
        <v>1</v>
      </c>
      <c r="Z384" s="42">
        <f t="shared" ca="1" si="70"/>
        <v>1</v>
      </c>
      <c r="AA384" s="43">
        <f t="shared" ca="1" si="71"/>
        <v>0</v>
      </c>
      <c r="AB384" s="202" t="str">
        <f t="shared" ca="1" si="72"/>
        <v/>
      </c>
      <c r="AC384" s="44" t="str">
        <f t="shared" si="79"/>
        <v>SI</v>
      </c>
      <c r="AD384" s="760" t="e">
        <f>VLOOKUP(C384,[2]Hoja4!$A$2:$E$116,5,0)</f>
        <v>#N/A</v>
      </c>
      <c r="AE384" s="173" t="s">
        <v>1256</v>
      </c>
      <c r="AF384" s="281" t="s">
        <v>1291</v>
      </c>
      <c r="AG384" s="173"/>
      <c r="AH384" s="281" t="s">
        <v>564</v>
      </c>
      <c r="AI384" s="305"/>
      <c r="AJ384" s="305" t="s">
        <v>600</v>
      </c>
      <c r="AK384" s="181" t="str">
        <f t="shared" ca="1" si="73"/>
        <v>TERMINO</v>
      </c>
      <c r="AL384" s="310" t="s">
        <v>582</v>
      </c>
      <c r="AM384" s="176" t="s">
        <v>390</v>
      </c>
      <c r="AN384" s="848" t="str">
        <f>IFERROR(VLOOKUP(E384,'liquidaciones '!$B$2:$C$1048576,2,0),"NO")</f>
        <v>LIQUIDADO</v>
      </c>
      <c r="AO384" s="944">
        <f>IFERROR(VLOOKUP(E384,'liquidaciones '!$B$2:$I$1048576,8,0),"")</f>
        <v>0</v>
      </c>
      <c r="AP384" s="338"/>
      <c r="AQ384" s="177" t="str">
        <f t="shared" ca="1" si="76"/>
        <v>NO</v>
      </c>
      <c r="AR384" s="177" t="s">
        <v>1510</v>
      </c>
      <c r="AS384" s="433"/>
      <c r="AT384" s="964"/>
      <c r="AU384" s="964"/>
      <c r="AV384" s="964"/>
    </row>
    <row r="385" spans="2:48" ht="56.25" x14ac:dyDescent="0.25">
      <c r="B385" s="720">
        <v>380</v>
      </c>
      <c r="C385" s="437"/>
      <c r="D385" s="437" t="str">
        <f t="shared" si="78"/>
        <v>2016</v>
      </c>
      <c r="E385" s="866" t="s">
        <v>2424</v>
      </c>
      <c r="F385" s="280" t="s">
        <v>2425</v>
      </c>
      <c r="G385" s="903">
        <v>900583252</v>
      </c>
      <c r="H385" s="1001" t="s">
        <v>3008</v>
      </c>
      <c r="I385" s="908">
        <v>92800000</v>
      </c>
      <c r="J385" s="851" t="s">
        <v>2424</v>
      </c>
      <c r="K385" s="295">
        <v>2016</v>
      </c>
      <c r="L385" s="546">
        <v>42445</v>
      </c>
      <c r="M385" s="296">
        <v>42461</v>
      </c>
      <c r="N385" s="296">
        <v>42767</v>
      </c>
      <c r="O385" s="127">
        <f>COUNTA(Modificaciones!I385,Modificaciones!K385,Modificaciones!M385,Modificaciones!O385)</f>
        <v>0</v>
      </c>
      <c r="P385" s="128">
        <f>VLOOKUP(E385,Modificaciones!$B$7:$Q$400,16,0)</f>
        <v>0</v>
      </c>
      <c r="Q385" s="129">
        <f>COUNTA(Modificaciones!S385,Modificaciones!U385,Modificaciones!W385,Modificaciones!Y385)</f>
        <v>0</v>
      </c>
      <c r="R385" s="130" t="str">
        <f>IF(Modificaciones!Z385=0,"",VLOOKUP(E385,Modificaciones!$B$7:$AA$400,25,0))</f>
        <v/>
      </c>
      <c r="S385" s="131" t="str">
        <f>IF(Modificaciones!AA385=0,"",VLOOKUP(E385,Modificaciones!$B$7:$AA$400,26,0))</f>
        <v/>
      </c>
      <c r="T385" s="126">
        <f t="shared" si="80"/>
        <v>42767</v>
      </c>
      <c r="U385" s="62">
        <f t="shared" si="67"/>
        <v>92800000</v>
      </c>
      <c r="V385" s="172">
        <f>VLOOKUP(E385,Modificaciones!$B$7:$AU$400,46,0)</f>
        <v>83520000</v>
      </c>
      <c r="W385" s="93">
        <f t="shared" si="77"/>
        <v>9280000</v>
      </c>
      <c r="X385" s="309" t="s">
        <v>1095</v>
      </c>
      <c r="Y385" s="42">
        <f t="shared" si="69"/>
        <v>0.9</v>
      </c>
      <c r="Z385" s="42">
        <f t="shared" ca="1" si="70"/>
        <v>1</v>
      </c>
      <c r="AA385" s="43">
        <f t="shared" ca="1" si="71"/>
        <v>9.9999999999999978E-2</v>
      </c>
      <c r="AB385" s="202" t="str">
        <f t="shared" ca="1" si="72"/>
        <v/>
      </c>
      <c r="AC385" s="44" t="str">
        <f t="shared" si="79"/>
        <v>NO</v>
      </c>
      <c r="AD385" s="760" t="e">
        <f>VLOOKUP(C385,[2]Hoja4!$A$2:$E$116,5,0)</f>
        <v>#N/A</v>
      </c>
      <c r="AE385" s="173" t="s">
        <v>1256</v>
      </c>
      <c r="AF385" s="281" t="s">
        <v>2443</v>
      </c>
      <c r="AG385" s="173"/>
      <c r="AH385" s="281" t="s">
        <v>561</v>
      </c>
      <c r="AI385" s="305"/>
      <c r="AJ385" s="305" t="s">
        <v>600</v>
      </c>
      <c r="AK385" s="181" t="str">
        <f t="shared" ca="1" si="73"/>
        <v>TERMINO</v>
      </c>
      <c r="AL385" s="310" t="s">
        <v>582</v>
      </c>
      <c r="AM385" s="176" t="s">
        <v>391</v>
      </c>
      <c r="AN385" s="848" t="str">
        <f>IFERROR(VLOOKUP(E385,'liquidaciones '!$B$2:$C$1048576,2,0),"NO")</f>
        <v>LIQUIDADO</v>
      </c>
      <c r="AO385" s="944" t="str">
        <f>IFERROR(VLOOKUP(E385,'liquidaciones '!$B$2:$I$1048576,8,0),"")</f>
        <v>MANUEL ROJAS</v>
      </c>
      <c r="AP385" s="338"/>
      <c r="AQ385" s="177" t="str">
        <f t="shared" ca="1" si="76"/>
        <v>SI</v>
      </c>
      <c r="AR385" s="433" t="s">
        <v>2977</v>
      </c>
      <c r="AS385" s="433"/>
      <c r="AT385" s="964"/>
      <c r="AU385" s="964"/>
      <c r="AV385" s="964"/>
    </row>
    <row r="386" spans="2:48" ht="45" x14ac:dyDescent="0.25">
      <c r="C386" s="437">
        <v>153</v>
      </c>
      <c r="D386" s="437" t="str">
        <f t="shared" si="78"/>
        <v>2016153</v>
      </c>
      <c r="E386" s="866" t="s">
        <v>2426</v>
      </c>
      <c r="F386" s="280" t="s">
        <v>1033</v>
      </c>
      <c r="G386" s="903">
        <v>51931422</v>
      </c>
      <c r="H386" s="1001" t="s">
        <v>3009</v>
      </c>
      <c r="I386" s="908">
        <v>61800000</v>
      </c>
      <c r="J386" s="851" t="s">
        <v>2426</v>
      </c>
      <c r="K386" s="295">
        <v>2016</v>
      </c>
      <c r="L386" s="546">
        <v>42446</v>
      </c>
      <c r="M386" s="296">
        <v>42451</v>
      </c>
      <c r="N386" s="296">
        <v>42816</v>
      </c>
      <c r="O386" s="127">
        <f>COUNTA(Modificaciones!I386,Modificaciones!K386,Modificaciones!M386,Modificaciones!O386)</f>
        <v>0</v>
      </c>
      <c r="P386" s="128">
        <f>VLOOKUP(E386,Modificaciones!$B$7:$Q$400,16,0)</f>
        <v>0</v>
      </c>
      <c r="Q386" s="129">
        <f>COUNTA(Modificaciones!S386,Modificaciones!U386,Modificaciones!W386,Modificaciones!Y386)</f>
        <v>0</v>
      </c>
      <c r="R386" s="130" t="str">
        <f>IF(Modificaciones!Z386=0,"",VLOOKUP(E386,Modificaciones!$B$7:$AA$400,25,0))</f>
        <v/>
      </c>
      <c r="S386" s="131" t="str">
        <f>IF(Modificaciones!AA386=0,"",VLOOKUP(E386,Modificaciones!$B$7:$AA$400,26,0))</f>
        <v/>
      </c>
      <c r="T386" s="126">
        <f t="shared" si="80"/>
        <v>42816</v>
      </c>
      <c r="U386" s="62">
        <f t="shared" si="67"/>
        <v>61800000</v>
      </c>
      <c r="V386" s="172">
        <f>VLOOKUP(E386,Modificaciones!$B$7:$AU$400,46,0)</f>
        <v>61800000</v>
      </c>
      <c r="W386" s="93">
        <f t="shared" si="77"/>
        <v>0</v>
      </c>
      <c r="X386" s="309" t="s">
        <v>1095</v>
      </c>
      <c r="Y386" s="42">
        <f t="shared" si="69"/>
        <v>1</v>
      </c>
      <c r="Z386" s="42">
        <f t="shared" ca="1" si="70"/>
        <v>1</v>
      </c>
      <c r="AA386" s="43">
        <f t="shared" ca="1" si="71"/>
        <v>0</v>
      </c>
      <c r="AB386" s="202" t="str">
        <f t="shared" ca="1" si="72"/>
        <v/>
      </c>
      <c r="AC386" s="44" t="str">
        <f t="shared" si="79"/>
        <v>SI</v>
      </c>
      <c r="AD386" s="760" t="s">
        <v>2898</v>
      </c>
      <c r="AE386" s="173" t="s">
        <v>1256</v>
      </c>
      <c r="AF386" s="281" t="s">
        <v>2171</v>
      </c>
      <c r="AG386" s="173"/>
      <c r="AH386" s="281" t="s">
        <v>559</v>
      </c>
      <c r="AI386" s="305"/>
      <c r="AJ386" s="305" t="s">
        <v>600</v>
      </c>
      <c r="AK386" s="181" t="str">
        <f t="shared" ca="1" si="73"/>
        <v>TERMINO</v>
      </c>
      <c r="AL386" s="310" t="s">
        <v>582</v>
      </c>
      <c r="AM386" s="176" t="s">
        <v>391</v>
      </c>
      <c r="AN386" s="848" t="str">
        <f>IFERROR(VLOOKUP(E386,'liquidaciones '!$B$2:$C$1048576,2,0),"NO")</f>
        <v>LIQUIDADO</v>
      </c>
      <c r="AO386" s="944" t="str">
        <f>IFERROR(VLOOKUP(E386,'liquidaciones '!$B$2:$I$1048576,8,0),"")</f>
        <v>ANDREA CASAS</v>
      </c>
      <c r="AP386" s="338"/>
      <c r="AQ386" s="177" t="str">
        <f t="shared" ca="1" si="76"/>
        <v>SI</v>
      </c>
      <c r="AR386" s="177" t="s">
        <v>981</v>
      </c>
      <c r="AS386" s="433"/>
      <c r="AT386" s="964"/>
      <c r="AU386" s="964"/>
      <c r="AV386" s="964"/>
    </row>
    <row r="387" spans="2:48" ht="45" x14ac:dyDescent="0.25">
      <c r="C387" s="437">
        <v>98</v>
      </c>
      <c r="D387" s="437" t="str">
        <f t="shared" si="78"/>
        <v>201698</v>
      </c>
      <c r="E387" s="866" t="s">
        <v>2427</v>
      </c>
      <c r="F387" s="280" t="s">
        <v>1535</v>
      </c>
      <c r="G387" s="903">
        <v>80100229</v>
      </c>
      <c r="H387" s="1001" t="s">
        <v>3010</v>
      </c>
      <c r="I387" s="908">
        <v>56650000</v>
      </c>
      <c r="J387" s="947" t="s">
        <v>2427</v>
      </c>
      <c r="K387" s="295">
        <v>2016</v>
      </c>
      <c r="L387" s="546">
        <v>42466</v>
      </c>
      <c r="M387" s="296">
        <v>42466</v>
      </c>
      <c r="N387" s="296">
        <v>42772</v>
      </c>
      <c r="O387" s="127">
        <f>COUNTA(Modificaciones!I387,Modificaciones!K387,Modificaciones!M387,Modificaciones!O387)</f>
        <v>0</v>
      </c>
      <c r="P387" s="128">
        <f>VLOOKUP(E387,Modificaciones!$B$7:$Q$400,16,0)</f>
        <v>0</v>
      </c>
      <c r="Q387" s="129">
        <f>COUNTA(Modificaciones!S387,Modificaciones!U387,Modificaciones!W387,Modificaciones!Y387)</f>
        <v>0</v>
      </c>
      <c r="R387" s="130" t="str">
        <f>IF(Modificaciones!Z387=0,"",VLOOKUP(E387,Modificaciones!$B$7:$AA$400,25,0))</f>
        <v/>
      </c>
      <c r="S387" s="131" t="str">
        <f>IF(Modificaciones!AA387=0,"",VLOOKUP(E387,Modificaciones!$B$7:$AA$400,26,0))</f>
        <v/>
      </c>
      <c r="T387" s="126">
        <f t="shared" si="80"/>
        <v>42772</v>
      </c>
      <c r="U387" s="62">
        <f t="shared" si="67"/>
        <v>56650000</v>
      </c>
      <c r="V387" s="172">
        <f>VLOOKUP(E387,Modificaciones!$B$7:$AU$400,46,0)</f>
        <v>56650000</v>
      </c>
      <c r="W387" s="93">
        <f t="shared" si="77"/>
        <v>0</v>
      </c>
      <c r="X387" s="309" t="s">
        <v>1095</v>
      </c>
      <c r="Y387" s="42">
        <f t="shared" si="69"/>
        <v>1</v>
      </c>
      <c r="Z387" s="42">
        <f t="shared" ca="1" si="70"/>
        <v>1</v>
      </c>
      <c r="AA387" s="43">
        <f t="shared" ca="1" si="71"/>
        <v>0</v>
      </c>
      <c r="AB387" s="202" t="str">
        <f t="shared" ca="1" si="72"/>
        <v/>
      </c>
      <c r="AC387" s="44" t="str">
        <f t="shared" si="79"/>
        <v>SI</v>
      </c>
      <c r="AD387" s="760" t="s">
        <v>2898</v>
      </c>
      <c r="AE387" s="173" t="s">
        <v>1257</v>
      </c>
      <c r="AF387" s="281" t="s">
        <v>2190</v>
      </c>
      <c r="AG387" s="173"/>
      <c r="AH387" s="281" t="s">
        <v>559</v>
      </c>
      <c r="AI387" s="305" t="s">
        <v>2189</v>
      </c>
      <c r="AJ387" s="305" t="s">
        <v>600</v>
      </c>
      <c r="AK387" s="181" t="str">
        <f t="shared" ca="1" si="73"/>
        <v>TERMINO</v>
      </c>
      <c r="AL387" s="310" t="s">
        <v>582</v>
      </c>
      <c r="AM387" s="176" t="s">
        <v>391</v>
      </c>
      <c r="AN387" s="848" t="str">
        <f>IFERROR(VLOOKUP(E387,'liquidaciones '!$B$2:$C$1048576,2,0),"NO")</f>
        <v>LIQUIDADO</v>
      </c>
      <c r="AO387" s="944" t="str">
        <f>IFERROR(VLOOKUP(E387,'liquidaciones '!$B$2:$I$1048576,8,0),"")</f>
        <v>JAVIER QUINTERO</v>
      </c>
      <c r="AP387" s="338"/>
      <c r="AQ387" s="177" t="str">
        <f t="shared" ca="1" si="76"/>
        <v>SI</v>
      </c>
      <c r="AR387" s="177" t="s">
        <v>2601</v>
      </c>
      <c r="AS387" s="433"/>
      <c r="AT387" s="964"/>
      <c r="AU387" s="964"/>
      <c r="AV387" s="964"/>
    </row>
    <row r="388" spans="2:48" ht="33.75" x14ac:dyDescent="0.25">
      <c r="C388" s="437">
        <v>119</v>
      </c>
      <c r="D388" s="437" t="str">
        <f t="shared" si="78"/>
        <v>2016119</v>
      </c>
      <c r="E388" s="866" t="s">
        <v>2429</v>
      </c>
      <c r="F388" s="280" t="s">
        <v>2430</v>
      </c>
      <c r="G388" s="903">
        <v>35457601</v>
      </c>
      <c r="H388" s="1001" t="s">
        <v>1578</v>
      </c>
      <c r="I388" s="908">
        <v>23872500</v>
      </c>
      <c r="J388" s="713" t="s">
        <v>2429</v>
      </c>
      <c r="K388" s="295">
        <v>2016</v>
      </c>
      <c r="L388" s="546">
        <v>42473</v>
      </c>
      <c r="M388" s="296">
        <v>42479</v>
      </c>
      <c r="N388" s="296">
        <v>42754</v>
      </c>
      <c r="O388" s="127">
        <f>COUNTA(Modificaciones!I388,Modificaciones!K388,Modificaciones!M388,Modificaciones!O388)</f>
        <v>0</v>
      </c>
      <c r="P388" s="128">
        <f>VLOOKUP(E388,Modificaciones!$B$7:$Q$400,16,0)</f>
        <v>0</v>
      </c>
      <c r="Q388" s="129">
        <f>COUNTA(Modificaciones!S388,Modificaciones!U388,Modificaciones!W388,Modificaciones!Y388)</f>
        <v>0</v>
      </c>
      <c r="R388" s="130" t="str">
        <f>IF(Modificaciones!Z388=0,"",VLOOKUP(E388,Modificaciones!$B$7:$AA$400,25,0))</f>
        <v/>
      </c>
      <c r="S388" s="131" t="str">
        <f>IF(Modificaciones!AA388=0,"",VLOOKUP(E388,Modificaciones!$B$7:$AA$400,26,0))</f>
        <v/>
      </c>
      <c r="T388" s="126">
        <f t="shared" si="80"/>
        <v>42754</v>
      </c>
      <c r="U388" s="62">
        <f t="shared" si="67"/>
        <v>23872500</v>
      </c>
      <c r="V388" s="172">
        <f>VLOOKUP(E388,Modificaciones!$B$7:$AU$400,46,0)</f>
        <v>23872500</v>
      </c>
      <c r="W388" s="93">
        <f t="shared" si="77"/>
        <v>0</v>
      </c>
      <c r="X388" s="309" t="s">
        <v>1095</v>
      </c>
      <c r="Y388" s="42">
        <f t="shared" si="69"/>
        <v>1</v>
      </c>
      <c r="Z388" s="42">
        <f t="shared" ca="1" si="70"/>
        <v>1</v>
      </c>
      <c r="AA388" s="43">
        <f t="shared" ca="1" si="71"/>
        <v>0</v>
      </c>
      <c r="AB388" s="202" t="str">
        <f t="shared" ca="1" si="72"/>
        <v/>
      </c>
      <c r="AC388" s="44" t="str">
        <f t="shared" si="79"/>
        <v>SI</v>
      </c>
      <c r="AD388" s="760" t="s">
        <v>2898</v>
      </c>
      <c r="AE388" s="173" t="s">
        <v>1256</v>
      </c>
      <c r="AF388" s="281" t="s">
        <v>2177</v>
      </c>
      <c r="AG388" s="173" t="s">
        <v>1430</v>
      </c>
      <c r="AH388" s="281" t="s">
        <v>564</v>
      </c>
      <c r="AI388" s="305"/>
      <c r="AJ388" s="305" t="s">
        <v>600</v>
      </c>
      <c r="AK388" s="181" t="str">
        <f t="shared" ca="1" si="73"/>
        <v>TERMINO</v>
      </c>
      <c r="AL388" s="181" t="s">
        <v>582</v>
      </c>
      <c r="AM388" s="176" t="s">
        <v>391</v>
      </c>
      <c r="AN388" s="848" t="str">
        <f>IFERROR(VLOOKUP(E388,'liquidaciones '!$B$2:$C$1048576,2,0),"NO")</f>
        <v>LIQUIDADO</v>
      </c>
      <c r="AO388" s="944" t="str">
        <f>IFERROR(VLOOKUP(E388,'liquidaciones '!$B$2:$I$1048576,8,0),"")</f>
        <v>JAVIER QUINTERO</v>
      </c>
      <c r="AP388" s="338"/>
      <c r="AQ388" s="177" t="str">
        <f t="shared" ca="1" si="76"/>
        <v>SI</v>
      </c>
      <c r="AR388" s="177" t="s">
        <v>2601</v>
      </c>
      <c r="AS388" s="433"/>
      <c r="AT388" s="964"/>
      <c r="AU388" s="964"/>
      <c r="AV388" s="964"/>
    </row>
    <row r="389" spans="2:48" ht="56.25" x14ac:dyDescent="0.25">
      <c r="C389" s="437">
        <v>117</v>
      </c>
      <c r="D389" s="437" t="str">
        <f t="shared" si="78"/>
        <v>2016117</v>
      </c>
      <c r="E389" s="866" t="s">
        <v>2431</v>
      </c>
      <c r="F389" s="280" t="s">
        <v>1035</v>
      </c>
      <c r="G389" s="903">
        <v>4098836</v>
      </c>
      <c r="H389" s="1001" t="s">
        <v>3011</v>
      </c>
      <c r="I389" s="908">
        <v>35595000</v>
      </c>
      <c r="J389" s="713" t="s">
        <v>2431</v>
      </c>
      <c r="K389" s="295">
        <v>2016</v>
      </c>
      <c r="L389" s="546">
        <v>42479</v>
      </c>
      <c r="M389" s="296">
        <v>42485</v>
      </c>
      <c r="N389" s="296">
        <v>42760</v>
      </c>
      <c r="O389" s="127">
        <f>COUNTA(Modificaciones!I389,Modificaciones!K389,Modificaciones!M389,Modificaciones!O389)</f>
        <v>0</v>
      </c>
      <c r="P389" s="128">
        <f>VLOOKUP(E389,Modificaciones!$B$7:$Q$400,16,0)</f>
        <v>0</v>
      </c>
      <c r="Q389" s="129">
        <f>COUNTA(Modificaciones!S389,Modificaciones!U389,Modificaciones!W389,Modificaciones!Y389)</f>
        <v>0</v>
      </c>
      <c r="R389" s="130" t="str">
        <f>IF(Modificaciones!Z389=0,"",VLOOKUP(E389,Modificaciones!$B$7:$AA$400,25,0))</f>
        <v/>
      </c>
      <c r="S389" s="131" t="str">
        <f>IF(Modificaciones!AA389=0,"",VLOOKUP(E389,Modificaciones!$B$7:$AA$400,26,0))</f>
        <v/>
      </c>
      <c r="T389" s="126">
        <f t="shared" si="80"/>
        <v>42760</v>
      </c>
      <c r="U389" s="62">
        <f t="shared" si="67"/>
        <v>35595000</v>
      </c>
      <c r="V389" s="172">
        <f>VLOOKUP(E389,Modificaciones!$B$7:$AU$400,46,0)</f>
        <v>35595000</v>
      </c>
      <c r="W389" s="93">
        <f t="shared" si="77"/>
        <v>0</v>
      </c>
      <c r="X389" s="309" t="s">
        <v>1095</v>
      </c>
      <c r="Y389" s="42">
        <f t="shared" si="69"/>
        <v>1</v>
      </c>
      <c r="Z389" s="42">
        <f t="shared" ca="1" si="70"/>
        <v>1</v>
      </c>
      <c r="AA389" s="43">
        <f t="shared" ca="1" si="71"/>
        <v>0</v>
      </c>
      <c r="AB389" s="202" t="str">
        <f t="shared" ca="1" si="72"/>
        <v/>
      </c>
      <c r="AC389" s="44" t="str">
        <f t="shared" si="79"/>
        <v>SI</v>
      </c>
      <c r="AD389" s="760" t="s">
        <v>2898</v>
      </c>
      <c r="AE389" s="173" t="s">
        <v>1256</v>
      </c>
      <c r="AF389" s="173" t="s">
        <v>2170</v>
      </c>
      <c r="AG389" s="173" t="s">
        <v>1177</v>
      </c>
      <c r="AH389" s="281" t="s">
        <v>559</v>
      </c>
      <c r="AI389" s="305"/>
      <c r="AJ389" s="305" t="s">
        <v>600</v>
      </c>
      <c r="AK389" s="181" t="str">
        <f t="shared" ca="1" si="73"/>
        <v>TERMINO</v>
      </c>
      <c r="AL389" s="310" t="s">
        <v>582</v>
      </c>
      <c r="AM389" s="176" t="s">
        <v>391</v>
      </c>
      <c r="AN389" s="848" t="str">
        <f>IFERROR(VLOOKUP(E389,'liquidaciones '!$B$2:$C$1048576,2,0),"NO")</f>
        <v>LIQUIDADO</v>
      </c>
      <c r="AO389" s="944" t="str">
        <f>IFERROR(VLOOKUP(E389,'liquidaciones '!$B$2:$I$1048576,8,0),"")</f>
        <v>GIOVANNI SUAREZ</v>
      </c>
      <c r="AP389" s="338"/>
      <c r="AQ389" s="177" t="str">
        <f t="shared" ca="1" si="76"/>
        <v>SI</v>
      </c>
      <c r="AR389" s="177" t="s">
        <v>981</v>
      </c>
      <c r="AS389" s="433"/>
      <c r="AT389" s="964"/>
      <c r="AU389" s="964"/>
      <c r="AV389" s="964"/>
    </row>
    <row r="390" spans="2:48" ht="56.25" x14ac:dyDescent="0.25">
      <c r="C390" s="437"/>
      <c r="D390" s="437" t="str">
        <f t="shared" si="78"/>
        <v>2016</v>
      </c>
      <c r="E390" s="866" t="s">
        <v>2432</v>
      </c>
      <c r="F390" s="280" t="s">
        <v>1338</v>
      </c>
      <c r="G390" s="903" t="s">
        <v>2433</v>
      </c>
      <c r="H390" s="1001" t="s">
        <v>3012</v>
      </c>
      <c r="I390" s="908">
        <v>154000000</v>
      </c>
      <c r="J390" s="713" t="s">
        <v>2432</v>
      </c>
      <c r="K390" s="295">
        <v>2016</v>
      </c>
      <c r="L390" s="546">
        <v>42452</v>
      </c>
      <c r="M390" s="296">
        <v>42466</v>
      </c>
      <c r="N390" s="296">
        <v>42741</v>
      </c>
      <c r="O390" s="127">
        <f>COUNTA(Modificaciones!I390,Modificaciones!K390,Modificaciones!M390,Modificaciones!O390)</f>
        <v>1</v>
      </c>
      <c r="P390" s="128">
        <f>VLOOKUP(E390,Modificaciones!$B$7:$Q$400,16,0)</f>
        <v>40418052</v>
      </c>
      <c r="Q390" s="129">
        <f>COUNTA(Modificaciones!S390,Modificaciones!U390,Modificaciones!W390,Modificaciones!Y390)</f>
        <v>1</v>
      </c>
      <c r="R390" s="130" t="str">
        <f>IF(Modificaciones!Z390=0,"",VLOOKUP(E390,Modificaciones!$B$7:$AA$400,25,0))</f>
        <v>2 meses</v>
      </c>
      <c r="S390" s="131">
        <f>IF(Modificaciones!AA390=0,"",VLOOKUP(E390,Modificaciones!$B$7:$AA$400,26,0))</f>
        <v>42800</v>
      </c>
      <c r="T390" s="126">
        <f t="shared" si="80"/>
        <v>42800</v>
      </c>
      <c r="U390" s="62">
        <f t="shared" si="67"/>
        <v>194418052</v>
      </c>
      <c r="V390" s="172">
        <f>VLOOKUP(E390,Modificaciones!$B$7:$AU$400,46,0)</f>
        <v>169178702</v>
      </c>
      <c r="W390" s="93">
        <f t="shared" si="77"/>
        <v>25239350</v>
      </c>
      <c r="X390" s="309" t="s">
        <v>1095</v>
      </c>
      <c r="Y390" s="42">
        <f t="shared" si="69"/>
        <v>0.87018000777006033</v>
      </c>
      <c r="Z390" s="42">
        <f t="shared" ca="1" si="70"/>
        <v>1</v>
      </c>
      <c r="AA390" s="43">
        <f t="shared" ca="1" si="71"/>
        <v>0.12981999222993967</v>
      </c>
      <c r="AB390" s="202" t="str">
        <f t="shared" ca="1" si="72"/>
        <v/>
      </c>
      <c r="AC390" s="44" t="str">
        <f t="shared" si="79"/>
        <v>NO</v>
      </c>
      <c r="AD390" s="760" t="s">
        <v>1710</v>
      </c>
      <c r="AE390" s="173" t="s">
        <v>1257</v>
      </c>
      <c r="AF390" s="281" t="s">
        <v>1606</v>
      </c>
      <c r="AG390" s="173" t="s">
        <v>1439</v>
      </c>
      <c r="AH390" s="281" t="s">
        <v>560</v>
      </c>
      <c r="AI390" s="305" t="s">
        <v>1509</v>
      </c>
      <c r="AJ390" s="305" t="s">
        <v>600</v>
      </c>
      <c r="AK390" s="181" t="str">
        <f t="shared" ca="1" si="73"/>
        <v>TERMINO</v>
      </c>
      <c r="AL390" s="310" t="s">
        <v>582</v>
      </c>
      <c r="AM390" s="176" t="s">
        <v>390</v>
      </c>
      <c r="AN390" s="848" t="str">
        <f>IFERROR(VLOOKUP(E390,'liquidaciones '!$B$2:$C$1048576,2,0),"NO")</f>
        <v>EN TRÁMITE</v>
      </c>
      <c r="AO390" s="944">
        <f>IFERROR(VLOOKUP(E390,'liquidaciones '!$B$2:$I$1048576,8,0),"")</f>
        <v>0</v>
      </c>
      <c r="AP390" s="338"/>
      <c r="AQ390" s="177" t="str">
        <f t="shared" ca="1" si="76"/>
        <v>SI</v>
      </c>
      <c r="AR390" s="433" t="s">
        <v>3784</v>
      </c>
      <c r="AS390" s="433"/>
      <c r="AT390" s="964"/>
      <c r="AU390" s="964"/>
      <c r="AV390" s="964"/>
    </row>
    <row r="391" spans="2:48" ht="67.5" x14ac:dyDescent="0.25">
      <c r="C391" s="437">
        <v>152</v>
      </c>
      <c r="D391" s="437" t="str">
        <f t="shared" si="78"/>
        <v>2016152</v>
      </c>
      <c r="E391" s="866" t="s">
        <v>2434</v>
      </c>
      <c r="F391" s="280" t="s">
        <v>2435</v>
      </c>
      <c r="G391" s="903">
        <v>900475780</v>
      </c>
      <c r="H391" s="1001" t="s">
        <v>1638</v>
      </c>
      <c r="I391" s="908">
        <v>3454655000</v>
      </c>
      <c r="J391" s="713" t="s">
        <v>2434</v>
      </c>
      <c r="K391" s="295">
        <v>2016</v>
      </c>
      <c r="L391" s="546">
        <v>42468</v>
      </c>
      <c r="M391" s="296">
        <v>42468</v>
      </c>
      <c r="N391" s="296">
        <v>42735</v>
      </c>
      <c r="O391" s="127">
        <f>COUNTA(Modificaciones!I391,Modificaciones!K391,Modificaciones!M391,Modificaciones!O391)</f>
        <v>0</v>
      </c>
      <c r="P391" s="128">
        <f>VLOOKUP(E391,Modificaciones!$B$7:$Q$400,16,0)</f>
        <v>0</v>
      </c>
      <c r="Q391" s="129">
        <f>COUNTA(Modificaciones!S391,Modificaciones!U391,Modificaciones!W391,Modificaciones!Y391)</f>
        <v>1</v>
      </c>
      <c r="R391" s="130" t="str">
        <f>IF(Modificaciones!Z391=0,"",VLOOKUP(E391,Modificaciones!$B$7:$AA$400,25,0))</f>
        <v>15 días</v>
      </c>
      <c r="S391" s="131">
        <f>IF(Modificaciones!AA391=0,"",VLOOKUP(E391,Modificaciones!$B$7:$AA$400,26,0))</f>
        <v>42750</v>
      </c>
      <c r="T391" s="126">
        <f t="shared" si="80"/>
        <v>42750</v>
      </c>
      <c r="U391" s="62">
        <f t="shared" ref="U391:U454" si="81">I391+P391</f>
        <v>3454655000</v>
      </c>
      <c r="V391" s="172">
        <f>VLOOKUP(E391,Modificaciones!$B$7:$AU$400,46,0)</f>
        <v>3424693254</v>
      </c>
      <c r="W391" s="93">
        <f t="shared" si="77"/>
        <v>29961746</v>
      </c>
      <c r="X391" s="309" t="s">
        <v>1107</v>
      </c>
      <c r="Y391" s="42">
        <f t="shared" ref="Y391:Y454" si="82">(V391*100%)/U391</f>
        <v>0.99132713802101802</v>
      </c>
      <c r="Z391" s="42">
        <f t="shared" ref="Z391:Z454" ca="1" si="83">IF((($F$3-M391)*100%/(T391-M391))&gt;100%,100%,(($F$3-M391)*100%/(T391-M391)))</f>
        <v>1</v>
      </c>
      <c r="AA391" s="43">
        <f t="shared" ref="AA391:AA454" ca="1" si="84">Z391-Y391</f>
        <v>8.6728619789819827E-3</v>
      </c>
      <c r="AB391" s="202" t="str">
        <f t="shared" ref="AB391:AB454" ca="1" si="85">IF(Z391&lt;100%,T391-$F$3,"")</f>
        <v/>
      </c>
      <c r="AC391" s="44" t="str">
        <f t="shared" si="79"/>
        <v>NO</v>
      </c>
      <c r="AD391" s="760" t="s">
        <v>1719</v>
      </c>
      <c r="AE391" s="173" t="s">
        <v>1256</v>
      </c>
      <c r="AF391" s="281" t="s">
        <v>1508</v>
      </c>
      <c r="AG391" s="173" t="s">
        <v>1442</v>
      </c>
      <c r="AH391" s="281" t="s">
        <v>560</v>
      </c>
      <c r="AI391" s="305" t="s">
        <v>1319</v>
      </c>
      <c r="AJ391" s="305" t="s">
        <v>600</v>
      </c>
      <c r="AK391" s="181" t="str">
        <f t="shared" ref="AK391:AK454" ca="1" si="86">IF(T391&gt;=$F$3,"EN EJECUCIÓN","TERMINO")</f>
        <v>TERMINO</v>
      </c>
      <c r="AL391" s="181" t="s">
        <v>582</v>
      </c>
      <c r="AM391" s="176" t="s">
        <v>390</v>
      </c>
      <c r="AN391" s="848" t="str">
        <f>IFERROR(VLOOKUP(E391,'liquidaciones '!$B$2:$C$1048576,2,0),"NO")</f>
        <v>LIQUIDADO</v>
      </c>
      <c r="AO391" s="944" t="str">
        <f>IFERROR(VLOOKUP(E391,'liquidaciones '!$B$2:$I$1048576,8,0),"")</f>
        <v>MANUEL ROJAS</v>
      </c>
      <c r="AP391" s="338"/>
      <c r="AQ391" s="177" t="str">
        <f t="shared" ca="1" si="76"/>
        <v>SI</v>
      </c>
      <c r="AR391" s="433" t="s">
        <v>2977</v>
      </c>
      <c r="AS391" s="433"/>
      <c r="AT391" s="964"/>
      <c r="AU391" s="964"/>
      <c r="AV391" s="964"/>
    </row>
    <row r="392" spans="2:48" ht="56.25" x14ac:dyDescent="0.25">
      <c r="C392" s="437">
        <v>125</v>
      </c>
      <c r="D392" s="437" t="str">
        <f t="shared" si="78"/>
        <v>2016125</v>
      </c>
      <c r="E392" s="866" t="s">
        <v>2438</v>
      </c>
      <c r="F392" s="280" t="s">
        <v>2031</v>
      </c>
      <c r="G392" s="903">
        <v>79246871</v>
      </c>
      <c r="H392" s="1001" t="s">
        <v>2439</v>
      </c>
      <c r="I392" s="908">
        <v>29664000</v>
      </c>
      <c r="J392" s="713" t="s">
        <v>2448</v>
      </c>
      <c r="K392" s="295">
        <v>2016</v>
      </c>
      <c r="L392" s="546">
        <v>42493</v>
      </c>
      <c r="M392" s="296">
        <v>42494</v>
      </c>
      <c r="N392" s="296">
        <v>42739</v>
      </c>
      <c r="O392" s="127">
        <f>COUNTA(Modificaciones!I392,Modificaciones!K392,Modificaciones!M392,Modificaciones!O392)</f>
        <v>0</v>
      </c>
      <c r="P392" s="128">
        <f>VLOOKUP(E392,Modificaciones!$B$7:$Q$400,16,0)</f>
        <v>0</v>
      </c>
      <c r="Q392" s="129">
        <f>COUNTA(Modificaciones!S392,Modificaciones!U392,Modificaciones!W392,Modificaciones!Y392)</f>
        <v>0</v>
      </c>
      <c r="R392" s="130" t="str">
        <f>IF(Modificaciones!Z392=0,"",VLOOKUP(E392,Modificaciones!$B$7:$AA$400,25,0))</f>
        <v/>
      </c>
      <c r="S392" s="131" t="str">
        <f>IF(Modificaciones!AA392=0,"",VLOOKUP(E392,Modificaciones!$B$7:$AA$400,26,0))</f>
        <v/>
      </c>
      <c r="T392" s="126">
        <f t="shared" si="80"/>
        <v>42739</v>
      </c>
      <c r="U392" s="62">
        <f t="shared" si="81"/>
        <v>29664000</v>
      </c>
      <c r="V392" s="172">
        <f>VLOOKUP(E392,Modificaciones!$B$7:$AU$400,46,0)</f>
        <v>29664000</v>
      </c>
      <c r="W392" s="93">
        <f t="shared" si="77"/>
        <v>0</v>
      </c>
      <c r="X392" s="309" t="s">
        <v>1095</v>
      </c>
      <c r="Y392" s="42">
        <f t="shared" si="82"/>
        <v>1</v>
      </c>
      <c r="Z392" s="42">
        <f t="shared" ca="1" si="83"/>
        <v>1</v>
      </c>
      <c r="AA392" s="43">
        <f t="shared" ca="1" si="84"/>
        <v>0</v>
      </c>
      <c r="AB392" s="202" t="str">
        <f t="shared" ca="1" si="85"/>
        <v/>
      </c>
      <c r="AC392" s="44" t="str">
        <f t="shared" si="79"/>
        <v>SI</v>
      </c>
      <c r="AD392" s="760" t="s">
        <v>2898</v>
      </c>
      <c r="AE392" s="173" t="s">
        <v>1256</v>
      </c>
      <c r="AF392" s="281" t="s">
        <v>2060</v>
      </c>
      <c r="AG392" s="173" t="s">
        <v>1437</v>
      </c>
      <c r="AH392" s="281" t="s">
        <v>561</v>
      </c>
      <c r="AI392" s="305"/>
      <c r="AJ392" s="305" t="s">
        <v>600</v>
      </c>
      <c r="AK392" s="181" t="str">
        <f t="shared" ca="1" si="86"/>
        <v>TERMINO</v>
      </c>
      <c r="AL392" s="310" t="s">
        <v>582</v>
      </c>
      <c r="AM392" s="176" t="s">
        <v>391</v>
      </c>
      <c r="AN392" s="848" t="str">
        <f>IFERROR(VLOOKUP(E392,'liquidaciones '!$B$2:$C$1048576,2,0),"NO")</f>
        <v>LIQUIDADO</v>
      </c>
      <c r="AO392" s="944" t="str">
        <f>IFERROR(VLOOKUP(E392,'liquidaciones '!$B$2:$I$1048576,8,0),"")</f>
        <v>JAVIER QUINTERO</v>
      </c>
      <c r="AP392" s="338"/>
      <c r="AQ392" s="177" t="str">
        <f t="shared" ca="1" si="76"/>
        <v>NO</v>
      </c>
      <c r="AR392" s="177" t="s">
        <v>2601</v>
      </c>
      <c r="AS392" s="433"/>
      <c r="AT392" s="964"/>
      <c r="AU392" s="964"/>
      <c r="AV392" s="964"/>
    </row>
    <row r="393" spans="2:48" ht="33.75" x14ac:dyDescent="0.25">
      <c r="C393" s="437">
        <v>149</v>
      </c>
      <c r="D393" s="437" t="str">
        <f t="shared" si="78"/>
        <v>2016149</v>
      </c>
      <c r="E393" s="866" t="s">
        <v>2442</v>
      </c>
      <c r="F393" s="280" t="s">
        <v>1111</v>
      </c>
      <c r="G393" s="903">
        <v>830005370</v>
      </c>
      <c r="H393" s="1001" t="s">
        <v>4896</v>
      </c>
      <c r="I393" s="908">
        <v>1148500000</v>
      </c>
      <c r="J393" s="713" t="s">
        <v>2442</v>
      </c>
      <c r="K393" s="295">
        <v>2016</v>
      </c>
      <c r="L393" s="546">
        <v>42480</v>
      </c>
      <c r="M393" s="296">
        <v>42481</v>
      </c>
      <c r="N393" s="296">
        <v>42787</v>
      </c>
      <c r="O393" s="127">
        <f>COUNTA(Modificaciones!I393,Modificaciones!K393,Modificaciones!M393,Modificaciones!O393)</f>
        <v>0</v>
      </c>
      <c r="P393" s="128">
        <f>VLOOKUP(E393,Modificaciones!$B$7:$Q$400,16,0)</f>
        <v>0</v>
      </c>
      <c r="Q393" s="129">
        <f>COUNTA(Modificaciones!S393,Modificaciones!U393,Modificaciones!W393,Modificaciones!Y393)</f>
        <v>0</v>
      </c>
      <c r="R393" s="130" t="str">
        <f>IF(Modificaciones!Z393=0,"",VLOOKUP(E393,Modificaciones!$B$7:$AA$400,25,0))</f>
        <v/>
      </c>
      <c r="S393" s="131" t="str">
        <f>IF(Modificaciones!AA393=0,"",VLOOKUP(E393,Modificaciones!$B$7:$AA$400,26,0))</f>
        <v/>
      </c>
      <c r="T393" s="126">
        <f t="shared" si="80"/>
        <v>42787</v>
      </c>
      <c r="U393" s="62">
        <f t="shared" si="81"/>
        <v>1148500000</v>
      </c>
      <c r="V393" s="172">
        <f>VLOOKUP(E393,Modificaciones!$B$7:$AU$400,46,0)</f>
        <v>1148499968</v>
      </c>
      <c r="W393" s="93">
        <f t="shared" si="77"/>
        <v>32</v>
      </c>
      <c r="X393" s="309" t="s">
        <v>1890</v>
      </c>
      <c r="Y393" s="42">
        <f t="shared" si="82"/>
        <v>0.99999997213757075</v>
      </c>
      <c r="Z393" s="42">
        <f t="shared" ca="1" si="83"/>
        <v>1</v>
      </c>
      <c r="AA393" s="43">
        <f t="shared" ca="1" si="84"/>
        <v>2.7862429252678567E-8</v>
      </c>
      <c r="AB393" s="202" t="str">
        <f t="shared" ca="1" si="85"/>
        <v/>
      </c>
      <c r="AC393" s="44" t="str">
        <f t="shared" si="79"/>
        <v>SI</v>
      </c>
      <c r="AD393" s="760" t="s">
        <v>1719</v>
      </c>
      <c r="AE393" s="173" t="s">
        <v>1256</v>
      </c>
      <c r="AF393" s="173" t="s">
        <v>1292</v>
      </c>
      <c r="AG393" s="173" t="s">
        <v>1430</v>
      </c>
      <c r="AH393" s="281" t="s">
        <v>564</v>
      </c>
      <c r="AI393" s="305"/>
      <c r="AJ393" s="305" t="s">
        <v>600</v>
      </c>
      <c r="AK393" s="181" t="str">
        <f t="shared" ca="1" si="86"/>
        <v>TERMINO</v>
      </c>
      <c r="AL393" s="310" t="s">
        <v>582</v>
      </c>
      <c r="AM393" s="176" t="s">
        <v>390</v>
      </c>
      <c r="AN393" s="848" t="str">
        <f>IFERROR(VLOOKUP(E393,'liquidaciones '!$B$2:$C$1048576,2,0),"NO")</f>
        <v>LIQUIDADO</v>
      </c>
      <c r="AO393" s="944" t="str">
        <f>IFERROR(VLOOKUP(E393,'liquidaciones '!$B$2:$I$1048576,8,0),"")</f>
        <v>MANUEL ROJAS</v>
      </c>
      <c r="AP393" s="338"/>
      <c r="AQ393" s="177" t="str">
        <f t="shared" ca="1" si="76"/>
        <v>SI</v>
      </c>
      <c r="AR393" s="177" t="s">
        <v>981</v>
      </c>
      <c r="AS393" s="433"/>
      <c r="AT393" s="964"/>
      <c r="AU393" s="964"/>
      <c r="AV393" s="964"/>
    </row>
    <row r="394" spans="2:48" ht="22.5" x14ac:dyDescent="0.25">
      <c r="C394" s="437">
        <v>136</v>
      </c>
      <c r="D394" s="437" t="str">
        <f t="shared" si="78"/>
        <v>2016136</v>
      </c>
      <c r="E394" s="866" t="s">
        <v>2447</v>
      </c>
      <c r="F394" s="280" t="s">
        <v>15</v>
      </c>
      <c r="G394" s="903">
        <v>830067096</v>
      </c>
      <c r="H394" s="1001" t="s">
        <v>353</v>
      </c>
      <c r="I394" s="908">
        <v>8010000</v>
      </c>
      <c r="J394" s="713" t="s">
        <v>2447</v>
      </c>
      <c r="K394" s="295">
        <v>2016</v>
      </c>
      <c r="L394" s="546">
        <v>42508</v>
      </c>
      <c r="M394" s="296">
        <v>42513</v>
      </c>
      <c r="N394" s="296">
        <v>42878</v>
      </c>
      <c r="O394" s="127">
        <f>COUNTA(Modificaciones!I394,Modificaciones!K394,Modificaciones!M394,Modificaciones!O394)</f>
        <v>0</v>
      </c>
      <c r="P394" s="128">
        <f>VLOOKUP(E394,Modificaciones!$B$7:$Q$400,16,0)</f>
        <v>0</v>
      </c>
      <c r="Q394" s="129">
        <f>COUNTA(Modificaciones!S394,Modificaciones!U394,Modificaciones!W394,Modificaciones!Y394)</f>
        <v>0</v>
      </c>
      <c r="R394" s="130" t="str">
        <f>IF(Modificaciones!Z394=0,"",VLOOKUP(E394,Modificaciones!$B$7:$AA$400,25,0))</f>
        <v/>
      </c>
      <c r="S394" s="131" t="str">
        <f>IF(Modificaciones!AA394=0,"",VLOOKUP(E394,Modificaciones!$B$7:$AA$400,26,0))</f>
        <v/>
      </c>
      <c r="T394" s="126">
        <f t="shared" si="80"/>
        <v>42878</v>
      </c>
      <c r="U394" s="62">
        <f t="shared" si="81"/>
        <v>8010000</v>
      </c>
      <c r="V394" s="172">
        <f>VLOOKUP(E394,Modificaciones!$B$7:$AU$400,46,0)</f>
        <v>8010000</v>
      </c>
      <c r="W394" s="93">
        <f t="shared" si="77"/>
        <v>0</v>
      </c>
      <c r="X394" s="309" t="s">
        <v>1895</v>
      </c>
      <c r="Y394" s="42">
        <f t="shared" si="82"/>
        <v>1</v>
      </c>
      <c r="Z394" s="42">
        <f t="shared" ca="1" si="83"/>
        <v>1</v>
      </c>
      <c r="AA394" s="43">
        <f t="shared" ca="1" si="84"/>
        <v>0</v>
      </c>
      <c r="AB394" s="202" t="str">
        <f t="shared" ca="1" si="85"/>
        <v/>
      </c>
      <c r="AC394" s="44" t="str">
        <f t="shared" si="79"/>
        <v>SI</v>
      </c>
      <c r="AD394" s="760" t="s">
        <v>1714</v>
      </c>
      <c r="AE394" s="173"/>
      <c r="AF394" s="301" t="s">
        <v>1125</v>
      </c>
      <c r="AG394" s="173" t="s">
        <v>1430</v>
      </c>
      <c r="AH394" s="281" t="s">
        <v>564</v>
      </c>
      <c r="AI394" s="305"/>
      <c r="AJ394" s="305" t="s">
        <v>600</v>
      </c>
      <c r="AK394" s="181" t="str">
        <f t="shared" ca="1" si="86"/>
        <v>TERMINO</v>
      </c>
      <c r="AL394" s="310" t="s">
        <v>582</v>
      </c>
      <c r="AM394" s="176" t="s">
        <v>390</v>
      </c>
      <c r="AN394" s="848" t="str">
        <f>IFERROR(VLOOKUP(E394,'liquidaciones '!$B$2:$C$1048576,2,0),"NO")</f>
        <v>LIQUIDADO</v>
      </c>
      <c r="AO394" s="944" t="str">
        <f>IFERROR(VLOOKUP(E394,'liquidaciones '!$B$2:$I$1048576,8,0),"")</f>
        <v>MANUEL ROJAS</v>
      </c>
      <c r="AP394" s="338"/>
      <c r="AQ394" s="177" t="str">
        <f t="shared" ca="1" si="76"/>
        <v>SI</v>
      </c>
      <c r="AR394" s="177" t="s">
        <v>981</v>
      </c>
      <c r="AS394" s="433"/>
      <c r="AT394" s="964"/>
      <c r="AU394" s="964"/>
      <c r="AV394" s="964"/>
    </row>
    <row r="395" spans="2:48" ht="33.75" x14ac:dyDescent="0.25">
      <c r="C395" s="437">
        <v>217</v>
      </c>
      <c r="D395" s="437" t="str">
        <f t="shared" si="78"/>
        <v>2016217</v>
      </c>
      <c r="E395" s="866" t="s">
        <v>2449</v>
      </c>
      <c r="F395" s="280" t="s">
        <v>1857</v>
      </c>
      <c r="G395" s="903">
        <v>860025639</v>
      </c>
      <c r="H395" s="1001" t="s">
        <v>2450</v>
      </c>
      <c r="I395" s="908">
        <v>14640000</v>
      </c>
      <c r="J395" s="713" t="s">
        <v>2449</v>
      </c>
      <c r="K395" s="295">
        <v>2016</v>
      </c>
      <c r="L395" s="546">
        <v>42496</v>
      </c>
      <c r="M395" s="296">
        <v>42514</v>
      </c>
      <c r="N395" s="296">
        <v>42818</v>
      </c>
      <c r="O395" s="127">
        <f>COUNTA(Modificaciones!I395,Modificaciones!K395,Modificaciones!M395,Modificaciones!O395)</f>
        <v>0</v>
      </c>
      <c r="P395" s="128">
        <f>VLOOKUP(E395,Modificaciones!$B$7:$Q$400,16,0)</f>
        <v>0</v>
      </c>
      <c r="Q395" s="129">
        <f>COUNTA(Modificaciones!S395,Modificaciones!U395,Modificaciones!W395,Modificaciones!Y395)</f>
        <v>0</v>
      </c>
      <c r="R395" s="130" t="str">
        <f>IF(Modificaciones!Z395=0,"",VLOOKUP(E395,Modificaciones!$B$7:$AA$400,25,0))</f>
        <v/>
      </c>
      <c r="S395" s="131" t="str">
        <f>IF(Modificaciones!AA395=0,"",VLOOKUP(E395,Modificaciones!$B$7:$AA$400,26,0))</f>
        <v/>
      </c>
      <c r="T395" s="126">
        <f t="shared" si="80"/>
        <v>42818</v>
      </c>
      <c r="U395" s="62">
        <f t="shared" si="81"/>
        <v>14640000</v>
      </c>
      <c r="V395" s="172">
        <f>VLOOKUP(E395,Modificaciones!$B$7:$AU$400,46,0)</f>
        <v>13931660</v>
      </c>
      <c r="W395" s="93">
        <f t="shared" si="77"/>
        <v>708340</v>
      </c>
      <c r="X395" s="309" t="s">
        <v>2994</v>
      </c>
      <c r="Y395" s="42">
        <f t="shared" si="82"/>
        <v>0.95161612021857922</v>
      </c>
      <c r="Z395" s="42">
        <f t="shared" ca="1" si="83"/>
        <v>1</v>
      </c>
      <c r="AA395" s="43">
        <f t="shared" ca="1" si="84"/>
        <v>4.838387978142078E-2</v>
      </c>
      <c r="AB395" s="202" t="str">
        <f t="shared" ca="1" si="85"/>
        <v/>
      </c>
      <c r="AC395" s="44" t="str">
        <f t="shared" si="79"/>
        <v>NO</v>
      </c>
      <c r="AD395" s="760" t="s">
        <v>1710</v>
      </c>
      <c r="AE395" s="173" t="s">
        <v>1256</v>
      </c>
      <c r="AF395" s="281" t="s">
        <v>1170</v>
      </c>
      <c r="AG395" s="173" t="s">
        <v>1442</v>
      </c>
      <c r="AH395" s="281" t="s">
        <v>560</v>
      </c>
      <c r="AI395" s="305"/>
      <c r="AJ395" s="305" t="s">
        <v>600</v>
      </c>
      <c r="AK395" s="181" t="str">
        <f t="shared" ca="1" si="86"/>
        <v>TERMINO</v>
      </c>
      <c r="AL395" s="181" t="s">
        <v>582</v>
      </c>
      <c r="AM395" s="176" t="s">
        <v>390</v>
      </c>
      <c r="AN395" s="848" t="str">
        <f>IFERROR(VLOOKUP(E395,'liquidaciones '!$B$2:$C$1048576,2,0),"NO")</f>
        <v>LIQUIDADO</v>
      </c>
      <c r="AO395" s="944" t="str">
        <f>IFERROR(VLOOKUP(E395,'liquidaciones '!$B$2:$I$1048576,8,0),"")</f>
        <v>JULIETH ANGARITA</v>
      </c>
      <c r="AP395" s="338"/>
      <c r="AQ395" s="177" t="str">
        <f t="shared" ca="1" si="76"/>
        <v>SI</v>
      </c>
      <c r="AR395" s="177" t="s">
        <v>1510</v>
      </c>
      <c r="AS395" s="433"/>
      <c r="AT395" s="964"/>
      <c r="AU395" s="964"/>
      <c r="AV395" s="964"/>
    </row>
    <row r="396" spans="2:48" ht="33.75" x14ac:dyDescent="0.25">
      <c r="C396" s="437">
        <v>126</v>
      </c>
      <c r="D396" s="437" t="str">
        <f t="shared" si="78"/>
        <v>2016126</v>
      </c>
      <c r="E396" s="866" t="s">
        <v>2451</v>
      </c>
      <c r="F396" s="864" t="s">
        <v>2452</v>
      </c>
      <c r="G396" s="903">
        <v>41758887</v>
      </c>
      <c r="H396" s="1001" t="s">
        <v>2453</v>
      </c>
      <c r="I396" s="908">
        <v>44000000</v>
      </c>
      <c r="J396" s="713" t="s">
        <v>2451</v>
      </c>
      <c r="K396" s="295">
        <v>2016</v>
      </c>
      <c r="L396" s="546">
        <v>42506</v>
      </c>
      <c r="M396" s="296">
        <v>42510</v>
      </c>
      <c r="N396" s="296">
        <v>42755</v>
      </c>
      <c r="O396" s="127">
        <f>COUNTA(Modificaciones!I396,Modificaciones!K396,Modificaciones!M396,Modificaciones!O396)</f>
        <v>0</v>
      </c>
      <c r="P396" s="128">
        <f>VLOOKUP(E396,Modificaciones!$B$7:$Q$400,16,0)</f>
        <v>0</v>
      </c>
      <c r="Q396" s="129">
        <f>COUNTA(Modificaciones!S396,Modificaciones!U396,Modificaciones!W396,Modificaciones!Y396)</f>
        <v>0</v>
      </c>
      <c r="R396" s="130" t="str">
        <f>IF(Modificaciones!Z396=0,"",VLOOKUP(E396,Modificaciones!$B$7:$AA$400,25,0))</f>
        <v/>
      </c>
      <c r="S396" s="131" t="str">
        <f>IF(Modificaciones!AA396=0,"",VLOOKUP(E396,Modificaciones!$B$7:$AA$400,26,0))</f>
        <v/>
      </c>
      <c r="T396" s="126">
        <f t="shared" si="80"/>
        <v>42755</v>
      </c>
      <c r="U396" s="62">
        <f t="shared" si="81"/>
        <v>44000000</v>
      </c>
      <c r="V396" s="172">
        <f>VLOOKUP(E396,Modificaciones!$B$7:$AU$400,46,0)</f>
        <v>44000000</v>
      </c>
      <c r="W396" s="93">
        <f t="shared" si="77"/>
        <v>0</v>
      </c>
      <c r="X396" s="309" t="s">
        <v>1095</v>
      </c>
      <c r="Y396" s="42">
        <f t="shared" si="82"/>
        <v>1</v>
      </c>
      <c r="Z396" s="42">
        <f t="shared" ca="1" si="83"/>
        <v>1</v>
      </c>
      <c r="AA396" s="43">
        <f t="shared" ca="1" si="84"/>
        <v>0</v>
      </c>
      <c r="AB396" s="202" t="str">
        <f t="shared" ca="1" si="85"/>
        <v/>
      </c>
      <c r="AC396" s="44" t="str">
        <f t="shared" si="79"/>
        <v>SI</v>
      </c>
      <c r="AD396" s="760" t="s">
        <v>2898</v>
      </c>
      <c r="AE396" s="173" t="s">
        <v>1256</v>
      </c>
      <c r="AF396" s="281" t="s">
        <v>2057</v>
      </c>
      <c r="AG396" s="173" t="s">
        <v>1177</v>
      </c>
      <c r="AH396" s="281" t="s">
        <v>559</v>
      </c>
      <c r="AI396" s="305" t="s">
        <v>2168</v>
      </c>
      <c r="AJ396" s="305" t="s">
        <v>600</v>
      </c>
      <c r="AK396" s="181" t="str">
        <f t="shared" ca="1" si="86"/>
        <v>TERMINO</v>
      </c>
      <c r="AL396" s="310" t="s">
        <v>582</v>
      </c>
      <c r="AM396" s="176" t="s">
        <v>391</v>
      </c>
      <c r="AN396" s="848" t="str">
        <f>IFERROR(VLOOKUP(E396,'liquidaciones '!$B$2:$C$1048576,2,0),"NO")</f>
        <v>LIQUIDADO</v>
      </c>
      <c r="AO396" s="944" t="str">
        <f>IFERROR(VLOOKUP(E396,'liquidaciones '!$B$2:$I$1048576,8,0),"")</f>
        <v>JAVIER QUINTERO</v>
      </c>
      <c r="AP396" s="338"/>
      <c r="AQ396" s="177" t="str">
        <f t="shared" ca="1" si="76"/>
        <v>SI</v>
      </c>
      <c r="AR396" s="177" t="s">
        <v>2601</v>
      </c>
      <c r="AS396" s="433"/>
      <c r="AT396" s="964"/>
      <c r="AU396" s="964"/>
      <c r="AV396" s="964"/>
    </row>
    <row r="397" spans="2:48" ht="30" x14ac:dyDescent="0.25">
      <c r="C397" s="437">
        <v>210</v>
      </c>
      <c r="D397" s="437" t="str">
        <f t="shared" si="78"/>
        <v>2016210</v>
      </c>
      <c r="E397" s="866" t="s">
        <v>2457</v>
      </c>
      <c r="F397" s="280" t="s">
        <v>284</v>
      </c>
      <c r="G397" s="903">
        <v>830055842</v>
      </c>
      <c r="H397" s="1001" t="s">
        <v>3013</v>
      </c>
      <c r="I397" s="908">
        <v>33009000</v>
      </c>
      <c r="J397" s="713" t="s">
        <v>2653</v>
      </c>
      <c r="K397" s="295">
        <v>2016</v>
      </c>
      <c r="L397" s="546">
        <v>42508</v>
      </c>
      <c r="M397" s="296">
        <v>42513</v>
      </c>
      <c r="N397" s="296">
        <v>42878</v>
      </c>
      <c r="O397" s="127">
        <f>COUNTA(Modificaciones!I397,Modificaciones!K397,Modificaciones!M397,Modificaciones!O397)</f>
        <v>0</v>
      </c>
      <c r="P397" s="128">
        <f>VLOOKUP(E397,Modificaciones!$B$7:$Q$400,16,0)</f>
        <v>0</v>
      </c>
      <c r="Q397" s="129">
        <f>COUNTA(Modificaciones!S397,Modificaciones!U397,Modificaciones!W397,Modificaciones!Y397)</f>
        <v>1</v>
      </c>
      <c r="R397" s="130" t="str">
        <f>IF(Modificaciones!Z397=0,"",VLOOKUP(E397,Modificaciones!$B$7:$AA$400,25,0))</f>
        <v>20 días calendario</v>
      </c>
      <c r="S397" s="131">
        <f>IF(Modificaciones!AA397=0,"",VLOOKUP(E397,Modificaciones!$B$7:$AA$400,26,0))</f>
        <v>42898</v>
      </c>
      <c r="T397" s="126">
        <f t="shared" si="80"/>
        <v>42898</v>
      </c>
      <c r="U397" s="62">
        <f t="shared" si="81"/>
        <v>33009000</v>
      </c>
      <c r="V397" s="172">
        <f>VLOOKUP(E397,Modificaciones!$B$7:$AU$400,46,0)</f>
        <v>31960796</v>
      </c>
      <c r="W397" s="93">
        <f t="shared" si="77"/>
        <v>1048204</v>
      </c>
      <c r="X397" s="309" t="s">
        <v>1865</v>
      </c>
      <c r="Y397" s="42">
        <f t="shared" si="82"/>
        <v>0.96824490290526821</v>
      </c>
      <c r="Z397" s="42">
        <f t="shared" ca="1" si="83"/>
        <v>1</v>
      </c>
      <c r="AA397" s="43">
        <f t="shared" ca="1" si="84"/>
        <v>3.1755097094731788E-2</v>
      </c>
      <c r="AB397" s="202" t="str">
        <f t="shared" ca="1" si="85"/>
        <v/>
      </c>
      <c r="AC397" s="44" t="str">
        <f t="shared" si="79"/>
        <v>NO</v>
      </c>
      <c r="AD397" s="760" t="s">
        <v>1710</v>
      </c>
      <c r="AE397" s="173" t="s">
        <v>1256</v>
      </c>
      <c r="AF397" s="281" t="s">
        <v>1137</v>
      </c>
      <c r="AG397" s="173" t="s">
        <v>1436</v>
      </c>
      <c r="AH397" s="281" t="s">
        <v>562</v>
      </c>
      <c r="AI397" s="174" t="s">
        <v>1385</v>
      </c>
      <c r="AJ397" s="305" t="s">
        <v>600</v>
      </c>
      <c r="AK397" s="181" t="str">
        <f t="shared" ca="1" si="86"/>
        <v>TERMINO</v>
      </c>
      <c r="AL397" s="310" t="s">
        <v>575</v>
      </c>
      <c r="AM397" s="176" t="s">
        <v>390</v>
      </c>
      <c r="AN397" s="848" t="str">
        <f>IFERROR(VLOOKUP(E397,'liquidaciones '!$B$2:$C$1048576,2,0),"NO")</f>
        <v>LIQUIDADO</v>
      </c>
      <c r="AO397" s="944" t="str">
        <f>IFERROR(VLOOKUP(E397,'liquidaciones '!$B$2:$I$1048576,8,0),"")</f>
        <v>MANUEL ROJAS</v>
      </c>
      <c r="AP397" s="338"/>
      <c r="AQ397" s="177" t="str">
        <f t="shared" ca="1" si="76"/>
        <v>SI</v>
      </c>
      <c r="AR397" s="177" t="s">
        <v>2965</v>
      </c>
      <c r="AS397" s="433"/>
      <c r="AT397" s="964"/>
      <c r="AU397" s="964"/>
      <c r="AV397" s="964"/>
    </row>
    <row r="398" spans="2:48" ht="45" x14ac:dyDescent="0.25">
      <c r="C398" s="437">
        <v>82</v>
      </c>
      <c r="D398" s="437" t="str">
        <f t="shared" si="78"/>
        <v>201682</v>
      </c>
      <c r="E398" s="866" t="s">
        <v>2459</v>
      </c>
      <c r="F398" s="280" t="s">
        <v>1515</v>
      </c>
      <c r="G398" s="903">
        <v>80117116</v>
      </c>
      <c r="H398" s="1001" t="s">
        <v>3014</v>
      </c>
      <c r="I398" s="908">
        <v>37080000</v>
      </c>
      <c r="J398" s="713" t="s">
        <v>2459</v>
      </c>
      <c r="K398" s="295">
        <v>2016</v>
      </c>
      <c r="L398" s="546">
        <v>42514</v>
      </c>
      <c r="M398" s="296">
        <v>42522</v>
      </c>
      <c r="N398" s="296">
        <v>42795</v>
      </c>
      <c r="O398" s="127">
        <f>COUNTA(Modificaciones!I398,Modificaciones!K398,Modificaciones!M398,Modificaciones!O398)</f>
        <v>0</v>
      </c>
      <c r="P398" s="128">
        <f>VLOOKUP(E398,Modificaciones!$B$7:$Q$400,16,0)</f>
        <v>0</v>
      </c>
      <c r="Q398" s="129">
        <f>COUNTA(Modificaciones!S398,Modificaciones!U398,Modificaciones!W398,Modificaciones!Y398)</f>
        <v>0</v>
      </c>
      <c r="R398" s="130" t="str">
        <f>IF(Modificaciones!Z398=0,"",VLOOKUP(E398,Modificaciones!$B$7:$AA$400,25,0))</f>
        <v/>
      </c>
      <c r="S398" s="131" t="str">
        <f>IF(Modificaciones!AA398=0,"",VLOOKUP(E398,Modificaciones!$B$7:$AA$400,26,0))</f>
        <v/>
      </c>
      <c r="T398" s="126">
        <f t="shared" si="80"/>
        <v>42795</v>
      </c>
      <c r="U398" s="62">
        <f t="shared" si="81"/>
        <v>37080000</v>
      </c>
      <c r="V398" s="172">
        <f>VLOOKUP(E398,Modificaciones!$B$7:$AU$400,46,0)</f>
        <v>37080000</v>
      </c>
      <c r="W398" s="93">
        <f t="shared" si="77"/>
        <v>0</v>
      </c>
      <c r="X398" s="309" t="s">
        <v>1095</v>
      </c>
      <c r="Y398" s="42">
        <f t="shared" si="82"/>
        <v>1</v>
      </c>
      <c r="Z398" s="42">
        <f t="shared" ca="1" si="83"/>
        <v>1</v>
      </c>
      <c r="AA398" s="43">
        <f t="shared" ca="1" si="84"/>
        <v>0</v>
      </c>
      <c r="AB398" s="202" t="str">
        <f t="shared" ca="1" si="85"/>
        <v/>
      </c>
      <c r="AC398" s="44" t="str">
        <f t="shared" si="79"/>
        <v>SI</v>
      </c>
      <c r="AD398" s="760" t="s">
        <v>2898</v>
      </c>
      <c r="AE398" s="173" t="s">
        <v>1256</v>
      </c>
      <c r="AF398" s="173" t="s">
        <v>2173</v>
      </c>
      <c r="AG398" s="173" t="s">
        <v>1430</v>
      </c>
      <c r="AH398" s="281" t="s">
        <v>564</v>
      </c>
      <c r="AI398" s="305"/>
      <c r="AJ398" s="305" t="s">
        <v>600</v>
      </c>
      <c r="AK398" s="181" t="str">
        <f t="shared" ca="1" si="86"/>
        <v>TERMINO</v>
      </c>
      <c r="AL398" s="181" t="s">
        <v>582</v>
      </c>
      <c r="AM398" s="176" t="s">
        <v>391</v>
      </c>
      <c r="AN398" s="848" t="str">
        <f>IFERROR(VLOOKUP(E398,'liquidaciones '!$B$2:$C$1048576,2,0),"NO")</f>
        <v>LIQUIDADO</v>
      </c>
      <c r="AO398" s="944" t="str">
        <f>IFERROR(VLOOKUP(E398,'liquidaciones '!$B$2:$I$1048576,8,0),"")</f>
        <v>ANDREA CASAS</v>
      </c>
      <c r="AP398" s="338"/>
      <c r="AQ398" s="177" t="str">
        <f t="shared" ca="1" si="76"/>
        <v>SI</v>
      </c>
      <c r="AR398" s="177" t="s">
        <v>981</v>
      </c>
      <c r="AS398" s="433"/>
      <c r="AT398" s="964"/>
      <c r="AU398" s="964"/>
      <c r="AV398" s="964"/>
    </row>
    <row r="399" spans="2:48" ht="56.25" x14ac:dyDescent="0.25">
      <c r="C399" s="437"/>
      <c r="D399" s="437" t="str">
        <f t="shared" si="78"/>
        <v>2016</v>
      </c>
      <c r="E399" s="866" t="s">
        <v>2461</v>
      </c>
      <c r="F399" s="864" t="s">
        <v>2462</v>
      </c>
      <c r="G399" s="903">
        <v>52963023</v>
      </c>
      <c r="H399" s="1001" t="s">
        <v>2469</v>
      </c>
      <c r="I399" s="908">
        <v>43712000</v>
      </c>
      <c r="J399" s="713" t="s">
        <v>2464</v>
      </c>
      <c r="K399" s="295">
        <v>2016</v>
      </c>
      <c r="L399" s="546">
        <v>42521</v>
      </c>
      <c r="M399" s="296">
        <v>42523</v>
      </c>
      <c r="N399" s="296">
        <v>42768</v>
      </c>
      <c r="O399" s="127">
        <f>COUNTA(Modificaciones!I399,Modificaciones!K399,Modificaciones!M399,Modificaciones!O399)</f>
        <v>0</v>
      </c>
      <c r="P399" s="128">
        <f>VLOOKUP(E399,Modificaciones!$B$7:$Q$400,16,0)</f>
        <v>0</v>
      </c>
      <c r="Q399" s="129">
        <f>COUNTA(Modificaciones!S399,Modificaciones!U399,Modificaciones!W399,Modificaciones!Y399)</f>
        <v>0</v>
      </c>
      <c r="R399" s="130" t="str">
        <f>IF(Modificaciones!Z399=0,"",VLOOKUP(E399,Modificaciones!$B$7:$AA$500,25,0))</f>
        <v/>
      </c>
      <c r="S399" s="131" t="str">
        <f>IF(Modificaciones!AA399=0,"",VLOOKUP(E399,Modificaciones!$B$7:$AA$500,26,0))</f>
        <v/>
      </c>
      <c r="T399" s="126">
        <f t="shared" si="80"/>
        <v>42768</v>
      </c>
      <c r="U399" s="62">
        <f t="shared" si="81"/>
        <v>43712000</v>
      </c>
      <c r="V399" s="172">
        <f>VLOOKUP(E399,Modificaciones!$B$7:$AU$400,46,0)</f>
        <v>43712000</v>
      </c>
      <c r="W399" s="93">
        <f t="shared" si="77"/>
        <v>0</v>
      </c>
      <c r="X399" s="309" t="s">
        <v>1095</v>
      </c>
      <c r="Y399" s="42">
        <f t="shared" si="82"/>
        <v>1</v>
      </c>
      <c r="Z399" s="42">
        <f t="shared" ca="1" si="83"/>
        <v>1</v>
      </c>
      <c r="AA399" s="43">
        <f t="shared" ca="1" si="84"/>
        <v>0</v>
      </c>
      <c r="AB399" s="202" t="str">
        <f t="shared" ca="1" si="85"/>
        <v/>
      </c>
      <c r="AC399" s="44" t="str">
        <f t="shared" si="79"/>
        <v>SI</v>
      </c>
      <c r="AD399" s="760" t="s">
        <v>2898</v>
      </c>
      <c r="AE399" s="173" t="s">
        <v>1256</v>
      </c>
      <c r="AF399" s="281" t="s">
        <v>2463</v>
      </c>
      <c r="AG399" s="173" t="s">
        <v>1437</v>
      </c>
      <c r="AH399" s="281" t="s">
        <v>561</v>
      </c>
      <c r="AI399" s="305"/>
      <c r="AJ399" s="305" t="s">
        <v>600</v>
      </c>
      <c r="AK399" s="181" t="str">
        <f t="shared" ca="1" si="86"/>
        <v>TERMINO</v>
      </c>
      <c r="AL399" s="181" t="s">
        <v>582</v>
      </c>
      <c r="AM399" s="176" t="s">
        <v>391</v>
      </c>
      <c r="AN399" s="848" t="str">
        <f>IFERROR(VLOOKUP(E399,'liquidaciones '!$B$2:$C$1048576,2,0),"NO")</f>
        <v>LIQUIDADO</v>
      </c>
      <c r="AO399" s="944" t="str">
        <f>IFERROR(VLOOKUP(E399,'liquidaciones '!$B$2:$I$1048576,8,0),"")</f>
        <v>JAVIER QUINTERO</v>
      </c>
      <c r="AP399" s="338"/>
      <c r="AQ399" s="177" t="str">
        <f t="shared" ca="1" si="76"/>
        <v>SI</v>
      </c>
      <c r="AR399" s="177" t="s">
        <v>2601</v>
      </c>
      <c r="AS399" s="433"/>
      <c r="AT399" s="964"/>
      <c r="AU399" s="964"/>
      <c r="AV399" s="964"/>
    </row>
    <row r="400" spans="2:48" ht="33.75" x14ac:dyDescent="0.25">
      <c r="C400" s="437">
        <v>83</v>
      </c>
      <c r="D400" s="437" t="str">
        <f t="shared" si="78"/>
        <v>201683</v>
      </c>
      <c r="E400" s="866" t="s">
        <v>2465</v>
      </c>
      <c r="F400" s="280" t="s">
        <v>1034</v>
      </c>
      <c r="G400" s="903">
        <v>79887061</v>
      </c>
      <c r="H400" s="1001" t="s">
        <v>2466</v>
      </c>
      <c r="I400" s="908">
        <v>29664000</v>
      </c>
      <c r="J400" s="713" t="s">
        <v>2468</v>
      </c>
      <c r="K400" s="295">
        <v>2016</v>
      </c>
      <c r="L400" s="546">
        <v>42514</v>
      </c>
      <c r="M400" s="296">
        <v>42524</v>
      </c>
      <c r="N400" s="296">
        <v>42797</v>
      </c>
      <c r="O400" s="127">
        <f>COUNTA(Modificaciones!I400,Modificaciones!K400,Modificaciones!M400,Modificaciones!O400)</f>
        <v>0</v>
      </c>
      <c r="P400" s="128">
        <f>VLOOKUP(E400,Modificaciones!$B$7:$Q$401,16,0)</f>
        <v>0</v>
      </c>
      <c r="Q400" s="129">
        <f>COUNTA(Modificaciones!S400,Modificaciones!U400,Modificaciones!W400,Modificaciones!Y400)</f>
        <v>0</v>
      </c>
      <c r="R400" s="130" t="str">
        <f>IF(Modificaciones!Z400=0,"",VLOOKUP(E400,Modificaciones!$B$7:$AA$500,25,0))</f>
        <v/>
      </c>
      <c r="S400" s="131" t="str">
        <f>IF(Modificaciones!AA400=0,"",VLOOKUP(E400,Modificaciones!$B$7:$AA$500,26,0))</f>
        <v/>
      </c>
      <c r="T400" s="126">
        <f t="shared" si="80"/>
        <v>42797</v>
      </c>
      <c r="U400" s="62">
        <f t="shared" si="81"/>
        <v>29664000</v>
      </c>
      <c r="V400" s="172">
        <f>VLOOKUP(E400,Modificaciones!$B$7:$AU$400,46,0)</f>
        <v>29664000</v>
      </c>
      <c r="W400" s="93">
        <f t="shared" si="77"/>
        <v>0</v>
      </c>
      <c r="X400" s="309" t="s">
        <v>1095</v>
      </c>
      <c r="Y400" s="42">
        <f t="shared" si="82"/>
        <v>1</v>
      </c>
      <c r="Z400" s="42">
        <f t="shared" ca="1" si="83"/>
        <v>1</v>
      </c>
      <c r="AA400" s="43">
        <f t="shared" ca="1" si="84"/>
        <v>0</v>
      </c>
      <c r="AB400" s="202" t="str">
        <f t="shared" ca="1" si="85"/>
        <v/>
      </c>
      <c r="AC400" s="44" t="str">
        <f t="shared" si="79"/>
        <v>SI</v>
      </c>
      <c r="AD400" s="760" t="s">
        <v>2898</v>
      </c>
      <c r="AE400" s="173" t="s">
        <v>1256</v>
      </c>
      <c r="AF400" s="173" t="s">
        <v>2178</v>
      </c>
      <c r="AG400" s="173" t="s">
        <v>1439</v>
      </c>
      <c r="AH400" s="281" t="s">
        <v>560</v>
      </c>
      <c r="AI400" s="305" t="s">
        <v>1509</v>
      </c>
      <c r="AJ400" s="305" t="s">
        <v>600</v>
      </c>
      <c r="AK400" s="181" t="str">
        <f t="shared" ca="1" si="86"/>
        <v>TERMINO</v>
      </c>
      <c r="AL400" s="181" t="s">
        <v>582</v>
      </c>
      <c r="AM400" s="176" t="s">
        <v>391</v>
      </c>
      <c r="AN400" s="848" t="str">
        <f>IFERROR(VLOOKUP(E400,'liquidaciones '!$B$2:$C$1048576,2,0),"NO")</f>
        <v>LIQUIDADO</v>
      </c>
      <c r="AO400" s="944" t="str">
        <f>IFERROR(VLOOKUP(E400,'liquidaciones '!$B$2:$I$1048576,8,0),"")</f>
        <v>GIOVANNI SUAREZ</v>
      </c>
      <c r="AP400" s="338"/>
      <c r="AQ400" s="177" t="str">
        <f t="shared" ca="1" si="76"/>
        <v>SI</v>
      </c>
      <c r="AR400" s="177" t="s">
        <v>981</v>
      </c>
      <c r="AS400" s="433"/>
      <c r="AT400" s="964"/>
      <c r="AU400" s="964"/>
      <c r="AV400" s="964"/>
    </row>
    <row r="401" spans="3:48" ht="33.75" x14ac:dyDescent="0.25">
      <c r="C401" s="437"/>
      <c r="D401" s="437" t="str">
        <f t="shared" si="78"/>
        <v>2016</v>
      </c>
      <c r="E401" s="866" t="s">
        <v>2467</v>
      </c>
      <c r="F401" s="280" t="s">
        <v>290</v>
      </c>
      <c r="G401" s="903">
        <v>811021363</v>
      </c>
      <c r="H401" s="1001" t="s">
        <v>3015</v>
      </c>
      <c r="I401" s="908">
        <v>6239000</v>
      </c>
      <c r="J401" s="713" t="s">
        <v>2471</v>
      </c>
      <c r="K401" s="295">
        <v>2016</v>
      </c>
      <c r="L401" s="546">
        <v>42489</v>
      </c>
      <c r="M401" s="296">
        <v>42508</v>
      </c>
      <c r="N401" s="296">
        <v>42569</v>
      </c>
      <c r="O401" s="127">
        <f>COUNTA(Modificaciones!I401,Modificaciones!K401,Modificaciones!M401,Modificaciones!O401)</f>
        <v>0</v>
      </c>
      <c r="P401" s="128">
        <f>VLOOKUP(E401,Modificaciones!$B$7:$Q$401,16,0)</f>
        <v>0</v>
      </c>
      <c r="Q401" s="129">
        <f>COUNTA(Modificaciones!S401,Modificaciones!U401,Modificaciones!W401,Modificaciones!Y401)</f>
        <v>0</v>
      </c>
      <c r="R401" s="130" t="str">
        <f>IF(Modificaciones!Z401=0,"",VLOOKUP(E401,Modificaciones!$B$7:$AA$500,25,0))</f>
        <v/>
      </c>
      <c r="S401" s="131" t="str">
        <f>IF(Modificaciones!AA401=0,"",VLOOKUP(E401,Modificaciones!$B$7:$AA$500,26,0))</f>
        <v/>
      </c>
      <c r="T401" s="126">
        <f t="shared" si="80"/>
        <v>42569</v>
      </c>
      <c r="U401" s="62">
        <f t="shared" si="81"/>
        <v>6239000</v>
      </c>
      <c r="V401" s="172">
        <f>VLOOKUP(E401,Modificaciones!$B$7:$AU$401,46,0)</f>
        <v>6238990</v>
      </c>
      <c r="W401" s="93">
        <f t="shared" si="77"/>
        <v>10</v>
      </c>
      <c r="X401" s="309" t="s">
        <v>1820</v>
      </c>
      <c r="Y401" s="42">
        <f t="shared" si="82"/>
        <v>0.99999839717903505</v>
      </c>
      <c r="Z401" s="42">
        <f t="shared" ca="1" si="83"/>
        <v>1</v>
      </c>
      <c r="AA401" s="43">
        <f t="shared" ca="1" si="84"/>
        <v>1.602820964952123E-6</v>
      </c>
      <c r="AB401" s="202" t="str">
        <f t="shared" ca="1" si="85"/>
        <v/>
      </c>
      <c r="AC401" s="44" t="s">
        <v>390</v>
      </c>
      <c r="AD401" s="760" t="s">
        <v>1712</v>
      </c>
      <c r="AE401" s="173" t="s">
        <v>1257</v>
      </c>
      <c r="AF401" s="281" t="s">
        <v>1311</v>
      </c>
      <c r="AG401" s="173" t="s">
        <v>1439</v>
      </c>
      <c r="AH401" s="281" t="s">
        <v>560</v>
      </c>
      <c r="AI401" s="305" t="s">
        <v>1509</v>
      </c>
      <c r="AJ401" s="305" t="s">
        <v>600</v>
      </c>
      <c r="AK401" s="181" t="str">
        <f t="shared" ca="1" si="86"/>
        <v>TERMINO</v>
      </c>
      <c r="AL401" s="310" t="s">
        <v>576</v>
      </c>
      <c r="AM401" s="176" t="s">
        <v>391</v>
      </c>
      <c r="AN401" s="848" t="str">
        <f>IFERROR(VLOOKUP(E401,'liquidaciones '!$B$2:$C$1048576,2,0),"NO")</f>
        <v>LIQUIDADO</v>
      </c>
      <c r="AO401" s="944">
        <f>IFERROR(VLOOKUP(E401,'liquidaciones '!$B$2:$I$1048576,8,0),"")</f>
        <v>0</v>
      </c>
      <c r="AP401" s="338"/>
      <c r="AQ401" s="177" t="str">
        <f t="shared" ca="1" si="76"/>
        <v>NO</v>
      </c>
      <c r="AR401" s="177" t="s">
        <v>2605</v>
      </c>
      <c r="AS401" s="433"/>
      <c r="AT401" s="964"/>
      <c r="AU401" s="964"/>
      <c r="AV401" s="964"/>
    </row>
    <row r="402" spans="3:48" ht="33.75" x14ac:dyDescent="0.25">
      <c r="C402" s="437">
        <v>143</v>
      </c>
      <c r="D402" s="437" t="str">
        <f t="shared" si="78"/>
        <v>2016143</v>
      </c>
      <c r="E402" s="306" t="s">
        <v>2470</v>
      </c>
      <c r="F402" s="280" t="s">
        <v>1870</v>
      </c>
      <c r="G402" s="903">
        <v>900587953</v>
      </c>
      <c r="H402" s="1001" t="s">
        <v>3016</v>
      </c>
      <c r="I402" s="908">
        <v>2060000</v>
      </c>
      <c r="J402" s="713" t="s">
        <v>2472</v>
      </c>
      <c r="K402" s="295">
        <v>2016</v>
      </c>
      <c r="L402" s="546">
        <v>42528</v>
      </c>
      <c r="M402" s="296">
        <v>42541</v>
      </c>
      <c r="N402" s="296">
        <v>42786</v>
      </c>
      <c r="O402" s="127">
        <f>COUNTA(Modificaciones!I402,Modificaciones!K402,Modificaciones!M402,Modificaciones!O402)</f>
        <v>0</v>
      </c>
      <c r="P402" s="128">
        <f>VLOOKUP(E402,Modificaciones!$B$7:$Q$402,16,0)</f>
        <v>0</v>
      </c>
      <c r="Q402" s="129">
        <f>COUNTA(Modificaciones!S402,Modificaciones!U402,Modificaciones!W402,Modificaciones!Y402)</f>
        <v>1</v>
      </c>
      <c r="R402" s="130" t="str">
        <f>IF(Modificaciones!Z402=0,"",VLOOKUP(E402,Modificaciones!$B$7:$AA$500,25,0))</f>
        <v>2 meses</v>
      </c>
      <c r="S402" s="131">
        <f>IF(Modificaciones!AA402=0,"",VLOOKUP(E402,Modificaciones!$B$7:$AA$500,26,0))</f>
        <v>42845</v>
      </c>
      <c r="T402" s="126">
        <f t="shared" si="80"/>
        <v>42845</v>
      </c>
      <c r="U402" s="62">
        <f t="shared" si="81"/>
        <v>2060000</v>
      </c>
      <c r="V402" s="172">
        <f>VLOOKUP(E402,Modificaciones!$B$7:$AU$402,46,0)</f>
        <v>1783200</v>
      </c>
      <c r="W402" s="93">
        <f t="shared" si="77"/>
        <v>276800</v>
      </c>
      <c r="X402" s="309" t="s">
        <v>1613</v>
      </c>
      <c r="Y402" s="42">
        <f t="shared" si="82"/>
        <v>0.86563106796116507</v>
      </c>
      <c r="Z402" s="42">
        <f t="shared" ca="1" si="83"/>
        <v>1</v>
      </c>
      <c r="AA402" s="43">
        <f t="shared" ca="1" si="84"/>
        <v>0.13436893203883493</v>
      </c>
      <c r="AB402" s="202" t="str">
        <f t="shared" ca="1" si="85"/>
        <v/>
      </c>
      <c r="AC402" s="44" t="str">
        <f t="shared" ref="AC402:AC433" si="87">IF(Y402&lt;=99.9%,"NO","SI")</f>
        <v>NO</v>
      </c>
      <c r="AD402" s="760" t="s">
        <v>1710</v>
      </c>
      <c r="AE402" s="173" t="s">
        <v>1256</v>
      </c>
      <c r="AF402" s="281" t="s">
        <v>1383</v>
      </c>
      <c r="AG402" s="173" t="s">
        <v>1442</v>
      </c>
      <c r="AH402" s="281" t="s">
        <v>560</v>
      </c>
      <c r="AI402" s="174" t="s">
        <v>1380</v>
      </c>
      <c r="AJ402" s="305" t="s">
        <v>600</v>
      </c>
      <c r="AK402" s="181" t="str">
        <f t="shared" ca="1" si="86"/>
        <v>TERMINO</v>
      </c>
      <c r="AL402" s="181" t="s">
        <v>576</v>
      </c>
      <c r="AM402" s="176" t="s">
        <v>390</v>
      </c>
      <c r="AN402" s="848" t="str">
        <f>IFERROR(VLOOKUP(E402,'liquidaciones '!$B$2:$C$1048576,2,0),"NO")</f>
        <v>LIQUIDADO</v>
      </c>
      <c r="AO402" s="944" t="str">
        <f>IFERROR(VLOOKUP(E402,'liquidaciones '!$B$2:$I$1048576,8,0),"")</f>
        <v>JUAN DIEGO ESPITIA</v>
      </c>
      <c r="AP402" s="338"/>
      <c r="AQ402" s="177" t="s">
        <v>390</v>
      </c>
      <c r="AR402" s="177" t="s">
        <v>2978</v>
      </c>
      <c r="AS402" s="433"/>
      <c r="AT402" s="964"/>
      <c r="AU402" s="964"/>
      <c r="AV402" s="964"/>
    </row>
    <row r="403" spans="3:48" ht="45" x14ac:dyDescent="0.25">
      <c r="C403" s="437">
        <v>219</v>
      </c>
      <c r="D403" s="437" t="str">
        <f t="shared" si="78"/>
        <v>2016219</v>
      </c>
      <c r="E403" s="866" t="s">
        <v>2474</v>
      </c>
      <c r="F403" s="280" t="s">
        <v>1025</v>
      </c>
      <c r="G403" s="903">
        <v>80199707</v>
      </c>
      <c r="H403" s="1001" t="s">
        <v>3017</v>
      </c>
      <c r="I403" s="908">
        <v>19931000</v>
      </c>
      <c r="J403" s="713" t="s">
        <v>2473</v>
      </c>
      <c r="K403" s="295">
        <v>2016</v>
      </c>
      <c r="L403" s="546">
        <v>42517</v>
      </c>
      <c r="M403" s="296">
        <v>42529</v>
      </c>
      <c r="N403" s="296">
        <v>42774</v>
      </c>
      <c r="O403" s="127">
        <f>COUNTA(Modificaciones!I403,Modificaciones!K403,Modificaciones!M403,Modificaciones!O403)</f>
        <v>0</v>
      </c>
      <c r="P403" s="128">
        <f>VLOOKUP(E403,Modificaciones!$B$7:$Q$403,16,0)</f>
        <v>0</v>
      </c>
      <c r="Q403" s="129">
        <f>COUNTA(Modificaciones!S403,Modificaciones!U403,Modificaciones!W403,Modificaciones!Y403)</f>
        <v>1</v>
      </c>
      <c r="R403" s="130" t="str">
        <f>IF(Modificaciones!Z403=0,"",VLOOKUP(E403,Modificaciones!$B$7:$AA$500,25,0))</f>
        <v>2 meses</v>
      </c>
      <c r="S403" s="131">
        <f>IF(Modificaciones!AA403=0,"",VLOOKUP(E403,Modificaciones!$B$7:$AA$500,26,0))</f>
        <v>42833</v>
      </c>
      <c r="T403" s="126">
        <f t="shared" si="80"/>
        <v>42833</v>
      </c>
      <c r="U403" s="62">
        <f t="shared" si="81"/>
        <v>19931000</v>
      </c>
      <c r="V403" s="172">
        <f>VLOOKUP(E403,Modificaciones!$B$7:$AU$403,46,0)</f>
        <v>19930801</v>
      </c>
      <c r="W403" s="93">
        <f t="shared" si="77"/>
        <v>199</v>
      </c>
      <c r="X403" s="309" t="s">
        <v>2994</v>
      </c>
      <c r="Y403" s="42">
        <f t="shared" si="82"/>
        <v>0.99999001555366007</v>
      </c>
      <c r="Z403" s="42">
        <f t="shared" ca="1" si="83"/>
        <v>1</v>
      </c>
      <c r="AA403" s="43">
        <f t="shared" ca="1" si="84"/>
        <v>9.9844463399278993E-6</v>
      </c>
      <c r="AB403" s="202" t="str">
        <f t="shared" ca="1" si="85"/>
        <v/>
      </c>
      <c r="AC403" s="44" t="str">
        <f t="shared" si="87"/>
        <v>SI</v>
      </c>
      <c r="AD403" s="760" t="s">
        <v>1710</v>
      </c>
      <c r="AE403" s="173" t="s">
        <v>1256</v>
      </c>
      <c r="AF403" s="281" t="s">
        <v>1298</v>
      </c>
      <c r="AG403" s="173" t="s">
        <v>1442</v>
      </c>
      <c r="AH403" s="281" t="s">
        <v>560</v>
      </c>
      <c r="AI403" s="174" t="s">
        <v>1380</v>
      </c>
      <c r="AJ403" s="305" t="s">
        <v>600</v>
      </c>
      <c r="AK403" s="181" t="str">
        <f t="shared" ca="1" si="86"/>
        <v>TERMINO</v>
      </c>
      <c r="AL403" s="181" t="s">
        <v>576</v>
      </c>
      <c r="AM403" s="176" t="s">
        <v>390</v>
      </c>
      <c r="AN403" s="848" t="str">
        <f>IFERROR(VLOOKUP(E403,'liquidaciones '!$B$2:$C$1048576,2,0),"NO")</f>
        <v>LIQUIDADO</v>
      </c>
      <c r="AO403" s="944" t="str">
        <f>IFERROR(VLOOKUP(E403,'liquidaciones '!$B$2:$I$1048576,8,0),"")</f>
        <v>MANUEL ROJAS</v>
      </c>
      <c r="AP403" s="338"/>
      <c r="AQ403" s="177" t="s">
        <v>390</v>
      </c>
      <c r="AR403" s="177" t="s">
        <v>981</v>
      </c>
      <c r="AS403" s="433"/>
      <c r="AT403" s="964"/>
      <c r="AU403" s="964"/>
      <c r="AV403" s="964"/>
    </row>
    <row r="404" spans="3:48" ht="78.75" x14ac:dyDescent="0.25">
      <c r="C404" s="437">
        <v>227</v>
      </c>
      <c r="D404" s="437" t="str">
        <f t="shared" si="78"/>
        <v>2016227</v>
      </c>
      <c r="E404" s="866" t="s">
        <v>2505</v>
      </c>
      <c r="F404" s="280" t="s">
        <v>2008</v>
      </c>
      <c r="G404" s="903" t="s">
        <v>2476</v>
      </c>
      <c r="H404" s="1001" t="s">
        <v>3018</v>
      </c>
      <c r="I404" s="908">
        <v>108906000</v>
      </c>
      <c r="J404" s="713" t="s">
        <v>2475</v>
      </c>
      <c r="K404" s="295">
        <v>2016</v>
      </c>
      <c r="L404" s="546">
        <v>42523</v>
      </c>
      <c r="M404" s="296">
        <v>42531</v>
      </c>
      <c r="N404" s="296">
        <v>42835</v>
      </c>
      <c r="O404" s="127">
        <f>COUNTA(Modificaciones!I404,Modificaciones!K404,Modificaciones!M404,Modificaciones!O404)</f>
        <v>1</v>
      </c>
      <c r="P404" s="128">
        <f>VLOOKUP(E404,Modificaciones!$B$7:$Q$404,16,0)</f>
        <v>40000000</v>
      </c>
      <c r="Q404" s="129">
        <f>COUNTA(Modificaciones!S404,Modificaciones!U404,Modificaciones!W404,Modificaciones!Y404)</f>
        <v>2</v>
      </c>
      <c r="R404" s="130" t="str">
        <f>IF(Modificaciones!Z404=0,"",VLOOKUP(E404,Modificaciones!$B$7:$AA$500,25,0))</f>
        <v>1 mes y 2 días calendario</v>
      </c>
      <c r="S404" s="131">
        <f>IF(Modificaciones!AA404=0,"",VLOOKUP(E404,Modificaciones!$B$7:$AA$500,26,0))</f>
        <v>42867</v>
      </c>
      <c r="T404" s="126">
        <f t="shared" si="80"/>
        <v>42867</v>
      </c>
      <c r="U404" s="62">
        <f t="shared" si="81"/>
        <v>148906000</v>
      </c>
      <c r="V404" s="172">
        <f>VLOOKUP(E404,Modificaciones!$B$7:$AU$404,46,0)</f>
        <v>148886910</v>
      </c>
      <c r="W404" s="93">
        <f t="shared" si="77"/>
        <v>19090</v>
      </c>
      <c r="X404" s="309" t="s">
        <v>2011</v>
      </c>
      <c r="Y404" s="42">
        <f t="shared" si="82"/>
        <v>0.99987179831571593</v>
      </c>
      <c r="Z404" s="42">
        <f t="shared" ca="1" si="83"/>
        <v>1</v>
      </c>
      <c r="AA404" s="43">
        <f t="shared" ca="1" si="84"/>
        <v>1.2820168428406831E-4</v>
      </c>
      <c r="AB404" s="202" t="str">
        <f t="shared" ca="1" si="85"/>
        <v/>
      </c>
      <c r="AC404" s="44" t="str">
        <f t="shared" si="87"/>
        <v>SI</v>
      </c>
      <c r="AD404" s="760" t="s">
        <v>1710</v>
      </c>
      <c r="AE404" s="173" t="s">
        <v>1256</v>
      </c>
      <c r="AF404" s="281" t="s">
        <v>1301</v>
      </c>
      <c r="AG404" s="173" t="s">
        <v>1435</v>
      </c>
      <c r="AH404" s="281" t="s">
        <v>560</v>
      </c>
      <c r="AI404" s="174" t="s">
        <v>1386</v>
      </c>
      <c r="AJ404" s="305" t="s">
        <v>600</v>
      </c>
      <c r="AK404" s="181" t="str">
        <f t="shared" ca="1" si="86"/>
        <v>TERMINO</v>
      </c>
      <c r="AL404" s="310" t="s">
        <v>574</v>
      </c>
      <c r="AM404" s="176" t="s">
        <v>390</v>
      </c>
      <c r="AN404" s="848" t="str">
        <f>IFERROR(VLOOKUP(E404,'liquidaciones '!$B$2:$C$1048576,2,0),"NO")</f>
        <v>LIQUIDADO</v>
      </c>
      <c r="AO404" s="944" t="str">
        <f>IFERROR(VLOOKUP(E404,'liquidaciones '!$B$2:$I$1048576,8,0),"")</f>
        <v>JULIETH ANGARITA</v>
      </c>
      <c r="AP404" s="338"/>
      <c r="AQ404" s="177" t="s">
        <v>390</v>
      </c>
      <c r="AR404" s="177" t="s">
        <v>981</v>
      </c>
      <c r="AS404" s="433"/>
      <c r="AT404" s="964"/>
      <c r="AU404" s="964"/>
      <c r="AV404" s="964"/>
    </row>
    <row r="405" spans="3:48" ht="45" x14ac:dyDescent="0.25">
      <c r="C405" s="437">
        <v>131</v>
      </c>
      <c r="D405" s="437" t="str">
        <f t="shared" si="78"/>
        <v>2016131</v>
      </c>
      <c r="E405" s="306" t="s">
        <v>2477</v>
      </c>
      <c r="F405" s="280" t="s">
        <v>1985</v>
      </c>
      <c r="G405" s="903">
        <v>1016042559</v>
      </c>
      <c r="H405" s="1001" t="s">
        <v>3019</v>
      </c>
      <c r="I405" s="908">
        <v>14400000</v>
      </c>
      <c r="J405" s="713" t="s">
        <v>2477</v>
      </c>
      <c r="K405" s="295">
        <v>2016</v>
      </c>
      <c r="L405" s="546">
        <v>42531</v>
      </c>
      <c r="M405" s="296">
        <v>42535</v>
      </c>
      <c r="N405" s="296">
        <v>42780</v>
      </c>
      <c r="O405" s="127">
        <f>COUNTA(Modificaciones!I405,Modificaciones!K405,Modificaciones!M405,Modificaciones!O405)</f>
        <v>0</v>
      </c>
      <c r="P405" s="128">
        <f>VLOOKUP(E405,Modificaciones!$B$7:$Q$405,16,0)</f>
        <v>0</v>
      </c>
      <c r="Q405" s="129">
        <f>COUNTA(Modificaciones!S405,Modificaciones!U405,Modificaciones!W405,Modificaciones!Y405)</f>
        <v>0</v>
      </c>
      <c r="R405" s="130" t="str">
        <f>IF(Modificaciones!Z405=0,"",VLOOKUP(E405,Modificaciones!$B$7:$AA$500,25,0))</f>
        <v/>
      </c>
      <c r="S405" s="131" t="str">
        <f>IF(Modificaciones!AA405=0,"",VLOOKUP(E405,Modificaciones!$B$7:$AA$500,26,0))</f>
        <v/>
      </c>
      <c r="T405" s="126">
        <f t="shared" si="80"/>
        <v>42780</v>
      </c>
      <c r="U405" s="62">
        <f t="shared" si="81"/>
        <v>14400000</v>
      </c>
      <c r="V405" s="172">
        <f>VLOOKUP(E405,Modificaciones!$B$7:$AU$405,46,0)</f>
        <v>14400000</v>
      </c>
      <c r="W405" s="93">
        <f t="shared" si="77"/>
        <v>0</v>
      </c>
      <c r="X405" s="309" t="s">
        <v>1095</v>
      </c>
      <c r="Y405" s="852">
        <f t="shared" si="82"/>
        <v>1</v>
      </c>
      <c r="Z405" s="42">
        <f t="shared" ca="1" si="83"/>
        <v>1</v>
      </c>
      <c r="AA405" s="43">
        <f t="shared" ca="1" si="84"/>
        <v>0</v>
      </c>
      <c r="AB405" s="202" t="str">
        <f t="shared" ca="1" si="85"/>
        <v/>
      </c>
      <c r="AC405" s="44" t="str">
        <f t="shared" si="87"/>
        <v>SI</v>
      </c>
      <c r="AD405" s="760" t="s">
        <v>2898</v>
      </c>
      <c r="AE405" s="173" t="s">
        <v>1256</v>
      </c>
      <c r="AF405" s="281" t="s">
        <v>2061</v>
      </c>
      <c r="AG405" s="173" t="s">
        <v>1177</v>
      </c>
      <c r="AH405" s="281" t="s">
        <v>559</v>
      </c>
      <c r="AI405" s="305" t="s">
        <v>2168</v>
      </c>
      <c r="AJ405" s="305" t="s">
        <v>600</v>
      </c>
      <c r="AK405" s="181" t="str">
        <f t="shared" ca="1" si="86"/>
        <v>TERMINO</v>
      </c>
      <c r="AL405" s="310" t="s">
        <v>582</v>
      </c>
      <c r="AM405" s="176" t="s">
        <v>391</v>
      </c>
      <c r="AN405" s="848" t="str">
        <f>IFERROR(VLOOKUP(E405,'liquidaciones '!$B$2:$C$1048576,2,0),"NO")</f>
        <v>LIQUIDADO</v>
      </c>
      <c r="AO405" s="944" t="str">
        <f>IFERROR(VLOOKUP(E405,'liquidaciones '!$B$2:$I$1048576,8,0),"")</f>
        <v>EDWARD MORENO</v>
      </c>
      <c r="AP405" s="338"/>
      <c r="AQ405" s="177" t="s">
        <v>390</v>
      </c>
      <c r="AR405" s="177" t="s">
        <v>1510</v>
      </c>
      <c r="AS405" s="433"/>
      <c r="AT405" s="964"/>
      <c r="AU405" s="964"/>
      <c r="AV405" s="964"/>
    </row>
    <row r="406" spans="3:48" ht="45" x14ac:dyDescent="0.25">
      <c r="C406" s="437">
        <v>121</v>
      </c>
      <c r="D406" s="437" t="str">
        <f t="shared" si="78"/>
        <v>2016121</v>
      </c>
      <c r="E406" s="866" t="s">
        <v>2478</v>
      </c>
      <c r="F406" s="280" t="s">
        <v>2479</v>
      </c>
      <c r="G406" s="903">
        <v>52935693</v>
      </c>
      <c r="H406" s="1001" t="s">
        <v>3020</v>
      </c>
      <c r="I406" s="908">
        <v>44000000</v>
      </c>
      <c r="J406" s="713" t="s">
        <v>2478</v>
      </c>
      <c r="K406" s="295">
        <v>2016</v>
      </c>
      <c r="L406" s="546">
        <v>42534</v>
      </c>
      <c r="M406" s="296">
        <v>42535</v>
      </c>
      <c r="N406" s="296">
        <v>42779</v>
      </c>
      <c r="O406" s="127">
        <f>COUNTA(Modificaciones!I406,Modificaciones!K406,Modificaciones!M406,Modificaciones!O406)</f>
        <v>0</v>
      </c>
      <c r="P406" s="128">
        <f>VLOOKUP(E406,Modificaciones!$B$7:$Q$406,16,0)</f>
        <v>0</v>
      </c>
      <c r="Q406" s="129">
        <f>COUNTA(Modificaciones!S406,Modificaciones!U406,Modificaciones!W406,Modificaciones!Y406)</f>
        <v>0</v>
      </c>
      <c r="R406" s="130" t="str">
        <f>IF(Modificaciones!Z406=0,"",VLOOKUP(E406,Modificaciones!$B$7:$AA$500,25,0))</f>
        <v/>
      </c>
      <c r="S406" s="131" t="str">
        <f>IF(Modificaciones!AA406=0,"",VLOOKUP(E406,Modificaciones!$B$7:$AA$500,26,0))</f>
        <v/>
      </c>
      <c r="T406" s="126">
        <f t="shared" si="80"/>
        <v>42779</v>
      </c>
      <c r="U406" s="62">
        <f t="shared" si="81"/>
        <v>44000000</v>
      </c>
      <c r="V406" s="172">
        <f>VLOOKUP(E406,Modificaciones!$B$7:$AU$406,46,0)</f>
        <v>44000000</v>
      </c>
      <c r="W406" s="93">
        <f t="shared" si="77"/>
        <v>0</v>
      </c>
      <c r="X406" s="309" t="s">
        <v>1095</v>
      </c>
      <c r="Y406" s="852">
        <f t="shared" si="82"/>
        <v>1</v>
      </c>
      <c r="Z406" s="42">
        <f t="shared" ca="1" si="83"/>
        <v>1</v>
      </c>
      <c r="AA406" s="43">
        <f t="shared" ca="1" si="84"/>
        <v>0</v>
      </c>
      <c r="AB406" s="202" t="str">
        <f t="shared" ca="1" si="85"/>
        <v/>
      </c>
      <c r="AC406" s="44" t="str">
        <f t="shared" si="87"/>
        <v>SI</v>
      </c>
      <c r="AD406" s="760" t="s">
        <v>2898</v>
      </c>
      <c r="AE406" s="173" t="s">
        <v>1256</v>
      </c>
      <c r="AF406" s="173" t="s">
        <v>2174</v>
      </c>
      <c r="AG406" s="173" t="s">
        <v>1177</v>
      </c>
      <c r="AH406" s="281" t="s">
        <v>559</v>
      </c>
      <c r="AI406" s="174"/>
      <c r="AJ406" s="305" t="s">
        <v>600</v>
      </c>
      <c r="AK406" s="181" t="str">
        <f t="shared" ca="1" si="86"/>
        <v>TERMINO</v>
      </c>
      <c r="AL406" s="181" t="s">
        <v>582</v>
      </c>
      <c r="AM406" s="176" t="s">
        <v>391</v>
      </c>
      <c r="AN406" s="848" t="str">
        <f>IFERROR(VLOOKUP(E406,'liquidaciones '!$B$2:$C$1048576,2,0),"NO")</f>
        <v>LIQUIDADO</v>
      </c>
      <c r="AO406" s="944" t="str">
        <f>IFERROR(VLOOKUP(E406,'liquidaciones '!$B$2:$I$1048576,8,0),"")</f>
        <v>JAVIER QUINTERO</v>
      </c>
      <c r="AP406" s="338"/>
      <c r="AQ406" s="177" t="s">
        <v>390</v>
      </c>
      <c r="AR406" s="177" t="s">
        <v>2601</v>
      </c>
      <c r="AS406" s="433"/>
      <c r="AT406" s="964"/>
      <c r="AU406" s="964"/>
      <c r="AV406" s="964"/>
    </row>
    <row r="407" spans="3:48" ht="56.25" customHeight="1" x14ac:dyDescent="0.25">
      <c r="C407" s="437"/>
      <c r="D407" s="437"/>
      <c r="E407" s="866" t="s">
        <v>2480</v>
      </c>
      <c r="F407" s="280" t="s">
        <v>22</v>
      </c>
      <c r="G407" s="903">
        <v>830112518</v>
      </c>
      <c r="H407" s="1001" t="s">
        <v>1159</v>
      </c>
      <c r="I407" s="908">
        <v>45008000</v>
      </c>
      <c r="J407" s="713" t="s">
        <v>2480</v>
      </c>
      <c r="K407" s="295">
        <v>2016</v>
      </c>
      <c r="L407" s="546">
        <v>42487</v>
      </c>
      <c r="M407" s="296">
        <v>42502</v>
      </c>
      <c r="N407" s="296">
        <v>42867</v>
      </c>
      <c r="O407" s="127">
        <f>COUNTA(Modificaciones!I407,Modificaciones!K407,Modificaciones!M407,Modificaciones!O407)</f>
        <v>0</v>
      </c>
      <c r="P407" s="128">
        <f>VLOOKUP(E407,Modificaciones!$B$7:$Q$407,16,0)</f>
        <v>0</v>
      </c>
      <c r="Q407" s="129">
        <f>COUNTA(Modificaciones!S407,Modificaciones!U407,Modificaciones!W407,Modificaciones!Y407)</f>
        <v>0</v>
      </c>
      <c r="R407" s="130" t="str">
        <f>IF(Modificaciones!Z407=0,"",VLOOKUP(E407,Modificaciones!$B$7:$AA$500,25,0))</f>
        <v/>
      </c>
      <c r="S407" s="131" t="str">
        <f>IF(Modificaciones!AA407=0,"",VLOOKUP(E407,Modificaciones!$B$7:$AA$500,26,0))</f>
        <v/>
      </c>
      <c r="T407" s="126">
        <f t="shared" si="80"/>
        <v>42867</v>
      </c>
      <c r="U407" s="62">
        <f t="shared" si="81"/>
        <v>45008000</v>
      </c>
      <c r="V407" s="172">
        <f>VLOOKUP(E407,Modificaciones!$B$7:$AU$407,46,0)</f>
        <v>45008000</v>
      </c>
      <c r="W407" s="93">
        <f t="shared" si="77"/>
        <v>0</v>
      </c>
      <c r="X407" s="314" t="s">
        <v>2481</v>
      </c>
      <c r="Y407" s="852">
        <f t="shared" si="82"/>
        <v>1</v>
      </c>
      <c r="Z407" s="42">
        <f t="shared" ca="1" si="83"/>
        <v>1</v>
      </c>
      <c r="AA407" s="43">
        <f t="shared" ca="1" si="84"/>
        <v>0</v>
      </c>
      <c r="AB407" s="202" t="str">
        <f t="shared" ca="1" si="85"/>
        <v/>
      </c>
      <c r="AC407" s="44" t="str">
        <f t="shared" si="87"/>
        <v>SI</v>
      </c>
      <c r="AD407" s="760"/>
      <c r="AE407" s="173" t="s">
        <v>1257</v>
      </c>
      <c r="AF407" s="173" t="s">
        <v>1174</v>
      </c>
      <c r="AG407" s="173" t="s">
        <v>1439</v>
      </c>
      <c r="AH407" s="281" t="s">
        <v>560</v>
      </c>
      <c r="AI407" s="174" t="s">
        <v>1509</v>
      </c>
      <c r="AJ407" s="305" t="s">
        <v>600</v>
      </c>
      <c r="AK407" s="181" t="str">
        <f t="shared" ca="1" si="86"/>
        <v>TERMINO</v>
      </c>
      <c r="AL407" s="181" t="s">
        <v>582</v>
      </c>
      <c r="AM407" s="176" t="s">
        <v>390</v>
      </c>
      <c r="AN407" s="848" t="str">
        <f>IFERROR(VLOOKUP(E407,'liquidaciones '!$B$2:$C$1048576,2,0),"NO")</f>
        <v>LIQUIDADO</v>
      </c>
      <c r="AO407" s="944" t="str">
        <f>IFERROR(VLOOKUP(E407,'liquidaciones '!$B$2:$I$1048576,8,0),"")</f>
        <v>GIOVANNI SUAREZ</v>
      </c>
      <c r="AP407" s="338"/>
      <c r="AQ407" s="177" t="s">
        <v>390</v>
      </c>
      <c r="AR407" s="177" t="s">
        <v>2907</v>
      </c>
      <c r="AS407" s="433"/>
      <c r="AT407" s="964"/>
      <c r="AU407" s="964"/>
      <c r="AV407" s="964"/>
    </row>
    <row r="408" spans="3:48" ht="45" customHeight="1" x14ac:dyDescent="0.25">
      <c r="C408" s="437">
        <v>120</v>
      </c>
      <c r="D408" s="437"/>
      <c r="E408" s="866" t="s">
        <v>2482</v>
      </c>
      <c r="F408" s="280" t="s">
        <v>2483</v>
      </c>
      <c r="G408" s="903">
        <v>1136882557</v>
      </c>
      <c r="H408" s="1001" t="s">
        <v>2484</v>
      </c>
      <c r="I408" s="908">
        <v>19600000</v>
      </c>
      <c r="J408" s="713" t="s">
        <v>2482</v>
      </c>
      <c r="K408" s="295">
        <v>2016</v>
      </c>
      <c r="L408" s="546">
        <v>42536</v>
      </c>
      <c r="M408" s="296">
        <v>42541</v>
      </c>
      <c r="N408" s="296">
        <v>42786</v>
      </c>
      <c r="O408" s="127">
        <f>COUNTA(Modificaciones!I408,Modificaciones!K408,Modificaciones!M408,Modificaciones!O408)</f>
        <v>0</v>
      </c>
      <c r="P408" s="128">
        <f>VLOOKUP(E408,Modificaciones!$B$7:$Q$408,16,0)</f>
        <v>0</v>
      </c>
      <c r="Q408" s="129">
        <f>COUNTA(Modificaciones!S408,Modificaciones!U408,Modificaciones!W408,Modificaciones!Y408)</f>
        <v>0</v>
      </c>
      <c r="R408" s="130" t="str">
        <f>IF(Modificaciones!Z408=0,"",VLOOKUP(E408,Modificaciones!$B$7:$AA$500,25,0))</f>
        <v/>
      </c>
      <c r="S408" s="131" t="str">
        <f>IF(Modificaciones!AA408=0,"",VLOOKUP(E408,Modificaciones!$B$7:$AA$500,26,0))</f>
        <v/>
      </c>
      <c r="T408" s="126">
        <f t="shared" si="80"/>
        <v>42786</v>
      </c>
      <c r="U408" s="62">
        <f t="shared" si="81"/>
        <v>19600000</v>
      </c>
      <c r="V408" s="172">
        <f>VLOOKUP(E408,Modificaciones!$B$7:$AU$408,46,0)</f>
        <v>19600000</v>
      </c>
      <c r="W408" s="93">
        <f t="shared" si="77"/>
        <v>0</v>
      </c>
      <c r="X408" s="309" t="s">
        <v>1095</v>
      </c>
      <c r="Y408" s="852">
        <f t="shared" si="82"/>
        <v>1</v>
      </c>
      <c r="Z408" s="42">
        <f t="shared" ca="1" si="83"/>
        <v>1</v>
      </c>
      <c r="AA408" s="43">
        <f t="shared" ca="1" si="84"/>
        <v>0</v>
      </c>
      <c r="AB408" s="202" t="str">
        <f t="shared" ca="1" si="85"/>
        <v/>
      </c>
      <c r="AC408" s="44" t="str">
        <f t="shared" si="87"/>
        <v>SI</v>
      </c>
      <c r="AD408" s="760" t="s">
        <v>2898</v>
      </c>
      <c r="AE408" s="173" t="s">
        <v>1256</v>
      </c>
      <c r="AF408" s="173" t="s">
        <v>2179</v>
      </c>
      <c r="AG408" s="173" t="s">
        <v>1177</v>
      </c>
      <c r="AH408" s="281" t="s">
        <v>559</v>
      </c>
      <c r="AI408" s="174"/>
      <c r="AJ408" s="305" t="s">
        <v>600</v>
      </c>
      <c r="AK408" s="181" t="str">
        <f t="shared" ca="1" si="86"/>
        <v>TERMINO</v>
      </c>
      <c r="AL408" s="310" t="s">
        <v>582</v>
      </c>
      <c r="AM408" s="176" t="s">
        <v>391</v>
      </c>
      <c r="AN408" s="848" t="str">
        <f>IFERROR(VLOOKUP(E408,'liquidaciones '!$B$2:$C$1048576,2,0),"NO")</f>
        <v>LIQUIDADO</v>
      </c>
      <c r="AO408" s="944" t="str">
        <f>IFERROR(VLOOKUP(E408,'liquidaciones '!$B$2:$I$1048576,8,0),"")</f>
        <v>MANUEL ROJAS</v>
      </c>
      <c r="AP408" s="338"/>
      <c r="AQ408" s="177" t="s">
        <v>390</v>
      </c>
      <c r="AR408" s="177" t="s">
        <v>1510</v>
      </c>
      <c r="AS408" s="433"/>
      <c r="AT408" s="964"/>
      <c r="AU408" s="964"/>
      <c r="AV408" s="964"/>
    </row>
    <row r="409" spans="3:48" ht="45" x14ac:dyDescent="0.25">
      <c r="C409" s="437">
        <v>263</v>
      </c>
      <c r="D409" s="437" t="str">
        <f>K409&amp;C409</f>
        <v>2016263</v>
      </c>
      <c r="E409" s="866" t="s">
        <v>2485</v>
      </c>
      <c r="F409" s="280" t="s">
        <v>2486</v>
      </c>
      <c r="G409" s="903">
        <v>79646061</v>
      </c>
      <c r="H409" s="1001" t="s">
        <v>3021</v>
      </c>
      <c r="I409" s="908">
        <v>44000000</v>
      </c>
      <c r="J409" s="713" t="s">
        <v>2491</v>
      </c>
      <c r="K409" s="295">
        <v>2016</v>
      </c>
      <c r="L409" s="546">
        <v>42538</v>
      </c>
      <c r="M409" s="296">
        <v>42543</v>
      </c>
      <c r="N409" s="296">
        <v>42788</v>
      </c>
      <c r="O409" s="127">
        <f>COUNTA(Modificaciones!I409,Modificaciones!K409,Modificaciones!M409,Modificaciones!O409)</f>
        <v>0</v>
      </c>
      <c r="P409" s="128">
        <f>VLOOKUP(E409,Modificaciones!$B$7:$Q$409,16,0)</f>
        <v>0</v>
      </c>
      <c r="Q409" s="129">
        <f>COUNTA(Modificaciones!S409,Modificaciones!U409,Modificaciones!W409,Modificaciones!Y409)</f>
        <v>0</v>
      </c>
      <c r="R409" s="130" t="str">
        <f>IF(Modificaciones!Z409=0,"",VLOOKUP(E409,Modificaciones!$B$7:$AA$500,25,0))</f>
        <v/>
      </c>
      <c r="S409" s="131" t="str">
        <f>IF(Modificaciones!AA409=0,"",VLOOKUP(E409,Modificaciones!$B$7:$AA$500,26,0))</f>
        <v/>
      </c>
      <c r="T409" s="126">
        <f t="shared" si="80"/>
        <v>42788</v>
      </c>
      <c r="U409" s="62">
        <f t="shared" si="81"/>
        <v>44000000</v>
      </c>
      <c r="V409" s="172">
        <f>VLOOKUP(E409,Modificaciones!$B$7:$AU$409,46,0)</f>
        <v>44000000</v>
      </c>
      <c r="W409" s="93">
        <f t="shared" si="77"/>
        <v>0</v>
      </c>
      <c r="X409" s="309" t="s">
        <v>1095</v>
      </c>
      <c r="Y409" s="852">
        <f t="shared" si="82"/>
        <v>1</v>
      </c>
      <c r="Z409" s="42">
        <f t="shared" ca="1" si="83"/>
        <v>1</v>
      </c>
      <c r="AA409" s="43">
        <f t="shared" ca="1" si="84"/>
        <v>0</v>
      </c>
      <c r="AB409" s="202" t="str">
        <f t="shared" ca="1" si="85"/>
        <v/>
      </c>
      <c r="AC409" s="44" t="str">
        <f t="shared" si="87"/>
        <v>SI</v>
      </c>
      <c r="AD409" s="760" t="s">
        <v>2898</v>
      </c>
      <c r="AE409" s="173" t="s">
        <v>1256</v>
      </c>
      <c r="AF409" s="173" t="s">
        <v>2487</v>
      </c>
      <c r="AG409" s="173"/>
      <c r="AH409" s="281" t="s">
        <v>562</v>
      </c>
      <c r="AI409" s="305"/>
      <c r="AJ409" s="305" t="s">
        <v>600</v>
      </c>
      <c r="AK409" s="181" t="str">
        <f t="shared" ca="1" si="86"/>
        <v>TERMINO</v>
      </c>
      <c r="AL409" s="310" t="s">
        <v>582</v>
      </c>
      <c r="AM409" s="176" t="s">
        <v>391</v>
      </c>
      <c r="AN409" s="848" t="str">
        <f>IFERROR(VLOOKUP(E409,'liquidaciones '!$B$2:$C$1048576,2,0),"NO")</f>
        <v>LIQUIDADO</v>
      </c>
      <c r="AO409" s="944" t="str">
        <f>IFERROR(VLOOKUP(E409,'liquidaciones '!$B$2:$I$1048576,8,0),"")</f>
        <v>JAVIER QUINTERO</v>
      </c>
      <c r="AP409" s="338"/>
      <c r="AQ409" s="177" t="str">
        <f ca="1">IF((TODAY()-T409&lt;900),"SI","NO")</f>
        <v>SI</v>
      </c>
      <c r="AR409" s="177" t="s">
        <v>2601</v>
      </c>
      <c r="AS409" s="433"/>
      <c r="AT409" s="964"/>
      <c r="AU409" s="964"/>
      <c r="AV409" s="964"/>
    </row>
    <row r="410" spans="3:48" ht="45" x14ac:dyDescent="0.25">
      <c r="C410" s="437">
        <v>265</v>
      </c>
      <c r="D410" s="437" t="str">
        <f>K410&amp;C410</f>
        <v>2016265</v>
      </c>
      <c r="E410" s="866" t="s">
        <v>2488</v>
      </c>
      <c r="F410" s="280" t="s">
        <v>2645</v>
      </c>
      <c r="G410" s="903">
        <v>52499785</v>
      </c>
      <c r="H410" s="1001" t="s">
        <v>2489</v>
      </c>
      <c r="I410" s="908">
        <v>44000000</v>
      </c>
      <c r="J410" s="713" t="s">
        <v>2488</v>
      </c>
      <c r="K410" s="295">
        <v>2016</v>
      </c>
      <c r="L410" s="546">
        <v>42538</v>
      </c>
      <c r="M410" s="296">
        <v>42542</v>
      </c>
      <c r="N410" s="296">
        <v>42787</v>
      </c>
      <c r="O410" s="127">
        <f>COUNTA(Modificaciones!I406,Modificaciones!K406,Modificaciones!M406,Modificaciones!O406)</f>
        <v>0</v>
      </c>
      <c r="P410" s="128">
        <f>VLOOKUP(E410,Modificaciones!$B$7:$Q$410,16,0)</f>
        <v>0</v>
      </c>
      <c r="Q410" s="129">
        <f>COUNTA(Modificaciones!S410,Modificaciones!U410,Modificaciones!W410,Modificaciones!Y410)</f>
        <v>0</v>
      </c>
      <c r="R410" s="130" t="str">
        <f>IF(Modificaciones!Z410=0,"",VLOOKUP(E410,Modificaciones!$B$7:$AA$500,25,0))</f>
        <v/>
      </c>
      <c r="S410" s="131" t="str">
        <f>IF(Modificaciones!AA410=0,"",VLOOKUP(E410,Modificaciones!$B$7:$AA$500,26,0))</f>
        <v/>
      </c>
      <c r="T410" s="126">
        <f t="shared" si="80"/>
        <v>42787</v>
      </c>
      <c r="U410" s="62">
        <f t="shared" si="81"/>
        <v>44000000</v>
      </c>
      <c r="V410" s="172">
        <f>VLOOKUP(E410,Modificaciones!$B$7:$AU$410,46,0)</f>
        <v>44000000</v>
      </c>
      <c r="W410" s="93">
        <f t="shared" si="77"/>
        <v>0</v>
      </c>
      <c r="X410" s="309" t="s">
        <v>1095</v>
      </c>
      <c r="Y410" s="852">
        <f t="shared" si="82"/>
        <v>1</v>
      </c>
      <c r="Z410" s="42">
        <f t="shared" ca="1" si="83"/>
        <v>1</v>
      </c>
      <c r="AA410" s="43">
        <f t="shared" ca="1" si="84"/>
        <v>0</v>
      </c>
      <c r="AB410" s="202" t="str">
        <f t="shared" ca="1" si="85"/>
        <v/>
      </c>
      <c r="AC410" s="44" t="str">
        <f t="shared" si="87"/>
        <v>SI</v>
      </c>
      <c r="AD410" s="760" t="s">
        <v>2898</v>
      </c>
      <c r="AE410" s="173" t="s">
        <v>1256</v>
      </c>
      <c r="AF410" s="173" t="s">
        <v>2490</v>
      </c>
      <c r="AG410" s="173"/>
      <c r="AH410" s="281"/>
      <c r="AI410" s="305"/>
      <c r="AJ410" s="305" t="s">
        <v>600</v>
      </c>
      <c r="AK410" s="181" t="str">
        <f t="shared" ca="1" si="86"/>
        <v>TERMINO</v>
      </c>
      <c r="AL410" s="310" t="s">
        <v>582</v>
      </c>
      <c r="AM410" s="176" t="s">
        <v>391</v>
      </c>
      <c r="AN410" s="848" t="str">
        <f>IFERROR(VLOOKUP(E410,'liquidaciones '!$B$2:$C$1048576,2,0),"NO")</f>
        <v>LIQUIDADO</v>
      </c>
      <c r="AO410" s="944" t="str">
        <f>IFERROR(VLOOKUP(E410,'liquidaciones '!$B$2:$I$1048576,8,0),"")</f>
        <v>ANDREA CASAS</v>
      </c>
      <c r="AP410" s="338"/>
      <c r="AQ410" s="177" t="str">
        <f ca="1">IF((TODAY()-T410&lt;900),"SI","NO")</f>
        <v>SI</v>
      </c>
      <c r="AR410" s="177" t="s">
        <v>981</v>
      </c>
      <c r="AS410" s="433"/>
      <c r="AT410" s="964"/>
      <c r="AU410" s="964"/>
      <c r="AV410" s="964"/>
    </row>
    <row r="411" spans="3:48" ht="22.5" x14ac:dyDescent="0.25">
      <c r="C411" s="437">
        <v>127</v>
      </c>
      <c r="D411" s="437"/>
      <c r="E411" s="866" t="s">
        <v>2492</v>
      </c>
      <c r="F411" s="280" t="s">
        <v>2721</v>
      </c>
      <c r="G411" s="903">
        <v>32853319</v>
      </c>
      <c r="H411" s="1001" t="s">
        <v>3022</v>
      </c>
      <c r="I411" s="908">
        <v>44000000</v>
      </c>
      <c r="J411" s="713" t="s">
        <v>2492</v>
      </c>
      <c r="K411" s="295">
        <v>2016</v>
      </c>
      <c r="L411" s="546">
        <v>42538</v>
      </c>
      <c r="M411" s="296">
        <v>42542</v>
      </c>
      <c r="N411" s="296">
        <v>42787</v>
      </c>
      <c r="O411" s="127">
        <f>COUNTA(Modificaciones!I407,Modificaciones!K407,Modificaciones!M407,Modificaciones!O407)</f>
        <v>0</v>
      </c>
      <c r="P411" s="128">
        <f>VLOOKUP(E411,Modificaciones!$B$7:$Q$411,16,0)</f>
        <v>0</v>
      </c>
      <c r="Q411" s="129">
        <f>COUNTA(Modificaciones!S411,Modificaciones!U411,Modificaciones!W411,Modificaciones!Y411)</f>
        <v>0</v>
      </c>
      <c r="R411" s="130" t="str">
        <f>IF(Modificaciones!Z411=0,"",VLOOKUP(E411,Modificaciones!$B$7:$AA$500,25,0))</f>
        <v/>
      </c>
      <c r="S411" s="131" t="str">
        <f>IF(Modificaciones!AA411=0,"",VLOOKUP(E411,Modificaciones!$B$7:$AA$500,26,0))</f>
        <v/>
      </c>
      <c r="T411" s="126">
        <f t="shared" si="80"/>
        <v>42787</v>
      </c>
      <c r="U411" s="62">
        <f t="shared" si="81"/>
        <v>44000000</v>
      </c>
      <c r="V411" s="172">
        <f>VLOOKUP(E411,Modificaciones!$B$7:$AU$411,46,0)</f>
        <v>44000000</v>
      </c>
      <c r="W411" s="93">
        <f t="shared" si="77"/>
        <v>0</v>
      </c>
      <c r="X411" s="309" t="s">
        <v>1095</v>
      </c>
      <c r="Y411" s="852">
        <f t="shared" si="82"/>
        <v>1</v>
      </c>
      <c r="Z411" s="42">
        <f t="shared" ca="1" si="83"/>
        <v>1</v>
      </c>
      <c r="AA411" s="43">
        <f t="shared" ca="1" si="84"/>
        <v>0</v>
      </c>
      <c r="AB411" s="202" t="str">
        <f t="shared" ca="1" si="85"/>
        <v/>
      </c>
      <c r="AC411" s="44" t="str">
        <f t="shared" si="87"/>
        <v>SI</v>
      </c>
      <c r="AD411" s="760" t="s">
        <v>2898</v>
      </c>
      <c r="AE411" s="173" t="s">
        <v>1256</v>
      </c>
      <c r="AF411" s="173" t="s">
        <v>2493</v>
      </c>
      <c r="AG411" s="173" t="s">
        <v>2500</v>
      </c>
      <c r="AH411" s="281" t="s">
        <v>4624</v>
      </c>
      <c r="AI411" s="305"/>
      <c r="AJ411" s="305" t="s">
        <v>600</v>
      </c>
      <c r="AK411" s="181" t="str">
        <f t="shared" ca="1" si="86"/>
        <v>TERMINO</v>
      </c>
      <c r="AL411" s="310" t="s">
        <v>582</v>
      </c>
      <c r="AM411" s="176" t="s">
        <v>391</v>
      </c>
      <c r="AN411" s="848" t="str">
        <f>IFERROR(VLOOKUP(E411,'liquidaciones '!$B$2:$C$1048576,2,0),"NO")</f>
        <v>LIQUIDADO</v>
      </c>
      <c r="AO411" s="944" t="str">
        <f>IFERROR(VLOOKUP(E411,'liquidaciones '!$B$2:$I$1048576,8,0),"")</f>
        <v>EDWARD MORENO</v>
      </c>
      <c r="AP411" s="338"/>
      <c r="AQ411" s="177" t="s">
        <v>390</v>
      </c>
      <c r="AR411" s="177" t="s">
        <v>1510</v>
      </c>
      <c r="AS411" s="433"/>
      <c r="AT411" s="964"/>
      <c r="AU411" s="964"/>
      <c r="AV411" s="964"/>
    </row>
    <row r="412" spans="3:48" ht="45" x14ac:dyDescent="0.25">
      <c r="C412" s="437">
        <v>264</v>
      </c>
      <c r="D412" s="437"/>
      <c r="E412" s="866" t="s">
        <v>2494</v>
      </c>
      <c r="F412" s="280" t="s">
        <v>2495</v>
      </c>
      <c r="G412" s="903">
        <v>63548489</v>
      </c>
      <c r="H412" s="1001" t="s">
        <v>3023</v>
      </c>
      <c r="I412" s="908">
        <v>44000000</v>
      </c>
      <c r="J412" s="713" t="s">
        <v>2494</v>
      </c>
      <c r="K412" s="295">
        <v>2016</v>
      </c>
      <c r="L412" s="546">
        <v>42542</v>
      </c>
      <c r="M412" s="296">
        <v>42545</v>
      </c>
      <c r="N412" s="296">
        <v>42790</v>
      </c>
      <c r="O412" s="127">
        <f>COUNTA(Modificaciones!I408,Modificaciones!K408,Modificaciones!M408,Modificaciones!O408)</f>
        <v>0</v>
      </c>
      <c r="P412" s="128">
        <f>VLOOKUP(E412,Modificaciones!$B$7:$Q$412,16,0)</f>
        <v>0</v>
      </c>
      <c r="Q412" s="129">
        <f>COUNTA(Modificaciones!S412,Modificaciones!U412,Modificaciones!W412,Modificaciones!Y412)</f>
        <v>0</v>
      </c>
      <c r="R412" s="130" t="str">
        <f>IF(Modificaciones!Z412=0,"",VLOOKUP(E412,Modificaciones!$B$7:$AA$500,25,0))</f>
        <v/>
      </c>
      <c r="S412" s="131" t="str">
        <f>IF(Modificaciones!AA412=0,"",VLOOKUP(E412,Modificaciones!$B$7:$AA$500,26,0))</f>
        <v/>
      </c>
      <c r="T412" s="126">
        <f t="shared" si="80"/>
        <v>42790</v>
      </c>
      <c r="U412" s="62">
        <f t="shared" si="81"/>
        <v>44000000</v>
      </c>
      <c r="V412" s="172">
        <f>VLOOKUP(E412,Modificaciones!$B$7:$AU$412,46,0)</f>
        <v>44000000</v>
      </c>
      <c r="W412" s="93">
        <f t="shared" si="77"/>
        <v>0</v>
      </c>
      <c r="X412" s="309" t="s">
        <v>1095</v>
      </c>
      <c r="Y412" s="852">
        <f t="shared" si="82"/>
        <v>1</v>
      </c>
      <c r="Z412" s="42">
        <f t="shared" ca="1" si="83"/>
        <v>1</v>
      </c>
      <c r="AA412" s="43">
        <f t="shared" ca="1" si="84"/>
        <v>0</v>
      </c>
      <c r="AB412" s="202" t="str">
        <f t="shared" ca="1" si="85"/>
        <v/>
      </c>
      <c r="AC412" s="44" t="str">
        <f t="shared" si="87"/>
        <v>SI</v>
      </c>
      <c r="AD412" s="760" t="s">
        <v>2898</v>
      </c>
      <c r="AE412" s="173" t="s">
        <v>1256</v>
      </c>
      <c r="AF412" s="173" t="s">
        <v>2496</v>
      </c>
      <c r="AG412" s="173" t="s">
        <v>1430</v>
      </c>
      <c r="AH412" s="281" t="s">
        <v>564</v>
      </c>
      <c r="AI412" s="305"/>
      <c r="AJ412" s="305" t="s">
        <v>600</v>
      </c>
      <c r="AK412" s="181" t="str">
        <f t="shared" ca="1" si="86"/>
        <v>TERMINO</v>
      </c>
      <c r="AL412" s="310" t="s">
        <v>582</v>
      </c>
      <c r="AM412" s="176" t="s">
        <v>391</v>
      </c>
      <c r="AN412" s="848" t="str">
        <f>IFERROR(VLOOKUP(E412,'liquidaciones '!$B$2:$C$1048576,2,0),"NO")</f>
        <v>LIQUIDADO</v>
      </c>
      <c r="AO412" s="944" t="str">
        <f>IFERROR(VLOOKUP(E412,'liquidaciones '!$B$2:$I$1048576,8,0),"")</f>
        <v>EDWARD MORENO</v>
      </c>
      <c r="AP412" s="338"/>
      <c r="AQ412" s="177" t="s">
        <v>390</v>
      </c>
      <c r="AR412" s="177" t="s">
        <v>981</v>
      </c>
      <c r="AS412" s="433"/>
      <c r="AT412" s="964"/>
      <c r="AU412" s="964"/>
      <c r="AV412" s="964"/>
    </row>
    <row r="413" spans="3:48" ht="28.5" customHeight="1" x14ac:dyDescent="0.25">
      <c r="C413" s="437"/>
      <c r="D413" s="437"/>
      <c r="E413" s="306" t="s">
        <v>2497</v>
      </c>
      <c r="F413" s="280" t="s">
        <v>203</v>
      </c>
      <c r="G413" s="903">
        <v>860049921</v>
      </c>
      <c r="H413" s="1001" t="s">
        <v>3024</v>
      </c>
      <c r="I413" s="908">
        <v>5086020</v>
      </c>
      <c r="J413" s="713" t="s">
        <v>2497</v>
      </c>
      <c r="K413" s="295">
        <v>2016</v>
      </c>
      <c r="L413" s="546">
        <v>42535</v>
      </c>
      <c r="M413" s="296">
        <v>42570</v>
      </c>
      <c r="N413" s="296">
        <v>42693</v>
      </c>
      <c r="O413" s="127">
        <f>COUNTA(Modificaciones!I409,Modificaciones!K409,Modificaciones!M409,Modificaciones!O409)</f>
        <v>0</v>
      </c>
      <c r="P413" s="128">
        <f>VLOOKUP(E413,Modificaciones!$B$7:$Q$413,16,0)</f>
        <v>0</v>
      </c>
      <c r="Q413" s="129">
        <f>COUNTA(Modificaciones!S413,Modificaciones!U413,Modificaciones!W413,Modificaciones!Y413)</f>
        <v>0</v>
      </c>
      <c r="R413" s="130" t="str">
        <f>IF(Modificaciones!Z413=0,"",VLOOKUP(E413,Modificaciones!$B$7:$AA$500,25,0))</f>
        <v/>
      </c>
      <c r="S413" s="131" t="str">
        <f>IF(Modificaciones!AA413=0,"",VLOOKUP(E413,Modificaciones!$B$7:$AA$500,26,0))</f>
        <v/>
      </c>
      <c r="T413" s="126">
        <f t="shared" si="80"/>
        <v>42693</v>
      </c>
      <c r="U413" s="62">
        <f t="shared" si="81"/>
        <v>5086020</v>
      </c>
      <c r="V413" s="172">
        <f>VLOOKUP(E413,Modificaciones!$B$7:$AU$413,46,0)</f>
        <v>5086020</v>
      </c>
      <c r="W413" s="93">
        <f t="shared" si="77"/>
        <v>0</v>
      </c>
      <c r="X413" s="309" t="s">
        <v>1866</v>
      </c>
      <c r="Y413" s="852">
        <f t="shared" si="82"/>
        <v>1</v>
      </c>
      <c r="Z413" s="42">
        <f t="shared" ca="1" si="83"/>
        <v>1</v>
      </c>
      <c r="AA413" s="43">
        <f t="shared" ca="1" si="84"/>
        <v>0</v>
      </c>
      <c r="AB413" s="202" t="str">
        <f t="shared" ca="1" si="85"/>
        <v/>
      </c>
      <c r="AC413" s="44" t="str">
        <f t="shared" si="87"/>
        <v>SI</v>
      </c>
      <c r="AD413" s="760" t="s">
        <v>1710</v>
      </c>
      <c r="AE413" s="173" t="s">
        <v>1256</v>
      </c>
      <c r="AF413" s="301" t="s">
        <v>1350</v>
      </c>
      <c r="AG413" s="173" t="s">
        <v>1431</v>
      </c>
      <c r="AH413" s="281" t="s">
        <v>563</v>
      </c>
      <c r="AI413" s="305"/>
      <c r="AJ413" s="305" t="s">
        <v>600</v>
      </c>
      <c r="AK413" s="181" t="str">
        <f t="shared" ca="1" si="86"/>
        <v>TERMINO</v>
      </c>
      <c r="AL413" s="181" t="s">
        <v>582</v>
      </c>
      <c r="AM413" s="176" t="s">
        <v>390</v>
      </c>
      <c r="AN413" s="848" t="str">
        <f>IFERROR(VLOOKUP(E413,'liquidaciones '!$B$2:$C$1048576,2,0),"NO")</f>
        <v>LIQUIDADO</v>
      </c>
      <c r="AO413" s="944" t="str">
        <f>IFERROR(VLOOKUP(E413,'liquidaciones '!$B$2:$I$1048576,8,0),"")</f>
        <v>JULIETH ANGARITA</v>
      </c>
      <c r="AP413" s="338"/>
      <c r="AQ413" s="177" t="s">
        <v>390</v>
      </c>
      <c r="AR413" s="177" t="s">
        <v>2602</v>
      </c>
      <c r="AS413" s="433"/>
      <c r="AT413" s="964"/>
      <c r="AU413" s="964"/>
      <c r="AV413" s="964"/>
    </row>
    <row r="414" spans="3:48" ht="78.75" x14ac:dyDescent="0.25">
      <c r="C414" s="437">
        <v>262</v>
      </c>
      <c r="D414" s="437"/>
      <c r="E414" s="306" t="s">
        <v>2498</v>
      </c>
      <c r="F414" s="280" t="s">
        <v>2499</v>
      </c>
      <c r="G414" s="903">
        <v>79951750</v>
      </c>
      <c r="H414" s="1001" t="s">
        <v>2937</v>
      </c>
      <c r="I414" s="908">
        <v>36000000</v>
      </c>
      <c r="J414" s="713" t="s">
        <v>2498</v>
      </c>
      <c r="K414" s="295">
        <v>2016</v>
      </c>
      <c r="L414" s="546">
        <v>42541</v>
      </c>
      <c r="M414" s="296">
        <v>42545</v>
      </c>
      <c r="N414" s="296">
        <v>42790</v>
      </c>
      <c r="O414" s="127">
        <f>COUNTA(Modificaciones!I410,Modificaciones!K410,Modificaciones!M410,Modificaciones!O410)</f>
        <v>0</v>
      </c>
      <c r="P414" s="128">
        <f>VLOOKUP(E414,Modificaciones!$B$7:$Q$414,16,0)</f>
        <v>0</v>
      </c>
      <c r="Q414" s="129">
        <f>COUNTA(Modificaciones!S414,Modificaciones!U414,Modificaciones!W414,Modificaciones!Y414)</f>
        <v>0</v>
      </c>
      <c r="R414" s="130" t="str">
        <f>IF(Modificaciones!Z414=0,"",VLOOKUP(E414,Modificaciones!$B$7:$AA$500,25,0))</f>
        <v/>
      </c>
      <c r="S414" s="131" t="str">
        <f>IF(Modificaciones!AA414=0,"",VLOOKUP(E414,Modificaciones!$B$7:$AA$500,26,0))</f>
        <v/>
      </c>
      <c r="T414" s="126">
        <f t="shared" si="80"/>
        <v>42790</v>
      </c>
      <c r="U414" s="62">
        <f t="shared" si="81"/>
        <v>36000000</v>
      </c>
      <c r="V414" s="172">
        <f>VLOOKUP(E414,Modificaciones!$B$7:$AU$414,46,0)</f>
        <v>36000000</v>
      </c>
      <c r="W414" s="93">
        <f t="shared" si="77"/>
        <v>0</v>
      </c>
      <c r="X414" s="309" t="s">
        <v>1095</v>
      </c>
      <c r="Y414" s="852">
        <f t="shared" si="82"/>
        <v>1</v>
      </c>
      <c r="Z414" s="42">
        <f t="shared" ca="1" si="83"/>
        <v>1</v>
      </c>
      <c r="AA414" s="43">
        <f t="shared" ca="1" si="84"/>
        <v>0</v>
      </c>
      <c r="AB414" s="202" t="str">
        <f t="shared" ca="1" si="85"/>
        <v/>
      </c>
      <c r="AC414" s="44" t="str">
        <f t="shared" si="87"/>
        <v>SI</v>
      </c>
      <c r="AD414" s="760" t="s">
        <v>2898</v>
      </c>
      <c r="AE414" s="173" t="s">
        <v>1256</v>
      </c>
      <c r="AF414" s="173" t="s">
        <v>2592</v>
      </c>
      <c r="AG414" s="173" t="s">
        <v>1177</v>
      </c>
      <c r="AH414" s="281" t="s">
        <v>559</v>
      </c>
      <c r="AI414" s="305"/>
      <c r="AJ414" s="305" t="s">
        <v>600</v>
      </c>
      <c r="AK414" s="181" t="str">
        <f t="shared" ca="1" si="86"/>
        <v>TERMINO</v>
      </c>
      <c r="AL414" s="181" t="s">
        <v>582</v>
      </c>
      <c r="AM414" s="176" t="s">
        <v>391</v>
      </c>
      <c r="AN414" s="848" t="str">
        <f>IFERROR(VLOOKUP(E414,'liquidaciones '!$B$2:$C$1048576,2,0),"NO")</f>
        <v>LIQUIDADO</v>
      </c>
      <c r="AO414" s="944" t="str">
        <f>IFERROR(VLOOKUP(E414,'liquidaciones '!$B$2:$I$1048576,8,0),"")</f>
        <v>JAVIER QUINTERO</v>
      </c>
      <c r="AP414" s="338"/>
      <c r="AQ414" s="177" t="s">
        <v>390</v>
      </c>
      <c r="AR414" s="177" t="s">
        <v>2601</v>
      </c>
      <c r="AS414" s="433"/>
      <c r="AT414" s="964"/>
      <c r="AU414" s="964"/>
      <c r="AV414" s="964"/>
    </row>
    <row r="415" spans="3:48" ht="69" customHeight="1" x14ac:dyDescent="0.25">
      <c r="C415" s="437">
        <v>215</v>
      </c>
      <c r="D415" s="437"/>
      <c r="E415" s="866" t="s">
        <v>2501</v>
      </c>
      <c r="F415" s="280" t="s">
        <v>1017</v>
      </c>
      <c r="G415" s="903" t="s">
        <v>2867</v>
      </c>
      <c r="H415" s="1001" t="s">
        <v>3025</v>
      </c>
      <c r="I415" s="908">
        <v>8110000</v>
      </c>
      <c r="J415" s="713" t="s">
        <v>2511</v>
      </c>
      <c r="K415" s="295">
        <v>2016</v>
      </c>
      <c r="L415" s="546">
        <v>42541</v>
      </c>
      <c r="M415" s="296">
        <v>42551</v>
      </c>
      <c r="N415" s="296">
        <v>42734</v>
      </c>
      <c r="O415" s="127">
        <f>COUNTA(Modificaciones!I411,Modificaciones!K411,Modificaciones!M411,Modificaciones!O411)</f>
        <v>0</v>
      </c>
      <c r="P415" s="128">
        <f>VLOOKUP(E415,Modificaciones!$B$7:$Q$415,16,0)</f>
        <v>0</v>
      </c>
      <c r="Q415" s="129">
        <f>COUNTA(Modificaciones!S415,Modificaciones!U415,Modificaciones!W415,Modificaciones!Y415)</f>
        <v>1</v>
      </c>
      <c r="R415" s="130" t="str">
        <f>IF(Modificaciones!Z415=0,"",VLOOKUP(E415,Modificaciones!$B$7:$AA$500,25,0))</f>
        <v>3 meses</v>
      </c>
      <c r="S415" s="131">
        <f>IF(Modificaciones!AA415=0,"",VLOOKUP(E415,Modificaciones!$B$7:$AA$500,26,0))</f>
        <v>42824</v>
      </c>
      <c r="T415" s="126">
        <f t="shared" si="80"/>
        <v>42824</v>
      </c>
      <c r="U415" s="62">
        <f t="shared" si="81"/>
        <v>8110000</v>
      </c>
      <c r="V415" s="172">
        <f>VLOOKUP(E415,Modificaciones!$B$7:$AU$415,46,0)</f>
        <v>7877300</v>
      </c>
      <c r="W415" s="93">
        <f t="shared" si="77"/>
        <v>232700</v>
      </c>
      <c r="X415" s="314" t="s">
        <v>1232</v>
      </c>
      <c r="Y415" s="852">
        <f t="shared" si="82"/>
        <v>0.97130702836004934</v>
      </c>
      <c r="Z415" s="42">
        <f t="shared" ca="1" si="83"/>
        <v>1</v>
      </c>
      <c r="AA415" s="43">
        <f t="shared" ca="1" si="84"/>
        <v>2.869297163995066E-2</v>
      </c>
      <c r="AB415" s="202" t="str">
        <f t="shared" ca="1" si="85"/>
        <v/>
      </c>
      <c r="AC415" s="44" t="str">
        <f t="shared" si="87"/>
        <v>NO</v>
      </c>
      <c r="AD415" s="760" t="s">
        <v>2512</v>
      </c>
      <c r="AE415" s="173" t="s">
        <v>1256</v>
      </c>
      <c r="AF415" s="301" t="s">
        <v>1144</v>
      </c>
      <c r="AG415" s="173" t="s">
        <v>1442</v>
      </c>
      <c r="AH415" s="281" t="s">
        <v>560</v>
      </c>
      <c r="AI415" s="174" t="s">
        <v>1380</v>
      </c>
      <c r="AJ415" s="305" t="s">
        <v>600</v>
      </c>
      <c r="AK415" s="181" t="str">
        <f t="shared" ca="1" si="86"/>
        <v>TERMINO</v>
      </c>
      <c r="AL415" s="310" t="s">
        <v>576</v>
      </c>
      <c r="AM415" s="176" t="s">
        <v>390</v>
      </c>
      <c r="AN415" s="848" t="str">
        <f>IFERROR(VLOOKUP(E415,'liquidaciones '!$B$2:$C$1048576,2,0),"NO")</f>
        <v>LIQUIDADO</v>
      </c>
      <c r="AO415" s="944" t="str">
        <f>IFERROR(VLOOKUP(E415,'liquidaciones '!$B$2:$I$1048576,8,0),"")</f>
        <v>MANUEL ROJAS</v>
      </c>
      <c r="AP415" s="338"/>
      <c r="AQ415" s="177" t="s">
        <v>390</v>
      </c>
      <c r="AR415" s="177" t="s">
        <v>2601</v>
      </c>
      <c r="AS415" s="433"/>
      <c r="AT415" s="964"/>
      <c r="AU415" s="964"/>
      <c r="AV415" s="964"/>
    </row>
    <row r="416" spans="3:48" ht="56.25" x14ac:dyDescent="0.25">
      <c r="C416" s="437">
        <v>261</v>
      </c>
      <c r="D416" s="437"/>
      <c r="E416" s="306" t="s">
        <v>2502</v>
      </c>
      <c r="F416" s="280" t="s">
        <v>1965</v>
      </c>
      <c r="G416" s="903">
        <v>51647190</v>
      </c>
      <c r="H416" s="1001" t="s">
        <v>2503</v>
      </c>
      <c r="I416" s="908">
        <v>44000000</v>
      </c>
      <c r="J416" s="713" t="s">
        <v>2502</v>
      </c>
      <c r="K416" s="295">
        <v>2016</v>
      </c>
      <c r="L416" s="546">
        <v>42544</v>
      </c>
      <c r="M416" s="296">
        <v>42548</v>
      </c>
      <c r="N416" s="296">
        <v>42793</v>
      </c>
      <c r="O416" s="127">
        <f>COUNTA(Modificaciones!I412,Modificaciones!K412,Modificaciones!M412,Modificaciones!O412)</f>
        <v>0</v>
      </c>
      <c r="P416" s="128">
        <f>VLOOKUP(E416,Modificaciones!$B$7:$Q$416,16,0)</f>
        <v>0</v>
      </c>
      <c r="Q416" s="129">
        <f>COUNTA(Modificaciones!S416,Modificaciones!U416,Modificaciones!W416,Modificaciones!Y416)</f>
        <v>0</v>
      </c>
      <c r="R416" s="130" t="str">
        <f>IF(Modificaciones!Z416=0,"",VLOOKUP(E416,Modificaciones!$B$7:$AA$500,25,0))</f>
        <v/>
      </c>
      <c r="S416" s="131" t="str">
        <f>IF(Modificaciones!AA416=0,"",VLOOKUP(E416,Modificaciones!$B$7:$AA$500,26,0))</f>
        <v/>
      </c>
      <c r="T416" s="126">
        <f t="shared" si="80"/>
        <v>42793</v>
      </c>
      <c r="U416" s="62">
        <f t="shared" si="81"/>
        <v>44000000</v>
      </c>
      <c r="V416" s="172">
        <f>VLOOKUP(E416,Modificaciones!$B$7:$AU$416,46,0)</f>
        <v>44000000</v>
      </c>
      <c r="W416" s="93">
        <f t="shared" si="77"/>
        <v>0</v>
      </c>
      <c r="X416" s="309" t="s">
        <v>1967</v>
      </c>
      <c r="Y416" s="852">
        <f t="shared" si="82"/>
        <v>1</v>
      </c>
      <c r="Z416" s="42">
        <f t="shared" ca="1" si="83"/>
        <v>1</v>
      </c>
      <c r="AA416" s="43">
        <f t="shared" ca="1" si="84"/>
        <v>0</v>
      </c>
      <c r="AB416" s="202" t="str">
        <f t="shared" ca="1" si="85"/>
        <v/>
      </c>
      <c r="AC416" s="44" t="str">
        <f t="shared" si="87"/>
        <v>SI</v>
      </c>
      <c r="AD416" s="760" t="s">
        <v>2898</v>
      </c>
      <c r="AE416" s="173" t="s">
        <v>1256</v>
      </c>
      <c r="AF416" s="281" t="s">
        <v>1968</v>
      </c>
      <c r="AG416" s="173" t="s">
        <v>1429</v>
      </c>
      <c r="AH416" s="281" t="s">
        <v>563</v>
      </c>
      <c r="AI416" s="305"/>
      <c r="AJ416" s="305" t="s">
        <v>600</v>
      </c>
      <c r="AK416" s="181" t="str">
        <f t="shared" ca="1" si="86"/>
        <v>TERMINO</v>
      </c>
      <c r="AL416" s="310" t="s">
        <v>582</v>
      </c>
      <c r="AM416" s="176" t="s">
        <v>391</v>
      </c>
      <c r="AN416" s="848" t="str">
        <f>IFERROR(VLOOKUP(E416,'liquidaciones '!$B$2:$C$1048576,2,0),"NO")</f>
        <v>LIQUIDADO</v>
      </c>
      <c r="AO416" s="944" t="str">
        <f>IFERROR(VLOOKUP(E416,'liquidaciones '!$B$2:$I$1048576,8,0),"")</f>
        <v>EDWARD MORENO</v>
      </c>
      <c r="AP416" s="338"/>
      <c r="AQ416" s="177" t="s">
        <v>390</v>
      </c>
      <c r="AR416" s="177" t="s">
        <v>1510</v>
      </c>
      <c r="AS416" s="433"/>
      <c r="AT416" s="964"/>
      <c r="AU416" s="964"/>
      <c r="AV416" s="964"/>
    </row>
    <row r="417" spans="3:48" ht="22.5" x14ac:dyDescent="0.25">
      <c r="C417" s="437">
        <v>196</v>
      </c>
      <c r="D417" s="437"/>
      <c r="E417" s="306" t="s">
        <v>2506</v>
      </c>
      <c r="F417" s="280" t="s">
        <v>2507</v>
      </c>
      <c r="G417" s="903" t="s">
        <v>2508</v>
      </c>
      <c r="H417" s="1001" t="s">
        <v>2510</v>
      </c>
      <c r="I417" s="908">
        <v>12637000</v>
      </c>
      <c r="J417" s="727"/>
      <c r="K417" s="295">
        <v>2016</v>
      </c>
      <c r="L417" s="546">
        <v>42545</v>
      </c>
      <c r="M417" s="296"/>
      <c r="N417" s="296"/>
      <c r="O417" s="127">
        <f>COUNTA(Modificaciones!I413,Modificaciones!K413,Modificaciones!M413,Modificaciones!O413)</f>
        <v>0</v>
      </c>
      <c r="P417" s="128">
        <f>VLOOKUP(E417,Modificaciones!$B$7:$Q$417,16,0)</f>
        <v>0</v>
      </c>
      <c r="Q417" s="129">
        <f>COUNTA(Modificaciones!S417,Modificaciones!U417,Modificaciones!W417,Modificaciones!Y417)</f>
        <v>0</v>
      </c>
      <c r="R417" s="130" t="str">
        <f>IF(Modificaciones!Z417=0,"",VLOOKUP(E417,Modificaciones!$B$7:$AA$500,25,0))</f>
        <v/>
      </c>
      <c r="S417" s="131" t="str">
        <f>IF(Modificaciones!AA417=0,"",VLOOKUP(E417,Modificaciones!$B$7:$AA$500,26,0))</f>
        <v/>
      </c>
      <c r="T417" s="126">
        <f t="shared" si="80"/>
        <v>0</v>
      </c>
      <c r="U417" s="62">
        <f t="shared" si="81"/>
        <v>12637000</v>
      </c>
      <c r="V417" s="172">
        <f>VLOOKUP(E417,Modificaciones!$B$7:$AU$417,46,0)</f>
        <v>12636504</v>
      </c>
      <c r="W417" s="93">
        <f t="shared" si="77"/>
        <v>496</v>
      </c>
      <c r="X417" s="309" t="s">
        <v>2509</v>
      </c>
      <c r="Y417" s="852">
        <f t="shared" si="82"/>
        <v>0.99996075017804864</v>
      </c>
      <c r="Z417" s="42" t="e">
        <f t="shared" ca="1" si="83"/>
        <v>#DIV/0!</v>
      </c>
      <c r="AA417" s="43" t="e">
        <f t="shared" ca="1" si="84"/>
        <v>#DIV/0!</v>
      </c>
      <c r="AB417" s="202" t="e">
        <f t="shared" ca="1" si="85"/>
        <v>#DIV/0!</v>
      </c>
      <c r="AC417" s="44" t="str">
        <f t="shared" si="87"/>
        <v>SI</v>
      </c>
      <c r="AD417" s="760"/>
      <c r="AE417" s="173" t="s">
        <v>1256</v>
      </c>
      <c r="AF417" s="173" t="s">
        <v>2401</v>
      </c>
      <c r="AG417" s="173"/>
      <c r="AH417" s="281" t="s">
        <v>560</v>
      </c>
      <c r="AI417" s="305" t="s">
        <v>1319</v>
      </c>
      <c r="AJ417" s="305" t="s">
        <v>600</v>
      </c>
      <c r="AK417" s="181" t="str">
        <f t="shared" ca="1" si="86"/>
        <v>TERMINO</v>
      </c>
      <c r="AL417" s="310"/>
      <c r="AM417" s="176"/>
      <c r="AN417" s="848" t="str">
        <f>IFERROR(VLOOKUP(E417,'liquidaciones '!$B$2:$C$1048576,2,0),"NO")</f>
        <v>LIQUIDADO</v>
      </c>
      <c r="AO417" s="944" t="str">
        <f>IFERROR(VLOOKUP(E417,'liquidaciones '!$B$2:$I$1048576,8,0),"")</f>
        <v>JULIETH ANGARITA</v>
      </c>
      <c r="AP417" s="338"/>
      <c r="AQ417" s="177" t="s">
        <v>390</v>
      </c>
      <c r="AR417" s="177"/>
      <c r="AS417" s="433"/>
      <c r="AT417" s="964"/>
      <c r="AU417" s="964"/>
      <c r="AV417" s="964"/>
    </row>
    <row r="418" spans="3:48" ht="45" x14ac:dyDescent="0.25">
      <c r="C418" s="437">
        <v>218</v>
      </c>
      <c r="D418" s="437"/>
      <c r="E418" s="306" t="s">
        <v>2513</v>
      </c>
      <c r="F418" s="280" t="s">
        <v>2514</v>
      </c>
      <c r="G418" s="903">
        <v>900048718</v>
      </c>
      <c r="H418" s="1001" t="s">
        <v>3026</v>
      </c>
      <c r="I418" s="908">
        <v>23000000</v>
      </c>
      <c r="J418" s="713" t="s">
        <v>2515</v>
      </c>
      <c r="K418" s="295">
        <v>2016</v>
      </c>
      <c r="L418" s="546">
        <v>42542</v>
      </c>
      <c r="M418" s="296">
        <v>42549</v>
      </c>
      <c r="N418" s="296">
        <v>42579</v>
      </c>
      <c r="O418" s="127">
        <f>COUNTA(Modificaciones!I414,Modificaciones!K414,Modificaciones!M414,Modificaciones!O414)</f>
        <v>0</v>
      </c>
      <c r="P418" s="128">
        <f>VLOOKUP(E418,Modificaciones!$B$7:$Q$418,16,0)</f>
        <v>0</v>
      </c>
      <c r="Q418" s="129">
        <f>COUNTA(Modificaciones!S418,Modificaciones!U418,Modificaciones!W418,Modificaciones!Y418)</f>
        <v>0</v>
      </c>
      <c r="R418" s="130" t="str">
        <f>IF(Modificaciones!Z418=0,"",VLOOKUP(E418,Modificaciones!$B$7:$AA$500,25,0))</f>
        <v/>
      </c>
      <c r="S418" s="131" t="str">
        <f>IF(Modificaciones!AA418=0,"",VLOOKUP(E418,Modificaciones!$B$7:$AA$500,26,0))</f>
        <v/>
      </c>
      <c r="T418" s="126">
        <f t="shared" si="80"/>
        <v>42579</v>
      </c>
      <c r="U418" s="62">
        <f t="shared" si="81"/>
        <v>23000000</v>
      </c>
      <c r="V418" s="172">
        <f>VLOOKUP(E418,Modificaciones!$B$7:$AU$418,46,0)</f>
        <v>22847465</v>
      </c>
      <c r="W418" s="93">
        <f t="shared" si="77"/>
        <v>152535</v>
      </c>
      <c r="X418" s="309" t="s">
        <v>2516</v>
      </c>
      <c r="Y418" s="852">
        <f t="shared" si="82"/>
        <v>0.99336804347826091</v>
      </c>
      <c r="Z418" s="42">
        <f t="shared" ca="1" si="83"/>
        <v>1</v>
      </c>
      <c r="AA418" s="43">
        <f t="shared" ca="1" si="84"/>
        <v>6.6319565217390908E-3</v>
      </c>
      <c r="AB418" s="202" t="str">
        <f t="shared" ca="1" si="85"/>
        <v/>
      </c>
      <c r="AC418" s="44" t="str">
        <f t="shared" si="87"/>
        <v>NO</v>
      </c>
      <c r="AD418" s="760" t="s">
        <v>1717</v>
      </c>
      <c r="AE418" s="173" t="s">
        <v>1256</v>
      </c>
      <c r="AF418" s="281" t="s">
        <v>1286</v>
      </c>
      <c r="AG418" s="173"/>
      <c r="AH418" s="281"/>
      <c r="AI418" s="305" t="s">
        <v>1380</v>
      </c>
      <c r="AJ418" s="305" t="s">
        <v>600</v>
      </c>
      <c r="AK418" s="181" t="str">
        <f t="shared" ca="1" si="86"/>
        <v>TERMINO</v>
      </c>
      <c r="AL418" s="310" t="s">
        <v>574</v>
      </c>
      <c r="AM418" s="176" t="s">
        <v>390</v>
      </c>
      <c r="AN418" s="848" t="str">
        <f>IFERROR(VLOOKUP(E418,'liquidaciones '!$B$2:$C$1048576,2,0),"NO")</f>
        <v>LIQUIDADO</v>
      </c>
      <c r="AO418" s="944" t="str">
        <f>IFERROR(VLOOKUP(E418,'liquidaciones '!$B$2:$I$1048576,8,0),"")</f>
        <v>DORA PINILLA</v>
      </c>
      <c r="AP418" s="338"/>
      <c r="AQ418" s="177" t="s">
        <v>390</v>
      </c>
      <c r="AR418" s="177" t="s">
        <v>2604</v>
      </c>
      <c r="AS418" s="433"/>
      <c r="AT418" s="964"/>
      <c r="AU418" s="964"/>
      <c r="AV418" s="964"/>
    </row>
    <row r="419" spans="3:48" ht="33.75" x14ac:dyDescent="0.25">
      <c r="C419" s="437">
        <v>146</v>
      </c>
      <c r="D419" s="437"/>
      <c r="E419" s="306" t="s">
        <v>2517</v>
      </c>
      <c r="F419" s="280" t="s">
        <v>1906</v>
      </c>
      <c r="G419" s="903">
        <v>860019063</v>
      </c>
      <c r="H419" s="1001" t="s">
        <v>3027</v>
      </c>
      <c r="I419" s="908">
        <v>15000000</v>
      </c>
      <c r="J419" s="713" t="s">
        <v>2517</v>
      </c>
      <c r="K419" s="295">
        <v>2016</v>
      </c>
      <c r="L419" s="546">
        <v>42534</v>
      </c>
      <c r="M419" s="296">
        <v>42550</v>
      </c>
      <c r="N419" s="296">
        <v>42733</v>
      </c>
      <c r="O419" s="127">
        <f>COUNTA(Modificaciones!I415,Modificaciones!K415,Modificaciones!M415,Modificaciones!O415)</f>
        <v>0</v>
      </c>
      <c r="P419" s="128">
        <f>VLOOKUP(E419,Modificaciones!$B$7:$Q$419,16,0)</f>
        <v>0</v>
      </c>
      <c r="Q419" s="129">
        <f>COUNTA(Modificaciones!S419,Modificaciones!U419,Modificaciones!W419,Modificaciones!Y419)</f>
        <v>1</v>
      </c>
      <c r="R419" s="130" t="str">
        <f>IF(Modificaciones!Z419=0,"",VLOOKUP(E419,Modificaciones!$B$7:$AA$500,25,0))</f>
        <v>1 mes y 7 días</v>
      </c>
      <c r="S419" s="131">
        <f>IF(Modificaciones!AA419=0,"",VLOOKUP(E419,Modificaciones!$B$7:$AA$500,26,0))</f>
        <v>42766</v>
      </c>
      <c r="T419" s="126">
        <f t="shared" si="80"/>
        <v>42766</v>
      </c>
      <c r="U419" s="62">
        <f t="shared" si="81"/>
        <v>15000000</v>
      </c>
      <c r="V419" s="172">
        <f>VLOOKUP(E419,Modificaciones!$B$7:$AU$419,46,0)</f>
        <v>14977489</v>
      </c>
      <c r="W419" s="93">
        <f t="shared" si="77"/>
        <v>22511</v>
      </c>
      <c r="X419" s="309" t="s">
        <v>1909</v>
      </c>
      <c r="Y419" s="852">
        <f t="shared" si="82"/>
        <v>0.99849926666666666</v>
      </c>
      <c r="Z419" s="42">
        <f t="shared" ca="1" si="83"/>
        <v>1</v>
      </c>
      <c r="AA419" s="43">
        <f t="shared" ca="1" si="84"/>
        <v>1.5007333333333372E-3</v>
      </c>
      <c r="AB419" s="202" t="str">
        <f t="shared" ca="1" si="85"/>
        <v/>
      </c>
      <c r="AC419" s="44" t="str">
        <f t="shared" si="87"/>
        <v>NO</v>
      </c>
      <c r="AD419" s="760" t="s">
        <v>1710</v>
      </c>
      <c r="AE419" s="173" t="s">
        <v>1256</v>
      </c>
      <c r="AF419" s="173" t="s">
        <v>2518</v>
      </c>
      <c r="AG419" s="173" t="s">
        <v>1442</v>
      </c>
      <c r="AH419" s="281" t="s">
        <v>560</v>
      </c>
      <c r="AI419" s="174" t="s">
        <v>1319</v>
      </c>
      <c r="AJ419" s="305" t="s">
        <v>600</v>
      </c>
      <c r="AK419" s="181" t="str">
        <f t="shared" ca="1" si="86"/>
        <v>TERMINO</v>
      </c>
      <c r="AL419" s="310" t="s">
        <v>582</v>
      </c>
      <c r="AM419" s="176" t="s">
        <v>390</v>
      </c>
      <c r="AN419" s="848" t="str">
        <f>IFERROR(VLOOKUP(E419,'liquidaciones '!$B$2:$C$1048576,2,0),"NO")</f>
        <v>LIQUIDADO</v>
      </c>
      <c r="AO419" s="944" t="str">
        <f>IFERROR(VLOOKUP(E419,'liquidaciones '!$B$2:$I$1048576,8,0),"")</f>
        <v>MANUEL ROJAS</v>
      </c>
      <c r="AP419" s="338"/>
      <c r="AQ419" s="177" t="s">
        <v>390</v>
      </c>
      <c r="AR419" s="177" t="s">
        <v>2601</v>
      </c>
      <c r="AS419" s="433"/>
      <c r="AT419" s="964"/>
      <c r="AU419" s="964"/>
      <c r="AV419" s="964"/>
    </row>
    <row r="420" spans="3:48" ht="45" x14ac:dyDescent="0.25">
      <c r="C420" s="437">
        <v>231</v>
      </c>
      <c r="D420" s="437"/>
      <c r="E420" s="306" t="s">
        <v>2520</v>
      </c>
      <c r="F420" s="864" t="s">
        <v>41</v>
      </c>
      <c r="G420" s="903">
        <v>830034865</v>
      </c>
      <c r="H420" s="1001" t="s">
        <v>3028</v>
      </c>
      <c r="I420" s="908">
        <v>53964000</v>
      </c>
      <c r="J420" s="713" t="s">
        <v>2546</v>
      </c>
      <c r="K420" s="295">
        <v>2016</v>
      </c>
      <c r="L420" s="546">
        <v>42543</v>
      </c>
      <c r="M420" s="296">
        <v>42556</v>
      </c>
      <c r="N420" s="296">
        <v>42830</v>
      </c>
      <c r="O420" s="127">
        <f>COUNTA(Modificaciones!I416,Modificaciones!K416,Modificaciones!M416,Modificaciones!O416)</f>
        <v>0</v>
      </c>
      <c r="P420" s="128">
        <f>VLOOKUP(E420,Modificaciones!$B$7:$Q$420,16,0)</f>
        <v>0</v>
      </c>
      <c r="Q420" s="129">
        <f>COUNTA(Modificaciones!S420,Modificaciones!U420,Modificaciones!W420,Modificaciones!Y420)</f>
        <v>1</v>
      </c>
      <c r="R420" s="130" t="str">
        <f>IF(Modificaciones!Z420=0,"",VLOOKUP(E420,Modificaciones!$B$7:$AA$500,25,0))</f>
        <v>2 meses</v>
      </c>
      <c r="S420" s="131">
        <f>IF(Modificaciones!AA420=0,"",VLOOKUP(E420,Modificaciones!$B$7:$AA$500,26,0))</f>
        <v>42891</v>
      </c>
      <c r="T420" s="126">
        <f t="shared" si="80"/>
        <v>42891</v>
      </c>
      <c r="U420" s="62">
        <f t="shared" si="81"/>
        <v>53964000</v>
      </c>
      <c r="V420" s="172">
        <f>VLOOKUP(E420,Modificaciones!$B$7:$AU$420,46,0)</f>
        <v>51363750</v>
      </c>
      <c r="W420" s="93">
        <f t="shared" si="77"/>
        <v>2600250</v>
      </c>
      <c r="X420" s="314" t="s">
        <v>2521</v>
      </c>
      <c r="Y420" s="852">
        <f t="shared" si="82"/>
        <v>0.95181509895485883</v>
      </c>
      <c r="Z420" s="42">
        <f t="shared" ca="1" si="83"/>
        <v>1</v>
      </c>
      <c r="AA420" s="43">
        <f t="shared" ca="1" si="84"/>
        <v>4.8184901045141171E-2</v>
      </c>
      <c r="AB420" s="202" t="str">
        <f t="shared" ca="1" si="85"/>
        <v/>
      </c>
      <c r="AC420" s="44" t="str">
        <f t="shared" si="87"/>
        <v>NO</v>
      </c>
      <c r="AD420" s="760" t="s">
        <v>1710</v>
      </c>
      <c r="AE420" s="173" t="s">
        <v>1256</v>
      </c>
      <c r="AF420" s="301" t="s">
        <v>1175</v>
      </c>
      <c r="AG420" s="173" t="s">
        <v>1435</v>
      </c>
      <c r="AH420" s="281" t="s">
        <v>560</v>
      </c>
      <c r="AI420" s="174" t="s">
        <v>1389</v>
      </c>
      <c r="AJ420" s="305" t="s">
        <v>600</v>
      </c>
      <c r="AK420" s="181" t="str">
        <f t="shared" ca="1" si="86"/>
        <v>TERMINO</v>
      </c>
      <c r="AL420" s="173" t="s">
        <v>577</v>
      </c>
      <c r="AM420" s="176" t="s">
        <v>390</v>
      </c>
      <c r="AN420" s="848" t="str">
        <f>IFERROR(VLOOKUP(E420,'liquidaciones '!$B$2:$C$1048576,2,0),"NO")</f>
        <v>LIQUIDADO</v>
      </c>
      <c r="AO420" s="944" t="str">
        <f>IFERROR(VLOOKUP(E420,'liquidaciones '!$B$2:$I$1048576,8,0),"")</f>
        <v>MANUEL ROJAS</v>
      </c>
      <c r="AP420" s="338"/>
      <c r="AQ420" s="177" t="s">
        <v>390</v>
      </c>
      <c r="AR420" s="177" t="s">
        <v>981</v>
      </c>
      <c r="AS420" s="433"/>
      <c r="AT420" s="964"/>
      <c r="AU420" s="964"/>
      <c r="AV420" s="964"/>
    </row>
    <row r="421" spans="3:48" ht="45" x14ac:dyDescent="0.25">
      <c r="C421" s="437">
        <v>223</v>
      </c>
      <c r="D421" s="437" t="str">
        <f>K421&amp;C421</f>
        <v>2016223</v>
      </c>
      <c r="E421" s="854" t="s">
        <v>2522</v>
      </c>
      <c r="F421" s="853" t="s">
        <v>2523</v>
      </c>
      <c r="G421" s="903">
        <v>4831</v>
      </c>
      <c r="H421" s="1001" t="s">
        <v>3029</v>
      </c>
      <c r="I421" s="909">
        <v>23707000</v>
      </c>
      <c r="J421" s="713" t="s">
        <v>2528</v>
      </c>
      <c r="K421" s="295">
        <v>2016</v>
      </c>
      <c r="L421" s="546">
        <v>42523</v>
      </c>
      <c r="M421" s="856">
        <v>42556</v>
      </c>
      <c r="N421" s="855">
        <v>42771</v>
      </c>
      <c r="O421" s="127">
        <f>COUNTA(Modificaciones!I407,Modificaciones!K407,Modificaciones!M407,Modificaciones!O407)</f>
        <v>0</v>
      </c>
      <c r="P421" s="128">
        <f>VLOOKUP(E421,Modificaciones!$B$7:$Q$421,16,0)</f>
        <v>0</v>
      </c>
      <c r="Q421" s="129">
        <f>COUNTA(Modificaciones!S421,Modificaciones!U421,Modificaciones!W421,Modificaciones!Y421)</f>
        <v>1</v>
      </c>
      <c r="R421" s="130" t="str">
        <f>IF(Modificaciones!Z421=0,"",VLOOKUP(E421,Modificaciones!$B$7:$AA$500,25,0))</f>
        <v>2 meses</v>
      </c>
      <c r="S421" s="131">
        <f>IF(Modificaciones!AA421=0,"",VLOOKUP(E421,Modificaciones!$B$7:$AA$500,26,0))</f>
        <v>42830</v>
      </c>
      <c r="T421" s="126">
        <f t="shared" si="80"/>
        <v>42830</v>
      </c>
      <c r="U421" s="62">
        <f t="shared" si="81"/>
        <v>23707000</v>
      </c>
      <c r="V421" s="172">
        <f>VLOOKUP(E421,Modificaciones!$B$7:$AU$421,46,0)</f>
        <v>17894230</v>
      </c>
      <c r="W421" s="93">
        <f t="shared" si="77"/>
        <v>5812770</v>
      </c>
      <c r="X421" s="309" t="s">
        <v>1641</v>
      </c>
      <c r="Y421" s="852">
        <f t="shared" si="82"/>
        <v>0.75480786265659927</v>
      </c>
      <c r="Z421" s="42">
        <f t="shared" ca="1" si="83"/>
        <v>1</v>
      </c>
      <c r="AA421" s="43">
        <f t="shared" ca="1" si="84"/>
        <v>0.24519213734340073</v>
      </c>
      <c r="AB421" s="202" t="str">
        <f t="shared" ca="1" si="85"/>
        <v/>
      </c>
      <c r="AC421" s="44" t="str">
        <f t="shared" si="87"/>
        <v>NO</v>
      </c>
      <c r="AD421" s="760" t="s">
        <v>1710</v>
      </c>
      <c r="AE421" s="173" t="s">
        <v>1256</v>
      </c>
      <c r="AF421" s="173" t="s">
        <v>1126</v>
      </c>
      <c r="AG421" s="173" t="s">
        <v>1442</v>
      </c>
      <c r="AH421" s="281" t="s">
        <v>560</v>
      </c>
      <c r="AI421" s="174" t="s">
        <v>1319</v>
      </c>
      <c r="AJ421" s="305" t="s">
        <v>600</v>
      </c>
      <c r="AK421" s="181" t="str">
        <f t="shared" ca="1" si="86"/>
        <v>TERMINO</v>
      </c>
      <c r="AL421" s="181" t="s">
        <v>576</v>
      </c>
      <c r="AM421" s="176" t="s">
        <v>390</v>
      </c>
      <c r="AN421" s="848" t="str">
        <f>IFERROR(VLOOKUP(E421,'liquidaciones '!$B$2:$C$1048576,2,0),"NO")</f>
        <v>LIQUIDADO</v>
      </c>
      <c r="AO421" s="944">
        <f>IFERROR(VLOOKUP(E421,'liquidaciones '!$B$2:$I$1048576,8,0),"")</f>
        <v>0</v>
      </c>
      <c r="AP421" s="338"/>
      <c r="AQ421" s="177" t="s">
        <v>390</v>
      </c>
      <c r="AR421" s="177" t="s">
        <v>2965</v>
      </c>
      <c r="AS421" s="433"/>
      <c r="AT421" s="964"/>
      <c r="AU421" s="964"/>
      <c r="AV421" s="964"/>
    </row>
    <row r="422" spans="3:48" ht="45" x14ac:dyDescent="0.25">
      <c r="C422" s="437">
        <v>84</v>
      </c>
      <c r="D422" s="437" t="str">
        <f>K422&amp;C422</f>
        <v>201684</v>
      </c>
      <c r="E422" s="761" t="s">
        <v>2524</v>
      </c>
      <c r="F422" s="853" t="s">
        <v>2044</v>
      </c>
      <c r="G422" s="903">
        <v>35493364</v>
      </c>
      <c r="H422" s="1001" t="s">
        <v>2525</v>
      </c>
      <c r="I422" s="908">
        <v>38500000</v>
      </c>
      <c r="J422" s="713" t="s">
        <v>2524</v>
      </c>
      <c r="K422" s="295">
        <v>2016</v>
      </c>
      <c r="L422" s="546">
        <v>42550</v>
      </c>
      <c r="M422" s="856">
        <v>42556</v>
      </c>
      <c r="N422" s="856">
        <v>42771</v>
      </c>
      <c r="O422" s="127">
        <f>COUNTA(Modificaciones!I408,Modificaciones!K408,Modificaciones!M408,Modificaciones!O408)</f>
        <v>0</v>
      </c>
      <c r="P422" s="128">
        <f>VLOOKUP(E422,Modificaciones!$B$7:$Q$422,16,0)</f>
        <v>0</v>
      </c>
      <c r="Q422" s="129">
        <f>COUNTA(Modificaciones!S422,Modificaciones!U422,Modificaciones!W422,Modificaciones!Y422)</f>
        <v>0</v>
      </c>
      <c r="R422" s="130" t="str">
        <f>IF(Modificaciones!Z422=0,"",VLOOKUP(E422,Modificaciones!$B$7:$AA$500,25,0))</f>
        <v/>
      </c>
      <c r="S422" s="131" t="str">
        <f>IF(Modificaciones!AA422=0,"",VLOOKUP(E422,Modificaciones!$B$7:$AA$500,26,0))</f>
        <v/>
      </c>
      <c r="T422" s="126">
        <f t="shared" si="80"/>
        <v>42771</v>
      </c>
      <c r="U422" s="62">
        <f t="shared" si="81"/>
        <v>38500000</v>
      </c>
      <c r="V422" s="172">
        <f>VLOOKUP(E422,Modificaciones!$B$7:$AU$422,46,0)</f>
        <v>38500000</v>
      </c>
      <c r="W422" s="93">
        <f t="shared" si="77"/>
        <v>0</v>
      </c>
      <c r="X422" s="309" t="s">
        <v>2527</v>
      </c>
      <c r="Y422" s="852">
        <f t="shared" si="82"/>
        <v>1</v>
      </c>
      <c r="Z422" s="42">
        <f t="shared" ca="1" si="83"/>
        <v>1</v>
      </c>
      <c r="AA422" s="43">
        <f t="shared" ca="1" si="84"/>
        <v>0</v>
      </c>
      <c r="AB422" s="202" t="str">
        <f t="shared" ca="1" si="85"/>
        <v/>
      </c>
      <c r="AC422" s="44" t="str">
        <f t="shared" si="87"/>
        <v>SI</v>
      </c>
      <c r="AD422" s="760" t="s">
        <v>2898</v>
      </c>
      <c r="AE422" s="173" t="s">
        <v>1256</v>
      </c>
      <c r="AF422" s="173" t="s">
        <v>2526</v>
      </c>
      <c r="AG422" s="173"/>
      <c r="AH422" s="281" t="s">
        <v>560</v>
      </c>
      <c r="AI422" s="305"/>
      <c r="AJ422" s="305" t="s">
        <v>600</v>
      </c>
      <c r="AK422" s="181" t="str">
        <f t="shared" ca="1" si="86"/>
        <v>TERMINO</v>
      </c>
      <c r="AL422" s="181" t="s">
        <v>576</v>
      </c>
      <c r="AM422" s="176" t="s">
        <v>391</v>
      </c>
      <c r="AN422" s="848" t="str">
        <f>IFERROR(VLOOKUP(E422,'liquidaciones '!$B$2:$C$1048576,2,0),"NO")</f>
        <v>LIQUIDADO</v>
      </c>
      <c r="AO422" s="944" t="str">
        <f>IFERROR(VLOOKUP(E422,'liquidaciones '!$B$2:$I$1048576,8,0),"")</f>
        <v>JAVIER QUINTERO</v>
      </c>
      <c r="AP422" s="338"/>
      <c r="AQ422" s="177" t="s">
        <v>390</v>
      </c>
      <c r="AR422" s="177" t="s">
        <v>2601</v>
      </c>
      <c r="AS422" s="433"/>
      <c r="AT422" s="964"/>
      <c r="AU422" s="964"/>
      <c r="AV422" s="964"/>
    </row>
    <row r="423" spans="3:48" ht="69.75" customHeight="1" x14ac:dyDescent="0.25">
      <c r="C423" s="437">
        <v>97</v>
      </c>
      <c r="D423" s="437"/>
      <c r="E423" s="761" t="s">
        <v>2529</v>
      </c>
      <c r="F423" s="864" t="s">
        <v>2530</v>
      </c>
      <c r="G423" s="903" t="s">
        <v>2531</v>
      </c>
      <c r="H423" s="1001" t="s">
        <v>2532</v>
      </c>
      <c r="I423" s="908">
        <v>3712000</v>
      </c>
      <c r="J423" s="713" t="s">
        <v>2533</v>
      </c>
      <c r="K423" s="295">
        <v>2016</v>
      </c>
      <c r="L423" s="546">
        <v>42542</v>
      </c>
      <c r="M423" s="296">
        <v>42562</v>
      </c>
      <c r="N423" s="296">
        <v>42654</v>
      </c>
      <c r="O423" s="127">
        <f>COUNTA(Modificaciones!I419,Modificaciones!K419,Modificaciones!M419,Modificaciones!O419)</f>
        <v>0</v>
      </c>
      <c r="P423" s="128">
        <f>VLOOKUP(E423,Modificaciones!$B$7:$Q$423,16,0)</f>
        <v>0</v>
      </c>
      <c r="Q423" s="129">
        <f>COUNTA(Modificaciones!S423,Modificaciones!U423,Modificaciones!W423,Modificaciones!Y423)</f>
        <v>0</v>
      </c>
      <c r="R423" s="130" t="str">
        <f>IF(Modificaciones!Z423=0,"",VLOOKUP(E423,Modificaciones!$B$7:$AA$500,25,0))</f>
        <v/>
      </c>
      <c r="S423" s="131" t="str">
        <f>IF(Modificaciones!AA423=0,"",VLOOKUP(E423,Modificaciones!$B$7:$AA$500,26,0))</f>
        <v/>
      </c>
      <c r="T423" s="126">
        <f t="shared" si="80"/>
        <v>42654</v>
      </c>
      <c r="U423" s="62">
        <f t="shared" si="81"/>
        <v>3712000</v>
      </c>
      <c r="V423" s="172">
        <f>VLOOKUP(E423,Modificaciones!$B$7:$AU$423,46,0)</f>
        <v>3712000</v>
      </c>
      <c r="W423" s="93">
        <f t="shared" si="77"/>
        <v>0</v>
      </c>
      <c r="X423" s="859" t="s">
        <v>2537</v>
      </c>
      <c r="Y423" s="852">
        <f t="shared" si="82"/>
        <v>1</v>
      </c>
      <c r="Z423" s="42">
        <f t="shared" ca="1" si="83"/>
        <v>1</v>
      </c>
      <c r="AA423" s="43">
        <f t="shared" ca="1" si="84"/>
        <v>0</v>
      </c>
      <c r="AB423" s="202" t="str">
        <f t="shared" ca="1" si="85"/>
        <v/>
      </c>
      <c r="AC423" s="44" t="str">
        <f t="shared" si="87"/>
        <v>SI</v>
      </c>
      <c r="AD423" s="760" t="s">
        <v>1710</v>
      </c>
      <c r="AE423" s="173" t="s">
        <v>1256</v>
      </c>
      <c r="AF423" s="173" t="s">
        <v>2538</v>
      </c>
      <c r="AG423" s="857"/>
      <c r="AH423" s="281"/>
      <c r="AI423" s="305"/>
      <c r="AJ423" s="305" t="s">
        <v>600</v>
      </c>
      <c r="AK423" s="181" t="str">
        <f t="shared" ca="1" si="86"/>
        <v>TERMINO</v>
      </c>
      <c r="AL423" s="181" t="s">
        <v>576</v>
      </c>
      <c r="AM423" s="176" t="s">
        <v>391</v>
      </c>
      <c r="AN423" s="848" t="str">
        <f>IFERROR(VLOOKUP(E423,'liquidaciones '!$B$2:$C$1048576,2,0),"NO")</f>
        <v>LIQUIDADO</v>
      </c>
      <c r="AO423" s="944" t="str">
        <f>IFERROR(VLOOKUP(E423,'liquidaciones '!$B$2:$I$1048576,8,0),"")</f>
        <v>DORA PINILLA</v>
      </c>
      <c r="AP423" s="338"/>
      <c r="AQ423" s="177" t="s">
        <v>390</v>
      </c>
      <c r="AR423" s="177" t="s">
        <v>2605</v>
      </c>
      <c r="AS423" s="433"/>
      <c r="AT423" s="964"/>
      <c r="AU423" s="964"/>
      <c r="AV423" s="964"/>
    </row>
    <row r="424" spans="3:48" ht="45" x14ac:dyDescent="0.25">
      <c r="C424" s="437"/>
      <c r="D424" s="437"/>
      <c r="E424" s="761" t="s">
        <v>2534</v>
      </c>
      <c r="F424" s="280" t="s">
        <v>2535</v>
      </c>
      <c r="G424" s="903">
        <v>53097050</v>
      </c>
      <c r="H424" s="1001" t="s">
        <v>2536</v>
      </c>
      <c r="I424" s="908">
        <v>38500000</v>
      </c>
      <c r="J424" s="713" t="s">
        <v>2534</v>
      </c>
      <c r="K424" s="295">
        <v>2016</v>
      </c>
      <c r="L424" s="546">
        <v>42551</v>
      </c>
      <c r="M424" s="296">
        <v>42562</v>
      </c>
      <c r="N424" s="296">
        <v>42777</v>
      </c>
      <c r="O424" s="127">
        <f>COUNTA(Modificaciones!I420,Modificaciones!K420,Modificaciones!M420,Modificaciones!O420)</f>
        <v>0</v>
      </c>
      <c r="P424" s="128">
        <f>VLOOKUP(E424,Modificaciones!$B$7:$Q$424,16,0)</f>
        <v>0</v>
      </c>
      <c r="Q424" s="129">
        <f>COUNTA(Modificaciones!S424,Modificaciones!U424,Modificaciones!W424,Modificaciones!Y424)</f>
        <v>0</v>
      </c>
      <c r="R424" s="130" t="str">
        <f>IF(Modificaciones!Z424=0,"",VLOOKUP(E424,Modificaciones!$B$7:$AA$500,25,0))</f>
        <v/>
      </c>
      <c r="S424" s="131" t="str">
        <f>IF(Modificaciones!AA424=0,"",VLOOKUP(E424,Modificaciones!$B$7:$AA$500,26,0))</f>
        <v/>
      </c>
      <c r="T424" s="126">
        <f t="shared" si="80"/>
        <v>42777</v>
      </c>
      <c r="U424" s="62">
        <f t="shared" si="81"/>
        <v>38500000</v>
      </c>
      <c r="V424" s="172">
        <f>VLOOKUP(E424,Modificaciones!$B$7:$AU$424,46,0)</f>
        <v>38500000</v>
      </c>
      <c r="W424" s="93">
        <f t="shared" si="77"/>
        <v>0</v>
      </c>
      <c r="X424" s="309" t="s">
        <v>1095</v>
      </c>
      <c r="Y424" s="852">
        <f t="shared" si="82"/>
        <v>1</v>
      </c>
      <c r="Z424" s="42">
        <f t="shared" ca="1" si="83"/>
        <v>1</v>
      </c>
      <c r="AA424" s="43">
        <f t="shared" ca="1" si="84"/>
        <v>0</v>
      </c>
      <c r="AB424" s="202" t="str">
        <f t="shared" ca="1" si="85"/>
        <v/>
      </c>
      <c r="AC424" s="44" t="str">
        <f t="shared" si="87"/>
        <v>SI</v>
      </c>
      <c r="AD424" s="760" t="s">
        <v>2898</v>
      </c>
      <c r="AE424" s="173" t="s">
        <v>1256</v>
      </c>
      <c r="AF424" s="173" t="s">
        <v>2592</v>
      </c>
      <c r="AG424" s="173" t="s">
        <v>1177</v>
      </c>
      <c r="AH424" s="281" t="s">
        <v>559</v>
      </c>
      <c r="AI424" s="305"/>
      <c r="AJ424" s="305" t="s">
        <v>600</v>
      </c>
      <c r="AK424" s="181" t="str">
        <f t="shared" ca="1" si="86"/>
        <v>TERMINO</v>
      </c>
      <c r="AL424" s="310" t="s">
        <v>582</v>
      </c>
      <c r="AM424" s="176" t="s">
        <v>391</v>
      </c>
      <c r="AN424" s="848" t="str">
        <f>IFERROR(VLOOKUP(E424,'liquidaciones '!$B$2:$C$1048576,2,0),"NO")</f>
        <v>LIQUIDADO</v>
      </c>
      <c r="AO424" s="944" t="str">
        <f>IFERROR(VLOOKUP(E424,'liquidaciones '!$B$2:$I$1048576,8,0),"")</f>
        <v>JAVIER QUINTERO</v>
      </c>
      <c r="AP424" s="338"/>
      <c r="AQ424" s="177" t="s">
        <v>390</v>
      </c>
      <c r="AR424" s="177" t="s">
        <v>1510</v>
      </c>
      <c r="AS424" s="433"/>
      <c r="AT424" s="964"/>
      <c r="AU424" s="964"/>
      <c r="AV424" s="964"/>
    </row>
    <row r="425" spans="3:48" ht="90" x14ac:dyDescent="0.25">
      <c r="C425" s="437">
        <v>198</v>
      </c>
      <c r="D425" s="437" t="str">
        <f>K425&amp;C425</f>
        <v>2016198</v>
      </c>
      <c r="E425" s="761" t="s">
        <v>2539</v>
      </c>
      <c r="F425" s="280" t="s">
        <v>2540</v>
      </c>
      <c r="G425" s="903">
        <v>900986082</v>
      </c>
      <c r="H425" s="1001" t="s">
        <v>3030</v>
      </c>
      <c r="I425" s="908">
        <v>485820000</v>
      </c>
      <c r="J425" s="713" t="s">
        <v>2541</v>
      </c>
      <c r="K425" s="295">
        <v>2016</v>
      </c>
      <c r="L425" s="546">
        <v>42558</v>
      </c>
      <c r="M425" s="296">
        <v>42583</v>
      </c>
      <c r="N425" s="296">
        <v>42887</v>
      </c>
      <c r="O425" s="127">
        <f>COUNTA(Modificaciones!I411,Modificaciones!K411,Modificaciones!M411,Modificaciones!O411)</f>
        <v>0</v>
      </c>
      <c r="P425" s="128">
        <f>VLOOKUP(E425,Modificaciones!$B$7:$Q$425,16,0)</f>
        <v>259914130</v>
      </c>
      <c r="Q425" s="129">
        <f>COUNTA(Modificaciones!S425,Modificaciones!U425,Modificaciones!W425,Modificaciones!Y425)</f>
        <v>1</v>
      </c>
      <c r="R425" s="130" t="str">
        <f>IF(Modificaciones!Z425=0,"",VLOOKUP(E425,Modificaciones!$B$7:$AA$500,25,0))</f>
        <v>45 días</v>
      </c>
      <c r="S425" s="131">
        <f>IF(Modificaciones!AA425=0,"",VLOOKUP(E425,Modificaciones!$B$7:$AA$500,26,0))</f>
        <v>42932</v>
      </c>
      <c r="T425" s="126">
        <f t="shared" si="80"/>
        <v>42932</v>
      </c>
      <c r="U425" s="62">
        <f t="shared" si="81"/>
        <v>745734130</v>
      </c>
      <c r="V425" s="172">
        <f>VLOOKUP(E425,Modificaciones!$B$7:$AU$425,46,0)</f>
        <v>745013776</v>
      </c>
      <c r="W425" s="93">
        <f t="shared" si="77"/>
        <v>720354</v>
      </c>
      <c r="X425" s="93" t="s">
        <v>1878</v>
      </c>
      <c r="Y425" s="852">
        <f t="shared" si="82"/>
        <v>0.9990340337514122</v>
      </c>
      <c r="Z425" s="42">
        <f t="shared" ca="1" si="83"/>
        <v>1</v>
      </c>
      <c r="AA425" s="43">
        <f t="shared" ca="1" si="84"/>
        <v>9.6596624858780178E-4</v>
      </c>
      <c r="AB425" s="202" t="str">
        <f t="shared" ca="1" si="85"/>
        <v/>
      </c>
      <c r="AC425" s="44" t="str">
        <f t="shared" si="87"/>
        <v>SI</v>
      </c>
      <c r="AD425" s="760" t="s">
        <v>1710</v>
      </c>
      <c r="AE425" s="173" t="s">
        <v>1256</v>
      </c>
      <c r="AF425" s="281" t="s">
        <v>1127</v>
      </c>
      <c r="AG425" s="173"/>
      <c r="AH425" s="281" t="s">
        <v>560</v>
      </c>
      <c r="AI425" s="305"/>
      <c r="AJ425" s="305" t="s">
        <v>600</v>
      </c>
      <c r="AK425" s="181" t="str">
        <f t="shared" ca="1" si="86"/>
        <v>TERMINO</v>
      </c>
      <c r="AL425" s="310" t="s">
        <v>575</v>
      </c>
      <c r="AM425" s="176" t="s">
        <v>390</v>
      </c>
      <c r="AN425" s="848" t="str">
        <f>IFERROR(VLOOKUP(E425,'liquidaciones '!$B$2:$C$1048576,2,0),"NO")</f>
        <v>LIQUIDADO</v>
      </c>
      <c r="AO425" s="944" t="str">
        <f>IFERROR(VLOOKUP(E425,'liquidaciones '!$B$2:$I$1048576,8,0),"")</f>
        <v>MANUEL ROJAS</v>
      </c>
      <c r="AP425" s="338"/>
      <c r="AQ425" s="177" t="s">
        <v>390</v>
      </c>
      <c r="AR425" s="433" t="s">
        <v>3055</v>
      </c>
      <c r="AS425" s="108"/>
      <c r="AT425" s="964"/>
      <c r="AU425" s="964"/>
      <c r="AV425" s="964"/>
    </row>
    <row r="426" spans="3:48" ht="56.25" x14ac:dyDescent="0.25">
      <c r="C426" s="437">
        <v>124</v>
      </c>
      <c r="D426" s="437" t="str">
        <f>K426&amp;C426</f>
        <v>2016124</v>
      </c>
      <c r="E426" s="761" t="s">
        <v>2542</v>
      </c>
      <c r="F426" s="280" t="s">
        <v>2543</v>
      </c>
      <c r="G426" s="903">
        <v>80766038</v>
      </c>
      <c r="H426" s="1001" t="s">
        <v>2544</v>
      </c>
      <c r="I426" s="908">
        <v>38500000</v>
      </c>
      <c r="J426" s="713" t="s">
        <v>2542</v>
      </c>
      <c r="K426" s="295">
        <v>2016</v>
      </c>
      <c r="L426" s="546">
        <v>42558</v>
      </c>
      <c r="M426" s="296">
        <v>42563</v>
      </c>
      <c r="N426" s="296">
        <v>42778</v>
      </c>
      <c r="O426" s="127">
        <f>COUNTA(Modificaciones!I412,Modificaciones!K412,Modificaciones!M412,Modificaciones!O412)</f>
        <v>0</v>
      </c>
      <c r="P426" s="128">
        <f>VLOOKUP(E426,Modificaciones!$B$7:$Q$426,16,0)</f>
        <v>0</v>
      </c>
      <c r="Q426" s="129">
        <f>COUNTA(Modificaciones!S426,Modificaciones!U426,Modificaciones!W426,Modificaciones!Y426)</f>
        <v>0</v>
      </c>
      <c r="R426" s="130" t="str">
        <f>IF(Modificaciones!Z426=0,"",VLOOKUP(E426,Modificaciones!$B$7:$AA$500,25,0))</f>
        <v/>
      </c>
      <c r="S426" s="131" t="str">
        <f>IF(Modificaciones!AA426=0,"",VLOOKUP(E426,Modificaciones!$B$7:$AA$500,26,0))</f>
        <v/>
      </c>
      <c r="T426" s="126">
        <f t="shared" si="80"/>
        <v>42778</v>
      </c>
      <c r="U426" s="62">
        <f t="shared" si="81"/>
        <v>38500000</v>
      </c>
      <c r="V426" s="172">
        <f>VLOOKUP(E426,Modificaciones!$B$7:$AU$426,46,0)</f>
        <v>38500000</v>
      </c>
      <c r="W426" s="93">
        <f t="shared" si="77"/>
        <v>0</v>
      </c>
      <c r="X426" s="309" t="s">
        <v>1095</v>
      </c>
      <c r="Y426" s="852">
        <f t="shared" si="82"/>
        <v>1</v>
      </c>
      <c r="Z426" s="42">
        <f t="shared" ca="1" si="83"/>
        <v>1</v>
      </c>
      <c r="AA426" s="43">
        <f t="shared" ca="1" si="84"/>
        <v>0</v>
      </c>
      <c r="AB426" s="202" t="str">
        <f t="shared" ca="1" si="85"/>
        <v/>
      </c>
      <c r="AC426" s="44" t="str">
        <f t="shared" si="87"/>
        <v>SI</v>
      </c>
      <c r="AD426" s="760" t="s">
        <v>2898</v>
      </c>
      <c r="AE426" s="173" t="s">
        <v>1257</v>
      </c>
      <c r="AF426" s="173" t="s">
        <v>2172</v>
      </c>
      <c r="AG426" s="173" t="s">
        <v>1177</v>
      </c>
      <c r="AH426" s="281" t="s">
        <v>559</v>
      </c>
      <c r="AI426" s="305"/>
      <c r="AJ426" s="305" t="s">
        <v>600</v>
      </c>
      <c r="AK426" s="181" t="str">
        <f t="shared" ca="1" si="86"/>
        <v>TERMINO</v>
      </c>
      <c r="AL426" s="181" t="s">
        <v>582</v>
      </c>
      <c r="AM426" s="176" t="s">
        <v>391</v>
      </c>
      <c r="AN426" s="848" t="str">
        <f>IFERROR(VLOOKUP(E426,'liquidaciones '!$B$2:$C$1048576,2,0),"NO")</f>
        <v>LIQUIDADO</v>
      </c>
      <c r="AO426" s="944" t="str">
        <f>IFERROR(VLOOKUP(E426,'liquidaciones '!$B$2:$I$1048576,8,0),"")</f>
        <v>JAVIER QUINTERO</v>
      </c>
      <c r="AP426" s="338"/>
      <c r="AQ426" s="177" t="s">
        <v>390</v>
      </c>
      <c r="AR426" s="177" t="s">
        <v>2601</v>
      </c>
      <c r="AS426" s="433"/>
      <c r="AT426" s="964"/>
      <c r="AU426" s="964"/>
      <c r="AV426" s="964"/>
    </row>
    <row r="427" spans="3:48" ht="22.5" x14ac:dyDescent="0.25">
      <c r="C427" s="437">
        <v>87</v>
      </c>
      <c r="D427" s="437"/>
      <c r="E427" s="761" t="s">
        <v>2548</v>
      </c>
      <c r="F427" s="280" t="s">
        <v>2024</v>
      </c>
      <c r="G427" s="903">
        <v>800198591</v>
      </c>
      <c r="H427" s="1001" t="s">
        <v>2549</v>
      </c>
      <c r="I427" s="908">
        <v>219700000</v>
      </c>
      <c r="J427" s="713" t="s">
        <v>2548</v>
      </c>
      <c r="K427" s="295">
        <v>2016</v>
      </c>
      <c r="L427" s="546">
        <v>42551</v>
      </c>
      <c r="M427" s="296">
        <v>42566</v>
      </c>
      <c r="N427" s="296">
        <v>42931</v>
      </c>
      <c r="O427" s="127">
        <f>COUNTA(Modificaciones!I423,Modificaciones!K423,Modificaciones!M423,Modificaciones!O423)</f>
        <v>0</v>
      </c>
      <c r="P427" s="128">
        <f>VLOOKUP(E427,Modificaciones!$B$7:$Q$427,16,0)</f>
        <v>0</v>
      </c>
      <c r="Q427" s="129">
        <f>COUNTA(Modificaciones!S427,Modificaciones!U427,Modificaciones!W427,Modificaciones!Y427)</f>
        <v>0</v>
      </c>
      <c r="R427" s="130" t="str">
        <f>IF(Modificaciones!Z427=0,"",VLOOKUP(E427,Modificaciones!$B$7:$AA$500,25,0))</f>
        <v/>
      </c>
      <c r="S427" s="131" t="str">
        <f>IF(Modificaciones!AA427=0,"",VLOOKUP(E427,Modificaciones!$B$7:$AA$500,26,0))</f>
        <v/>
      </c>
      <c r="T427" s="126">
        <f t="shared" si="80"/>
        <v>42931</v>
      </c>
      <c r="U427" s="62">
        <f t="shared" si="81"/>
        <v>219700000</v>
      </c>
      <c r="V427" s="172">
        <f>VLOOKUP(E427,Modificaciones!$B$7:$AU$427,46,0)</f>
        <v>219700000</v>
      </c>
      <c r="W427" s="93">
        <f t="shared" si="77"/>
        <v>0</v>
      </c>
      <c r="X427" s="309" t="s">
        <v>2206</v>
      </c>
      <c r="Y427" s="852">
        <f t="shared" si="82"/>
        <v>1</v>
      </c>
      <c r="Z427" s="42">
        <f t="shared" ca="1" si="83"/>
        <v>1</v>
      </c>
      <c r="AA427" s="43">
        <f t="shared" ca="1" si="84"/>
        <v>0</v>
      </c>
      <c r="AB427" s="202" t="str">
        <f t="shared" ca="1" si="85"/>
        <v/>
      </c>
      <c r="AC427" s="44" t="str">
        <f t="shared" si="87"/>
        <v>SI</v>
      </c>
      <c r="AD427" s="760" t="s">
        <v>1710</v>
      </c>
      <c r="AE427" s="173" t="s">
        <v>1257</v>
      </c>
      <c r="AF427" s="173" t="s">
        <v>1174</v>
      </c>
      <c r="AG427" s="173" t="s">
        <v>1439</v>
      </c>
      <c r="AH427" s="281" t="s">
        <v>560</v>
      </c>
      <c r="AI427" s="305" t="s">
        <v>1509</v>
      </c>
      <c r="AJ427" s="305" t="s">
        <v>600</v>
      </c>
      <c r="AK427" s="181" t="str">
        <f t="shared" ca="1" si="86"/>
        <v>TERMINO</v>
      </c>
      <c r="AL427" s="310" t="s">
        <v>582</v>
      </c>
      <c r="AM427" s="176" t="s">
        <v>390</v>
      </c>
      <c r="AN427" s="848" t="str">
        <f>IFERROR(VLOOKUP(E427,'liquidaciones '!$B$2:$C$1048576,2,0),"NO")</f>
        <v>LIQUIDADO</v>
      </c>
      <c r="AO427" s="944">
        <f>IFERROR(VLOOKUP(E427,'liquidaciones '!$B$2:$I$1048576,8,0),"")</f>
        <v>0</v>
      </c>
      <c r="AP427" s="338"/>
      <c r="AQ427" s="177" t="s">
        <v>390</v>
      </c>
      <c r="AR427" s="177" t="s">
        <v>2907</v>
      </c>
      <c r="AS427" s="433"/>
      <c r="AT427" s="964"/>
      <c r="AU427" s="964"/>
      <c r="AV427" s="964"/>
    </row>
    <row r="428" spans="3:48" ht="30" x14ac:dyDescent="0.25">
      <c r="C428" s="437">
        <v>133</v>
      </c>
      <c r="D428" s="437"/>
      <c r="E428" s="761" t="s">
        <v>2550</v>
      </c>
      <c r="F428" s="280" t="s">
        <v>2551</v>
      </c>
      <c r="G428" s="903">
        <v>805006014</v>
      </c>
      <c r="H428" s="1001" t="s">
        <v>3031</v>
      </c>
      <c r="I428" s="908">
        <v>1769832</v>
      </c>
      <c r="J428" s="713" t="s">
        <v>2552</v>
      </c>
      <c r="K428" s="295">
        <v>2016</v>
      </c>
      <c r="L428" s="546">
        <v>42564</v>
      </c>
      <c r="M428" s="296">
        <v>42573</v>
      </c>
      <c r="N428" s="296">
        <v>42937</v>
      </c>
      <c r="O428" s="127">
        <f>COUNTA(Modificaciones!I424,Modificaciones!K424,Modificaciones!M424,Modificaciones!O424)</f>
        <v>0</v>
      </c>
      <c r="P428" s="128">
        <f>VLOOKUP(E428,Modificaciones!$B$7:$Q$428,16,0)</f>
        <v>0</v>
      </c>
      <c r="Q428" s="129">
        <f>COUNTA(Modificaciones!S428,Modificaciones!U428,Modificaciones!W428,Modificaciones!Y428)</f>
        <v>0</v>
      </c>
      <c r="R428" s="130" t="str">
        <f>IF(Modificaciones!Z428=0,"",VLOOKUP(E428,Modificaciones!$B$7:$AA$500,25,0))</f>
        <v/>
      </c>
      <c r="S428" s="131" t="str">
        <f>IF(Modificaciones!AA428=0,"",VLOOKUP(E428,Modificaciones!$B$7:$AA$500,26,0))</f>
        <v/>
      </c>
      <c r="T428" s="126">
        <f t="shared" si="80"/>
        <v>42937</v>
      </c>
      <c r="U428" s="62">
        <f t="shared" si="81"/>
        <v>1769832</v>
      </c>
      <c r="V428" s="172">
        <f>VLOOKUP(E428,Modificaciones!$B$7:$AU$428,46,0)</f>
        <v>1738033</v>
      </c>
      <c r="W428" s="93">
        <f t="shared" si="77"/>
        <v>31799</v>
      </c>
      <c r="X428" s="309" t="s">
        <v>1895</v>
      </c>
      <c r="Y428" s="852">
        <f t="shared" si="82"/>
        <v>0.98203275791148537</v>
      </c>
      <c r="Z428" s="42">
        <f t="shared" ca="1" si="83"/>
        <v>1</v>
      </c>
      <c r="AA428" s="43">
        <f t="shared" ca="1" si="84"/>
        <v>1.7967242088514634E-2</v>
      </c>
      <c r="AB428" s="202" t="str">
        <f t="shared" ca="1" si="85"/>
        <v/>
      </c>
      <c r="AC428" s="44" t="str">
        <f t="shared" si="87"/>
        <v>NO</v>
      </c>
      <c r="AD428" s="760" t="s">
        <v>1714</v>
      </c>
      <c r="AE428" s="173" t="s">
        <v>1256</v>
      </c>
      <c r="AF428" s="173" t="s">
        <v>1133</v>
      </c>
      <c r="AG428" s="173" t="s">
        <v>1442</v>
      </c>
      <c r="AH428" s="281" t="s">
        <v>560</v>
      </c>
      <c r="AI428" s="305"/>
      <c r="AJ428" s="305" t="s">
        <v>600</v>
      </c>
      <c r="AK428" s="181" t="str">
        <f t="shared" ca="1" si="86"/>
        <v>TERMINO</v>
      </c>
      <c r="AL428" s="181" t="s">
        <v>576</v>
      </c>
      <c r="AM428" s="176" t="s">
        <v>390</v>
      </c>
      <c r="AN428" s="848" t="str">
        <f>IFERROR(VLOOKUP(E428,'liquidaciones '!$B$2:$C$1048576,2,0),"NO")</f>
        <v>LIQUIDADO</v>
      </c>
      <c r="AO428" s="944" t="str">
        <f>IFERROR(VLOOKUP(E428,'liquidaciones '!$B$2:$I$1048576,8,0),"")</f>
        <v>MANUEL ROJAS</v>
      </c>
      <c r="AP428" s="338"/>
      <c r="AQ428" s="177" t="s">
        <v>390</v>
      </c>
      <c r="AR428" s="177" t="s">
        <v>2978</v>
      </c>
      <c r="AS428" s="968"/>
      <c r="AT428" s="964"/>
      <c r="AU428" s="964"/>
      <c r="AV428" s="964"/>
    </row>
    <row r="429" spans="3:48" ht="87" customHeight="1" x14ac:dyDescent="0.25">
      <c r="C429" s="437">
        <v>142</v>
      </c>
      <c r="D429" s="437" t="str">
        <f>K429&amp;C429</f>
        <v>2016142</v>
      </c>
      <c r="E429" s="761" t="s">
        <v>2553</v>
      </c>
      <c r="F429" s="280" t="s">
        <v>2554</v>
      </c>
      <c r="G429" s="903" t="s">
        <v>2555</v>
      </c>
      <c r="H429" s="1001" t="s">
        <v>3032</v>
      </c>
      <c r="I429" s="908">
        <v>12650000</v>
      </c>
      <c r="J429" s="713" t="s">
        <v>2557</v>
      </c>
      <c r="K429" s="295">
        <v>2016</v>
      </c>
      <c r="L429" s="546">
        <v>42558</v>
      </c>
      <c r="M429" s="296">
        <v>42577</v>
      </c>
      <c r="N429" s="296">
        <v>42912</v>
      </c>
      <c r="O429" s="127">
        <f>COUNTA(Modificaciones!I415,Modificaciones!K415,Modificaciones!M415,Modificaciones!O415)</f>
        <v>0</v>
      </c>
      <c r="P429" s="128">
        <f>VLOOKUP(E429,Modificaciones!$B$7:$Q$429,16,0)</f>
        <v>2300000</v>
      </c>
      <c r="Q429" s="129">
        <f>COUNTA(Modificaciones!S429,Modificaciones!U429,Modificaciones!W429,Modificaciones!Y429)</f>
        <v>1</v>
      </c>
      <c r="R429" s="130" t="str">
        <f>IF(Modificaciones!Z429=0,"",VLOOKUP(E429,Modificaciones!$B$7:$AA$500,25,0))</f>
        <v>2 meses</v>
      </c>
      <c r="S429" s="131">
        <f>IF(Modificaciones!AA429=0,"",VLOOKUP(E429,Modificaciones!$B$7:$AA$500,26,0))</f>
        <v>42973</v>
      </c>
      <c r="T429" s="126">
        <f t="shared" si="80"/>
        <v>42973</v>
      </c>
      <c r="U429" s="62">
        <f t="shared" si="81"/>
        <v>14950000</v>
      </c>
      <c r="V429" s="172">
        <f>VLOOKUP(E429,Modificaciones!$B$7:$AU$429,46,0)</f>
        <v>14950000</v>
      </c>
      <c r="W429" s="93">
        <f t="shared" si="77"/>
        <v>0</v>
      </c>
      <c r="X429" s="860" t="s">
        <v>2558</v>
      </c>
      <c r="Y429" s="852">
        <f t="shared" si="82"/>
        <v>1</v>
      </c>
      <c r="Z429" s="42">
        <f t="shared" ca="1" si="83"/>
        <v>1</v>
      </c>
      <c r="AA429" s="43">
        <f t="shared" ca="1" si="84"/>
        <v>0</v>
      </c>
      <c r="AB429" s="202" t="str">
        <f t="shared" ca="1" si="85"/>
        <v/>
      </c>
      <c r="AC429" s="44" t="str">
        <f t="shared" si="87"/>
        <v>SI</v>
      </c>
      <c r="AD429" s="760" t="s">
        <v>1717</v>
      </c>
      <c r="AE429" s="173" t="s">
        <v>1256</v>
      </c>
      <c r="AF429" s="281" t="s">
        <v>2556</v>
      </c>
      <c r="AG429" s="173"/>
      <c r="AH429" s="281"/>
      <c r="AI429" s="305" t="s">
        <v>1380</v>
      </c>
      <c r="AJ429" s="305" t="s">
        <v>600</v>
      </c>
      <c r="AK429" s="181" t="str">
        <f t="shared" ca="1" si="86"/>
        <v>TERMINO</v>
      </c>
      <c r="AL429" s="310" t="s">
        <v>574</v>
      </c>
      <c r="AM429" s="176" t="s">
        <v>390</v>
      </c>
      <c r="AN429" s="848" t="str">
        <f>IFERROR(VLOOKUP(E429,'liquidaciones '!$B$2:$C$1048576,2,0),"NO")</f>
        <v>LIQUIDADO</v>
      </c>
      <c r="AO429" s="944" t="str">
        <f>IFERROR(VLOOKUP(E429,'liquidaciones '!$B$2:$I$1048576,8,0),"")</f>
        <v>JUAN DIEGO ESPITIA</v>
      </c>
      <c r="AP429" s="338"/>
      <c r="AQ429" s="177" t="s">
        <v>390</v>
      </c>
      <c r="AR429" s="433" t="s">
        <v>3516</v>
      </c>
      <c r="AS429" s="433"/>
      <c r="AT429" s="964"/>
      <c r="AU429" s="964"/>
      <c r="AV429" s="964"/>
    </row>
    <row r="430" spans="3:48" ht="33.75" customHeight="1" x14ac:dyDescent="0.25">
      <c r="C430" s="437">
        <v>211</v>
      </c>
      <c r="D430" s="437" t="str">
        <f>K430&amp;C430</f>
        <v>2016211</v>
      </c>
      <c r="E430" s="761" t="s">
        <v>2559</v>
      </c>
      <c r="F430" s="280" t="s">
        <v>2560</v>
      </c>
      <c r="G430" s="903" t="s">
        <v>2561</v>
      </c>
      <c r="H430" s="1001" t="s">
        <v>2562</v>
      </c>
      <c r="I430" s="908">
        <v>12928000</v>
      </c>
      <c r="J430" s="713" t="s">
        <v>2563</v>
      </c>
      <c r="K430" s="295">
        <v>2016</v>
      </c>
      <c r="L430" s="546">
        <v>42559</v>
      </c>
      <c r="M430" s="296">
        <v>42578</v>
      </c>
      <c r="N430" s="296">
        <v>42793</v>
      </c>
      <c r="O430" s="127">
        <f>COUNTA(Modificaciones!I416,Modificaciones!K416,Modificaciones!M416,Modificaciones!O416)</f>
        <v>0</v>
      </c>
      <c r="P430" s="128">
        <f>VLOOKUP(E430,Modificaciones!$B$7:$Q$430,16,0)</f>
        <v>0</v>
      </c>
      <c r="Q430" s="129">
        <f>COUNTA(Modificaciones!S430,Modificaciones!U430,Modificaciones!W430,Modificaciones!Y430)</f>
        <v>3</v>
      </c>
      <c r="R430" s="130" t="str">
        <f>IF(Modificaciones!Z430=0,"",VLOOKUP(E430,Modificaciones!$B$7:$AA$500,25,0))</f>
        <v>9 meses y 3 días</v>
      </c>
      <c r="S430" s="131">
        <f>IF(Modificaciones!AA430=0,"",VLOOKUP(E430,Modificaciones!$B$7:$AA$500,26,0))</f>
        <v>43069</v>
      </c>
      <c r="T430" s="126">
        <f t="shared" si="80"/>
        <v>43069</v>
      </c>
      <c r="U430" s="62">
        <f t="shared" si="81"/>
        <v>12928000</v>
      </c>
      <c r="V430" s="172">
        <f>VLOOKUP(E430,Modificaciones!$B$7:$AU$430,46,0)</f>
        <v>6372500</v>
      </c>
      <c r="W430" s="93">
        <f t="shared" si="77"/>
        <v>6555500</v>
      </c>
      <c r="X430" s="314" t="s">
        <v>1187</v>
      </c>
      <c r="Y430" s="852">
        <f t="shared" si="82"/>
        <v>0.49292233910891087</v>
      </c>
      <c r="Z430" s="42">
        <f t="shared" ca="1" si="83"/>
        <v>1</v>
      </c>
      <c r="AA430" s="43">
        <f t="shared" ca="1" si="84"/>
        <v>0.50707766089108919</v>
      </c>
      <c r="AB430" s="202" t="str">
        <f t="shared" ca="1" si="85"/>
        <v/>
      </c>
      <c r="AC430" s="44" t="str">
        <f t="shared" si="87"/>
        <v>NO</v>
      </c>
      <c r="AD430" s="760"/>
      <c r="AE430" s="173" t="s">
        <v>1256</v>
      </c>
      <c r="AF430" s="281" t="s">
        <v>1136</v>
      </c>
      <c r="AG430" s="173" t="s">
        <v>1442</v>
      </c>
      <c r="AH430" s="281" t="s">
        <v>560</v>
      </c>
      <c r="AI430" s="174" t="s">
        <v>1380</v>
      </c>
      <c r="AJ430" s="305" t="s">
        <v>600</v>
      </c>
      <c r="AK430" s="181" t="str">
        <f t="shared" ca="1" si="86"/>
        <v>TERMINO</v>
      </c>
      <c r="AL430" s="181" t="s">
        <v>576</v>
      </c>
      <c r="AM430" s="176" t="s">
        <v>390</v>
      </c>
      <c r="AN430" s="848" t="str">
        <f>IFERROR(VLOOKUP(E430,'liquidaciones '!$B$2:$C$1048576,2,0),"NO")</f>
        <v>LIQUIDADO</v>
      </c>
      <c r="AO430" s="944">
        <f>IFERROR(VLOOKUP(E430,'liquidaciones '!$B$2:$I$1048576,8,0),"")</f>
        <v>0</v>
      </c>
      <c r="AP430" s="338"/>
      <c r="AQ430" s="177" t="s">
        <v>390</v>
      </c>
      <c r="AR430" s="433"/>
      <c r="AS430" s="108"/>
      <c r="AT430" s="964"/>
      <c r="AU430" s="964"/>
      <c r="AV430" s="964"/>
    </row>
    <row r="431" spans="3:48" ht="22.5" x14ac:dyDescent="0.25">
      <c r="C431" s="1009">
        <v>151</v>
      </c>
      <c r="D431" s="437"/>
      <c r="E431" s="1022" t="s">
        <v>2564</v>
      </c>
      <c r="F431" s="280" t="s">
        <v>144</v>
      </c>
      <c r="G431" s="903">
        <v>900450570</v>
      </c>
      <c r="H431" s="1001" t="s">
        <v>2565</v>
      </c>
      <c r="I431" s="908">
        <v>230623200</v>
      </c>
      <c r="J431" s="713" t="s">
        <v>2564</v>
      </c>
      <c r="K431" s="295">
        <v>2016</v>
      </c>
      <c r="L431" s="546">
        <v>42577</v>
      </c>
      <c r="M431" s="296">
        <v>42583</v>
      </c>
      <c r="N431" s="296">
        <v>42767</v>
      </c>
      <c r="O431" s="127">
        <f>COUNTA(Modificaciones!I427,Modificaciones!K427,Modificaciones!M427,Modificaciones!O427)</f>
        <v>0</v>
      </c>
      <c r="P431" s="128">
        <f>VLOOKUP(E431,Modificaciones!$B$7:$Q$431,16,0)</f>
        <v>0</v>
      </c>
      <c r="Q431" s="129">
        <f>COUNTA(Modificaciones!S431,Modificaciones!U431,Modificaciones!W431,Modificaciones!Y431)</f>
        <v>0</v>
      </c>
      <c r="R431" s="130" t="str">
        <f>IF(Modificaciones!Z431=0,"",VLOOKUP(E431,Modificaciones!$B$7:$AA$500,25,0))</f>
        <v/>
      </c>
      <c r="S431" s="131" t="str">
        <f>IF(Modificaciones!AA431=0,"",VLOOKUP(E431,Modificaciones!$B$7:$AA$500,26,0))</f>
        <v/>
      </c>
      <c r="T431" s="126">
        <f t="shared" si="80"/>
        <v>42767</v>
      </c>
      <c r="U431" s="62">
        <f t="shared" si="81"/>
        <v>230623200</v>
      </c>
      <c r="V431" s="172">
        <f>VLOOKUP(E431,Modificaciones!$B$7:$AU$431,46,0)</f>
        <v>230623200</v>
      </c>
      <c r="W431" s="93">
        <f t="shared" si="77"/>
        <v>0</v>
      </c>
      <c r="X431" s="309" t="s">
        <v>1617</v>
      </c>
      <c r="Y431" s="852">
        <f t="shared" si="82"/>
        <v>1</v>
      </c>
      <c r="Z431" s="42">
        <f t="shared" ca="1" si="83"/>
        <v>1</v>
      </c>
      <c r="AA431" s="43">
        <f t="shared" ca="1" si="84"/>
        <v>0</v>
      </c>
      <c r="AB431" s="202" t="str">
        <f t="shared" ca="1" si="85"/>
        <v/>
      </c>
      <c r="AC431" s="44" t="str">
        <f t="shared" si="87"/>
        <v>SI</v>
      </c>
      <c r="AD431" s="760" t="s">
        <v>1720</v>
      </c>
      <c r="AE431" s="173" t="s">
        <v>1256</v>
      </c>
      <c r="AF431" s="173" t="s">
        <v>1146</v>
      </c>
      <c r="AG431" s="173" t="s">
        <v>1442</v>
      </c>
      <c r="AH431" s="281" t="s">
        <v>560</v>
      </c>
      <c r="AI431" s="174" t="s">
        <v>1319</v>
      </c>
      <c r="AJ431" s="305" t="s">
        <v>600</v>
      </c>
      <c r="AK431" s="181" t="str">
        <f t="shared" ca="1" si="86"/>
        <v>TERMINO</v>
      </c>
      <c r="AL431" s="310" t="s">
        <v>582</v>
      </c>
      <c r="AM431" s="176" t="s">
        <v>390</v>
      </c>
      <c r="AN431" s="848" t="str">
        <f>IFERROR(VLOOKUP(E431,'liquidaciones '!$B$2:$C$1048576,2,0),"NO")</f>
        <v>NO</v>
      </c>
      <c r="AO431" s="944" t="str">
        <f>IFERROR(VLOOKUP(E431,'liquidaciones '!$B$2:$I$1048576,8,0),"")</f>
        <v>MANUEL ROJAS</v>
      </c>
      <c r="AP431" s="338"/>
      <c r="AQ431" s="177" t="s">
        <v>390</v>
      </c>
      <c r="AR431" s="433" t="s">
        <v>3517</v>
      </c>
      <c r="AS431" s="433"/>
      <c r="AT431" s="964"/>
      <c r="AU431" s="964"/>
      <c r="AV431" s="964"/>
    </row>
    <row r="432" spans="3:48" ht="66.75" customHeight="1" x14ac:dyDescent="0.25">
      <c r="C432" s="437">
        <v>130</v>
      </c>
      <c r="D432" s="437"/>
      <c r="E432" s="761" t="s">
        <v>2566</v>
      </c>
      <c r="F432" s="280" t="s">
        <v>203</v>
      </c>
      <c r="G432" s="903">
        <v>860049921</v>
      </c>
      <c r="H432" s="1001" t="s">
        <v>2567</v>
      </c>
      <c r="I432" s="908">
        <v>9280000</v>
      </c>
      <c r="J432" s="713" t="s">
        <v>2568</v>
      </c>
      <c r="K432" s="295">
        <v>2016</v>
      </c>
      <c r="L432" s="546">
        <v>42559</v>
      </c>
      <c r="M432" s="296">
        <v>42580</v>
      </c>
      <c r="N432" s="296">
        <v>42703</v>
      </c>
      <c r="O432" s="127">
        <f>COUNTA(Modificaciones!I428,Modificaciones!K428,Modificaciones!M428,Modificaciones!O428)</f>
        <v>0</v>
      </c>
      <c r="P432" s="128">
        <f>VLOOKUP(E432,Modificaciones!$B$7:$Q$432,16,0)</f>
        <v>0</v>
      </c>
      <c r="Q432" s="129">
        <f>COUNTA(Modificaciones!S432,Modificaciones!U432,Modificaciones!W432,Modificaciones!Y432)</f>
        <v>0</v>
      </c>
      <c r="R432" s="130" t="str">
        <f>IF(Modificaciones!Z432=0,"",VLOOKUP(E432,Modificaciones!$B$7:$AA$500,25,0))</f>
        <v/>
      </c>
      <c r="S432" s="131" t="str">
        <f>IF(Modificaciones!AA432=0,"",VLOOKUP(E432,Modificaciones!$B$7:$AA$500,26,0))</f>
        <v/>
      </c>
      <c r="T432" s="126">
        <f t="shared" si="80"/>
        <v>42703</v>
      </c>
      <c r="U432" s="62">
        <f t="shared" si="81"/>
        <v>9280000</v>
      </c>
      <c r="V432" s="172">
        <f>VLOOKUP(E432,Modificaciones!$B$7:$AU$432,46,0)</f>
        <v>9280000</v>
      </c>
      <c r="W432" s="93">
        <f t="shared" si="77"/>
        <v>0</v>
      </c>
      <c r="X432" s="859" t="s">
        <v>2569</v>
      </c>
      <c r="Y432" s="852">
        <f t="shared" si="82"/>
        <v>1</v>
      </c>
      <c r="Z432" s="42">
        <f t="shared" ca="1" si="83"/>
        <v>1</v>
      </c>
      <c r="AA432" s="43">
        <f t="shared" ca="1" si="84"/>
        <v>0</v>
      </c>
      <c r="AB432" s="202" t="str">
        <f t="shared" ca="1" si="85"/>
        <v/>
      </c>
      <c r="AC432" s="44" t="str">
        <f t="shared" si="87"/>
        <v>SI</v>
      </c>
      <c r="AD432" s="760" t="s">
        <v>2570</v>
      </c>
      <c r="AE432" s="173" t="s">
        <v>1256</v>
      </c>
      <c r="AF432" s="281" t="s">
        <v>1974</v>
      </c>
      <c r="AG432" s="173"/>
      <c r="AH432" s="281" t="s">
        <v>563</v>
      </c>
      <c r="AI432" s="305" t="s">
        <v>1975</v>
      </c>
      <c r="AJ432" s="305" t="s">
        <v>600</v>
      </c>
      <c r="AK432" s="181" t="str">
        <f t="shared" ca="1" si="86"/>
        <v>TERMINO</v>
      </c>
      <c r="AL432" s="310" t="s">
        <v>582</v>
      </c>
      <c r="AM432" s="176" t="s">
        <v>390</v>
      </c>
      <c r="AN432" s="848" t="str">
        <f>IFERROR(VLOOKUP(E432,'liquidaciones '!$B$2:$C$1048576,2,0),"NO")</f>
        <v>LIQUIDADO</v>
      </c>
      <c r="AO432" s="944" t="str">
        <f>IFERROR(VLOOKUP(E432,'liquidaciones '!$B$2:$I$1048576,8,0),"")</f>
        <v>CLAUDIA VANEGAS</v>
      </c>
      <c r="AP432" s="338"/>
      <c r="AQ432" s="177" t="s">
        <v>390</v>
      </c>
      <c r="AR432" s="177" t="s">
        <v>2602</v>
      </c>
      <c r="AS432" s="969"/>
      <c r="AT432" s="964"/>
      <c r="AU432" s="964"/>
      <c r="AV432" s="964"/>
    </row>
    <row r="433" spans="3:48" ht="56.25" x14ac:dyDescent="0.25">
      <c r="C433" s="437">
        <v>221</v>
      </c>
      <c r="D433" s="437" t="str">
        <f t="shared" ref="D433:D449" si="88">K433&amp;C433</f>
        <v>2016221</v>
      </c>
      <c r="E433" s="761" t="s">
        <v>2571</v>
      </c>
      <c r="F433" s="280" t="s">
        <v>233</v>
      </c>
      <c r="G433" s="903">
        <v>860536079</v>
      </c>
      <c r="H433" s="1001" t="s">
        <v>2572</v>
      </c>
      <c r="I433" s="908">
        <v>2605500</v>
      </c>
      <c r="J433" s="713" t="s">
        <v>2573</v>
      </c>
      <c r="K433" s="295">
        <v>2016</v>
      </c>
      <c r="L433" s="546">
        <v>42570</v>
      </c>
      <c r="M433" s="296">
        <v>42583</v>
      </c>
      <c r="N433" s="296">
        <v>42767</v>
      </c>
      <c r="O433" s="127">
        <f>COUNTA(Modificaciones!I419,Modificaciones!K419,Modificaciones!M419,Modificaciones!O419)</f>
        <v>0</v>
      </c>
      <c r="P433" s="128">
        <f>VLOOKUP(E433,Modificaciones!$B$7:$Q$433,16,0)</f>
        <v>0</v>
      </c>
      <c r="Q433" s="129">
        <f>COUNTA(Modificaciones!S433,Modificaciones!U433,Modificaciones!W433,Modificaciones!Y433)</f>
        <v>0</v>
      </c>
      <c r="R433" s="130" t="str">
        <f>IF(Modificaciones!Z433=0,"",VLOOKUP(E433,Modificaciones!$B$7:$AA$500,25,0))</f>
        <v/>
      </c>
      <c r="S433" s="131" t="str">
        <f>IF(Modificaciones!AA433=0,"",VLOOKUP(E433,Modificaciones!$B$7:$AA$500,26,0))</f>
        <v/>
      </c>
      <c r="T433" s="126">
        <f t="shared" si="80"/>
        <v>42767</v>
      </c>
      <c r="U433" s="62">
        <f t="shared" si="81"/>
        <v>2605500</v>
      </c>
      <c r="V433" s="172">
        <f>VLOOKUP(E433,Modificaciones!$B$7:$AU$433,46,0)</f>
        <v>1401008</v>
      </c>
      <c r="W433" s="93">
        <f t="shared" si="77"/>
        <v>1204492</v>
      </c>
      <c r="X433" s="442" t="s">
        <v>2574</v>
      </c>
      <c r="Y433" s="852">
        <f t="shared" si="82"/>
        <v>0.53771176357704853</v>
      </c>
      <c r="Z433" s="42">
        <f t="shared" ca="1" si="83"/>
        <v>1</v>
      </c>
      <c r="AA433" s="43">
        <f t="shared" ca="1" si="84"/>
        <v>0.46228823642295147</v>
      </c>
      <c r="AB433" s="202" t="str">
        <f t="shared" ca="1" si="85"/>
        <v/>
      </c>
      <c r="AC433" s="44" t="str">
        <f t="shared" si="87"/>
        <v>NO</v>
      </c>
      <c r="AD433" s="760" t="s">
        <v>1710</v>
      </c>
      <c r="AE433" s="173" t="s">
        <v>1256</v>
      </c>
      <c r="AF433" s="281" t="s">
        <v>1168</v>
      </c>
      <c r="AG433" s="173" t="s">
        <v>1442</v>
      </c>
      <c r="AH433" s="281" t="s">
        <v>560</v>
      </c>
      <c r="AI433" s="174" t="s">
        <v>1387</v>
      </c>
      <c r="AJ433" s="305" t="s">
        <v>600</v>
      </c>
      <c r="AK433" s="181" t="str">
        <f t="shared" ca="1" si="86"/>
        <v>TERMINO</v>
      </c>
      <c r="AL433" s="181" t="s">
        <v>576</v>
      </c>
      <c r="AM433" s="176" t="s">
        <v>390</v>
      </c>
      <c r="AN433" s="848" t="str">
        <f>IFERROR(VLOOKUP(E433,'liquidaciones '!$B$2:$C$1048576,2,0),"NO")</f>
        <v>LIQUIDADO</v>
      </c>
      <c r="AO433" s="944" t="str">
        <f>IFERROR(VLOOKUP(E433,'liquidaciones '!$B$2:$I$1048576,8,0),"")</f>
        <v>MANUEL ROJAS</v>
      </c>
      <c r="AP433" s="338"/>
      <c r="AQ433" s="177" t="s">
        <v>390</v>
      </c>
      <c r="AR433" s="177" t="s">
        <v>2604</v>
      </c>
      <c r="AS433" s="433"/>
      <c r="AT433" s="964"/>
      <c r="AU433" s="964"/>
      <c r="AV433" s="964"/>
    </row>
    <row r="434" spans="3:48" ht="56.25" x14ac:dyDescent="0.25">
      <c r="C434" s="437">
        <v>147</v>
      </c>
      <c r="D434" s="437" t="str">
        <f t="shared" si="88"/>
        <v>2016147</v>
      </c>
      <c r="E434" s="761" t="s">
        <v>2575</v>
      </c>
      <c r="F434" s="280" t="s">
        <v>1994</v>
      </c>
      <c r="G434" s="903">
        <v>860053195</v>
      </c>
      <c r="H434" s="1001" t="s">
        <v>2576</v>
      </c>
      <c r="I434" s="908">
        <v>53583000</v>
      </c>
      <c r="J434" s="713" t="s">
        <v>2577</v>
      </c>
      <c r="K434" s="295">
        <v>2016</v>
      </c>
      <c r="L434" s="546">
        <v>42556</v>
      </c>
      <c r="M434" s="296">
        <v>42579</v>
      </c>
      <c r="N434" s="296">
        <v>42794</v>
      </c>
      <c r="O434" s="127">
        <f>COUNTA(Modificaciones!I420,Modificaciones!K420,Modificaciones!M420,Modificaciones!O420)</f>
        <v>0</v>
      </c>
      <c r="P434" s="128">
        <f>VLOOKUP(E434,Modificaciones!$B$7:$Q$434,16,0)</f>
        <v>0</v>
      </c>
      <c r="Q434" s="129">
        <f>COUNTA(Modificaciones!S434,Modificaciones!U434,Modificaciones!W434,Modificaciones!Y434)</f>
        <v>2</v>
      </c>
      <c r="R434" s="130" t="str">
        <f>IF(Modificaciones!Z434=0,"",VLOOKUP(E434,Modificaciones!$B$7:$AA$500,25,0))</f>
        <v>2 meses y 14 días</v>
      </c>
      <c r="S434" s="131">
        <f>IF(Modificaciones!AA434=0,"",VLOOKUP(E434,Modificaciones!$B$7:$AA$500,26,0))</f>
        <v>42867</v>
      </c>
      <c r="T434" s="126">
        <f t="shared" si="80"/>
        <v>42867</v>
      </c>
      <c r="U434" s="62">
        <f t="shared" si="81"/>
        <v>53583000</v>
      </c>
      <c r="V434" s="172">
        <f>VLOOKUP(E434,Modificaciones!$B$7:$AU$434,46,0)</f>
        <v>52663167</v>
      </c>
      <c r="W434" s="93">
        <f t="shared" si="77"/>
        <v>919833</v>
      </c>
      <c r="X434" s="309" t="s">
        <v>1967</v>
      </c>
      <c r="Y434" s="852">
        <f t="shared" si="82"/>
        <v>0.98283349196573544</v>
      </c>
      <c r="Z434" s="42">
        <f t="shared" ca="1" si="83"/>
        <v>1</v>
      </c>
      <c r="AA434" s="43">
        <f t="shared" ca="1" si="84"/>
        <v>1.716650803426456E-2</v>
      </c>
      <c r="AB434" s="202" t="str">
        <f t="shared" ca="1" si="85"/>
        <v/>
      </c>
      <c r="AC434" s="44" t="str">
        <f t="shared" ref="AC434:AC465" si="89">IF(Y434&lt;=99.9%,"NO","SI")</f>
        <v>NO</v>
      </c>
      <c r="AD434" s="760" t="s">
        <v>1713</v>
      </c>
      <c r="AE434" s="173" t="s">
        <v>1256</v>
      </c>
      <c r="AF434" s="281" t="s">
        <v>1135</v>
      </c>
      <c r="AG434" s="173"/>
      <c r="AH434" s="281" t="s">
        <v>562</v>
      </c>
      <c r="AI434" s="305" t="s">
        <v>1384</v>
      </c>
      <c r="AJ434" s="305" t="s">
        <v>600</v>
      </c>
      <c r="AK434" s="181" t="str">
        <f t="shared" ca="1" si="86"/>
        <v>TERMINO</v>
      </c>
      <c r="AL434" s="181" t="s">
        <v>576</v>
      </c>
      <c r="AM434" s="176" t="s">
        <v>390</v>
      </c>
      <c r="AN434" s="848" t="str">
        <f>IFERROR(VLOOKUP(E434,'liquidaciones '!$B$2:$C$1048576,2,0),"NO")</f>
        <v>LIQUIDADO</v>
      </c>
      <c r="AO434" s="944" t="str">
        <f>IFERROR(VLOOKUP(E434,'liquidaciones '!$B$2:$I$1048576,8,0),"")</f>
        <v>MANUEL ROJAS</v>
      </c>
      <c r="AP434" s="338"/>
      <c r="AQ434" s="177" t="s">
        <v>390</v>
      </c>
      <c r="AR434" s="177" t="s">
        <v>2601</v>
      </c>
      <c r="AS434" s="968"/>
      <c r="AT434" s="964"/>
      <c r="AU434" s="964"/>
      <c r="AV434" s="964"/>
    </row>
    <row r="435" spans="3:48" ht="90" x14ac:dyDescent="0.25">
      <c r="C435" s="437">
        <v>218</v>
      </c>
      <c r="D435" s="437" t="str">
        <f t="shared" si="88"/>
        <v>2016218</v>
      </c>
      <c r="E435" s="761" t="s">
        <v>2578</v>
      </c>
      <c r="F435" s="853" t="s">
        <v>2579</v>
      </c>
      <c r="G435" s="903">
        <v>900987382</v>
      </c>
      <c r="H435" s="1001" t="s">
        <v>3033</v>
      </c>
      <c r="I435" s="908">
        <v>221382000</v>
      </c>
      <c r="J435" s="713" t="s">
        <v>2581</v>
      </c>
      <c r="K435" s="295">
        <v>2016</v>
      </c>
      <c r="L435" s="546">
        <v>42564</v>
      </c>
      <c r="M435" s="856">
        <v>42587</v>
      </c>
      <c r="N435" s="856">
        <v>42891</v>
      </c>
      <c r="O435" s="127">
        <f>COUNTA(Modificaciones!I421,Modificaciones!K421,Modificaciones!M421,Modificaciones!O421)</f>
        <v>0</v>
      </c>
      <c r="P435" s="128">
        <f>VLOOKUP(E435,Modificaciones!$B$7:$Q$435,16,0)</f>
        <v>20000000</v>
      </c>
      <c r="Q435" s="129">
        <f>COUNTA(Modificaciones!S435,Modificaciones!U435,Modificaciones!W435,Modificaciones!Y435)</f>
        <v>1</v>
      </c>
      <c r="R435" s="130" t="str">
        <f>IF(Modificaciones!Z435=0,"",VLOOKUP(E435,Modificaciones!$B$7:$AA$500,25,0))</f>
        <v>2 meses</v>
      </c>
      <c r="S435" s="131">
        <f>IF(Modificaciones!AA435=0,"",VLOOKUP(E435,Modificaciones!$B$7:$AA$500,26,0))</f>
        <v>42952</v>
      </c>
      <c r="T435" s="855">
        <f t="shared" si="80"/>
        <v>42952</v>
      </c>
      <c r="U435" s="62">
        <f t="shared" si="81"/>
        <v>241382000</v>
      </c>
      <c r="V435" s="172">
        <f>VLOOKUP(E435,Modificaciones!$B$7:$AU$435,46,0)</f>
        <v>232662768</v>
      </c>
      <c r="W435" s="93">
        <f t="shared" si="77"/>
        <v>8719232</v>
      </c>
      <c r="X435" s="93" t="s">
        <v>2580</v>
      </c>
      <c r="Y435" s="852">
        <f t="shared" si="82"/>
        <v>0.96387786993230651</v>
      </c>
      <c r="Z435" s="42">
        <f t="shared" ca="1" si="83"/>
        <v>1</v>
      </c>
      <c r="AA435" s="43">
        <f t="shared" ca="1" si="84"/>
        <v>3.6122130067693492E-2</v>
      </c>
      <c r="AB435" s="202" t="str">
        <f t="shared" ca="1" si="85"/>
        <v/>
      </c>
      <c r="AC435" s="44" t="str">
        <f t="shared" si="89"/>
        <v>NO</v>
      </c>
      <c r="AD435" s="760" t="s">
        <v>1717</v>
      </c>
      <c r="AE435" s="173" t="s">
        <v>1256</v>
      </c>
      <c r="AF435" s="281" t="s">
        <v>2556</v>
      </c>
      <c r="AG435" s="173"/>
      <c r="AH435" s="281"/>
      <c r="AI435" s="305" t="s">
        <v>1380</v>
      </c>
      <c r="AJ435" s="305" t="s">
        <v>600</v>
      </c>
      <c r="AK435" s="181" t="str">
        <f t="shared" ca="1" si="86"/>
        <v>TERMINO</v>
      </c>
      <c r="AL435" s="310" t="s">
        <v>574</v>
      </c>
      <c r="AM435" s="176" t="s">
        <v>390</v>
      </c>
      <c r="AN435" s="848" t="str">
        <f>IFERROR(VLOOKUP(E435,'liquidaciones '!$B$2:$C$1048576,2,0),"NO")</f>
        <v>LIQUIDADO</v>
      </c>
      <c r="AO435" s="944">
        <f>IFERROR(VLOOKUP(E435,'liquidaciones '!$B$2:$I$1048576,8,0),"")</f>
        <v>0</v>
      </c>
      <c r="AP435" s="338"/>
      <c r="AQ435" s="177" t="s">
        <v>390</v>
      </c>
      <c r="AR435" s="433" t="s">
        <v>3514</v>
      </c>
      <c r="AS435" s="433"/>
      <c r="AT435" s="964"/>
      <c r="AU435" s="964"/>
      <c r="AV435" s="964"/>
    </row>
    <row r="436" spans="3:48" ht="62.25" customHeight="1" x14ac:dyDescent="0.25">
      <c r="C436" s="437">
        <v>214</v>
      </c>
      <c r="D436" s="437" t="str">
        <f t="shared" si="88"/>
        <v>2016214</v>
      </c>
      <c r="E436" s="854" t="s">
        <v>2582</v>
      </c>
      <c r="F436" s="853" t="s">
        <v>38</v>
      </c>
      <c r="G436" s="903">
        <v>830053669</v>
      </c>
      <c r="H436" s="1001" t="s">
        <v>2583</v>
      </c>
      <c r="I436" s="908">
        <v>26540000</v>
      </c>
      <c r="J436" s="713" t="s">
        <v>2590</v>
      </c>
      <c r="K436" s="295">
        <v>2016</v>
      </c>
      <c r="L436" s="546">
        <v>42580</v>
      </c>
      <c r="M436" s="856">
        <v>42583</v>
      </c>
      <c r="N436" s="856">
        <v>42767</v>
      </c>
      <c r="O436" s="127">
        <f>COUNTA(Modificaciones!I422,Modificaciones!K422,Modificaciones!M422,Modificaciones!O422)</f>
        <v>0</v>
      </c>
      <c r="P436" s="128">
        <f>VLOOKUP(E436,Modificaciones!$B$7:$Q$436,16,0)</f>
        <v>9100000</v>
      </c>
      <c r="Q436" s="129">
        <f>COUNTA(Modificaciones!S436,Modificaciones!U436,Modificaciones!W436,Modificaciones!Y436)</f>
        <v>4</v>
      </c>
      <c r="R436" s="130" t="str">
        <f>IF(Modificaciones!Z436=0,"",VLOOKUP(E436,Modificaciones!$B$7:$AA$500,25,0))</f>
        <v xml:space="preserve">9 meses </v>
      </c>
      <c r="S436" s="131">
        <f>IF(Modificaciones!AA436=0,"",VLOOKUP(E436,Modificaciones!$B$7:$AA$500,26,0))</f>
        <v>43040</v>
      </c>
      <c r="T436" s="855">
        <f t="shared" si="80"/>
        <v>43040</v>
      </c>
      <c r="U436" s="62">
        <f t="shared" si="81"/>
        <v>35640000</v>
      </c>
      <c r="V436" s="172">
        <f>VLOOKUP(E436,Modificaciones!$B$7:$AU$436,46,0)</f>
        <v>34624047</v>
      </c>
      <c r="W436" s="93">
        <f t="shared" si="77"/>
        <v>1015953</v>
      </c>
      <c r="X436" s="309" t="s">
        <v>1963</v>
      </c>
      <c r="Y436" s="852">
        <f t="shared" si="82"/>
        <v>0.97149402356902359</v>
      </c>
      <c r="Z436" s="42">
        <f t="shared" ca="1" si="83"/>
        <v>1</v>
      </c>
      <c r="AA436" s="43">
        <f t="shared" ca="1" si="84"/>
        <v>2.850597643097641E-2</v>
      </c>
      <c r="AB436" s="202" t="str">
        <f t="shared" ca="1" si="85"/>
        <v/>
      </c>
      <c r="AC436" s="44" t="str">
        <f t="shared" si="89"/>
        <v>NO</v>
      </c>
      <c r="AD436" s="760" t="s">
        <v>1710</v>
      </c>
      <c r="AE436" s="173" t="s">
        <v>1256</v>
      </c>
      <c r="AF436" s="281" t="s">
        <v>1140</v>
      </c>
      <c r="AG436" s="173" t="s">
        <v>1442</v>
      </c>
      <c r="AH436" s="281" t="s">
        <v>560</v>
      </c>
      <c r="AI436" s="174" t="s">
        <v>1379</v>
      </c>
      <c r="AJ436" s="305" t="s">
        <v>600</v>
      </c>
      <c r="AK436" s="181" t="str">
        <f t="shared" ca="1" si="86"/>
        <v>TERMINO</v>
      </c>
      <c r="AL436" s="310" t="s">
        <v>575</v>
      </c>
      <c r="AM436" s="176" t="s">
        <v>390</v>
      </c>
      <c r="AN436" s="848" t="str">
        <f>IFERROR(VLOOKUP(E436,'liquidaciones '!$B$2:$C$1048576,2,0),"NO")</f>
        <v>LIQUIDADO</v>
      </c>
      <c r="AO436" s="944">
        <f>IFERROR(VLOOKUP(E436,'liquidaciones '!$B$2:$I$1048576,8,0),"")</f>
        <v>0</v>
      </c>
      <c r="AP436" s="338"/>
      <c r="AQ436" s="177" t="s">
        <v>390</v>
      </c>
      <c r="AR436" s="433" t="s">
        <v>3055</v>
      </c>
      <c r="AS436" s="433"/>
      <c r="AT436" s="964"/>
      <c r="AU436" s="964"/>
      <c r="AV436" s="964"/>
    </row>
    <row r="437" spans="3:48" ht="50.25" customHeight="1" x14ac:dyDescent="0.25">
      <c r="C437" s="437">
        <v>230</v>
      </c>
      <c r="D437" s="437" t="str">
        <f t="shared" si="88"/>
        <v>2016230</v>
      </c>
      <c r="E437" s="854" t="s">
        <v>3398</v>
      </c>
      <c r="F437" s="853" t="s">
        <v>2216</v>
      </c>
      <c r="G437" s="903">
        <v>890900267</v>
      </c>
      <c r="H437" s="1001" t="s">
        <v>2218</v>
      </c>
      <c r="I437" s="908">
        <v>6180000</v>
      </c>
      <c r="J437" s="713" t="s">
        <v>2584</v>
      </c>
      <c r="K437" s="295">
        <v>2016</v>
      </c>
      <c r="L437" s="546">
        <v>42570</v>
      </c>
      <c r="M437" s="856">
        <v>42590</v>
      </c>
      <c r="N437" s="856">
        <v>42682</v>
      </c>
      <c r="O437" s="127">
        <f>COUNTA(Modificaciones!I433,Modificaciones!K433,Modificaciones!M433,Modificaciones!O433)</f>
        <v>0</v>
      </c>
      <c r="P437" s="128">
        <f>VLOOKUP(E437,Modificaciones!$B$7:$Q$437,16,0)</f>
        <v>0</v>
      </c>
      <c r="Q437" s="129">
        <f>COUNTA(Modificaciones!S437,Modificaciones!U437,Modificaciones!W437,Modificaciones!Y437)</f>
        <v>0</v>
      </c>
      <c r="R437" s="130" t="str">
        <f>IF(Modificaciones!Z437=0,"",VLOOKUP(E437,Modificaciones!$B$7:$AA$500,25,0))</f>
        <v/>
      </c>
      <c r="S437" s="131" t="str">
        <f>IF(Modificaciones!AA437=0,"",VLOOKUP(E437,Modificaciones!$B$7:$AA$500,26,0))</f>
        <v/>
      </c>
      <c r="T437" s="855">
        <f t="shared" si="80"/>
        <v>42682</v>
      </c>
      <c r="U437" s="62">
        <f t="shared" si="81"/>
        <v>6180000</v>
      </c>
      <c r="V437" s="172">
        <f>VLOOKUP(E437,Modificaciones!$B$7:$AU$437,46,0)</f>
        <v>4195395</v>
      </c>
      <c r="W437" s="93">
        <f t="shared" si="77"/>
        <v>1984605</v>
      </c>
      <c r="X437" s="309" t="s">
        <v>2219</v>
      </c>
      <c r="Y437" s="852">
        <f t="shared" si="82"/>
        <v>0.67886650485436895</v>
      </c>
      <c r="Z437" s="42">
        <f t="shared" ca="1" si="83"/>
        <v>1</v>
      </c>
      <c r="AA437" s="43">
        <f t="shared" ca="1" si="84"/>
        <v>0.32113349514563105</v>
      </c>
      <c r="AB437" s="202" t="str">
        <f t="shared" ca="1" si="85"/>
        <v/>
      </c>
      <c r="AC437" s="44" t="str">
        <f t="shared" si="89"/>
        <v>NO</v>
      </c>
      <c r="AD437" s="760" t="s">
        <v>1712</v>
      </c>
      <c r="AE437" s="173" t="s">
        <v>1256</v>
      </c>
      <c r="AF437" s="281" t="s">
        <v>1302</v>
      </c>
      <c r="AG437" s="173" t="s">
        <v>1435</v>
      </c>
      <c r="AH437" s="281" t="s">
        <v>560</v>
      </c>
      <c r="AI437" s="305" t="s">
        <v>1389</v>
      </c>
      <c r="AJ437" s="305" t="s">
        <v>600</v>
      </c>
      <c r="AK437" s="181" t="str">
        <f t="shared" ca="1" si="86"/>
        <v>TERMINO</v>
      </c>
      <c r="AL437" s="310" t="s">
        <v>576</v>
      </c>
      <c r="AM437" s="176" t="s">
        <v>391</v>
      </c>
      <c r="AN437" s="848" t="str">
        <f>IFERROR(VLOOKUP(E437,'liquidaciones '!$B$2:$C$1048576,2,0),"NO")</f>
        <v>LIQUIDADO</v>
      </c>
      <c r="AO437" s="944" t="str">
        <f>IFERROR(VLOOKUP(E437,'liquidaciones '!$B$2:$I$1048576,8,0),"")</f>
        <v>JULIETH ANGARITA</v>
      </c>
      <c r="AP437" s="338"/>
      <c r="AQ437" s="177" t="s">
        <v>390</v>
      </c>
      <c r="AR437" s="177" t="s">
        <v>2602</v>
      </c>
      <c r="AS437" s="969"/>
      <c r="AT437" s="964"/>
      <c r="AU437" s="964"/>
      <c r="AV437" s="964"/>
    </row>
    <row r="438" spans="3:48" ht="67.5" x14ac:dyDescent="0.25">
      <c r="C438" s="437">
        <v>224</v>
      </c>
      <c r="D438" s="437" t="str">
        <f t="shared" si="88"/>
        <v>2016224</v>
      </c>
      <c r="E438" s="854" t="s">
        <v>2585</v>
      </c>
      <c r="F438" s="853" t="s">
        <v>2586</v>
      </c>
      <c r="G438" s="903" t="s">
        <v>2587</v>
      </c>
      <c r="H438" s="1001" t="s">
        <v>3034</v>
      </c>
      <c r="I438" s="908">
        <v>4429000</v>
      </c>
      <c r="J438" s="713" t="s">
        <v>2591</v>
      </c>
      <c r="K438" s="295">
        <v>2016</v>
      </c>
      <c r="L438" s="546">
        <v>42578</v>
      </c>
      <c r="M438" s="856">
        <v>42608</v>
      </c>
      <c r="N438" s="856">
        <v>42700</v>
      </c>
      <c r="O438" s="127">
        <f>COUNTA(Modificaciones!I434,Modificaciones!K434,Modificaciones!M434,Modificaciones!O434)</f>
        <v>0</v>
      </c>
      <c r="P438" s="128">
        <f>VLOOKUP(E438,Modificaciones!$B$7:$Q$438,16,0)</f>
        <v>0</v>
      </c>
      <c r="Q438" s="129">
        <f>COUNTA(Modificaciones!S438,Modificaciones!U438,Modificaciones!W438,Modificaciones!Y438)</f>
        <v>0</v>
      </c>
      <c r="R438" s="130" t="str">
        <f>IF(Modificaciones!Z438=0,"",VLOOKUP(E438,Modificaciones!$B$7:$AA$500,25,0))</f>
        <v/>
      </c>
      <c r="S438" s="131" t="str">
        <f>IF(Modificaciones!AA438=0,"",VLOOKUP(E438,Modificaciones!$B$7:$AA$500,26,0))</f>
        <v/>
      </c>
      <c r="T438" s="855">
        <f t="shared" si="80"/>
        <v>42700</v>
      </c>
      <c r="U438" s="62">
        <f t="shared" si="81"/>
        <v>4429000</v>
      </c>
      <c r="V438" s="172">
        <f>VLOOKUP(E438,Modificaciones!$B$7:$AU$438,46,0)</f>
        <v>2661244</v>
      </c>
      <c r="W438" s="93">
        <f t="shared" si="77"/>
        <v>1767756</v>
      </c>
      <c r="X438" s="309" t="s">
        <v>2588</v>
      </c>
      <c r="Y438" s="852">
        <f t="shared" si="82"/>
        <v>0.60086791600812828</v>
      </c>
      <c r="Z438" s="42">
        <f t="shared" ca="1" si="83"/>
        <v>1</v>
      </c>
      <c r="AA438" s="43">
        <f t="shared" ca="1" si="84"/>
        <v>0.39913208399187172</v>
      </c>
      <c r="AB438" s="202" t="str">
        <f t="shared" ca="1" si="85"/>
        <v/>
      </c>
      <c r="AC438" s="44" t="str">
        <f t="shared" si="89"/>
        <v>NO</v>
      </c>
      <c r="AD438" s="760" t="s">
        <v>1710</v>
      </c>
      <c r="AE438" s="173" t="s">
        <v>1256</v>
      </c>
      <c r="AF438" s="173" t="s">
        <v>1300</v>
      </c>
      <c r="AG438" s="173" t="s">
        <v>1442</v>
      </c>
      <c r="AH438" s="281" t="s">
        <v>560</v>
      </c>
      <c r="AI438" s="174" t="s">
        <v>1380</v>
      </c>
      <c r="AJ438" s="305" t="s">
        <v>600</v>
      </c>
      <c r="AK438" s="181" t="str">
        <f t="shared" ca="1" si="86"/>
        <v>TERMINO</v>
      </c>
      <c r="AL438" s="310" t="s">
        <v>576</v>
      </c>
      <c r="AM438" s="176" t="s">
        <v>390</v>
      </c>
      <c r="AN438" s="848" t="str">
        <f>IFERROR(VLOOKUP(E438,'liquidaciones '!$B$2:$C$1048576,2,0),"NO")</f>
        <v>LIQUIDADO</v>
      </c>
      <c r="AO438" s="944" t="str">
        <f>IFERROR(VLOOKUP(E438,'liquidaciones '!$B$2:$I$1048576,8,0),"")</f>
        <v>JULIETH ANGARITA</v>
      </c>
      <c r="AP438" s="338"/>
      <c r="AQ438" s="177" t="s">
        <v>390</v>
      </c>
      <c r="AR438" s="177" t="s">
        <v>2601</v>
      </c>
      <c r="AS438" s="433"/>
      <c r="AT438" s="964"/>
      <c r="AU438" s="964"/>
      <c r="AV438" s="964"/>
    </row>
    <row r="439" spans="3:48" ht="30" x14ac:dyDescent="0.25">
      <c r="C439" s="438">
        <v>229</v>
      </c>
      <c r="D439" s="437" t="str">
        <f t="shared" si="88"/>
        <v>2016229</v>
      </c>
      <c r="E439" s="854" t="s">
        <v>2593</v>
      </c>
      <c r="F439" s="853" t="s">
        <v>2594</v>
      </c>
      <c r="G439" s="903" t="s">
        <v>2595</v>
      </c>
      <c r="H439" s="1001" t="s">
        <v>3035</v>
      </c>
      <c r="I439" s="908">
        <v>20806000</v>
      </c>
      <c r="J439" s="713" t="s">
        <v>2596</v>
      </c>
      <c r="K439" s="295">
        <v>2016</v>
      </c>
      <c r="L439" s="546">
        <v>42585</v>
      </c>
      <c r="M439" s="856">
        <v>42598</v>
      </c>
      <c r="N439" s="856">
        <v>42720</v>
      </c>
      <c r="O439" s="127">
        <f>COUNTA(Modificaciones!I425,Modificaciones!K425,Modificaciones!M425,Modificaciones!O425)</f>
        <v>1</v>
      </c>
      <c r="P439" s="128">
        <f>VLOOKUP(E439,Modificaciones!$B$7:$Q$439,16,0)</f>
        <v>0</v>
      </c>
      <c r="Q439" s="129">
        <f>COUNTA(Modificaciones!S439,Modificaciones!U439,Modificaciones!W439,Modificaciones!Y439)</f>
        <v>0</v>
      </c>
      <c r="R439" s="130" t="str">
        <f>IF(Modificaciones!Z439=0,"",VLOOKUP(E439,Modificaciones!$B$7:$AA$500,25,0))</f>
        <v/>
      </c>
      <c r="S439" s="131" t="str">
        <f>IF(Modificaciones!AA439=0,"",VLOOKUP(E439,Modificaciones!$B$7:$AA$500,26,0))</f>
        <v/>
      </c>
      <c r="T439" s="855">
        <f t="shared" si="80"/>
        <v>42720</v>
      </c>
      <c r="U439" s="62">
        <f t="shared" si="81"/>
        <v>20806000</v>
      </c>
      <c r="V439" s="172">
        <f>VLOOKUP(E439,Modificaciones!$B$7:$AU$439,46,0)</f>
        <v>17478705</v>
      </c>
      <c r="W439" s="93">
        <f t="shared" si="77"/>
        <v>3327295</v>
      </c>
      <c r="X439" s="309" t="s">
        <v>2196</v>
      </c>
      <c r="Y439" s="852">
        <f t="shared" si="82"/>
        <v>0.84008002499279055</v>
      </c>
      <c r="Z439" s="42">
        <f t="shared" ca="1" si="83"/>
        <v>1</v>
      </c>
      <c r="AA439" s="43">
        <f t="shared" ca="1" si="84"/>
        <v>0.15991997500720945</v>
      </c>
      <c r="AB439" s="202" t="str">
        <f t="shared" ca="1" si="85"/>
        <v/>
      </c>
      <c r="AC439" s="44" t="str">
        <f t="shared" si="89"/>
        <v>NO</v>
      </c>
      <c r="AD439" s="760" t="s">
        <v>1712</v>
      </c>
      <c r="AE439" s="173" t="s">
        <v>1256</v>
      </c>
      <c r="AF439" s="281" t="s">
        <v>1304</v>
      </c>
      <c r="AG439" s="173" t="s">
        <v>1435</v>
      </c>
      <c r="AH439" s="281" t="s">
        <v>560</v>
      </c>
      <c r="AI439" s="305" t="s">
        <v>1388</v>
      </c>
      <c r="AJ439" s="305" t="s">
        <v>600</v>
      </c>
      <c r="AK439" s="181" t="str">
        <f t="shared" ca="1" si="86"/>
        <v>TERMINO</v>
      </c>
      <c r="AL439" s="310" t="s">
        <v>576</v>
      </c>
      <c r="AM439" s="176" t="s">
        <v>390</v>
      </c>
      <c r="AN439" s="848" t="str">
        <f>IFERROR(VLOOKUP(E439,'liquidaciones '!$B$2:$C$1048576,2,0),"NO")</f>
        <v>LIQUIDADO</v>
      </c>
      <c r="AO439" s="944" t="str">
        <f>IFERROR(VLOOKUP(E439,'liquidaciones '!$B$2:$I$1048576,8,0),"")</f>
        <v>MANUEL ROJAS</v>
      </c>
      <c r="AP439" s="338"/>
      <c r="AQ439" s="177" t="s">
        <v>390</v>
      </c>
      <c r="AR439" s="177" t="s">
        <v>2603</v>
      </c>
      <c r="AS439" s="433"/>
      <c r="AT439" s="964"/>
      <c r="AU439" s="964"/>
      <c r="AV439" s="964"/>
    </row>
    <row r="440" spans="3:48" ht="45" x14ac:dyDescent="0.25">
      <c r="C440" s="437">
        <v>220</v>
      </c>
      <c r="D440" s="437" t="str">
        <f t="shared" si="88"/>
        <v>2016220</v>
      </c>
      <c r="E440" s="854" t="s">
        <v>2597</v>
      </c>
      <c r="F440" s="853" t="s">
        <v>2598</v>
      </c>
      <c r="G440" s="903" t="s">
        <v>2599</v>
      </c>
      <c r="H440" s="1001" t="s">
        <v>3036</v>
      </c>
      <c r="I440" s="908">
        <v>6973000</v>
      </c>
      <c r="J440" s="713" t="s">
        <v>2600</v>
      </c>
      <c r="K440" s="295">
        <v>2016</v>
      </c>
      <c r="L440" s="546">
        <v>42587</v>
      </c>
      <c r="M440" s="856">
        <v>42598</v>
      </c>
      <c r="N440" s="856">
        <v>42841</v>
      </c>
      <c r="O440" s="127">
        <f>COUNTA(Modificaciones!I426,Modificaciones!K426,Modificaciones!M426,Modificaciones!O426)</f>
        <v>0</v>
      </c>
      <c r="P440" s="128">
        <f>VLOOKUP(E440,Modificaciones!$B$7:$Q$440,16,0)</f>
        <v>0</v>
      </c>
      <c r="Q440" s="129">
        <f>COUNTA(Modificaciones!S440,Modificaciones!U440,Modificaciones!W440,Modificaciones!Y440)</f>
        <v>1</v>
      </c>
      <c r="R440" s="130" t="str">
        <f>IF(Modificaciones!Z440=0,"",VLOOKUP(E440,Modificaciones!$B$7:$AA$500,25,0))</f>
        <v>3 meses</v>
      </c>
      <c r="S440" s="131">
        <f>IF(Modificaciones!AA440=0,"",VLOOKUP(E440,Modificaciones!$B$7:$AA$500,26,0))</f>
        <v>42932</v>
      </c>
      <c r="T440" s="855">
        <f t="shared" si="80"/>
        <v>42932</v>
      </c>
      <c r="U440" s="62">
        <f t="shared" si="81"/>
        <v>6973000</v>
      </c>
      <c r="V440" s="172">
        <f>VLOOKUP(E440,Modificaciones!$B$7:$AU$440,46,0)</f>
        <v>6973000</v>
      </c>
      <c r="W440" s="93">
        <f t="shared" si="77"/>
        <v>0</v>
      </c>
      <c r="X440" s="309" t="s">
        <v>1632</v>
      </c>
      <c r="Y440" s="852">
        <f t="shared" si="82"/>
        <v>1</v>
      </c>
      <c r="Z440" s="42">
        <f t="shared" ca="1" si="83"/>
        <v>1</v>
      </c>
      <c r="AA440" s="43">
        <f t="shared" ca="1" si="84"/>
        <v>0</v>
      </c>
      <c r="AB440" s="202" t="str">
        <f t="shared" ca="1" si="85"/>
        <v/>
      </c>
      <c r="AC440" s="44" t="str">
        <f t="shared" si="89"/>
        <v>SI</v>
      </c>
      <c r="AD440" s="760" t="s">
        <v>1710</v>
      </c>
      <c r="AE440" s="173" t="s">
        <v>1256</v>
      </c>
      <c r="AF440" s="281" t="s">
        <v>1511</v>
      </c>
      <c r="AG440" s="173" t="s">
        <v>1442</v>
      </c>
      <c r="AH440" s="281" t="s">
        <v>560</v>
      </c>
      <c r="AI440" s="305" t="s">
        <v>1380</v>
      </c>
      <c r="AJ440" s="305" t="s">
        <v>600</v>
      </c>
      <c r="AK440" s="181" t="str">
        <f t="shared" ca="1" si="86"/>
        <v>TERMINO</v>
      </c>
      <c r="AL440" s="310" t="s">
        <v>576</v>
      </c>
      <c r="AM440" s="176" t="s">
        <v>390</v>
      </c>
      <c r="AN440" s="848" t="str">
        <f>IFERROR(VLOOKUP(E440,'liquidaciones '!$B$2:$C$1048576,2,0),"NO")</f>
        <v>LIQUIDADO</v>
      </c>
      <c r="AO440" s="944">
        <f>IFERROR(VLOOKUP(E440,'liquidaciones '!$B$2:$I$1048576,8,0),"")</f>
        <v>0</v>
      </c>
      <c r="AP440" s="338"/>
      <c r="AQ440" s="177" t="s">
        <v>390</v>
      </c>
      <c r="AR440" s="177" t="s">
        <v>981</v>
      </c>
      <c r="AS440" s="433"/>
      <c r="AT440" s="964"/>
      <c r="AU440" s="964"/>
      <c r="AV440" s="964"/>
    </row>
    <row r="441" spans="3:48" ht="101.25" customHeight="1" x14ac:dyDescent="0.25">
      <c r="C441" s="438">
        <v>134</v>
      </c>
      <c r="D441" s="437" t="str">
        <f t="shared" si="88"/>
        <v>2016134</v>
      </c>
      <c r="E441" s="854" t="s">
        <v>2606</v>
      </c>
      <c r="F441" s="853" t="s">
        <v>90</v>
      </c>
      <c r="G441" s="903" t="s">
        <v>2607</v>
      </c>
      <c r="H441" s="1001" t="s">
        <v>3037</v>
      </c>
      <c r="I441" s="908">
        <v>1132400</v>
      </c>
      <c r="J441" s="713" t="s">
        <v>2608</v>
      </c>
      <c r="K441" s="295">
        <v>2016</v>
      </c>
      <c r="L441" s="546">
        <v>42591</v>
      </c>
      <c r="M441" s="856">
        <v>42604</v>
      </c>
      <c r="N441" s="856">
        <v>42969</v>
      </c>
      <c r="O441" s="127">
        <f>COUNTA(Modificaciones!I427,Modificaciones!K427,Modificaciones!M427,Modificaciones!O427)</f>
        <v>0</v>
      </c>
      <c r="P441" s="128">
        <f>VLOOKUP(E441,Modificaciones!$B$7:$Q$441,16,0)</f>
        <v>0</v>
      </c>
      <c r="Q441" s="129">
        <f>COUNTA(Modificaciones!S441,Modificaciones!U441,Modificaciones!W441,Modificaciones!Y441)</f>
        <v>0</v>
      </c>
      <c r="R441" s="130" t="str">
        <f>IF(Modificaciones!Z441=0,"",VLOOKUP(E441,Modificaciones!$B$7:$AA$500,25,0))</f>
        <v/>
      </c>
      <c r="S441" s="131" t="str">
        <f>IF(Modificaciones!AA441=0,"",VLOOKUP(E441,Modificaciones!$B$7:$AA$500,26,0))</f>
        <v/>
      </c>
      <c r="T441" s="855">
        <f t="shared" si="80"/>
        <v>42969</v>
      </c>
      <c r="U441" s="62">
        <f t="shared" si="81"/>
        <v>1132400</v>
      </c>
      <c r="V441" s="172">
        <f>VLOOKUP(E441,Modificaciones!$B$7:$AU$441,46,0)</f>
        <v>1132400</v>
      </c>
      <c r="W441" s="93">
        <f t="shared" si="77"/>
        <v>0</v>
      </c>
      <c r="X441" s="314" t="s">
        <v>1231</v>
      </c>
      <c r="Y441" s="852">
        <f t="shared" si="82"/>
        <v>1</v>
      </c>
      <c r="Z441" s="42">
        <f t="shared" ca="1" si="83"/>
        <v>1</v>
      </c>
      <c r="AA441" s="43">
        <f t="shared" ca="1" si="84"/>
        <v>0</v>
      </c>
      <c r="AB441" s="202" t="str">
        <f t="shared" ca="1" si="85"/>
        <v/>
      </c>
      <c r="AC441" s="44" t="str">
        <f t="shared" si="89"/>
        <v>SI</v>
      </c>
      <c r="AD441" s="760"/>
      <c r="AE441" s="173" t="s">
        <v>1257</v>
      </c>
      <c r="AF441" s="301" t="s">
        <v>1142</v>
      </c>
      <c r="AG441" s="173" t="s">
        <v>1430</v>
      </c>
      <c r="AH441" s="281" t="s">
        <v>564</v>
      </c>
      <c r="AI441" s="174"/>
      <c r="AJ441" s="305" t="s">
        <v>600</v>
      </c>
      <c r="AK441" s="181" t="str">
        <f t="shared" ca="1" si="86"/>
        <v>TERMINO</v>
      </c>
      <c r="AL441" s="181" t="s">
        <v>576</v>
      </c>
      <c r="AM441" s="176" t="s">
        <v>390</v>
      </c>
      <c r="AN441" s="848" t="str">
        <f>IFERROR(VLOOKUP(E441,'liquidaciones '!$B$2:$C$1048576,2,0),"NO")</f>
        <v>LIQUIDADO</v>
      </c>
      <c r="AO441" s="944">
        <f>IFERROR(VLOOKUP(E441,'liquidaciones '!$B$2:$I$1048576,8,0),"")</f>
        <v>0</v>
      </c>
      <c r="AP441" s="338"/>
      <c r="AQ441" s="177" t="s">
        <v>390</v>
      </c>
      <c r="AR441" s="177" t="s">
        <v>2907</v>
      </c>
      <c r="AS441" s="433"/>
      <c r="AT441" s="964"/>
      <c r="AU441" s="964"/>
      <c r="AV441" s="964"/>
    </row>
    <row r="442" spans="3:48" ht="25.5" customHeight="1" x14ac:dyDescent="0.25">
      <c r="C442" s="438">
        <v>90</v>
      </c>
      <c r="D442" s="437" t="str">
        <f t="shared" si="88"/>
        <v>201690</v>
      </c>
      <c r="E442" s="854" t="s">
        <v>2609</v>
      </c>
      <c r="F442" s="853" t="s">
        <v>2610</v>
      </c>
      <c r="G442" s="903" t="s">
        <v>2611</v>
      </c>
      <c r="H442" s="1001" t="s">
        <v>2612</v>
      </c>
      <c r="I442" s="908">
        <v>12000000</v>
      </c>
      <c r="J442" s="713" t="s">
        <v>2613</v>
      </c>
      <c r="K442" s="295">
        <v>2016</v>
      </c>
      <c r="L442" s="546">
        <v>42578</v>
      </c>
      <c r="M442" s="856">
        <v>42612</v>
      </c>
      <c r="N442" s="856">
        <v>42977</v>
      </c>
      <c r="O442" s="127">
        <f>COUNTA(Modificaciones!I428,Modificaciones!K428,Modificaciones!M428,Modificaciones!O428)</f>
        <v>0</v>
      </c>
      <c r="P442" s="128">
        <f>VLOOKUP(E442,Modificaciones!$B$7:$Q$442,16,0)</f>
        <v>0</v>
      </c>
      <c r="Q442" s="129">
        <f>COUNTA(Modificaciones!S442,Modificaciones!U442,Modificaciones!W442,Modificaciones!Y442)</f>
        <v>0</v>
      </c>
      <c r="R442" s="130" t="str">
        <f>IF(Modificaciones!Z442=0,"",VLOOKUP(E442,Modificaciones!$B$7:$AA$500,25,0))</f>
        <v/>
      </c>
      <c r="S442" s="131" t="str">
        <f>IF(Modificaciones!AA442=0,"",VLOOKUP(E442,Modificaciones!$B$7:$AA$500,26,0))</f>
        <v/>
      </c>
      <c r="T442" s="855">
        <f t="shared" si="80"/>
        <v>42977</v>
      </c>
      <c r="U442" s="62">
        <f t="shared" si="81"/>
        <v>12000000</v>
      </c>
      <c r="V442" s="172">
        <f>VLOOKUP(E442,Modificaciones!$B$7:$AU$442,46,0)</f>
        <v>12000000</v>
      </c>
      <c r="W442" s="93">
        <f t="shared" ref="W442:W505" si="90">U442-V442</f>
        <v>0</v>
      </c>
      <c r="X442" s="309" t="s">
        <v>1095</v>
      </c>
      <c r="Y442" s="852">
        <f t="shared" si="82"/>
        <v>1</v>
      </c>
      <c r="Z442" s="42">
        <f t="shared" ca="1" si="83"/>
        <v>1</v>
      </c>
      <c r="AA442" s="43">
        <f t="shared" ca="1" si="84"/>
        <v>0</v>
      </c>
      <c r="AB442" s="202" t="str">
        <f t="shared" ca="1" si="85"/>
        <v/>
      </c>
      <c r="AC442" s="44" t="str">
        <f t="shared" si="89"/>
        <v>SI</v>
      </c>
      <c r="AD442" s="760"/>
      <c r="AE442" s="173" t="s">
        <v>1257</v>
      </c>
      <c r="AF442" s="281" t="s">
        <v>1369</v>
      </c>
      <c r="AG442" s="173" t="s">
        <v>1439</v>
      </c>
      <c r="AH442" s="281" t="s">
        <v>560</v>
      </c>
      <c r="AI442" s="305" t="s">
        <v>1509</v>
      </c>
      <c r="AJ442" s="305" t="s">
        <v>600</v>
      </c>
      <c r="AK442" s="181" t="str">
        <f t="shared" ca="1" si="86"/>
        <v>TERMINO</v>
      </c>
      <c r="AL442" s="310" t="s">
        <v>576</v>
      </c>
      <c r="AM442" s="176" t="s">
        <v>390</v>
      </c>
      <c r="AN442" s="848" t="str">
        <f>IFERROR(VLOOKUP(E442,'liquidaciones '!$B$2:$C$1048576,2,0),"NO")</f>
        <v>LIQUIDADO</v>
      </c>
      <c r="AO442" s="944">
        <f>IFERROR(VLOOKUP(E442,'liquidaciones '!$B$2:$I$1048576,8,0),"")</f>
        <v>0</v>
      </c>
      <c r="AP442" s="338"/>
      <c r="AQ442" s="177" t="s">
        <v>390</v>
      </c>
      <c r="AR442" s="433" t="s">
        <v>3518</v>
      </c>
      <c r="AS442" s="433"/>
      <c r="AT442" s="964"/>
      <c r="AU442" s="964"/>
      <c r="AV442" s="964"/>
    </row>
    <row r="443" spans="3:48" ht="39" customHeight="1" x14ac:dyDescent="0.25">
      <c r="C443" s="437">
        <v>145</v>
      </c>
      <c r="D443" s="437" t="str">
        <f t="shared" si="88"/>
        <v>2016145</v>
      </c>
      <c r="E443" s="854" t="s">
        <v>2627</v>
      </c>
      <c r="F443" s="853" t="s">
        <v>2628</v>
      </c>
      <c r="G443" s="903">
        <v>900699012</v>
      </c>
      <c r="H443" s="1001" t="s">
        <v>2629</v>
      </c>
      <c r="I443" s="908">
        <v>4999000</v>
      </c>
      <c r="J443" s="713" t="s">
        <v>2630</v>
      </c>
      <c r="K443" s="295">
        <v>2016</v>
      </c>
      <c r="L443" s="546">
        <v>42604</v>
      </c>
      <c r="M443" s="856">
        <v>42622</v>
      </c>
      <c r="N443" s="856">
        <v>42803</v>
      </c>
      <c r="O443" s="127">
        <f>COUNTA(Modificaciones!I439,Modificaciones!K439,Modificaciones!M439,Modificaciones!O439)</f>
        <v>0</v>
      </c>
      <c r="P443" s="128">
        <f>VLOOKUP(E443,Modificaciones!$B$7:$Q$443,16,0)</f>
        <v>0</v>
      </c>
      <c r="Q443" s="129">
        <f>COUNTA(Modificaciones!S443,Modificaciones!U443,Modificaciones!W443,Modificaciones!Y443)</f>
        <v>0</v>
      </c>
      <c r="R443" s="130" t="str">
        <f>IF(Modificaciones!Z443=0,"",VLOOKUP(E443,Modificaciones!$B$7:$AA$500,25,0))</f>
        <v/>
      </c>
      <c r="S443" s="131" t="str">
        <f>IF(Modificaciones!AA443=0,"",VLOOKUP(E443,Modificaciones!$B$7:$AA$500,26,0))</f>
        <v/>
      </c>
      <c r="T443" s="855">
        <f t="shared" si="80"/>
        <v>42803</v>
      </c>
      <c r="U443" s="62">
        <f t="shared" si="81"/>
        <v>4999000</v>
      </c>
      <c r="V443" s="172">
        <f>VLOOKUP(E443,Modificaciones!$B$7:$AU$443,46,0)</f>
        <v>3270000</v>
      </c>
      <c r="W443" s="93">
        <f t="shared" si="90"/>
        <v>1729000</v>
      </c>
      <c r="X443" s="313" t="s">
        <v>1613</v>
      </c>
      <c r="Y443" s="852">
        <f t="shared" si="82"/>
        <v>0.65413082616523299</v>
      </c>
      <c r="Z443" s="42">
        <f t="shared" ca="1" si="83"/>
        <v>1</v>
      </c>
      <c r="AA443" s="43">
        <f t="shared" ca="1" si="84"/>
        <v>0.34586917383476701</v>
      </c>
      <c r="AB443" s="202" t="str">
        <f t="shared" ca="1" si="85"/>
        <v/>
      </c>
      <c r="AC443" s="44" t="str">
        <f t="shared" si="89"/>
        <v>NO</v>
      </c>
      <c r="AD443" s="760" t="s">
        <v>1710</v>
      </c>
      <c r="AE443" s="173" t="s">
        <v>1256</v>
      </c>
      <c r="AF443" s="301" t="s">
        <v>1171</v>
      </c>
      <c r="AG443" s="173" t="s">
        <v>1442</v>
      </c>
      <c r="AH443" s="281" t="s">
        <v>560</v>
      </c>
      <c r="AI443" s="174" t="s">
        <v>1380</v>
      </c>
      <c r="AJ443" s="305" t="s">
        <v>600</v>
      </c>
      <c r="AK443" s="181" t="str">
        <f t="shared" ca="1" si="86"/>
        <v>TERMINO</v>
      </c>
      <c r="AL443" s="181" t="s">
        <v>576</v>
      </c>
      <c r="AM443" s="176" t="s">
        <v>390</v>
      </c>
      <c r="AN443" s="848" t="str">
        <f>IFERROR(VLOOKUP(E443,'liquidaciones '!$B$2:$C$1048576,2,0),"NO")</f>
        <v>EN TRÁMITE</v>
      </c>
      <c r="AO443" s="944" t="str">
        <f>IFERROR(VLOOKUP(E443,'liquidaciones '!$B$2:$I$1048576,8,0),"")</f>
        <v>MANUEL ROJAS</v>
      </c>
      <c r="AP443" s="338"/>
      <c r="AQ443" s="177" t="s">
        <v>390</v>
      </c>
      <c r="AR443" s="433" t="s">
        <v>2965</v>
      </c>
      <c r="AS443" s="433"/>
      <c r="AT443" s="964"/>
      <c r="AU443" s="964"/>
      <c r="AV443" s="964"/>
    </row>
    <row r="444" spans="3:48" ht="23.25" customHeight="1" x14ac:dyDescent="0.25">
      <c r="C444" s="437">
        <v>141</v>
      </c>
      <c r="D444" s="437" t="str">
        <f t="shared" si="88"/>
        <v>2016141</v>
      </c>
      <c r="E444" s="854" t="s">
        <v>2631</v>
      </c>
      <c r="F444" s="853" t="s">
        <v>33</v>
      </c>
      <c r="G444" s="903">
        <v>860509265</v>
      </c>
      <c r="H444" s="1001" t="s">
        <v>2632</v>
      </c>
      <c r="I444" s="908">
        <v>825000</v>
      </c>
      <c r="J444" s="713" t="s">
        <v>2631</v>
      </c>
      <c r="K444" s="295">
        <v>2016</v>
      </c>
      <c r="L444" s="546">
        <v>42619</v>
      </c>
      <c r="M444" s="856">
        <v>42646</v>
      </c>
      <c r="N444" s="856">
        <v>43011</v>
      </c>
      <c r="O444" s="127">
        <f>COUNTA(Modificaciones!I440,Modificaciones!K440,Modificaciones!M440,Modificaciones!O440)</f>
        <v>0</v>
      </c>
      <c r="P444" s="128">
        <f>VLOOKUP(E444,Modificaciones!$B$7:$Q$444,16,0)</f>
        <v>0</v>
      </c>
      <c r="Q444" s="129">
        <f>COUNTA(Modificaciones!S444,Modificaciones!U444,Modificaciones!W444,Modificaciones!Y444)</f>
        <v>0</v>
      </c>
      <c r="R444" s="130" t="str">
        <f>IF(Modificaciones!Z444=0,"",VLOOKUP(E444,Modificaciones!$B$7:$AA$500,25,0))</f>
        <v/>
      </c>
      <c r="S444" s="131" t="str">
        <f>IF(Modificaciones!AA444=0,"",VLOOKUP(E444,Modificaciones!$B$7:$AA$500,26,0))</f>
        <v/>
      </c>
      <c r="T444" s="855">
        <f t="shared" si="80"/>
        <v>43011</v>
      </c>
      <c r="U444" s="62">
        <f t="shared" si="81"/>
        <v>825000</v>
      </c>
      <c r="V444" s="172">
        <f>VLOOKUP(E444,Modificaciones!$B$7:$AU$444,46,0)</f>
        <v>825000</v>
      </c>
      <c r="W444" s="93">
        <f t="shared" si="90"/>
        <v>0</v>
      </c>
      <c r="X444" s="309" t="s">
        <v>1895</v>
      </c>
      <c r="Y444" s="852">
        <f t="shared" si="82"/>
        <v>1</v>
      </c>
      <c r="Z444" s="42">
        <f t="shared" ca="1" si="83"/>
        <v>1</v>
      </c>
      <c r="AA444" s="43">
        <f t="shared" ca="1" si="84"/>
        <v>0</v>
      </c>
      <c r="AB444" s="202" t="str">
        <f t="shared" ca="1" si="85"/>
        <v/>
      </c>
      <c r="AC444" s="44" t="str">
        <f t="shared" si="89"/>
        <v>SI</v>
      </c>
      <c r="AD444" s="760" t="str">
        <f>VLOOKUP(C444,[2]Hoja4!$A$2:$E$116,5,0)</f>
        <v>SUSCRIPCION</v>
      </c>
      <c r="AE444" s="173" t="s">
        <v>1256</v>
      </c>
      <c r="AF444" s="301" t="s">
        <v>1469</v>
      </c>
      <c r="AG444" s="173" t="s">
        <v>1430</v>
      </c>
      <c r="AH444" s="281" t="s">
        <v>564</v>
      </c>
      <c r="AI444" s="305"/>
      <c r="AJ444" s="305" t="s">
        <v>600</v>
      </c>
      <c r="AK444" s="181" t="str">
        <f t="shared" ca="1" si="86"/>
        <v>TERMINO</v>
      </c>
      <c r="AL444" s="181" t="s">
        <v>582</v>
      </c>
      <c r="AM444" s="176" t="s">
        <v>390</v>
      </c>
      <c r="AN444" s="848" t="str">
        <f>IFERROR(VLOOKUP(E444,'liquidaciones '!$B$2:$C$1048576,2,0),"NO")</f>
        <v>EN TRÁMITE</v>
      </c>
      <c r="AO444" s="944">
        <f>IFERROR(VLOOKUP(E444,'liquidaciones '!$B$2:$I$1048576,8,0),"")</f>
        <v>0</v>
      </c>
      <c r="AP444" s="338"/>
      <c r="AQ444" s="177" t="s">
        <v>390</v>
      </c>
      <c r="AR444" s="433" t="s">
        <v>2965</v>
      </c>
      <c r="AS444" s="433"/>
      <c r="AT444" s="964"/>
      <c r="AU444" s="964"/>
      <c r="AV444" s="964"/>
    </row>
    <row r="445" spans="3:48" ht="57" customHeight="1" x14ac:dyDescent="0.25">
      <c r="C445" s="437"/>
      <c r="D445" s="437" t="str">
        <f t="shared" si="88"/>
        <v>2016</v>
      </c>
      <c r="E445" s="854" t="s">
        <v>2633</v>
      </c>
      <c r="F445" s="853" t="s">
        <v>2634</v>
      </c>
      <c r="G445" s="903">
        <v>85473477</v>
      </c>
      <c r="H445" s="1001" t="s">
        <v>2635</v>
      </c>
      <c r="I445" s="908">
        <v>9000000</v>
      </c>
      <c r="J445" s="713" t="s">
        <v>2633</v>
      </c>
      <c r="K445" s="295">
        <v>2016</v>
      </c>
      <c r="L445" s="546">
        <v>42622</v>
      </c>
      <c r="M445" s="856">
        <v>42625</v>
      </c>
      <c r="N445" s="856">
        <v>42778</v>
      </c>
      <c r="O445" s="127">
        <f>COUNTA(Modificaciones!I431,Modificaciones!K431,Modificaciones!M431,Modificaciones!O431)</f>
        <v>0</v>
      </c>
      <c r="P445" s="128">
        <f>VLOOKUP(E445,Modificaciones!$B$7:$Q$445,16,0)</f>
        <v>0</v>
      </c>
      <c r="Q445" s="129">
        <f>COUNTA(Modificaciones!S445,Modificaciones!U445,Modificaciones!W445,Modificaciones!Y445)</f>
        <v>0</v>
      </c>
      <c r="R445" s="130" t="str">
        <f>IF(Modificaciones!Z445=0,"",VLOOKUP(E445,Modificaciones!$B$7:$AA$500,25,0))</f>
        <v/>
      </c>
      <c r="S445" s="131" t="str">
        <f>IF(Modificaciones!AA445=0,"",VLOOKUP(E445,Modificaciones!$B$7:$AA$500,26,0))</f>
        <v/>
      </c>
      <c r="T445" s="855">
        <f t="shared" si="80"/>
        <v>42778</v>
      </c>
      <c r="U445" s="62">
        <f t="shared" si="81"/>
        <v>9000000</v>
      </c>
      <c r="V445" s="172">
        <f>VLOOKUP(E445,Modificaciones!$B$7:$AU$445,46,0)</f>
        <v>9000000</v>
      </c>
      <c r="W445" s="93">
        <f t="shared" si="90"/>
        <v>0</v>
      </c>
      <c r="X445" s="309" t="s">
        <v>1095</v>
      </c>
      <c r="Y445" s="852">
        <f t="shared" si="82"/>
        <v>1</v>
      </c>
      <c r="Z445" s="42">
        <f t="shared" ca="1" si="83"/>
        <v>1</v>
      </c>
      <c r="AA445" s="43">
        <f t="shared" ca="1" si="84"/>
        <v>0</v>
      </c>
      <c r="AB445" s="202" t="str">
        <f t="shared" ca="1" si="85"/>
        <v/>
      </c>
      <c r="AC445" s="44" t="str">
        <f t="shared" si="89"/>
        <v>SI</v>
      </c>
      <c r="AD445" s="760" t="s">
        <v>2898</v>
      </c>
      <c r="AE445" s="173" t="s">
        <v>1256</v>
      </c>
      <c r="AF445" s="281" t="s">
        <v>2636</v>
      </c>
      <c r="AG445" s="173" t="s">
        <v>1177</v>
      </c>
      <c r="AH445" s="281" t="s">
        <v>559</v>
      </c>
      <c r="AI445" s="305"/>
      <c r="AJ445" s="305" t="s">
        <v>600</v>
      </c>
      <c r="AK445" s="181" t="str">
        <f t="shared" ca="1" si="86"/>
        <v>TERMINO</v>
      </c>
      <c r="AL445" s="181" t="s">
        <v>582</v>
      </c>
      <c r="AM445" s="176" t="s">
        <v>391</v>
      </c>
      <c r="AN445" s="848" t="str">
        <f>IFERROR(VLOOKUP(E445,'liquidaciones '!$B$2:$C$1048576,2,0),"NO")</f>
        <v>LIQUIDADO</v>
      </c>
      <c r="AO445" s="944" t="str">
        <f>IFERROR(VLOOKUP(E445,'liquidaciones '!$B$2:$I$1048576,8,0),"")</f>
        <v>JAVIER QUINTERO</v>
      </c>
      <c r="AP445" s="338"/>
      <c r="AQ445" s="177" t="s">
        <v>390</v>
      </c>
      <c r="AR445" s="177" t="s">
        <v>2601</v>
      </c>
      <c r="AS445" s="433"/>
      <c r="AT445" s="964"/>
      <c r="AU445" s="964"/>
      <c r="AV445" s="964"/>
    </row>
    <row r="446" spans="3:48" ht="48" customHeight="1" x14ac:dyDescent="0.25">
      <c r="C446" s="437"/>
      <c r="D446" s="437" t="str">
        <f t="shared" si="88"/>
        <v>2016</v>
      </c>
      <c r="E446" s="866" t="s">
        <v>2637</v>
      </c>
      <c r="F446" s="853" t="s">
        <v>2638</v>
      </c>
      <c r="G446" s="903">
        <v>1090442018</v>
      </c>
      <c r="H446" s="1001" t="s">
        <v>2639</v>
      </c>
      <c r="I446" s="908">
        <v>7500000</v>
      </c>
      <c r="J446" s="713" t="s">
        <v>2637</v>
      </c>
      <c r="K446" s="295">
        <v>2016</v>
      </c>
      <c r="L446" s="546">
        <v>42622</v>
      </c>
      <c r="M446" s="856">
        <v>42625</v>
      </c>
      <c r="N446" s="856">
        <v>42778</v>
      </c>
      <c r="O446" s="127">
        <f>COUNTA(Modificaciones!I432,Modificaciones!K432,Modificaciones!M432,Modificaciones!O432)</f>
        <v>0</v>
      </c>
      <c r="P446" s="128">
        <f>VLOOKUP(E446,Modificaciones!$B$7:$Q$446,16,0)</f>
        <v>0</v>
      </c>
      <c r="Q446" s="129">
        <f>COUNTA(Modificaciones!S446,Modificaciones!U446,Modificaciones!W446,Modificaciones!Y446)</f>
        <v>0</v>
      </c>
      <c r="R446" s="130" t="str">
        <f>IF(Modificaciones!Z446=0,"",VLOOKUP(E446,Modificaciones!$B$7:$AA$500,25,0))</f>
        <v/>
      </c>
      <c r="S446" s="131" t="str">
        <f>IF(Modificaciones!AA446=0,"",VLOOKUP(E446,Modificaciones!$B$7:$AA$500,26,0))</f>
        <v/>
      </c>
      <c r="T446" s="855">
        <f t="shared" si="80"/>
        <v>42778</v>
      </c>
      <c r="U446" s="62">
        <f t="shared" si="81"/>
        <v>7500000</v>
      </c>
      <c r="V446" s="172">
        <f>VLOOKUP(E446,Modificaciones!$B$7:$AU$446,46,0)</f>
        <v>7500000</v>
      </c>
      <c r="W446" s="93">
        <f t="shared" si="90"/>
        <v>0</v>
      </c>
      <c r="X446" s="309" t="s">
        <v>1095</v>
      </c>
      <c r="Y446" s="852">
        <f t="shared" si="82"/>
        <v>1</v>
      </c>
      <c r="Z446" s="42">
        <f t="shared" ca="1" si="83"/>
        <v>1</v>
      </c>
      <c r="AA446" s="43">
        <f t="shared" ca="1" si="84"/>
        <v>0</v>
      </c>
      <c r="AB446" s="202" t="str">
        <f t="shared" ca="1" si="85"/>
        <v/>
      </c>
      <c r="AC446" s="44" t="str">
        <f t="shared" si="89"/>
        <v>SI</v>
      </c>
      <c r="AD446" s="760" t="s">
        <v>2898</v>
      </c>
      <c r="AE446" s="173" t="s">
        <v>1256</v>
      </c>
      <c r="AF446" s="281" t="s">
        <v>2640</v>
      </c>
      <c r="AG446" s="173" t="s">
        <v>1177</v>
      </c>
      <c r="AH446" s="281" t="s">
        <v>559</v>
      </c>
      <c r="AI446" s="305"/>
      <c r="AJ446" s="305" t="s">
        <v>600</v>
      </c>
      <c r="AK446" s="181" t="str">
        <f t="shared" ca="1" si="86"/>
        <v>TERMINO</v>
      </c>
      <c r="AL446" s="181" t="s">
        <v>582</v>
      </c>
      <c r="AM446" s="176" t="s">
        <v>391</v>
      </c>
      <c r="AN446" s="848" t="str">
        <f>IFERROR(VLOOKUP(E446,'liquidaciones '!$B$2:$C$1048576,2,0),"NO")</f>
        <v>LIQUIDADO</v>
      </c>
      <c r="AO446" s="944" t="str">
        <f>IFERROR(VLOOKUP(E446,'liquidaciones '!$B$2:$I$1048576,8,0),"")</f>
        <v>JAVIER QUINTERO</v>
      </c>
      <c r="AP446" s="338"/>
      <c r="AQ446" s="177" t="s">
        <v>390</v>
      </c>
      <c r="AR446" s="177" t="s">
        <v>2602</v>
      </c>
      <c r="AS446" s="433"/>
      <c r="AT446" s="964"/>
      <c r="AU446" s="964"/>
      <c r="AV446" s="964"/>
    </row>
    <row r="447" spans="3:48" ht="33.75" x14ac:dyDescent="0.25">
      <c r="C447" s="437">
        <v>86</v>
      </c>
      <c r="D447" s="437" t="str">
        <f t="shared" si="88"/>
        <v>201686</v>
      </c>
      <c r="E447" s="854" t="s">
        <v>2641</v>
      </c>
      <c r="F447" s="853" t="s">
        <v>2095</v>
      </c>
      <c r="G447" s="903">
        <v>830099766</v>
      </c>
      <c r="H447" s="1001" t="s">
        <v>2642</v>
      </c>
      <c r="I447" s="908">
        <v>50871139</v>
      </c>
      <c r="J447" s="713" t="s">
        <v>2644</v>
      </c>
      <c r="K447" s="295">
        <v>2016</v>
      </c>
      <c r="L447" s="546">
        <v>42621</v>
      </c>
      <c r="M447" s="856">
        <v>42632</v>
      </c>
      <c r="N447" s="856">
        <v>42874</v>
      </c>
      <c r="O447" s="127">
        <f>COUNTA(Modificaciones!I433,Modificaciones!K433,Modificaciones!M433,Modificaciones!O433)</f>
        <v>0</v>
      </c>
      <c r="P447" s="128">
        <f>VLOOKUP(E447,Modificaciones!$B$7:$Q$447,16,0)</f>
        <v>0</v>
      </c>
      <c r="Q447" s="129">
        <f>COUNTA(Modificaciones!S447,Modificaciones!U447,Modificaciones!W447,Modificaciones!Y447)</f>
        <v>0</v>
      </c>
      <c r="R447" s="130" t="str">
        <f>IF(Modificaciones!Z447=0,"",VLOOKUP(E447,Modificaciones!$B$7:$AA$500,25,0))</f>
        <v/>
      </c>
      <c r="S447" s="131" t="str">
        <f>IF(Modificaciones!AA447=0,"",VLOOKUP(E447,Modificaciones!$B$7:$AA$500,26,0))</f>
        <v/>
      </c>
      <c r="T447" s="855">
        <f t="shared" si="80"/>
        <v>42874</v>
      </c>
      <c r="U447" s="62">
        <f t="shared" si="81"/>
        <v>50871139</v>
      </c>
      <c r="V447" s="172">
        <f>VLOOKUP(E447,Modificaciones!$B$7:$AU$447,46,0)</f>
        <v>39661129</v>
      </c>
      <c r="W447" s="93">
        <f t="shared" si="90"/>
        <v>11210010</v>
      </c>
      <c r="X447" s="442" t="s">
        <v>2643</v>
      </c>
      <c r="Y447" s="852">
        <f t="shared" si="82"/>
        <v>0.7796390994901844</v>
      </c>
      <c r="Z447" s="42">
        <f t="shared" ca="1" si="83"/>
        <v>1</v>
      </c>
      <c r="AA447" s="43">
        <f t="shared" ca="1" si="84"/>
        <v>0.2203609005098156</v>
      </c>
      <c r="AB447" s="202" t="str">
        <f t="shared" ca="1" si="85"/>
        <v/>
      </c>
      <c r="AC447" s="44" t="str">
        <f t="shared" si="89"/>
        <v>NO</v>
      </c>
      <c r="AD447" s="760" t="s">
        <v>1710</v>
      </c>
      <c r="AE447" s="173" t="s">
        <v>1257</v>
      </c>
      <c r="AF447" s="281" t="s">
        <v>2098</v>
      </c>
      <c r="AG447" s="173" t="s">
        <v>1439</v>
      </c>
      <c r="AH447" s="281" t="s">
        <v>560</v>
      </c>
      <c r="AI447" s="305" t="s">
        <v>1509</v>
      </c>
      <c r="AJ447" s="305" t="s">
        <v>600</v>
      </c>
      <c r="AK447" s="181" t="str">
        <f t="shared" ca="1" si="86"/>
        <v>TERMINO</v>
      </c>
      <c r="AL447" s="310" t="s">
        <v>582</v>
      </c>
      <c r="AM447" s="176" t="s">
        <v>390</v>
      </c>
      <c r="AN447" s="848" t="str">
        <f>IFERROR(VLOOKUP(E447,'liquidaciones '!$B$2:$C$1048576,2,0),"NO")</f>
        <v>LIQUIDADO</v>
      </c>
      <c r="AO447" s="944" t="str">
        <f>IFERROR(VLOOKUP(E447,'liquidaciones '!$B$2:$I$1048576,8,0),"")</f>
        <v>GIOVANNI SUAREZ</v>
      </c>
      <c r="AP447" s="338"/>
      <c r="AQ447" s="177" t="s">
        <v>390</v>
      </c>
      <c r="AR447" s="177" t="s">
        <v>2907</v>
      </c>
      <c r="AS447" s="433"/>
      <c r="AT447" s="964"/>
      <c r="AU447" s="964"/>
      <c r="AV447" s="964"/>
    </row>
    <row r="448" spans="3:48" ht="22.5" x14ac:dyDescent="0.25">
      <c r="C448" s="437">
        <v>139</v>
      </c>
      <c r="D448" s="437" t="str">
        <f t="shared" si="88"/>
        <v>2016139</v>
      </c>
      <c r="E448" s="854" t="s">
        <v>2646</v>
      </c>
      <c r="F448" s="853" t="s">
        <v>2647</v>
      </c>
      <c r="G448" s="903">
        <v>860007590</v>
      </c>
      <c r="H448" s="1001" t="s">
        <v>2648</v>
      </c>
      <c r="I448" s="908">
        <v>974160</v>
      </c>
      <c r="J448" s="713" t="s">
        <v>2646</v>
      </c>
      <c r="K448" s="295">
        <v>2016</v>
      </c>
      <c r="L448" s="546">
        <v>42636</v>
      </c>
      <c r="M448" s="856">
        <v>42643</v>
      </c>
      <c r="N448" s="856">
        <v>43008</v>
      </c>
      <c r="O448" s="127">
        <f>COUNTA(Modificaciones!I434,Modificaciones!K434,Modificaciones!M434,Modificaciones!O434)</f>
        <v>0</v>
      </c>
      <c r="P448" s="128">
        <f>VLOOKUP(E448,Modificaciones!$B$7:$Q$448,16,0)</f>
        <v>0</v>
      </c>
      <c r="Q448" s="129">
        <f>COUNTA(Modificaciones!S448,Modificaciones!U448,Modificaciones!W448,Modificaciones!Y448)</f>
        <v>0</v>
      </c>
      <c r="R448" s="130" t="str">
        <f>IF(Modificaciones!Z448=0,"",VLOOKUP(E448,Modificaciones!$B$7:$AA$500,25,0))</f>
        <v/>
      </c>
      <c r="S448" s="131" t="str">
        <f>IF(Modificaciones!AA448=0,"",VLOOKUP(E448,Modificaciones!$B$7:$AA$500,26,0))</f>
        <v/>
      </c>
      <c r="T448" s="855">
        <f t="shared" ref="T448:T511" si="91">MAX(N448,S448)</f>
        <v>43008</v>
      </c>
      <c r="U448" s="62">
        <f t="shared" si="81"/>
        <v>974160</v>
      </c>
      <c r="V448" s="172">
        <f>VLOOKUP(E448,Modificaciones!$B$7:$AU$448,46,0)</f>
        <v>974160</v>
      </c>
      <c r="W448" s="93">
        <f t="shared" si="90"/>
        <v>0</v>
      </c>
      <c r="X448" s="309" t="s">
        <v>1895</v>
      </c>
      <c r="Y448" s="852">
        <f t="shared" si="82"/>
        <v>1</v>
      </c>
      <c r="Z448" s="42">
        <f t="shared" ca="1" si="83"/>
        <v>1</v>
      </c>
      <c r="AA448" s="43">
        <f t="shared" ca="1" si="84"/>
        <v>0</v>
      </c>
      <c r="AB448" s="202" t="str">
        <f t="shared" ca="1" si="85"/>
        <v/>
      </c>
      <c r="AC448" s="44" t="str">
        <f t="shared" si="89"/>
        <v>SI</v>
      </c>
      <c r="AD448" s="760" t="str">
        <f>VLOOKUP(C448,[2]Hoja4!$A$2:$E$116,5,0)</f>
        <v>SUSCRIPCION</v>
      </c>
      <c r="AE448" s="173" t="s">
        <v>1256</v>
      </c>
      <c r="AF448" s="281" t="s">
        <v>1125</v>
      </c>
      <c r="AG448" s="173" t="s">
        <v>1430</v>
      </c>
      <c r="AH448" s="281" t="s">
        <v>564</v>
      </c>
      <c r="AI448" s="305"/>
      <c r="AJ448" s="305" t="s">
        <v>600</v>
      </c>
      <c r="AK448" s="181" t="str">
        <f t="shared" ca="1" si="86"/>
        <v>TERMINO</v>
      </c>
      <c r="AL448" s="310" t="s">
        <v>582</v>
      </c>
      <c r="AM448" s="176" t="s">
        <v>390</v>
      </c>
      <c r="AN448" s="848" t="str">
        <f>IFERROR(VLOOKUP(E448,'liquidaciones '!$B$2:$C$1048576,2,0),"NO")</f>
        <v>LIQUIDADO</v>
      </c>
      <c r="AO448" s="944">
        <f>IFERROR(VLOOKUP(E448,'liquidaciones '!$B$2:$I$1048576,8,0),"")</f>
        <v>0</v>
      </c>
      <c r="AP448" s="338"/>
      <c r="AQ448" s="177" t="s">
        <v>390</v>
      </c>
      <c r="AR448" s="433" t="s">
        <v>3055</v>
      </c>
      <c r="AS448" s="433"/>
      <c r="AT448" s="964"/>
      <c r="AU448" s="964"/>
      <c r="AV448" s="964"/>
    </row>
    <row r="449" spans="3:48" ht="45" x14ac:dyDescent="0.25">
      <c r="C449" s="437">
        <v>208</v>
      </c>
      <c r="D449" s="437" t="str">
        <f t="shared" si="88"/>
        <v>2016208</v>
      </c>
      <c r="E449" s="866" t="s">
        <v>2649</v>
      </c>
      <c r="F449" s="853" t="s">
        <v>2650</v>
      </c>
      <c r="G449" s="903">
        <v>830113914</v>
      </c>
      <c r="H449" s="1001" t="s">
        <v>2651</v>
      </c>
      <c r="I449" s="908">
        <v>71482000</v>
      </c>
      <c r="J449" s="713" t="s">
        <v>2652</v>
      </c>
      <c r="K449" s="295">
        <v>2016</v>
      </c>
      <c r="L449" s="546">
        <v>42629</v>
      </c>
      <c r="M449" s="856">
        <v>42646</v>
      </c>
      <c r="N449" s="856">
        <v>42858</v>
      </c>
      <c r="O449" s="127">
        <f>COUNTA(Modificaciones!I445,Modificaciones!K445,Modificaciones!M445,Modificaciones!O445)</f>
        <v>0</v>
      </c>
      <c r="P449" s="128">
        <f>VLOOKUP(E449,Modificaciones!$B$7:$Q$449,16,0)</f>
        <v>0</v>
      </c>
      <c r="Q449" s="129">
        <f>COUNTA(Modificaciones!S449,Modificaciones!U449,Modificaciones!W449,Modificaciones!Y449)</f>
        <v>1</v>
      </c>
      <c r="R449" s="130" t="str">
        <f>IF(Modificaciones!Z449=0,"",VLOOKUP(E449,Modificaciones!$B$7:$AA$500,25,0))</f>
        <v xml:space="preserve">4 meses </v>
      </c>
      <c r="S449" s="131">
        <f>IF(Modificaciones!AA449=0,"",VLOOKUP(E449,Modificaciones!$B$7:$AA$500,26,0))</f>
        <v>42981</v>
      </c>
      <c r="T449" s="855">
        <f t="shared" si="91"/>
        <v>42981</v>
      </c>
      <c r="U449" s="62">
        <f t="shared" si="81"/>
        <v>71482000</v>
      </c>
      <c r="V449" s="172">
        <f>VLOOKUP(E449,Modificaciones!$B$7:$AU$449,46,0)</f>
        <v>71481959</v>
      </c>
      <c r="W449" s="93">
        <f t="shared" si="90"/>
        <v>41</v>
      </c>
      <c r="X449" s="309" t="s">
        <v>2006</v>
      </c>
      <c r="Y449" s="852">
        <f t="shared" si="82"/>
        <v>0.99999942642903106</v>
      </c>
      <c r="Z449" s="42">
        <f t="shared" ca="1" si="83"/>
        <v>1</v>
      </c>
      <c r="AA449" s="43">
        <f t="shared" ca="1" si="84"/>
        <v>5.7357096894250503E-7</v>
      </c>
      <c r="AB449" s="202" t="str">
        <f t="shared" ca="1" si="85"/>
        <v/>
      </c>
      <c r="AC449" s="44" t="str">
        <f t="shared" si="89"/>
        <v>SI</v>
      </c>
      <c r="AD449" s="760" t="s">
        <v>1713</v>
      </c>
      <c r="AE449" s="173" t="s">
        <v>1256</v>
      </c>
      <c r="AF449" s="173" t="s">
        <v>1130</v>
      </c>
      <c r="AG449" s="173" t="s">
        <v>1442</v>
      </c>
      <c r="AH449" s="281" t="s">
        <v>560</v>
      </c>
      <c r="AI449" s="179" t="s">
        <v>1379</v>
      </c>
      <c r="AJ449" s="305" t="s">
        <v>600</v>
      </c>
      <c r="AK449" s="181" t="str">
        <f t="shared" ca="1" si="86"/>
        <v>TERMINO</v>
      </c>
      <c r="AL449" s="310" t="s">
        <v>575</v>
      </c>
      <c r="AM449" s="176" t="s">
        <v>390</v>
      </c>
      <c r="AN449" s="848" t="str">
        <f>IFERROR(VLOOKUP(E449,'liquidaciones '!$B$2:$C$1048576,2,0),"NO")</f>
        <v>LIQUIDADO</v>
      </c>
      <c r="AO449" s="944">
        <f>IFERROR(VLOOKUP(E449,'liquidaciones '!$B$2:$I$1048576,8,0),"")</f>
        <v>0</v>
      </c>
      <c r="AP449" s="338"/>
      <c r="AQ449" s="177" t="s">
        <v>390</v>
      </c>
      <c r="AR449" s="177" t="s">
        <v>2965</v>
      </c>
      <c r="AS449" s="433"/>
      <c r="AT449" s="964"/>
      <c r="AU449" s="964"/>
      <c r="AV449" s="964"/>
    </row>
    <row r="450" spans="3:48" ht="33.75" x14ac:dyDescent="0.25">
      <c r="C450" s="437"/>
      <c r="D450" s="437"/>
      <c r="E450" s="854" t="s">
        <v>2654</v>
      </c>
      <c r="F450" s="853" t="s">
        <v>2655</v>
      </c>
      <c r="G450" s="903">
        <v>74185457</v>
      </c>
      <c r="H450" s="1001" t="s">
        <v>3038</v>
      </c>
      <c r="I450" s="908">
        <v>22000000</v>
      </c>
      <c r="J450" s="713" t="s">
        <v>2654</v>
      </c>
      <c r="K450" s="295">
        <v>2016</v>
      </c>
      <c r="L450" s="546">
        <v>42640</v>
      </c>
      <c r="M450" s="856">
        <v>42642</v>
      </c>
      <c r="N450" s="856">
        <v>42764</v>
      </c>
      <c r="O450" s="127">
        <f>COUNTA(Modificaciones!I446,Modificaciones!K446,Modificaciones!M446,Modificaciones!O446)</f>
        <v>0</v>
      </c>
      <c r="P450" s="128">
        <f>VLOOKUP(E450,Modificaciones!$B$7:$Q$450,16,0)</f>
        <v>0</v>
      </c>
      <c r="Q450" s="129">
        <f>COUNTA(Modificaciones!S450,Modificaciones!U450,Modificaciones!W450,Modificaciones!Y450)</f>
        <v>0</v>
      </c>
      <c r="R450" s="130" t="str">
        <f>IF(Modificaciones!Z450=0,"",VLOOKUP(E450,Modificaciones!$B$7:$AA$500,25,0))</f>
        <v/>
      </c>
      <c r="S450" s="131" t="str">
        <f>IF(Modificaciones!AA450=0,"",VLOOKUP(E450,Modificaciones!$B$7:$AA$500,26,0))</f>
        <v/>
      </c>
      <c r="T450" s="855">
        <f t="shared" si="91"/>
        <v>42764</v>
      </c>
      <c r="U450" s="62">
        <f t="shared" si="81"/>
        <v>22000000</v>
      </c>
      <c r="V450" s="172">
        <f>VLOOKUP(E450,Modificaciones!$B$7:$AU$450,46,0)</f>
        <v>11366666</v>
      </c>
      <c r="W450" s="93">
        <f t="shared" si="90"/>
        <v>10633334</v>
      </c>
      <c r="X450" s="309" t="s">
        <v>1095</v>
      </c>
      <c r="Y450" s="852">
        <f t="shared" si="82"/>
        <v>0.51666663636363641</v>
      </c>
      <c r="Z450" s="42">
        <f t="shared" ca="1" si="83"/>
        <v>1</v>
      </c>
      <c r="AA450" s="43">
        <f t="shared" ca="1" si="84"/>
        <v>0.48333336363636359</v>
      </c>
      <c r="AB450" s="202" t="str">
        <f t="shared" ca="1" si="85"/>
        <v/>
      </c>
      <c r="AC450" s="44" t="str">
        <f t="shared" si="89"/>
        <v>NO</v>
      </c>
      <c r="AD450" s="760" t="s">
        <v>2898</v>
      </c>
      <c r="AE450" s="173" t="s">
        <v>1257</v>
      </c>
      <c r="AF450" s="173" t="s">
        <v>2172</v>
      </c>
      <c r="AG450" s="173" t="s">
        <v>1177</v>
      </c>
      <c r="AH450" s="281" t="s">
        <v>559</v>
      </c>
      <c r="AI450" s="305"/>
      <c r="AJ450" s="305" t="s">
        <v>600</v>
      </c>
      <c r="AK450" s="181" t="str">
        <f t="shared" ca="1" si="86"/>
        <v>TERMINO</v>
      </c>
      <c r="AL450" s="181" t="s">
        <v>582</v>
      </c>
      <c r="AM450" s="176" t="s">
        <v>391</v>
      </c>
      <c r="AN450" s="848" t="str">
        <f>IFERROR(VLOOKUP(E450,'liquidaciones '!$B$2:$C$1048576,2,0),"NO")</f>
        <v>LIQUIDADO</v>
      </c>
      <c r="AO450" s="944" t="str">
        <f>IFERROR(VLOOKUP(E450,'liquidaciones '!$B$2:$I$1048576,8,0),"")</f>
        <v>JULIETH ANGARITA</v>
      </c>
      <c r="AP450" s="338"/>
      <c r="AQ450" s="177" t="s">
        <v>390</v>
      </c>
      <c r="AR450" s="433" t="s">
        <v>1510</v>
      </c>
      <c r="AS450" s="433"/>
      <c r="AT450" s="964"/>
      <c r="AU450" s="964"/>
      <c r="AV450" s="964"/>
    </row>
    <row r="451" spans="3:48" ht="78.75" x14ac:dyDescent="0.25">
      <c r="C451" s="437">
        <v>84</v>
      </c>
      <c r="D451" s="437" t="str">
        <f>K451&amp;C451</f>
        <v>201684</v>
      </c>
      <c r="E451" s="854" t="s">
        <v>2656</v>
      </c>
      <c r="F451" s="853" t="s">
        <v>2125</v>
      </c>
      <c r="G451" s="903">
        <v>830083523</v>
      </c>
      <c r="H451" s="1001" t="s">
        <v>2657</v>
      </c>
      <c r="I451" s="908">
        <v>8000000</v>
      </c>
      <c r="J451" s="713" t="s">
        <v>2656</v>
      </c>
      <c r="K451" s="295">
        <v>2016</v>
      </c>
      <c r="L451" s="546">
        <v>42636</v>
      </c>
      <c r="M451" s="856">
        <v>42648</v>
      </c>
      <c r="N451" s="856">
        <v>42891</v>
      </c>
      <c r="O451" s="127">
        <f>COUNTA(Modificaciones!I437,Modificaciones!K437,Modificaciones!M437,Modificaciones!O437)</f>
        <v>0</v>
      </c>
      <c r="P451" s="128">
        <f>VLOOKUP(E451,Modificaciones!$B$7:$Q$451,16,0)</f>
        <v>0</v>
      </c>
      <c r="Q451" s="129">
        <f>COUNTA(Modificaciones!S451,Modificaciones!U451,Modificaciones!W451,Modificaciones!Y451)</f>
        <v>0</v>
      </c>
      <c r="R451" s="130" t="str">
        <f>IF(Modificaciones!Z451=0,"",VLOOKUP(E451,Modificaciones!$B$7:$AA$500,25,0))</f>
        <v/>
      </c>
      <c r="S451" s="131" t="str">
        <f>IF(Modificaciones!AA451=0,"",VLOOKUP(E451,Modificaciones!$B$7:$AA$500,26,0))</f>
        <v/>
      </c>
      <c r="T451" s="855">
        <f t="shared" si="91"/>
        <v>42891</v>
      </c>
      <c r="U451" s="62">
        <f t="shared" si="81"/>
        <v>8000000</v>
      </c>
      <c r="V451" s="172">
        <f>VLOOKUP(E451,Modificaciones!$B$7:$AU$451,46,0)</f>
        <v>8000000</v>
      </c>
      <c r="W451" s="93">
        <f t="shared" si="90"/>
        <v>0</v>
      </c>
      <c r="X451" s="442" t="s">
        <v>2658</v>
      </c>
      <c r="Y451" s="852">
        <f t="shared" si="82"/>
        <v>1</v>
      </c>
      <c r="Z451" s="42">
        <f t="shared" ca="1" si="83"/>
        <v>1</v>
      </c>
      <c r="AA451" s="43">
        <f t="shared" ca="1" si="84"/>
        <v>0</v>
      </c>
      <c r="AB451" s="202" t="str">
        <f t="shared" ca="1" si="85"/>
        <v/>
      </c>
      <c r="AC451" s="44" t="str">
        <f t="shared" si="89"/>
        <v>SI</v>
      </c>
      <c r="AD451" s="760"/>
      <c r="AE451" s="173" t="s">
        <v>1257</v>
      </c>
      <c r="AF451" s="281" t="s">
        <v>2109</v>
      </c>
      <c r="AG451" s="173" t="s">
        <v>1439</v>
      </c>
      <c r="AH451" s="281" t="s">
        <v>560</v>
      </c>
      <c r="AI451" s="305" t="s">
        <v>1509</v>
      </c>
      <c r="AJ451" s="305" t="s">
        <v>600</v>
      </c>
      <c r="AK451" s="181" t="str">
        <f t="shared" ca="1" si="86"/>
        <v>TERMINO</v>
      </c>
      <c r="AL451" s="310" t="s">
        <v>582</v>
      </c>
      <c r="AM451" s="176" t="s">
        <v>390</v>
      </c>
      <c r="AN451" s="848" t="str">
        <f>IFERROR(VLOOKUP(E451,'liquidaciones '!$B$2:$C$1048576,2,0),"NO")</f>
        <v>LIQUIDADO</v>
      </c>
      <c r="AO451" s="944" t="str">
        <f>IFERROR(VLOOKUP(E451,'liquidaciones '!$B$2:$I$1048576,8,0),"")</f>
        <v>GIOVANNI SUAREZ</v>
      </c>
      <c r="AP451" s="338"/>
      <c r="AQ451" s="177" t="s">
        <v>390</v>
      </c>
      <c r="AR451" s="177" t="s">
        <v>2907</v>
      </c>
      <c r="AS451" s="433"/>
      <c r="AT451" s="964"/>
      <c r="AU451" s="964"/>
      <c r="AV451" s="964"/>
    </row>
    <row r="452" spans="3:48" ht="33.75" customHeight="1" x14ac:dyDescent="0.25">
      <c r="C452" s="437">
        <v>199</v>
      </c>
      <c r="D452" s="437" t="str">
        <f>K452&amp;C452</f>
        <v>2016199</v>
      </c>
      <c r="E452" s="854" t="s">
        <v>2659</v>
      </c>
      <c r="F452" s="853" t="s">
        <v>2666</v>
      </c>
      <c r="G452" s="903" t="s">
        <v>2660</v>
      </c>
      <c r="H452" s="1001" t="s">
        <v>2661</v>
      </c>
      <c r="I452" s="908">
        <v>669493245</v>
      </c>
      <c r="J452" s="713" t="s">
        <v>2662</v>
      </c>
      <c r="K452" s="295">
        <v>2016</v>
      </c>
      <c r="L452" s="546">
        <v>42632</v>
      </c>
      <c r="M452" s="856">
        <v>42647</v>
      </c>
      <c r="N452" s="856">
        <v>42859</v>
      </c>
      <c r="O452" s="127">
        <f>COUNTA(Modificaciones!I438,Modificaciones!K438,Modificaciones!M438,Modificaciones!O438)</f>
        <v>0</v>
      </c>
      <c r="P452" s="128">
        <f>VLOOKUP(E452,Modificaciones!$B$7:$Q$452,16,0)</f>
        <v>119367045</v>
      </c>
      <c r="Q452" s="129">
        <f>COUNTA(Modificaciones!S452,Modificaciones!U452,Modificaciones!W452,Modificaciones!Y452)</f>
        <v>2</v>
      </c>
      <c r="R452" s="130" t="str">
        <f>IF(Modificaciones!Z452=0,"",VLOOKUP(E452,Modificaciones!$B$7:$AA$500,25,0))</f>
        <v>2 meses y 12 días</v>
      </c>
      <c r="S452" s="131">
        <f>IF(Modificaciones!AA452=0,"",VLOOKUP(E452,Modificaciones!$B$7:$AA$500,26,0))</f>
        <v>42931</v>
      </c>
      <c r="T452" s="855">
        <f t="shared" si="91"/>
        <v>42931</v>
      </c>
      <c r="U452" s="62">
        <f t="shared" si="81"/>
        <v>788860290</v>
      </c>
      <c r="V452" s="172">
        <f>VLOOKUP(E452,Modificaciones!$B$7:$AU$452,46,0)</f>
        <v>721574980</v>
      </c>
      <c r="W452" s="93">
        <f t="shared" si="90"/>
        <v>67285310</v>
      </c>
      <c r="X452" s="309" t="s">
        <v>2663</v>
      </c>
      <c r="Y452" s="852">
        <f t="shared" si="82"/>
        <v>0.91470566987216462</v>
      </c>
      <c r="Z452" s="42">
        <f t="shared" ca="1" si="83"/>
        <v>1</v>
      </c>
      <c r="AA452" s="43">
        <f t="shared" ca="1" si="84"/>
        <v>8.5294330127835383E-2</v>
      </c>
      <c r="AB452" s="202" t="str">
        <f t="shared" ca="1" si="85"/>
        <v/>
      </c>
      <c r="AC452" s="44" t="str">
        <f t="shared" si="89"/>
        <v>NO</v>
      </c>
      <c r="AD452" s="760" t="s">
        <v>1710</v>
      </c>
      <c r="AE452" s="173" t="s">
        <v>1256</v>
      </c>
      <c r="AF452" s="281" t="s">
        <v>1280</v>
      </c>
      <c r="AG452" s="173" t="s">
        <v>1435</v>
      </c>
      <c r="AH452" s="281" t="s">
        <v>560</v>
      </c>
      <c r="AI452" s="305" t="s">
        <v>1386</v>
      </c>
      <c r="AJ452" s="305" t="s">
        <v>600</v>
      </c>
      <c r="AK452" s="181" t="str">
        <f t="shared" ca="1" si="86"/>
        <v>TERMINO</v>
      </c>
      <c r="AL452" s="310" t="s">
        <v>573</v>
      </c>
      <c r="AM452" s="176" t="s">
        <v>390</v>
      </c>
      <c r="AN452" s="848" t="str">
        <f>IFERROR(VLOOKUP(E452,'liquidaciones '!$B$2:$C$1048576,2,0),"NO")</f>
        <v>LIQUIDADO</v>
      </c>
      <c r="AO452" s="944">
        <f>IFERROR(VLOOKUP(E452,'liquidaciones '!$B$2:$I$1048576,8,0),"")</f>
        <v>0</v>
      </c>
      <c r="AP452" s="338"/>
      <c r="AQ452" s="177" t="s">
        <v>390</v>
      </c>
      <c r="AR452" s="433" t="s">
        <v>1510</v>
      </c>
      <c r="AS452" s="433"/>
      <c r="AT452" s="964"/>
      <c r="AU452" s="964"/>
      <c r="AV452" s="964"/>
    </row>
    <row r="453" spans="3:48" ht="33.75" x14ac:dyDescent="0.25">
      <c r="C453" s="437">
        <v>140</v>
      </c>
      <c r="D453" s="437" t="str">
        <f>K453&amp;C453</f>
        <v>2016140</v>
      </c>
      <c r="E453" s="854" t="s">
        <v>2664</v>
      </c>
      <c r="F453" s="853" t="s">
        <v>2146</v>
      </c>
      <c r="G453" s="903">
        <v>860536029</v>
      </c>
      <c r="H453" s="1001" t="s">
        <v>2665</v>
      </c>
      <c r="I453" s="908">
        <v>930000</v>
      </c>
      <c r="J453" s="713" t="s">
        <v>2664</v>
      </c>
      <c r="K453" s="295">
        <v>2016</v>
      </c>
      <c r="L453" s="546">
        <v>42640</v>
      </c>
      <c r="M453" s="856">
        <v>42647</v>
      </c>
      <c r="N453" s="856">
        <v>43012</v>
      </c>
      <c r="O453" s="127">
        <f>COUNTA(Modificaciones!I439,Modificaciones!K439,Modificaciones!M439,Modificaciones!O439)</f>
        <v>0</v>
      </c>
      <c r="P453" s="128">
        <f>VLOOKUP(E453,Modificaciones!$B$7:$Q$453,16,0)</f>
        <v>0</v>
      </c>
      <c r="Q453" s="129">
        <f>COUNTA(Modificaciones!S453,Modificaciones!U453,Modificaciones!W453,Modificaciones!Y453)</f>
        <v>0</v>
      </c>
      <c r="R453" s="130" t="str">
        <f>IF(Modificaciones!Z453=0,"",VLOOKUP(E453,Modificaciones!$B$7:$AA$500,25,0))</f>
        <v/>
      </c>
      <c r="S453" s="131" t="str">
        <f>IF(Modificaciones!AA453=0,"",VLOOKUP(E453,Modificaciones!$B$7:$AA$500,26,0))</f>
        <v/>
      </c>
      <c r="T453" s="855">
        <f t="shared" si="91"/>
        <v>43012</v>
      </c>
      <c r="U453" s="62">
        <f t="shared" si="81"/>
        <v>930000</v>
      </c>
      <c r="V453" s="172">
        <f>VLOOKUP(E453,Modificaciones!$B$7:$AU$453,46,0)</f>
        <v>930000</v>
      </c>
      <c r="W453" s="93">
        <f t="shared" si="90"/>
        <v>0</v>
      </c>
      <c r="X453" s="309" t="s">
        <v>1895</v>
      </c>
      <c r="Y453" s="852">
        <f t="shared" si="82"/>
        <v>1</v>
      </c>
      <c r="Z453" s="42">
        <f t="shared" ca="1" si="83"/>
        <v>1</v>
      </c>
      <c r="AA453" s="43">
        <f t="shared" ca="1" si="84"/>
        <v>0</v>
      </c>
      <c r="AB453" s="202" t="str">
        <f t="shared" ca="1" si="85"/>
        <v/>
      </c>
      <c r="AC453" s="44" t="str">
        <f t="shared" si="89"/>
        <v>SI</v>
      </c>
      <c r="AD453" s="760" t="str">
        <f>VLOOKUP(C453,[2]Hoja4!$A$2:$E$116,5,0)</f>
        <v>SUSCRIPCION</v>
      </c>
      <c r="AE453" s="173" t="s">
        <v>1256</v>
      </c>
      <c r="AF453" s="281" t="s">
        <v>1125</v>
      </c>
      <c r="AG453" s="173" t="s">
        <v>1430</v>
      </c>
      <c r="AH453" s="281" t="s">
        <v>564</v>
      </c>
      <c r="AI453" s="305"/>
      <c r="AJ453" s="305" t="s">
        <v>600</v>
      </c>
      <c r="AK453" s="181" t="str">
        <f t="shared" ca="1" si="86"/>
        <v>TERMINO</v>
      </c>
      <c r="AL453" s="310" t="s">
        <v>582</v>
      </c>
      <c r="AM453" s="176" t="s">
        <v>390</v>
      </c>
      <c r="AN453" s="848" t="str">
        <f>IFERROR(VLOOKUP(E453,'liquidaciones '!$B$2:$C$1048576,2,0),"NO")</f>
        <v>LIQUIDADO</v>
      </c>
      <c r="AO453" s="944">
        <f>IFERROR(VLOOKUP(E453,'liquidaciones '!$B$2:$I$1048576,8,0),"")</f>
        <v>0</v>
      </c>
      <c r="AP453" s="338"/>
      <c r="AQ453" s="177" t="s">
        <v>390</v>
      </c>
      <c r="AR453" s="433" t="s">
        <v>1510</v>
      </c>
      <c r="AS453" s="433"/>
      <c r="AT453" s="964"/>
      <c r="AU453" s="964"/>
      <c r="AV453" s="964"/>
    </row>
    <row r="454" spans="3:48" ht="48" customHeight="1" x14ac:dyDescent="0.25">
      <c r="C454" s="437"/>
      <c r="D454" s="437" t="str">
        <f>K454&amp;C454</f>
        <v>2016</v>
      </c>
      <c r="E454" s="854" t="s">
        <v>2673</v>
      </c>
      <c r="F454" s="853" t="s">
        <v>2676</v>
      </c>
      <c r="G454" s="903">
        <v>52505397</v>
      </c>
      <c r="H454" s="1001" t="s">
        <v>2674</v>
      </c>
      <c r="I454" s="908">
        <v>4800000</v>
      </c>
      <c r="J454" s="713" t="s">
        <v>2673</v>
      </c>
      <c r="K454" s="295">
        <v>2016</v>
      </c>
      <c r="L454" s="546">
        <v>42639</v>
      </c>
      <c r="M454" s="856">
        <v>42646</v>
      </c>
      <c r="N454" s="856">
        <v>42769</v>
      </c>
      <c r="O454" s="127">
        <f>COUNTA(Modificaciones!I440,Modificaciones!K440,Modificaciones!M440,Modificaciones!O440)</f>
        <v>0</v>
      </c>
      <c r="P454" s="128">
        <f>VLOOKUP(E454,Modificaciones!$B$7:$Q$454,16,0)</f>
        <v>0</v>
      </c>
      <c r="Q454" s="129">
        <f>COUNTA(Modificaciones!S454,Modificaciones!U454,Modificaciones!W454,Modificaciones!Y454)</f>
        <v>0</v>
      </c>
      <c r="R454" s="130" t="str">
        <f>IF(Modificaciones!Z454=0,"",VLOOKUP(E454,Modificaciones!$B$7:$AA$500,25,0))</f>
        <v/>
      </c>
      <c r="S454" s="131" t="str">
        <f>IF(Modificaciones!AA454=0,"",VLOOKUP(E454,Modificaciones!$B$7:$AA$500,26,0))</f>
        <v/>
      </c>
      <c r="T454" s="855">
        <f t="shared" si="91"/>
        <v>42769</v>
      </c>
      <c r="U454" s="62">
        <f t="shared" si="81"/>
        <v>4800000</v>
      </c>
      <c r="V454" s="172">
        <f>VLOOKUP(E454,Modificaciones!$B$7:$AU$454,46,0)</f>
        <v>4640000</v>
      </c>
      <c r="W454" s="93">
        <f t="shared" si="90"/>
        <v>160000</v>
      </c>
      <c r="X454" s="309" t="s">
        <v>1095</v>
      </c>
      <c r="Y454" s="852">
        <f t="shared" si="82"/>
        <v>0.96666666666666667</v>
      </c>
      <c r="Z454" s="42">
        <f t="shared" ca="1" si="83"/>
        <v>1</v>
      </c>
      <c r="AA454" s="43">
        <f t="shared" ca="1" si="84"/>
        <v>3.3333333333333326E-2</v>
      </c>
      <c r="AB454" s="202" t="str">
        <f t="shared" ca="1" si="85"/>
        <v/>
      </c>
      <c r="AC454" s="44" t="str">
        <f t="shared" si="89"/>
        <v>NO</v>
      </c>
      <c r="AD454" s="760" t="s">
        <v>2898</v>
      </c>
      <c r="AE454" s="173" t="s">
        <v>1256</v>
      </c>
      <c r="AF454" s="281" t="s">
        <v>2675</v>
      </c>
      <c r="AG454" s="173" t="s">
        <v>1177</v>
      </c>
      <c r="AH454" s="281" t="s">
        <v>559</v>
      </c>
      <c r="AI454" s="305"/>
      <c r="AJ454" s="305" t="s">
        <v>600</v>
      </c>
      <c r="AK454" s="181" t="str">
        <f t="shared" ca="1" si="86"/>
        <v>TERMINO</v>
      </c>
      <c r="AL454" s="181" t="s">
        <v>582</v>
      </c>
      <c r="AM454" s="176" t="s">
        <v>391</v>
      </c>
      <c r="AN454" s="848" t="str">
        <f>IFERROR(VLOOKUP(E454,'liquidaciones '!$B$2:$C$1048576,2,0),"NO")</f>
        <v>LIQUIDADO</v>
      </c>
      <c r="AO454" s="944" t="str">
        <f>IFERROR(VLOOKUP(E454,'liquidaciones '!$B$2:$I$1048576,8,0),"")</f>
        <v>MANUEL ROJAS</v>
      </c>
      <c r="AP454" s="338"/>
      <c r="AQ454" s="177" t="s">
        <v>390</v>
      </c>
      <c r="AR454" s="177" t="s">
        <v>2602</v>
      </c>
      <c r="AS454" s="433"/>
      <c r="AT454" s="964"/>
      <c r="AU454" s="964"/>
      <c r="AV454" s="964"/>
    </row>
    <row r="455" spans="3:48" ht="22.5" x14ac:dyDescent="0.25">
      <c r="C455" s="437"/>
      <c r="D455" s="437"/>
      <c r="E455" s="864" t="s">
        <v>2677</v>
      </c>
      <c r="F455" s="853" t="s">
        <v>2678</v>
      </c>
      <c r="G455" s="904">
        <v>1030642892</v>
      </c>
      <c r="H455" s="1002" t="s">
        <v>2679</v>
      </c>
      <c r="I455" s="908">
        <v>4800000</v>
      </c>
      <c r="J455" s="713" t="s">
        <v>2677</v>
      </c>
      <c r="K455" s="295">
        <v>2016</v>
      </c>
      <c r="L455" s="546">
        <v>42643</v>
      </c>
      <c r="M455" s="856">
        <v>42646</v>
      </c>
      <c r="N455" s="856">
        <v>42769</v>
      </c>
      <c r="O455" s="127">
        <f>COUNTA(Modificaciones!I451,Modificaciones!K451,Modificaciones!M451,Modificaciones!O451)</f>
        <v>0</v>
      </c>
      <c r="P455" s="128">
        <f>VLOOKUP(E455,Modificaciones!$B$7:$Q$455,16,0)</f>
        <v>0</v>
      </c>
      <c r="Q455" s="129">
        <f>COUNTA(Modificaciones!S455,Modificaciones!U455,Modificaciones!W455,Modificaciones!Y455)</f>
        <v>0</v>
      </c>
      <c r="R455" s="130" t="str">
        <f>IF(Modificaciones!Z455=0,"",VLOOKUP(E455,Modificaciones!$B$7:$AA$500,25,0))</f>
        <v/>
      </c>
      <c r="S455" s="131" t="str">
        <f>IF(Modificaciones!AA455=0,"",VLOOKUP(E455,Modificaciones!$B$7:$AA$500,26,0))</f>
        <v/>
      </c>
      <c r="T455" s="855">
        <f t="shared" si="91"/>
        <v>42769</v>
      </c>
      <c r="U455" s="62">
        <f t="shared" ref="U455:U518" si="92">I455+P455</f>
        <v>4800000</v>
      </c>
      <c r="V455" s="172">
        <f>VLOOKUP(E455,Modificaciones!$B$7:$AU$455,46,0)</f>
        <v>4800000</v>
      </c>
      <c r="W455" s="93">
        <f t="shared" si="90"/>
        <v>0</v>
      </c>
      <c r="X455" s="309" t="s">
        <v>1095</v>
      </c>
      <c r="Y455" s="852">
        <f t="shared" ref="Y455:Y518" si="93">(V455*100%)/U455</f>
        <v>1</v>
      </c>
      <c r="Z455" s="42">
        <f t="shared" ref="Z455:Z518" ca="1" si="94">IF((($F$3-M455)*100%/(T455-M455))&gt;100%,100%,(($F$3-M455)*100%/(T455-M455)))</f>
        <v>1</v>
      </c>
      <c r="AA455" s="43">
        <f t="shared" ref="AA455:AA518" ca="1" si="95">Z455-Y455</f>
        <v>0</v>
      </c>
      <c r="AB455" s="202" t="str">
        <f t="shared" ref="AB455:AB518" ca="1" si="96">IF(Z455&lt;100%,T455-$F$3,"")</f>
        <v/>
      </c>
      <c r="AC455" s="44" t="str">
        <f t="shared" si="89"/>
        <v>SI</v>
      </c>
      <c r="AD455" s="760" t="s">
        <v>2898</v>
      </c>
      <c r="AE455" s="173" t="s">
        <v>1256</v>
      </c>
      <c r="AF455" s="281" t="s">
        <v>2680</v>
      </c>
      <c r="AG455" s="173"/>
      <c r="AH455" s="281" t="s">
        <v>562</v>
      </c>
      <c r="AI455" s="305"/>
      <c r="AJ455" s="305" t="s">
        <v>600</v>
      </c>
      <c r="AK455" s="181" t="str">
        <f t="shared" ref="AK455:AK518" ca="1" si="97">IF(T455&gt;=$F$3,"EN EJECUCIÓN","TERMINO")</f>
        <v>TERMINO</v>
      </c>
      <c r="AL455" s="181" t="s">
        <v>582</v>
      </c>
      <c r="AM455" s="176" t="s">
        <v>391</v>
      </c>
      <c r="AN455" s="848" t="str">
        <f>IFERROR(VLOOKUP(E455,'liquidaciones '!$B$2:$C$1048576,2,0),"NO")</f>
        <v>LIQUIDADO</v>
      </c>
      <c r="AO455" s="944" t="str">
        <f>IFERROR(VLOOKUP(E455,'liquidaciones '!$B$2:$I$1048576,8,0),"")</f>
        <v>EDWARD MORENO</v>
      </c>
      <c r="AP455" s="338"/>
      <c r="AQ455" s="177" t="s">
        <v>390</v>
      </c>
      <c r="AR455" s="177" t="s">
        <v>1510</v>
      </c>
      <c r="AS455" s="433"/>
      <c r="AT455" s="964"/>
      <c r="AU455" s="964"/>
      <c r="AV455" s="964"/>
    </row>
    <row r="456" spans="3:48" ht="45" x14ac:dyDescent="0.25">
      <c r="C456" s="437">
        <v>222</v>
      </c>
      <c r="D456" s="437"/>
      <c r="E456" s="854" t="s">
        <v>2682</v>
      </c>
      <c r="F456" s="853" t="s">
        <v>2683</v>
      </c>
      <c r="G456" s="903" t="s">
        <v>2684</v>
      </c>
      <c r="H456" s="1001" t="s">
        <v>2702</v>
      </c>
      <c r="I456" s="908">
        <v>5150000</v>
      </c>
      <c r="J456" s="713" t="s">
        <v>2685</v>
      </c>
      <c r="K456" s="295">
        <v>2016</v>
      </c>
      <c r="L456" s="546">
        <v>42634</v>
      </c>
      <c r="M456" s="856">
        <v>42649</v>
      </c>
      <c r="N456" s="856">
        <v>42831</v>
      </c>
      <c r="O456" s="127">
        <f>COUNTA(Modificaciones!I452,Modificaciones!K452,Modificaciones!M452,Modificaciones!O452)</f>
        <v>1</v>
      </c>
      <c r="P456" s="128">
        <f>VLOOKUP(E456,Modificaciones!$B$7:$Q$456,16,0)</f>
        <v>0</v>
      </c>
      <c r="Q456" s="129">
        <f>COUNTA(Modificaciones!S456,Modificaciones!U456,Modificaciones!W456,Modificaciones!Y456)</f>
        <v>0</v>
      </c>
      <c r="R456" s="130" t="str">
        <f>IF(Modificaciones!Z456=0,"",VLOOKUP(E456,Modificaciones!$B$7:$AA$500,25,0))</f>
        <v/>
      </c>
      <c r="S456" s="131" t="str">
        <f>IF(Modificaciones!AA456=0,"",VLOOKUP(E456,Modificaciones!$B$7:$AA$500,26,0))</f>
        <v/>
      </c>
      <c r="T456" s="855">
        <f t="shared" si="91"/>
        <v>42831</v>
      </c>
      <c r="U456" s="62">
        <f t="shared" si="92"/>
        <v>5150000</v>
      </c>
      <c r="V456" s="172">
        <f>VLOOKUP(E456,Modificaciones!$B$7:$AU$456,46,0)</f>
        <v>0</v>
      </c>
      <c r="W456" s="93">
        <f t="shared" si="90"/>
        <v>5150000</v>
      </c>
      <c r="X456" s="309" t="s">
        <v>2156</v>
      </c>
      <c r="Y456" s="852">
        <f t="shared" si="93"/>
        <v>0</v>
      </c>
      <c r="Z456" s="42">
        <f t="shared" ca="1" si="94"/>
        <v>1</v>
      </c>
      <c r="AA456" s="43">
        <f t="shared" ca="1" si="95"/>
        <v>1</v>
      </c>
      <c r="AB456" s="202" t="str">
        <f t="shared" ca="1" si="96"/>
        <v/>
      </c>
      <c r="AC456" s="44" t="str">
        <f t="shared" si="89"/>
        <v>NO</v>
      </c>
      <c r="AD456" s="760" t="s">
        <v>1710</v>
      </c>
      <c r="AE456" s="173" t="s">
        <v>1256</v>
      </c>
      <c r="AF456" s="281" t="s">
        <v>1172</v>
      </c>
      <c r="AG456" s="173" t="s">
        <v>1442</v>
      </c>
      <c r="AH456" s="281" t="s">
        <v>560</v>
      </c>
      <c r="AI456" s="174" t="s">
        <v>1380</v>
      </c>
      <c r="AJ456" s="305" t="s">
        <v>600</v>
      </c>
      <c r="AK456" s="181" t="str">
        <f t="shared" ca="1" si="97"/>
        <v>TERMINO</v>
      </c>
      <c r="AL456" s="181" t="s">
        <v>576</v>
      </c>
      <c r="AM456" s="176" t="s">
        <v>390</v>
      </c>
      <c r="AN456" s="848" t="str">
        <f>IFERROR(VLOOKUP(E456,'liquidaciones '!$B$2:$C$1048576,2,0),"NO")</f>
        <v>LIQUIDADO</v>
      </c>
      <c r="AO456" s="944" t="str">
        <f>IFERROR(VLOOKUP(E456,'liquidaciones '!$B$2:$I$1048576,8,0),"")</f>
        <v>JULIETH ANGARITA</v>
      </c>
      <c r="AP456" s="338"/>
      <c r="AQ456" s="177" t="s">
        <v>390</v>
      </c>
      <c r="AR456" s="177" t="s">
        <v>2965</v>
      </c>
      <c r="AS456" s="433"/>
      <c r="AT456" s="964"/>
      <c r="AU456" s="964"/>
      <c r="AV456" s="964"/>
    </row>
    <row r="457" spans="3:48" ht="22.5" x14ac:dyDescent="0.25">
      <c r="C457" s="437">
        <v>138</v>
      </c>
      <c r="D457" s="437" t="str">
        <f>K457&amp;C457</f>
        <v>2016138</v>
      </c>
      <c r="E457" s="854" t="s">
        <v>2686</v>
      </c>
      <c r="F457" s="853" t="s">
        <v>2221</v>
      </c>
      <c r="G457" s="903">
        <v>860009759</v>
      </c>
      <c r="H457" s="1001" t="s">
        <v>2222</v>
      </c>
      <c r="I457" s="908">
        <v>817587</v>
      </c>
      <c r="J457" s="713" t="s">
        <v>2686</v>
      </c>
      <c r="K457" s="295">
        <v>2016</v>
      </c>
      <c r="L457" s="546">
        <v>42643</v>
      </c>
      <c r="M457" s="856">
        <v>42703</v>
      </c>
      <c r="N457" s="856">
        <v>43068</v>
      </c>
      <c r="O457" s="127">
        <f>COUNTA(Modificaciones!I443,Modificaciones!K443,Modificaciones!M443,Modificaciones!O443)</f>
        <v>0</v>
      </c>
      <c r="P457" s="128">
        <f>VLOOKUP(E457,Modificaciones!$B$7:$Q$457,16,0)</f>
        <v>0</v>
      </c>
      <c r="Q457" s="129">
        <f>COUNTA(Modificaciones!S457,Modificaciones!U457,Modificaciones!W457,Modificaciones!Y457)</f>
        <v>0</v>
      </c>
      <c r="R457" s="130" t="str">
        <f>IF(Modificaciones!Z457=0,"",VLOOKUP(E457,Modificaciones!$B$7:$AA$500,25,0))</f>
        <v/>
      </c>
      <c r="S457" s="131" t="str">
        <f>IF(Modificaciones!AA457=0,"",VLOOKUP(E457,Modificaciones!$B$7:$AA$500,26,0))</f>
        <v/>
      </c>
      <c r="T457" s="855">
        <f t="shared" si="91"/>
        <v>43068</v>
      </c>
      <c r="U457" s="62">
        <f t="shared" si="92"/>
        <v>817587</v>
      </c>
      <c r="V457" s="172">
        <f>VLOOKUP(E457,Modificaciones!$B$7:$AU$458,46,0)</f>
        <v>817587</v>
      </c>
      <c r="W457" s="93">
        <f t="shared" si="90"/>
        <v>0</v>
      </c>
      <c r="X457" s="309" t="s">
        <v>2114</v>
      </c>
      <c r="Y457" s="852">
        <f t="shared" si="93"/>
        <v>1</v>
      </c>
      <c r="Z457" s="42">
        <f t="shared" ca="1" si="94"/>
        <v>1</v>
      </c>
      <c r="AA457" s="43">
        <f t="shared" ca="1" si="95"/>
        <v>0</v>
      </c>
      <c r="AB457" s="202" t="str">
        <f t="shared" ca="1" si="96"/>
        <v/>
      </c>
      <c r="AC457" s="44" t="str">
        <f t="shared" si="89"/>
        <v>SI</v>
      </c>
      <c r="AD457" s="760" t="s">
        <v>1714</v>
      </c>
      <c r="AE457" s="173" t="s">
        <v>1256</v>
      </c>
      <c r="AF457" s="281" t="s">
        <v>1125</v>
      </c>
      <c r="AG457" s="173" t="s">
        <v>1430</v>
      </c>
      <c r="AH457" s="281" t="s">
        <v>564</v>
      </c>
      <c r="AI457" s="305"/>
      <c r="AJ457" s="305" t="s">
        <v>600</v>
      </c>
      <c r="AK457" s="181" t="str">
        <f t="shared" ca="1" si="97"/>
        <v>TERMINO</v>
      </c>
      <c r="AL457" s="310" t="s">
        <v>582</v>
      </c>
      <c r="AM457" s="176" t="s">
        <v>390</v>
      </c>
      <c r="AN457" s="848" t="str">
        <f>IFERROR(VLOOKUP(E457,'liquidaciones '!$B$2:$C$1048576,2,0),"NO")</f>
        <v>LIQUIDADO</v>
      </c>
      <c r="AO457" s="944">
        <f>IFERROR(VLOOKUP(E457,'liquidaciones '!$B$2:$I$1048576,8,0),"")</f>
        <v>0</v>
      </c>
      <c r="AP457" s="338"/>
      <c r="AQ457" s="177" t="s">
        <v>390</v>
      </c>
      <c r="AR457" s="177" t="s">
        <v>2965</v>
      </c>
      <c r="AS457" s="433"/>
      <c r="AT457" s="964"/>
      <c r="AU457" s="964"/>
      <c r="AV457" s="964"/>
    </row>
    <row r="458" spans="3:48" ht="45" x14ac:dyDescent="0.25">
      <c r="C458" s="437"/>
      <c r="D458" s="437" t="str">
        <f>K458&amp;C458</f>
        <v>2016</v>
      </c>
      <c r="E458" s="854" t="s">
        <v>2689</v>
      </c>
      <c r="F458" s="853" t="s">
        <v>2692</v>
      </c>
      <c r="G458" s="903">
        <v>51908487</v>
      </c>
      <c r="H458" s="1001" t="s">
        <v>2690</v>
      </c>
      <c r="I458" s="908">
        <v>22000000</v>
      </c>
      <c r="J458" s="713" t="s">
        <v>2689</v>
      </c>
      <c r="K458" s="295">
        <v>2016</v>
      </c>
      <c r="L458" s="546">
        <v>42643</v>
      </c>
      <c r="M458" s="856">
        <v>42646</v>
      </c>
      <c r="N458" s="856">
        <v>42769</v>
      </c>
      <c r="O458" s="127">
        <f>COUNTA(Modificaciones!I444,Modificaciones!K444,Modificaciones!M444,Modificaciones!O444)</f>
        <v>0</v>
      </c>
      <c r="P458" s="128">
        <f>VLOOKUP(E458,Modificaciones!$B$7:$Q$458,16,0)</f>
        <v>0</v>
      </c>
      <c r="Q458" s="129">
        <f>COUNTA(Modificaciones!S458,Modificaciones!U458,Modificaciones!W458,Modificaciones!Y458)</f>
        <v>0</v>
      </c>
      <c r="R458" s="130" t="str">
        <f>IF(Modificaciones!Z458=0,"",VLOOKUP(E458,Modificaciones!$B$7:$AA$500,25,0))</f>
        <v/>
      </c>
      <c r="S458" s="131" t="str">
        <f>IF(Modificaciones!AA458=0,"",VLOOKUP(E458,Modificaciones!$B$7:$AA$500,26,0))</f>
        <v/>
      </c>
      <c r="T458" s="855">
        <f t="shared" si="91"/>
        <v>42769</v>
      </c>
      <c r="U458" s="62">
        <f t="shared" si="92"/>
        <v>22000000</v>
      </c>
      <c r="V458" s="172">
        <f>VLOOKUP(E458,Modificaciones!$B$7:$AU$458,46,0)</f>
        <v>22000000</v>
      </c>
      <c r="W458" s="93">
        <f t="shared" si="90"/>
        <v>0</v>
      </c>
      <c r="X458" s="309" t="s">
        <v>1095</v>
      </c>
      <c r="Y458" s="852">
        <f t="shared" si="93"/>
        <v>1</v>
      </c>
      <c r="Z458" s="42">
        <f t="shared" ca="1" si="94"/>
        <v>1</v>
      </c>
      <c r="AA458" s="43">
        <f t="shared" ca="1" si="95"/>
        <v>0</v>
      </c>
      <c r="AB458" s="202" t="str">
        <f t="shared" ca="1" si="96"/>
        <v/>
      </c>
      <c r="AC458" s="44" t="str">
        <f t="shared" si="89"/>
        <v>SI</v>
      </c>
      <c r="AD458" s="760" t="s">
        <v>2898</v>
      </c>
      <c r="AE458" s="173" t="s">
        <v>1256</v>
      </c>
      <c r="AF458" s="173" t="s">
        <v>2174</v>
      </c>
      <c r="AG458" s="173" t="s">
        <v>1177</v>
      </c>
      <c r="AH458" s="281" t="s">
        <v>559</v>
      </c>
      <c r="AI458" s="174"/>
      <c r="AJ458" s="305" t="s">
        <v>600</v>
      </c>
      <c r="AK458" s="181" t="str">
        <f t="shared" ca="1" si="97"/>
        <v>TERMINO</v>
      </c>
      <c r="AL458" s="181" t="s">
        <v>582</v>
      </c>
      <c r="AM458" s="176" t="s">
        <v>391</v>
      </c>
      <c r="AN458" s="848" t="str">
        <f>IFERROR(VLOOKUP(E458,'liquidaciones '!$B$2:$C$1048576,2,0),"NO")</f>
        <v>LIQUIDADO</v>
      </c>
      <c r="AO458" s="944" t="str">
        <f>IFERROR(VLOOKUP(E458,'liquidaciones '!$B$2:$I$1048576,8,0),"")</f>
        <v>ANDREA CASAS</v>
      </c>
      <c r="AP458" s="338"/>
      <c r="AQ458" s="177" t="s">
        <v>390</v>
      </c>
      <c r="AR458" s="177" t="s">
        <v>981</v>
      </c>
      <c r="AS458" s="433"/>
      <c r="AT458" s="964"/>
      <c r="AU458" s="964"/>
      <c r="AV458" s="964"/>
    </row>
    <row r="459" spans="3:48" ht="45" x14ac:dyDescent="0.25">
      <c r="C459" s="437"/>
      <c r="D459" s="437"/>
      <c r="E459" s="854" t="s">
        <v>2691</v>
      </c>
      <c r="F459" s="853" t="s">
        <v>2693</v>
      </c>
      <c r="G459" s="903">
        <v>79615371</v>
      </c>
      <c r="H459" s="1001" t="s">
        <v>2690</v>
      </c>
      <c r="I459" s="908">
        <v>22000000</v>
      </c>
      <c r="J459" s="713" t="s">
        <v>2691</v>
      </c>
      <c r="K459" s="295">
        <v>2016</v>
      </c>
      <c r="L459" s="546">
        <v>42642</v>
      </c>
      <c r="M459" s="856">
        <v>42646</v>
      </c>
      <c r="N459" s="856">
        <v>42769</v>
      </c>
      <c r="O459" s="127">
        <f>COUNTA(Modificaciones!I445,Modificaciones!K445,Modificaciones!M445,Modificaciones!O445)</f>
        <v>0</v>
      </c>
      <c r="P459" s="128">
        <f>VLOOKUP(E459,Modificaciones!$B$7:$Q$459,16,0)</f>
        <v>0</v>
      </c>
      <c r="Q459" s="129">
        <f>COUNTA(Modificaciones!S459,Modificaciones!U459,Modificaciones!W459,Modificaciones!Y459)</f>
        <v>0</v>
      </c>
      <c r="R459" s="130" t="str">
        <f>IF(Modificaciones!Z459=0,"",VLOOKUP(E459,Modificaciones!$B$7:$AA$500,25,0))</f>
        <v/>
      </c>
      <c r="S459" s="131" t="str">
        <f>IF(Modificaciones!AA459=0,"",VLOOKUP(E459,Modificaciones!$B$7:$AA$500,26,0))</f>
        <v/>
      </c>
      <c r="T459" s="855">
        <f t="shared" si="91"/>
        <v>42769</v>
      </c>
      <c r="U459" s="62">
        <f t="shared" si="92"/>
        <v>22000000</v>
      </c>
      <c r="V459" s="172">
        <f>VLOOKUP(E459,Modificaciones!$B$7:$AU$459,46,0)</f>
        <v>22000000</v>
      </c>
      <c r="W459" s="93">
        <f t="shared" si="90"/>
        <v>0</v>
      </c>
      <c r="X459" s="309" t="s">
        <v>1095</v>
      </c>
      <c r="Y459" s="852">
        <f t="shared" si="93"/>
        <v>1</v>
      </c>
      <c r="Z459" s="42">
        <f t="shared" ca="1" si="94"/>
        <v>1</v>
      </c>
      <c r="AA459" s="43">
        <f t="shared" ca="1" si="95"/>
        <v>0</v>
      </c>
      <c r="AB459" s="202" t="str">
        <f t="shared" ca="1" si="96"/>
        <v/>
      </c>
      <c r="AC459" s="44" t="str">
        <f t="shared" si="89"/>
        <v>SI</v>
      </c>
      <c r="AD459" s="760" t="s">
        <v>2898</v>
      </c>
      <c r="AE459" s="173" t="s">
        <v>1256</v>
      </c>
      <c r="AF459" s="173" t="s">
        <v>2174</v>
      </c>
      <c r="AG459" s="173" t="s">
        <v>1177</v>
      </c>
      <c r="AH459" s="281" t="s">
        <v>559</v>
      </c>
      <c r="AI459" s="174"/>
      <c r="AJ459" s="305" t="s">
        <v>600</v>
      </c>
      <c r="AK459" s="181" t="str">
        <f t="shared" ca="1" si="97"/>
        <v>TERMINO</v>
      </c>
      <c r="AL459" s="181" t="s">
        <v>582</v>
      </c>
      <c r="AM459" s="176" t="s">
        <v>391</v>
      </c>
      <c r="AN459" s="848" t="str">
        <f>IFERROR(VLOOKUP(E459,'liquidaciones '!$B$2:$C$1048576,2,0),"NO")</f>
        <v>LIQUIDADO</v>
      </c>
      <c r="AO459" s="944" t="str">
        <f>IFERROR(VLOOKUP(E459,'liquidaciones '!$B$2:$I$1048576,8,0),"")</f>
        <v>ANDREA CASAS</v>
      </c>
      <c r="AP459" s="338"/>
      <c r="AQ459" s="177" t="s">
        <v>390</v>
      </c>
      <c r="AR459" s="177" t="s">
        <v>981</v>
      </c>
      <c r="AS459" s="433"/>
      <c r="AT459" s="964"/>
      <c r="AU459" s="964"/>
      <c r="AV459" s="964"/>
    </row>
    <row r="460" spans="3:48" ht="45" x14ac:dyDescent="0.25">
      <c r="C460" s="437"/>
      <c r="D460" s="437" t="str">
        <f t="shared" ref="D460:D485" si="98">K460&amp;C460</f>
        <v>2016</v>
      </c>
      <c r="E460" s="866" t="s">
        <v>2694</v>
      </c>
      <c r="F460" s="864" t="s">
        <v>2695</v>
      </c>
      <c r="G460" s="904">
        <v>51976235</v>
      </c>
      <c r="H460" s="1001" t="s">
        <v>2690</v>
      </c>
      <c r="I460" s="908">
        <v>22000000</v>
      </c>
      <c r="J460" s="863" t="s">
        <v>2694</v>
      </c>
      <c r="K460" s="295">
        <v>2016</v>
      </c>
      <c r="L460" s="546">
        <v>42642</v>
      </c>
      <c r="M460" s="865">
        <v>42646</v>
      </c>
      <c r="N460" s="865">
        <v>42769</v>
      </c>
      <c r="O460" s="127">
        <f>COUNTA(Modificaciones!I446,Modificaciones!K446,Modificaciones!M446,Modificaciones!O446)</f>
        <v>0</v>
      </c>
      <c r="P460" s="128">
        <f>VLOOKUP(E460,Modificaciones!$B$7:$Q$460,16,0)</f>
        <v>0</v>
      </c>
      <c r="Q460" s="129">
        <f>COUNTA(Modificaciones!S460,Modificaciones!U460,Modificaciones!W460,Modificaciones!Y460)</f>
        <v>0</v>
      </c>
      <c r="R460" s="130" t="str">
        <f>IF(Modificaciones!Z460=0,"",VLOOKUP(E460,Modificaciones!$B$7:$AA$500,25,0))</f>
        <v/>
      </c>
      <c r="S460" s="131" t="str">
        <f>IF(Modificaciones!AA460=0,"",VLOOKUP(E460,Modificaciones!$B$7:$AA$500,26,0))</f>
        <v/>
      </c>
      <c r="T460" s="855">
        <f t="shared" si="91"/>
        <v>42769</v>
      </c>
      <c r="U460" s="62">
        <f t="shared" si="92"/>
        <v>22000000</v>
      </c>
      <c r="V460" s="172">
        <f>VLOOKUP(E460,Modificaciones!$B$7:$AU$460,46,0)</f>
        <v>22000000</v>
      </c>
      <c r="W460" s="93">
        <f t="shared" si="90"/>
        <v>0</v>
      </c>
      <c r="X460" s="309" t="s">
        <v>1095</v>
      </c>
      <c r="Y460" s="852">
        <f t="shared" si="93"/>
        <v>1</v>
      </c>
      <c r="Z460" s="42">
        <f t="shared" ca="1" si="94"/>
        <v>1</v>
      </c>
      <c r="AA460" s="43">
        <f t="shared" ca="1" si="95"/>
        <v>0</v>
      </c>
      <c r="AB460" s="202" t="str">
        <f t="shared" ca="1" si="96"/>
        <v/>
      </c>
      <c r="AC460" s="44" t="str">
        <f t="shared" si="89"/>
        <v>SI</v>
      </c>
      <c r="AD460" s="760" t="s">
        <v>2898</v>
      </c>
      <c r="AE460" s="173" t="s">
        <v>1256</v>
      </c>
      <c r="AF460" s="173" t="s">
        <v>2174</v>
      </c>
      <c r="AG460" s="173" t="s">
        <v>1177</v>
      </c>
      <c r="AH460" s="281" t="s">
        <v>559</v>
      </c>
      <c r="AI460" s="174"/>
      <c r="AJ460" s="305" t="s">
        <v>600</v>
      </c>
      <c r="AK460" s="181" t="str">
        <f t="shared" ca="1" si="97"/>
        <v>TERMINO</v>
      </c>
      <c r="AL460" s="181" t="s">
        <v>582</v>
      </c>
      <c r="AM460" s="176" t="s">
        <v>391</v>
      </c>
      <c r="AN460" s="848" t="str">
        <f>IFERROR(VLOOKUP(E460,'liquidaciones '!$B$2:$C$1048576,2,0),"NO")</f>
        <v>LIQUIDADO</v>
      </c>
      <c r="AO460" s="944" t="str">
        <f>IFERROR(VLOOKUP(E460,'liquidaciones '!$B$2:$I$1048576,8,0),"")</f>
        <v>ANDREA CASAS</v>
      </c>
      <c r="AP460" s="338"/>
      <c r="AQ460" s="177" t="s">
        <v>390</v>
      </c>
      <c r="AR460" s="177" t="s">
        <v>981</v>
      </c>
      <c r="AS460" s="433"/>
      <c r="AT460" s="964"/>
      <c r="AU460" s="964"/>
      <c r="AV460" s="964"/>
    </row>
    <row r="461" spans="3:48" ht="56.25" x14ac:dyDescent="0.25">
      <c r="C461" s="437">
        <v>201</v>
      </c>
      <c r="D461" s="437" t="str">
        <f t="shared" si="98"/>
        <v>2016201</v>
      </c>
      <c r="E461" s="854" t="s">
        <v>2696</v>
      </c>
      <c r="F461" s="853" t="s">
        <v>1862</v>
      </c>
      <c r="G461" s="903">
        <v>830124848</v>
      </c>
      <c r="H461" s="1001" t="s">
        <v>3039</v>
      </c>
      <c r="I461" s="908">
        <v>17275885</v>
      </c>
      <c r="J461" s="713" t="s">
        <v>2697</v>
      </c>
      <c r="K461" s="295">
        <v>2016</v>
      </c>
      <c r="L461" s="546">
        <v>42647</v>
      </c>
      <c r="M461" s="856">
        <v>42664</v>
      </c>
      <c r="N461" s="856">
        <v>42815</v>
      </c>
      <c r="O461" s="127">
        <f>COUNTA(Modificaciones!I447,Modificaciones!K447,Modificaciones!M447,Modificaciones!O447)</f>
        <v>0</v>
      </c>
      <c r="P461" s="128">
        <f>VLOOKUP(E461,Modificaciones!$B$7:$Q$461,16,0)</f>
        <v>8638000</v>
      </c>
      <c r="Q461" s="129">
        <f>COUNTA(Modificaciones!S461,Modificaciones!U461,Modificaciones!W461,Modificaciones!Y461)</f>
        <v>1</v>
      </c>
      <c r="R461" s="130" t="str">
        <f>IF(Modificaciones!Z461=0,"",VLOOKUP(E461,Modificaciones!$B$7:$AA$500,25,0))</f>
        <v>2 meses</v>
      </c>
      <c r="S461" s="131">
        <f>IF(Modificaciones!AA461=0,"",VLOOKUP(E461,Modificaciones!$B$7:$AA$500,26,0))</f>
        <v>42880</v>
      </c>
      <c r="T461" s="855">
        <f t="shared" si="91"/>
        <v>42880</v>
      </c>
      <c r="U461" s="62">
        <f t="shared" si="92"/>
        <v>25913885</v>
      </c>
      <c r="V461" s="172">
        <f>VLOOKUP(E461,Modificaciones!$B$7:$AU$461,46,0)</f>
        <v>25913856</v>
      </c>
      <c r="W461" s="93">
        <f t="shared" si="90"/>
        <v>29</v>
      </c>
      <c r="X461" s="309" t="s">
        <v>1864</v>
      </c>
      <c r="Y461" s="852">
        <f t="shared" si="93"/>
        <v>0.99999888090882549</v>
      </c>
      <c r="Z461" s="42">
        <f t="shared" ca="1" si="94"/>
        <v>1</v>
      </c>
      <c r="AA461" s="43">
        <f t="shared" ca="1" si="95"/>
        <v>1.1190911745062593E-6</v>
      </c>
      <c r="AB461" s="202" t="str">
        <f t="shared" ca="1" si="96"/>
        <v/>
      </c>
      <c r="AC461" s="44" t="str">
        <f t="shared" si="89"/>
        <v>SI</v>
      </c>
      <c r="AD461" s="760" t="s">
        <v>1710</v>
      </c>
      <c r="AE461" s="173" t="s">
        <v>1257</v>
      </c>
      <c r="AF461" s="301" t="s">
        <v>1166</v>
      </c>
      <c r="AG461" s="173" t="s">
        <v>1439</v>
      </c>
      <c r="AH461" s="281" t="s">
        <v>560</v>
      </c>
      <c r="AI461" s="305" t="s">
        <v>1509</v>
      </c>
      <c r="AJ461" s="305" t="s">
        <v>600</v>
      </c>
      <c r="AK461" s="181" t="str">
        <f t="shared" ca="1" si="97"/>
        <v>TERMINO</v>
      </c>
      <c r="AL461" s="310" t="s">
        <v>575</v>
      </c>
      <c r="AM461" s="176" t="s">
        <v>390</v>
      </c>
      <c r="AN461" s="848" t="str">
        <f>IFERROR(VLOOKUP(E461,'liquidaciones '!$B$2:$C$1048576,2,0),"NO")</f>
        <v>LIQUIDADO</v>
      </c>
      <c r="AO461" s="944" t="str">
        <f>IFERROR(VLOOKUP(E461,'liquidaciones '!$B$2:$I$1048576,8,0),"")</f>
        <v>GIOVANNI SUAREZ</v>
      </c>
      <c r="AP461" s="338"/>
      <c r="AQ461" s="177" t="s">
        <v>390</v>
      </c>
      <c r="AR461" s="177" t="s">
        <v>2907</v>
      </c>
      <c r="AS461" s="433"/>
      <c r="AT461" s="964"/>
      <c r="AU461" s="964"/>
      <c r="AV461" s="964"/>
    </row>
    <row r="462" spans="3:48" ht="30" x14ac:dyDescent="0.25">
      <c r="C462" s="437">
        <v>91</v>
      </c>
      <c r="D462" s="437" t="str">
        <f t="shared" si="98"/>
        <v>201691</v>
      </c>
      <c r="E462" s="854" t="s">
        <v>2698</v>
      </c>
      <c r="F462" s="853" t="s">
        <v>2699</v>
      </c>
      <c r="G462" s="903" t="s">
        <v>2122</v>
      </c>
      <c r="H462" s="1001" t="s">
        <v>2700</v>
      </c>
      <c r="I462" s="908">
        <v>46980000</v>
      </c>
      <c r="J462" s="713" t="s">
        <v>2701</v>
      </c>
      <c r="K462" s="295">
        <v>2016</v>
      </c>
      <c r="L462" s="546">
        <v>42643</v>
      </c>
      <c r="M462" s="856">
        <v>42664</v>
      </c>
      <c r="N462" s="856">
        <v>42815</v>
      </c>
      <c r="O462" s="127">
        <f>COUNTA(Modificaciones!I448,Modificaciones!K448,Modificaciones!M448,Modificaciones!O448)</f>
        <v>0</v>
      </c>
      <c r="P462" s="128">
        <f>VLOOKUP(E462,Modificaciones!$B$7:$Q$462,16,0)</f>
        <v>0</v>
      </c>
      <c r="Q462" s="129">
        <f>COUNTA(Modificaciones!S462,Modificaciones!U462,Modificaciones!W462,Modificaciones!Y462)</f>
        <v>0</v>
      </c>
      <c r="R462" s="130" t="str">
        <f>IF(Modificaciones!Z462=0,"",VLOOKUP(E462,Modificaciones!$B$7:$AA$500,25,0))</f>
        <v/>
      </c>
      <c r="S462" s="131" t="str">
        <f>IF(Modificaciones!AA462=0,"",VLOOKUP(E462,Modificaciones!$B$7:$AA$500,26,0))</f>
        <v/>
      </c>
      <c r="T462" s="855">
        <f t="shared" si="91"/>
        <v>42815</v>
      </c>
      <c r="U462" s="62">
        <f t="shared" si="92"/>
        <v>46980000</v>
      </c>
      <c r="V462" s="172">
        <f>VLOOKUP(E462,Modificaciones!$B$7:$AU$462,46,0)</f>
        <v>46980000</v>
      </c>
      <c r="W462" s="93">
        <f t="shared" si="90"/>
        <v>0</v>
      </c>
      <c r="X462" s="309" t="s">
        <v>2261</v>
      </c>
      <c r="Y462" s="852">
        <f t="shared" si="93"/>
        <v>1</v>
      </c>
      <c r="Z462" s="42">
        <f t="shared" ca="1" si="94"/>
        <v>1</v>
      </c>
      <c r="AA462" s="43">
        <f t="shared" ca="1" si="95"/>
        <v>0</v>
      </c>
      <c r="AB462" s="202" t="str">
        <f t="shared" ca="1" si="96"/>
        <v/>
      </c>
      <c r="AC462" s="44" t="str">
        <f t="shared" si="89"/>
        <v>SI</v>
      </c>
      <c r="AD462" s="760" t="s">
        <v>1710</v>
      </c>
      <c r="AE462" s="173" t="s">
        <v>1257</v>
      </c>
      <c r="AF462" s="281" t="s">
        <v>2262</v>
      </c>
      <c r="AG462" s="173" t="s">
        <v>1439</v>
      </c>
      <c r="AH462" s="281" t="s">
        <v>560</v>
      </c>
      <c r="AI462" s="305" t="s">
        <v>1509</v>
      </c>
      <c r="AJ462" s="305" t="s">
        <v>600</v>
      </c>
      <c r="AK462" s="181" t="str">
        <f t="shared" ca="1" si="97"/>
        <v>TERMINO</v>
      </c>
      <c r="AL462" s="310" t="s">
        <v>574</v>
      </c>
      <c r="AM462" s="176" t="s">
        <v>390</v>
      </c>
      <c r="AN462" s="848" t="str">
        <f>IFERROR(VLOOKUP(E462,'liquidaciones '!$B$2:$C$1048576,2,0),"NO")</f>
        <v>LIQUIDADO</v>
      </c>
      <c r="AO462" s="944" t="str">
        <f>IFERROR(VLOOKUP(E462,'liquidaciones '!$B$2:$I$1048576,8,0),"")</f>
        <v>GIOVANNI SUAREZ</v>
      </c>
      <c r="AP462" s="338"/>
      <c r="AQ462" s="177" t="s">
        <v>390</v>
      </c>
      <c r="AR462" s="177" t="s">
        <v>2601</v>
      </c>
      <c r="AS462" s="433"/>
      <c r="AT462" s="964"/>
      <c r="AU462" s="964"/>
      <c r="AV462" s="964"/>
    </row>
    <row r="463" spans="3:48" ht="45" x14ac:dyDescent="0.25">
      <c r="C463" s="437"/>
      <c r="D463" s="437" t="str">
        <f t="shared" si="98"/>
        <v>2016</v>
      </c>
      <c r="E463" s="854" t="s">
        <v>2705</v>
      </c>
      <c r="F463" s="853" t="s">
        <v>186</v>
      </c>
      <c r="G463" s="903">
        <v>800039398</v>
      </c>
      <c r="H463" s="1001" t="s">
        <v>2713</v>
      </c>
      <c r="I463" s="908">
        <v>132050000</v>
      </c>
      <c r="J463" s="713" t="s">
        <v>2706</v>
      </c>
      <c r="K463" s="295">
        <v>2016</v>
      </c>
      <c r="L463" s="546">
        <v>42646</v>
      </c>
      <c r="M463" s="856">
        <v>42678</v>
      </c>
      <c r="N463" s="856">
        <v>43043</v>
      </c>
      <c r="O463" s="127">
        <f>COUNTA(Modificaciones!I449,Modificaciones!K449,Modificaciones!M449,Modificaciones!O449)</f>
        <v>0</v>
      </c>
      <c r="P463" s="128">
        <f>VLOOKUP(E463,Modificaciones!$B$7:$Q$463,16,0)</f>
        <v>0</v>
      </c>
      <c r="Q463" s="129">
        <f>COUNTA(Modificaciones!S463,Modificaciones!U463,Modificaciones!W463,Modificaciones!Y463)</f>
        <v>0</v>
      </c>
      <c r="R463" s="130" t="str">
        <f>IF(Modificaciones!Z463=0,"",VLOOKUP(E463,Modificaciones!$B$7:$AA$500,25,0))</f>
        <v/>
      </c>
      <c r="S463" s="131" t="str">
        <f>IF(Modificaciones!AA463=0,"",VLOOKUP(E463,Modificaciones!$B$7:$AA$500,26,0))</f>
        <v/>
      </c>
      <c r="T463" s="855">
        <f t="shared" si="91"/>
        <v>43043</v>
      </c>
      <c r="U463" s="62">
        <f t="shared" si="92"/>
        <v>132050000</v>
      </c>
      <c r="V463" s="172">
        <f>VLOOKUP(E463,Modificaciones!$B$7:$AU$463,46,0)</f>
        <v>122584393</v>
      </c>
      <c r="W463" s="93">
        <f t="shared" si="90"/>
        <v>9465607</v>
      </c>
      <c r="X463" s="309"/>
      <c r="Y463" s="852">
        <f t="shared" si="93"/>
        <v>0.92831800833017797</v>
      </c>
      <c r="Z463" s="42">
        <f t="shared" ca="1" si="94"/>
        <v>1</v>
      </c>
      <c r="AA463" s="43">
        <f t="shared" ca="1" si="95"/>
        <v>7.1681991669822032E-2</v>
      </c>
      <c r="AB463" s="202" t="str">
        <f t="shared" ca="1" si="96"/>
        <v/>
      </c>
      <c r="AC463" s="44" t="str">
        <f t="shared" si="89"/>
        <v>NO</v>
      </c>
      <c r="AD463" s="760" t="s">
        <v>1710</v>
      </c>
      <c r="AE463" s="173" t="s">
        <v>1257</v>
      </c>
      <c r="AF463" s="281" t="s">
        <v>2080</v>
      </c>
      <c r="AG463" s="173" t="s">
        <v>1439</v>
      </c>
      <c r="AH463" s="281" t="s">
        <v>560</v>
      </c>
      <c r="AI463" s="305" t="s">
        <v>1509</v>
      </c>
      <c r="AJ463" s="305" t="s">
        <v>600</v>
      </c>
      <c r="AK463" s="181" t="str">
        <f t="shared" ca="1" si="97"/>
        <v>TERMINO</v>
      </c>
      <c r="AL463" s="310" t="s">
        <v>575</v>
      </c>
      <c r="AM463" s="176" t="s">
        <v>390</v>
      </c>
      <c r="AN463" s="848" t="str">
        <f>IFERROR(VLOOKUP(E463,'liquidaciones '!$B$2:$C$1048576,2,0),"NO")</f>
        <v>LIQUIDADO</v>
      </c>
      <c r="AO463" s="944">
        <f>IFERROR(VLOOKUP(E463,'liquidaciones '!$B$2:$I$1048576,8,0),"")</f>
        <v>0</v>
      </c>
      <c r="AP463" s="338"/>
      <c r="AQ463" s="177" t="s">
        <v>390</v>
      </c>
      <c r="AR463" s="433" t="s">
        <v>3518</v>
      </c>
      <c r="AS463" s="433" t="s">
        <v>3785</v>
      </c>
      <c r="AT463" s="966" t="s">
        <v>560</v>
      </c>
      <c r="AU463" s="964"/>
      <c r="AV463" s="964"/>
    </row>
    <row r="464" spans="3:48" ht="45" x14ac:dyDescent="0.25">
      <c r="C464" s="437">
        <v>92</v>
      </c>
      <c r="D464" s="437" t="str">
        <f t="shared" si="98"/>
        <v>201692</v>
      </c>
      <c r="E464" s="854" t="s">
        <v>2707</v>
      </c>
      <c r="F464" s="853" t="s">
        <v>2708</v>
      </c>
      <c r="G464" s="903" t="s">
        <v>2709</v>
      </c>
      <c r="H464" s="1001" t="s">
        <v>2710</v>
      </c>
      <c r="I464" s="908">
        <v>173000000</v>
      </c>
      <c r="J464" s="713" t="s">
        <v>2712</v>
      </c>
      <c r="K464" s="295">
        <v>2016</v>
      </c>
      <c r="L464" s="546">
        <v>42668</v>
      </c>
      <c r="M464" s="856">
        <v>42670</v>
      </c>
      <c r="N464" s="856">
        <v>43035</v>
      </c>
      <c r="O464" s="127">
        <f>COUNTA(Modificaciones!I450,Modificaciones!K450,Modificaciones!M450,Modificaciones!O450)</f>
        <v>0</v>
      </c>
      <c r="P464" s="128">
        <f>VLOOKUP(E464,Modificaciones!$B$7:$Q$464,16,0)</f>
        <v>0</v>
      </c>
      <c r="Q464" s="129">
        <f>COUNTA(Modificaciones!S464,Modificaciones!U464,Modificaciones!W464,Modificaciones!Y464)</f>
        <v>2</v>
      </c>
      <c r="R464" s="130" t="str">
        <f>IF(Modificaciones!Z464=0,"",VLOOKUP(E464,Modificaciones!$B$7:$AA$500,25,0))</f>
        <v>2 MESES</v>
      </c>
      <c r="S464" s="131">
        <f>IF(Modificaciones!AA464=0,"",VLOOKUP(E464,Modificaciones!$B$7:$AA$500,26,0))</f>
        <v>43159</v>
      </c>
      <c r="T464" s="855">
        <f t="shared" si="91"/>
        <v>43159</v>
      </c>
      <c r="U464" s="62">
        <f t="shared" si="92"/>
        <v>173000000</v>
      </c>
      <c r="V464" s="172">
        <f>VLOOKUP(E464,Modificaciones!$B$7:$AU$464,46,0)</f>
        <v>114726813</v>
      </c>
      <c r="W464" s="93">
        <f t="shared" si="90"/>
        <v>58273187</v>
      </c>
      <c r="X464" s="309" t="s">
        <v>2711</v>
      </c>
      <c r="Y464" s="852">
        <f t="shared" si="93"/>
        <v>0.66316076878612717</v>
      </c>
      <c r="Z464" s="42">
        <f t="shared" ca="1" si="94"/>
        <v>1</v>
      </c>
      <c r="AA464" s="43">
        <f t="shared" ca="1" si="95"/>
        <v>0.33683923121387283</v>
      </c>
      <c r="AB464" s="202" t="str">
        <f t="shared" ca="1" si="96"/>
        <v/>
      </c>
      <c r="AC464" s="44" t="str">
        <f t="shared" si="89"/>
        <v>NO</v>
      </c>
      <c r="AD464" s="760" t="s">
        <v>1710</v>
      </c>
      <c r="AE464" s="173" t="s">
        <v>1257</v>
      </c>
      <c r="AF464" s="281" t="s">
        <v>1573</v>
      </c>
      <c r="AG464" s="173" t="s">
        <v>1439</v>
      </c>
      <c r="AH464" s="281" t="s">
        <v>560</v>
      </c>
      <c r="AI464" s="305" t="s">
        <v>1509</v>
      </c>
      <c r="AJ464" s="305" t="s">
        <v>600</v>
      </c>
      <c r="AK464" s="181" t="str">
        <f t="shared" ca="1" si="97"/>
        <v>TERMINO</v>
      </c>
      <c r="AL464" s="310" t="s">
        <v>576</v>
      </c>
      <c r="AM464" s="176" t="s">
        <v>390</v>
      </c>
      <c r="AN464" s="848" t="str">
        <f>IFERROR(VLOOKUP(E464,'liquidaciones '!$B$2:$C$1048576,2,0),"NO")</f>
        <v>LIQUIDADO</v>
      </c>
      <c r="AO464" s="944">
        <f>IFERROR(VLOOKUP(E464,'liquidaciones '!$B$2:$I$1048576,8,0),"")</f>
        <v>0</v>
      </c>
      <c r="AP464" s="338"/>
      <c r="AQ464" s="177" t="s">
        <v>390</v>
      </c>
      <c r="AR464" s="433" t="s">
        <v>3518</v>
      </c>
      <c r="AS464" s="433" t="s">
        <v>3785</v>
      </c>
      <c r="AT464" s="966" t="s">
        <v>560</v>
      </c>
      <c r="AU464" s="964"/>
      <c r="AV464" s="964"/>
    </row>
    <row r="465" spans="3:48" ht="33.75" x14ac:dyDescent="0.25">
      <c r="C465" s="437"/>
      <c r="D465" s="437" t="str">
        <f t="shared" si="98"/>
        <v>2016</v>
      </c>
      <c r="E465" s="854" t="s">
        <v>2715</v>
      </c>
      <c r="F465" s="853" t="s">
        <v>2716</v>
      </c>
      <c r="G465" s="903" t="s">
        <v>2717</v>
      </c>
      <c r="H465" s="1001" t="s">
        <v>2718</v>
      </c>
      <c r="I465" s="908">
        <v>14583984</v>
      </c>
      <c r="J465" s="713" t="s">
        <v>2719</v>
      </c>
      <c r="K465" s="295">
        <v>2016</v>
      </c>
      <c r="L465" s="546">
        <v>42677</v>
      </c>
      <c r="M465" s="856">
        <v>42690</v>
      </c>
      <c r="N465" s="856">
        <v>42766</v>
      </c>
      <c r="O465" s="127">
        <f>COUNTA(Modificaciones!I451,Modificaciones!K451,Modificaciones!M451,Modificaciones!O451)</f>
        <v>0</v>
      </c>
      <c r="P465" s="128">
        <f>VLOOKUP(E465,Modificaciones!$B$7:$Q$465,16,0)</f>
        <v>0</v>
      </c>
      <c r="Q465" s="129">
        <f>COUNTA(Modificaciones!S465,Modificaciones!U465,Modificaciones!W465,Modificaciones!Y465)</f>
        <v>0</v>
      </c>
      <c r="R465" s="130" t="str">
        <f>IF(Modificaciones!Z465=0,"",VLOOKUP(E465,Modificaciones!$B$7:$AA$500,25,0))</f>
        <v/>
      </c>
      <c r="S465" s="131" t="str">
        <f>IF(Modificaciones!AA465=0,"",VLOOKUP(E465,Modificaciones!$B$7:$AA$500,26,0))</f>
        <v/>
      </c>
      <c r="T465" s="855">
        <f t="shared" si="91"/>
        <v>42766</v>
      </c>
      <c r="U465" s="62">
        <f t="shared" si="92"/>
        <v>14583984</v>
      </c>
      <c r="V465" s="172">
        <f>VLOOKUP(E465,Modificaciones!$B$7:$AU$465,46,0)</f>
        <v>14583984</v>
      </c>
      <c r="W465" s="93">
        <f t="shared" si="90"/>
        <v>0</v>
      </c>
      <c r="X465" s="309" t="s">
        <v>1895</v>
      </c>
      <c r="Y465" s="852">
        <f t="shared" si="93"/>
        <v>1</v>
      </c>
      <c r="Z465" s="42">
        <f t="shared" ca="1" si="94"/>
        <v>1</v>
      </c>
      <c r="AA465" s="43">
        <f t="shared" ca="1" si="95"/>
        <v>0</v>
      </c>
      <c r="AB465" s="202" t="str">
        <f t="shared" ca="1" si="96"/>
        <v/>
      </c>
      <c r="AC465" s="44" t="str">
        <f t="shared" si="89"/>
        <v>SI</v>
      </c>
      <c r="AD465" s="760" t="s">
        <v>1712</v>
      </c>
      <c r="AE465" s="173" t="s">
        <v>1256</v>
      </c>
      <c r="AF465" s="281" t="s">
        <v>2720</v>
      </c>
      <c r="AG465" s="173" t="s">
        <v>1435</v>
      </c>
      <c r="AH465" s="281" t="s">
        <v>560</v>
      </c>
      <c r="AI465" s="305" t="s">
        <v>1389</v>
      </c>
      <c r="AJ465" s="305" t="s">
        <v>600</v>
      </c>
      <c r="AK465" s="181" t="str">
        <f t="shared" ca="1" si="97"/>
        <v>TERMINO</v>
      </c>
      <c r="AL465" s="310" t="s">
        <v>576</v>
      </c>
      <c r="AM465" s="176" t="s">
        <v>390</v>
      </c>
      <c r="AN465" s="848" t="str">
        <f>IFERROR(VLOOKUP(E465,'liquidaciones '!$B$2:$C$1048576,2,0),"NO")</f>
        <v>LIQUIDADO</v>
      </c>
      <c r="AO465" s="944" t="str">
        <f>IFERROR(VLOOKUP(E465,'liquidaciones '!$B$2:$I$1048576,8,0),"")</f>
        <v>MANUEL ROJAS</v>
      </c>
      <c r="AP465" s="338"/>
      <c r="AQ465" s="177" t="s">
        <v>390</v>
      </c>
      <c r="AR465" s="177" t="s">
        <v>1510</v>
      </c>
      <c r="AS465" s="433"/>
      <c r="AT465" s="964"/>
      <c r="AU465" s="964"/>
      <c r="AV465" s="964"/>
    </row>
    <row r="466" spans="3:48" ht="56.25" x14ac:dyDescent="0.25">
      <c r="C466" s="437">
        <v>203</v>
      </c>
      <c r="D466" s="437" t="str">
        <f t="shared" si="98"/>
        <v>2016203</v>
      </c>
      <c r="E466" s="854" t="s">
        <v>2722</v>
      </c>
      <c r="F466" s="853" t="s">
        <v>1338</v>
      </c>
      <c r="G466" s="903" t="s">
        <v>2723</v>
      </c>
      <c r="H466" s="1001" t="s">
        <v>2724</v>
      </c>
      <c r="I466" s="908">
        <v>103330468</v>
      </c>
      <c r="J466" s="713" t="s">
        <v>2722</v>
      </c>
      <c r="K466" s="295">
        <v>2016</v>
      </c>
      <c r="L466" s="546">
        <v>42685</v>
      </c>
      <c r="M466" s="856">
        <v>42689</v>
      </c>
      <c r="N466" s="856">
        <v>42781</v>
      </c>
      <c r="O466" s="127">
        <f>COUNTA(Modificaciones!I452,Modificaciones!K452,Modificaciones!M452,Modificaciones!O452)</f>
        <v>1</v>
      </c>
      <c r="P466" s="128">
        <f>VLOOKUP(E466,Modificaciones!$B$7:$Q$466,16,0)</f>
        <v>48935918</v>
      </c>
      <c r="Q466" s="129">
        <f>COUNTA(Modificaciones!S466,Modificaciones!U466,Modificaciones!W466,Modificaciones!Y466)</f>
        <v>2</v>
      </c>
      <c r="R466" s="130" t="str">
        <f>IF(Modificaciones!Z466=0,"",VLOOKUP(E466,Modificaciones!$B$7:$AA$500,25,0))</f>
        <v>1 mes y 16 días calendario</v>
      </c>
      <c r="S466" s="131">
        <f>IF(Modificaciones!AA466=0,"",VLOOKUP(E466,Modificaciones!$B$7:$AA$500,26,0))</f>
        <v>42825</v>
      </c>
      <c r="T466" s="855">
        <f t="shared" si="91"/>
        <v>42825</v>
      </c>
      <c r="U466" s="62">
        <f t="shared" si="92"/>
        <v>152266386</v>
      </c>
      <c r="V466" s="172">
        <f>VLOOKUP(E466,Modificaciones!$B$7:$AU$466,46,0)</f>
        <v>116386336</v>
      </c>
      <c r="W466" s="93">
        <f t="shared" si="90"/>
        <v>35880050</v>
      </c>
      <c r="X466" s="309" t="s">
        <v>2183</v>
      </c>
      <c r="Y466" s="852">
        <f t="shared" si="93"/>
        <v>0.76436000786148561</v>
      </c>
      <c r="Z466" s="42">
        <f t="shared" ca="1" si="94"/>
        <v>1</v>
      </c>
      <c r="AA466" s="43">
        <f t="shared" ca="1" si="95"/>
        <v>0.23563999213851439</v>
      </c>
      <c r="AB466" s="202" t="str">
        <f t="shared" ca="1" si="96"/>
        <v/>
      </c>
      <c r="AC466" s="44" t="str">
        <f t="shared" ref="AC466:AC497" si="99">IF(Y466&lt;=99.9%,"NO","SI")</f>
        <v>NO</v>
      </c>
      <c r="AD466" s="760" t="s">
        <v>1710</v>
      </c>
      <c r="AE466" s="173" t="s">
        <v>1257</v>
      </c>
      <c r="AF466" s="281" t="s">
        <v>2184</v>
      </c>
      <c r="AG466" s="173" t="s">
        <v>1439</v>
      </c>
      <c r="AH466" s="281" t="s">
        <v>560</v>
      </c>
      <c r="AI466" s="305" t="s">
        <v>1509</v>
      </c>
      <c r="AJ466" s="305" t="s">
        <v>600</v>
      </c>
      <c r="AK466" s="181" t="str">
        <f t="shared" ca="1" si="97"/>
        <v>TERMINO</v>
      </c>
      <c r="AL466" s="310" t="s">
        <v>573</v>
      </c>
      <c r="AM466" s="176" t="s">
        <v>390</v>
      </c>
      <c r="AN466" s="848" t="str">
        <f>IFERROR(VLOOKUP(E466,'liquidaciones '!$B$2:$C$1048576,2,0),"NO")</f>
        <v>NO</v>
      </c>
      <c r="AO466" s="944" t="str">
        <f>IFERROR(VLOOKUP(E466,'liquidaciones '!$B$2:$I$1048576,8,0),"")</f>
        <v>GIOVANNI SUAREZ</v>
      </c>
      <c r="AP466" s="338"/>
      <c r="AQ466" s="177" t="str">
        <f ca="1">IF((TODAY()-T466&lt;900),"SI","NO")</f>
        <v>SI</v>
      </c>
      <c r="AR466" s="177" t="s">
        <v>2601</v>
      </c>
      <c r="AS466" s="433"/>
      <c r="AT466" s="964"/>
      <c r="AU466" s="964"/>
      <c r="AV466" s="964"/>
    </row>
    <row r="467" spans="3:48" ht="45" x14ac:dyDescent="0.25">
      <c r="C467" s="437">
        <v>234</v>
      </c>
      <c r="D467" s="437" t="str">
        <f t="shared" si="98"/>
        <v>2016234</v>
      </c>
      <c r="E467" s="854" t="s">
        <v>2725</v>
      </c>
      <c r="F467" s="853" t="s">
        <v>244</v>
      </c>
      <c r="G467" s="903">
        <v>800058607</v>
      </c>
      <c r="H467" s="1001" t="s">
        <v>3040</v>
      </c>
      <c r="I467" s="908">
        <v>112554160</v>
      </c>
      <c r="J467" s="713" t="s">
        <v>2727</v>
      </c>
      <c r="K467" s="295">
        <v>2016</v>
      </c>
      <c r="L467" s="546">
        <v>42696</v>
      </c>
      <c r="M467" s="856">
        <v>42696</v>
      </c>
      <c r="N467" s="856">
        <v>42726</v>
      </c>
      <c r="O467" s="127">
        <f>COUNTA(Modificaciones!I453,Modificaciones!K453,Modificaciones!M453,Modificaciones!O453)</f>
        <v>0</v>
      </c>
      <c r="P467" s="128">
        <f>VLOOKUP(E467,Modificaciones!$B$7:$Q$467,16,0)</f>
        <v>0</v>
      </c>
      <c r="Q467" s="129">
        <f>COUNTA(Modificaciones!S467,Modificaciones!U467,Modificaciones!W467,Modificaciones!Y467)</f>
        <v>0</v>
      </c>
      <c r="R467" s="130" t="str">
        <f>IF(Modificaciones!Z467=0,"",VLOOKUP(E467,Modificaciones!$B$7:$AA$500,25,0))</f>
        <v/>
      </c>
      <c r="S467" s="131" t="str">
        <f>IF(Modificaciones!AA467=0,"",VLOOKUP(E467,Modificaciones!$B$7:$AA$500,26,0))</f>
        <v/>
      </c>
      <c r="T467" s="855">
        <f t="shared" si="91"/>
        <v>42726</v>
      </c>
      <c r="U467" s="62">
        <f t="shared" si="92"/>
        <v>112554160</v>
      </c>
      <c r="V467" s="172">
        <f>VLOOKUP(E467,Modificaciones!$B$7:$AU$467,46,0)</f>
        <v>112554160</v>
      </c>
      <c r="W467" s="93">
        <f t="shared" si="90"/>
        <v>0</v>
      </c>
      <c r="X467" s="309" t="s">
        <v>1895</v>
      </c>
      <c r="Y467" s="852">
        <f t="shared" si="93"/>
        <v>1</v>
      </c>
      <c r="Z467" s="42">
        <f t="shared" ca="1" si="94"/>
        <v>1</v>
      </c>
      <c r="AA467" s="43">
        <f t="shared" ca="1" si="95"/>
        <v>0</v>
      </c>
      <c r="AB467" s="202" t="str">
        <f t="shared" ca="1" si="96"/>
        <v/>
      </c>
      <c r="AC467" s="44" t="str">
        <f t="shared" si="99"/>
        <v>SI</v>
      </c>
      <c r="AD467" s="760"/>
      <c r="AE467" s="173" t="s">
        <v>1257</v>
      </c>
      <c r="AF467" s="281" t="s">
        <v>1289</v>
      </c>
      <c r="AG467" s="173" t="s">
        <v>1439</v>
      </c>
      <c r="AH467" s="281" t="s">
        <v>560</v>
      </c>
      <c r="AI467" s="305" t="s">
        <v>1509</v>
      </c>
      <c r="AJ467" s="305" t="s">
        <v>600</v>
      </c>
      <c r="AK467" s="181" t="str">
        <f t="shared" ca="1" si="97"/>
        <v>TERMINO</v>
      </c>
      <c r="AL467" s="310" t="s">
        <v>2726</v>
      </c>
      <c r="AM467" s="176"/>
      <c r="AN467" s="848" t="str">
        <f>IFERROR(VLOOKUP(E467,'liquidaciones '!$B$2:$C$1048576,2,0),"NO")</f>
        <v>LIQUIDADO</v>
      </c>
      <c r="AO467" s="944" t="str">
        <f>IFERROR(VLOOKUP(E467,'liquidaciones '!$B$2:$I$1048576,8,0),"")</f>
        <v>GIOVANNI SUAREZ</v>
      </c>
      <c r="AP467" s="338"/>
      <c r="AQ467" s="177"/>
      <c r="AR467" s="177" t="s">
        <v>2605</v>
      </c>
      <c r="AS467" s="433"/>
      <c r="AT467" s="964"/>
      <c r="AU467" s="964"/>
      <c r="AV467" s="964"/>
    </row>
    <row r="468" spans="3:48" ht="56.25" x14ac:dyDescent="0.25">
      <c r="C468" s="437"/>
      <c r="D468" s="437" t="str">
        <f t="shared" si="98"/>
        <v>2016</v>
      </c>
      <c r="E468" s="854" t="s">
        <v>2731</v>
      </c>
      <c r="F468" s="853" t="s">
        <v>2729</v>
      </c>
      <c r="G468" s="903">
        <v>900699012</v>
      </c>
      <c r="H468" s="1001" t="s">
        <v>2730</v>
      </c>
      <c r="I468" s="908">
        <v>15999901</v>
      </c>
      <c r="J468" s="713" t="s">
        <v>2728</v>
      </c>
      <c r="K468" s="295">
        <v>2016</v>
      </c>
      <c r="L468" s="546">
        <v>42702</v>
      </c>
      <c r="M468" s="856">
        <v>42705</v>
      </c>
      <c r="N468" s="856">
        <v>42767</v>
      </c>
      <c r="O468" s="127">
        <f>COUNTA(Modificaciones!I454,Modificaciones!K454,Modificaciones!M454,Modificaciones!O454)</f>
        <v>0</v>
      </c>
      <c r="P468" s="128">
        <f>VLOOKUP(E468,Modificaciones!$B$7:$Q$468,16,0)</f>
        <v>0</v>
      </c>
      <c r="Q468" s="129">
        <f>COUNTA(Modificaciones!S468,Modificaciones!U468,Modificaciones!W468,Modificaciones!Y468)</f>
        <v>0</v>
      </c>
      <c r="R468" s="130" t="str">
        <f>IF(Modificaciones!Z468=0,"",VLOOKUP(E468,Modificaciones!$B$7:$AA$500,25,0))</f>
        <v/>
      </c>
      <c r="S468" s="131" t="str">
        <f>IF(Modificaciones!AA468=0,"",VLOOKUP(E468,Modificaciones!$B$7:$AA$500,26,0))</f>
        <v/>
      </c>
      <c r="T468" s="855">
        <f t="shared" si="91"/>
        <v>42767</v>
      </c>
      <c r="U468" s="62">
        <f t="shared" si="92"/>
        <v>15999901</v>
      </c>
      <c r="V468" s="172">
        <f>VLOOKUP(E468,Modificaciones!$B$7:$AU$468,46,0)</f>
        <v>15999901</v>
      </c>
      <c r="W468" s="93">
        <f t="shared" si="90"/>
        <v>0</v>
      </c>
      <c r="X468" s="309" t="s">
        <v>2272</v>
      </c>
      <c r="Y468" s="852">
        <f t="shared" si="93"/>
        <v>1</v>
      </c>
      <c r="Z468" s="42">
        <f t="shared" ca="1" si="94"/>
        <v>1</v>
      </c>
      <c r="AA468" s="43">
        <f t="shared" ca="1" si="95"/>
        <v>0</v>
      </c>
      <c r="AB468" s="202" t="str">
        <f t="shared" ca="1" si="96"/>
        <v/>
      </c>
      <c r="AC468" s="44" t="str">
        <f t="shared" si="99"/>
        <v>SI</v>
      </c>
      <c r="AD468" s="760"/>
      <c r="AE468" s="173" t="s">
        <v>1256</v>
      </c>
      <c r="AF468" s="281" t="s">
        <v>1488</v>
      </c>
      <c r="AG468" s="173" t="s">
        <v>1442</v>
      </c>
      <c r="AH468" s="281" t="s">
        <v>560</v>
      </c>
      <c r="AI468" s="305" t="s">
        <v>1380</v>
      </c>
      <c r="AJ468" s="305" t="s">
        <v>600</v>
      </c>
      <c r="AK468" s="181" t="str">
        <f t="shared" ca="1" si="97"/>
        <v>TERMINO</v>
      </c>
      <c r="AL468" s="310" t="s">
        <v>576</v>
      </c>
      <c r="AM468" s="176" t="s">
        <v>390</v>
      </c>
      <c r="AN468" s="848" t="str">
        <f>IFERROR(VLOOKUP(E468,'liquidaciones '!$B$2:$C$1048576,2,0),"NO")</f>
        <v>LIQUIDADO</v>
      </c>
      <c r="AO468" s="944" t="str">
        <f>IFERROR(VLOOKUP(E468,'liquidaciones '!$B$2:$I$1048576,8,0),"")</f>
        <v>MANUEL ROJAS</v>
      </c>
      <c r="AP468" s="338"/>
      <c r="AQ468" s="177" t="s">
        <v>390</v>
      </c>
      <c r="AR468" s="177" t="s">
        <v>981</v>
      </c>
      <c r="AS468" s="433"/>
      <c r="AT468" s="964"/>
      <c r="AU468" s="964"/>
      <c r="AV468" s="964"/>
    </row>
    <row r="469" spans="3:48" ht="33.75" x14ac:dyDescent="0.25">
      <c r="C469" s="437"/>
      <c r="D469" s="437" t="str">
        <f t="shared" si="98"/>
        <v>2016</v>
      </c>
      <c r="E469" s="854" t="s">
        <v>2732</v>
      </c>
      <c r="F469" s="853" t="s">
        <v>1338</v>
      </c>
      <c r="G469" s="903" t="s">
        <v>2723</v>
      </c>
      <c r="H469" s="1001" t="s">
        <v>2733</v>
      </c>
      <c r="I469" s="908">
        <v>12706080</v>
      </c>
      <c r="J469" s="713" t="s">
        <v>2732</v>
      </c>
      <c r="K469" s="295">
        <v>2016</v>
      </c>
      <c r="L469" s="546">
        <v>42690</v>
      </c>
      <c r="M469" s="856">
        <v>42705</v>
      </c>
      <c r="N469" s="856">
        <v>42736</v>
      </c>
      <c r="O469" s="127">
        <f>COUNTA(Modificaciones!I455,Modificaciones!K455,Modificaciones!M455,Modificaciones!O455)</f>
        <v>0</v>
      </c>
      <c r="P469" s="128">
        <f>VLOOKUP(E469,Modificaciones!$B$7:$Q$469,16,0)</f>
        <v>0</v>
      </c>
      <c r="Q469" s="129">
        <f>COUNTA(Modificaciones!S469,Modificaciones!U469,Modificaciones!W469,Modificaciones!Y469)</f>
        <v>0</v>
      </c>
      <c r="R469" s="130" t="str">
        <f>IF(Modificaciones!Z469=0,"",VLOOKUP(E469,Modificaciones!$B$7:$AA$500,25,0))</f>
        <v/>
      </c>
      <c r="S469" s="131" t="str">
        <f>IF(Modificaciones!AA469=0,"",VLOOKUP(E469,Modificaciones!$B$7:$AA$500,26,0))</f>
        <v/>
      </c>
      <c r="T469" s="855">
        <f t="shared" si="91"/>
        <v>42736</v>
      </c>
      <c r="U469" s="62">
        <f t="shared" si="92"/>
        <v>12706080</v>
      </c>
      <c r="V469" s="172">
        <f>VLOOKUP(E469,Modificaciones!$B$7:$AU$469,46,0)</f>
        <v>12706032</v>
      </c>
      <c r="W469" s="93">
        <f t="shared" si="90"/>
        <v>48</v>
      </c>
      <c r="X469" s="309" t="s">
        <v>1895</v>
      </c>
      <c r="Y469" s="852">
        <f t="shared" si="93"/>
        <v>0.99999622228098672</v>
      </c>
      <c r="Z469" s="42">
        <f t="shared" ca="1" si="94"/>
        <v>1</v>
      </c>
      <c r="AA469" s="43">
        <f t="shared" ca="1" si="95"/>
        <v>3.7777190132759486E-6</v>
      </c>
      <c r="AB469" s="202" t="str">
        <f t="shared" ca="1" si="96"/>
        <v/>
      </c>
      <c r="AC469" s="44" t="str">
        <f t="shared" si="99"/>
        <v>SI</v>
      </c>
      <c r="AD469" s="760"/>
      <c r="AE469" s="173"/>
      <c r="AF469" s="281"/>
      <c r="AG469" s="173"/>
      <c r="AH469" s="281"/>
      <c r="AI469" s="305"/>
      <c r="AJ469" s="305" t="s">
        <v>600</v>
      </c>
      <c r="AK469" s="181" t="str">
        <f t="shared" ca="1" si="97"/>
        <v>TERMINO</v>
      </c>
      <c r="AL469" s="310"/>
      <c r="AM469" s="176"/>
      <c r="AN469" s="848" t="str">
        <f>IFERROR(VLOOKUP(E469,'liquidaciones '!$B$2:$C$1048576,2,0),"NO")</f>
        <v>LIQUIDADO</v>
      </c>
      <c r="AO469" s="944" t="str">
        <f>IFERROR(VLOOKUP(E469,'liquidaciones '!$B$2:$I$1048576,8,0),"")</f>
        <v>DORA PINILLA</v>
      </c>
      <c r="AP469" s="338"/>
      <c r="AQ469" s="177"/>
      <c r="AR469" s="177" t="s">
        <v>2605</v>
      </c>
      <c r="AS469" s="433"/>
      <c r="AT469" s="964"/>
      <c r="AU469" s="964"/>
      <c r="AV469" s="964"/>
    </row>
    <row r="470" spans="3:48" ht="45" x14ac:dyDescent="0.25">
      <c r="C470" s="437">
        <v>216</v>
      </c>
      <c r="D470" s="437" t="str">
        <f t="shared" si="98"/>
        <v>2016216</v>
      </c>
      <c r="E470" s="854" t="s">
        <v>2737</v>
      </c>
      <c r="F470" s="866" t="s">
        <v>2736</v>
      </c>
      <c r="G470" s="903">
        <v>890900608</v>
      </c>
      <c r="H470" s="1001" t="s">
        <v>2738</v>
      </c>
      <c r="I470" s="908">
        <v>35851660</v>
      </c>
      <c r="J470" s="713" t="s">
        <v>2740</v>
      </c>
      <c r="K470" s="295">
        <v>2016</v>
      </c>
      <c r="L470" s="546">
        <v>42703</v>
      </c>
      <c r="M470" s="856">
        <v>42710</v>
      </c>
      <c r="N470" s="856">
        <v>42831</v>
      </c>
      <c r="O470" s="127">
        <f>COUNTA(Modificaciones!I456,Modificaciones!K456,Modificaciones!M456,Modificaciones!O456)</f>
        <v>0</v>
      </c>
      <c r="P470" s="128">
        <f>VLOOKUP(E470,Modificaciones!$B$7:$Q$470,16,0)</f>
        <v>0</v>
      </c>
      <c r="Q470" s="129">
        <f>COUNTA(Modificaciones!S470,Modificaciones!U470,Modificaciones!W470,Modificaciones!Y470)</f>
        <v>0</v>
      </c>
      <c r="R470" s="130" t="str">
        <f>IF(Modificaciones!Z470=0,"",VLOOKUP(E470,Modificaciones!$B$7:$AA$500,25,0))</f>
        <v/>
      </c>
      <c r="S470" s="131" t="str">
        <f>IF(Modificaciones!AA470=0,"",VLOOKUP(E470,Modificaciones!$B$7:$AA$500,26,0))</f>
        <v/>
      </c>
      <c r="T470" s="855">
        <f t="shared" si="91"/>
        <v>42831</v>
      </c>
      <c r="U470" s="62">
        <f t="shared" si="92"/>
        <v>35851660</v>
      </c>
      <c r="V470" s="172">
        <f>VLOOKUP(E470,Modificaciones!$B$7:$AU$470,46,0)</f>
        <v>28129770</v>
      </c>
      <c r="W470" s="93">
        <f t="shared" si="90"/>
        <v>7721890</v>
      </c>
      <c r="X470" s="309" t="s">
        <v>2739</v>
      </c>
      <c r="Y470" s="852">
        <f t="shared" si="93"/>
        <v>0.78461555197165211</v>
      </c>
      <c r="Z470" s="42">
        <f t="shared" ca="1" si="94"/>
        <v>1</v>
      </c>
      <c r="AA470" s="43">
        <f t="shared" ca="1" si="95"/>
        <v>0.21538444802834789</v>
      </c>
      <c r="AB470" s="202" t="str">
        <f t="shared" ca="1" si="96"/>
        <v/>
      </c>
      <c r="AC470" s="44" t="str">
        <f t="shared" si="99"/>
        <v>NO</v>
      </c>
      <c r="AD470" s="760" t="s">
        <v>1712</v>
      </c>
      <c r="AE470" s="173" t="s">
        <v>1256</v>
      </c>
      <c r="AF470" s="281" t="s">
        <v>1484</v>
      </c>
      <c r="AG470" s="173" t="s">
        <v>1435</v>
      </c>
      <c r="AH470" s="281" t="s">
        <v>560</v>
      </c>
      <c r="AI470" s="305" t="s">
        <v>1386</v>
      </c>
      <c r="AJ470" s="305" t="s">
        <v>600</v>
      </c>
      <c r="AK470" s="181" t="str">
        <f t="shared" ca="1" si="97"/>
        <v>TERMINO</v>
      </c>
      <c r="AL470" s="310" t="s">
        <v>574</v>
      </c>
      <c r="AM470" s="176" t="s">
        <v>391</v>
      </c>
      <c r="AN470" s="848" t="str">
        <f>IFERROR(VLOOKUP(E470,'liquidaciones '!$B$2:$C$1048576,2,0),"NO")</f>
        <v>LIQUIDADO</v>
      </c>
      <c r="AO470" s="944" t="str">
        <f>IFERROR(VLOOKUP(E470,'liquidaciones '!$B$2:$I$1048576,8,0),"")</f>
        <v>JULIETH ANGARITA</v>
      </c>
      <c r="AP470" s="338"/>
      <c r="AQ470" s="177" t="s">
        <v>390</v>
      </c>
      <c r="AR470" s="177" t="s">
        <v>981</v>
      </c>
      <c r="AS470" s="433"/>
      <c r="AT470" s="964"/>
      <c r="AU470" s="964"/>
      <c r="AV470" s="964"/>
    </row>
    <row r="471" spans="3:48" ht="33.75" x14ac:dyDescent="0.25">
      <c r="C471" s="437">
        <v>128</v>
      </c>
      <c r="D471" s="437" t="str">
        <f t="shared" si="98"/>
        <v>2016128</v>
      </c>
      <c r="E471" s="866" t="s">
        <v>2743</v>
      </c>
      <c r="F471" s="864" t="s">
        <v>2744</v>
      </c>
      <c r="G471" s="903">
        <v>1032431625</v>
      </c>
      <c r="H471" s="1001" t="s">
        <v>2226</v>
      </c>
      <c r="I471" s="908">
        <v>6860000</v>
      </c>
      <c r="J471" s="713" t="s">
        <v>2743</v>
      </c>
      <c r="K471" s="295">
        <v>2016</v>
      </c>
      <c r="L471" s="546">
        <v>42710</v>
      </c>
      <c r="M471" s="865">
        <v>42717</v>
      </c>
      <c r="N471" s="865">
        <v>42779</v>
      </c>
      <c r="O471" s="127">
        <f>COUNTA(Modificaciones!I457,Modificaciones!K457,Modificaciones!M457,Modificaciones!O457)</f>
        <v>0</v>
      </c>
      <c r="P471" s="128">
        <f>VLOOKUP(E471,Modificaciones!$B$7:$Q$471,16,0)</f>
        <v>0</v>
      </c>
      <c r="Q471" s="129">
        <f>COUNTA(Modificaciones!S471,Modificaciones!U471,Modificaciones!W471,Modificaciones!Y471)</f>
        <v>0</v>
      </c>
      <c r="R471" s="130" t="str">
        <f>IF(Modificaciones!Z471=0,"",VLOOKUP(E471,Modificaciones!$B$7:$AA$500,25,0))</f>
        <v/>
      </c>
      <c r="S471" s="131" t="str">
        <f>IF(Modificaciones!AA471=0,"",VLOOKUP(E471,Modificaciones!$B$7:$AA$500,26,0))</f>
        <v/>
      </c>
      <c r="T471" s="855">
        <f t="shared" si="91"/>
        <v>42779</v>
      </c>
      <c r="U471" s="62">
        <f t="shared" si="92"/>
        <v>6860000</v>
      </c>
      <c r="V471" s="172">
        <f>VLOOKUP(E471,Modificaciones!$B$7:$AU$471,46,0)</f>
        <v>6860000</v>
      </c>
      <c r="W471" s="93">
        <f t="shared" si="90"/>
        <v>0</v>
      </c>
      <c r="X471" s="309" t="s">
        <v>2114</v>
      </c>
      <c r="Y471" s="852">
        <f t="shared" si="93"/>
        <v>1</v>
      </c>
      <c r="Z471" s="42">
        <f t="shared" ca="1" si="94"/>
        <v>1</v>
      </c>
      <c r="AA471" s="43">
        <f t="shared" ca="1" si="95"/>
        <v>0</v>
      </c>
      <c r="AB471" s="202" t="str">
        <f t="shared" ca="1" si="96"/>
        <v/>
      </c>
      <c r="AC471" s="44" t="str">
        <f t="shared" si="99"/>
        <v>SI</v>
      </c>
      <c r="AD471" s="760" t="s">
        <v>1710</v>
      </c>
      <c r="AE471" s="173" t="s">
        <v>1256</v>
      </c>
      <c r="AF471" s="281" t="s">
        <v>1307</v>
      </c>
      <c r="AG471" s="173"/>
      <c r="AH471" s="281"/>
      <c r="AI471" s="305"/>
      <c r="AJ471" s="305" t="s">
        <v>600</v>
      </c>
      <c r="AK471" s="181" t="str">
        <f t="shared" ca="1" si="97"/>
        <v>TERMINO</v>
      </c>
      <c r="AL471" s="310" t="s">
        <v>582</v>
      </c>
      <c r="AM471" s="176" t="s">
        <v>390</v>
      </c>
      <c r="AN471" s="848" t="str">
        <f>IFERROR(VLOOKUP(E471,'liquidaciones '!$B$2:$C$1048576,2,0),"NO")</f>
        <v>LIQUIDADO</v>
      </c>
      <c r="AO471" s="944" t="str">
        <f>IFERROR(VLOOKUP(E471,'liquidaciones '!$B$2:$I$1048576,8,0),"")</f>
        <v>JULIETH ANGARITA</v>
      </c>
      <c r="AP471" s="338"/>
      <c r="AQ471" s="177" t="s">
        <v>390</v>
      </c>
      <c r="AR471" s="177" t="s">
        <v>981</v>
      </c>
      <c r="AS471" s="433"/>
      <c r="AT471" s="964"/>
      <c r="AU471" s="964"/>
      <c r="AV471" s="964"/>
    </row>
    <row r="472" spans="3:48" ht="30" x14ac:dyDescent="0.25">
      <c r="C472" s="437"/>
      <c r="D472" s="437" t="str">
        <f t="shared" si="98"/>
        <v>2016</v>
      </c>
      <c r="E472" s="854" t="s">
        <v>2745</v>
      </c>
      <c r="F472" s="853" t="s">
        <v>2507</v>
      </c>
      <c r="G472" s="903">
        <v>890900943</v>
      </c>
      <c r="H472" s="1001" t="s">
        <v>3041</v>
      </c>
      <c r="I472" s="908">
        <v>21312104</v>
      </c>
      <c r="J472" s="713" t="s">
        <v>2746</v>
      </c>
      <c r="K472" s="295">
        <v>2016</v>
      </c>
      <c r="L472" s="546">
        <v>42711</v>
      </c>
      <c r="M472" s="856">
        <v>42711</v>
      </c>
      <c r="N472" s="856">
        <v>42719</v>
      </c>
      <c r="O472" s="127">
        <f>COUNTA(Modificaciones!I458,Modificaciones!K458,Modificaciones!M458,Modificaciones!O458)</f>
        <v>0</v>
      </c>
      <c r="P472" s="128">
        <f>VLOOKUP(E472,Modificaciones!$B$7:$Q$472,16,0)</f>
        <v>0</v>
      </c>
      <c r="Q472" s="129">
        <f>COUNTA(Modificaciones!S472,Modificaciones!U472,Modificaciones!W472,Modificaciones!Y472)</f>
        <v>0</v>
      </c>
      <c r="R472" s="130" t="str">
        <f>IF(Modificaciones!Z472=0,"",VLOOKUP(E472,Modificaciones!$B$7:$AA$500,25,0))</f>
        <v/>
      </c>
      <c r="S472" s="131" t="str">
        <f>IF(Modificaciones!AA472=0,"",VLOOKUP(E472,Modificaciones!$B$7:$AA$500,26,0))</f>
        <v/>
      </c>
      <c r="T472" s="855">
        <f t="shared" si="91"/>
        <v>42719</v>
      </c>
      <c r="U472" s="62">
        <f t="shared" si="92"/>
        <v>21312104</v>
      </c>
      <c r="V472" s="172">
        <f>VLOOKUP(E472,Modificaciones!$B$7:$AU$472,46,0)</f>
        <v>21312104</v>
      </c>
      <c r="W472" s="93">
        <f t="shared" si="90"/>
        <v>0</v>
      </c>
      <c r="X472" s="309" t="s">
        <v>1895</v>
      </c>
      <c r="Y472" s="852">
        <f t="shared" si="93"/>
        <v>1</v>
      </c>
      <c r="Z472" s="42">
        <f t="shared" ca="1" si="94"/>
        <v>1</v>
      </c>
      <c r="AA472" s="43">
        <f t="shared" ca="1" si="95"/>
        <v>0</v>
      </c>
      <c r="AB472" s="202" t="str">
        <f t="shared" ca="1" si="96"/>
        <v/>
      </c>
      <c r="AC472" s="44" t="str">
        <f t="shared" si="99"/>
        <v>SI</v>
      </c>
      <c r="AD472" s="760"/>
      <c r="AE472" s="173"/>
      <c r="AF472" s="281" t="s">
        <v>2747</v>
      </c>
      <c r="AG472" s="173"/>
      <c r="AH472" s="281"/>
      <c r="AI472" s="305"/>
      <c r="AJ472" s="305" t="s">
        <v>600</v>
      </c>
      <c r="AK472" s="181" t="str">
        <f t="shared" ca="1" si="97"/>
        <v>TERMINO</v>
      </c>
      <c r="AL472" s="310" t="s">
        <v>2726</v>
      </c>
      <c r="AM472" s="176"/>
      <c r="AN472" s="848" t="str">
        <f>IFERROR(VLOOKUP(E472,'liquidaciones '!$B$2:$C$1048576,2,0),"NO")</f>
        <v>LIQUIDADO</v>
      </c>
      <c r="AO472" s="944" t="str">
        <f>IFERROR(VLOOKUP(E472,'liquidaciones '!$B$2:$I$1048576,8,0),"")</f>
        <v>DORA PINILLA</v>
      </c>
      <c r="AP472" s="338"/>
      <c r="AQ472" s="177"/>
      <c r="AR472" s="177" t="s">
        <v>2605</v>
      </c>
      <c r="AS472" s="433"/>
      <c r="AT472" s="964"/>
      <c r="AU472" s="964"/>
      <c r="AV472" s="964"/>
    </row>
    <row r="473" spans="3:48" ht="33.75" x14ac:dyDescent="0.25">
      <c r="C473" s="437"/>
      <c r="D473" s="437" t="str">
        <f t="shared" si="98"/>
        <v>2016</v>
      </c>
      <c r="E473" s="854" t="s">
        <v>2748</v>
      </c>
      <c r="F473" s="853" t="s">
        <v>2749</v>
      </c>
      <c r="G473" s="903">
        <v>1014236408</v>
      </c>
      <c r="H473" s="1001" t="s">
        <v>2750</v>
      </c>
      <c r="I473" s="908">
        <v>1800000</v>
      </c>
      <c r="J473" s="713" t="s">
        <v>2748</v>
      </c>
      <c r="K473" s="295">
        <v>2016</v>
      </c>
      <c r="L473" s="546">
        <v>42706</v>
      </c>
      <c r="M473" s="856">
        <v>42713</v>
      </c>
      <c r="N473" s="856">
        <v>42744</v>
      </c>
      <c r="O473" s="127">
        <f>COUNTA(Modificaciones!I459,Modificaciones!K459,Modificaciones!M459,Modificaciones!O459)</f>
        <v>0</v>
      </c>
      <c r="P473" s="128">
        <f>VLOOKUP(E473,Modificaciones!$B$7:$Q$473,16,0)</f>
        <v>0</v>
      </c>
      <c r="Q473" s="129">
        <f>COUNTA(Modificaciones!S473,Modificaciones!U473,Modificaciones!W473,Modificaciones!Y473)</f>
        <v>0</v>
      </c>
      <c r="R473" s="130" t="str">
        <f>IF(Modificaciones!Z473=0,"",VLOOKUP(E473,Modificaciones!$B$7:$AA$500,25,0))</f>
        <v/>
      </c>
      <c r="S473" s="131" t="str">
        <f>IF(Modificaciones!AA473=0,"",VLOOKUP(E473,Modificaciones!$B$7:$AA$500,26,0))</f>
        <v/>
      </c>
      <c r="T473" s="855">
        <f t="shared" si="91"/>
        <v>42744</v>
      </c>
      <c r="U473" s="62">
        <f t="shared" si="92"/>
        <v>1800000</v>
      </c>
      <c r="V473" s="172">
        <f>VLOOKUP(E473,Modificaciones!$B$7:$AU$473,46,0)</f>
        <v>1800000</v>
      </c>
      <c r="W473" s="93">
        <f t="shared" si="90"/>
        <v>0</v>
      </c>
      <c r="X473" s="309" t="s">
        <v>1895</v>
      </c>
      <c r="Y473" s="852">
        <f t="shared" si="93"/>
        <v>1</v>
      </c>
      <c r="Z473" s="42">
        <f t="shared" ca="1" si="94"/>
        <v>1</v>
      </c>
      <c r="AA473" s="43">
        <f t="shared" ca="1" si="95"/>
        <v>0</v>
      </c>
      <c r="AB473" s="202" t="str">
        <f t="shared" ca="1" si="96"/>
        <v/>
      </c>
      <c r="AC473" s="44" t="str">
        <f t="shared" si="99"/>
        <v>SI</v>
      </c>
      <c r="AD473" s="760" t="s">
        <v>2898</v>
      </c>
      <c r="AE473" s="173" t="s">
        <v>1256</v>
      </c>
      <c r="AF473" s="281" t="s">
        <v>2751</v>
      </c>
      <c r="AG473" s="173"/>
      <c r="AH473" s="281" t="s">
        <v>559</v>
      </c>
      <c r="AI473" s="305"/>
      <c r="AJ473" s="305" t="s">
        <v>600</v>
      </c>
      <c r="AK473" s="181" t="str">
        <f t="shared" ca="1" si="97"/>
        <v>TERMINO</v>
      </c>
      <c r="AL473" s="310" t="s">
        <v>582</v>
      </c>
      <c r="AM473" s="176" t="s">
        <v>391</v>
      </c>
      <c r="AN473" s="848" t="str">
        <f>IFERROR(VLOOKUP(E473,'liquidaciones '!$B$2:$C$1048576,2,0),"NO")</f>
        <v>LIQUIDADO</v>
      </c>
      <c r="AO473" s="944" t="str">
        <f>IFERROR(VLOOKUP(E473,'liquidaciones '!$B$2:$I$1048576,8,0),"")</f>
        <v>CLAUDIA VANEGAS</v>
      </c>
      <c r="AP473" s="338"/>
      <c r="AQ473" s="177" t="s">
        <v>390</v>
      </c>
      <c r="AR473" s="177" t="s">
        <v>2604</v>
      </c>
      <c r="AS473" s="433"/>
      <c r="AT473" s="964"/>
      <c r="AU473" s="964"/>
      <c r="AV473" s="964"/>
    </row>
    <row r="474" spans="3:48" ht="33.75" x14ac:dyDescent="0.25">
      <c r="C474" s="437">
        <v>209</v>
      </c>
      <c r="D474" s="437" t="str">
        <f t="shared" si="98"/>
        <v>2016209</v>
      </c>
      <c r="E474" s="866" t="s">
        <v>2752</v>
      </c>
      <c r="F474" s="864" t="s">
        <v>1345</v>
      </c>
      <c r="G474" s="946">
        <v>830120684</v>
      </c>
      <c r="H474" s="1001" t="s">
        <v>2753</v>
      </c>
      <c r="I474" s="908">
        <v>3000000</v>
      </c>
      <c r="J474" s="872" t="s">
        <v>2755</v>
      </c>
      <c r="K474" s="295">
        <v>2016</v>
      </c>
      <c r="L474" s="546">
        <v>42703</v>
      </c>
      <c r="M474" s="865">
        <v>42726</v>
      </c>
      <c r="N474" s="865">
        <v>42847</v>
      </c>
      <c r="O474" s="127">
        <f>COUNTA(Modificaciones!I460,Modificaciones!K460,Modificaciones!M460,Modificaciones!O460)</f>
        <v>0</v>
      </c>
      <c r="P474" s="128">
        <f>VLOOKUP(E474,Modificaciones!$B$7:$Q$474,16,0)</f>
        <v>0</v>
      </c>
      <c r="Q474" s="129">
        <f>COUNTA(Modificaciones!S474,Modificaciones!U474,Modificaciones!W474,Modificaciones!Y474)</f>
        <v>0</v>
      </c>
      <c r="R474" s="130" t="str">
        <f>IF(Modificaciones!Z474=0,"",VLOOKUP(E474,Modificaciones!$B$7:$AA$500,25,0))</f>
        <v/>
      </c>
      <c r="S474" s="131" t="str">
        <f>IF(Modificaciones!AA474=0,"",VLOOKUP(E474,Modificaciones!$B$7:$AA$500,26,0))</f>
        <v/>
      </c>
      <c r="T474" s="855">
        <f t="shared" si="91"/>
        <v>42847</v>
      </c>
      <c r="U474" s="62">
        <f t="shared" si="92"/>
        <v>3000000</v>
      </c>
      <c r="V474" s="172">
        <f>VLOOKUP(E474,Modificaciones!$B$7:$AU$474,46,0)</f>
        <v>2462930</v>
      </c>
      <c r="W474" s="93">
        <f t="shared" si="90"/>
        <v>537070</v>
      </c>
      <c r="X474" s="309" t="s">
        <v>2240</v>
      </c>
      <c r="Y474" s="852">
        <f t="shared" si="93"/>
        <v>0.82097666666666669</v>
      </c>
      <c r="Z474" s="42">
        <f t="shared" ca="1" si="94"/>
        <v>1</v>
      </c>
      <c r="AA474" s="43">
        <f t="shared" ca="1" si="95"/>
        <v>0.17902333333333331</v>
      </c>
      <c r="AB474" s="202" t="str">
        <f t="shared" ca="1" si="96"/>
        <v/>
      </c>
      <c r="AC474" s="44" t="str">
        <f t="shared" si="99"/>
        <v>NO</v>
      </c>
      <c r="AD474" s="760"/>
      <c r="AE474" s="173" t="s">
        <v>1256</v>
      </c>
      <c r="AF474" s="281" t="s">
        <v>1299</v>
      </c>
      <c r="AG474" s="173" t="s">
        <v>1440</v>
      </c>
      <c r="AH474" s="281" t="s">
        <v>562</v>
      </c>
      <c r="AI474" s="305" t="s">
        <v>2754</v>
      </c>
      <c r="AJ474" s="305" t="s">
        <v>600</v>
      </c>
      <c r="AK474" s="181" t="str">
        <f t="shared" ca="1" si="97"/>
        <v>TERMINO</v>
      </c>
      <c r="AL474" s="310" t="s">
        <v>576</v>
      </c>
      <c r="AM474" s="176" t="s">
        <v>390</v>
      </c>
      <c r="AN474" s="848" t="str">
        <f>IFERROR(VLOOKUP(E474,'liquidaciones '!$B$2:$C$1048576,2,0),"NO")</f>
        <v>LIQUIDADO</v>
      </c>
      <c r="AO474" s="944" t="str">
        <f>IFERROR(VLOOKUP(E474,'liquidaciones '!$B$2:$I$1048576,8,0),"")</f>
        <v>MANUEL ROJAS</v>
      </c>
      <c r="AP474" s="338"/>
      <c r="AQ474" s="177" t="s">
        <v>390</v>
      </c>
      <c r="AR474" s="177" t="s">
        <v>981</v>
      </c>
      <c r="AS474" s="433"/>
      <c r="AT474" s="964"/>
      <c r="AU474" s="964"/>
      <c r="AV474" s="964"/>
    </row>
    <row r="475" spans="3:48" ht="33.75" x14ac:dyDescent="0.25">
      <c r="C475" s="437">
        <v>207</v>
      </c>
      <c r="D475" s="437" t="str">
        <f t="shared" si="98"/>
        <v>2016207</v>
      </c>
      <c r="E475" s="854" t="s">
        <v>2756</v>
      </c>
      <c r="F475" s="853" t="s">
        <v>2757</v>
      </c>
      <c r="G475" s="903" t="s">
        <v>2758</v>
      </c>
      <c r="H475" s="1001" t="s">
        <v>2759</v>
      </c>
      <c r="I475" s="908">
        <v>64285000</v>
      </c>
      <c r="J475" s="713" t="s">
        <v>2761</v>
      </c>
      <c r="K475" s="295">
        <v>2016</v>
      </c>
      <c r="L475" s="546">
        <v>42726</v>
      </c>
      <c r="M475" s="856">
        <v>42730</v>
      </c>
      <c r="N475" s="856">
        <v>42797</v>
      </c>
      <c r="O475" s="127">
        <f>COUNTA(Modificaciones!I461,Modificaciones!K461,Modificaciones!M461,Modificaciones!O461)</f>
        <v>1</v>
      </c>
      <c r="P475" s="128">
        <f>VLOOKUP(E475,Modificaciones!$B$7:$Q$475,16,0)</f>
        <v>18000000</v>
      </c>
      <c r="Q475" s="129">
        <f>COUNTA(Modificaciones!S475,Modificaciones!U475,Modificaciones!W475,Modificaciones!Y475)</f>
        <v>1</v>
      </c>
      <c r="R475" s="130" t="str">
        <f>IF(Modificaciones!Z475=0,"",VLOOKUP(E475,Modificaciones!$B$7:$AA$500,25,0))</f>
        <v>1 mes</v>
      </c>
      <c r="S475" s="131">
        <f>IF(Modificaciones!AA475=0,"",VLOOKUP(E475,Modificaciones!$B$7:$AA$500,26,0))</f>
        <v>42828</v>
      </c>
      <c r="T475" s="855">
        <f t="shared" si="91"/>
        <v>42828</v>
      </c>
      <c r="U475" s="62">
        <f t="shared" si="92"/>
        <v>82285000</v>
      </c>
      <c r="V475" s="172">
        <f>VLOOKUP(E475,Modificaciones!$B$7:$AU$475,46,0)</f>
        <v>77352158</v>
      </c>
      <c r="W475" s="93">
        <f t="shared" si="90"/>
        <v>4932842</v>
      </c>
      <c r="X475" s="309" t="s">
        <v>2760</v>
      </c>
      <c r="Y475" s="852">
        <f t="shared" si="93"/>
        <v>0.94005174697697025</v>
      </c>
      <c r="Z475" s="42">
        <f t="shared" ca="1" si="94"/>
        <v>1</v>
      </c>
      <c r="AA475" s="43">
        <f t="shared" ca="1" si="95"/>
        <v>5.9948253023029752E-2</v>
      </c>
      <c r="AB475" s="202" t="str">
        <f t="shared" ca="1" si="96"/>
        <v/>
      </c>
      <c r="AC475" s="44" t="str">
        <f t="shared" si="99"/>
        <v>NO</v>
      </c>
      <c r="AD475" s="760" t="s">
        <v>1710</v>
      </c>
      <c r="AE475" s="173" t="s">
        <v>1256</v>
      </c>
      <c r="AF475" s="281" t="s">
        <v>1138</v>
      </c>
      <c r="AG475" s="173" t="s">
        <v>1442</v>
      </c>
      <c r="AH475" s="281" t="s">
        <v>560</v>
      </c>
      <c r="AI475" s="174" t="s">
        <v>1379</v>
      </c>
      <c r="AJ475" s="305" t="s">
        <v>600</v>
      </c>
      <c r="AK475" s="181" t="str">
        <f t="shared" ca="1" si="97"/>
        <v>TERMINO</v>
      </c>
      <c r="AL475" s="181" t="s">
        <v>576</v>
      </c>
      <c r="AM475" s="176" t="s">
        <v>390</v>
      </c>
      <c r="AN475" s="848" t="str">
        <f>IFERROR(VLOOKUP(E475,'liquidaciones '!$B$2:$C$1048576,2,0),"NO")</f>
        <v>LIQUIDADO</v>
      </c>
      <c r="AO475" s="944">
        <f>IFERROR(VLOOKUP(E475,'liquidaciones '!$B$2:$I$1048576,8,0),"")</f>
        <v>0</v>
      </c>
      <c r="AP475" s="338"/>
      <c r="AQ475" s="177" t="s">
        <v>390</v>
      </c>
      <c r="AR475" s="177" t="s">
        <v>2907</v>
      </c>
      <c r="AS475" s="433"/>
      <c r="AT475" s="964"/>
      <c r="AU475" s="964"/>
      <c r="AV475" s="964"/>
    </row>
    <row r="476" spans="3:48" ht="67.5" x14ac:dyDescent="0.25">
      <c r="C476" s="437">
        <v>154</v>
      </c>
      <c r="D476" s="437" t="str">
        <f t="shared" si="98"/>
        <v>2016154</v>
      </c>
      <c r="E476" s="854" t="s">
        <v>2762</v>
      </c>
      <c r="F476" s="853" t="s">
        <v>2763</v>
      </c>
      <c r="G476" s="903">
        <v>811028699</v>
      </c>
      <c r="H476" s="1001" t="s">
        <v>522</v>
      </c>
      <c r="I476" s="908">
        <v>400000000</v>
      </c>
      <c r="J476" s="713" t="s">
        <v>2764</v>
      </c>
      <c r="K476" s="295">
        <v>2016</v>
      </c>
      <c r="L476" s="546">
        <v>42725</v>
      </c>
      <c r="M476" s="856">
        <v>42752</v>
      </c>
      <c r="N476" s="856">
        <v>42826</v>
      </c>
      <c r="O476" s="127">
        <f>COUNTA(Modificaciones!I462,Modificaciones!K462,Modificaciones!M462,Modificaciones!O462)</f>
        <v>0</v>
      </c>
      <c r="P476" s="128">
        <f>VLOOKUP(E476,Modificaciones!$B$7:$Q$476,16,0)</f>
        <v>0</v>
      </c>
      <c r="Q476" s="129">
        <f>COUNTA(Modificaciones!S476,Modificaciones!U476,Modificaciones!W476,Modificaciones!Y476)</f>
        <v>3</v>
      </c>
      <c r="R476" s="130" t="str">
        <f>IF(Modificaciones!Z476=0,"",VLOOKUP(E476,Modificaciones!$B$7:$AA$500,25,0))</f>
        <v>3 meses y 15 dias calendario</v>
      </c>
      <c r="S476" s="131">
        <f>IF(Modificaciones!AA476=0,"",VLOOKUP(E476,Modificaciones!$B$7:$AA$500,26,0))</f>
        <v>42933</v>
      </c>
      <c r="T476" s="855">
        <f t="shared" si="91"/>
        <v>42933</v>
      </c>
      <c r="U476" s="62">
        <f t="shared" si="92"/>
        <v>400000000</v>
      </c>
      <c r="V476" s="172">
        <f>VLOOKUP(E476,Modificaciones!$B$7:$AU$476,46,0)</f>
        <v>399999924</v>
      </c>
      <c r="W476" s="93">
        <f t="shared" si="90"/>
        <v>76</v>
      </c>
      <c r="X476" s="309" t="s">
        <v>2765</v>
      </c>
      <c r="Y476" s="852">
        <f t="shared" si="93"/>
        <v>0.99999981000000004</v>
      </c>
      <c r="Z476" s="42">
        <f t="shared" ca="1" si="94"/>
        <v>1</v>
      </c>
      <c r="AA476" s="43">
        <f t="shared" ca="1" si="95"/>
        <v>1.8999999995550354E-7</v>
      </c>
      <c r="AB476" s="202" t="str">
        <f t="shared" ca="1" si="96"/>
        <v/>
      </c>
      <c r="AC476" s="44" t="str">
        <f t="shared" si="99"/>
        <v>SI</v>
      </c>
      <c r="AD476" s="760" t="s">
        <v>1712</v>
      </c>
      <c r="AE476" s="173" t="s">
        <v>1256</v>
      </c>
      <c r="AF476" s="281" t="s">
        <v>1134</v>
      </c>
      <c r="AG476" s="173"/>
      <c r="AH476" s="281"/>
      <c r="AI476" s="305"/>
      <c r="AJ476" s="305" t="s">
        <v>600</v>
      </c>
      <c r="AK476" s="181" t="str">
        <f t="shared" ca="1" si="97"/>
        <v>TERMINO</v>
      </c>
      <c r="AL476" s="310" t="s">
        <v>575</v>
      </c>
      <c r="AM476" s="176" t="s">
        <v>391</v>
      </c>
      <c r="AN476" s="848" t="str">
        <f>IFERROR(VLOOKUP(E476,'liquidaciones '!$B$2:$C$1048576,2,0),"NO")</f>
        <v>LIQUIDADO</v>
      </c>
      <c r="AO476" s="944">
        <f>IFERROR(VLOOKUP(E476,'liquidaciones '!$B$2:$I$1048576,8,0),"")</f>
        <v>0</v>
      </c>
      <c r="AP476" s="338"/>
      <c r="AQ476" s="177" t="s">
        <v>390</v>
      </c>
      <c r="AR476" s="177" t="s">
        <v>2978</v>
      </c>
      <c r="AS476" s="433"/>
      <c r="AT476" s="964"/>
      <c r="AU476" s="964"/>
      <c r="AV476" s="964"/>
    </row>
    <row r="477" spans="3:48" ht="30" x14ac:dyDescent="0.25">
      <c r="C477" s="437"/>
      <c r="D477" s="437" t="str">
        <f t="shared" si="98"/>
        <v>2016</v>
      </c>
      <c r="E477" s="854" t="s">
        <v>2766</v>
      </c>
      <c r="F477" s="853" t="s">
        <v>2767</v>
      </c>
      <c r="G477" s="903" t="s">
        <v>2768</v>
      </c>
      <c r="H477" s="1001" t="s">
        <v>2769</v>
      </c>
      <c r="I477" s="908">
        <v>4499988</v>
      </c>
      <c r="J477" s="713" t="s">
        <v>2770</v>
      </c>
      <c r="K477" s="295">
        <v>2016</v>
      </c>
      <c r="L477" s="546">
        <v>42725</v>
      </c>
      <c r="M477" s="856">
        <v>42751</v>
      </c>
      <c r="N477" s="856">
        <v>42782</v>
      </c>
      <c r="O477" s="127">
        <f>COUNTA(Modificaciones!I463,Modificaciones!K463,Modificaciones!M463,Modificaciones!O463)</f>
        <v>0</v>
      </c>
      <c r="P477" s="128">
        <f>VLOOKUP(E477,Modificaciones!$B$7:$Q$477,16,0)</f>
        <v>0</v>
      </c>
      <c r="Q477" s="129">
        <f>COUNTA(Modificaciones!S477,Modificaciones!U477,Modificaciones!W477,Modificaciones!Y477)</f>
        <v>0</v>
      </c>
      <c r="R477" s="130" t="str">
        <f>IF(Modificaciones!Z477=0,"",VLOOKUP(E477,Modificaciones!$B$7:$AA$500,25,0))</f>
        <v/>
      </c>
      <c r="S477" s="131" t="str">
        <f>IF(Modificaciones!AA477=0,"",VLOOKUP(E477,Modificaciones!$B$7:$AA$500,26,0))</f>
        <v/>
      </c>
      <c r="T477" s="855">
        <f t="shared" si="91"/>
        <v>42782</v>
      </c>
      <c r="U477" s="62">
        <f t="shared" si="92"/>
        <v>4499988</v>
      </c>
      <c r="V477" s="172">
        <f>VLOOKUP(E477,Modificaciones!$B$7:$AU$477,46,0)</f>
        <v>4499988</v>
      </c>
      <c r="W477" s="93">
        <f t="shared" si="90"/>
        <v>0</v>
      </c>
      <c r="X477" s="309" t="s">
        <v>1895</v>
      </c>
      <c r="Y477" s="852">
        <f t="shared" si="93"/>
        <v>1</v>
      </c>
      <c r="Z477" s="42">
        <f t="shared" ca="1" si="94"/>
        <v>1</v>
      </c>
      <c r="AA477" s="43">
        <f t="shared" ca="1" si="95"/>
        <v>0</v>
      </c>
      <c r="AB477" s="202" t="str">
        <f t="shared" ca="1" si="96"/>
        <v/>
      </c>
      <c r="AC477" s="44" t="str">
        <f t="shared" si="99"/>
        <v>SI</v>
      </c>
      <c r="AD477" s="760"/>
      <c r="AE477" s="173"/>
      <c r="AF477" s="281" t="s">
        <v>2771</v>
      </c>
      <c r="AG477" s="173"/>
      <c r="AH477" s="281"/>
      <c r="AI477" s="305"/>
      <c r="AJ477" s="305" t="s">
        <v>600</v>
      </c>
      <c r="AK477" s="181" t="str">
        <f t="shared" ca="1" si="97"/>
        <v>TERMINO</v>
      </c>
      <c r="AL477" s="310" t="s">
        <v>576</v>
      </c>
      <c r="AM477" s="176" t="s">
        <v>391</v>
      </c>
      <c r="AN477" s="848" t="str">
        <f>IFERROR(VLOOKUP(E477,'liquidaciones '!$B$2:$C$1048576,2,0),"NO")</f>
        <v>LIQUIDADO</v>
      </c>
      <c r="AO477" s="944" t="str">
        <f>IFERROR(VLOOKUP(E477,'liquidaciones '!$B$2:$I$1048576,8,0),"")</f>
        <v>MANUEL ROJAS</v>
      </c>
      <c r="AP477" s="338"/>
      <c r="AQ477" s="177" t="s">
        <v>390</v>
      </c>
      <c r="AR477" s="177" t="s">
        <v>2601</v>
      </c>
      <c r="AS477" s="433"/>
      <c r="AT477" s="964"/>
      <c r="AU477" s="964"/>
      <c r="AV477" s="964"/>
    </row>
    <row r="478" spans="3:48" ht="22.5" x14ac:dyDescent="0.25">
      <c r="C478" s="437">
        <v>88</v>
      </c>
      <c r="D478" s="437" t="str">
        <f t="shared" si="98"/>
        <v>201688</v>
      </c>
      <c r="E478" s="854" t="s">
        <v>2772</v>
      </c>
      <c r="F478" s="853" t="s">
        <v>2773</v>
      </c>
      <c r="G478" s="903" t="s">
        <v>2774</v>
      </c>
      <c r="H478" s="1001" t="s">
        <v>2775</v>
      </c>
      <c r="I478" s="908">
        <v>495119</v>
      </c>
      <c r="J478" s="713" t="s">
        <v>2772</v>
      </c>
      <c r="K478" s="295">
        <v>2016</v>
      </c>
      <c r="L478" s="546">
        <v>42731</v>
      </c>
      <c r="M478" s="856">
        <v>42745</v>
      </c>
      <c r="N478" s="856">
        <v>43110</v>
      </c>
      <c r="O478" s="127">
        <f>COUNTA(Modificaciones!I464,Modificaciones!K464,Modificaciones!M464,Modificaciones!O464)</f>
        <v>0</v>
      </c>
      <c r="P478" s="128">
        <f>VLOOKUP(E478,Modificaciones!$B$7:$Q$478,16,0)</f>
        <v>0</v>
      </c>
      <c r="Q478" s="129">
        <f>COUNTA(Modificaciones!S478,Modificaciones!U478,Modificaciones!W478,Modificaciones!Y478)</f>
        <v>0</v>
      </c>
      <c r="R478" s="130" t="str">
        <f>IF(Modificaciones!Z478=0,"",VLOOKUP(E478,Modificaciones!$B$7:$AA$500,25,0))</f>
        <v/>
      </c>
      <c r="S478" s="131" t="str">
        <f>IF(Modificaciones!AA478=0,"",VLOOKUP(E478,Modificaciones!$B$7:$AA$500,26,0))</f>
        <v/>
      </c>
      <c r="T478" s="855">
        <f t="shared" si="91"/>
        <v>43110</v>
      </c>
      <c r="U478" s="62">
        <f t="shared" si="92"/>
        <v>495119</v>
      </c>
      <c r="V478" s="172">
        <f>VLOOKUP(E478,Modificaciones!$B$7:$AU$478,46,0)</f>
        <v>426827</v>
      </c>
      <c r="W478" s="93">
        <f t="shared" si="90"/>
        <v>68292</v>
      </c>
      <c r="X478" s="309" t="s">
        <v>1895</v>
      </c>
      <c r="Y478" s="852">
        <f t="shared" si="93"/>
        <v>0.86206952268040615</v>
      </c>
      <c r="Z478" s="42">
        <f t="shared" ca="1" si="94"/>
        <v>1</v>
      </c>
      <c r="AA478" s="43">
        <f t="shared" ca="1" si="95"/>
        <v>0.13793047731959385</v>
      </c>
      <c r="AB478" s="202" t="str">
        <f t="shared" ca="1" si="96"/>
        <v/>
      </c>
      <c r="AC478" s="44" t="str">
        <f t="shared" si="99"/>
        <v>NO</v>
      </c>
      <c r="AD478" s="760" t="s">
        <v>1710</v>
      </c>
      <c r="AE478" s="173" t="s">
        <v>1257</v>
      </c>
      <c r="AF478" s="301" t="s">
        <v>1471</v>
      </c>
      <c r="AG478" s="173" t="s">
        <v>1439</v>
      </c>
      <c r="AH478" s="281" t="s">
        <v>560</v>
      </c>
      <c r="AI478" s="174" t="s">
        <v>1509</v>
      </c>
      <c r="AJ478" s="305" t="s">
        <v>600</v>
      </c>
      <c r="AK478" s="181" t="str">
        <f t="shared" ca="1" si="97"/>
        <v>TERMINO</v>
      </c>
      <c r="AL478" s="310" t="s">
        <v>582</v>
      </c>
      <c r="AM478" s="176" t="s">
        <v>390</v>
      </c>
      <c r="AN478" s="848" t="str">
        <f>IFERROR(VLOOKUP(E478,'liquidaciones '!$B$2:$C$1048576,2,0),"NO")</f>
        <v>LIQUIDADO</v>
      </c>
      <c r="AO478" s="944">
        <f>IFERROR(VLOOKUP(E478,'liquidaciones '!$B$2:$I$1048576,8,0),"")</f>
        <v>0</v>
      </c>
      <c r="AP478" s="338"/>
      <c r="AQ478" s="177" t="s">
        <v>390</v>
      </c>
      <c r="AR478" s="177" t="s">
        <v>2907</v>
      </c>
      <c r="AS478" s="433"/>
      <c r="AT478" s="966" t="s">
        <v>3947</v>
      </c>
      <c r="AU478" s="964"/>
      <c r="AV478" s="964"/>
    </row>
    <row r="479" spans="3:48" ht="33.75" x14ac:dyDescent="0.25">
      <c r="C479" s="437"/>
      <c r="D479" s="437" t="str">
        <f t="shared" si="98"/>
        <v>2016</v>
      </c>
      <c r="E479" s="854" t="s">
        <v>2776</v>
      </c>
      <c r="F479" s="853" t="s">
        <v>2777</v>
      </c>
      <c r="G479" s="903" t="s">
        <v>2778</v>
      </c>
      <c r="H479" s="1001" t="s">
        <v>2779</v>
      </c>
      <c r="I479" s="908">
        <v>94318804</v>
      </c>
      <c r="J479" s="713" t="s">
        <v>2782</v>
      </c>
      <c r="K479" s="295">
        <v>2016</v>
      </c>
      <c r="L479" s="546">
        <v>42727</v>
      </c>
      <c r="M479" s="856">
        <v>42737</v>
      </c>
      <c r="N479" s="856">
        <v>42796</v>
      </c>
      <c r="O479" s="127">
        <f>COUNTA(Modificaciones!I465,Modificaciones!K465,Modificaciones!M465,Modificaciones!O465)</f>
        <v>0</v>
      </c>
      <c r="P479" s="128">
        <f>VLOOKUP(E479,Modificaciones!$B$7:$Q$479,16,0)</f>
        <v>0</v>
      </c>
      <c r="Q479" s="129">
        <f>COUNTA(Modificaciones!S479,Modificaciones!U479,Modificaciones!W479,Modificaciones!Y479)</f>
        <v>0</v>
      </c>
      <c r="R479" s="130" t="str">
        <f>IF(Modificaciones!Z479=0,"",VLOOKUP(E479,Modificaciones!$B$7:$AA$500,25,0))</f>
        <v/>
      </c>
      <c r="S479" s="131" t="str">
        <f>IF(Modificaciones!AA479=0,"",VLOOKUP(E479,Modificaciones!$B$7:$AA$500,26,0))</f>
        <v/>
      </c>
      <c r="T479" s="855">
        <f t="shared" si="91"/>
        <v>42796</v>
      </c>
      <c r="U479" s="62">
        <f t="shared" si="92"/>
        <v>94318804</v>
      </c>
      <c r="V479" s="172">
        <f>VLOOKUP(E479,Modificaciones!$B$7:$AU$479,46,0)</f>
        <v>66718804</v>
      </c>
      <c r="W479" s="93">
        <f t="shared" si="90"/>
        <v>27600000</v>
      </c>
      <c r="X479" s="309" t="s">
        <v>2780</v>
      </c>
      <c r="Y479" s="852">
        <f t="shared" si="93"/>
        <v>0.70737542431093592</v>
      </c>
      <c r="Z479" s="42">
        <f t="shared" ca="1" si="94"/>
        <v>1</v>
      </c>
      <c r="AA479" s="43">
        <f t="shared" ca="1" si="95"/>
        <v>0.29262457568906408</v>
      </c>
      <c r="AB479" s="202" t="str">
        <f t="shared" ca="1" si="96"/>
        <v/>
      </c>
      <c r="AC479" s="44" t="str">
        <f t="shared" si="99"/>
        <v>NO</v>
      </c>
      <c r="AD479" s="760" t="s">
        <v>1712</v>
      </c>
      <c r="AE479" s="173" t="s">
        <v>1256</v>
      </c>
      <c r="AF479" s="281" t="s">
        <v>2781</v>
      </c>
      <c r="AG479" s="173"/>
      <c r="AH479" s="281"/>
      <c r="AI479" s="305"/>
      <c r="AJ479" s="305" t="s">
        <v>600</v>
      </c>
      <c r="AK479" s="181" t="str">
        <f t="shared" ca="1" si="97"/>
        <v>TERMINO</v>
      </c>
      <c r="AL479" s="310" t="s">
        <v>995</v>
      </c>
      <c r="AM479" s="176" t="s">
        <v>391</v>
      </c>
      <c r="AN479" s="848" t="str">
        <f>IFERROR(VLOOKUP(E479,'liquidaciones '!$B$2:$C$1048576,2,0),"NO")</f>
        <v>LIQUIDADO</v>
      </c>
      <c r="AO479" s="944" t="str">
        <f>IFERROR(VLOOKUP(E479,'liquidaciones '!$B$2:$I$1048576,8,0),"")</f>
        <v>MANUEL ROJAS</v>
      </c>
      <c r="AP479" s="338"/>
      <c r="AQ479" s="177" t="s">
        <v>390</v>
      </c>
      <c r="AR479" s="177" t="s">
        <v>2601</v>
      </c>
      <c r="AS479" s="433"/>
      <c r="AT479" s="964"/>
      <c r="AU479" s="964"/>
      <c r="AV479" s="964"/>
    </row>
    <row r="480" spans="3:48" ht="57" customHeight="1" x14ac:dyDescent="0.25">
      <c r="C480" s="437">
        <v>89</v>
      </c>
      <c r="D480" s="437" t="str">
        <f t="shared" si="98"/>
        <v>201689</v>
      </c>
      <c r="E480" s="854" t="s">
        <v>2783</v>
      </c>
      <c r="F480" s="853" t="s">
        <v>2784</v>
      </c>
      <c r="G480" s="903" t="s">
        <v>2785</v>
      </c>
      <c r="H480" s="1001" t="s">
        <v>2786</v>
      </c>
      <c r="I480" s="908">
        <v>12250000</v>
      </c>
      <c r="J480" s="713" t="s">
        <v>2789</v>
      </c>
      <c r="K480" s="295">
        <v>2016</v>
      </c>
      <c r="L480" s="546">
        <v>42724</v>
      </c>
      <c r="M480" s="856">
        <v>42732</v>
      </c>
      <c r="N480" s="856">
        <v>42883</v>
      </c>
      <c r="O480" s="127">
        <f>COUNTA(Modificaciones!I466,Modificaciones!K466,Modificaciones!M466,Modificaciones!O466)</f>
        <v>2</v>
      </c>
      <c r="P480" s="128">
        <f>VLOOKUP(E480,Modificaciones!$B$7:$Q$480,16,0)</f>
        <v>0</v>
      </c>
      <c r="Q480" s="129">
        <f>COUNTA(Modificaciones!S480,Modificaciones!U480,Modificaciones!W480,Modificaciones!Y480)</f>
        <v>0</v>
      </c>
      <c r="R480" s="130" t="str">
        <f>IF(Modificaciones!Z480=0,"",VLOOKUP(E480,Modificaciones!$B$7:$AA$500,25,0))</f>
        <v/>
      </c>
      <c r="S480" s="131" t="str">
        <f>IF(Modificaciones!AA480=0,"",VLOOKUP(E480,Modificaciones!$B$7:$AA$500,26,0))</f>
        <v/>
      </c>
      <c r="T480" s="855">
        <f t="shared" si="91"/>
        <v>42883</v>
      </c>
      <c r="U480" s="62">
        <f t="shared" si="92"/>
        <v>12250000</v>
      </c>
      <c r="V480" s="172">
        <f>VLOOKUP(E480,Modificaciones!$B$7:$AU$480,46,0)</f>
        <v>3623000</v>
      </c>
      <c r="W480" s="93">
        <f t="shared" si="90"/>
        <v>8627000</v>
      </c>
      <c r="X480" s="314" t="s">
        <v>2787</v>
      </c>
      <c r="Y480" s="852">
        <f t="shared" si="93"/>
        <v>0.29575510204081634</v>
      </c>
      <c r="Z480" s="42">
        <f t="shared" ca="1" si="94"/>
        <v>1</v>
      </c>
      <c r="AA480" s="43">
        <f t="shared" ca="1" si="95"/>
        <v>0.70424489795918366</v>
      </c>
      <c r="AB480" s="202" t="str">
        <f t="shared" ca="1" si="96"/>
        <v/>
      </c>
      <c r="AC480" s="44" t="str">
        <f t="shared" si="99"/>
        <v>NO</v>
      </c>
      <c r="AD480" s="760" t="s">
        <v>1710</v>
      </c>
      <c r="AE480" s="173" t="s">
        <v>1257</v>
      </c>
      <c r="AF480" s="281" t="s">
        <v>2788</v>
      </c>
      <c r="AG480" s="173" t="s">
        <v>1439</v>
      </c>
      <c r="AH480" s="281" t="s">
        <v>560</v>
      </c>
      <c r="AI480" s="305" t="s">
        <v>1509</v>
      </c>
      <c r="AJ480" s="305" t="s">
        <v>600</v>
      </c>
      <c r="AK480" s="181" t="str">
        <f t="shared" ca="1" si="97"/>
        <v>TERMINO</v>
      </c>
      <c r="AL480" s="310" t="s">
        <v>576</v>
      </c>
      <c r="AM480" s="176" t="s">
        <v>390</v>
      </c>
      <c r="AN480" s="848" t="str">
        <f>IFERROR(VLOOKUP(E480,'liquidaciones '!$B$2:$C$1048576,2,0),"NO")</f>
        <v>LIQUIDADO</v>
      </c>
      <c r="AO480" s="944" t="str">
        <f>IFERROR(VLOOKUP(E480,'liquidaciones '!$B$2:$I$1048576,8,0),"")</f>
        <v>GIOVANNI SUAREZ</v>
      </c>
      <c r="AP480" s="338"/>
      <c r="AQ480" s="177" t="s">
        <v>390</v>
      </c>
      <c r="AR480" s="433" t="s">
        <v>3518</v>
      </c>
      <c r="AS480" s="433"/>
      <c r="AT480" s="964"/>
      <c r="AU480" s="964"/>
      <c r="AV480" s="964"/>
    </row>
    <row r="481" spans="3:48" ht="30" x14ac:dyDescent="0.25">
      <c r="C481" s="437"/>
      <c r="D481" s="437" t="str">
        <f t="shared" si="98"/>
        <v>2016</v>
      </c>
      <c r="E481" s="854" t="s">
        <v>2790</v>
      </c>
      <c r="F481" s="853" t="s">
        <v>2791</v>
      </c>
      <c r="G481" s="903" t="s">
        <v>2792</v>
      </c>
      <c r="H481" s="1001" t="s">
        <v>2793</v>
      </c>
      <c r="I481" s="908">
        <v>19667800</v>
      </c>
      <c r="J481" s="713" t="s">
        <v>2811</v>
      </c>
      <c r="K481" s="295">
        <v>2016</v>
      </c>
      <c r="L481" s="546">
        <v>42731</v>
      </c>
      <c r="M481" s="856">
        <v>42746</v>
      </c>
      <c r="N481" s="856">
        <v>42805</v>
      </c>
      <c r="O481" s="127">
        <f>COUNTA(Modificaciones!I467,Modificaciones!K467,Modificaciones!M467,Modificaciones!O467)</f>
        <v>0</v>
      </c>
      <c r="P481" s="128">
        <f>VLOOKUP(E481,Modificaciones!$B$7:$Q$481,16,0)</f>
        <v>0</v>
      </c>
      <c r="Q481" s="129">
        <f>COUNTA(Modificaciones!S481,Modificaciones!U481,Modificaciones!W481,Modificaciones!Y481)</f>
        <v>0</v>
      </c>
      <c r="R481" s="130" t="str">
        <f>IF(Modificaciones!Z481=0,"",VLOOKUP(E481,Modificaciones!$B$7:$AA$500,25,0))</f>
        <v/>
      </c>
      <c r="S481" s="131" t="str">
        <f>IF(Modificaciones!AA481=0,"",VLOOKUP(E481,Modificaciones!$B$7:$AA$500,26,0))</f>
        <v/>
      </c>
      <c r="T481" s="855">
        <f t="shared" si="91"/>
        <v>42805</v>
      </c>
      <c r="U481" s="62">
        <f t="shared" si="92"/>
        <v>19667800</v>
      </c>
      <c r="V481" s="172">
        <f>VLOOKUP(E481,Modificaciones!$B$7:$AU$481,46,0)</f>
        <v>19667800</v>
      </c>
      <c r="W481" s="93">
        <f t="shared" si="90"/>
        <v>0</v>
      </c>
      <c r="X481" s="309" t="s">
        <v>1895</v>
      </c>
      <c r="Y481" s="852">
        <f t="shared" si="93"/>
        <v>1</v>
      </c>
      <c r="Z481" s="42">
        <f t="shared" ca="1" si="94"/>
        <v>1</v>
      </c>
      <c r="AA481" s="43">
        <f t="shared" ca="1" si="95"/>
        <v>0</v>
      </c>
      <c r="AB481" s="202" t="str">
        <f t="shared" ca="1" si="96"/>
        <v/>
      </c>
      <c r="AC481" s="44" t="str">
        <f t="shared" si="99"/>
        <v>SI</v>
      </c>
      <c r="AD481" s="760" t="s">
        <v>1712</v>
      </c>
      <c r="AE481" s="173" t="s">
        <v>1256</v>
      </c>
      <c r="AF481" s="281" t="s">
        <v>1466</v>
      </c>
      <c r="AG481" s="173"/>
      <c r="AH481" s="281"/>
      <c r="AI481" s="305"/>
      <c r="AJ481" s="305" t="s">
        <v>600</v>
      </c>
      <c r="AK481" s="181" t="str">
        <f t="shared" ca="1" si="97"/>
        <v>TERMINO</v>
      </c>
      <c r="AL481" s="310" t="s">
        <v>576</v>
      </c>
      <c r="AM481" s="176" t="s">
        <v>391</v>
      </c>
      <c r="AN481" s="848" t="str">
        <f>IFERROR(VLOOKUP(E481,'liquidaciones '!$B$2:$C$1048576,2,0),"NO")</f>
        <v>LIQUIDADO</v>
      </c>
      <c r="AO481" s="944" t="str">
        <f>IFERROR(VLOOKUP(E481,'liquidaciones '!$B$2:$I$1048576,8,0),"")</f>
        <v>MANUEL ROJAS</v>
      </c>
      <c r="AP481" s="338"/>
      <c r="AQ481" s="177" t="s">
        <v>390</v>
      </c>
      <c r="AR481" s="177" t="s">
        <v>981</v>
      </c>
      <c r="AS481" s="433"/>
      <c r="AT481" s="964"/>
      <c r="AU481" s="964"/>
      <c r="AV481" s="964"/>
    </row>
    <row r="482" spans="3:48" ht="30" x14ac:dyDescent="0.25">
      <c r="C482" s="437">
        <v>233</v>
      </c>
      <c r="D482" s="437" t="str">
        <f t="shared" si="98"/>
        <v>2016233</v>
      </c>
      <c r="E482" s="854" t="s">
        <v>2794</v>
      </c>
      <c r="F482" s="853" t="s">
        <v>2795</v>
      </c>
      <c r="G482" s="903">
        <v>830110570</v>
      </c>
      <c r="H482" s="1001" t="s">
        <v>3042</v>
      </c>
      <c r="I482" s="908">
        <v>564700000</v>
      </c>
      <c r="J482" s="713" t="s">
        <v>2810</v>
      </c>
      <c r="K482" s="295">
        <v>2016</v>
      </c>
      <c r="L482" s="546">
        <v>42734</v>
      </c>
      <c r="M482" s="865">
        <v>42747</v>
      </c>
      <c r="N482" s="865">
        <v>42837</v>
      </c>
      <c r="O482" s="127">
        <f>COUNTA(Modificaciones!I468,Modificaciones!K468,Modificaciones!M468,Modificaciones!O468)</f>
        <v>0</v>
      </c>
      <c r="P482" s="128">
        <f>VLOOKUP(E482,Modificaciones!$B$7:$Q$482,16,0)</f>
        <v>0</v>
      </c>
      <c r="Q482" s="129">
        <f>COUNTA(Modificaciones!S482,Modificaciones!U482,Modificaciones!W482,Modificaciones!Y482)</f>
        <v>0</v>
      </c>
      <c r="R482" s="130" t="str">
        <f>IF(Modificaciones!Z482=0,"",VLOOKUP(E482,Modificaciones!$B$7:$AA$500,25,0))</f>
        <v/>
      </c>
      <c r="S482" s="131" t="str">
        <f>IF(Modificaciones!AA482=0,"",VLOOKUP(E482,Modificaciones!$B$7:$AA$500,26,0))</f>
        <v/>
      </c>
      <c r="T482" s="855">
        <f t="shared" si="91"/>
        <v>42837</v>
      </c>
      <c r="U482" s="62">
        <f t="shared" si="92"/>
        <v>564700000</v>
      </c>
      <c r="V482" s="172">
        <f>VLOOKUP(E482,Modificaciones!$B$7:$AU$482,46,0)</f>
        <v>561585401</v>
      </c>
      <c r="W482" s="93">
        <f t="shared" si="90"/>
        <v>3114599</v>
      </c>
      <c r="X482" s="309" t="s">
        <v>1895</v>
      </c>
      <c r="Y482" s="852">
        <f t="shared" si="93"/>
        <v>0.99448450681777933</v>
      </c>
      <c r="Z482" s="42">
        <f t="shared" ca="1" si="94"/>
        <v>1</v>
      </c>
      <c r="AA482" s="43">
        <f t="shared" ca="1" si="95"/>
        <v>5.5154931822206654E-3</v>
      </c>
      <c r="AB482" s="202" t="str">
        <f t="shared" ca="1" si="96"/>
        <v/>
      </c>
      <c r="AC482" s="44" t="str">
        <f t="shared" si="99"/>
        <v>NO</v>
      </c>
      <c r="AD482" s="760" t="s">
        <v>1712</v>
      </c>
      <c r="AE482" s="173" t="s">
        <v>1257</v>
      </c>
      <c r="AF482" s="281" t="s">
        <v>2809</v>
      </c>
      <c r="AG482" s="173" t="s">
        <v>1439</v>
      </c>
      <c r="AH482" s="281" t="s">
        <v>560</v>
      </c>
      <c r="AI482" s="305" t="s">
        <v>1509</v>
      </c>
      <c r="AJ482" s="305" t="s">
        <v>600</v>
      </c>
      <c r="AK482" s="181" t="str">
        <f t="shared" ca="1" si="97"/>
        <v>TERMINO</v>
      </c>
      <c r="AL482" s="310" t="s">
        <v>995</v>
      </c>
      <c r="AM482" s="338" t="s">
        <v>391</v>
      </c>
      <c r="AN482" s="848" t="str">
        <f>IFERROR(VLOOKUP(E482,'liquidaciones '!$B$2:$C$1048576,2,0),"NO")</f>
        <v>LIQUIDADO</v>
      </c>
      <c r="AO482" s="944" t="str">
        <f>IFERROR(VLOOKUP(E482,'liquidaciones '!$B$2:$I$1048576,8,0),"")</f>
        <v>GIOVANNI SUAREZ</v>
      </c>
      <c r="AP482" s="338"/>
      <c r="AQ482" s="177"/>
      <c r="AR482" s="177" t="s">
        <v>2907</v>
      </c>
      <c r="AS482" s="433"/>
      <c r="AT482" s="964"/>
      <c r="AU482" s="964"/>
      <c r="AV482" s="964"/>
    </row>
    <row r="483" spans="3:48" ht="67.5" x14ac:dyDescent="0.25">
      <c r="C483" s="867">
        <v>232</v>
      </c>
      <c r="D483" s="867" t="str">
        <f t="shared" si="98"/>
        <v>2016232</v>
      </c>
      <c r="E483" s="868" t="s">
        <v>2823</v>
      </c>
      <c r="F483" s="441" t="s">
        <v>2796</v>
      </c>
      <c r="G483" s="905" t="s">
        <v>2797</v>
      </c>
      <c r="H483" s="1003" t="s">
        <v>3043</v>
      </c>
      <c r="I483" s="910">
        <v>46500000</v>
      </c>
      <c r="J483" s="873" t="s">
        <v>2807</v>
      </c>
      <c r="K483" s="295">
        <v>2016</v>
      </c>
      <c r="L483" s="546">
        <v>42733</v>
      </c>
      <c r="M483" s="874">
        <v>42751</v>
      </c>
      <c r="N483" s="874">
        <v>42871</v>
      </c>
      <c r="O483" s="127">
        <f>COUNTA(Modificaciones!I469,Modificaciones!K469,Modificaciones!M469,Modificaciones!O469)</f>
        <v>0</v>
      </c>
      <c r="P483" s="128">
        <f>VLOOKUP(E483,Modificaciones!$B$7:$Q$483,16,0)</f>
        <v>0</v>
      </c>
      <c r="Q483" s="129">
        <f>COUNTA(Modificaciones!S483,Modificaciones!U483,Modificaciones!W483,Modificaciones!Y483)</f>
        <v>0</v>
      </c>
      <c r="R483" s="130" t="str">
        <f>IF(Modificaciones!Z483=0,"",VLOOKUP(E483,Modificaciones!$B$7:$AA$500,25,0))</f>
        <v/>
      </c>
      <c r="S483" s="131" t="str">
        <f>IF(Modificaciones!AA483=0,"",VLOOKUP(E483,Modificaciones!$B$7:$AA$500,26,0))</f>
        <v/>
      </c>
      <c r="T483" s="855">
        <f t="shared" si="91"/>
        <v>42871</v>
      </c>
      <c r="U483" s="62">
        <f t="shared" si="92"/>
        <v>46500000</v>
      </c>
      <c r="V483" s="172">
        <f>VLOOKUP(E483,Modificaciones!$B$7:$AU$483,46,0)</f>
        <v>46500000</v>
      </c>
      <c r="W483" s="93">
        <f t="shared" si="90"/>
        <v>0</v>
      </c>
      <c r="X483" s="313" t="s">
        <v>2798</v>
      </c>
      <c r="Y483" s="852">
        <f t="shared" si="93"/>
        <v>1</v>
      </c>
      <c r="Z483" s="42">
        <f t="shared" ca="1" si="94"/>
        <v>1</v>
      </c>
      <c r="AA483" s="43">
        <f t="shared" ca="1" si="95"/>
        <v>0</v>
      </c>
      <c r="AB483" s="202" t="str">
        <f t="shared" ca="1" si="96"/>
        <v/>
      </c>
      <c r="AC483" s="44" t="str">
        <f t="shared" si="99"/>
        <v>SI</v>
      </c>
      <c r="AD483" s="868" t="s">
        <v>1712</v>
      </c>
      <c r="AE483" s="871" t="s">
        <v>1257</v>
      </c>
      <c r="AF483" s="871" t="s">
        <v>2808</v>
      </c>
      <c r="AG483" s="173" t="s">
        <v>1439</v>
      </c>
      <c r="AH483" s="281" t="s">
        <v>560</v>
      </c>
      <c r="AI483" s="305" t="s">
        <v>1509</v>
      </c>
      <c r="AJ483" s="305" t="s">
        <v>600</v>
      </c>
      <c r="AK483" s="181" t="str">
        <f t="shared" ca="1" si="97"/>
        <v>TERMINO</v>
      </c>
      <c r="AL483" s="310" t="s">
        <v>995</v>
      </c>
      <c r="AM483" s="433" t="s">
        <v>390</v>
      </c>
      <c r="AN483" s="848" t="str">
        <f>IFERROR(VLOOKUP(E483,'liquidaciones '!$B$2:$C$1048576,2,0),"NO")</f>
        <v>LIQUIDADO</v>
      </c>
      <c r="AO483" s="944" t="str">
        <f>IFERROR(VLOOKUP(E483,'liquidaciones '!$B$2:$I$1048576,8,0),"")</f>
        <v>GIOVANNI SUAREZ</v>
      </c>
      <c r="AP483" s="433"/>
      <c r="AQ483" s="433" t="s">
        <v>390</v>
      </c>
      <c r="AR483" s="177" t="s">
        <v>2907</v>
      </c>
      <c r="AS483" s="433"/>
      <c r="AT483" s="964"/>
      <c r="AU483" s="964"/>
      <c r="AV483" s="964"/>
    </row>
    <row r="484" spans="3:48" ht="83.25" customHeight="1" x14ac:dyDescent="0.25">
      <c r="C484" s="867">
        <v>95</v>
      </c>
      <c r="D484" s="867" t="str">
        <f t="shared" si="98"/>
        <v>201695</v>
      </c>
      <c r="E484" s="868" t="s">
        <v>2799</v>
      </c>
      <c r="F484" s="441" t="s">
        <v>152</v>
      </c>
      <c r="G484" s="905" t="s">
        <v>2800</v>
      </c>
      <c r="H484" s="1003" t="s">
        <v>2813</v>
      </c>
      <c r="I484" s="910">
        <v>475686000</v>
      </c>
      <c r="J484" s="873" t="s">
        <v>2812</v>
      </c>
      <c r="K484" s="295">
        <v>2016</v>
      </c>
      <c r="L484" s="546">
        <v>42725</v>
      </c>
      <c r="M484" s="874">
        <v>42752</v>
      </c>
      <c r="N484" s="874">
        <v>42872</v>
      </c>
      <c r="O484" s="127">
        <f>COUNTA(Modificaciones!I470,Modificaciones!K470,Modificaciones!M470,Modificaciones!O470)</f>
        <v>0</v>
      </c>
      <c r="P484" s="128">
        <f>VLOOKUP(E484,Modificaciones!$B$7:$Q$484,16,0)</f>
        <v>9520000</v>
      </c>
      <c r="Q484" s="129">
        <f>COUNTA(Modificaciones!S484,Modificaciones!U484,Modificaciones!W484,Modificaciones!Y484)</f>
        <v>1</v>
      </c>
      <c r="R484" s="130" t="str">
        <f>IF(Modificaciones!Z484=0,"",VLOOKUP(E484,Modificaciones!$B$7:$AA$500,25,0))</f>
        <v>1 mes</v>
      </c>
      <c r="S484" s="131">
        <f>IF(Modificaciones!AA484=0,"",VLOOKUP(E484,Modificaciones!$B$7:$AA$500,26,0))</f>
        <v>42903</v>
      </c>
      <c r="T484" s="855">
        <f t="shared" si="91"/>
        <v>42903</v>
      </c>
      <c r="U484" s="62">
        <f t="shared" si="92"/>
        <v>485206000</v>
      </c>
      <c r="V484" s="172">
        <f>VLOOKUP(E484,Modificaciones!$B$7:$AU$484,46,0)</f>
        <v>440949524</v>
      </c>
      <c r="W484" s="93">
        <f t="shared" si="90"/>
        <v>44256476</v>
      </c>
      <c r="X484" s="314" t="s">
        <v>2801</v>
      </c>
      <c r="Y484" s="852">
        <f t="shared" si="93"/>
        <v>0.90878827549535657</v>
      </c>
      <c r="Z484" s="42">
        <f t="shared" ca="1" si="94"/>
        <v>1</v>
      </c>
      <c r="AA484" s="43">
        <f t="shared" ca="1" si="95"/>
        <v>9.1211724504643432E-2</v>
      </c>
      <c r="AB484" s="202" t="str">
        <f t="shared" ca="1" si="96"/>
        <v/>
      </c>
      <c r="AC484" s="44" t="str">
        <f t="shared" si="99"/>
        <v>NO</v>
      </c>
      <c r="AD484" s="868" t="s">
        <v>1712</v>
      </c>
      <c r="AE484" s="871" t="s">
        <v>1257</v>
      </c>
      <c r="AF484" s="871" t="s">
        <v>2814</v>
      </c>
      <c r="AG484" s="173" t="s">
        <v>1439</v>
      </c>
      <c r="AH484" s="281" t="s">
        <v>560</v>
      </c>
      <c r="AI484" s="305" t="s">
        <v>1509</v>
      </c>
      <c r="AJ484" s="305" t="s">
        <v>600</v>
      </c>
      <c r="AK484" s="181" t="str">
        <f t="shared" ca="1" si="97"/>
        <v>TERMINO</v>
      </c>
      <c r="AL484" s="310" t="s">
        <v>995</v>
      </c>
      <c r="AM484" s="433" t="s">
        <v>390</v>
      </c>
      <c r="AN484" s="848" t="str">
        <f>IFERROR(VLOOKUP(E484,'liquidaciones '!$B$2:$C$1048576,2,0),"NO")</f>
        <v>LIQUIDADO</v>
      </c>
      <c r="AO484" s="944">
        <f>IFERROR(VLOOKUP(E484,'liquidaciones '!$B$2:$I$1048576,8,0),"")</f>
        <v>0</v>
      </c>
      <c r="AP484" s="433"/>
      <c r="AQ484" s="177" t="str">
        <f ca="1">IF((TODAY()-T484&lt;900),"SI","NO")</f>
        <v>SI</v>
      </c>
      <c r="AR484" s="177" t="s">
        <v>2907</v>
      </c>
      <c r="AS484" s="433"/>
      <c r="AT484" s="964"/>
      <c r="AU484" s="964"/>
      <c r="AV484" s="964"/>
    </row>
    <row r="485" spans="3:48" ht="78.75" x14ac:dyDescent="0.25">
      <c r="C485" s="867">
        <v>285</v>
      </c>
      <c r="D485" s="867" t="str">
        <f t="shared" si="98"/>
        <v>2016285</v>
      </c>
      <c r="E485" s="868" t="s">
        <v>2802</v>
      </c>
      <c r="F485" s="441" t="s">
        <v>2803</v>
      </c>
      <c r="G485" s="905" t="s">
        <v>2804</v>
      </c>
      <c r="H485" s="1003" t="s">
        <v>2805</v>
      </c>
      <c r="I485" s="910">
        <v>108273000</v>
      </c>
      <c r="J485" s="873" t="s">
        <v>2815</v>
      </c>
      <c r="K485" s="295">
        <v>2016</v>
      </c>
      <c r="L485" s="546">
        <v>42733</v>
      </c>
      <c r="M485" s="874">
        <v>42746</v>
      </c>
      <c r="N485" s="874">
        <v>42836</v>
      </c>
      <c r="O485" s="127">
        <f>COUNTA(Modificaciones!I471,Modificaciones!K471,Modificaciones!M471,Modificaciones!O471)</f>
        <v>0</v>
      </c>
      <c r="P485" s="128">
        <f>VLOOKUP(E485,Modificaciones!$B$7:$Q$485,16,0)</f>
        <v>4338465</v>
      </c>
      <c r="Q485" s="129">
        <f>COUNTA(Modificaciones!S485,Modificaciones!U485,Modificaciones!W485,Modificaciones!Y485)</f>
        <v>3</v>
      </c>
      <c r="R485" s="130" t="str">
        <f>IF(Modificaciones!Z485=0,"",VLOOKUP(E485,Modificaciones!$B$7:$AA$500,25,0))</f>
        <v>3 meses y 3 días</v>
      </c>
      <c r="S485" s="131">
        <f>IF(Modificaciones!AA485=0,"",VLOOKUP(E485,Modificaciones!$B$7:$AA$500,26,0))</f>
        <v>42930</v>
      </c>
      <c r="T485" s="855">
        <f t="shared" si="91"/>
        <v>42930</v>
      </c>
      <c r="U485" s="62">
        <f t="shared" si="92"/>
        <v>112611465</v>
      </c>
      <c r="V485" s="172">
        <f>VLOOKUP(E485,Modificaciones!$B$7:$AU$485,46,0)</f>
        <v>112611465</v>
      </c>
      <c r="W485" s="93">
        <f t="shared" si="90"/>
        <v>0</v>
      </c>
      <c r="X485" s="313" t="s">
        <v>2806</v>
      </c>
      <c r="Y485" s="852">
        <f t="shared" si="93"/>
        <v>1</v>
      </c>
      <c r="Z485" s="42">
        <f t="shared" ca="1" si="94"/>
        <v>1</v>
      </c>
      <c r="AA485" s="43">
        <f t="shared" ca="1" si="95"/>
        <v>0</v>
      </c>
      <c r="AB485" s="202" t="str">
        <f t="shared" ca="1" si="96"/>
        <v/>
      </c>
      <c r="AC485" s="44" t="str">
        <f t="shared" si="99"/>
        <v>SI</v>
      </c>
      <c r="AD485" s="760" t="s">
        <v>1710</v>
      </c>
      <c r="AE485" s="871" t="s">
        <v>1256</v>
      </c>
      <c r="AF485" s="871" t="s">
        <v>2816</v>
      </c>
      <c r="AG485" s="868"/>
      <c r="AH485" s="868"/>
      <c r="AI485" s="868"/>
      <c r="AJ485" s="305" t="s">
        <v>600</v>
      </c>
      <c r="AK485" s="181" t="str">
        <f t="shared" ca="1" si="97"/>
        <v>TERMINO</v>
      </c>
      <c r="AL485" s="310" t="s">
        <v>574</v>
      </c>
      <c r="AM485" s="433" t="s">
        <v>390</v>
      </c>
      <c r="AN485" s="848" t="str">
        <f>IFERROR(VLOOKUP(E485,'liquidaciones '!$B$2:$C$1048576,2,0),"NO")</f>
        <v>LIQUIDADO</v>
      </c>
      <c r="AO485" s="944" t="str">
        <f>IFERROR(VLOOKUP(E485,'liquidaciones '!$B$2:$I$1048576,8,0),"")</f>
        <v>JUAN DIEGO ESPITIA</v>
      </c>
      <c r="AP485" s="433"/>
      <c r="AQ485" s="433" t="s">
        <v>390</v>
      </c>
      <c r="AR485" s="177" t="s">
        <v>2978</v>
      </c>
      <c r="AS485" s="433"/>
      <c r="AT485" s="964"/>
      <c r="AU485" s="964"/>
      <c r="AV485" s="964"/>
    </row>
    <row r="486" spans="3:48" ht="45" x14ac:dyDescent="0.25">
      <c r="C486" s="867"/>
      <c r="D486" s="867"/>
      <c r="E486" s="868" t="s">
        <v>2817</v>
      </c>
      <c r="F486" s="441" t="s">
        <v>2818</v>
      </c>
      <c r="G486" s="905" t="s">
        <v>2819</v>
      </c>
      <c r="H486" s="1003" t="s">
        <v>2820</v>
      </c>
      <c r="I486" s="910">
        <v>700000</v>
      </c>
      <c r="J486" s="873" t="s">
        <v>2822</v>
      </c>
      <c r="K486" s="295">
        <v>2016</v>
      </c>
      <c r="L486" s="546">
        <v>42692</v>
      </c>
      <c r="M486" s="870">
        <v>42761</v>
      </c>
      <c r="N486" s="870">
        <v>43004</v>
      </c>
      <c r="O486" s="127">
        <f>COUNTA(Modificaciones!I472,Modificaciones!K472,Modificaciones!M472,Modificaciones!O472)</f>
        <v>0</v>
      </c>
      <c r="P486" s="128">
        <f>VLOOKUP(E486,Modificaciones!$B$7:$Q$486,16,0)</f>
        <v>0</v>
      </c>
      <c r="Q486" s="129">
        <f>COUNTA(Modificaciones!S486,Modificaciones!U486,Modificaciones!W486,Modificaciones!Y486)</f>
        <v>0</v>
      </c>
      <c r="R486" s="130" t="str">
        <f>IF(Modificaciones!Z486=0,"",VLOOKUP(E486,Modificaciones!$B$7:$AA$500,25,0))</f>
        <v/>
      </c>
      <c r="S486" s="131" t="str">
        <f>IF(Modificaciones!AA486=0,"",VLOOKUP(E486,Modificaciones!$B$7:$AA$500,26,0))</f>
        <v/>
      </c>
      <c r="T486" s="855">
        <f t="shared" si="91"/>
        <v>43004</v>
      </c>
      <c r="U486" s="62">
        <f t="shared" si="92"/>
        <v>700000</v>
      </c>
      <c r="V486" s="172">
        <f>VLOOKUP(E486,Modificaciones!$B$7:$AU$486,46,0)</f>
        <v>700000</v>
      </c>
      <c r="W486" s="93">
        <f t="shared" si="90"/>
        <v>0</v>
      </c>
      <c r="X486" s="309" t="s">
        <v>1895</v>
      </c>
      <c r="Y486" s="852">
        <f t="shared" si="93"/>
        <v>1</v>
      </c>
      <c r="Z486" s="42">
        <f t="shared" ca="1" si="94"/>
        <v>1</v>
      </c>
      <c r="AA486" s="43">
        <f t="shared" ca="1" si="95"/>
        <v>0</v>
      </c>
      <c r="AB486" s="202" t="str">
        <f t="shared" ca="1" si="96"/>
        <v/>
      </c>
      <c r="AC486" s="44" t="str">
        <f t="shared" si="99"/>
        <v>SI</v>
      </c>
      <c r="AD486" s="868"/>
      <c r="AE486" s="173" t="s">
        <v>1256</v>
      </c>
      <c r="AF486" s="281" t="s">
        <v>1504</v>
      </c>
      <c r="AG486" s="173" t="s">
        <v>1442</v>
      </c>
      <c r="AH486" s="281" t="s">
        <v>560</v>
      </c>
      <c r="AI486" s="305"/>
      <c r="AJ486" s="305" t="s">
        <v>600</v>
      </c>
      <c r="AK486" s="181" t="str">
        <f t="shared" ca="1" si="97"/>
        <v>TERMINO</v>
      </c>
      <c r="AL486" s="441"/>
      <c r="AM486" s="433" t="s">
        <v>390</v>
      </c>
      <c r="AN486" s="848" t="str">
        <f>IFERROR(VLOOKUP(E486,'liquidaciones '!$B$2:$C$1048576,2,0),"NO")</f>
        <v>LIQUIDADO</v>
      </c>
      <c r="AO486" s="944">
        <f>IFERROR(VLOOKUP(E486,'liquidaciones '!$B$2:$I$1048576,8,0),"")</f>
        <v>0</v>
      </c>
      <c r="AP486" s="433"/>
      <c r="AQ486" s="433" t="s">
        <v>390</v>
      </c>
      <c r="AR486" s="177" t="s">
        <v>2965</v>
      </c>
      <c r="AS486" s="433"/>
      <c r="AT486" s="964"/>
      <c r="AU486" s="964"/>
      <c r="AV486" s="964"/>
    </row>
    <row r="487" spans="3:48" ht="36" customHeight="1" x14ac:dyDescent="0.25">
      <c r="C487" s="880">
        <v>183</v>
      </c>
      <c r="D487" s="867"/>
      <c r="E487" s="868" t="s">
        <v>2821</v>
      </c>
      <c r="F487" s="441" t="s">
        <v>2417</v>
      </c>
      <c r="G487" s="903">
        <v>900459737</v>
      </c>
      <c r="H487" s="1001" t="s">
        <v>402</v>
      </c>
      <c r="I487" s="910">
        <v>433000000</v>
      </c>
      <c r="J487" s="873" t="s">
        <v>2934</v>
      </c>
      <c r="K487" s="295">
        <v>2017</v>
      </c>
      <c r="L487" s="546">
        <v>42754</v>
      </c>
      <c r="M487" s="870">
        <v>42767</v>
      </c>
      <c r="N487" s="870">
        <v>43100</v>
      </c>
      <c r="O487" s="127">
        <f>COUNTA(Modificaciones!I473,Modificaciones!K473,Modificaciones!M473,Modificaciones!O473)</f>
        <v>0</v>
      </c>
      <c r="P487" s="128">
        <f>VLOOKUP(E487,Modificaciones!$B$7:$Q$487,16,0)</f>
        <v>0</v>
      </c>
      <c r="Q487" s="129">
        <f>COUNTA(Modificaciones!S487,Modificaciones!U487,Modificaciones!W487,Modificaciones!Y487)</f>
        <v>1</v>
      </c>
      <c r="R487" s="130" t="str">
        <f>IF(Modificaciones!Z487=0,"",VLOOKUP(E487,Modificaciones!$B$7:$AA$500,25,0))</f>
        <v>20 días</v>
      </c>
      <c r="S487" s="131">
        <f>IF(Modificaciones!AA487=0,"",VLOOKUP(E487,Modificaciones!$B$7:$AA$500,26,0))</f>
        <v>43120</v>
      </c>
      <c r="T487" s="855">
        <f t="shared" si="91"/>
        <v>43120</v>
      </c>
      <c r="U487" s="62">
        <f t="shared" si="92"/>
        <v>433000000</v>
      </c>
      <c r="V487" s="172">
        <f>VLOOKUP(E487,Modificaciones!$B$7:$AU$487,46,0)</f>
        <v>427915544</v>
      </c>
      <c r="W487" s="93">
        <f t="shared" si="90"/>
        <v>5084456</v>
      </c>
      <c r="X487" s="313"/>
      <c r="Y487" s="852">
        <f t="shared" si="93"/>
        <v>0.98825760739030022</v>
      </c>
      <c r="Z487" s="42">
        <f t="shared" ca="1" si="94"/>
        <v>1</v>
      </c>
      <c r="AA487" s="43">
        <f t="shared" ca="1" si="95"/>
        <v>1.1742392609699781E-2</v>
      </c>
      <c r="AB487" s="202" t="str">
        <f t="shared" ca="1" si="96"/>
        <v/>
      </c>
      <c r="AC487" s="44" t="str">
        <f t="shared" si="99"/>
        <v>NO</v>
      </c>
      <c r="AD487" s="868"/>
      <c r="AE487" s="173" t="s">
        <v>1256</v>
      </c>
      <c r="AF487" s="281" t="s">
        <v>1139</v>
      </c>
      <c r="AG487" s="173"/>
      <c r="AH487" s="281" t="s">
        <v>560</v>
      </c>
      <c r="AI487" s="305" t="s">
        <v>1319</v>
      </c>
      <c r="AJ487" s="305" t="s">
        <v>600</v>
      </c>
      <c r="AK487" s="181" t="str">
        <f t="shared" ca="1" si="97"/>
        <v>TERMINO</v>
      </c>
      <c r="AL487" s="441"/>
      <c r="AM487" s="433"/>
      <c r="AN487" s="848" t="str">
        <f>IFERROR(VLOOKUP(E487,'liquidaciones '!$B$2:$C$1048576,2,0),"NO")</f>
        <v>LIQUIDADO</v>
      </c>
      <c r="AO487" s="944" t="str">
        <f>IFERROR(VLOOKUP(E487,'liquidaciones '!$B$2:$I$1048576,8,0),"")</f>
        <v>JUAN DIEGO ESPITIA</v>
      </c>
      <c r="AP487" s="433"/>
      <c r="AQ487" s="177" t="s">
        <v>390</v>
      </c>
      <c r="AR487" s="433" t="s">
        <v>1510</v>
      </c>
      <c r="AS487" s="433"/>
      <c r="AT487" s="966" t="s">
        <v>3947</v>
      </c>
      <c r="AU487" s="964"/>
      <c r="AV487" s="964"/>
    </row>
    <row r="488" spans="3:48" ht="84" customHeight="1" x14ac:dyDescent="0.25">
      <c r="C488" s="867">
        <v>181</v>
      </c>
      <c r="D488" s="867"/>
      <c r="E488" s="868" t="s">
        <v>2825</v>
      </c>
      <c r="F488" s="441" t="s">
        <v>2435</v>
      </c>
      <c r="G488" s="903">
        <v>900475780</v>
      </c>
      <c r="H488" s="1001" t="s">
        <v>1638</v>
      </c>
      <c r="I488" s="910">
        <v>4108908000</v>
      </c>
      <c r="J488" s="873" t="s">
        <v>2825</v>
      </c>
      <c r="K488" s="295">
        <v>2017</v>
      </c>
      <c r="L488" s="546">
        <v>42748</v>
      </c>
      <c r="M488" s="870">
        <v>42751</v>
      </c>
      <c r="N488" s="870">
        <v>43070</v>
      </c>
      <c r="O488" s="127">
        <f>COUNTA(Modificaciones!I474,Modificaciones!K474,Modificaciones!M474,Modificaciones!O474)</f>
        <v>0</v>
      </c>
      <c r="P488" s="128">
        <f>VLOOKUP(E488,Modificaciones!$B$7:$Q$488,16,0)</f>
        <v>266119000</v>
      </c>
      <c r="Q488" s="129">
        <f>COUNTA(Modificaciones!S488,Modificaciones!U488,Modificaciones!W488,Modificaciones!Y488)</f>
        <v>1</v>
      </c>
      <c r="R488" s="130" t="str">
        <f>IF(Modificaciones!Z488=0,"",VLOOKUP(E488,Modificaciones!$B$7:$AA$500,25,0))</f>
        <v>30 días</v>
      </c>
      <c r="S488" s="131">
        <f>IF(Modificaciones!AA488=0,"",VLOOKUP(E488,Modificaciones!$B$7:$AA$500,26,0))</f>
        <v>43100</v>
      </c>
      <c r="T488" s="855">
        <f t="shared" si="91"/>
        <v>43100</v>
      </c>
      <c r="U488" s="62">
        <f t="shared" si="92"/>
        <v>4375027000</v>
      </c>
      <c r="V488" s="172">
        <f>VLOOKUP(E488,Modificaciones!$B$7:$AU$488,46,0)</f>
        <v>4348866165</v>
      </c>
      <c r="W488" s="93">
        <f t="shared" si="90"/>
        <v>26160835</v>
      </c>
      <c r="X488" s="314" t="s">
        <v>2824</v>
      </c>
      <c r="Y488" s="852">
        <f t="shared" si="93"/>
        <v>0.99402041747399505</v>
      </c>
      <c r="Z488" s="42">
        <f t="shared" ca="1" si="94"/>
        <v>1</v>
      </c>
      <c r="AA488" s="43">
        <f t="shared" ca="1" si="95"/>
        <v>5.9795825260049451E-3</v>
      </c>
      <c r="AB488" s="202" t="str">
        <f t="shared" ca="1" si="96"/>
        <v/>
      </c>
      <c r="AC488" s="44" t="str">
        <f t="shared" si="99"/>
        <v>NO</v>
      </c>
      <c r="AD488" s="760" t="s">
        <v>1719</v>
      </c>
      <c r="AE488" s="173" t="s">
        <v>1256</v>
      </c>
      <c r="AF488" s="281" t="s">
        <v>1508</v>
      </c>
      <c r="AG488" s="173" t="s">
        <v>1442</v>
      </c>
      <c r="AH488" s="281" t="s">
        <v>560</v>
      </c>
      <c r="AI488" s="305" t="s">
        <v>1319</v>
      </c>
      <c r="AJ488" s="305" t="s">
        <v>600</v>
      </c>
      <c r="AK488" s="181" t="str">
        <f t="shared" ca="1" si="97"/>
        <v>TERMINO</v>
      </c>
      <c r="AL488" s="181" t="s">
        <v>582</v>
      </c>
      <c r="AM488" s="433" t="s">
        <v>390</v>
      </c>
      <c r="AN488" s="848" t="str">
        <f>IFERROR(VLOOKUP(E488,'liquidaciones '!$B$2:$C$1048576,2,0),"NO")</f>
        <v>LIQUIDADO</v>
      </c>
      <c r="AO488" s="944">
        <f>IFERROR(VLOOKUP(E488,'liquidaciones '!$B$2:$I$1048576,8,0),"")</f>
        <v>0</v>
      </c>
      <c r="AP488" s="433"/>
      <c r="AQ488" s="177" t="s">
        <v>390</v>
      </c>
      <c r="AR488" s="177" t="s">
        <v>2977</v>
      </c>
      <c r="AS488" s="433"/>
      <c r="AT488" s="966" t="s">
        <v>3947</v>
      </c>
      <c r="AU488" s="964"/>
      <c r="AV488" s="964"/>
    </row>
    <row r="489" spans="3:48" ht="67.5" x14ac:dyDescent="0.25">
      <c r="C489" s="867">
        <v>177</v>
      </c>
      <c r="D489" s="867"/>
      <c r="E489" s="868" t="s">
        <v>2826</v>
      </c>
      <c r="F489" s="441" t="s">
        <v>2827</v>
      </c>
      <c r="G489" s="905" t="s">
        <v>2828</v>
      </c>
      <c r="H489" s="1003" t="s">
        <v>2829</v>
      </c>
      <c r="I489" s="910">
        <v>400000000</v>
      </c>
      <c r="J489" s="873" t="s">
        <v>2832</v>
      </c>
      <c r="K489" s="295">
        <v>2017</v>
      </c>
      <c r="L489" s="546">
        <v>42746</v>
      </c>
      <c r="M489" s="870">
        <v>42773</v>
      </c>
      <c r="N489" s="870">
        <v>43046</v>
      </c>
      <c r="O489" s="127">
        <f>COUNTA(Modificaciones!I475,Modificaciones!K475,Modificaciones!M475,Modificaciones!O475)</f>
        <v>1</v>
      </c>
      <c r="P489" s="128">
        <f>VLOOKUP(E489,Modificaciones!$B$7:$Q$489,16,0)</f>
        <v>0</v>
      </c>
      <c r="Q489" s="129">
        <f>COUNTA(Modificaciones!S489,Modificaciones!U489,Modificaciones!W489,Modificaciones!Y489)</f>
        <v>2</v>
      </c>
      <c r="R489" s="130" t="str">
        <f>IF(Modificaciones!Z489=0,"",VLOOKUP(E489,Modificaciones!$B$7:$AA$500,25,0))</f>
        <v>5 meses</v>
      </c>
      <c r="S489" s="131">
        <f>IF(Modificaciones!AA489=0,"",VLOOKUP(E489,Modificaciones!$B$7:$AA$500,26,0))</f>
        <v>43197</v>
      </c>
      <c r="T489" s="855">
        <f t="shared" si="91"/>
        <v>43197</v>
      </c>
      <c r="U489" s="62">
        <f t="shared" si="92"/>
        <v>400000000</v>
      </c>
      <c r="V489" s="172">
        <f>VLOOKUP(E489,Modificaciones!$B$7:$AU$489,46,0)</f>
        <v>399991711</v>
      </c>
      <c r="W489" s="93">
        <f t="shared" si="90"/>
        <v>8289</v>
      </c>
      <c r="X489" s="309" t="s">
        <v>1095</v>
      </c>
      <c r="Y489" s="852">
        <f t="shared" si="93"/>
        <v>0.99997927750000004</v>
      </c>
      <c r="Z489" s="42">
        <f t="shared" ca="1" si="94"/>
        <v>1</v>
      </c>
      <c r="AA489" s="43">
        <f t="shared" ca="1" si="95"/>
        <v>2.0722499999958899E-5</v>
      </c>
      <c r="AB489" s="202" t="str">
        <f t="shared" ca="1" si="96"/>
        <v/>
      </c>
      <c r="AC489" s="44" t="str">
        <f t="shared" si="99"/>
        <v>SI</v>
      </c>
      <c r="AD489" s="868"/>
      <c r="AE489" s="173" t="s">
        <v>1256</v>
      </c>
      <c r="AF489" s="281" t="s">
        <v>1532</v>
      </c>
      <c r="AG489" s="173" t="s">
        <v>1430</v>
      </c>
      <c r="AH489" s="281" t="s">
        <v>564</v>
      </c>
      <c r="AI489" s="305"/>
      <c r="AJ489" s="305" t="s">
        <v>600</v>
      </c>
      <c r="AK489" s="181" t="str">
        <f t="shared" ca="1" si="97"/>
        <v>TERMINO</v>
      </c>
      <c r="AL489" s="310" t="s">
        <v>575</v>
      </c>
      <c r="AM489" s="433" t="s">
        <v>390</v>
      </c>
      <c r="AN489" s="848" t="str">
        <f>IFERROR(VLOOKUP(E489,'liquidaciones '!$B$2:$C$1048576,2,0),"NO")</f>
        <v>LIQUIDADO</v>
      </c>
      <c r="AO489" s="944" t="str">
        <f>IFERROR(VLOOKUP(E489,'liquidaciones '!$B$2:$I$1048576,8,0),"")</f>
        <v>SONIA CACERES</v>
      </c>
      <c r="AP489" s="433"/>
      <c r="AQ489" s="177" t="s">
        <v>390</v>
      </c>
      <c r="AR489" s="177" t="s">
        <v>2978</v>
      </c>
      <c r="AS489" s="433"/>
      <c r="AT489" s="966" t="s">
        <v>3928</v>
      </c>
      <c r="AU489" s="964"/>
      <c r="AV489" s="964"/>
    </row>
    <row r="490" spans="3:48" ht="45" x14ac:dyDescent="0.25">
      <c r="C490" s="867">
        <v>147</v>
      </c>
      <c r="D490" s="867"/>
      <c r="E490" s="868" t="s">
        <v>2830</v>
      </c>
      <c r="F490" s="441" t="s">
        <v>2031</v>
      </c>
      <c r="G490" s="903">
        <v>79246871</v>
      </c>
      <c r="H490" s="1003" t="s">
        <v>2831</v>
      </c>
      <c r="I490" s="910">
        <v>3860000</v>
      </c>
      <c r="J490" s="873" t="s">
        <v>2830</v>
      </c>
      <c r="K490" s="295">
        <v>2017</v>
      </c>
      <c r="L490" s="546">
        <v>42772</v>
      </c>
      <c r="M490" s="870">
        <v>42772</v>
      </c>
      <c r="N490" s="870">
        <v>42800</v>
      </c>
      <c r="O490" s="127">
        <f>COUNTA(Modificaciones!I476,Modificaciones!K476,Modificaciones!M476,Modificaciones!O476)</f>
        <v>0</v>
      </c>
      <c r="P490" s="128">
        <f>VLOOKUP(E490,Modificaciones!$B$7:$Q$490,16,0)</f>
        <v>0</v>
      </c>
      <c r="Q490" s="129">
        <f>COUNTA(Modificaciones!S490,Modificaciones!U490,Modificaciones!W490,Modificaciones!Y490)</f>
        <v>0</v>
      </c>
      <c r="R490" s="130" t="str">
        <f>IF(Modificaciones!Z490=0,"",VLOOKUP(E490,Modificaciones!$B$7:$AA$500,25,0))</f>
        <v/>
      </c>
      <c r="S490" s="131" t="str">
        <f>IF(Modificaciones!AA490=0,"",VLOOKUP(E490,Modificaciones!$B$7:$AA$500,26,0))</f>
        <v/>
      </c>
      <c r="T490" s="855">
        <f t="shared" si="91"/>
        <v>42800</v>
      </c>
      <c r="U490" s="62">
        <f t="shared" si="92"/>
        <v>3860000</v>
      </c>
      <c r="V490" s="172">
        <f>VLOOKUP(E490,Modificaciones!$B$7:$AU$490,46,0)</f>
        <v>3860000</v>
      </c>
      <c r="W490" s="93">
        <f t="shared" si="90"/>
        <v>0</v>
      </c>
      <c r="X490" s="309" t="s">
        <v>1895</v>
      </c>
      <c r="Y490" s="852">
        <f t="shared" si="93"/>
        <v>1</v>
      </c>
      <c r="Z490" s="42">
        <f t="shared" ca="1" si="94"/>
        <v>1</v>
      </c>
      <c r="AA490" s="43">
        <f t="shared" ca="1" si="95"/>
        <v>0</v>
      </c>
      <c r="AB490" s="202" t="str">
        <f t="shared" ca="1" si="96"/>
        <v/>
      </c>
      <c r="AC490" s="44" t="str">
        <f t="shared" si="99"/>
        <v>SI</v>
      </c>
      <c r="AD490" s="760" t="s">
        <v>2898</v>
      </c>
      <c r="AE490" s="173" t="s">
        <v>1256</v>
      </c>
      <c r="AF490" s="281" t="s">
        <v>2060</v>
      </c>
      <c r="AG490" s="173" t="s">
        <v>1437</v>
      </c>
      <c r="AH490" s="281" t="s">
        <v>561</v>
      </c>
      <c r="AI490" s="305"/>
      <c r="AJ490" s="305" t="s">
        <v>600</v>
      </c>
      <c r="AK490" s="181" t="str">
        <f t="shared" ca="1" si="97"/>
        <v>TERMINO</v>
      </c>
      <c r="AL490" s="310" t="s">
        <v>582</v>
      </c>
      <c r="AM490" s="433" t="s">
        <v>391</v>
      </c>
      <c r="AN490" s="848" t="str">
        <f>IFERROR(VLOOKUP(E490,'liquidaciones '!$B$2:$C$1048576,2,0),"NO")</f>
        <v>LIQUIDADO</v>
      </c>
      <c r="AO490" s="944" t="str">
        <f>IFERROR(VLOOKUP(E490,'liquidaciones '!$B$2:$I$1048576,8,0),"")</f>
        <v>JAVIER QUINTERO</v>
      </c>
      <c r="AP490" s="433"/>
      <c r="AQ490" s="177" t="s">
        <v>390</v>
      </c>
      <c r="AR490" s="177" t="s">
        <v>2601</v>
      </c>
      <c r="AS490" s="433"/>
      <c r="AT490" s="966"/>
      <c r="AU490" s="964"/>
      <c r="AV490" s="964"/>
    </row>
    <row r="491" spans="3:48" ht="45" x14ac:dyDescent="0.25">
      <c r="C491" s="867">
        <v>141</v>
      </c>
      <c r="D491" s="867"/>
      <c r="E491" s="868" t="s">
        <v>2833</v>
      </c>
      <c r="F491" s="441" t="s">
        <v>2462</v>
      </c>
      <c r="G491" s="905">
        <v>52963023</v>
      </c>
      <c r="H491" s="1003" t="s">
        <v>3044</v>
      </c>
      <c r="I491" s="910">
        <v>5700000</v>
      </c>
      <c r="J491" s="873" t="s">
        <v>2833</v>
      </c>
      <c r="K491" s="295">
        <v>2017</v>
      </c>
      <c r="L491" s="546">
        <v>42776</v>
      </c>
      <c r="M491" s="870">
        <v>42781</v>
      </c>
      <c r="N491" s="870">
        <v>42809</v>
      </c>
      <c r="O491" s="127">
        <f>COUNTA(Modificaciones!I477,Modificaciones!K477,Modificaciones!M477,Modificaciones!O477)</f>
        <v>0</v>
      </c>
      <c r="P491" s="128">
        <f>VLOOKUP(E491,Modificaciones!$B$7:$Q$491,16,0)</f>
        <v>0</v>
      </c>
      <c r="Q491" s="129">
        <f>COUNTA(Modificaciones!S491,Modificaciones!U491,Modificaciones!W491,Modificaciones!Y491)</f>
        <v>0</v>
      </c>
      <c r="R491" s="130" t="str">
        <f>IF(Modificaciones!Z491=0,"",VLOOKUP(E491,Modificaciones!$B$7:$AA$500,25,0))</f>
        <v/>
      </c>
      <c r="S491" s="131" t="str">
        <f>IF(Modificaciones!AA491=0,"",VLOOKUP(E491,Modificaciones!$B$7:$AA$500,26,0))</f>
        <v/>
      </c>
      <c r="T491" s="855">
        <f t="shared" si="91"/>
        <v>42809</v>
      </c>
      <c r="U491" s="62">
        <f t="shared" si="92"/>
        <v>5700000</v>
      </c>
      <c r="V491" s="172">
        <f>VLOOKUP(E491,Modificaciones!$B$7:$AU$491,46,0)</f>
        <v>5700000</v>
      </c>
      <c r="W491" s="93">
        <f t="shared" si="90"/>
        <v>0</v>
      </c>
      <c r="X491" s="309" t="s">
        <v>1895</v>
      </c>
      <c r="Y491" s="852">
        <f t="shared" si="93"/>
        <v>1</v>
      </c>
      <c r="Z491" s="42">
        <f t="shared" ca="1" si="94"/>
        <v>1</v>
      </c>
      <c r="AA491" s="43">
        <f t="shared" ca="1" si="95"/>
        <v>0</v>
      </c>
      <c r="AB491" s="202" t="str">
        <f t="shared" ca="1" si="96"/>
        <v/>
      </c>
      <c r="AC491" s="44" t="str">
        <f t="shared" si="99"/>
        <v>SI</v>
      </c>
      <c r="AD491" s="760" t="s">
        <v>2898</v>
      </c>
      <c r="AE491" s="173" t="s">
        <v>1256</v>
      </c>
      <c r="AF491" s="281" t="s">
        <v>2463</v>
      </c>
      <c r="AG491" s="173" t="s">
        <v>1437</v>
      </c>
      <c r="AH491" s="281" t="s">
        <v>561</v>
      </c>
      <c r="AI491" s="868"/>
      <c r="AJ491" s="305" t="s">
        <v>600</v>
      </c>
      <c r="AK491" s="181" t="str">
        <f t="shared" ca="1" si="97"/>
        <v>TERMINO</v>
      </c>
      <c r="AL491" s="181" t="s">
        <v>582</v>
      </c>
      <c r="AM491" s="433" t="s">
        <v>391</v>
      </c>
      <c r="AN491" s="848" t="str">
        <f>IFERROR(VLOOKUP(E491,'liquidaciones '!$B$2:$C$1048576,2,0),"NO")</f>
        <v>LIQUIDADO</v>
      </c>
      <c r="AO491" s="944" t="str">
        <f>IFERROR(VLOOKUP(E491,'liquidaciones '!$B$2:$I$1048576,8,0),"")</f>
        <v>JAVIER QUINTERO</v>
      </c>
      <c r="AP491" s="433"/>
      <c r="AQ491" s="177" t="s">
        <v>390</v>
      </c>
      <c r="AR491" s="177" t="s">
        <v>2601</v>
      </c>
      <c r="AS491" s="433"/>
      <c r="AT491" s="966"/>
      <c r="AU491" s="964"/>
      <c r="AV491" s="964"/>
    </row>
    <row r="492" spans="3:48" ht="45" x14ac:dyDescent="0.25">
      <c r="C492" s="867">
        <v>81</v>
      </c>
      <c r="D492" s="867"/>
      <c r="E492" s="868" t="s">
        <v>2835</v>
      </c>
      <c r="F492" s="441" t="s">
        <v>2836</v>
      </c>
      <c r="G492" s="906" t="s">
        <v>2384</v>
      </c>
      <c r="H492" s="1003" t="s">
        <v>2837</v>
      </c>
      <c r="I492" s="910">
        <v>65851149</v>
      </c>
      <c r="J492" s="873" t="s">
        <v>2839</v>
      </c>
      <c r="K492" s="295">
        <v>2017</v>
      </c>
      <c r="L492" s="546">
        <v>42795</v>
      </c>
      <c r="M492" s="870">
        <v>42815</v>
      </c>
      <c r="N492" s="870">
        <v>43180</v>
      </c>
      <c r="O492" s="127">
        <f>COUNTA(Modificaciones!I478,Modificaciones!K478,Modificaciones!M478,Modificaciones!O478)</f>
        <v>0</v>
      </c>
      <c r="P492" s="128">
        <f>VLOOKUP(E492,Modificaciones!$B$7:$Q$492,16,0)</f>
        <v>0</v>
      </c>
      <c r="Q492" s="129">
        <f>COUNTA(Modificaciones!S492,Modificaciones!U492,Modificaciones!W492,Modificaciones!Y492)</f>
        <v>0</v>
      </c>
      <c r="R492" s="130" t="str">
        <f>IF(Modificaciones!Z492=0,"",VLOOKUP(E492,Modificaciones!$B$7:$AA$500,25,0))</f>
        <v/>
      </c>
      <c r="S492" s="131" t="str">
        <f>IF(Modificaciones!AA492=0,"",VLOOKUP(E492,Modificaciones!$B$7:$AA$500,26,0))</f>
        <v/>
      </c>
      <c r="T492" s="855">
        <f t="shared" si="91"/>
        <v>43180</v>
      </c>
      <c r="U492" s="62">
        <f t="shared" si="92"/>
        <v>65851149</v>
      </c>
      <c r="V492" s="172">
        <f>VLOOKUP(E492,Modificaciones!$B$7:$AU$492,46,0)</f>
        <v>65851149</v>
      </c>
      <c r="W492" s="93">
        <f t="shared" si="90"/>
        <v>0</v>
      </c>
      <c r="X492" s="313" t="s">
        <v>2838</v>
      </c>
      <c r="Y492" s="852">
        <f t="shared" si="93"/>
        <v>1</v>
      </c>
      <c r="Z492" s="42">
        <f t="shared" ca="1" si="94"/>
        <v>1</v>
      </c>
      <c r="AA492" s="43">
        <f t="shared" ca="1" si="95"/>
        <v>0</v>
      </c>
      <c r="AB492" s="202" t="str">
        <f t="shared" ca="1" si="96"/>
        <v/>
      </c>
      <c r="AC492" s="44" t="str">
        <f t="shared" si="99"/>
        <v>SI</v>
      </c>
      <c r="AD492" s="868"/>
      <c r="AE492" s="173" t="s">
        <v>1257</v>
      </c>
      <c r="AF492" s="281" t="s">
        <v>1467</v>
      </c>
      <c r="AG492" s="173" t="s">
        <v>1439</v>
      </c>
      <c r="AH492" s="281" t="s">
        <v>560</v>
      </c>
      <c r="AI492" s="305" t="s">
        <v>1509</v>
      </c>
      <c r="AJ492" s="305" t="s">
        <v>3802</v>
      </c>
      <c r="AK492" s="181" t="str">
        <f t="shared" ca="1" si="97"/>
        <v>TERMINO</v>
      </c>
      <c r="AL492" s="310" t="s">
        <v>576</v>
      </c>
      <c r="AM492" s="176" t="s">
        <v>390</v>
      </c>
      <c r="AN492" s="848" t="str">
        <f>IFERROR(VLOOKUP(E492,'liquidaciones '!$B$2:$C$1048576,2,0),"NO")</f>
        <v>LIQUIDADO</v>
      </c>
      <c r="AO492" s="944">
        <f>IFERROR(VLOOKUP(E492,'liquidaciones '!$B$2:$I$1048576,8,0),"")</f>
        <v>0</v>
      </c>
      <c r="AP492" s="433"/>
      <c r="AQ492" s="177" t="s">
        <v>390</v>
      </c>
      <c r="AR492" s="433" t="s">
        <v>3518</v>
      </c>
      <c r="AS492" s="433" t="s">
        <v>3785</v>
      </c>
      <c r="AT492" s="966" t="s">
        <v>560</v>
      </c>
      <c r="AU492" s="964"/>
      <c r="AV492" s="964"/>
    </row>
    <row r="493" spans="3:48" ht="33.75" x14ac:dyDescent="0.25">
      <c r="C493" s="867">
        <v>84</v>
      </c>
      <c r="D493" s="867"/>
      <c r="E493" s="868" t="s">
        <v>2840</v>
      </c>
      <c r="F493" s="441" t="s">
        <v>1338</v>
      </c>
      <c r="G493" s="906" t="s">
        <v>2723</v>
      </c>
      <c r="H493" s="1003" t="s">
        <v>3045</v>
      </c>
      <c r="I493" s="910">
        <v>195049000</v>
      </c>
      <c r="J493" s="873" t="s">
        <v>2840</v>
      </c>
      <c r="K493" s="295">
        <v>2017</v>
      </c>
      <c r="L493" s="546">
        <v>42800</v>
      </c>
      <c r="M493" s="870">
        <v>42801</v>
      </c>
      <c r="N493" s="870">
        <v>43046</v>
      </c>
      <c r="O493" s="127">
        <f>COUNTA(Modificaciones!I479,Modificaciones!K479,Modificaciones!M479,Modificaciones!O479)</f>
        <v>0</v>
      </c>
      <c r="P493" s="128">
        <f>VLOOKUP(E493,Modificaciones!$B$7:$Q$493,16,0)</f>
        <v>0</v>
      </c>
      <c r="Q493" s="129">
        <f>COUNTA(Modificaciones!S493,Modificaciones!U493,Modificaciones!W493,Modificaciones!Y493)</f>
        <v>0</v>
      </c>
      <c r="R493" s="130" t="str">
        <f>IF(Modificaciones!Z493=0,"",VLOOKUP(E493,Modificaciones!$B$7:$AA$500,25,0))</f>
        <v/>
      </c>
      <c r="S493" s="131" t="str">
        <f>IF(Modificaciones!AA493=0,"",VLOOKUP(E493,Modificaciones!$B$7:$AA$500,26,0))</f>
        <v/>
      </c>
      <c r="T493" s="855">
        <f t="shared" si="91"/>
        <v>43046</v>
      </c>
      <c r="U493" s="62">
        <f t="shared" si="92"/>
        <v>195049000</v>
      </c>
      <c r="V493" s="172">
        <f>VLOOKUP(E493,Modificaciones!$B$7:$AU$493,46,0)</f>
        <v>195049000</v>
      </c>
      <c r="W493" s="93">
        <f t="shared" si="90"/>
        <v>0</v>
      </c>
      <c r="X493" s="309" t="s">
        <v>2841</v>
      </c>
      <c r="Y493" s="852">
        <f t="shared" si="93"/>
        <v>1</v>
      </c>
      <c r="Z493" s="42">
        <f t="shared" ca="1" si="94"/>
        <v>1</v>
      </c>
      <c r="AA493" s="43">
        <f t="shared" ca="1" si="95"/>
        <v>0</v>
      </c>
      <c r="AB493" s="202" t="str">
        <f t="shared" ca="1" si="96"/>
        <v/>
      </c>
      <c r="AC493" s="44" t="str">
        <f t="shared" si="99"/>
        <v>SI</v>
      </c>
      <c r="AD493" s="760" t="s">
        <v>1710</v>
      </c>
      <c r="AE493" s="173" t="s">
        <v>1257</v>
      </c>
      <c r="AF493" s="281" t="s">
        <v>1606</v>
      </c>
      <c r="AG493" s="173" t="s">
        <v>1439</v>
      </c>
      <c r="AH493" s="281" t="s">
        <v>560</v>
      </c>
      <c r="AI493" s="305" t="s">
        <v>1509</v>
      </c>
      <c r="AJ493" s="305" t="s">
        <v>3802</v>
      </c>
      <c r="AK493" s="181" t="str">
        <f t="shared" ca="1" si="97"/>
        <v>TERMINO</v>
      </c>
      <c r="AL493" s="310" t="s">
        <v>582</v>
      </c>
      <c r="AM493" s="176" t="s">
        <v>390</v>
      </c>
      <c r="AN493" s="848" t="str">
        <f>IFERROR(VLOOKUP(E493,'liquidaciones '!$B$2:$C$1048576,2,0),"NO")</f>
        <v>LIQUIDADO</v>
      </c>
      <c r="AO493" s="944">
        <f>IFERROR(VLOOKUP(E493,'liquidaciones '!$B$2:$I$1048576,8,0),"")</f>
        <v>0</v>
      </c>
      <c r="AP493" s="338"/>
      <c r="AQ493" s="177" t="s">
        <v>390</v>
      </c>
      <c r="AR493" s="433" t="s">
        <v>3518</v>
      </c>
      <c r="AS493" s="433" t="s">
        <v>3785</v>
      </c>
      <c r="AT493" s="966" t="s">
        <v>560</v>
      </c>
      <c r="AU493" s="964"/>
      <c r="AV493" s="964"/>
    </row>
    <row r="494" spans="3:48" ht="33.75" x14ac:dyDescent="0.25">
      <c r="C494" s="867">
        <v>186</v>
      </c>
      <c r="D494" s="867"/>
      <c r="E494" s="868" t="s">
        <v>2844</v>
      </c>
      <c r="F494" s="441" t="s">
        <v>1906</v>
      </c>
      <c r="G494" s="905">
        <v>860019063</v>
      </c>
      <c r="H494" s="1003" t="s">
        <v>2845</v>
      </c>
      <c r="I494" s="910">
        <v>28800000</v>
      </c>
      <c r="J494" s="869"/>
      <c r="K494" s="295">
        <v>2017</v>
      </c>
      <c r="L494" s="546">
        <v>42803</v>
      </c>
      <c r="M494" s="870">
        <v>42810</v>
      </c>
      <c r="N494" s="870">
        <v>43175</v>
      </c>
      <c r="O494" s="127">
        <f>COUNTA(Modificaciones!I480,Modificaciones!K480,Modificaciones!M480,Modificaciones!O480)</f>
        <v>0</v>
      </c>
      <c r="P494" s="128">
        <f>VLOOKUP(E494,Modificaciones!$B$7:$Q$494,16,0)</f>
        <v>0</v>
      </c>
      <c r="Q494" s="129">
        <f>COUNTA(Modificaciones!S494,Modificaciones!U494,Modificaciones!W494,Modificaciones!Y494)</f>
        <v>1</v>
      </c>
      <c r="R494" s="130" t="str">
        <f>IF(Modificaciones!Z494=0,"",VLOOKUP(E494,Modificaciones!$B$7:$AA$500,25,0))</f>
        <v xml:space="preserve">3 meses y 13 días </v>
      </c>
      <c r="S494" s="131">
        <f>IF(Modificaciones!AA494=0,"",VLOOKUP(E494,Modificaciones!$B$7:$AA$500,26,0))</f>
        <v>43280</v>
      </c>
      <c r="T494" s="855">
        <f t="shared" si="91"/>
        <v>43280</v>
      </c>
      <c r="U494" s="62">
        <f t="shared" si="92"/>
        <v>28800000</v>
      </c>
      <c r="V494" s="172">
        <f>VLOOKUP(E494,Modificaciones!$B$7:$AU$494,46,0)</f>
        <v>19084100</v>
      </c>
      <c r="W494" s="93">
        <f t="shared" si="90"/>
        <v>9715900</v>
      </c>
      <c r="X494" s="309" t="s">
        <v>1909</v>
      </c>
      <c r="Y494" s="852">
        <f t="shared" si="93"/>
        <v>0.66264236111111108</v>
      </c>
      <c r="Z494" s="42">
        <f t="shared" ca="1" si="94"/>
        <v>1</v>
      </c>
      <c r="AA494" s="43">
        <f t="shared" ca="1" si="95"/>
        <v>0.33735763888888892</v>
      </c>
      <c r="AB494" s="202" t="str">
        <f t="shared" ca="1" si="96"/>
        <v/>
      </c>
      <c r="AC494" s="44" t="str">
        <f t="shared" si="99"/>
        <v>NO</v>
      </c>
      <c r="AD494" s="433" t="s">
        <v>1710</v>
      </c>
      <c r="AE494" s="871" t="s">
        <v>1256</v>
      </c>
      <c r="AF494" s="173" t="s">
        <v>2518</v>
      </c>
      <c r="AG494" s="173" t="s">
        <v>1442</v>
      </c>
      <c r="AH494" s="281" t="s">
        <v>560</v>
      </c>
      <c r="AI494" s="174" t="s">
        <v>1319</v>
      </c>
      <c r="AJ494" s="305" t="s">
        <v>2834</v>
      </c>
      <c r="AK494" s="181" t="str">
        <f t="shared" ca="1" si="97"/>
        <v>TERMINO</v>
      </c>
      <c r="AL494" s="310" t="s">
        <v>582</v>
      </c>
      <c r="AM494" s="433" t="s">
        <v>390</v>
      </c>
      <c r="AN494" s="848" t="str">
        <f>IFERROR(VLOOKUP(E494,'liquidaciones '!$B$2:$C$1048576,2,0),"NO")</f>
        <v>LIQUIDADO</v>
      </c>
      <c r="AO494" s="944" t="str">
        <f>IFERROR(VLOOKUP(E494,'liquidaciones '!$B$2:$I$1048576,8,0),"")</f>
        <v>JUAN DIEGO ESPITIA</v>
      </c>
      <c r="AP494" s="433"/>
      <c r="AQ494" s="177" t="s">
        <v>390</v>
      </c>
      <c r="AR494" s="433" t="s">
        <v>1510</v>
      </c>
      <c r="AS494" s="433" t="s">
        <v>3787</v>
      </c>
      <c r="AT494" s="966" t="s">
        <v>3947</v>
      </c>
      <c r="AU494" s="964"/>
      <c r="AV494" s="964"/>
    </row>
    <row r="495" spans="3:48" ht="22.5" x14ac:dyDescent="0.25">
      <c r="C495" s="867">
        <v>167</v>
      </c>
      <c r="D495" s="867"/>
      <c r="E495" s="868" t="s">
        <v>2848</v>
      </c>
      <c r="F495" s="441" t="s">
        <v>86</v>
      </c>
      <c r="G495" s="905">
        <v>860001022</v>
      </c>
      <c r="H495" s="1003" t="s">
        <v>2849</v>
      </c>
      <c r="I495" s="910">
        <v>1317000</v>
      </c>
      <c r="J495" s="873" t="s">
        <v>2848</v>
      </c>
      <c r="K495" s="295">
        <v>2017</v>
      </c>
      <c r="L495" s="546">
        <v>42816</v>
      </c>
      <c r="M495" s="870">
        <v>42817</v>
      </c>
      <c r="N495" s="870">
        <v>43182</v>
      </c>
      <c r="O495" s="127">
        <f>COUNTA(Modificaciones!I481,Modificaciones!K481,Modificaciones!M481,Modificaciones!O481)</f>
        <v>0</v>
      </c>
      <c r="P495" s="128">
        <f>VLOOKUP(E495,Modificaciones!$B$7:$Q$495,16,0)</f>
        <v>0</v>
      </c>
      <c r="Q495" s="129">
        <f>COUNTA(Modificaciones!S495,Modificaciones!U495,Modificaciones!W495,Modificaciones!Y495)</f>
        <v>0</v>
      </c>
      <c r="R495" s="130" t="str">
        <f>IF(Modificaciones!Z495=0,"",VLOOKUP(E495,Modificaciones!$B$7:$AA$500,25,0))</f>
        <v/>
      </c>
      <c r="S495" s="131" t="str">
        <f>IF(Modificaciones!AA495=0,"",VLOOKUP(E495,Modificaciones!$B$7:$AA$500,26,0))</f>
        <v/>
      </c>
      <c r="T495" s="855">
        <f t="shared" si="91"/>
        <v>43182</v>
      </c>
      <c r="U495" s="62">
        <f t="shared" si="92"/>
        <v>1317000</v>
      </c>
      <c r="V495" s="172">
        <f>VLOOKUP(E495,Modificaciones!$B$7:$AU$495,46,0)</f>
        <v>1317000</v>
      </c>
      <c r="W495" s="93">
        <f t="shared" si="90"/>
        <v>0</v>
      </c>
      <c r="X495" s="309" t="s">
        <v>1895</v>
      </c>
      <c r="Y495" s="852">
        <f t="shared" si="93"/>
        <v>1</v>
      </c>
      <c r="Z495" s="42">
        <f t="shared" ca="1" si="94"/>
        <v>1</v>
      </c>
      <c r="AA495" s="43">
        <f t="shared" ca="1" si="95"/>
        <v>0</v>
      </c>
      <c r="AB495" s="202" t="str">
        <f t="shared" ca="1" si="96"/>
        <v/>
      </c>
      <c r="AC495" s="44" t="str">
        <f t="shared" si="99"/>
        <v>SI</v>
      </c>
      <c r="AD495" s="433" t="s">
        <v>1710</v>
      </c>
      <c r="AE495" s="871" t="s">
        <v>1256</v>
      </c>
      <c r="AF495" s="871" t="s">
        <v>1125</v>
      </c>
      <c r="AG495" s="868"/>
      <c r="AH495" s="578" t="s">
        <v>564</v>
      </c>
      <c r="AI495" s="868"/>
      <c r="AJ495" s="305" t="s">
        <v>2834</v>
      </c>
      <c r="AK495" s="181" t="str">
        <f t="shared" ca="1" si="97"/>
        <v>TERMINO</v>
      </c>
      <c r="AL495" s="894" t="s">
        <v>582</v>
      </c>
      <c r="AM495" s="180" t="s">
        <v>390</v>
      </c>
      <c r="AN495" s="848" t="str">
        <f>IFERROR(VLOOKUP(E495,'liquidaciones '!$B$2:$C$1048576,2,0),"NO")</f>
        <v>LIQUIDADO</v>
      </c>
      <c r="AO495" s="944">
        <f>IFERROR(VLOOKUP(E495,'liquidaciones '!$B$2:$I$1048576,8,0),"")</f>
        <v>0</v>
      </c>
      <c r="AP495" s="433"/>
      <c r="AQ495" s="433" t="s">
        <v>390</v>
      </c>
      <c r="AR495" s="177" t="s">
        <v>2965</v>
      </c>
      <c r="AS495" s="433"/>
      <c r="AT495" s="966" t="s">
        <v>3928</v>
      </c>
      <c r="AU495" s="964"/>
      <c r="AV495" s="964"/>
    </row>
    <row r="496" spans="3:48" ht="33.75" x14ac:dyDescent="0.25">
      <c r="C496" s="896">
        <v>182</v>
      </c>
      <c r="D496" s="896"/>
      <c r="E496" s="897" t="s">
        <v>2856</v>
      </c>
      <c r="F496" s="898" t="s">
        <v>2850</v>
      </c>
      <c r="G496" s="906" t="s">
        <v>2851</v>
      </c>
      <c r="H496" s="1003" t="s">
        <v>2852</v>
      </c>
      <c r="I496" s="910">
        <v>2585000</v>
      </c>
      <c r="J496" s="873" t="s">
        <v>2853</v>
      </c>
      <c r="K496" s="295">
        <v>2017</v>
      </c>
      <c r="L496" s="546">
        <v>42811</v>
      </c>
      <c r="M496" s="870">
        <v>42846</v>
      </c>
      <c r="N496" s="870">
        <v>43211</v>
      </c>
      <c r="O496" s="127">
        <f>COUNTA(Modificaciones!I482,Modificaciones!K482,Modificaciones!M482,Modificaciones!O482)</f>
        <v>0</v>
      </c>
      <c r="P496" s="128">
        <f>VLOOKUP(E496,Modificaciones!$B$7:$Q$496,16,0)</f>
        <v>0</v>
      </c>
      <c r="Q496" s="129">
        <f>COUNTA(Modificaciones!S496,Modificaciones!U496,Modificaciones!W496,Modificaciones!Y496)</f>
        <v>0</v>
      </c>
      <c r="R496" s="130" t="str">
        <f>IF(Modificaciones!Z496=0,"",VLOOKUP(E496,Modificaciones!$B$7:$AA$500,25,0))</f>
        <v/>
      </c>
      <c r="S496" s="131" t="str">
        <f>IF(Modificaciones!AA496=0,"",VLOOKUP(E496,Modificaciones!$B$7:$AA$500,26,0))</f>
        <v/>
      </c>
      <c r="T496" s="855">
        <f t="shared" si="91"/>
        <v>43211</v>
      </c>
      <c r="U496" s="62">
        <f t="shared" si="92"/>
        <v>2585000</v>
      </c>
      <c r="V496" s="172">
        <f>VLOOKUP(E496,Modificaciones!$B$7:$AU$496,46,0)</f>
        <v>2583920</v>
      </c>
      <c r="W496" s="93">
        <f t="shared" si="90"/>
        <v>1080</v>
      </c>
      <c r="X496" s="309" t="s">
        <v>1613</v>
      </c>
      <c r="Y496" s="852">
        <f t="shared" si="93"/>
        <v>0.99958220502901352</v>
      </c>
      <c r="Z496" s="42">
        <f t="shared" ca="1" si="94"/>
        <v>1</v>
      </c>
      <c r="AA496" s="43">
        <f t="shared" ca="1" si="95"/>
        <v>4.1779497098648477E-4</v>
      </c>
      <c r="AB496" s="202" t="str">
        <f t="shared" ca="1" si="96"/>
        <v/>
      </c>
      <c r="AC496" s="44" t="str">
        <f t="shared" si="99"/>
        <v>SI</v>
      </c>
      <c r="AD496" s="760" t="s">
        <v>1710</v>
      </c>
      <c r="AE496" s="173" t="s">
        <v>1256</v>
      </c>
      <c r="AF496" s="281" t="s">
        <v>1383</v>
      </c>
      <c r="AG496" s="173" t="s">
        <v>1442</v>
      </c>
      <c r="AH496" s="281" t="s">
        <v>560</v>
      </c>
      <c r="AI496" s="174" t="s">
        <v>1380</v>
      </c>
      <c r="AJ496" s="305" t="s">
        <v>3802</v>
      </c>
      <c r="AK496" s="181" t="str">
        <f t="shared" ca="1" si="97"/>
        <v>TERMINO</v>
      </c>
      <c r="AL496" s="181" t="s">
        <v>576</v>
      </c>
      <c r="AM496" s="176" t="s">
        <v>390</v>
      </c>
      <c r="AN496" s="848" t="str">
        <f>IFERROR(VLOOKUP(E496,'liquidaciones '!$B$2:$C$1048576,2,0),"NO")</f>
        <v>LIQUIDADO</v>
      </c>
      <c r="AO496" s="944" t="str">
        <f>IFERROR(VLOOKUP(E496,'liquidaciones '!$B$2:$I$1048576,8,0),"")</f>
        <v>JUAN DIEGO ESPITIA</v>
      </c>
      <c r="AP496" s="433"/>
      <c r="AQ496" s="177" t="s">
        <v>390</v>
      </c>
      <c r="AR496" s="433" t="s">
        <v>1510</v>
      </c>
      <c r="AS496" s="433" t="s">
        <v>3781</v>
      </c>
      <c r="AT496" s="966" t="s">
        <v>560</v>
      </c>
      <c r="AU496" s="964"/>
      <c r="AV496" s="964"/>
    </row>
    <row r="497" spans="3:48" ht="45" x14ac:dyDescent="0.25">
      <c r="C497" s="867">
        <v>243</v>
      </c>
      <c r="D497" s="867"/>
      <c r="E497" s="868" t="s">
        <v>2854</v>
      </c>
      <c r="F497" s="441" t="s">
        <v>1535</v>
      </c>
      <c r="G497" s="907">
        <v>80100229</v>
      </c>
      <c r="H497" s="1001" t="s">
        <v>3010</v>
      </c>
      <c r="I497" s="910">
        <v>70699200</v>
      </c>
      <c r="J497" s="873" t="s">
        <v>2854</v>
      </c>
      <c r="K497" s="295">
        <v>2017</v>
      </c>
      <c r="L497" s="546">
        <v>42818</v>
      </c>
      <c r="M497" s="870">
        <v>42821</v>
      </c>
      <c r="N497" s="870">
        <v>43186</v>
      </c>
      <c r="O497" s="127">
        <f>COUNTA(Modificaciones!I483,Modificaciones!K483,Modificaciones!M483,Modificaciones!O483)</f>
        <v>0</v>
      </c>
      <c r="P497" s="128">
        <f>VLOOKUP(E497,Modificaciones!$B$7:$Q$497,16,0)</f>
        <v>18067573</v>
      </c>
      <c r="Q497" s="129">
        <f>COUNTA(Modificaciones!S497,Modificaciones!U497,Modificaciones!W497,Modificaciones!Y497)</f>
        <v>1</v>
      </c>
      <c r="R497" s="130" t="str">
        <f>IF(Modificaciones!Z497=0,"",VLOOKUP(E497,Modificaciones!$B$7:$AA$500,25,0))</f>
        <v>Tres (3) meses y 2 días calendario</v>
      </c>
      <c r="S497" s="131">
        <f>IF(Modificaciones!AA497=0,"",VLOOKUP(E497,Modificaciones!$B$7:$AA$500,26,0))</f>
        <v>43280</v>
      </c>
      <c r="T497" s="855">
        <f t="shared" si="91"/>
        <v>43280</v>
      </c>
      <c r="U497" s="62">
        <f t="shared" si="92"/>
        <v>88766773</v>
      </c>
      <c r="V497" s="172">
        <f>VLOOKUP(E497,Modificaciones!$B$7:$AU$497,46,0)</f>
        <v>88766773</v>
      </c>
      <c r="W497" s="93">
        <f t="shared" si="90"/>
        <v>0</v>
      </c>
      <c r="X497" s="309" t="s">
        <v>1095</v>
      </c>
      <c r="Y497" s="852">
        <f t="shared" si="93"/>
        <v>1</v>
      </c>
      <c r="Z497" s="42">
        <f t="shared" ca="1" si="94"/>
        <v>1</v>
      </c>
      <c r="AA497" s="43">
        <f t="shared" ca="1" si="95"/>
        <v>0</v>
      </c>
      <c r="AB497" s="202" t="str">
        <f t="shared" ca="1" si="96"/>
        <v/>
      </c>
      <c r="AC497" s="44" t="str">
        <f t="shared" si="99"/>
        <v>SI</v>
      </c>
      <c r="AD497" s="760" t="s">
        <v>2898</v>
      </c>
      <c r="AE497" s="173" t="s">
        <v>1256</v>
      </c>
      <c r="AF497" s="281" t="s">
        <v>2190</v>
      </c>
      <c r="AG497" s="868"/>
      <c r="AH497" s="281" t="s">
        <v>559</v>
      </c>
      <c r="AI497" s="305" t="s">
        <v>2189</v>
      </c>
      <c r="AJ497" s="305" t="s">
        <v>3802</v>
      </c>
      <c r="AK497" s="181" t="str">
        <f t="shared" ca="1" si="97"/>
        <v>TERMINO</v>
      </c>
      <c r="AL497" s="310" t="s">
        <v>582</v>
      </c>
      <c r="AM497" s="433" t="s">
        <v>391</v>
      </c>
      <c r="AN497" s="848" t="str">
        <f>IFERROR(VLOOKUP(E497,'liquidaciones '!$B$2:$C$1048576,2,0),"NO")</f>
        <v>LIQUIDADO</v>
      </c>
      <c r="AO497" s="944" t="str">
        <f>IFERROR(VLOOKUP(E497,'liquidaciones '!$B$2:$I$1048576,8,0),"")</f>
        <v>JUAN DIEGO ESPITIA</v>
      </c>
      <c r="AP497" s="433"/>
      <c r="AQ497" s="433" t="s">
        <v>390</v>
      </c>
      <c r="AR497" s="433" t="s">
        <v>1510</v>
      </c>
      <c r="AS497" s="433"/>
      <c r="AT497" s="966" t="s">
        <v>560</v>
      </c>
      <c r="AU497" s="964"/>
      <c r="AV497" s="964"/>
    </row>
    <row r="498" spans="3:48" ht="45" x14ac:dyDescent="0.25">
      <c r="C498" s="867">
        <v>195</v>
      </c>
      <c r="D498" s="867"/>
      <c r="E498" s="868" t="s">
        <v>2855</v>
      </c>
      <c r="F498" s="441" t="s">
        <v>2523</v>
      </c>
      <c r="G498" s="907">
        <v>4831</v>
      </c>
      <c r="H498" s="1001" t="s">
        <v>3029</v>
      </c>
      <c r="I498" s="910">
        <v>34535000</v>
      </c>
      <c r="J498" s="873" t="s">
        <v>2857</v>
      </c>
      <c r="K498" s="295">
        <v>2017</v>
      </c>
      <c r="L498" s="546">
        <v>42811</v>
      </c>
      <c r="M498" s="870">
        <v>42831</v>
      </c>
      <c r="N498" s="870">
        <v>43196</v>
      </c>
      <c r="O498" s="127">
        <f>COUNTA(Modificaciones!I484,Modificaciones!K484,Modificaciones!M484,Modificaciones!O484)</f>
        <v>1</v>
      </c>
      <c r="P498" s="128">
        <f>VLOOKUP(E498,Modificaciones!$B$7:$Q$498,16,0)</f>
        <v>0</v>
      </c>
      <c r="Q498" s="129">
        <f>COUNTA(Modificaciones!S498,Modificaciones!U498,Modificaciones!W498,Modificaciones!Y498)</f>
        <v>2</v>
      </c>
      <c r="R498" s="130" t="str">
        <f>IF(Modificaciones!Z498=0,"",VLOOKUP(E498,Modificaciones!$B$7:$AA$500,25,0))</f>
        <v>3 meses y 23 días</v>
      </c>
      <c r="S498" s="131">
        <f>IF(Modificaciones!AA498=0,"",VLOOKUP(E498,Modificaciones!$B$7:$AA$500,26,0))</f>
        <v>43310</v>
      </c>
      <c r="T498" s="855">
        <f t="shared" si="91"/>
        <v>43310</v>
      </c>
      <c r="U498" s="62">
        <f t="shared" si="92"/>
        <v>34535000</v>
      </c>
      <c r="V498" s="172">
        <f>VLOOKUP(E498,Modificaciones!$B$7:$AU$498,46,0)</f>
        <v>20746799</v>
      </c>
      <c r="W498" s="93">
        <f t="shared" si="90"/>
        <v>13788201</v>
      </c>
      <c r="X498" s="309" t="s">
        <v>1641</v>
      </c>
      <c r="Y498" s="852">
        <f t="shared" si="93"/>
        <v>0.60074703923555817</v>
      </c>
      <c r="Z498" s="42">
        <f t="shared" ca="1" si="94"/>
        <v>1</v>
      </c>
      <c r="AA498" s="43">
        <f t="shared" ca="1" si="95"/>
        <v>0.39925296076444183</v>
      </c>
      <c r="AB498" s="202" t="str">
        <f t="shared" ca="1" si="96"/>
        <v/>
      </c>
      <c r="AC498" s="44" t="str">
        <f t="shared" ref="AC498:AC529" si="100">IF(Y498&lt;=99.9%,"NO","SI")</f>
        <v>NO</v>
      </c>
      <c r="AD498" s="760" t="s">
        <v>1710</v>
      </c>
      <c r="AE498" s="173" t="s">
        <v>1256</v>
      </c>
      <c r="AF498" s="173" t="s">
        <v>1126</v>
      </c>
      <c r="AG498" s="173" t="s">
        <v>1442</v>
      </c>
      <c r="AH498" s="281" t="s">
        <v>560</v>
      </c>
      <c r="AI498" s="174" t="s">
        <v>1319</v>
      </c>
      <c r="AJ498" s="305" t="s">
        <v>2834</v>
      </c>
      <c r="AK498" s="181" t="str">
        <f t="shared" ca="1" si="97"/>
        <v>TERMINO</v>
      </c>
      <c r="AL498" s="181" t="s">
        <v>576</v>
      </c>
      <c r="AM498" s="176" t="s">
        <v>390</v>
      </c>
      <c r="AN498" s="848" t="str">
        <f>IFERROR(VLOOKUP(E498,'liquidaciones '!$B$2:$C$1048576,2,0),"NO")</f>
        <v>LIQUIDADO</v>
      </c>
      <c r="AO498" s="944" t="str">
        <f>IFERROR(VLOOKUP(E498,'liquidaciones '!$B$2:$I$1048576,8,0),"")</f>
        <v>JUAN DIEGO ESPITIA</v>
      </c>
      <c r="AP498" s="433"/>
      <c r="AQ498" s="177" t="s">
        <v>390</v>
      </c>
      <c r="AR498" s="177" t="s">
        <v>2965</v>
      </c>
      <c r="AS498" s="433" t="s">
        <v>3787</v>
      </c>
      <c r="AT498" s="966" t="s">
        <v>3947</v>
      </c>
      <c r="AU498" s="964"/>
      <c r="AV498" s="964"/>
    </row>
    <row r="499" spans="3:48" ht="33.75" x14ac:dyDescent="0.25">
      <c r="C499" s="867">
        <v>189</v>
      </c>
      <c r="D499" s="867"/>
      <c r="E499" s="868" t="s">
        <v>2858</v>
      </c>
      <c r="F499" s="441" t="s">
        <v>2859</v>
      </c>
      <c r="G499" s="906">
        <v>860067479</v>
      </c>
      <c r="H499" s="1003" t="s">
        <v>3046</v>
      </c>
      <c r="I499" s="910">
        <v>270913000</v>
      </c>
      <c r="J499" s="873" t="s">
        <v>2863</v>
      </c>
      <c r="K499" s="295">
        <v>2017</v>
      </c>
      <c r="L499" s="546">
        <v>42825</v>
      </c>
      <c r="M499" s="870">
        <v>42829</v>
      </c>
      <c r="N499" s="870">
        <v>43073</v>
      </c>
      <c r="O499" s="127">
        <f>COUNTA(Modificaciones!I485,Modificaciones!K485,Modificaciones!M485,Modificaciones!O485)</f>
        <v>1</v>
      </c>
      <c r="P499" s="128">
        <f>VLOOKUP(E499,Modificaciones!$B$7:$Q$499,16,0)</f>
        <v>137007500</v>
      </c>
      <c r="Q499" s="129">
        <f>COUNTA(Modificaciones!S499,Modificaciones!U499,Modificaciones!W499,Modificaciones!Y499)</f>
        <v>2</v>
      </c>
      <c r="R499" s="130" t="str">
        <f>IF(Modificaciones!Z499=0,"",VLOOKUP(E499,Modificaciones!$B$7:$AA$500,25,0))</f>
        <v>4 meses y 57 días calendario</v>
      </c>
      <c r="S499" s="131">
        <f>IF(Modificaciones!AA499=0,"",VLOOKUP(E499,Modificaciones!$B$7:$AA$500,26,0))</f>
        <v>43251</v>
      </c>
      <c r="T499" s="855">
        <f t="shared" si="91"/>
        <v>43251</v>
      </c>
      <c r="U499" s="62">
        <f t="shared" si="92"/>
        <v>407920500</v>
      </c>
      <c r="V499" s="172">
        <f>VLOOKUP(E499,Modificaciones!$B$7:$AU$499,46,0)</f>
        <v>390136571</v>
      </c>
      <c r="W499" s="93">
        <f t="shared" si="90"/>
        <v>17783929</v>
      </c>
      <c r="X499" s="309" t="s">
        <v>2760</v>
      </c>
      <c r="Y499" s="852">
        <f t="shared" si="93"/>
        <v>0.95640344380829112</v>
      </c>
      <c r="Z499" s="42">
        <f t="shared" ca="1" si="94"/>
        <v>1</v>
      </c>
      <c r="AA499" s="43">
        <f t="shared" ca="1" si="95"/>
        <v>4.359655619170888E-2</v>
      </c>
      <c r="AB499" s="202" t="str">
        <f t="shared" ca="1" si="96"/>
        <v/>
      </c>
      <c r="AC499" s="44" t="str">
        <f t="shared" si="100"/>
        <v>NO</v>
      </c>
      <c r="AD499" s="760" t="s">
        <v>1710</v>
      </c>
      <c r="AE499" s="173" t="s">
        <v>1256</v>
      </c>
      <c r="AF499" s="281" t="s">
        <v>1138</v>
      </c>
      <c r="AG499" s="173" t="s">
        <v>1442</v>
      </c>
      <c r="AH499" s="281" t="s">
        <v>560</v>
      </c>
      <c r="AI499" s="174" t="s">
        <v>1379</v>
      </c>
      <c r="AJ499" s="305" t="s">
        <v>3802</v>
      </c>
      <c r="AK499" s="181" t="str">
        <f t="shared" ca="1" si="97"/>
        <v>TERMINO</v>
      </c>
      <c r="AL499" s="181" t="s">
        <v>576</v>
      </c>
      <c r="AM499" s="433" t="s">
        <v>390</v>
      </c>
      <c r="AN499" s="848" t="str">
        <f>IFERROR(VLOOKUP(E499,'liquidaciones '!$B$2:$C$1048576,2,0),"NO")</f>
        <v>LIQUIDADO</v>
      </c>
      <c r="AO499" s="944" t="str">
        <f>IFERROR(VLOOKUP(E499,'liquidaciones '!$B$2:$I$1048576,8,0),"")</f>
        <v>JUAN DIEGO ESPITIA</v>
      </c>
      <c r="AP499" s="433"/>
      <c r="AQ499" s="433" t="s">
        <v>390</v>
      </c>
      <c r="AR499" s="433" t="s">
        <v>1510</v>
      </c>
      <c r="AS499" s="433" t="s">
        <v>1379</v>
      </c>
      <c r="AT499" s="966" t="s">
        <v>560</v>
      </c>
      <c r="AU499" s="964"/>
      <c r="AV499" s="964"/>
    </row>
    <row r="500" spans="3:48" ht="56.25" x14ac:dyDescent="0.25">
      <c r="C500" s="867">
        <v>194</v>
      </c>
      <c r="D500" s="867"/>
      <c r="E500" s="868" t="s">
        <v>2860</v>
      </c>
      <c r="F500" s="441" t="s">
        <v>2864</v>
      </c>
      <c r="G500" s="906" t="s">
        <v>2861</v>
      </c>
      <c r="H500" s="1003" t="s">
        <v>2862</v>
      </c>
      <c r="I500" s="910">
        <v>3725711</v>
      </c>
      <c r="J500" s="873" t="s">
        <v>2865</v>
      </c>
      <c r="K500" s="295">
        <v>2017</v>
      </c>
      <c r="L500" s="546">
        <v>42823</v>
      </c>
      <c r="M500" s="870">
        <v>42831</v>
      </c>
      <c r="N500" s="870">
        <v>43196</v>
      </c>
      <c r="O500" s="127">
        <f>COUNTA(Modificaciones!I486,Modificaciones!K486,Modificaciones!M486,Modificaciones!O486)</f>
        <v>0</v>
      </c>
      <c r="P500" s="128">
        <f>VLOOKUP(E500,Modificaciones!$B$7:$Q$500,16,0)</f>
        <v>0</v>
      </c>
      <c r="Q500" s="129">
        <f>COUNTA(Modificaciones!S500,Modificaciones!U500,Modificaciones!W500,Modificaciones!Y500)</f>
        <v>0</v>
      </c>
      <c r="R500" s="130" t="str">
        <f>IF(Modificaciones!Z500=0,"",VLOOKUP(E500,Modificaciones!$B$7:$AA$500,25,0))</f>
        <v/>
      </c>
      <c r="S500" s="131" t="str">
        <f>IF(Modificaciones!AA500=0,"",VLOOKUP(E500,Modificaciones!$B$7:$AA$500,26,0))</f>
        <v/>
      </c>
      <c r="T500" s="855">
        <f t="shared" si="91"/>
        <v>43196</v>
      </c>
      <c r="U500" s="62">
        <f t="shared" si="92"/>
        <v>3725711</v>
      </c>
      <c r="V500" s="172">
        <f>VLOOKUP(E500,Modificaciones!$B$7:$AU$500,46,0)</f>
        <v>285600</v>
      </c>
      <c r="W500" s="93">
        <f t="shared" si="90"/>
        <v>3440111</v>
      </c>
      <c r="X500" s="442" t="s">
        <v>2574</v>
      </c>
      <c r="Y500" s="852">
        <f t="shared" si="93"/>
        <v>7.6656509321308061E-2</v>
      </c>
      <c r="Z500" s="42">
        <f t="shared" ca="1" si="94"/>
        <v>1</v>
      </c>
      <c r="AA500" s="43">
        <f t="shared" ca="1" si="95"/>
        <v>0.92334349067869192</v>
      </c>
      <c r="AB500" s="202" t="str">
        <f t="shared" ca="1" si="96"/>
        <v/>
      </c>
      <c r="AC500" s="44" t="str">
        <f t="shared" si="100"/>
        <v>NO</v>
      </c>
      <c r="AD500" s="760" t="s">
        <v>1710</v>
      </c>
      <c r="AE500" s="173" t="s">
        <v>1256</v>
      </c>
      <c r="AF500" s="281" t="s">
        <v>1168</v>
      </c>
      <c r="AG500" s="173" t="s">
        <v>1442</v>
      </c>
      <c r="AH500" s="281" t="s">
        <v>560</v>
      </c>
      <c r="AI500" s="174" t="s">
        <v>1387</v>
      </c>
      <c r="AJ500" s="305" t="s">
        <v>2834</v>
      </c>
      <c r="AK500" s="181" t="str">
        <f t="shared" ca="1" si="97"/>
        <v>TERMINO</v>
      </c>
      <c r="AL500" s="181" t="s">
        <v>576</v>
      </c>
      <c r="AM500" s="433" t="s">
        <v>390</v>
      </c>
      <c r="AN500" s="848" t="str">
        <f>IFERROR(VLOOKUP(E500,'liquidaciones '!$B$2:$C$1048576,2,0),"NO")</f>
        <v>EN TRÁMITE</v>
      </c>
      <c r="AO500" s="944">
        <f>IFERROR(VLOOKUP(E500,'liquidaciones '!$B$2:$I$1048576,8,0),"")</f>
        <v>0</v>
      </c>
      <c r="AP500" s="433"/>
      <c r="AQ500" s="433" t="s">
        <v>390</v>
      </c>
      <c r="AR500" s="177" t="s">
        <v>1510</v>
      </c>
      <c r="AS500" s="433" t="s">
        <v>3822</v>
      </c>
      <c r="AT500" s="966" t="s">
        <v>3947</v>
      </c>
      <c r="AU500" s="964"/>
      <c r="AV500" s="964"/>
    </row>
    <row r="501" spans="3:48" ht="120.75" customHeight="1" x14ac:dyDescent="0.25">
      <c r="C501" s="867">
        <v>198</v>
      </c>
      <c r="D501" s="867"/>
      <c r="E501" s="868" t="s">
        <v>2866</v>
      </c>
      <c r="F501" s="441" t="s">
        <v>1017</v>
      </c>
      <c r="G501" s="903" t="s">
        <v>2867</v>
      </c>
      <c r="H501" s="1003" t="s">
        <v>2868</v>
      </c>
      <c r="I501" s="910">
        <v>10473600</v>
      </c>
      <c r="J501" s="873" t="s">
        <v>2869</v>
      </c>
      <c r="K501" s="295">
        <v>2017</v>
      </c>
      <c r="L501" s="546">
        <v>42823</v>
      </c>
      <c r="M501" s="870">
        <v>42857</v>
      </c>
      <c r="N501" s="870">
        <v>43161</v>
      </c>
      <c r="O501" s="127">
        <f>COUNTA(Modificaciones!I487,Modificaciones!K487,Modificaciones!M487,Modificaciones!O487)</f>
        <v>0</v>
      </c>
      <c r="P501" s="128">
        <f>VLOOKUP(E501,Modificaciones!$B$7:$Q$501,16,0)</f>
        <v>0</v>
      </c>
      <c r="Q501" s="129">
        <f>COUNTA(Modificaciones!S501,Modificaciones!U501,Modificaciones!W501,Modificaciones!Y501)</f>
        <v>0</v>
      </c>
      <c r="R501" s="130" t="str">
        <f>IF(Modificaciones!Z501=0,"",VLOOKUP(E501,Modificaciones!$B$7:$AA$500,25,0))</f>
        <v/>
      </c>
      <c r="S501" s="131" t="str">
        <f>IF(Modificaciones!AA501=0,"",VLOOKUP(E501,Modificaciones!$B$7:$AA$500,26,0))</f>
        <v/>
      </c>
      <c r="T501" s="855">
        <f t="shared" si="91"/>
        <v>43161</v>
      </c>
      <c r="U501" s="62">
        <f t="shared" si="92"/>
        <v>10473600</v>
      </c>
      <c r="V501" s="172">
        <f>VLOOKUP(E501,Modificaciones!$B$7:$AU$501,46,0)</f>
        <v>10467368</v>
      </c>
      <c r="W501" s="93">
        <f t="shared" si="90"/>
        <v>6232</v>
      </c>
      <c r="X501" s="314" t="s">
        <v>1232</v>
      </c>
      <c r="Y501" s="852">
        <f t="shared" si="93"/>
        <v>0.9994049801405438</v>
      </c>
      <c r="Z501" s="42">
        <f t="shared" ca="1" si="94"/>
        <v>1</v>
      </c>
      <c r="AA501" s="43">
        <f t="shared" ca="1" si="95"/>
        <v>5.9501985945620284E-4</v>
      </c>
      <c r="AB501" s="202" t="str">
        <f t="shared" ca="1" si="96"/>
        <v/>
      </c>
      <c r="AC501" s="44" t="str">
        <f t="shared" si="100"/>
        <v>SI</v>
      </c>
      <c r="AD501" s="760" t="s">
        <v>2512</v>
      </c>
      <c r="AE501" s="173" t="s">
        <v>1256</v>
      </c>
      <c r="AF501" s="301" t="s">
        <v>1144</v>
      </c>
      <c r="AG501" s="173" t="s">
        <v>1442</v>
      </c>
      <c r="AH501" s="281" t="s">
        <v>560</v>
      </c>
      <c r="AI501" s="174" t="s">
        <v>1380</v>
      </c>
      <c r="AJ501" s="305" t="s">
        <v>3802</v>
      </c>
      <c r="AK501" s="181" t="str">
        <f t="shared" ca="1" si="97"/>
        <v>TERMINO</v>
      </c>
      <c r="AL501" s="310" t="s">
        <v>576</v>
      </c>
      <c r="AM501" s="433" t="s">
        <v>390</v>
      </c>
      <c r="AN501" s="848" t="str">
        <f>IFERROR(VLOOKUP(E501,'liquidaciones '!$B$2:$C$1048576,2,0),"NO")</f>
        <v>NO</v>
      </c>
      <c r="AO501" s="944" t="str">
        <f>IFERROR(VLOOKUP(E501,'liquidaciones '!$B$2:$I$1048576,8,0),"")</f>
        <v/>
      </c>
      <c r="AP501" s="433"/>
      <c r="AQ501" s="433" t="s">
        <v>390</v>
      </c>
      <c r="AR501" s="433" t="s">
        <v>3823</v>
      </c>
      <c r="AS501" s="433" t="s">
        <v>3822</v>
      </c>
      <c r="AT501" s="966" t="s">
        <v>560</v>
      </c>
      <c r="AU501" s="964"/>
      <c r="AV501" s="964"/>
    </row>
    <row r="502" spans="3:48" ht="22.5" x14ac:dyDescent="0.25">
      <c r="C502" s="896">
        <v>169</v>
      </c>
      <c r="D502" s="896"/>
      <c r="E502" s="897" t="s">
        <v>2870</v>
      </c>
      <c r="F502" s="578" t="s">
        <v>2423</v>
      </c>
      <c r="G502" s="903">
        <v>800249557</v>
      </c>
      <c r="H502" s="1003" t="s">
        <v>2871</v>
      </c>
      <c r="I502" s="910">
        <v>4300000</v>
      </c>
      <c r="J502" s="873" t="s">
        <v>2870</v>
      </c>
      <c r="K502" s="295">
        <v>2017</v>
      </c>
      <c r="L502" s="546">
        <v>42837</v>
      </c>
      <c r="M502" s="870">
        <v>42849</v>
      </c>
      <c r="N502" s="870">
        <v>43002</v>
      </c>
      <c r="O502" s="127">
        <f>COUNTA(Modificaciones!I488,Modificaciones!K488,Modificaciones!M488,Modificaciones!O488)</f>
        <v>1</v>
      </c>
      <c r="P502" s="128">
        <f>VLOOKUP(E502,Modificaciones!$B$7:$Q$503,16,0)</f>
        <v>0</v>
      </c>
      <c r="Q502" s="129">
        <f>COUNTA(Modificaciones!S502,Modificaciones!U502,Modificaciones!W502,Modificaciones!Y502)</f>
        <v>0</v>
      </c>
      <c r="R502" s="130" t="str">
        <f>IF(Modificaciones!Z502=0,"",VLOOKUP(E502,Modificaciones!$B$7:$AA$500,25,0))</f>
        <v/>
      </c>
      <c r="S502" s="131" t="str">
        <f>IF(Modificaciones!AA502=0,"",VLOOKUP(E502,Modificaciones!$B$7:$AA$500,26,0))</f>
        <v/>
      </c>
      <c r="T502" s="855">
        <f t="shared" si="91"/>
        <v>43002</v>
      </c>
      <c r="U502" s="62">
        <f t="shared" si="92"/>
        <v>4300000</v>
      </c>
      <c r="V502" s="172">
        <f>VLOOKUP(E502,Modificaciones!$B$7:$AU$502,46,0)</f>
        <v>4300000</v>
      </c>
      <c r="W502" s="93">
        <f t="shared" si="90"/>
        <v>0</v>
      </c>
      <c r="X502" s="309" t="s">
        <v>1895</v>
      </c>
      <c r="Y502" s="852">
        <f t="shared" si="93"/>
        <v>1</v>
      </c>
      <c r="Z502" s="42">
        <f t="shared" ca="1" si="94"/>
        <v>1</v>
      </c>
      <c r="AA502" s="43">
        <f t="shared" ca="1" si="95"/>
        <v>0</v>
      </c>
      <c r="AB502" s="202" t="str">
        <f t="shared" ca="1" si="96"/>
        <v/>
      </c>
      <c r="AC502" s="44" t="str">
        <f t="shared" si="100"/>
        <v>SI</v>
      </c>
      <c r="AD502" s="868"/>
      <c r="AE502" s="173" t="s">
        <v>1256</v>
      </c>
      <c r="AF502" s="281" t="s">
        <v>1291</v>
      </c>
      <c r="AG502" s="173"/>
      <c r="AH502" s="281" t="s">
        <v>564</v>
      </c>
      <c r="AI502" s="305"/>
      <c r="AJ502" s="305" t="s">
        <v>2834</v>
      </c>
      <c r="AK502" s="181" t="str">
        <f t="shared" ca="1" si="97"/>
        <v>TERMINO</v>
      </c>
      <c r="AL502" s="310" t="s">
        <v>582</v>
      </c>
      <c r="AM502" s="433" t="s">
        <v>391</v>
      </c>
      <c r="AN502" s="848" t="str">
        <f>IFERROR(VLOOKUP(E502,'liquidaciones '!$B$2:$C$1048576,2,0),"NO")</f>
        <v>LIQUIDADO</v>
      </c>
      <c r="AO502" s="944">
        <f>IFERROR(VLOOKUP(E502,'liquidaciones '!$B$2:$I$1048576,8,0),"")</f>
        <v>0</v>
      </c>
      <c r="AP502" s="433"/>
      <c r="AQ502" s="433" t="s">
        <v>390</v>
      </c>
      <c r="AR502" s="177" t="s">
        <v>2965</v>
      </c>
      <c r="AS502" s="433"/>
      <c r="AT502" s="966" t="s">
        <v>3947</v>
      </c>
      <c r="AU502" s="964"/>
      <c r="AV502" s="964"/>
    </row>
    <row r="503" spans="3:48" ht="45" x14ac:dyDescent="0.25">
      <c r="C503" s="867">
        <v>152</v>
      </c>
      <c r="D503" s="867"/>
      <c r="E503" s="868" t="s">
        <v>2875</v>
      </c>
      <c r="F503" s="441" t="s">
        <v>2876</v>
      </c>
      <c r="G503" s="906">
        <v>86058835</v>
      </c>
      <c r="H503" s="1003" t="s">
        <v>2877</v>
      </c>
      <c r="I503" s="910">
        <v>54000000</v>
      </c>
      <c r="J503" s="873" t="s">
        <v>2875</v>
      </c>
      <c r="K503" s="295">
        <v>2017</v>
      </c>
      <c r="L503" s="546">
        <v>42846</v>
      </c>
      <c r="M503" s="870">
        <v>42849</v>
      </c>
      <c r="N503" s="870">
        <v>43155</v>
      </c>
      <c r="O503" s="127">
        <f>COUNTA(Modificaciones!I489,Modificaciones!K489,Modificaciones!M489,Modificaciones!O489)</f>
        <v>0</v>
      </c>
      <c r="P503" s="128">
        <f>VLOOKUP(E503,Modificaciones!$B$7:$Q$504,16,0)</f>
        <v>22500000</v>
      </c>
      <c r="Q503" s="129">
        <f>COUNTA(Modificaciones!S503,Modificaciones!U503,Modificaciones!W503,Modificaciones!Y503)</f>
        <v>1</v>
      </c>
      <c r="R503" s="130" t="str">
        <f>IF(Modificaciones!Z503=0,"",VLOOKUP(E503,Modificaciones!$B$7:$AA$1419,25,0))</f>
        <v>4 meses y 5 días</v>
      </c>
      <c r="S503" s="131">
        <f>IF(Modificaciones!AA503=0,"",VLOOKUP(E503,Modificaciones!$B$7:$AA$1419,26,0))</f>
        <v>43280</v>
      </c>
      <c r="T503" s="855">
        <f t="shared" si="91"/>
        <v>43280</v>
      </c>
      <c r="U503" s="62">
        <f t="shared" si="92"/>
        <v>76500000</v>
      </c>
      <c r="V503" s="172">
        <f>VLOOKUP(E503,Modificaciones!$B$7:$AU$503,46,0)</f>
        <v>76500000</v>
      </c>
      <c r="W503" s="93">
        <f t="shared" si="90"/>
        <v>0</v>
      </c>
      <c r="X503" s="309" t="s">
        <v>1095</v>
      </c>
      <c r="Y503" s="852">
        <f t="shared" si="93"/>
        <v>1</v>
      </c>
      <c r="Z503" s="42">
        <f t="shared" ca="1" si="94"/>
        <v>1</v>
      </c>
      <c r="AA503" s="43">
        <f t="shared" ca="1" si="95"/>
        <v>0</v>
      </c>
      <c r="AB503" s="202" t="str">
        <f t="shared" ca="1" si="96"/>
        <v/>
      </c>
      <c r="AC503" s="44" t="str">
        <f t="shared" si="100"/>
        <v>SI</v>
      </c>
      <c r="AD503" s="760" t="s">
        <v>2898</v>
      </c>
      <c r="AE503" s="173" t="s">
        <v>1256</v>
      </c>
      <c r="AF503" s="281" t="s">
        <v>2171</v>
      </c>
      <c r="AG503" s="173"/>
      <c r="AH503" s="281" t="s">
        <v>559</v>
      </c>
      <c r="AI503" s="305"/>
      <c r="AJ503" s="305" t="s">
        <v>2834</v>
      </c>
      <c r="AK503" s="181" t="str">
        <f t="shared" ca="1" si="97"/>
        <v>TERMINO</v>
      </c>
      <c r="AL503" s="310" t="s">
        <v>582</v>
      </c>
      <c r="AM503" s="433" t="s">
        <v>391</v>
      </c>
      <c r="AN503" s="848" t="str">
        <f>IFERROR(VLOOKUP(E503,'liquidaciones '!$B$2:$C$1048576,2,0),"NO")</f>
        <v>NO</v>
      </c>
      <c r="AO503" s="944" t="str">
        <f>IFERROR(VLOOKUP(E503,'liquidaciones '!$B$2:$I$1048576,8,0),"")</f>
        <v/>
      </c>
      <c r="AP503" s="433"/>
      <c r="AQ503" s="433" t="s">
        <v>390</v>
      </c>
      <c r="AR503" s="433" t="s">
        <v>1510</v>
      </c>
      <c r="AS503" s="433"/>
      <c r="AT503" s="966" t="s">
        <v>3947</v>
      </c>
      <c r="AU503" s="964"/>
      <c r="AV503" s="964"/>
    </row>
    <row r="504" spans="3:48" ht="45" x14ac:dyDescent="0.25">
      <c r="C504" s="867">
        <v>158</v>
      </c>
      <c r="D504" s="867"/>
      <c r="E504" s="868" t="s">
        <v>2878</v>
      </c>
      <c r="F504" s="441" t="s">
        <v>2044</v>
      </c>
      <c r="G504" s="906">
        <v>35493364</v>
      </c>
      <c r="H504" s="1003" t="s">
        <v>2879</v>
      </c>
      <c r="I504" s="910">
        <v>51300000</v>
      </c>
      <c r="J504" s="873" t="s">
        <v>2878</v>
      </c>
      <c r="K504" s="295">
        <v>2017</v>
      </c>
      <c r="L504" s="546">
        <v>42849</v>
      </c>
      <c r="M504" s="870">
        <v>42850</v>
      </c>
      <c r="N504" s="870">
        <v>43125</v>
      </c>
      <c r="O504" s="127">
        <f>COUNTA(Modificaciones!I490,Modificaciones!K490,Modificaciones!M490,Modificaciones!O490)</f>
        <v>0</v>
      </c>
      <c r="P504" s="128">
        <f>VLOOKUP(E504,Modificaciones!$B$7:$Q$504,16,0)</f>
        <v>25650000</v>
      </c>
      <c r="Q504" s="129">
        <f>COUNTA(Modificaciones!S504,Modificaciones!U504,Modificaciones!W504,Modificaciones!Y504)</f>
        <v>1</v>
      </c>
      <c r="R504" s="130" t="str">
        <f>IF(Modificaciones!Z504=0,"",VLOOKUP(E504,Modificaciones!$B$7:$AA$1419,25,0))</f>
        <v>4 meses y 15 días</v>
      </c>
      <c r="S504" s="131">
        <f>IF(Modificaciones!AA504=0,"",VLOOKUP(E504,Modificaciones!$B$7:$AA$1419,26,0))</f>
        <v>43260</v>
      </c>
      <c r="T504" s="855">
        <f t="shared" si="91"/>
        <v>43260</v>
      </c>
      <c r="U504" s="62">
        <f t="shared" si="92"/>
        <v>76950000</v>
      </c>
      <c r="V504" s="172">
        <f>VLOOKUP(E504,Modificaciones!$B$7:$AU$504,46,0)</f>
        <v>76950000</v>
      </c>
      <c r="W504" s="93">
        <f t="shared" si="90"/>
        <v>0</v>
      </c>
      <c r="X504" s="309" t="s">
        <v>2527</v>
      </c>
      <c r="Y504" s="852">
        <f t="shared" si="93"/>
        <v>1</v>
      </c>
      <c r="Z504" s="42">
        <f t="shared" ca="1" si="94"/>
        <v>1</v>
      </c>
      <c r="AA504" s="43">
        <f t="shared" ca="1" si="95"/>
        <v>0</v>
      </c>
      <c r="AB504" s="202" t="str">
        <f t="shared" ca="1" si="96"/>
        <v/>
      </c>
      <c r="AC504" s="44" t="str">
        <f t="shared" si="100"/>
        <v>SI</v>
      </c>
      <c r="AD504" s="760" t="s">
        <v>2898</v>
      </c>
      <c r="AE504" s="173" t="s">
        <v>1256</v>
      </c>
      <c r="AF504" s="173" t="s">
        <v>2526</v>
      </c>
      <c r="AG504" s="173"/>
      <c r="AH504" s="281" t="s">
        <v>560</v>
      </c>
      <c r="AI504" s="868"/>
      <c r="AJ504" s="305" t="s">
        <v>2834</v>
      </c>
      <c r="AK504" s="181" t="str">
        <f t="shared" ca="1" si="97"/>
        <v>TERMINO</v>
      </c>
      <c r="AL504" s="181" t="s">
        <v>576</v>
      </c>
      <c r="AM504" s="176" t="s">
        <v>391</v>
      </c>
      <c r="AN504" s="848" t="str">
        <f>IFERROR(VLOOKUP(E504,'liquidaciones '!$B$2:$C$1048576,2,0),"NO")</f>
        <v>NO</v>
      </c>
      <c r="AO504" s="944" t="str">
        <f>IFERROR(VLOOKUP(E504,'liquidaciones '!$B$2:$I$1048576,8,0),"")</f>
        <v/>
      </c>
      <c r="AP504" s="433"/>
      <c r="AQ504" s="177" t="s">
        <v>390</v>
      </c>
      <c r="AR504" s="433" t="s">
        <v>3055</v>
      </c>
      <c r="AS504" s="433"/>
      <c r="AT504" s="966" t="s">
        <v>560</v>
      </c>
      <c r="AU504" s="964"/>
      <c r="AV504" s="964"/>
    </row>
    <row r="505" spans="3:48" ht="49.5" customHeight="1" x14ac:dyDescent="0.25">
      <c r="C505" s="867"/>
      <c r="D505" s="867"/>
      <c r="E505" s="868" t="s">
        <v>2880</v>
      </c>
      <c r="F505" s="441" t="s">
        <v>2362</v>
      </c>
      <c r="G505" s="906">
        <v>800103052</v>
      </c>
      <c r="H505" s="1003" t="s">
        <v>2909</v>
      </c>
      <c r="I505" s="910">
        <v>208669579</v>
      </c>
      <c r="J505" s="873" t="s">
        <v>2910</v>
      </c>
      <c r="K505" s="295">
        <v>2017</v>
      </c>
      <c r="L505" s="546">
        <v>42794</v>
      </c>
      <c r="M505" s="870">
        <v>42857</v>
      </c>
      <c r="N505" s="870">
        <v>43100</v>
      </c>
      <c r="O505" s="127">
        <f>COUNTA(Modificaciones!I491,Modificaciones!K491,Modificaciones!M491,Modificaciones!O491)</f>
        <v>0</v>
      </c>
      <c r="P505" s="128">
        <f>VLOOKUP(E505,Modificaciones!$B$7:$Q$505,16,0)</f>
        <v>0</v>
      </c>
      <c r="Q505" s="129">
        <f>COUNTA(Modificaciones!S505,Modificaciones!U505,Modificaciones!W505,Modificaciones!Y505)</f>
        <v>0</v>
      </c>
      <c r="R505" s="130" t="str">
        <f>IF(Modificaciones!Z505=0,"",VLOOKUP(E505,Modificaciones!$B$7:$AA$500,25,0))</f>
        <v/>
      </c>
      <c r="S505" s="131" t="str">
        <f>IF(Modificaciones!AA505=0,"",VLOOKUP(E505,Modificaciones!$B$7:$AA$500,26,0))</f>
        <v/>
      </c>
      <c r="T505" s="855">
        <f t="shared" si="91"/>
        <v>43100</v>
      </c>
      <c r="U505" s="62">
        <f t="shared" si="92"/>
        <v>208669579</v>
      </c>
      <c r="V505" s="172">
        <f>VLOOKUP(E505,Modificaciones!$B$7:$AU$505,46,0)</f>
        <v>208669579</v>
      </c>
      <c r="W505" s="93">
        <f t="shared" si="90"/>
        <v>0</v>
      </c>
      <c r="X505" s="309"/>
      <c r="Y505" s="852">
        <f t="shared" si="93"/>
        <v>1</v>
      </c>
      <c r="Z505" s="42">
        <f t="shared" ca="1" si="94"/>
        <v>1</v>
      </c>
      <c r="AA505" s="43">
        <f t="shared" ca="1" si="95"/>
        <v>0</v>
      </c>
      <c r="AB505" s="202" t="str">
        <f t="shared" ca="1" si="96"/>
        <v/>
      </c>
      <c r="AC505" s="44" t="str">
        <f t="shared" si="100"/>
        <v>SI</v>
      </c>
      <c r="AD505" s="760" t="s">
        <v>1710</v>
      </c>
      <c r="AE505" s="173" t="s">
        <v>1257</v>
      </c>
      <c r="AF505" s="281" t="s">
        <v>2262</v>
      </c>
      <c r="AG505" s="173" t="s">
        <v>1439</v>
      </c>
      <c r="AH505" s="281" t="s">
        <v>560</v>
      </c>
      <c r="AI505" s="305" t="s">
        <v>1509</v>
      </c>
      <c r="AJ505" s="305" t="s">
        <v>3802</v>
      </c>
      <c r="AK505" s="181" t="str">
        <f t="shared" ca="1" si="97"/>
        <v>TERMINO</v>
      </c>
      <c r="AL505" s="441" t="s">
        <v>2911</v>
      </c>
      <c r="AM505" s="433"/>
      <c r="AN505" s="848" t="str">
        <f>IFERROR(VLOOKUP(E505,'liquidaciones '!$B$2:$C$1048576,2,0),"NO")</f>
        <v>LIQUIDADO</v>
      </c>
      <c r="AO505" s="944">
        <f>IFERROR(VLOOKUP(E505,'liquidaciones '!$B$2:$I$1048576,8,0),"")</f>
        <v>0</v>
      </c>
      <c r="AP505" s="433"/>
      <c r="AQ505" s="177" t="s">
        <v>390</v>
      </c>
      <c r="AR505" s="177" t="s">
        <v>2907</v>
      </c>
      <c r="AS505" s="433" t="s">
        <v>3785</v>
      </c>
      <c r="AT505" s="966" t="s">
        <v>560</v>
      </c>
      <c r="AU505" s="964"/>
      <c r="AV505" s="964"/>
    </row>
    <row r="506" spans="3:48" ht="56.25" x14ac:dyDescent="0.25">
      <c r="C506" s="867">
        <v>141</v>
      </c>
      <c r="D506" s="867"/>
      <c r="E506" s="868" t="s">
        <v>2881</v>
      </c>
      <c r="F506" s="441" t="s">
        <v>2882</v>
      </c>
      <c r="G506" s="906">
        <v>41782234</v>
      </c>
      <c r="H506" s="1003" t="s">
        <v>2883</v>
      </c>
      <c r="I506" s="910">
        <v>57000000</v>
      </c>
      <c r="J506" s="873" t="s">
        <v>2881</v>
      </c>
      <c r="K506" s="295">
        <v>2017</v>
      </c>
      <c r="L506" s="546">
        <v>42844</v>
      </c>
      <c r="M506" s="870">
        <v>42846</v>
      </c>
      <c r="N506" s="870">
        <v>43152</v>
      </c>
      <c r="O506" s="127">
        <f>COUNTA(Modificaciones!I492,Modificaciones!K492,Modificaciones!M492,Modificaciones!O492)</f>
        <v>0</v>
      </c>
      <c r="P506" s="128">
        <f>VLOOKUP(E506,Modificaciones!$B$7:$Q$506,16,0)</f>
        <v>24320000</v>
      </c>
      <c r="Q506" s="129">
        <f>COUNTA(Modificaciones!S506,Modificaciones!U506,Modificaciones!W506,Modificaciones!Y506)</f>
        <v>1</v>
      </c>
      <c r="R506" s="130" t="str">
        <f>IF(Modificaciones!Z506=0,"",VLOOKUP(E506,Modificaciones!$B$7:$AA$1419,25,0))</f>
        <v>Cuatro (4) meses y 8 días calendario</v>
      </c>
      <c r="S506" s="131">
        <f>IF(Modificaciones!AA506=0,"",VLOOKUP(E506,Modificaciones!$B$7:$AA$1419,26,0))</f>
        <v>43280</v>
      </c>
      <c r="T506" s="855">
        <f t="shared" si="91"/>
        <v>43280</v>
      </c>
      <c r="U506" s="62">
        <f t="shared" si="92"/>
        <v>81320000</v>
      </c>
      <c r="V506" s="172">
        <f>VLOOKUP(E506,Modificaciones!$B$7:$AU$506,46,0)</f>
        <v>81320000</v>
      </c>
      <c r="W506" s="93">
        <f t="shared" ref="W506:W569" si="101">U506-V506</f>
        <v>0</v>
      </c>
      <c r="X506" s="309" t="s">
        <v>1095</v>
      </c>
      <c r="Y506" s="852">
        <f t="shared" si="93"/>
        <v>1</v>
      </c>
      <c r="Z506" s="42">
        <f t="shared" ca="1" si="94"/>
        <v>1</v>
      </c>
      <c r="AA506" s="43">
        <f t="shared" ca="1" si="95"/>
        <v>0</v>
      </c>
      <c r="AB506" s="202" t="str">
        <f t="shared" ca="1" si="96"/>
        <v/>
      </c>
      <c r="AC506" s="44" t="str">
        <f t="shared" si="100"/>
        <v>SI</v>
      </c>
      <c r="AD506" s="760" t="s">
        <v>2898</v>
      </c>
      <c r="AE506" s="173" t="s">
        <v>1256</v>
      </c>
      <c r="AF506" s="281" t="s">
        <v>2463</v>
      </c>
      <c r="AG506" s="173" t="s">
        <v>1437</v>
      </c>
      <c r="AH506" s="281" t="s">
        <v>561</v>
      </c>
      <c r="AI506" s="305"/>
      <c r="AJ506" s="305" t="s">
        <v>3803</v>
      </c>
      <c r="AK506" s="181" t="str">
        <f t="shared" ca="1" si="97"/>
        <v>TERMINO</v>
      </c>
      <c r="AL506" s="181" t="s">
        <v>582</v>
      </c>
      <c r="AM506" s="176" t="s">
        <v>391</v>
      </c>
      <c r="AN506" s="848" t="str">
        <f>IFERROR(VLOOKUP(E506,'liquidaciones '!$B$2:$C$1048576,2,0),"NO")</f>
        <v>NO</v>
      </c>
      <c r="AO506" s="944" t="str">
        <f>IFERROR(VLOOKUP(E506,'liquidaciones '!$B$2:$I$1048576,8,0),"")</f>
        <v/>
      </c>
      <c r="AP506" s="338"/>
      <c r="AQ506" s="177" t="str">
        <f ca="1">IF((TODAY()-T506&lt;900),"SI","NO")</f>
        <v>SI</v>
      </c>
      <c r="AR506" s="433" t="s">
        <v>1510</v>
      </c>
      <c r="AS506" s="433"/>
      <c r="AT506" s="966" t="s">
        <v>4188</v>
      </c>
      <c r="AU506" s="964"/>
      <c r="AV506" s="964"/>
    </row>
    <row r="507" spans="3:48" ht="30" x14ac:dyDescent="0.25">
      <c r="C507" s="867">
        <v>184</v>
      </c>
      <c r="D507" s="867"/>
      <c r="E507" s="868" t="s">
        <v>2884</v>
      </c>
      <c r="F507" s="441" t="s">
        <v>2885</v>
      </c>
      <c r="G507" s="906">
        <v>800084124</v>
      </c>
      <c r="H507" s="1003" t="s">
        <v>3047</v>
      </c>
      <c r="I507" s="910">
        <v>39000000</v>
      </c>
      <c r="J507" s="873" t="s">
        <v>2901</v>
      </c>
      <c r="K507" s="295">
        <v>2017</v>
      </c>
      <c r="L507" s="546">
        <v>42823</v>
      </c>
      <c r="M507" s="870">
        <v>42846</v>
      </c>
      <c r="N507" s="870">
        <v>43186</v>
      </c>
      <c r="O507" s="127">
        <f>COUNTA(Modificaciones!I493,Modificaciones!K493,Modificaciones!M493,Modificaciones!O493)</f>
        <v>0</v>
      </c>
      <c r="P507" s="128">
        <f>VLOOKUP(E507,Modificaciones!$B$7:$Q$507,16,0)</f>
        <v>0</v>
      </c>
      <c r="Q507" s="129">
        <f>COUNTA(Modificaciones!S507,Modificaciones!U507,Modificaciones!W507,Modificaciones!Y507)</f>
        <v>1</v>
      </c>
      <c r="R507" s="130" t="str">
        <f>IF(Modificaciones!Z507=0,"",VLOOKUP(E507,Modificaciones!$B$7:$AA$1419,25,0))</f>
        <v>30 días</v>
      </c>
      <c r="S507" s="131">
        <f>IF(Modificaciones!AA507=0,"",VLOOKUP(E507,Modificaciones!$B$7:$AA$1419,26,0))</f>
        <v>43216</v>
      </c>
      <c r="T507" s="855">
        <f t="shared" si="91"/>
        <v>43216</v>
      </c>
      <c r="U507" s="62">
        <f t="shared" si="92"/>
        <v>39000000</v>
      </c>
      <c r="V507" s="172">
        <f>VLOOKUP(E507,Modificaciones!$B$7:$AU$507,46,0)</f>
        <v>8712261</v>
      </c>
      <c r="W507" s="93">
        <f t="shared" si="101"/>
        <v>30287739</v>
      </c>
      <c r="X507" s="309" t="s">
        <v>1095</v>
      </c>
      <c r="Y507" s="852">
        <f t="shared" si="93"/>
        <v>0.22339130769230769</v>
      </c>
      <c r="Z507" s="42">
        <f t="shared" ca="1" si="94"/>
        <v>1</v>
      </c>
      <c r="AA507" s="43">
        <f t="shared" ca="1" si="95"/>
        <v>0.77660869230769225</v>
      </c>
      <c r="AB507" s="202" t="str">
        <f t="shared" ca="1" si="96"/>
        <v/>
      </c>
      <c r="AC507" s="44" t="str">
        <f t="shared" si="100"/>
        <v>NO</v>
      </c>
      <c r="AD507" s="760" t="s">
        <v>1710</v>
      </c>
      <c r="AE507" s="173" t="s">
        <v>1256</v>
      </c>
      <c r="AF507" s="281" t="s">
        <v>1126</v>
      </c>
      <c r="AG507" s="173" t="s">
        <v>1442</v>
      </c>
      <c r="AH507" s="281" t="s">
        <v>560</v>
      </c>
      <c r="AI507" s="174" t="s">
        <v>1319</v>
      </c>
      <c r="AJ507" s="305" t="s">
        <v>2834</v>
      </c>
      <c r="AK507" s="181" t="str">
        <f t="shared" ca="1" si="97"/>
        <v>TERMINO</v>
      </c>
      <c r="AL507" s="310" t="s">
        <v>576</v>
      </c>
      <c r="AM507" s="176" t="s">
        <v>390</v>
      </c>
      <c r="AN507" s="848" t="str">
        <f>IFERROR(VLOOKUP(E507,'liquidaciones '!$B$2:$C$1048576,2,0),"NO")</f>
        <v>LIQUIDADO</v>
      </c>
      <c r="AO507" s="944">
        <f>IFERROR(VLOOKUP(E507,'liquidaciones '!$B$2:$I$1048576,8,0),"")</f>
        <v>0</v>
      </c>
      <c r="AP507" s="433"/>
      <c r="AQ507" s="177" t="str">
        <f ca="1">IF((TODAY()-T507&lt;900),"SI","NO")</f>
        <v>SI</v>
      </c>
      <c r="AR507" s="433" t="s">
        <v>1510</v>
      </c>
      <c r="AS507" s="433" t="s">
        <v>3787</v>
      </c>
      <c r="AT507" s="966" t="s">
        <v>3947</v>
      </c>
      <c r="AU507" s="964"/>
      <c r="AV507" s="964"/>
    </row>
    <row r="508" spans="3:48" ht="33.75" x14ac:dyDescent="0.25">
      <c r="C508" s="867">
        <v>148</v>
      </c>
      <c r="D508" s="867"/>
      <c r="E508" s="868" t="s">
        <v>2886</v>
      </c>
      <c r="F508" s="441" t="s">
        <v>2452</v>
      </c>
      <c r="G508" s="906">
        <v>41758887</v>
      </c>
      <c r="H508" s="1003" t="s">
        <v>3048</v>
      </c>
      <c r="I508" s="910">
        <v>51300000</v>
      </c>
      <c r="J508" s="873" t="s">
        <v>2886</v>
      </c>
      <c r="K508" s="295">
        <v>2017</v>
      </c>
      <c r="L508" s="546">
        <v>42846</v>
      </c>
      <c r="M508" s="870">
        <v>42850</v>
      </c>
      <c r="N508" s="870">
        <v>43125</v>
      </c>
      <c r="O508" s="127">
        <f>COUNTA(Modificaciones!I494,Modificaciones!K494,Modificaciones!M494,Modificaciones!O494)</f>
        <v>0</v>
      </c>
      <c r="P508" s="128">
        <f>VLOOKUP(E508,Modificaciones!$B$7:$Q$508,16,0)</f>
        <v>25650000</v>
      </c>
      <c r="Q508" s="129">
        <f>COUNTA(Modificaciones!S508,Modificaciones!U508,Modificaciones!W508,Modificaciones!Y508)</f>
        <v>1</v>
      </c>
      <c r="R508" s="130" t="str">
        <f>IF(Modificaciones!Z508=0,"",VLOOKUP(E508,Modificaciones!$B$7:$AA$1419,25,0))</f>
        <v>4 meses y 15 días calendario</v>
      </c>
      <c r="S508" s="131">
        <f>IF(Modificaciones!AA508=0,"",VLOOKUP(E508,Modificaciones!$B$7:$AA$1419,26,0))</f>
        <v>43260</v>
      </c>
      <c r="T508" s="855">
        <f t="shared" si="91"/>
        <v>43260</v>
      </c>
      <c r="U508" s="62">
        <f t="shared" si="92"/>
        <v>76950000</v>
      </c>
      <c r="V508" s="172">
        <f>VLOOKUP(E508,Modificaciones!$B$7:$AU$508,46,0)</f>
        <v>76950000</v>
      </c>
      <c r="W508" s="93">
        <f t="shared" si="101"/>
        <v>0</v>
      </c>
      <c r="X508" s="309" t="s">
        <v>1095</v>
      </c>
      <c r="Y508" s="852">
        <f t="shared" si="93"/>
        <v>1</v>
      </c>
      <c r="Z508" s="42">
        <f t="shared" ca="1" si="94"/>
        <v>1</v>
      </c>
      <c r="AA508" s="43">
        <f t="shared" ca="1" si="95"/>
        <v>0</v>
      </c>
      <c r="AB508" s="202" t="str">
        <f t="shared" ca="1" si="96"/>
        <v/>
      </c>
      <c r="AC508" s="44" t="str">
        <f t="shared" si="100"/>
        <v>SI</v>
      </c>
      <c r="AD508" s="760" t="s">
        <v>2898</v>
      </c>
      <c r="AE508" s="173" t="s">
        <v>1256</v>
      </c>
      <c r="AF508" s="281" t="s">
        <v>2057</v>
      </c>
      <c r="AG508" s="173" t="s">
        <v>1177</v>
      </c>
      <c r="AH508" s="281" t="s">
        <v>559</v>
      </c>
      <c r="AI508" s="305" t="s">
        <v>2168</v>
      </c>
      <c r="AJ508" s="305" t="s">
        <v>2834</v>
      </c>
      <c r="AK508" s="181" t="str">
        <f t="shared" ca="1" si="97"/>
        <v>TERMINO</v>
      </c>
      <c r="AL508" s="310" t="s">
        <v>582</v>
      </c>
      <c r="AM508" s="433" t="s">
        <v>391</v>
      </c>
      <c r="AN508" s="848" t="str">
        <f>IFERROR(VLOOKUP(E508,'liquidaciones '!$B$2:$C$1048576,2,0),"NO")</f>
        <v>NO</v>
      </c>
      <c r="AO508" s="944" t="str">
        <f>IFERROR(VLOOKUP(E508,'liquidaciones '!$B$2:$I$1048576,8,0),"")</f>
        <v/>
      </c>
      <c r="AP508" s="433"/>
      <c r="AQ508" s="177" t="str">
        <f ca="1">IF((TODAY()-T508&lt;900),"SI","NO")</f>
        <v>SI</v>
      </c>
      <c r="AR508" s="433" t="s">
        <v>3055</v>
      </c>
      <c r="AS508" s="433"/>
      <c r="AT508" s="966" t="s">
        <v>3947</v>
      </c>
      <c r="AU508" s="964"/>
      <c r="AV508" s="964"/>
    </row>
    <row r="509" spans="3:48" ht="45" x14ac:dyDescent="0.25">
      <c r="C509" s="867">
        <v>157</v>
      </c>
      <c r="D509" s="867"/>
      <c r="E509" s="868" t="s">
        <v>2887</v>
      </c>
      <c r="F509" s="441" t="s">
        <v>3903</v>
      </c>
      <c r="G509" s="906">
        <v>63548489</v>
      </c>
      <c r="H509" s="1003" t="s">
        <v>2888</v>
      </c>
      <c r="I509" s="910">
        <v>51300000</v>
      </c>
      <c r="J509" s="873" t="s">
        <v>2887</v>
      </c>
      <c r="K509" s="295">
        <v>2017</v>
      </c>
      <c r="L509" s="546">
        <v>42849</v>
      </c>
      <c r="M509" s="870">
        <v>42851</v>
      </c>
      <c r="N509" s="870">
        <v>43126</v>
      </c>
      <c r="O509" s="127">
        <f>COUNTA(Modificaciones!I495,Modificaciones!K495,Modificaciones!M495,Modificaciones!O495)</f>
        <v>0</v>
      </c>
      <c r="P509" s="128">
        <f>VLOOKUP(E509,Modificaciones!$B$7:$Q$509,16,0)</f>
        <v>25650000</v>
      </c>
      <c r="Q509" s="129">
        <f>COUNTA(Modificaciones!S509,Modificaciones!U509,Modificaciones!W509,Modificaciones!Y509)</f>
        <v>1</v>
      </c>
      <c r="R509" s="130" t="str">
        <f>IF(Modificaciones!Z509=0,"",VLOOKUP(E509,Modificaciones!$B$7:$AA$1419,25,0))</f>
        <v>4 meses y 15 días calendario</v>
      </c>
      <c r="S509" s="131">
        <f>IF(Modificaciones!AA509=0,"",VLOOKUP(E509,Modificaciones!$B$7:$AA$1419,26,0))</f>
        <v>43261</v>
      </c>
      <c r="T509" s="855">
        <f t="shared" si="91"/>
        <v>43261</v>
      </c>
      <c r="U509" s="62">
        <f t="shared" si="92"/>
        <v>76950000</v>
      </c>
      <c r="V509" s="172">
        <f>VLOOKUP(E509,Modificaciones!$B$7:$AU$509,46,0)</f>
        <v>75810000</v>
      </c>
      <c r="W509" s="93">
        <f t="shared" si="101"/>
        <v>1140000</v>
      </c>
      <c r="X509" s="309" t="s">
        <v>1095</v>
      </c>
      <c r="Y509" s="852">
        <f t="shared" si="93"/>
        <v>0.98518518518518516</v>
      </c>
      <c r="Z509" s="42">
        <f t="shared" ca="1" si="94"/>
        <v>1</v>
      </c>
      <c r="AA509" s="43">
        <f t="shared" ca="1" si="95"/>
        <v>1.4814814814814836E-2</v>
      </c>
      <c r="AB509" s="202" t="str">
        <f t="shared" ca="1" si="96"/>
        <v/>
      </c>
      <c r="AC509" s="44" t="str">
        <f t="shared" si="100"/>
        <v>NO</v>
      </c>
      <c r="AD509" s="760" t="s">
        <v>2898</v>
      </c>
      <c r="AE509" s="173" t="s">
        <v>1256</v>
      </c>
      <c r="AF509" s="173" t="s">
        <v>2496</v>
      </c>
      <c r="AG509" s="173" t="s">
        <v>1430</v>
      </c>
      <c r="AH509" s="281" t="s">
        <v>564</v>
      </c>
      <c r="AI509" s="305"/>
      <c r="AJ509" s="305" t="s">
        <v>2834</v>
      </c>
      <c r="AK509" s="181" t="str">
        <f t="shared" ca="1" si="97"/>
        <v>TERMINO</v>
      </c>
      <c r="AL509" s="310" t="s">
        <v>582</v>
      </c>
      <c r="AM509" s="176" t="s">
        <v>391</v>
      </c>
      <c r="AN509" s="848" t="str">
        <f>IFERROR(VLOOKUP(E509,'liquidaciones '!$B$2:$C$1048576,2,0),"NO")</f>
        <v>EN TRÁMITE</v>
      </c>
      <c r="AO509" s="944" t="str">
        <f>IFERROR(VLOOKUP(E509,'liquidaciones '!$B$2:$I$1048576,8,0),"")</f>
        <v>JUAN DIEGO ESPITIA</v>
      </c>
      <c r="AP509" s="338"/>
      <c r="AQ509" s="177" t="str">
        <f ca="1">IF((TODAY()-T509&lt;900),"SI","NO")</f>
        <v>SI</v>
      </c>
      <c r="AR509" s="433" t="s">
        <v>3055</v>
      </c>
      <c r="AS509" s="433"/>
      <c r="AT509" s="966" t="s">
        <v>3928</v>
      </c>
      <c r="AU509" s="964"/>
      <c r="AV509" s="964"/>
    </row>
    <row r="510" spans="3:48" ht="67.5" x14ac:dyDescent="0.25">
      <c r="C510" s="867">
        <v>219</v>
      </c>
      <c r="D510" s="867"/>
      <c r="E510" s="868" t="s">
        <v>2889</v>
      </c>
      <c r="F510" s="441" t="s">
        <v>2796</v>
      </c>
      <c r="G510" s="906">
        <v>830016004</v>
      </c>
      <c r="H510" s="1003" t="s">
        <v>2890</v>
      </c>
      <c r="I510" s="910">
        <v>58228000</v>
      </c>
      <c r="J510" s="873" t="s">
        <v>2891</v>
      </c>
      <c r="K510" s="295">
        <v>2017</v>
      </c>
      <c r="L510" s="546">
        <v>42835</v>
      </c>
      <c r="M510" s="870">
        <v>42857</v>
      </c>
      <c r="N510" s="870">
        <v>42918</v>
      </c>
      <c r="O510" s="127">
        <f>COUNTA(Modificaciones!I496,Modificaciones!K496,Modificaciones!M496,Modificaciones!O496)</f>
        <v>0</v>
      </c>
      <c r="P510" s="128">
        <f>VLOOKUP(E510,Modificaciones!$B$7:$Q$510,16,0)</f>
        <v>0</v>
      </c>
      <c r="Q510" s="129">
        <f>COUNTA(Modificaciones!S510,Modificaciones!U510,Modificaciones!W510,Modificaciones!Y510)</f>
        <v>0</v>
      </c>
      <c r="R510" s="130" t="str">
        <f>IF(Modificaciones!Z510=0,"",VLOOKUP(E510,Modificaciones!$B$7:$AA$1419,25,0))</f>
        <v/>
      </c>
      <c r="S510" s="131" t="str">
        <f>IF(Modificaciones!AA510=0,"",VLOOKUP(E510,Modificaciones!$B$7:$AA$500,26,0))</f>
        <v/>
      </c>
      <c r="T510" s="855">
        <f t="shared" si="91"/>
        <v>42918</v>
      </c>
      <c r="U510" s="62">
        <f t="shared" si="92"/>
        <v>58228000</v>
      </c>
      <c r="V510" s="172">
        <f>VLOOKUP(E510,Modificaciones!$B$7:$AU$510,46,0)</f>
        <v>58228000</v>
      </c>
      <c r="W510" s="93">
        <f t="shared" si="101"/>
        <v>0</v>
      </c>
      <c r="X510" s="313" t="s">
        <v>2798</v>
      </c>
      <c r="Y510" s="852">
        <f t="shared" si="93"/>
        <v>1</v>
      </c>
      <c r="Z510" s="42">
        <f t="shared" ca="1" si="94"/>
        <v>1</v>
      </c>
      <c r="AA510" s="43">
        <f t="shared" ca="1" si="95"/>
        <v>0</v>
      </c>
      <c r="AB510" s="202" t="str">
        <f t="shared" ca="1" si="96"/>
        <v/>
      </c>
      <c r="AC510" s="44" t="str">
        <f t="shared" si="100"/>
        <v>SI</v>
      </c>
      <c r="AD510" s="868" t="s">
        <v>1712</v>
      </c>
      <c r="AE510" s="871" t="s">
        <v>1257</v>
      </c>
      <c r="AF510" s="871" t="s">
        <v>2808</v>
      </c>
      <c r="AG510" s="173" t="s">
        <v>1439</v>
      </c>
      <c r="AH510" s="281" t="s">
        <v>560</v>
      </c>
      <c r="AI510" s="305" t="s">
        <v>1509</v>
      </c>
      <c r="AJ510" s="305" t="s">
        <v>2834</v>
      </c>
      <c r="AK510" s="181" t="str">
        <f t="shared" ca="1" si="97"/>
        <v>TERMINO</v>
      </c>
      <c r="AL510" s="441" t="s">
        <v>2906</v>
      </c>
      <c r="AM510" s="433" t="s">
        <v>390</v>
      </c>
      <c r="AN510" s="848" t="str">
        <f>IFERROR(VLOOKUP(E510,'liquidaciones '!$B$2:$C$1048576,2,0),"NO")</f>
        <v>LIQUIDADO</v>
      </c>
      <c r="AO510" s="944">
        <f>IFERROR(VLOOKUP(E510,'liquidaciones '!$B$2:$I$1048576,8,0),"")</f>
        <v>0</v>
      </c>
      <c r="AP510" s="433"/>
      <c r="AQ510" s="177" t="s">
        <v>390</v>
      </c>
      <c r="AR510" s="177" t="s">
        <v>2907</v>
      </c>
      <c r="AS510" s="433"/>
      <c r="AT510" s="966"/>
      <c r="AU510" s="964"/>
      <c r="AV510" s="964"/>
    </row>
    <row r="511" spans="3:48" ht="45" x14ac:dyDescent="0.25">
      <c r="C511" s="867">
        <v>150</v>
      </c>
      <c r="D511" s="867"/>
      <c r="E511" s="868" t="s">
        <v>2892</v>
      </c>
      <c r="F511" s="441" t="s">
        <v>2645</v>
      </c>
      <c r="G511" s="906">
        <v>52499785</v>
      </c>
      <c r="H511" s="1003" t="s">
        <v>2489</v>
      </c>
      <c r="I511" s="910">
        <v>51300000</v>
      </c>
      <c r="J511" s="873" t="s">
        <v>2892</v>
      </c>
      <c r="K511" s="295">
        <v>2017</v>
      </c>
      <c r="L511" s="546">
        <v>42850</v>
      </c>
      <c r="M511" s="870">
        <v>42857</v>
      </c>
      <c r="N511" s="870">
        <v>43133</v>
      </c>
      <c r="O511" s="127">
        <f>COUNTA(Modificaciones!I497,Modificaciones!K497,Modificaciones!M497,Modificaciones!O497)</f>
        <v>1</v>
      </c>
      <c r="P511" s="128">
        <f>VLOOKUP(E511,Modificaciones!$B$7:$Q$511,16,0)</f>
        <v>0</v>
      </c>
      <c r="Q511" s="129">
        <f>COUNTA(Modificaciones!S511,Modificaciones!U511,Modificaciones!W511,Modificaciones!Y511)</f>
        <v>1</v>
      </c>
      <c r="R511" s="130" t="str">
        <f>IF(Modificaciones!Z511=0,"",VLOOKUP(E511,Modificaciones!$B$7:$AA$1419,25,0))</f>
        <v>3 meses de suspensión</v>
      </c>
      <c r="S511" s="131">
        <f>IF(Modificaciones!AA511=0,"",VLOOKUP(E511,Modificaciones!$B$7:$AA$1419,26,0))</f>
        <v>43222</v>
      </c>
      <c r="T511" s="855">
        <f t="shared" si="91"/>
        <v>43222</v>
      </c>
      <c r="U511" s="62">
        <f t="shared" si="92"/>
        <v>51300000</v>
      </c>
      <c r="V511" s="172">
        <f>VLOOKUP(E511,Modificaciones!$B$7:$AU$511,46,0)</f>
        <v>51300000</v>
      </c>
      <c r="W511" s="93">
        <f t="shared" si="101"/>
        <v>0</v>
      </c>
      <c r="X511" s="309" t="s">
        <v>1095</v>
      </c>
      <c r="Y511" s="852">
        <f t="shared" si="93"/>
        <v>1</v>
      </c>
      <c r="Z511" s="42">
        <f t="shared" ca="1" si="94"/>
        <v>1</v>
      </c>
      <c r="AA511" s="43">
        <f t="shared" ca="1" si="95"/>
        <v>0</v>
      </c>
      <c r="AB511" s="202" t="str">
        <f t="shared" ca="1" si="96"/>
        <v/>
      </c>
      <c r="AC511" s="44" t="str">
        <f t="shared" si="100"/>
        <v>SI</v>
      </c>
      <c r="AD511" s="760" t="s">
        <v>2898</v>
      </c>
      <c r="AE511" s="173" t="s">
        <v>1256</v>
      </c>
      <c r="AF511" s="173" t="s">
        <v>2490</v>
      </c>
      <c r="AG511" s="173"/>
      <c r="AH511" s="281"/>
      <c r="AI511" s="305"/>
      <c r="AJ511" s="305" t="s">
        <v>2834</v>
      </c>
      <c r="AK511" s="181" t="str">
        <f t="shared" ca="1" si="97"/>
        <v>TERMINO</v>
      </c>
      <c r="AL511" s="310" t="s">
        <v>582</v>
      </c>
      <c r="AM511" s="176" t="s">
        <v>391</v>
      </c>
      <c r="AN511" s="848" t="str">
        <f>IFERROR(VLOOKUP(E511,'liquidaciones '!$B$2:$C$1048576,2,0),"NO")</f>
        <v>NO</v>
      </c>
      <c r="AO511" s="944" t="str">
        <f>IFERROR(VLOOKUP(E511,'liquidaciones '!$B$2:$I$1048576,8,0),"")</f>
        <v/>
      </c>
      <c r="AP511" s="433"/>
      <c r="AQ511" s="177" t="str">
        <f ca="1">IF((TODAY()-T511&lt;900),"SI","NO")</f>
        <v>SI</v>
      </c>
      <c r="AR511" s="433" t="s">
        <v>2978</v>
      </c>
      <c r="AS511" s="433"/>
      <c r="AT511" s="966" t="s">
        <v>3928</v>
      </c>
      <c r="AU511" s="964"/>
      <c r="AV511" s="964"/>
    </row>
    <row r="512" spans="3:48" ht="45" x14ac:dyDescent="0.25">
      <c r="C512" s="867">
        <v>156</v>
      </c>
      <c r="D512" s="867"/>
      <c r="E512" s="868" t="s">
        <v>2893</v>
      </c>
      <c r="F512" s="441" t="s">
        <v>2486</v>
      </c>
      <c r="G512" s="906">
        <v>79646061</v>
      </c>
      <c r="H512" s="1003" t="s">
        <v>3021</v>
      </c>
      <c r="I512" s="910">
        <v>57000000</v>
      </c>
      <c r="J512" s="873" t="s">
        <v>2893</v>
      </c>
      <c r="K512" s="295">
        <v>2017</v>
      </c>
      <c r="L512" s="546">
        <v>42850</v>
      </c>
      <c r="M512" s="870">
        <v>42857</v>
      </c>
      <c r="N512" s="870">
        <v>43161</v>
      </c>
      <c r="O512" s="127">
        <f>COUNTA(Modificaciones!I498,Modificaciones!K498,Modificaciones!M498,Modificaciones!O498)</f>
        <v>0</v>
      </c>
      <c r="P512" s="128">
        <f>VLOOKUP(E512,Modificaciones!$B$7:$Q$512,16,0)</f>
        <v>22230000</v>
      </c>
      <c r="Q512" s="129">
        <f>COUNTA(Modificaciones!S512,Modificaciones!U512,Modificaciones!W512,Modificaciones!Y512)</f>
        <v>1</v>
      </c>
      <c r="R512" s="130" t="str">
        <f>IF(Modificaciones!Z512=0,"",VLOOKUP(E512,Modificaciones!$B$7:$AA$1419,25,0))</f>
        <v>Tres (3) meses y 27 días calendario</v>
      </c>
      <c r="S512" s="131">
        <f>IF(Modificaciones!AA512=0,"",VLOOKUP(E512,Modificaciones!$B$7:$AA$1419,26,0))</f>
        <v>43280</v>
      </c>
      <c r="T512" s="855">
        <f t="shared" ref="T512:T575" si="102">MAX(N512,S512)</f>
        <v>43280</v>
      </c>
      <c r="U512" s="62">
        <f t="shared" si="92"/>
        <v>79230000</v>
      </c>
      <c r="V512" s="172">
        <f>VLOOKUP(E512,Modificaciones!$B$7:$AU$512,46,0)</f>
        <v>79230000</v>
      </c>
      <c r="W512" s="93">
        <f t="shared" si="101"/>
        <v>0</v>
      </c>
      <c r="X512" s="309" t="s">
        <v>1095</v>
      </c>
      <c r="Y512" s="852">
        <f t="shared" si="93"/>
        <v>1</v>
      </c>
      <c r="Z512" s="42">
        <f t="shared" ca="1" si="94"/>
        <v>1</v>
      </c>
      <c r="AA512" s="43">
        <f t="shared" ca="1" si="95"/>
        <v>0</v>
      </c>
      <c r="AB512" s="202" t="str">
        <f t="shared" ca="1" si="96"/>
        <v/>
      </c>
      <c r="AC512" s="44" t="str">
        <f t="shared" si="100"/>
        <v>SI</v>
      </c>
      <c r="AD512" s="760" t="s">
        <v>2898</v>
      </c>
      <c r="AE512" s="173" t="s">
        <v>1256</v>
      </c>
      <c r="AF512" s="173" t="s">
        <v>2487</v>
      </c>
      <c r="AG512" s="173"/>
      <c r="AH512" s="281" t="s">
        <v>562</v>
      </c>
      <c r="AI512" s="305"/>
      <c r="AJ512" s="305" t="s">
        <v>3803</v>
      </c>
      <c r="AK512" s="181" t="str">
        <f t="shared" ca="1" si="97"/>
        <v>TERMINO</v>
      </c>
      <c r="AL512" s="310" t="s">
        <v>582</v>
      </c>
      <c r="AM512" s="176" t="s">
        <v>391</v>
      </c>
      <c r="AN512" s="848" t="str">
        <f>IFERROR(VLOOKUP(E512,'liquidaciones '!$B$2:$C$1048576,2,0),"NO")</f>
        <v>NO</v>
      </c>
      <c r="AO512" s="944" t="str">
        <f>IFERROR(VLOOKUP(E512,'liquidaciones '!$B$2:$I$1048576,8,0),"")</f>
        <v/>
      </c>
      <c r="AP512" s="433"/>
      <c r="AQ512" s="177" t="str">
        <f ca="1">IF((TODAY()-T512&lt;900),"SI","NO")</f>
        <v>SI</v>
      </c>
      <c r="AR512" s="433" t="s">
        <v>1510</v>
      </c>
      <c r="AS512" s="433"/>
      <c r="AT512" s="966" t="s">
        <v>3994</v>
      </c>
      <c r="AU512" s="964"/>
      <c r="AV512" s="964"/>
    </row>
    <row r="513" spans="3:48" ht="45" x14ac:dyDescent="0.25">
      <c r="C513" s="867">
        <v>69</v>
      </c>
      <c r="D513" s="867"/>
      <c r="E513" s="868" t="s">
        <v>2894</v>
      </c>
      <c r="F513" s="441" t="s">
        <v>1515</v>
      </c>
      <c r="G513" s="906">
        <v>80117116</v>
      </c>
      <c r="H513" s="1003" t="s">
        <v>2895</v>
      </c>
      <c r="I513" s="910">
        <v>38999997</v>
      </c>
      <c r="J513" s="873" t="s">
        <v>2894</v>
      </c>
      <c r="K513" s="295">
        <v>2017</v>
      </c>
      <c r="L513" s="546">
        <v>42851</v>
      </c>
      <c r="M513" s="870">
        <v>42858</v>
      </c>
      <c r="N513" s="870">
        <v>43134</v>
      </c>
      <c r="O513" s="127">
        <f>COUNTA(Modificaciones!I499,Modificaciones!K499,Modificaciones!M499,Modificaciones!O499)</f>
        <v>2</v>
      </c>
      <c r="P513" s="128">
        <f>VLOOKUP(E513,Modificaciones!$B$7:$Q$513,16,0)</f>
        <v>19499999</v>
      </c>
      <c r="Q513" s="129">
        <f>COUNTA(Modificaciones!S513,Modificaciones!U513,Modificaciones!W513,Modificaciones!Y513)</f>
        <v>1</v>
      </c>
      <c r="R513" s="130" t="str">
        <f>IF(Modificaciones!Z513=0,"",VLOOKUP(E513,Modificaciones!$B$7:$AA$1419,25,0))</f>
        <v>4 meses y 15 dias calendario</v>
      </c>
      <c r="S513" s="131">
        <f>IF(Modificaciones!AA513=0,"",VLOOKUP(E513,Modificaciones!$B$7:$AA$1419,26,0))</f>
        <v>43268</v>
      </c>
      <c r="T513" s="855">
        <f t="shared" si="102"/>
        <v>43268</v>
      </c>
      <c r="U513" s="62">
        <f t="shared" si="92"/>
        <v>58499996</v>
      </c>
      <c r="V513" s="172">
        <f>VLOOKUP(E513,Modificaciones!$B$7:$AU$513,46,0)</f>
        <v>58499996</v>
      </c>
      <c r="W513" s="93">
        <f t="shared" si="101"/>
        <v>0</v>
      </c>
      <c r="X513" s="309" t="s">
        <v>1095</v>
      </c>
      <c r="Y513" s="852">
        <f t="shared" si="93"/>
        <v>1</v>
      </c>
      <c r="Z513" s="42">
        <f t="shared" ca="1" si="94"/>
        <v>1</v>
      </c>
      <c r="AA513" s="43">
        <f t="shared" ca="1" si="95"/>
        <v>0</v>
      </c>
      <c r="AB513" s="202" t="str">
        <f t="shared" ca="1" si="96"/>
        <v/>
      </c>
      <c r="AC513" s="44" t="str">
        <f t="shared" si="100"/>
        <v>SI</v>
      </c>
      <c r="AD513" s="760" t="s">
        <v>2898</v>
      </c>
      <c r="AE513" s="173" t="s">
        <v>1256</v>
      </c>
      <c r="AF513" s="173" t="s">
        <v>2173</v>
      </c>
      <c r="AG513" s="173" t="s">
        <v>1430</v>
      </c>
      <c r="AH513" s="281" t="s">
        <v>564</v>
      </c>
      <c r="AI513" s="305"/>
      <c r="AJ513" s="305" t="s">
        <v>2834</v>
      </c>
      <c r="AK513" s="181" t="str">
        <f t="shared" ca="1" si="97"/>
        <v>TERMINO</v>
      </c>
      <c r="AL513" s="181" t="s">
        <v>582</v>
      </c>
      <c r="AM513" s="176" t="s">
        <v>391</v>
      </c>
      <c r="AN513" s="848" t="str">
        <f>IFERROR(VLOOKUP(E513,'liquidaciones '!$B$2:$C$1048576,2,0),"NO")</f>
        <v>EN TRÁMITE</v>
      </c>
      <c r="AO513" s="944" t="str">
        <f>IFERROR(VLOOKUP(E513,'liquidaciones '!$B$2:$I$1048576,8,0),"")</f>
        <v>JUAN DIEGO ESPITIA</v>
      </c>
      <c r="AP513" s="433"/>
      <c r="AQ513" s="177" t="str">
        <f ca="1">IF((TODAY()-T513&lt;900),"SI","NO")</f>
        <v>SI</v>
      </c>
      <c r="AR513" s="433" t="s">
        <v>3055</v>
      </c>
      <c r="AS513" s="433"/>
      <c r="AT513" s="966" t="s">
        <v>3928</v>
      </c>
      <c r="AU513" s="964"/>
      <c r="AV513" s="964"/>
    </row>
    <row r="514" spans="3:48" ht="33.75" x14ac:dyDescent="0.25">
      <c r="C514" s="867"/>
      <c r="D514" s="867"/>
      <c r="E514" s="868" t="s">
        <v>2896</v>
      </c>
      <c r="F514" s="441" t="s">
        <v>2897</v>
      </c>
      <c r="G514" s="906">
        <v>19244462</v>
      </c>
      <c r="H514" s="1003" t="s">
        <v>2908</v>
      </c>
      <c r="I514" s="910">
        <v>57000000</v>
      </c>
      <c r="J514" s="873" t="s">
        <v>2896</v>
      </c>
      <c r="K514" s="295">
        <v>2017</v>
      </c>
      <c r="L514" s="546">
        <v>42850</v>
      </c>
      <c r="M514" s="870">
        <v>42857</v>
      </c>
      <c r="N514" s="870">
        <v>43161</v>
      </c>
      <c r="O514" s="127">
        <f>COUNTA(Modificaciones!I500,Modificaciones!K500,Modificaciones!M500,Modificaciones!O500)</f>
        <v>0</v>
      </c>
      <c r="P514" s="128">
        <f>VLOOKUP(E514,Modificaciones!$B$7:$Q$514,16,0)</f>
        <v>22230000</v>
      </c>
      <c r="Q514" s="129">
        <f>COUNTA(Modificaciones!S514,Modificaciones!U514,Modificaciones!W514,Modificaciones!Y514)</f>
        <v>1</v>
      </c>
      <c r="R514" s="130" t="str">
        <f>IF(Modificaciones!Z514=0,"",VLOOKUP(E514,Modificaciones!$B$7:$AA$1419,25,0))</f>
        <v>3 meses y 27 días calendario</v>
      </c>
      <c r="S514" s="131">
        <f>IF(Modificaciones!AA514=0,"",VLOOKUP(E514,Modificaciones!$B$7:$AA$1419,26,0))</f>
        <v>43280</v>
      </c>
      <c r="T514" s="855">
        <f t="shared" si="102"/>
        <v>43280</v>
      </c>
      <c r="U514" s="62">
        <f t="shared" si="92"/>
        <v>79230000</v>
      </c>
      <c r="V514" s="172">
        <f>VLOOKUP(E514,Modificaciones!$B$7:$AU$514,46,0)</f>
        <v>79230000</v>
      </c>
      <c r="W514" s="93">
        <f t="shared" si="101"/>
        <v>0</v>
      </c>
      <c r="X514" s="309" t="s">
        <v>1095</v>
      </c>
      <c r="Y514" s="852">
        <f t="shared" si="93"/>
        <v>1</v>
      </c>
      <c r="Z514" s="42">
        <f t="shared" ca="1" si="94"/>
        <v>1</v>
      </c>
      <c r="AA514" s="43">
        <f t="shared" ca="1" si="95"/>
        <v>0</v>
      </c>
      <c r="AB514" s="202" t="str">
        <f t="shared" ca="1" si="96"/>
        <v/>
      </c>
      <c r="AC514" s="44" t="str">
        <f t="shared" si="100"/>
        <v>SI</v>
      </c>
      <c r="AD514" s="760" t="s">
        <v>2898</v>
      </c>
      <c r="AE514" s="173" t="s">
        <v>1256</v>
      </c>
      <c r="AF514" s="173" t="s">
        <v>2174</v>
      </c>
      <c r="AG514" s="173" t="s">
        <v>1177</v>
      </c>
      <c r="AH514" s="281" t="s">
        <v>559</v>
      </c>
      <c r="AI514" s="174"/>
      <c r="AJ514" s="305" t="s">
        <v>2834</v>
      </c>
      <c r="AK514" s="181" t="str">
        <f t="shared" ca="1" si="97"/>
        <v>TERMINO</v>
      </c>
      <c r="AL514" s="181" t="s">
        <v>582</v>
      </c>
      <c r="AM514" s="176" t="s">
        <v>391</v>
      </c>
      <c r="AN514" s="848" t="str">
        <f>IFERROR(VLOOKUP(E514,'liquidaciones '!$B$2:$C$1048576,2,0),"NO")</f>
        <v>NO</v>
      </c>
      <c r="AO514" s="944" t="str">
        <f>IFERROR(VLOOKUP(E514,'liquidaciones '!$B$2:$I$1048576,8,0),"")</f>
        <v/>
      </c>
      <c r="AP514" s="433"/>
      <c r="AQ514" s="177" t="str">
        <f ca="1">IF((TODAY()-T514&lt;900),"SI","NO")</f>
        <v>SI</v>
      </c>
      <c r="AR514" s="433" t="s">
        <v>1510</v>
      </c>
      <c r="AS514" s="433"/>
      <c r="AT514" s="966" t="s">
        <v>3947</v>
      </c>
      <c r="AU514" s="964"/>
      <c r="AV514" s="964"/>
    </row>
    <row r="515" spans="3:48" ht="45" x14ac:dyDescent="0.25">
      <c r="C515" s="867">
        <v>246</v>
      </c>
      <c r="D515" s="867"/>
      <c r="E515" s="868" t="s">
        <v>2899</v>
      </c>
      <c r="F515" s="441" t="s">
        <v>3810</v>
      </c>
      <c r="G515" s="906">
        <v>79615371</v>
      </c>
      <c r="H515" s="1003" t="s">
        <v>2900</v>
      </c>
      <c r="I515" s="910">
        <v>57000000</v>
      </c>
      <c r="J515" s="873" t="s">
        <v>2899</v>
      </c>
      <c r="K515" s="295">
        <v>2017</v>
      </c>
      <c r="L515" s="546">
        <v>42850</v>
      </c>
      <c r="M515" s="870">
        <v>42857</v>
      </c>
      <c r="N515" s="870">
        <v>43161</v>
      </c>
      <c r="O515" s="127">
        <f>COUNTA(Modificaciones!I501,Modificaciones!K501,Modificaciones!M501,Modificaciones!O501)</f>
        <v>0</v>
      </c>
      <c r="P515" s="128">
        <f>VLOOKUP(E515,Modificaciones!$B$7:$Q$515,16,0)</f>
        <v>22230000</v>
      </c>
      <c r="Q515" s="129">
        <f>COUNTA(Modificaciones!S515,Modificaciones!U515,Modificaciones!W515,Modificaciones!Y515)</f>
        <v>1</v>
      </c>
      <c r="R515" s="130" t="str">
        <f>IF(Modificaciones!Z515=0,"",VLOOKUP(E515,Modificaciones!$B$7:$AA$1419,25,0))</f>
        <v>3 meses y 27 días calendario</v>
      </c>
      <c r="S515" s="131">
        <f>IF(Modificaciones!AA515=0,"",VLOOKUP(E515,Modificaciones!$B$7:$AA$1419,26,0))</f>
        <v>43280</v>
      </c>
      <c r="T515" s="855">
        <f t="shared" si="102"/>
        <v>43280</v>
      </c>
      <c r="U515" s="62">
        <f t="shared" si="92"/>
        <v>79230000</v>
      </c>
      <c r="V515" s="172">
        <f>VLOOKUP(E515,Modificaciones!$B$7:$AU$515,46,0)</f>
        <v>76380000</v>
      </c>
      <c r="W515" s="93">
        <f t="shared" si="101"/>
        <v>2850000</v>
      </c>
      <c r="X515" s="309" t="s">
        <v>1095</v>
      </c>
      <c r="Y515" s="852">
        <f t="shared" si="93"/>
        <v>0.96402877697841727</v>
      </c>
      <c r="Z515" s="42">
        <f t="shared" ca="1" si="94"/>
        <v>1</v>
      </c>
      <c r="AA515" s="43">
        <f t="shared" ca="1" si="95"/>
        <v>3.5971223021582732E-2</v>
      </c>
      <c r="AB515" s="202" t="str">
        <f t="shared" ca="1" si="96"/>
        <v/>
      </c>
      <c r="AC515" s="44" t="str">
        <f t="shared" si="100"/>
        <v>NO</v>
      </c>
      <c r="AD515" s="760" t="s">
        <v>2898</v>
      </c>
      <c r="AE515" s="173" t="s">
        <v>1256</v>
      </c>
      <c r="AF515" s="173" t="s">
        <v>2592</v>
      </c>
      <c r="AG515" s="173" t="s">
        <v>1177</v>
      </c>
      <c r="AH515" s="281" t="s">
        <v>559</v>
      </c>
      <c r="AI515" s="305"/>
      <c r="AJ515" s="305" t="s">
        <v>2834</v>
      </c>
      <c r="AK515" s="181" t="str">
        <f t="shared" ca="1" si="97"/>
        <v>TERMINO</v>
      </c>
      <c r="AL515" s="310" t="s">
        <v>582</v>
      </c>
      <c r="AM515" s="176" t="s">
        <v>391</v>
      </c>
      <c r="AN515" s="848" t="str">
        <f>IFERROR(VLOOKUP(E515,'liquidaciones '!$B$2:$C$1048576,2,0),"NO")</f>
        <v>NO</v>
      </c>
      <c r="AO515" s="944" t="str">
        <f>IFERROR(VLOOKUP(E515,'liquidaciones '!$B$2:$I$1048576,8,0),"")</f>
        <v/>
      </c>
      <c r="AP515" s="433"/>
      <c r="AQ515" s="177" t="s">
        <v>390</v>
      </c>
      <c r="AR515" s="433" t="s">
        <v>3055</v>
      </c>
      <c r="AS515" s="433"/>
      <c r="AT515" s="966" t="s">
        <v>3947</v>
      </c>
      <c r="AU515" s="964"/>
      <c r="AV515" s="964"/>
    </row>
    <row r="516" spans="3:48" ht="65.25" customHeight="1" x14ac:dyDescent="0.25">
      <c r="C516" s="867"/>
      <c r="D516" s="867"/>
      <c r="E516" s="1024" t="s">
        <v>2902</v>
      </c>
      <c r="F516" s="441" t="s">
        <v>2903</v>
      </c>
      <c r="G516" s="906" t="s">
        <v>2723</v>
      </c>
      <c r="H516" s="1003" t="s">
        <v>2904</v>
      </c>
      <c r="I516" s="910">
        <v>443322870</v>
      </c>
      <c r="J516" s="873" t="s">
        <v>2902</v>
      </c>
      <c r="K516" s="295">
        <v>2017</v>
      </c>
      <c r="L516" s="546">
        <v>42849</v>
      </c>
      <c r="M516" s="870">
        <v>42857</v>
      </c>
      <c r="N516" s="870">
        <v>43192</v>
      </c>
      <c r="O516" s="127">
        <f>COUNTA(Modificaciones!I502,Modificaciones!K502,Modificaciones!M502,Modificaciones!O502)</f>
        <v>0</v>
      </c>
      <c r="P516" s="128">
        <f>VLOOKUP(E516,Modificaciones!$B$7:$Q$516,16,0)</f>
        <v>191102048</v>
      </c>
      <c r="Q516" s="129">
        <f>COUNTA(Modificaciones!S516,Modificaciones!U516,Modificaciones!W516,Modificaciones!Y516)</f>
        <v>2</v>
      </c>
      <c r="R516" s="130" t="str">
        <f>IF(Modificaciones!Z516=0,"",VLOOKUP(E516,Modificaciones!$B$7:$AA$1419,25,0))</f>
        <v>6 MESES</v>
      </c>
      <c r="S516" s="131">
        <f>IF(Modificaciones!AA516=0,"",VLOOKUP(E516,Modificaciones!$B$7:$AA$1419,26,0))</f>
        <v>43375</v>
      </c>
      <c r="T516" s="855">
        <f t="shared" si="102"/>
        <v>43375</v>
      </c>
      <c r="U516" s="62">
        <f t="shared" si="92"/>
        <v>634424918</v>
      </c>
      <c r="V516" s="172">
        <f>VLOOKUP(E516,Modificaciones!$B$7:$AU$516,46,0)</f>
        <v>602878071</v>
      </c>
      <c r="W516" s="93">
        <f t="shared" si="101"/>
        <v>31546847</v>
      </c>
      <c r="X516" s="899" t="s">
        <v>2905</v>
      </c>
      <c r="Y516" s="852">
        <f t="shared" si="93"/>
        <v>0.95027489289126565</v>
      </c>
      <c r="Z516" s="42">
        <f t="shared" ca="1" si="94"/>
        <v>1</v>
      </c>
      <c r="AA516" s="43">
        <f t="shared" ca="1" si="95"/>
        <v>4.9725107108734345E-2</v>
      </c>
      <c r="AB516" s="202" t="str">
        <f t="shared" ca="1" si="96"/>
        <v/>
      </c>
      <c r="AC516" s="44" t="str">
        <f t="shared" si="100"/>
        <v>NO</v>
      </c>
      <c r="AD516" s="760" t="s">
        <v>1710</v>
      </c>
      <c r="AE516" s="173" t="s">
        <v>1257</v>
      </c>
      <c r="AF516" s="281" t="s">
        <v>2184</v>
      </c>
      <c r="AG516" s="173" t="s">
        <v>1439</v>
      </c>
      <c r="AH516" s="281" t="s">
        <v>560</v>
      </c>
      <c r="AI516" s="305" t="s">
        <v>1509</v>
      </c>
      <c r="AJ516" s="305" t="s">
        <v>3802</v>
      </c>
      <c r="AK516" s="181" t="str">
        <f t="shared" ca="1" si="97"/>
        <v>TERMINO</v>
      </c>
      <c r="AL516" s="310" t="s">
        <v>573</v>
      </c>
      <c r="AM516" s="433" t="s">
        <v>390</v>
      </c>
      <c r="AN516" s="848" t="str">
        <f>IFERROR(VLOOKUP(E516,'liquidaciones '!$B$2:$C$1048576,2,0),"NO")</f>
        <v>NO</v>
      </c>
      <c r="AO516" s="944" t="str">
        <f>IFERROR(VLOOKUP(E516,'liquidaciones '!$B$2:$I$1048576,8,0),"")</f>
        <v/>
      </c>
      <c r="AP516" s="433"/>
      <c r="AQ516" s="433" t="s">
        <v>390</v>
      </c>
      <c r="AR516" s="177" t="s">
        <v>3518</v>
      </c>
      <c r="AS516" s="433" t="s">
        <v>3785</v>
      </c>
      <c r="AT516" s="966" t="s">
        <v>560</v>
      </c>
      <c r="AU516" s="964"/>
      <c r="AV516" s="964"/>
    </row>
    <row r="517" spans="3:48" ht="33.75" x14ac:dyDescent="0.25">
      <c r="C517" s="867">
        <v>70</v>
      </c>
      <c r="D517" s="867"/>
      <c r="E517" s="868" t="s">
        <v>2912</v>
      </c>
      <c r="F517" s="441" t="s">
        <v>1034</v>
      </c>
      <c r="G517" s="906">
        <v>79887061</v>
      </c>
      <c r="H517" s="1003" t="s">
        <v>2913</v>
      </c>
      <c r="I517" s="910">
        <v>38999996</v>
      </c>
      <c r="J517" s="873" t="s">
        <v>2912</v>
      </c>
      <c r="K517" s="295">
        <v>2017</v>
      </c>
      <c r="L517" s="546">
        <v>42850</v>
      </c>
      <c r="M517" s="870">
        <v>42858</v>
      </c>
      <c r="N517" s="870">
        <v>43134</v>
      </c>
      <c r="O517" s="127">
        <f>COUNTA(Modificaciones!I503,Modificaciones!K503,Modificaciones!M503,Modificaciones!O503)</f>
        <v>1</v>
      </c>
      <c r="P517" s="128">
        <f>VLOOKUP(E517,Modificaciones!$B$7:$Q$517,16,0)</f>
        <v>0</v>
      </c>
      <c r="Q517" s="129">
        <f>COUNTA(Modificaciones!S517,Modificaciones!U517,Modificaciones!W517,Modificaciones!Y517)</f>
        <v>0</v>
      </c>
      <c r="R517" s="130" t="str">
        <f>IF(Modificaciones!Z517=0,"",VLOOKUP(E517,Modificaciones!$B$7:$AA$1419,25,0))</f>
        <v/>
      </c>
      <c r="S517" s="131" t="str">
        <f>IF(Modificaciones!AA517=0,"",VLOOKUP(E517,Modificaciones!$B$7:$AA$500,26,0))</f>
        <v/>
      </c>
      <c r="T517" s="855">
        <f t="shared" si="102"/>
        <v>43134</v>
      </c>
      <c r="U517" s="62">
        <f t="shared" si="92"/>
        <v>38999996</v>
      </c>
      <c r="V517" s="172">
        <f>VLOOKUP(E517,Modificaciones!$B$7:$AU$517,46,0)</f>
        <v>11711109</v>
      </c>
      <c r="W517" s="93">
        <f t="shared" si="101"/>
        <v>27288887</v>
      </c>
      <c r="X517" s="309" t="s">
        <v>1095</v>
      </c>
      <c r="Y517" s="852">
        <f t="shared" si="93"/>
        <v>0.30028487695229505</v>
      </c>
      <c r="Z517" s="42">
        <f t="shared" ca="1" si="94"/>
        <v>1</v>
      </c>
      <c r="AA517" s="43">
        <f t="shared" ca="1" si="95"/>
        <v>0.699715123047705</v>
      </c>
      <c r="AB517" s="202" t="str">
        <f t="shared" ca="1" si="96"/>
        <v/>
      </c>
      <c r="AC517" s="44" t="str">
        <f t="shared" si="100"/>
        <v>NO</v>
      </c>
      <c r="AD517" s="760" t="s">
        <v>2898</v>
      </c>
      <c r="AE517" s="173" t="s">
        <v>1256</v>
      </c>
      <c r="AF517" s="173" t="s">
        <v>2178</v>
      </c>
      <c r="AG517" s="173" t="s">
        <v>1439</v>
      </c>
      <c r="AH517" s="281" t="s">
        <v>560</v>
      </c>
      <c r="AI517" s="305" t="s">
        <v>1509</v>
      </c>
      <c r="AJ517" s="305" t="s">
        <v>3802</v>
      </c>
      <c r="AK517" s="181" t="str">
        <f t="shared" ca="1" si="97"/>
        <v>TERMINO</v>
      </c>
      <c r="AL517" s="181" t="s">
        <v>582</v>
      </c>
      <c r="AM517" s="176" t="s">
        <v>391</v>
      </c>
      <c r="AN517" s="848" t="str">
        <f>IFERROR(VLOOKUP(E517,'liquidaciones '!$B$2:$C$1048576,2,0),"NO")</f>
        <v>LIQUIDADO</v>
      </c>
      <c r="AO517" s="944">
        <f>IFERROR(VLOOKUP(E517,'liquidaciones '!$B$2:$I$1048576,8,0),"")</f>
        <v>0</v>
      </c>
      <c r="AP517" s="433"/>
      <c r="AQ517" s="177" t="str">
        <f ca="1">IF((TODAY()-T517&lt;900),"SI","NO")</f>
        <v>SI</v>
      </c>
      <c r="AR517" s="433" t="s">
        <v>3055</v>
      </c>
      <c r="AS517" s="433" t="s">
        <v>3785</v>
      </c>
      <c r="AT517" s="966" t="s">
        <v>560</v>
      </c>
      <c r="AU517" s="964"/>
      <c r="AV517" s="964"/>
    </row>
    <row r="518" spans="3:48" ht="45" x14ac:dyDescent="0.25">
      <c r="C518" s="867"/>
      <c r="D518" s="867"/>
      <c r="E518" s="868" t="s">
        <v>2914</v>
      </c>
      <c r="F518" s="441" t="s">
        <v>2915</v>
      </c>
      <c r="G518" s="906">
        <v>41690000</v>
      </c>
      <c r="H518" s="1003" t="s">
        <v>2916</v>
      </c>
      <c r="I518" s="910">
        <v>38999997</v>
      </c>
      <c r="J518" s="873" t="s">
        <v>2914</v>
      </c>
      <c r="K518" s="295">
        <v>2017</v>
      </c>
      <c r="L518" s="546">
        <v>42857</v>
      </c>
      <c r="M518" s="870">
        <v>42858</v>
      </c>
      <c r="N518" s="870">
        <v>43134</v>
      </c>
      <c r="O518" s="127">
        <f>COUNTA(Modificaciones!I504,Modificaciones!K504,Modificaciones!M504,Modificaciones!O504)</f>
        <v>1</v>
      </c>
      <c r="P518" s="128">
        <f>VLOOKUP(E518,Modificaciones!$B$7:$Q$518,16,0)</f>
        <v>19499999</v>
      </c>
      <c r="Q518" s="129">
        <f>COUNTA(Modificaciones!S518,Modificaciones!U518,Modificaciones!W518,Modificaciones!Y518)</f>
        <v>1</v>
      </c>
      <c r="R518" s="130" t="str">
        <f>IF(Modificaciones!Z518=0,"",VLOOKUP(E518,Modificaciones!$B$7:$AA$1419,25,0))</f>
        <v>4 meses y 15 días calendario</v>
      </c>
      <c r="S518" s="131">
        <f>IF(Modificaciones!AA518=0,"",VLOOKUP(E518,Modificaciones!$B$7:$AA$1419,26,0))</f>
        <v>43269</v>
      </c>
      <c r="T518" s="855">
        <f t="shared" si="102"/>
        <v>43269</v>
      </c>
      <c r="U518" s="62">
        <f t="shared" si="92"/>
        <v>58499996</v>
      </c>
      <c r="V518" s="172">
        <f>VLOOKUP(E518,Modificaciones!$B$7:$AU$518,46,0)</f>
        <v>58499995</v>
      </c>
      <c r="W518" s="93">
        <f t="shared" si="101"/>
        <v>1</v>
      </c>
      <c r="X518" s="309" t="s">
        <v>1095</v>
      </c>
      <c r="Y518" s="852">
        <f t="shared" si="93"/>
        <v>0.99999998290598169</v>
      </c>
      <c r="Z518" s="42">
        <f t="shared" ca="1" si="94"/>
        <v>1</v>
      </c>
      <c r="AA518" s="43">
        <f t="shared" ca="1" si="95"/>
        <v>1.7094018311958337E-8</v>
      </c>
      <c r="AB518" s="202" t="str">
        <f t="shared" ca="1" si="96"/>
        <v/>
      </c>
      <c r="AC518" s="44" t="str">
        <f t="shared" si="100"/>
        <v>SI</v>
      </c>
      <c r="AD518" s="760" t="s">
        <v>2898</v>
      </c>
      <c r="AE518" s="173" t="s">
        <v>1256</v>
      </c>
      <c r="AF518" s="173" t="s">
        <v>4472</v>
      </c>
      <c r="AG518" s="173" t="s">
        <v>1439</v>
      </c>
      <c r="AH518" s="281" t="s">
        <v>560</v>
      </c>
      <c r="AI518" s="868"/>
      <c r="AJ518" s="305" t="s">
        <v>3803</v>
      </c>
      <c r="AK518" s="181" t="str">
        <f t="shared" ca="1" si="97"/>
        <v>TERMINO</v>
      </c>
      <c r="AL518" s="181" t="s">
        <v>582</v>
      </c>
      <c r="AM518" s="433" t="s">
        <v>391</v>
      </c>
      <c r="AN518" s="848" t="str">
        <f>IFERROR(VLOOKUP(E518,'liquidaciones '!$B$2:$C$1048576,2,0),"NO")</f>
        <v>NO</v>
      </c>
      <c r="AO518" s="944" t="str">
        <f>IFERROR(VLOOKUP(E518,'liquidaciones '!$B$2:$I$1048576,8,0),"")</f>
        <v/>
      </c>
      <c r="AP518" s="433"/>
      <c r="AQ518" s="433" t="s">
        <v>390</v>
      </c>
      <c r="AR518" s="177" t="s">
        <v>2978</v>
      </c>
      <c r="AS518" s="433"/>
      <c r="AT518" s="966" t="s">
        <v>3994</v>
      </c>
      <c r="AU518" s="964"/>
      <c r="AV518" s="964"/>
    </row>
    <row r="519" spans="3:48" ht="45" customHeight="1" x14ac:dyDescent="0.25">
      <c r="C519" s="867">
        <v>144</v>
      </c>
      <c r="D519" s="867"/>
      <c r="E519" s="868" t="s">
        <v>2917</v>
      </c>
      <c r="F519" s="441" t="s">
        <v>2918</v>
      </c>
      <c r="G519" s="906">
        <v>1013625644</v>
      </c>
      <c r="H519" s="1001" t="s">
        <v>2484</v>
      </c>
      <c r="I519" s="910">
        <v>22500000</v>
      </c>
      <c r="J519" s="873" t="s">
        <v>2917</v>
      </c>
      <c r="K519" s="295">
        <v>2017</v>
      </c>
      <c r="L519" s="546">
        <v>42853</v>
      </c>
      <c r="M519" s="865">
        <v>42863</v>
      </c>
      <c r="N519" s="865">
        <v>43139</v>
      </c>
      <c r="O519" s="127">
        <f>COUNTA(Modificaciones!I505,Modificaciones!K505,Modificaciones!M505,Modificaciones!O505)</f>
        <v>0</v>
      </c>
      <c r="P519" s="128">
        <f>VLOOKUP(E519,Modificaciones!$B$7:$Q$519,16,0)</f>
        <v>11166667</v>
      </c>
      <c r="Q519" s="129">
        <f>COUNTA(Modificaciones!S519,Modificaciones!U519,Modificaciones!W519,Modificaciones!Y519)</f>
        <v>1</v>
      </c>
      <c r="R519" s="130" t="str">
        <f>IF(Modificaciones!Z519=0,"",VLOOKUP(E519,Modificaciones!$B$7:$AA$1419,25,0))</f>
        <v>4 meses y 14 días calendario</v>
      </c>
      <c r="S519" s="131">
        <f>IF(Modificaciones!AA519=0,"",VLOOKUP(E519,Modificaciones!$B$7:$AA$1419,26,0))</f>
        <v>43273</v>
      </c>
      <c r="T519" s="855">
        <f t="shared" si="102"/>
        <v>43273</v>
      </c>
      <c r="U519" s="62">
        <f t="shared" ref="U519:U582" si="103">I519+P519</f>
        <v>33666667</v>
      </c>
      <c r="V519" s="172">
        <f>VLOOKUP(E519,Modificaciones!$B$7:$AU$519,46,0)</f>
        <v>33666667</v>
      </c>
      <c r="W519" s="93">
        <f t="shared" si="101"/>
        <v>0</v>
      </c>
      <c r="X519" s="309" t="s">
        <v>1095</v>
      </c>
      <c r="Y519" s="852">
        <f t="shared" ref="Y519:Y582" si="104">(V519*100%)/U519</f>
        <v>1</v>
      </c>
      <c r="Z519" s="42">
        <f t="shared" ref="Z519:Z582" ca="1" si="105">IF((($F$3-M519)*100%/(T519-M519))&gt;100%,100%,(($F$3-M519)*100%/(T519-M519)))</f>
        <v>1</v>
      </c>
      <c r="AA519" s="43">
        <f t="shared" ref="AA519:AA582" ca="1" si="106">Z519-Y519</f>
        <v>0</v>
      </c>
      <c r="AB519" s="202" t="str">
        <f t="shared" ref="AB519:AB582" ca="1" si="107">IF(Z519&lt;100%,T519-$F$3,"")</f>
        <v/>
      </c>
      <c r="AC519" s="44" t="str">
        <f t="shared" si="100"/>
        <v>SI</v>
      </c>
      <c r="AD519" s="760" t="s">
        <v>2898</v>
      </c>
      <c r="AE519" s="173" t="s">
        <v>1256</v>
      </c>
      <c r="AF519" s="173" t="s">
        <v>2179</v>
      </c>
      <c r="AG519" s="173" t="s">
        <v>1177</v>
      </c>
      <c r="AH519" s="281" t="s">
        <v>559</v>
      </c>
      <c r="AI519" s="868"/>
      <c r="AJ519" s="305" t="s">
        <v>2834</v>
      </c>
      <c r="AK519" s="181" t="str">
        <f t="shared" ref="AK519:AK582" ca="1" si="108">IF(T519&gt;=$F$3,"EN EJECUCIÓN","TERMINO")</f>
        <v>TERMINO</v>
      </c>
      <c r="AL519" s="310" t="s">
        <v>582</v>
      </c>
      <c r="AM519" s="176" t="s">
        <v>391</v>
      </c>
      <c r="AN519" s="848" t="str">
        <f>IFERROR(VLOOKUP(E519,'liquidaciones '!$B$2:$C$1048576,2,0),"NO")</f>
        <v>EN TRÁMITE</v>
      </c>
      <c r="AO519" s="944" t="str">
        <f>IFERROR(VLOOKUP(E519,'liquidaciones '!$B$2:$I$1048576,8,0),"")</f>
        <v>JUAN DIEGO ESPITIA</v>
      </c>
      <c r="AP519" s="433"/>
      <c r="AQ519" s="177" t="s">
        <v>390</v>
      </c>
      <c r="AR519" s="433" t="s">
        <v>3055</v>
      </c>
      <c r="AS519" s="433"/>
      <c r="AT519" s="966" t="s">
        <v>3947</v>
      </c>
      <c r="AU519" s="964"/>
      <c r="AV519" s="964"/>
    </row>
    <row r="520" spans="3:48" ht="56.25" x14ac:dyDescent="0.25">
      <c r="C520" s="867">
        <v>142</v>
      </c>
      <c r="D520" s="867"/>
      <c r="E520" s="868" t="s">
        <v>2920</v>
      </c>
      <c r="F520" s="441" t="s">
        <v>2921</v>
      </c>
      <c r="G520" s="906">
        <v>1018414979</v>
      </c>
      <c r="H520" s="1003" t="s">
        <v>1544</v>
      </c>
      <c r="I520" s="910">
        <v>51300000</v>
      </c>
      <c r="J520" s="873" t="s">
        <v>2920</v>
      </c>
      <c r="K520" s="295">
        <v>2017</v>
      </c>
      <c r="L520" s="546">
        <v>42852</v>
      </c>
      <c r="M520" s="870">
        <v>42863</v>
      </c>
      <c r="N520" s="870">
        <v>43139</v>
      </c>
      <c r="O520" s="127">
        <f>COUNTA(Modificaciones!I506,Modificaciones!K506,Modificaciones!M506,Modificaciones!O506)</f>
        <v>1</v>
      </c>
      <c r="P520" s="128">
        <f>VLOOKUP(E520,Modificaciones!$B$7:$Q$520,16,0)</f>
        <v>25460000</v>
      </c>
      <c r="Q520" s="129">
        <f>COUNTA(Modificaciones!S520,Modificaciones!U520,Modificaciones!W520,Modificaciones!Y520)</f>
        <v>1</v>
      </c>
      <c r="R520" s="130" t="str">
        <f>IF(Modificaciones!Z520=0,"",VLOOKUP(E520,Modificaciones!$B$7:$AA$1419,25,0))</f>
        <v>Cuatro (4) meses y 14 días calendario</v>
      </c>
      <c r="S520" s="131">
        <f>IF(Modificaciones!AA520=0,"",VLOOKUP(E520,Modificaciones!$B$7:$AA$1419,26,0))</f>
        <v>43273</v>
      </c>
      <c r="T520" s="855">
        <f t="shared" si="102"/>
        <v>43273</v>
      </c>
      <c r="U520" s="62">
        <f t="shared" si="103"/>
        <v>76760000</v>
      </c>
      <c r="V520" s="172">
        <f>VLOOKUP(E520,Modificaciones!$B$7:$AU$520,46,0)</f>
        <v>76760000</v>
      </c>
      <c r="W520" s="93">
        <f t="shared" si="101"/>
        <v>0</v>
      </c>
      <c r="X520" s="309" t="s">
        <v>1095</v>
      </c>
      <c r="Y520" s="852">
        <f t="shared" si="104"/>
        <v>1</v>
      </c>
      <c r="Z520" s="42">
        <f t="shared" ca="1" si="105"/>
        <v>1</v>
      </c>
      <c r="AA520" s="43">
        <f t="shared" ca="1" si="106"/>
        <v>0</v>
      </c>
      <c r="AB520" s="202" t="str">
        <f t="shared" ca="1" si="107"/>
        <v/>
      </c>
      <c r="AC520" s="44" t="str">
        <f t="shared" si="100"/>
        <v>SI</v>
      </c>
      <c r="AD520" s="760" t="s">
        <v>2898</v>
      </c>
      <c r="AE520" s="173" t="s">
        <v>1256</v>
      </c>
      <c r="AF520" s="173" t="s">
        <v>2170</v>
      </c>
      <c r="AG520" s="173" t="s">
        <v>1177</v>
      </c>
      <c r="AH520" s="281" t="s">
        <v>559</v>
      </c>
      <c r="AI520" s="305"/>
      <c r="AJ520" s="305" t="s">
        <v>2834</v>
      </c>
      <c r="AK520" s="181" t="str">
        <f t="shared" ca="1" si="108"/>
        <v>TERMINO</v>
      </c>
      <c r="AL520" s="310" t="s">
        <v>582</v>
      </c>
      <c r="AM520" s="176" t="s">
        <v>391</v>
      </c>
      <c r="AN520" s="848" t="str">
        <f>IFERROR(VLOOKUP(E520,'liquidaciones '!$B$2:$C$1048576,2,0),"NO")</f>
        <v>NO</v>
      </c>
      <c r="AO520" s="944" t="str">
        <f>IFERROR(VLOOKUP(E520,'liquidaciones '!$B$2:$I$1048576,8,0),"")</f>
        <v/>
      </c>
      <c r="AP520" s="433"/>
      <c r="AQ520" s="177" t="str">
        <f ca="1">IF((TODAY()-T520&lt;900),"SI","NO")</f>
        <v>SI</v>
      </c>
      <c r="AR520" s="433" t="s">
        <v>3055</v>
      </c>
      <c r="AS520" s="433"/>
      <c r="AT520" s="966" t="s">
        <v>3947</v>
      </c>
      <c r="AU520" s="964"/>
      <c r="AV520" s="964"/>
    </row>
    <row r="521" spans="3:48" ht="33.75" x14ac:dyDescent="0.25">
      <c r="C521" s="867">
        <v>245</v>
      </c>
      <c r="D521" s="867"/>
      <c r="E521" s="868" t="s">
        <v>2923</v>
      </c>
      <c r="F521" s="441" t="s">
        <v>2924</v>
      </c>
      <c r="G521" s="906">
        <v>1030565608</v>
      </c>
      <c r="H521" s="1001" t="s">
        <v>3038</v>
      </c>
      <c r="I521" s="910">
        <v>38140000</v>
      </c>
      <c r="J521" s="873" t="s">
        <v>2923</v>
      </c>
      <c r="K521" s="295">
        <v>2017</v>
      </c>
      <c r="L521" s="546">
        <v>42860</v>
      </c>
      <c r="M521" s="870">
        <v>42873</v>
      </c>
      <c r="N521" s="870">
        <v>43177</v>
      </c>
      <c r="O521" s="127">
        <f>COUNTA(Modificaciones!I507,Modificaciones!K507,Modificaciones!M507,Modificaciones!O507)</f>
        <v>0</v>
      </c>
      <c r="P521" s="128">
        <f>VLOOKUP(E521,Modificaciones!$B$7:$Q$521,16,0)</f>
        <v>12586200</v>
      </c>
      <c r="Q521" s="129">
        <f>COUNTA(Modificaciones!S521,Modificaciones!U521,Modificaciones!W521,Modificaciones!Y521)</f>
        <v>1</v>
      </c>
      <c r="R521" s="130" t="str">
        <f>IF(Modificaciones!Z521=0,"",VLOOKUP(E521,Modificaciones!$B$7:$AA$1419,25,0))</f>
        <v>3 meses y 12 días</v>
      </c>
      <c r="S521" s="131">
        <f>IF(Modificaciones!AA521=0,"",VLOOKUP(E521,Modificaciones!$B$7:$AA$1419,26,0))</f>
        <v>43278</v>
      </c>
      <c r="T521" s="855">
        <f t="shared" si="102"/>
        <v>43278</v>
      </c>
      <c r="U521" s="62">
        <f t="shared" si="103"/>
        <v>50726200</v>
      </c>
      <c r="V521" s="172">
        <f>VLOOKUP(E521,Modificaciones!$B$7:$AU$521,46,0)</f>
        <v>50726200</v>
      </c>
      <c r="W521" s="93">
        <f t="shared" si="101"/>
        <v>0</v>
      </c>
      <c r="X521" s="309" t="s">
        <v>1095</v>
      </c>
      <c r="Y521" s="852">
        <f t="shared" si="104"/>
        <v>1</v>
      </c>
      <c r="Z521" s="42">
        <f t="shared" ca="1" si="105"/>
        <v>1</v>
      </c>
      <c r="AA521" s="43">
        <f t="shared" ca="1" si="106"/>
        <v>0</v>
      </c>
      <c r="AB521" s="202" t="str">
        <f t="shared" ca="1" si="107"/>
        <v/>
      </c>
      <c r="AC521" s="44" t="str">
        <f t="shared" si="100"/>
        <v>SI</v>
      </c>
      <c r="AD521" s="760" t="s">
        <v>2898</v>
      </c>
      <c r="AE521" s="173" t="s">
        <v>1257</v>
      </c>
      <c r="AF521" s="173" t="s">
        <v>2172</v>
      </c>
      <c r="AG521" s="173" t="s">
        <v>1177</v>
      </c>
      <c r="AH521" s="281" t="s">
        <v>559</v>
      </c>
      <c r="AI521" s="305"/>
      <c r="AJ521" s="305" t="s">
        <v>3802</v>
      </c>
      <c r="AK521" s="181" t="str">
        <f t="shared" ca="1" si="108"/>
        <v>TERMINO</v>
      </c>
      <c r="AL521" s="181" t="s">
        <v>582</v>
      </c>
      <c r="AM521" s="433" t="s">
        <v>391</v>
      </c>
      <c r="AN521" s="848" t="str">
        <f>IFERROR(VLOOKUP(E521,'liquidaciones '!$B$2:$C$1048576,2,0),"NO")</f>
        <v>EN TRÁMITE</v>
      </c>
      <c r="AO521" s="944" t="str">
        <f>IFERROR(VLOOKUP(E521,'liquidaciones '!$B$2:$I$1048576,8,0),"")</f>
        <v>JUAN DIEGO ESPITIA</v>
      </c>
      <c r="AP521" s="433"/>
      <c r="AQ521" s="177" t="s">
        <v>390</v>
      </c>
      <c r="AR521" s="177" t="s">
        <v>3784</v>
      </c>
      <c r="AS521" s="433" t="s">
        <v>3785</v>
      </c>
      <c r="AT521" s="966" t="s">
        <v>560</v>
      </c>
      <c r="AU521" s="964"/>
      <c r="AV521" s="964"/>
    </row>
    <row r="522" spans="3:48" ht="30" x14ac:dyDescent="0.25">
      <c r="C522" s="867">
        <v>176</v>
      </c>
      <c r="D522" s="867"/>
      <c r="E522" s="868" t="s">
        <v>2926</v>
      </c>
      <c r="F522" s="441" t="s">
        <v>277</v>
      </c>
      <c r="G522" s="906" t="s">
        <v>2927</v>
      </c>
      <c r="H522" s="1001" t="s">
        <v>2928</v>
      </c>
      <c r="I522" s="910">
        <v>50703000</v>
      </c>
      <c r="J522" s="873" t="s">
        <v>2929</v>
      </c>
      <c r="K522" s="295">
        <v>2017</v>
      </c>
      <c r="L522" s="546">
        <v>42846</v>
      </c>
      <c r="M522" s="870">
        <v>42874</v>
      </c>
      <c r="N522" s="870">
        <v>43239</v>
      </c>
      <c r="O522" s="127">
        <f>COUNTA(Modificaciones!I508,Modificaciones!K508,Modificaciones!M508,Modificaciones!O508)</f>
        <v>1</v>
      </c>
      <c r="P522" s="128">
        <f>VLOOKUP(E522,Modificaciones!$B$7:$Q$522,16,0)</f>
        <v>6000000</v>
      </c>
      <c r="Q522" s="129">
        <f>COUNTA(Modificaciones!S522,Modificaciones!U522,Modificaciones!W522,Modificaciones!Y522)</f>
        <v>0</v>
      </c>
      <c r="R522" s="130" t="str">
        <f>IF(Modificaciones!Z522=0,"",VLOOKUP(E522,Modificaciones!$B$7:$AA$1419,25,0))</f>
        <v/>
      </c>
      <c r="S522" s="131" t="str">
        <f>IF(Modificaciones!AA522=0,"",VLOOKUP(E522,Modificaciones!$B$7:$AA$500,26,0))</f>
        <v/>
      </c>
      <c r="T522" s="855">
        <f t="shared" si="102"/>
        <v>43239</v>
      </c>
      <c r="U522" s="62">
        <f t="shared" si="103"/>
        <v>56703000</v>
      </c>
      <c r="V522" s="172">
        <f>VLOOKUP(E522,Modificaciones!$B$7:$AU$522,46,0)</f>
        <v>56700949</v>
      </c>
      <c r="W522" s="93">
        <f t="shared" si="101"/>
        <v>2051</v>
      </c>
      <c r="X522" s="309" t="s">
        <v>1967</v>
      </c>
      <c r="Y522" s="852">
        <f t="shared" si="104"/>
        <v>0.99996382907429937</v>
      </c>
      <c r="Z522" s="42">
        <f t="shared" ca="1" si="105"/>
        <v>1</v>
      </c>
      <c r="AA522" s="43">
        <f t="shared" ca="1" si="106"/>
        <v>3.6170925700629297E-5</v>
      </c>
      <c r="AB522" s="202" t="str">
        <f t="shared" ca="1" si="107"/>
        <v/>
      </c>
      <c r="AC522" s="44" t="str">
        <f t="shared" si="100"/>
        <v>SI</v>
      </c>
      <c r="AD522" s="760" t="s">
        <v>1713</v>
      </c>
      <c r="AE522" s="173" t="s">
        <v>1256</v>
      </c>
      <c r="AF522" s="281" t="s">
        <v>1135</v>
      </c>
      <c r="AG522" s="173"/>
      <c r="AH522" s="281" t="s">
        <v>562</v>
      </c>
      <c r="AI522" s="305" t="s">
        <v>3791</v>
      </c>
      <c r="AJ522" s="305" t="s">
        <v>3803</v>
      </c>
      <c r="AK522" s="181" t="str">
        <f t="shared" ca="1" si="108"/>
        <v>TERMINO</v>
      </c>
      <c r="AL522" s="181" t="s">
        <v>576</v>
      </c>
      <c r="AM522" s="433" t="s">
        <v>390</v>
      </c>
      <c r="AN522" s="848" t="str">
        <f>IFERROR(VLOOKUP(E522,'liquidaciones '!$B$2:$C$1048576,2,0),"NO")</f>
        <v>LIQUIDADO</v>
      </c>
      <c r="AO522" s="944" t="str">
        <f>IFERROR(VLOOKUP(E522,'liquidaciones '!$B$2:$I$1048576,8,0),"")</f>
        <v>JUAN DIEGO ESPITIA</v>
      </c>
      <c r="AP522" s="433"/>
      <c r="AQ522" s="433" t="s">
        <v>390</v>
      </c>
      <c r="AR522" s="177" t="s">
        <v>2978</v>
      </c>
      <c r="AS522" s="433" t="s">
        <v>3791</v>
      </c>
      <c r="AT522" s="966" t="s">
        <v>3994</v>
      </c>
      <c r="AU522" s="964"/>
      <c r="AV522" s="964"/>
    </row>
    <row r="523" spans="3:48" ht="78.75" x14ac:dyDescent="0.25">
      <c r="C523" s="867">
        <v>201</v>
      </c>
      <c r="D523" s="867"/>
      <c r="E523" s="868" t="s">
        <v>2931</v>
      </c>
      <c r="F523" s="441" t="s">
        <v>2932</v>
      </c>
      <c r="G523" s="906" t="s">
        <v>2933</v>
      </c>
      <c r="H523" s="1001" t="s">
        <v>3049</v>
      </c>
      <c r="I523" s="910">
        <v>119000000</v>
      </c>
      <c r="J523" s="873" t="s">
        <v>2930</v>
      </c>
      <c r="K523" s="295">
        <v>2017</v>
      </c>
      <c r="L523" s="546">
        <v>42863</v>
      </c>
      <c r="M523" s="870">
        <v>42872</v>
      </c>
      <c r="N523" s="870">
        <v>43176</v>
      </c>
      <c r="O523" s="127">
        <f>COUNTA(Modificaciones!I509,Modificaciones!K509,Modificaciones!M509,Modificaciones!O509)</f>
        <v>1</v>
      </c>
      <c r="P523" s="128">
        <f>VLOOKUP(E523,Modificaciones!$B$7:$Q$523,16,0)</f>
        <v>0</v>
      </c>
      <c r="Q523" s="129">
        <f>COUNTA(Modificaciones!S523,Modificaciones!U523,Modificaciones!W523,Modificaciones!Y523)</f>
        <v>0</v>
      </c>
      <c r="R523" s="130" t="str">
        <f>IF(Modificaciones!Z523=0,"",VLOOKUP(E523,Modificaciones!$B$7:$AA$1419,25,0))</f>
        <v/>
      </c>
      <c r="S523" s="131" t="str">
        <f>IF(Modificaciones!AA523=0,"",VLOOKUP(E523,Modificaciones!$B$7:$AA$500,26,0))</f>
        <v/>
      </c>
      <c r="T523" s="855">
        <f t="shared" si="102"/>
        <v>43176</v>
      </c>
      <c r="U523" s="62">
        <f t="shared" si="103"/>
        <v>119000000</v>
      </c>
      <c r="V523" s="172">
        <f>VLOOKUP(E523,Modificaciones!$B$7:$AU$523,46,0)</f>
        <v>72104262</v>
      </c>
      <c r="W523" s="93">
        <f t="shared" si="101"/>
        <v>46895738</v>
      </c>
      <c r="X523" s="309" t="s">
        <v>2011</v>
      </c>
      <c r="Y523" s="852">
        <f t="shared" si="104"/>
        <v>0.60591816806722687</v>
      </c>
      <c r="Z523" s="42">
        <f t="shared" ca="1" si="105"/>
        <v>1</v>
      </c>
      <c r="AA523" s="43">
        <f t="shared" ca="1" si="106"/>
        <v>0.39408183193277313</v>
      </c>
      <c r="AB523" s="202" t="str">
        <f t="shared" ca="1" si="107"/>
        <v/>
      </c>
      <c r="AC523" s="44" t="str">
        <f t="shared" si="100"/>
        <v>NO</v>
      </c>
      <c r="AD523" s="760" t="s">
        <v>1710</v>
      </c>
      <c r="AE523" s="173" t="s">
        <v>1256</v>
      </c>
      <c r="AF523" s="281" t="s">
        <v>1301</v>
      </c>
      <c r="AG523" s="173" t="s">
        <v>1435</v>
      </c>
      <c r="AH523" s="281" t="s">
        <v>560</v>
      </c>
      <c r="AI523" s="174" t="s">
        <v>1386</v>
      </c>
      <c r="AJ523" s="305" t="s">
        <v>3802</v>
      </c>
      <c r="AK523" s="181" t="str">
        <f t="shared" ca="1" si="108"/>
        <v>TERMINO</v>
      </c>
      <c r="AL523" s="310" t="s">
        <v>574</v>
      </c>
      <c r="AM523" s="176" t="s">
        <v>390</v>
      </c>
      <c r="AN523" s="848" t="str">
        <f>IFERROR(VLOOKUP(E523,'liquidaciones '!$B$2:$C$1048576,2,0),"NO")</f>
        <v>LIQUIDADO</v>
      </c>
      <c r="AO523" s="944">
        <f>IFERROR(VLOOKUP(E523,'liquidaciones '!$B$2:$I$1048576,8,0),"")</f>
        <v>0</v>
      </c>
      <c r="AP523" s="433"/>
      <c r="AQ523" s="177" t="s">
        <v>390</v>
      </c>
      <c r="AR523" s="433" t="s">
        <v>3055</v>
      </c>
      <c r="AS523" s="433" t="s">
        <v>1379</v>
      </c>
      <c r="AT523" s="966" t="s">
        <v>560</v>
      </c>
      <c r="AU523" s="964"/>
      <c r="AV523" s="964"/>
    </row>
    <row r="524" spans="3:48" ht="78.75" x14ac:dyDescent="0.25">
      <c r="C524" s="867"/>
      <c r="D524" s="867"/>
      <c r="E524" s="868" t="s">
        <v>2935</v>
      </c>
      <c r="F524" s="441" t="s">
        <v>2936</v>
      </c>
      <c r="G524" s="906">
        <v>1022375085</v>
      </c>
      <c r="H524" s="1001" t="s">
        <v>2937</v>
      </c>
      <c r="I524" s="910">
        <v>38999997</v>
      </c>
      <c r="J524" s="873" t="s">
        <v>2935</v>
      </c>
      <c r="K524" s="295">
        <v>2017</v>
      </c>
      <c r="L524" s="546">
        <v>42871</v>
      </c>
      <c r="M524" s="870">
        <v>42872</v>
      </c>
      <c r="N524" s="870">
        <v>43148</v>
      </c>
      <c r="O524" s="127">
        <f>COUNTA(Modificaciones!I510,Modificaciones!K510,Modificaciones!M510,Modificaciones!O510)</f>
        <v>0</v>
      </c>
      <c r="P524" s="128">
        <f>VLOOKUP(E524,Modificaciones!$B$7:$Q$524,16,0)</f>
        <v>19066665</v>
      </c>
      <c r="Q524" s="129">
        <f>COUNTA(Modificaciones!S524,Modificaciones!U524,Modificaciones!W524,Modificaciones!Y524)</f>
        <v>1</v>
      </c>
      <c r="R524" s="130" t="str">
        <f>IF(Modificaciones!Z524=0,"",VLOOKUP(E524,Modificaciones!$B$7:$AA$1419,25,0))</f>
        <v>Cuatro (4) meses y 12 días calendario</v>
      </c>
      <c r="S524" s="131">
        <f>IF(Modificaciones!AA524=0,"",VLOOKUP(E524,Modificaciones!$B$7:$AA$1419,26,0))</f>
        <v>43280</v>
      </c>
      <c r="T524" s="855">
        <f t="shared" si="102"/>
        <v>43280</v>
      </c>
      <c r="U524" s="62">
        <f t="shared" si="103"/>
        <v>58066662</v>
      </c>
      <c r="V524" s="172">
        <f>VLOOKUP(E524,Modificaciones!$B$7:$AU$524,46,0)</f>
        <v>58066662</v>
      </c>
      <c r="W524" s="93">
        <f t="shared" si="101"/>
        <v>0</v>
      </c>
      <c r="X524" s="309" t="s">
        <v>1095</v>
      </c>
      <c r="Y524" s="852">
        <f t="shared" si="104"/>
        <v>1</v>
      </c>
      <c r="Z524" s="42">
        <f t="shared" ca="1" si="105"/>
        <v>1</v>
      </c>
      <c r="AA524" s="43">
        <f t="shared" ca="1" si="106"/>
        <v>0</v>
      </c>
      <c r="AB524" s="202" t="str">
        <f t="shared" ca="1" si="107"/>
        <v/>
      </c>
      <c r="AC524" s="44" t="str">
        <f t="shared" si="100"/>
        <v>SI</v>
      </c>
      <c r="AD524" s="760" t="s">
        <v>2898</v>
      </c>
      <c r="AE524" s="173" t="s">
        <v>1256</v>
      </c>
      <c r="AF524" s="173" t="s">
        <v>2592</v>
      </c>
      <c r="AG524" s="173" t="s">
        <v>1177</v>
      </c>
      <c r="AH524" s="281" t="s">
        <v>559</v>
      </c>
      <c r="AI524" s="305"/>
      <c r="AJ524" s="305" t="s">
        <v>2834</v>
      </c>
      <c r="AK524" s="181" t="str">
        <f t="shared" ca="1" si="108"/>
        <v>TERMINO</v>
      </c>
      <c r="AL524" s="181" t="s">
        <v>582</v>
      </c>
      <c r="AM524" s="433" t="s">
        <v>391</v>
      </c>
      <c r="AN524" s="848" t="str">
        <f>IFERROR(VLOOKUP(E524,'liquidaciones '!$B$2:$C$1048576,2,0),"NO")</f>
        <v>NO</v>
      </c>
      <c r="AO524" s="944" t="str">
        <f>IFERROR(VLOOKUP(E524,'liquidaciones '!$B$2:$I$1048576,8,0),"")</f>
        <v/>
      </c>
      <c r="AP524" s="433"/>
      <c r="AQ524" s="177" t="s">
        <v>390</v>
      </c>
      <c r="AR524" s="433" t="s">
        <v>3055</v>
      </c>
      <c r="AS524" s="433"/>
      <c r="AT524" s="966" t="s">
        <v>3947</v>
      </c>
      <c r="AU524" s="964"/>
      <c r="AV524" s="964"/>
    </row>
    <row r="525" spans="3:48" ht="33.75" x14ac:dyDescent="0.25">
      <c r="C525" s="867"/>
      <c r="D525" s="867"/>
      <c r="E525" s="868" t="s">
        <v>2938</v>
      </c>
      <c r="F525" s="441" t="s">
        <v>2939</v>
      </c>
      <c r="G525" s="906">
        <v>80880912</v>
      </c>
      <c r="H525" s="1003" t="s">
        <v>2940</v>
      </c>
      <c r="I525" s="910">
        <v>16875000</v>
      </c>
      <c r="J525" s="873" t="s">
        <v>2938</v>
      </c>
      <c r="K525" s="295">
        <v>2017</v>
      </c>
      <c r="L525" s="546">
        <v>42870</v>
      </c>
      <c r="M525" s="870">
        <v>42874</v>
      </c>
      <c r="N525" s="870">
        <v>43150</v>
      </c>
      <c r="O525" s="127">
        <f>COUNTA(Modificaciones!I511,Modificaciones!K511,Modificaciones!M511,Modificaciones!O511)</f>
        <v>0</v>
      </c>
      <c r="P525" s="128">
        <f>VLOOKUP(E525,Modificaciones!$B$7:$Q$525,16,0)</f>
        <v>8125000</v>
      </c>
      <c r="Q525" s="129">
        <f>COUNTA(Modificaciones!S525,Modificaciones!U525,Modificaciones!W525,Modificaciones!Y525)</f>
        <v>1</v>
      </c>
      <c r="R525" s="130" t="str">
        <f>IF(Modificaciones!Z525=0,"",VLOOKUP(E525,Modificaciones!$B$7:$AA$1419,25,0))</f>
        <v>Cuatro (4) meses y 10 días calendario</v>
      </c>
      <c r="S525" s="131">
        <f>IF(Modificaciones!AA525=0,"",VLOOKUP(E525,Modificaciones!$B$7:$AA$1419,26,0))</f>
        <v>43280</v>
      </c>
      <c r="T525" s="855">
        <f t="shared" si="102"/>
        <v>43280</v>
      </c>
      <c r="U525" s="62">
        <f t="shared" si="103"/>
        <v>25000000</v>
      </c>
      <c r="V525" s="172">
        <f>VLOOKUP(E525,Modificaciones!$B$7:$AU$525,46,0)</f>
        <v>25000000</v>
      </c>
      <c r="W525" s="93">
        <f t="shared" si="101"/>
        <v>0</v>
      </c>
      <c r="X525" s="309" t="s">
        <v>1095</v>
      </c>
      <c r="Y525" s="852">
        <f t="shared" si="104"/>
        <v>1</v>
      </c>
      <c r="Z525" s="42">
        <f t="shared" ca="1" si="105"/>
        <v>1</v>
      </c>
      <c r="AA525" s="43">
        <f t="shared" ca="1" si="106"/>
        <v>0</v>
      </c>
      <c r="AB525" s="202" t="str">
        <f t="shared" ca="1" si="107"/>
        <v/>
      </c>
      <c r="AC525" s="44" t="str">
        <f t="shared" si="100"/>
        <v>SI</v>
      </c>
      <c r="AD525" s="760" t="s">
        <v>2898</v>
      </c>
      <c r="AE525" s="173" t="s">
        <v>1256</v>
      </c>
      <c r="AF525" s="900" t="s">
        <v>2941</v>
      </c>
      <c r="AG525" s="173" t="s">
        <v>1177</v>
      </c>
      <c r="AH525" s="281" t="s">
        <v>559</v>
      </c>
      <c r="AI525" s="868"/>
      <c r="AJ525" s="305" t="s">
        <v>2834</v>
      </c>
      <c r="AK525" s="181" t="str">
        <f t="shared" ca="1" si="108"/>
        <v>TERMINO</v>
      </c>
      <c r="AL525" s="181" t="s">
        <v>582</v>
      </c>
      <c r="AM525" s="433" t="s">
        <v>391</v>
      </c>
      <c r="AN525" s="848" t="str">
        <f>IFERROR(VLOOKUP(E525,'liquidaciones '!$B$2:$C$1048576,2,0),"NO")</f>
        <v>NO</v>
      </c>
      <c r="AO525" s="944" t="str">
        <f>IFERROR(VLOOKUP(E525,'liquidaciones '!$B$2:$I$1048576,8,0),"")</f>
        <v/>
      </c>
      <c r="AP525" s="433"/>
      <c r="AQ525" s="177" t="s">
        <v>390</v>
      </c>
      <c r="AR525" s="433" t="s">
        <v>1510</v>
      </c>
      <c r="AS525" s="433"/>
      <c r="AT525" s="966" t="s">
        <v>3947</v>
      </c>
      <c r="AU525" s="964"/>
      <c r="AV525" s="964"/>
    </row>
    <row r="526" spans="3:48" ht="33.75" x14ac:dyDescent="0.25">
      <c r="C526" s="867">
        <v>149</v>
      </c>
      <c r="D526" s="867"/>
      <c r="E526" s="868" t="s">
        <v>2942</v>
      </c>
      <c r="F526" s="441" t="s">
        <v>2943</v>
      </c>
      <c r="G526" s="906">
        <v>52144330</v>
      </c>
      <c r="H526" s="1003" t="s">
        <v>3050</v>
      </c>
      <c r="I526" s="910">
        <v>51300000</v>
      </c>
      <c r="J526" s="873" t="s">
        <v>2942</v>
      </c>
      <c r="K526" s="295">
        <v>2017</v>
      </c>
      <c r="L526" s="546">
        <v>42871</v>
      </c>
      <c r="M526" s="870">
        <v>42873</v>
      </c>
      <c r="N526" s="870">
        <v>43149</v>
      </c>
      <c r="O526" s="127">
        <f>COUNTA(Modificaciones!I512,Modificaciones!K512,Modificaciones!M512,Modificaciones!O512)</f>
        <v>1</v>
      </c>
      <c r="P526" s="128">
        <f>VLOOKUP(E526,Modificaciones!$B$7:$Q$526,16,0)</f>
        <v>24890000</v>
      </c>
      <c r="Q526" s="129">
        <f>COUNTA(Modificaciones!S526,Modificaciones!U526,Modificaciones!W526,Modificaciones!Y526)</f>
        <v>1</v>
      </c>
      <c r="R526" s="130" t="str">
        <f>IF(Modificaciones!Z526=0,"",VLOOKUP(E526,Modificaciones!$B$7:$AA$1419,25,0))</f>
        <v>Cuatro(4) meses y Once (11) días calendario</v>
      </c>
      <c r="S526" s="131">
        <f>IF(Modificaciones!AA526=0,"",VLOOKUP(E526,Modificaciones!$B$7:$AA$1419,26,0))</f>
        <v>43280</v>
      </c>
      <c r="T526" s="855">
        <f t="shared" si="102"/>
        <v>43280</v>
      </c>
      <c r="U526" s="62">
        <f t="shared" si="103"/>
        <v>76190000</v>
      </c>
      <c r="V526" s="172">
        <f>VLOOKUP(E526,Modificaciones!$B$7:$AU$526,46,0)</f>
        <v>76190000</v>
      </c>
      <c r="W526" s="93">
        <f t="shared" si="101"/>
        <v>0</v>
      </c>
      <c r="X526" s="309" t="s">
        <v>1095</v>
      </c>
      <c r="Y526" s="852">
        <f t="shared" si="104"/>
        <v>1</v>
      </c>
      <c r="Z526" s="42">
        <f t="shared" ca="1" si="105"/>
        <v>1</v>
      </c>
      <c r="AA526" s="43">
        <f t="shared" ca="1" si="106"/>
        <v>0</v>
      </c>
      <c r="AB526" s="202" t="str">
        <f t="shared" ca="1" si="107"/>
        <v/>
      </c>
      <c r="AC526" s="44" t="str">
        <f t="shared" si="100"/>
        <v>SI</v>
      </c>
      <c r="AD526" s="760" t="s">
        <v>2898</v>
      </c>
      <c r="AE526" s="173" t="s">
        <v>1256</v>
      </c>
      <c r="AF526" s="173" t="s">
        <v>2493</v>
      </c>
      <c r="AG526" s="173" t="s">
        <v>2500</v>
      </c>
      <c r="AH526" s="281" t="s">
        <v>4624</v>
      </c>
      <c r="AI526" s="305"/>
      <c r="AJ526" s="305" t="s">
        <v>2834</v>
      </c>
      <c r="AK526" s="181" t="str">
        <f t="shared" ca="1" si="108"/>
        <v>TERMINO</v>
      </c>
      <c r="AL526" s="310" t="s">
        <v>582</v>
      </c>
      <c r="AM526" s="176" t="s">
        <v>391</v>
      </c>
      <c r="AN526" s="848" t="str">
        <f>IFERROR(VLOOKUP(E526,'liquidaciones '!$B$2:$C$1048576,2,0),"NO")</f>
        <v>EN TRÁMITE</v>
      </c>
      <c r="AO526" s="944" t="str">
        <f>IFERROR(VLOOKUP(E526,'liquidaciones '!$B$2:$I$1048576,8,0),"")</f>
        <v>JUAN DIEGO ESPITIA</v>
      </c>
      <c r="AP526" s="433"/>
      <c r="AQ526" s="177" t="s">
        <v>390</v>
      </c>
      <c r="AR526" s="433" t="s">
        <v>3055</v>
      </c>
      <c r="AS526" s="433"/>
      <c r="AT526" s="966" t="s">
        <v>3947</v>
      </c>
      <c r="AU526" s="964"/>
      <c r="AV526" s="964"/>
    </row>
    <row r="527" spans="3:48" ht="56.25" x14ac:dyDescent="0.25">
      <c r="C527" s="867">
        <v>163</v>
      </c>
      <c r="D527" s="867"/>
      <c r="E527" s="868" t="s">
        <v>2944</v>
      </c>
      <c r="F527" s="441" t="s">
        <v>2945</v>
      </c>
      <c r="G527" s="906">
        <v>1126599090</v>
      </c>
      <c r="H527" s="1003" t="s">
        <v>2946</v>
      </c>
      <c r="I527" s="910">
        <v>13500000</v>
      </c>
      <c r="J527" s="873" t="s">
        <v>2944</v>
      </c>
      <c r="K527" s="295">
        <v>2017</v>
      </c>
      <c r="L527" s="546">
        <v>42872</v>
      </c>
      <c r="M527" s="870">
        <v>42887</v>
      </c>
      <c r="N527" s="870">
        <v>43160</v>
      </c>
      <c r="O527" s="127">
        <f>COUNTA(Modificaciones!I513,Modificaciones!K513,Modificaciones!M513,Modificaciones!O513)</f>
        <v>1</v>
      </c>
      <c r="P527" s="128">
        <f>VLOOKUP(E527,Modificaciones!$B$7:$Q$527,16,0)</f>
        <v>5900000</v>
      </c>
      <c r="Q527" s="129">
        <f>COUNTA(Modificaciones!S527,Modificaciones!U527,Modificaciones!W527,Modificaciones!Y527)</f>
        <v>1</v>
      </c>
      <c r="R527" s="130" t="str">
        <f>IF(Modificaciones!Z527=0,"",VLOOKUP(E527,Modificaciones!$B$7:$AA$1419,25,0))</f>
        <v>3 meses y 28 días calendario</v>
      </c>
      <c r="S527" s="131">
        <f>IF(Modificaciones!AA527=0,"",VLOOKUP(E527,Modificaciones!$B$7:$AA$1419,26,0))</f>
        <v>43280</v>
      </c>
      <c r="T527" s="855">
        <f t="shared" si="102"/>
        <v>43280</v>
      </c>
      <c r="U527" s="62">
        <f t="shared" si="103"/>
        <v>19400000</v>
      </c>
      <c r="V527" s="172">
        <f>VLOOKUP(E527,Modificaciones!$B$7:$AU$527,46,0)</f>
        <v>19400000</v>
      </c>
      <c r="W527" s="93">
        <f t="shared" si="101"/>
        <v>0</v>
      </c>
      <c r="X527" s="309" t="s">
        <v>1095</v>
      </c>
      <c r="Y527" s="852">
        <f t="shared" si="104"/>
        <v>1</v>
      </c>
      <c r="Z527" s="42">
        <f t="shared" ca="1" si="105"/>
        <v>1</v>
      </c>
      <c r="AA527" s="43">
        <f t="shared" ca="1" si="106"/>
        <v>0</v>
      </c>
      <c r="AB527" s="202" t="str">
        <f t="shared" ca="1" si="107"/>
        <v/>
      </c>
      <c r="AC527" s="44" t="str">
        <f t="shared" si="100"/>
        <v>SI</v>
      </c>
      <c r="AD527" s="760" t="s">
        <v>2898</v>
      </c>
      <c r="AE527" s="173" t="s">
        <v>1256</v>
      </c>
      <c r="AF527" s="281" t="s">
        <v>2640</v>
      </c>
      <c r="AG527" s="173" t="s">
        <v>1177</v>
      </c>
      <c r="AH527" s="281" t="s">
        <v>559</v>
      </c>
      <c r="AI527" s="305"/>
      <c r="AJ527" s="305" t="s">
        <v>2834</v>
      </c>
      <c r="AK527" s="181" t="str">
        <f t="shared" ca="1" si="108"/>
        <v>TERMINO</v>
      </c>
      <c r="AL527" s="181" t="s">
        <v>582</v>
      </c>
      <c r="AM527" s="176" t="s">
        <v>391</v>
      </c>
      <c r="AN527" s="848" t="str">
        <f>IFERROR(VLOOKUP(E527,'liquidaciones '!$B$2:$C$1048576,2,0),"NO")</f>
        <v>EN TRÁMITE</v>
      </c>
      <c r="AO527" s="944" t="str">
        <f>IFERROR(VLOOKUP(E527,'liquidaciones '!$B$2:$I$1048576,8,0),"")</f>
        <v>JUAN DIEGO ESPITIA</v>
      </c>
      <c r="AP527" s="433"/>
      <c r="AQ527" s="177" t="s">
        <v>390</v>
      </c>
      <c r="AR527" s="433" t="s">
        <v>3055</v>
      </c>
      <c r="AS527" s="433"/>
      <c r="AT527" s="966" t="s">
        <v>3947</v>
      </c>
      <c r="AU527" s="964"/>
      <c r="AV527" s="964"/>
    </row>
    <row r="528" spans="3:48" ht="45" x14ac:dyDescent="0.25">
      <c r="C528" s="867">
        <v>147</v>
      </c>
      <c r="D528" s="867"/>
      <c r="E528" s="868" t="s">
        <v>2947</v>
      </c>
      <c r="F528" s="441" t="s">
        <v>2948</v>
      </c>
      <c r="G528" s="906">
        <v>79436393</v>
      </c>
      <c r="H528" s="1003" t="s">
        <v>2831</v>
      </c>
      <c r="I528" s="910">
        <v>34326000</v>
      </c>
      <c r="J528" s="873" t="s">
        <v>2947</v>
      </c>
      <c r="K528" s="295">
        <v>2017</v>
      </c>
      <c r="L528" s="546">
        <v>42873</v>
      </c>
      <c r="M528" s="901">
        <v>42878</v>
      </c>
      <c r="N528" s="901">
        <v>43154</v>
      </c>
      <c r="O528" s="127">
        <f>COUNTA(Modificaciones!I514,Modificaciones!K514,Modificaciones!M514,Modificaciones!O514)</f>
        <v>1</v>
      </c>
      <c r="P528" s="128">
        <f>VLOOKUP(E528,Modificaciones!$B$7:$Q$528,16,0)</f>
        <v>16018800</v>
      </c>
      <c r="Q528" s="129">
        <f>COUNTA(Modificaciones!S528,Modificaciones!U528,Modificaciones!W528,Modificaciones!Y528)</f>
        <v>1</v>
      </c>
      <c r="R528" s="130" t="str">
        <f>IF(Modificaciones!Z528=0,"",VLOOKUP(E528,Modificaciones!$B$7:$AA$1419,25,0))</f>
        <v>4 meses y 6 días calendario</v>
      </c>
      <c r="S528" s="131">
        <f>IF(Modificaciones!AA528=0,"",VLOOKUP(E528,Modificaciones!$B$7:$AA$1419,26,0))</f>
        <v>43280</v>
      </c>
      <c r="T528" s="855">
        <f t="shared" si="102"/>
        <v>43280</v>
      </c>
      <c r="U528" s="62">
        <f t="shared" si="103"/>
        <v>50344800</v>
      </c>
      <c r="V528" s="172">
        <f>VLOOKUP(E528,Modificaciones!$B$7:$AU$528,46,0)</f>
        <v>50344800</v>
      </c>
      <c r="W528" s="93">
        <f t="shared" si="101"/>
        <v>0</v>
      </c>
      <c r="X528" s="309" t="s">
        <v>1095</v>
      </c>
      <c r="Y528" s="852">
        <f t="shared" si="104"/>
        <v>1</v>
      </c>
      <c r="Z528" s="42">
        <f t="shared" ca="1" si="105"/>
        <v>1</v>
      </c>
      <c r="AA528" s="43">
        <f t="shared" ca="1" si="106"/>
        <v>0</v>
      </c>
      <c r="AB528" s="202" t="str">
        <f t="shared" ca="1" si="107"/>
        <v/>
      </c>
      <c r="AC528" s="44" t="str">
        <f t="shared" si="100"/>
        <v>SI</v>
      </c>
      <c r="AD528" s="760" t="s">
        <v>2898</v>
      </c>
      <c r="AE528" s="173" t="s">
        <v>1256</v>
      </c>
      <c r="AF528" s="281" t="s">
        <v>2060</v>
      </c>
      <c r="AG528" s="173" t="s">
        <v>1437</v>
      </c>
      <c r="AH528" s="281" t="s">
        <v>561</v>
      </c>
      <c r="AI528" s="305"/>
      <c r="AJ528" s="305" t="s">
        <v>3803</v>
      </c>
      <c r="AK528" s="181" t="str">
        <f t="shared" ca="1" si="108"/>
        <v>TERMINO</v>
      </c>
      <c r="AL528" s="310" t="s">
        <v>582</v>
      </c>
      <c r="AM528" s="433" t="s">
        <v>391</v>
      </c>
      <c r="AN528" s="848" t="str">
        <f>IFERROR(VLOOKUP(E528,'liquidaciones '!$B$2:$C$1048576,2,0),"NO")</f>
        <v>EN TRÁMITE</v>
      </c>
      <c r="AO528" s="944" t="str">
        <f>IFERROR(VLOOKUP(E528,'liquidaciones '!$B$2:$I$1048576,8,0),"")</f>
        <v>JUAN DIEGO ESPITIA</v>
      </c>
      <c r="AP528" s="433"/>
      <c r="AQ528" s="177" t="s">
        <v>390</v>
      </c>
      <c r="AR528" s="433" t="s">
        <v>1510</v>
      </c>
      <c r="AS528" s="433"/>
      <c r="AT528" s="966" t="s">
        <v>4188</v>
      </c>
      <c r="AU528" s="964"/>
      <c r="AV528" s="964"/>
    </row>
    <row r="529" spans="3:48" ht="112.5" x14ac:dyDescent="0.25">
      <c r="C529" s="867">
        <v>82</v>
      </c>
      <c r="D529" s="867"/>
      <c r="E529" s="868" t="s">
        <v>2949</v>
      </c>
      <c r="F529" s="441" t="s">
        <v>22</v>
      </c>
      <c r="G529" s="906">
        <v>830112518</v>
      </c>
      <c r="H529" s="1003" t="s">
        <v>2950</v>
      </c>
      <c r="I529" s="910">
        <v>49980000</v>
      </c>
      <c r="J529" s="873" t="s">
        <v>2949</v>
      </c>
      <c r="K529" s="295">
        <v>2017</v>
      </c>
      <c r="L529" s="546">
        <v>42871</v>
      </c>
      <c r="M529" s="870">
        <v>42874</v>
      </c>
      <c r="N529" s="870">
        <v>43239</v>
      </c>
      <c r="O529" s="127">
        <f>COUNTA(Modificaciones!I515,Modificaciones!K515,Modificaciones!M515,Modificaciones!O515)</f>
        <v>1</v>
      </c>
      <c r="P529" s="128">
        <f>VLOOKUP(E529,Modificaciones!$B$7:$Q$529,16,0)</f>
        <v>7021000</v>
      </c>
      <c r="Q529" s="129">
        <f>COUNTA(Modificaciones!S529,Modificaciones!U529,Modificaciones!W529,Modificaciones!Y529)</f>
        <v>1</v>
      </c>
      <c r="R529" s="130" t="str">
        <f>IF(Modificaciones!Z529=0,"",VLOOKUP(E529,Modificaciones!$B$7:$AA$1419,25,0))</f>
        <v>1 mes y 29 días</v>
      </c>
      <c r="S529" s="131">
        <f>IF(Modificaciones!AA529=0,"",VLOOKUP(E529,Modificaciones!$B$7:$AA$1419,26,0))</f>
        <v>43299</v>
      </c>
      <c r="T529" s="855">
        <f t="shared" si="102"/>
        <v>43299</v>
      </c>
      <c r="U529" s="62">
        <f t="shared" si="103"/>
        <v>57001000</v>
      </c>
      <c r="V529" s="172">
        <f>VLOOKUP(E529,Modificaciones!$B$7:$AU$529,46,0)</f>
        <v>57001000</v>
      </c>
      <c r="W529" s="93">
        <f t="shared" si="101"/>
        <v>0</v>
      </c>
      <c r="X529" s="314" t="s">
        <v>2951</v>
      </c>
      <c r="Y529" s="852">
        <f t="shared" si="104"/>
        <v>1</v>
      </c>
      <c r="Z529" s="42">
        <f t="shared" ca="1" si="105"/>
        <v>1</v>
      </c>
      <c r="AA529" s="43">
        <f t="shared" ca="1" si="106"/>
        <v>0</v>
      </c>
      <c r="AB529" s="202" t="str">
        <f t="shared" ca="1" si="107"/>
        <v/>
      </c>
      <c r="AC529" s="44" t="str">
        <f t="shared" si="100"/>
        <v>SI</v>
      </c>
      <c r="AD529" s="868"/>
      <c r="AE529" s="173" t="s">
        <v>1257</v>
      </c>
      <c r="AF529" s="173" t="s">
        <v>1174</v>
      </c>
      <c r="AG529" s="173" t="s">
        <v>1439</v>
      </c>
      <c r="AH529" s="281" t="s">
        <v>560</v>
      </c>
      <c r="AI529" s="174" t="s">
        <v>1509</v>
      </c>
      <c r="AJ529" s="305" t="s">
        <v>3802</v>
      </c>
      <c r="AK529" s="181" t="str">
        <f t="shared" ca="1" si="108"/>
        <v>TERMINO</v>
      </c>
      <c r="AL529" s="181" t="s">
        <v>582</v>
      </c>
      <c r="AM529" s="176" t="s">
        <v>390</v>
      </c>
      <c r="AN529" s="848" t="str">
        <f>IFERROR(VLOOKUP(E529,'liquidaciones '!$B$2:$C$1048576,2,0),"NO")</f>
        <v>LIQUIDADO</v>
      </c>
      <c r="AO529" s="944">
        <f>IFERROR(VLOOKUP(E529,'liquidaciones '!$B$2:$I$1048576,8,0),"")</f>
        <v>0</v>
      </c>
      <c r="AP529" s="433"/>
      <c r="AQ529" s="177" t="s">
        <v>390</v>
      </c>
      <c r="AR529" s="433" t="s">
        <v>3518</v>
      </c>
      <c r="AS529" s="433" t="s">
        <v>3785</v>
      </c>
      <c r="AT529" s="966" t="s">
        <v>560</v>
      </c>
      <c r="AU529" s="964"/>
      <c r="AV529" s="964"/>
    </row>
    <row r="530" spans="3:48" ht="45" x14ac:dyDescent="0.25">
      <c r="C530" s="867">
        <v>185</v>
      </c>
      <c r="D530" s="867"/>
      <c r="E530" s="868" t="s">
        <v>2952</v>
      </c>
      <c r="F530" s="441" t="s">
        <v>2598</v>
      </c>
      <c r="G530" s="906">
        <v>900462717</v>
      </c>
      <c r="H530" s="1003" t="s">
        <v>2953</v>
      </c>
      <c r="I530" s="910">
        <v>1802850</v>
      </c>
      <c r="J530" s="873" t="s">
        <v>2954</v>
      </c>
      <c r="K530" s="295">
        <v>2017</v>
      </c>
      <c r="L530" s="546">
        <v>42877</v>
      </c>
      <c r="M530" s="870">
        <v>42887</v>
      </c>
      <c r="N530" s="870">
        <v>43191</v>
      </c>
      <c r="O530" s="127">
        <f>COUNTA(Modificaciones!I516,Modificaciones!K516,Modificaciones!M516,Modificaciones!O516)</f>
        <v>2</v>
      </c>
      <c r="P530" s="128">
        <f>VLOOKUP(E530,Modificaciones!$B$7:$Q$530,16,0)</f>
        <v>0</v>
      </c>
      <c r="Q530" s="129">
        <f>COUNTA(Modificaciones!S530,Modificaciones!U530,Modificaciones!W530,Modificaciones!Y530)</f>
        <v>0</v>
      </c>
      <c r="R530" s="130" t="str">
        <f>IF(Modificaciones!Z530=0,"",VLOOKUP(E530,Modificaciones!$B$7:$AA$500,25,0))</f>
        <v/>
      </c>
      <c r="S530" s="131" t="str">
        <f>IF(Modificaciones!AA530=0,"",VLOOKUP(E530,Modificaciones!$B$7:$AA$500,26,0))</f>
        <v/>
      </c>
      <c r="T530" s="855">
        <f t="shared" si="102"/>
        <v>43191</v>
      </c>
      <c r="U530" s="62">
        <f t="shared" si="103"/>
        <v>1802850</v>
      </c>
      <c r="V530" s="172">
        <f>VLOOKUP(E530,Modificaciones!$B$7:$AU$530,46,0)</f>
        <v>1564850</v>
      </c>
      <c r="W530" s="93">
        <f t="shared" si="101"/>
        <v>238000</v>
      </c>
      <c r="X530" s="309" t="s">
        <v>1629</v>
      </c>
      <c r="Y530" s="852">
        <f t="shared" si="104"/>
        <v>0.86798679867986794</v>
      </c>
      <c r="Z530" s="42">
        <f t="shared" ca="1" si="105"/>
        <v>1</v>
      </c>
      <c r="AA530" s="43">
        <f t="shared" ca="1" si="106"/>
        <v>0.13201320132013206</v>
      </c>
      <c r="AB530" s="202" t="str">
        <f t="shared" ca="1" si="107"/>
        <v/>
      </c>
      <c r="AC530" s="44" t="str">
        <f t="shared" ref="AC530:AC561" si="109">IF(Y530&lt;=99.9%,"NO","SI")</f>
        <v>NO</v>
      </c>
      <c r="AD530" s="868"/>
      <c r="AE530" s="173" t="s">
        <v>1256</v>
      </c>
      <c r="AF530" s="281" t="s">
        <v>1282</v>
      </c>
      <c r="AG530" s="173"/>
      <c r="AH530" s="281" t="s">
        <v>560</v>
      </c>
      <c r="AI530" s="305" t="s">
        <v>1380</v>
      </c>
      <c r="AJ530" s="305" t="s">
        <v>3803</v>
      </c>
      <c r="AK530" s="181" t="str">
        <f t="shared" ca="1" si="108"/>
        <v>TERMINO</v>
      </c>
      <c r="AL530" s="310" t="s">
        <v>576</v>
      </c>
      <c r="AM530" s="433" t="s">
        <v>390</v>
      </c>
      <c r="AN530" s="848" t="str">
        <f>IFERROR(VLOOKUP(E530,'liquidaciones '!$B$2:$C$1048576,2,0),"NO")</f>
        <v>LIQUIDADO</v>
      </c>
      <c r="AO530" s="944">
        <f>IFERROR(VLOOKUP(E530,'liquidaciones '!$B$2:$I$1048576,8,0),"")</f>
        <v>0</v>
      </c>
      <c r="AP530" s="433"/>
      <c r="AQ530" s="433" t="s">
        <v>390</v>
      </c>
      <c r="AR530" s="177" t="s">
        <v>2965</v>
      </c>
      <c r="AS530" s="433" t="s">
        <v>2754</v>
      </c>
      <c r="AT530" s="966" t="s">
        <v>3994</v>
      </c>
      <c r="AU530" s="964"/>
      <c r="AV530" s="964"/>
    </row>
    <row r="531" spans="3:48" ht="45" x14ac:dyDescent="0.25">
      <c r="C531" s="867">
        <v>75</v>
      </c>
      <c r="D531" s="867"/>
      <c r="E531" s="868" t="s">
        <v>2957</v>
      </c>
      <c r="F531" s="441" t="s">
        <v>2095</v>
      </c>
      <c r="G531" s="906">
        <v>830099766</v>
      </c>
      <c r="H531" s="1003" t="s">
        <v>2642</v>
      </c>
      <c r="I531" s="910">
        <v>63846922</v>
      </c>
      <c r="J531" s="873" t="s">
        <v>2957</v>
      </c>
      <c r="K531" s="295">
        <v>2017</v>
      </c>
      <c r="L531" s="546">
        <v>42887</v>
      </c>
      <c r="M531" s="870">
        <v>42898</v>
      </c>
      <c r="N531" s="870">
        <v>43202</v>
      </c>
      <c r="O531" s="127">
        <f>COUNTA(Modificaciones!I517,Modificaciones!K517,Modificaciones!M517,Modificaciones!O517)</f>
        <v>0</v>
      </c>
      <c r="P531" s="128">
        <f>VLOOKUP(E531,Modificaciones!$B$7:$Q$531,16,0)</f>
        <v>19154077</v>
      </c>
      <c r="Q531" s="129">
        <f>COUNTA(Modificaciones!S531,Modificaciones!U531,Modificaciones!W531,Modificaciones!Y531)</f>
        <v>1</v>
      </c>
      <c r="R531" s="130" t="str">
        <f>IF(Modificaciones!Z531=0,"",VLOOKUP(E531,Modificaciones!$B$7:$AA$1419,25,0))</f>
        <v>3 meses</v>
      </c>
      <c r="S531" s="131">
        <f>IF(Modificaciones!AA531=0,"",VLOOKUP(E531,Modificaciones!$B$7:$AA$1419,26,0))</f>
        <v>43292</v>
      </c>
      <c r="T531" s="855">
        <f t="shared" si="102"/>
        <v>43292</v>
      </c>
      <c r="U531" s="62">
        <f t="shared" si="103"/>
        <v>83000999</v>
      </c>
      <c r="V531" s="172">
        <f>VLOOKUP(E531,Modificaciones!$B$7:$AU$531,46,0)</f>
        <v>63846919</v>
      </c>
      <c r="W531" s="93">
        <f t="shared" si="101"/>
        <v>19154080</v>
      </c>
      <c r="X531" s="313" t="s">
        <v>2958</v>
      </c>
      <c r="Y531" s="852">
        <f t="shared" si="104"/>
        <v>0.76923072937953429</v>
      </c>
      <c r="Z531" s="42">
        <f t="shared" ca="1" si="105"/>
        <v>1</v>
      </c>
      <c r="AA531" s="43">
        <f t="shared" ca="1" si="106"/>
        <v>0.23076927062046571</v>
      </c>
      <c r="AB531" s="202" t="str">
        <f t="shared" ca="1" si="107"/>
        <v/>
      </c>
      <c r="AC531" s="44" t="str">
        <f t="shared" si="109"/>
        <v>NO</v>
      </c>
      <c r="AD531" s="760" t="s">
        <v>1710</v>
      </c>
      <c r="AE531" s="173" t="s">
        <v>1257</v>
      </c>
      <c r="AF531" s="281" t="s">
        <v>2098</v>
      </c>
      <c r="AG531" s="173" t="s">
        <v>1439</v>
      </c>
      <c r="AH531" s="281" t="s">
        <v>560</v>
      </c>
      <c r="AI531" s="305" t="s">
        <v>1509</v>
      </c>
      <c r="AJ531" s="305" t="s">
        <v>3802</v>
      </c>
      <c r="AK531" s="181" t="str">
        <f t="shared" ca="1" si="108"/>
        <v>TERMINO</v>
      </c>
      <c r="AL531" s="310" t="s">
        <v>582</v>
      </c>
      <c r="AM531" s="176" t="s">
        <v>390</v>
      </c>
      <c r="AN531" s="848" t="str">
        <f>IFERROR(VLOOKUP(E531,'liquidaciones '!$B$2:$C$1048576,2,0),"NO")</f>
        <v>LIQUIDADO</v>
      </c>
      <c r="AO531" s="944">
        <f>IFERROR(VLOOKUP(E531,'liquidaciones '!$B$2:$I$1048576,8,0),"")</f>
        <v>0</v>
      </c>
      <c r="AP531" s="433"/>
      <c r="AQ531" s="433" t="s">
        <v>390</v>
      </c>
      <c r="AR531" s="433" t="s">
        <v>3518</v>
      </c>
      <c r="AS531" s="433" t="s">
        <v>3785</v>
      </c>
      <c r="AT531" s="966" t="s">
        <v>560</v>
      </c>
      <c r="AU531" s="964"/>
      <c r="AV531" s="964"/>
    </row>
    <row r="532" spans="3:48" ht="45" x14ac:dyDescent="0.25">
      <c r="C532" s="867">
        <v>211</v>
      </c>
      <c r="D532" s="867"/>
      <c r="E532" s="868" t="s">
        <v>2959</v>
      </c>
      <c r="F532" s="441" t="s">
        <v>2960</v>
      </c>
      <c r="G532" s="906">
        <v>900170405</v>
      </c>
      <c r="H532" s="1003" t="s">
        <v>2961</v>
      </c>
      <c r="I532" s="910">
        <v>56122000</v>
      </c>
      <c r="J532" s="873" t="s">
        <v>2962</v>
      </c>
      <c r="K532" s="295">
        <v>2017</v>
      </c>
      <c r="L532" s="546">
        <v>42888</v>
      </c>
      <c r="M532" s="870">
        <v>42898</v>
      </c>
      <c r="N532" s="870">
        <v>43263</v>
      </c>
      <c r="O532" s="127">
        <f>COUNTA(Modificaciones!I518,Modificaciones!K518,Modificaciones!M518,Modificaciones!O518)</f>
        <v>1</v>
      </c>
      <c r="P532" s="128">
        <f>VLOOKUP(E532,Modificaciones!$B$7:$Q$819,16,0)</f>
        <v>0</v>
      </c>
      <c r="Q532" s="129">
        <f>COUNTA(Modificaciones!S532,Modificaciones!U532,Modificaciones!W532,Modificaciones!Y532)</f>
        <v>1</v>
      </c>
      <c r="R532" s="130" t="str">
        <f>IF(Modificaciones!Z532=0,"",VLOOKUP(E532,Modificaciones!$B$7:$AA$1419,25,0))</f>
        <v>2 meses</v>
      </c>
      <c r="S532" s="131">
        <f>IF(Modificaciones!AA532=0,"",VLOOKUP(E532,Modificaciones!$B$7:$AA$1419,26,0))</f>
        <v>43324</v>
      </c>
      <c r="T532" s="855">
        <f t="shared" si="102"/>
        <v>43324</v>
      </c>
      <c r="U532" s="62">
        <f t="shared" si="103"/>
        <v>56122000</v>
      </c>
      <c r="V532" s="172">
        <f>VLOOKUP(E532,Modificaciones!$B$7:$AU$819,46,0)</f>
        <v>55122000</v>
      </c>
      <c r="W532" s="93">
        <f t="shared" si="101"/>
        <v>1000000</v>
      </c>
      <c r="X532" s="314" t="s">
        <v>2521</v>
      </c>
      <c r="Y532" s="852">
        <f t="shared" si="104"/>
        <v>0.98218167563522329</v>
      </c>
      <c r="Z532" s="42">
        <f t="shared" ca="1" si="105"/>
        <v>1</v>
      </c>
      <c r="AA532" s="43">
        <f ca="1">+Z532-Y532</f>
        <v>1.7818324364776705E-2</v>
      </c>
      <c r="AB532" s="202" t="str">
        <f t="shared" ca="1" si="107"/>
        <v/>
      </c>
      <c r="AC532" s="44" t="str">
        <f t="shared" si="109"/>
        <v>NO</v>
      </c>
      <c r="AD532" s="760" t="s">
        <v>1710</v>
      </c>
      <c r="AE532" s="173" t="s">
        <v>1256</v>
      </c>
      <c r="AF532" s="301" t="s">
        <v>1175</v>
      </c>
      <c r="AG532" s="173" t="s">
        <v>1435</v>
      </c>
      <c r="AH532" s="281" t="s">
        <v>560</v>
      </c>
      <c r="AI532" s="174" t="s">
        <v>1389</v>
      </c>
      <c r="AJ532" s="305" t="s">
        <v>3802</v>
      </c>
      <c r="AK532" s="181" t="str">
        <f t="shared" ca="1" si="108"/>
        <v>TERMINO</v>
      </c>
      <c r="AL532" s="173" t="s">
        <v>577</v>
      </c>
      <c r="AM532" s="176" t="s">
        <v>390</v>
      </c>
      <c r="AN532" s="848" t="str">
        <f>IFERROR(VLOOKUP(E532,'liquidaciones '!$B$2:$C$1048576,2,0),"NO")</f>
        <v>LIQUIDADO</v>
      </c>
      <c r="AO532" s="944" t="str">
        <f>IFERROR(VLOOKUP(E532,'liquidaciones '!$B$2:$I$1048576,8,0),"")</f>
        <v>JUAN DIEGO ESPITIA</v>
      </c>
      <c r="AP532" s="433"/>
      <c r="AQ532" s="433" t="s">
        <v>390</v>
      </c>
      <c r="AR532" s="433" t="s">
        <v>1510</v>
      </c>
      <c r="AS532" s="433" t="s">
        <v>3790</v>
      </c>
      <c r="AT532" s="966" t="s">
        <v>560</v>
      </c>
      <c r="AU532" s="964"/>
      <c r="AV532" s="964"/>
    </row>
    <row r="533" spans="3:48" ht="22.5" x14ac:dyDescent="0.25">
      <c r="C533" s="867">
        <v>191</v>
      </c>
      <c r="D533" s="867"/>
      <c r="E533" s="868" t="s">
        <v>2963</v>
      </c>
      <c r="F533" s="441" t="s">
        <v>2964</v>
      </c>
      <c r="G533" s="906">
        <v>900062917</v>
      </c>
      <c r="H533" s="1003" t="s">
        <v>3051</v>
      </c>
      <c r="I533" s="910">
        <v>35763045</v>
      </c>
      <c r="J533" s="873" t="s">
        <v>2963</v>
      </c>
      <c r="K533" s="295">
        <v>2017</v>
      </c>
      <c r="L533" s="546">
        <v>42887</v>
      </c>
      <c r="M533" s="870">
        <v>42899</v>
      </c>
      <c r="N533" s="870">
        <v>43186</v>
      </c>
      <c r="O533" s="127">
        <f>COUNTA(Modificaciones!I519,Modificaciones!K519,Modificaciones!M519,Modificaciones!O519)</f>
        <v>1</v>
      </c>
      <c r="P533" s="128">
        <f>VLOOKUP(E533,Modificaciones!$B$7:$Q$819,16,0)</f>
        <v>11400000</v>
      </c>
      <c r="Q533" s="129">
        <f>COUNTA(Modificaciones!S533,Modificaciones!U533,Modificaciones!W533,Modificaciones!Y533)</f>
        <v>3</v>
      </c>
      <c r="R533" s="130" t="str">
        <f>IF(Modificaciones!Z533=0,"",VLOOKUP(E533,Modificaciones!$B$7:$AA$1419,25,0))</f>
        <v>4 meses y 5 días</v>
      </c>
      <c r="S533" s="131">
        <f>IF(Modificaciones!AA533=0,"",VLOOKUP(E533,Modificaciones!$B$7:$AA$1419,26,0))</f>
        <v>43313</v>
      </c>
      <c r="T533" s="855">
        <f t="shared" si="102"/>
        <v>43313</v>
      </c>
      <c r="U533" s="62">
        <f t="shared" si="103"/>
        <v>47163045</v>
      </c>
      <c r="V533" s="172">
        <f>VLOOKUP(E533,Modificaciones!$B$7:$AU$819,46,0)</f>
        <v>45636442</v>
      </c>
      <c r="W533" s="93">
        <f t="shared" si="101"/>
        <v>1526603</v>
      </c>
      <c r="X533" s="309" t="s">
        <v>1865</v>
      </c>
      <c r="Y533" s="852">
        <f t="shared" si="104"/>
        <v>0.96763137324996717</v>
      </c>
      <c r="Z533" s="42">
        <f t="shared" ca="1" si="105"/>
        <v>1</v>
      </c>
      <c r="AA533" s="43">
        <f t="shared" ca="1" si="106"/>
        <v>3.2368626750032825E-2</v>
      </c>
      <c r="AB533" s="202" t="str">
        <f t="shared" ca="1" si="107"/>
        <v/>
      </c>
      <c r="AC533" s="44" t="str">
        <f t="shared" si="109"/>
        <v>NO</v>
      </c>
      <c r="AD533" s="760" t="s">
        <v>1710</v>
      </c>
      <c r="AE533" s="173" t="s">
        <v>1256</v>
      </c>
      <c r="AF533" s="281" t="s">
        <v>1137</v>
      </c>
      <c r="AG533" s="173" t="s">
        <v>1436</v>
      </c>
      <c r="AH533" s="281" t="s">
        <v>562</v>
      </c>
      <c r="AI533" s="174" t="s">
        <v>1385</v>
      </c>
      <c r="AJ533" s="305" t="s">
        <v>3802</v>
      </c>
      <c r="AK533" s="181" t="str">
        <f t="shared" ca="1" si="108"/>
        <v>TERMINO</v>
      </c>
      <c r="AL533" s="310" t="s">
        <v>575</v>
      </c>
      <c r="AM533" s="176" t="s">
        <v>390</v>
      </c>
      <c r="AN533" s="848" t="str">
        <f>IFERROR(VLOOKUP(E533,'liquidaciones '!$B$2:$C$1048576,2,0),"NO")</f>
        <v>NO</v>
      </c>
      <c r="AO533" s="944" t="str">
        <f>IFERROR(VLOOKUP(E533,'liquidaciones '!$B$2:$I$1048576,8,0),"")</f>
        <v/>
      </c>
      <c r="AP533" s="433"/>
      <c r="AQ533" s="177" t="s">
        <v>390</v>
      </c>
      <c r="AR533" s="177" t="s">
        <v>2965</v>
      </c>
      <c r="AS533" s="433" t="s">
        <v>3788</v>
      </c>
      <c r="AT533" s="966" t="s">
        <v>560</v>
      </c>
      <c r="AU533" s="964"/>
      <c r="AV533" s="964"/>
    </row>
    <row r="534" spans="3:48" ht="67.5" x14ac:dyDescent="0.25">
      <c r="C534" s="867">
        <v>261</v>
      </c>
      <c r="D534" s="867"/>
      <c r="E534" s="868" t="s">
        <v>2969</v>
      </c>
      <c r="F534" s="441" t="s">
        <v>152</v>
      </c>
      <c r="G534" s="906">
        <v>800015583</v>
      </c>
      <c r="H534" s="1003" t="s">
        <v>2996</v>
      </c>
      <c r="I534" s="910">
        <v>50000000</v>
      </c>
      <c r="J534" s="873" t="s">
        <v>2972</v>
      </c>
      <c r="K534" s="295">
        <v>2017</v>
      </c>
      <c r="L534" s="546">
        <v>42885</v>
      </c>
      <c r="M534" s="902">
        <v>42913</v>
      </c>
      <c r="N534" s="902">
        <v>43278</v>
      </c>
      <c r="O534" s="127">
        <f>COUNTA(Modificaciones!I520,Modificaciones!K520,Modificaciones!M520,Modificaciones!O520)</f>
        <v>1</v>
      </c>
      <c r="P534" s="128">
        <f>VLOOKUP(E534,Modificaciones!$B$7:$Q$819,16,0)</f>
        <v>0</v>
      </c>
      <c r="Q534" s="129">
        <f>COUNTA(Modificaciones!S534,Modificaciones!U534,Modificaciones!W534,Modificaciones!Y534)</f>
        <v>0</v>
      </c>
      <c r="R534" s="130" t="str">
        <f>IF(Modificaciones!Z534=0,"",VLOOKUP(E534,Modificaciones!$B$7:$AA$1419,25,0))</f>
        <v/>
      </c>
      <c r="S534" s="131" t="str">
        <f>IF(Modificaciones!AA534=0,"",VLOOKUP(E534,Modificaciones!$B$7:$AA$1419,26,0))</f>
        <v/>
      </c>
      <c r="T534" s="855">
        <f t="shared" si="102"/>
        <v>43278</v>
      </c>
      <c r="U534" s="62">
        <f t="shared" si="103"/>
        <v>50000000</v>
      </c>
      <c r="V534" s="172">
        <f>VLOOKUP(E534,Modificaciones!$B$7:$AU$819,46,0)</f>
        <v>37111995</v>
      </c>
      <c r="W534" s="93">
        <f t="shared" si="101"/>
        <v>12888005</v>
      </c>
      <c r="X534" s="314" t="s">
        <v>2970</v>
      </c>
      <c r="Y534" s="852">
        <f t="shared" si="104"/>
        <v>0.74223989999999995</v>
      </c>
      <c r="Z534" s="42">
        <f t="shared" ca="1" si="105"/>
        <v>1</v>
      </c>
      <c r="AA534" s="43">
        <f t="shared" ca="1" si="106"/>
        <v>0.25776010000000005</v>
      </c>
      <c r="AB534" s="202" t="str">
        <f t="shared" ca="1" si="107"/>
        <v/>
      </c>
      <c r="AC534" s="44" t="str">
        <f t="shared" si="109"/>
        <v>NO</v>
      </c>
      <c r="AD534" s="760" t="s">
        <v>1710</v>
      </c>
      <c r="AE534" s="871" t="s">
        <v>1257</v>
      </c>
      <c r="AF534" s="871" t="s">
        <v>2971</v>
      </c>
      <c r="AG534" s="173" t="s">
        <v>1439</v>
      </c>
      <c r="AH534" s="281" t="s">
        <v>560</v>
      </c>
      <c r="AI534" s="868"/>
      <c r="AJ534" s="305" t="s">
        <v>3802</v>
      </c>
      <c r="AK534" s="181" t="str">
        <f t="shared" ca="1" si="108"/>
        <v>TERMINO</v>
      </c>
      <c r="AL534" s="310" t="s">
        <v>576</v>
      </c>
      <c r="AM534" s="433" t="s">
        <v>390</v>
      </c>
      <c r="AN534" s="848" t="str">
        <f>IFERROR(VLOOKUP(E534,'liquidaciones '!$B$2:$C$1048576,2,0),"NO")</f>
        <v>LIQUIDADO</v>
      </c>
      <c r="AO534" s="944" t="str">
        <f>IFERROR(VLOOKUP(E534,'liquidaciones '!$B$2:$I$1048576,8,0),"")</f>
        <v>JUAN DIEGO ESPITIA</v>
      </c>
      <c r="AP534" s="433"/>
      <c r="AQ534" s="177" t="s">
        <v>390</v>
      </c>
      <c r="AR534" s="433" t="s">
        <v>3518</v>
      </c>
      <c r="AS534" s="433" t="s">
        <v>3785</v>
      </c>
      <c r="AT534" s="966" t="s">
        <v>560</v>
      </c>
      <c r="AU534" s="964"/>
      <c r="AV534" s="964"/>
    </row>
    <row r="535" spans="3:48" ht="45" x14ac:dyDescent="0.25">
      <c r="C535" s="867">
        <v>77</v>
      </c>
      <c r="D535" s="867"/>
      <c r="E535" s="868" t="s">
        <v>2973</v>
      </c>
      <c r="F535" s="441" t="s">
        <v>2699</v>
      </c>
      <c r="G535" s="906">
        <v>900105979</v>
      </c>
      <c r="H535" s="1003" t="s">
        <v>2974</v>
      </c>
      <c r="I535" s="910">
        <v>110600000</v>
      </c>
      <c r="J535" s="873" t="s">
        <v>2976</v>
      </c>
      <c r="K535" s="295">
        <v>2017</v>
      </c>
      <c r="L535" s="546">
        <v>42891</v>
      </c>
      <c r="M535" s="870">
        <v>42906</v>
      </c>
      <c r="N535" s="870">
        <v>43210</v>
      </c>
      <c r="O535" s="127">
        <f>COUNTA(Modificaciones!I521,Modificaciones!K521,Modificaciones!M521,Modificaciones!O521)</f>
        <v>1</v>
      </c>
      <c r="P535" s="128">
        <f>VLOOKUP(E535,Modificaciones!$B$7:$Q$819,16,0)</f>
        <v>25806667</v>
      </c>
      <c r="Q535" s="129">
        <f>COUNTA(Modificaciones!S535,Modificaciones!U535,Modificaciones!W535,Modificaciones!Y535)</f>
        <v>1</v>
      </c>
      <c r="R535" s="130" t="str">
        <f>IF(Modificaciones!Z535=0,"",VLOOKUP(E535,Modificaciones!$B$7:$AA$1419,25,0))</f>
        <v>2 meses y 10 días calendario</v>
      </c>
      <c r="S535" s="131">
        <f>IF(Modificaciones!AA535=0,"",VLOOKUP(E535,Modificaciones!$B$7:$AA$1419,26,0))</f>
        <v>43281</v>
      </c>
      <c r="T535" s="855">
        <f t="shared" si="102"/>
        <v>43281</v>
      </c>
      <c r="U535" s="62">
        <f t="shared" si="103"/>
        <v>136406667</v>
      </c>
      <c r="V535" s="172">
        <f>VLOOKUP(E535,Modificaciones!$B$7:$AU$819,46,0)</f>
        <v>136406667</v>
      </c>
      <c r="W535" s="93">
        <f t="shared" si="101"/>
        <v>0</v>
      </c>
      <c r="X535" s="314" t="s">
        <v>2521</v>
      </c>
      <c r="Y535" s="852">
        <f t="shared" si="104"/>
        <v>1</v>
      </c>
      <c r="Z535" s="42">
        <f t="shared" ca="1" si="105"/>
        <v>1</v>
      </c>
      <c r="AA535" s="43">
        <f t="shared" ca="1" si="106"/>
        <v>0</v>
      </c>
      <c r="AB535" s="202" t="str">
        <f t="shared" ca="1" si="107"/>
        <v/>
      </c>
      <c r="AC535" s="44" t="str">
        <f t="shared" si="109"/>
        <v>SI</v>
      </c>
      <c r="AD535" s="760" t="s">
        <v>1710</v>
      </c>
      <c r="AE535" s="871" t="s">
        <v>1257</v>
      </c>
      <c r="AF535" s="871" t="s">
        <v>2971</v>
      </c>
      <c r="AG535" s="173" t="s">
        <v>1439</v>
      </c>
      <c r="AH535" s="281" t="s">
        <v>560</v>
      </c>
      <c r="AI535" s="868"/>
      <c r="AJ535" s="305" t="s">
        <v>3802</v>
      </c>
      <c r="AK535" s="181" t="str">
        <f t="shared" ca="1" si="108"/>
        <v>TERMINO</v>
      </c>
      <c r="AL535" s="441" t="s">
        <v>2975</v>
      </c>
      <c r="AM535" s="433" t="s">
        <v>390</v>
      </c>
      <c r="AN535" s="848" t="str">
        <f>IFERROR(VLOOKUP(E535,'liquidaciones '!$B$2:$C$1048576,2,0),"NO")</f>
        <v>EN TRÁMITE</v>
      </c>
      <c r="AO535" s="944" t="str">
        <f>IFERROR(VLOOKUP(E535,'liquidaciones '!$B$2:$I$1048576,8,0),"")</f>
        <v>JUAN DIEGO ESPITIA</v>
      </c>
      <c r="AP535" s="433"/>
      <c r="AQ535" s="177" t="str">
        <f ca="1">IF((TODAY()-T535&lt;900),"SI","NO")</f>
        <v>SI</v>
      </c>
      <c r="AR535" s="433" t="s">
        <v>3518</v>
      </c>
      <c r="AS535" s="433" t="s">
        <v>3785</v>
      </c>
      <c r="AT535" s="966" t="s">
        <v>560</v>
      </c>
      <c r="AU535" s="964"/>
      <c r="AV535" s="964"/>
    </row>
    <row r="536" spans="3:48" ht="30" x14ac:dyDescent="0.25">
      <c r="C536" s="867">
        <v>88</v>
      </c>
      <c r="D536" s="867"/>
      <c r="E536" s="868" t="s">
        <v>2982</v>
      </c>
      <c r="F536" s="441" t="s">
        <v>2983</v>
      </c>
      <c r="G536" s="906" t="s">
        <v>2984</v>
      </c>
      <c r="H536" s="1003" t="s">
        <v>2985</v>
      </c>
      <c r="I536" s="910">
        <v>4361500</v>
      </c>
      <c r="J536" s="873" t="s">
        <v>2986</v>
      </c>
      <c r="K536" s="295">
        <v>2017</v>
      </c>
      <c r="L536" s="546">
        <v>42909</v>
      </c>
      <c r="M536" s="874">
        <v>42922</v>
      </c>
      <c r="N536" s="874">
        <v>42984</v>
      </c>
      <c r="O536" s="127">
        <f>COUNTA(Modificaciones!I522,Modificaciones!K522,Modificaciones!M522,Modificaciones!O522)</f>
        <v>1</v>
      </c>
      <c r="P536" s="128">
        <f>VLOOKUP(E536,Modificaciones!$B$7:$Q$819,16,0)</f>
        <v>0</v>
      </c>
      <c r="Q536" s="129">
        <f>COUNTA(Modificaciones!S536,Modificaciones!U536,Modificaciones!W536,Modificaciones!Y536)</f>
        <v>0</v>
      </c>
      <c r="R536" s="130" t="str">
        <f>IF(Modificaciones!Z536=0,"",VLOOKUP(E536,Modificaciones!$B$7:$AA$1419,25,0))</f>
        <v/>
      </c>
      <c r="S536" s="131" t="str">
        <f>IF(Modificaciones!AA536=0,"",VLOOKUP(E536,Modificaciones!$B$7:$AA$500,26,0))</f>
        <v/>
      </c>
      <c r="T536" s="855">
        <f t="shared" si="102"/>
        <v>42984</v>
      </c>
      <c r="U536" s="62">
        <f t="shared" si="103"/>
        <v>4361500</v>
      </c>
      <c r="V536" s="172">
        <f>VLOOKUP(E536,Modificaciones!$B$7:$AU$819,46,0)</f>
        <v>4361500</v>
      </c>
      <c r="W536" s="93">
        <f t="shared" si="101"/>
        <v>0</v>
      </c>
      <c r="X536" s="309" t="s">
        <v>1820</v>
      </c>
      <c r="Y536" s="852">
        <f t="shared" si="104"/>
        <v>1</v>
      </c>
      <c r="Z536" s="42">
        <f t="shared" ca="1" si="105"/>
        <v>1</v>
      </c>
      <c r="AA536" s="43">
        <f t="shared" ca="1" si="106"/>
        <v>0</v>
      </c>
      <c r="AB536" s="202" t="str">
        <f t="shared" ca="1" si="107"/>
        <v/>
      </c>
      <c r="AC536" s="44" t="str">
        <f t="shared" si="109"/>
        <v>SI</v>
      </c>
      <c r="AD536" s="760" t="s">
        <v>1712</v>
      </c>
      <c r="AE536" s="173" t="s">
        <v>1257</v>
      </c>
      <c r="AF536" s="281" t="s">
        <v>1311</v>
      </c>
      <c r="AG536" s="173" t="s">
        <v>1439</v>
      </c>
      <c r="AH536" s="281" t="s">
        <v>560</v>
      </c>
      <c r="AI536" s="305" t="s">
        <v>1509</v>
      </c>
      <c r="AJ536" s="305" t="s">
        <v>2834</v>
      </c>
      <c r="AK536" s="181" t="str">
        <f t="shared" ca="1" si="108"/>
        <v>TERMINO</v>
      </c>
      <c r="AL536" s="310" t="s">
        <v>576</v>
      </c>
      <c r="AM536" s="176" t="s">
        <v>391</v>
      </c>
      <c r="AN536" s="848" t="str">
        <f>IFERROR(VLOOKUP(E536,'liquidaciones '!$B$2:$C$1048576,2,0),"NO")</f>
        <v>LIQUIDADO</v>
      </c>
      <c r="AO536" s="944">
        <f>IFERROR(VLOOKUP(E536,'liquidaciones '!$B$2:$I$1048576,8,0),"")</f>
        <v>0</v>
      </c>
      <c r="AP536" s="433"/>
      <c r="AQ536" s="433" t="s">
        <v>390</v>
      </c>
      <c r="AR536" s="433" t="s">
        <v>3518</v>
      </c>
      <c r="AS536" s="433"/>
      <c r="AT536" s="966"/>
      <c r="AU536" s="964"/>
      <c r="AV536" s="964"/>
    </row>
    <row r="537" spans="3:48" ht="90" x14ac:dyDescent="0.25">
      <c r="C537" s="867">
        <v>200</v>
      </c>
      <c r="D537" s="867"/>
      <c r="E537" s="868" t="s">
        <v>2987</v>
      </c>
      <c r="F537" s="441" t="s">
        <v>2153</v>
      </c>
      <c r="G537" s="906" t="s">
        <v>2988</v>
      </c>
      <c r="H537" s="1001" t="s">
        <v>3557</v>
      </c>
      <c r="I537" s="910">
        <v>4491000</v>
      </c>
      <c r="J537" s="873" t="s">
        <v>2995</v>
      </c>
      <c r="K537" s="295">
        <v>2017</v>
      </c>
      <c r="L537" s="546">
        <v>42894</v>
      </c>
      <c r="M537" s="874">
        <v>42920</v>
      </c>
      <c r="N537" s="874">
        <v>43255</v>
      </c>
      <c r="O537" s="127">
        <f>COUNTA(Modificaciones!I523,Modificaciones!K523,Modificaciones!M523,Modificaciones!O523)</f>
        <v>0</v>
      </c>
      <c r="P537" s="128">
        <f>VLOOKUP(E537,Modificaciones!$B$7:$Q$819,16,0)</f>
        <v>0</v>
      </c>
      <c r="Q537" s="129">
        <f>COUNTA(Modificaciones!S537,Modificaciones!U537,Modificaciones!W537,Modificaciones!Y537)</f>
        <v>0</v>
      </c>
      <c r="R537" s="130" t="str">
        <f>IF(Modificaciones!Z537=0,"",VLOOKUP(E537,Modificaciones!$B$7:$AA$1419,25,0))</f>
        <v/>
      </c>
      <c r="S537" s="131" t="str">
        <f>IF(Modificaciones!AA537=0,"",VLOOKUP(E537,Modificaciones!$B$7:$AA$500,26,0))</f>
        <v/>
      </c>
      <c r="T537" s="855">
        <f t="shared" si="102"/>
        <v>43255</v>
      </c>
      <c r="U537" s="62">
        <f t="shared" si="103"/>
        <v>4491000</v>
      </c>
      <c r="V537" s="172">
        <f>VLOOKUP(E537,Modificaciones!$B$7:$AU$819,46,0)</f>
        <v>4410990</v>
      </c>
      <c r="W537" s="93">
        <f t="shared" si="101"/>
        <v>80010</v>
      </c>
      <c r="X537" s="309" t="s">
        <v>2989</v>
      </c>
      <c r="Y537" s="852">
        <f t="shared" si="104"/>
        <v>0.98218436873747494</v>
      </c>
      <c r="Z537" s="42">
        <f t="shared" ca="1" si="105"/>
        <v>1</v>
      </c>
      <c r="AA537" s="43">
        <f t="shared" ca="1" si="106"/>
        <v>1.7815631262525056E-2</v>
      </c>
      <c r="AB537" s="202" t="str">
        <f t="shared" ca="1" si="107"/>
        <v/>
      </c>
      <c r="AC537" s="44" t="str">
        <f t="shared" si="109"/>
        <v>NO</v>
      </c>
      <c r="AD537" s="760" t="s">
        <v>1710</v>
      </c>
      <c r="AE537" s="173" t="s">
        <v>1256</v>
      </c>
      <c r="AF537" s="281" t="s">
        <v>1172</v>
      </c>
      <c r="AG537" s="173" t="s">
        <v>1442</v>
      </c>
      <c r="AH537" s="281" t="s">
        <v>560</v>
      </c>
      <c r="AI537" s="174" t="s">
        <v>1380</v>
      </c>
      <c r="AJ537" s="305" t="s">
        <v>3802</v>
      </c>
      <c r="AK537" s="181" t="str">
        <f t="shared" ca="1" si="108"/>
        <v>TERMINO</v>
      </c>
      <c r="AL537" s="181" t="s">
        <v>576</v>
      </c>
      <c r="AM537" s="176" t="s">
        <v>390</v>
      </c>
      <c r="AN537" s="848" t="str">
        <f>IFERROR(VLOOKUP(E537,'liquidaciones '!$B$2:$C$1048576,2,0),"NO")</f>
        <v>LIQUIDADO</v>
      </c>
      <c r="AO537" s="944" t="str">
        <f>IFERROR(VLOOKUP(E537,'liquidaciones '!$B$2:$I$1048576,8,0),"")</f>
        <v>JUAN DIEGO ESPITIA</v>
      </c>
      <c r="AP537" s="433"/>
      <c r="AQ537" s="433" t="s">
        <v>390</v>
      </c>
      <c r="AR537" s="433" t="s">
        <v>1510</v>
      </c>
      <c r="AS537" s="433" t="s">
        <v>3781</v>
      </c>
      <c r="AT537" s="966" t="s">
        <v>560</v>
      </c>
      <c r="AU537" s="964"/>
      <c r="AV537" s="964"/>
    </row>
    <row r="538" spans="3:48" ht="56.25" x14ac:dyDescent="0.25">
      <c r="C538" s="867">
        <v>193</v>
      </c>
      <c r="D538" s="867"/>
      <c r="E538" s="868" t="s">
        <v>2990</v>
      </c>
      <c r="F538" s="441" t="s">
        <v>2991</v>
      </c>
      <c r="G538" s="906" t="s">
        <v>2992</v>
      </c>
      <c r="H538" s="1001" t="s">
        <v>3052</v>
      </c>
      <c r="I538" s="910">
        <v>29000000</v>
      </c>
      <c r="J538" s="873" t="s">
        <v>2993</v>
      </c>
      <c r="K538" s="295">
        <v>2017</v>
      </c>
      <c r="L538" s="546">
        <v>42893</v>
      </c>
      <c r="M538" s="874">
        <v>42920</v>
      </c>
      <c r="N538" s="874">
        <v>43194</v>
      </c>
      <c r="O538" s="127">
        <f>COUNTA(Modificaciones!I524,Modificaciones!K524,Modificaciones!M524,Modificaciones!O524)</f>
        <v>1</v>
      </c>
      <c r="P538" s="128">
        <f>VLOOKUP(E538,Modificaciones!$B$7:$Q$819,16,0)</f>
        <v>0</v>
      </c>
      <c r="Q538" s="129">
        <f>COUNTA(Modificaciones!S538,Modificaciones!U538,Modificaciones!W538,Modificaciones!Y538)</f>
        <v>0</v>
      </c>
      <c r="R538" s="130" t="str">
        <f>IF(Modificaciones!Z538=0,"",VLOOKUP(E538,Modificaciones!$B$7:$AA$1419,25,0))</f>
        <v/>
      </c>
      <c r="S538" s="131" t="str">
        <f>IF(Modificaciones!AA538=0,"",VLOOKUP(E538,Modificaciones!$B$7:$AA$500,26,0))</f>
        <v/>
      </c>
      <c r="T538" s="855">
        <f t="shared" si="102"/>
        <v>43194</v>
      </c>
      <c r="U538" s="62">
        <f t="shared" si="103"/>
        <v>29000000</v>
      </c>
      <c r="V538" s="172">
        <f>VLOOKUP(E538,Modificaciones!$B$7:$AU$819,46,0)</f>
        <v>28999767</v>
      </c>
      <c r="W538" s="93">
        <f t="shared" si="101"/>
        <v>233</v>
      </c>
      <c r="X538" s="309" t="s">
        <v>2994</v>
      </c>
      <c r="Y538" s="852">
        <f t="shared" si="104"/>
        <v>0.99999196551724134</v>
      </c>
      <c r="Z538" s="42">
        <f t="shared" ca="1" si="105"/>
        <v>1</v>
      </c>
      <c r="AA538" s="43">
        <f t="shared" ca="1" si="106"/>
        <v>8.0344827586564804E-6</v>
      </c>
      <c r="AB538" s="202" t="str">
        <f t="shared" ca="1" si="107"/>
        <v/>
      </c>
      <c r="AC538" s="44" t="str">
        <f t="shared" si="109"/>
        <v>SI</v>
      </c>
      <c r="AD538" s="760" t="s">
        <v>1710</v>
      </c>
      <c r="AE538" s="173" t="s">
        <v>1256</v>
      </c>
      <c r="AF538" s="281" t="s">
        <v>1298</v>
      </c>
      <c r="AG538" s="173" t="s">
        <v>1442</v>
      </c>
      <c r="AH538" s="281" t="s">
        <v>560</v>
      </c>
      <c r="AI538" s="174" t="s">
        <v>1380</v>
      </c>
      <c r="AJ538" s="305" t="s">
        <v>3802</v>
      </c>
      <c r="AK538" s="181" t="str">
        <f t="shared" ca="1" si="108"/>
        <v>TERMINO</v>
      </c>
      <c r="AL538" s="181" t="s">
        <v>576</v>
      </c>
      <c r="AM538" s="433" t="s">
        <v>390</v>
      </c>
      <c r="AN538" s="848" t="str">
        <f>IFERROR(VLOOKUP(E538,'liquidaciones '!$B$2:$C$1048576,2,0),"NO")</f>
        <v>LIQUIDADO</v>
      </c>
      <c r="AO538" s="944">
        <f>IFERROR(VLOOKUP(E538,'liquidaciones '!$B$2:$I$1048576,8,0),"")</f>
        <v>0</v>
      </c>
      <c r="AP538" s="433"/>
      <c r="AQ538" s="433" t="s">
        <v>390</v>
      </c>
      <c r="AR538" s="433" t="s">
        <v>3055</v>
      </c>
      <c r="AS538" s="433" t="s">
        <v>3781</v>
      </c>
      <c r="AT538" s="966" t="s">
        <v>560</v>
      </c>
      <c r="AU538" s="964"/>
      <c r="AV538" s="964"/>
    </row>
    <row r="539" spans="3:48" ht="78.75" x14ac:dyDescent="0.25">
      <c r="C539" s="867">
        <v>196</v>
      </c>
      <c r="D539" s="867"/>
      <c r="E539" s="868" t="s">
        <v>2997</v>
      </c>
      <c r="F539" s="441" t="s">
        <v>2998</v>
      </c>
      <c r="G539" s="906" t="s">
        <v>2999</v>
      </c>
      <c r="H539" s="1003" t="s">
        <v>3000</v>
      </c>
      <c r="I539" s="910">
        <v>578014000</v>
      </c>
      <c r="J539" s="873" t="s">
        <v>3005</v>
      </c>
      <c r="K539" s="295">
        <v>2017</v>
      </c>
      <c r="L539" s="546">
        <v>42929</v>
      </c>
      <c r="M539" s="874">
        <v>42933</v>
      </c>
      <c r="N539" s="874">
        <v>43117</v>
      </c>
      <c r="O539" s="127">
        <f>COUNTA(Modificaciones!I525,Modificaciones!K525,Modificaciones!M525,Modificaciones!O525)</f>
        <v>1</v>
      </c>
      <c r="P539" s="128">
        <f>VLOOKUP(E539,Modificaciones!$B$7:$Q$819,16,0)</f>
        <v>303988189</v>
      </c>
      <c r="Q539" s="129">
        <f>COUNTA(Modificaciones!S539,Modificaciones!U539,Modificaciones!W539,Modificaciones!Y539)</f>
        <v>2</v>
      </c>
      <c r="R539" s="130" t="str">
        <f>IF(Modificaciones!Z539=0,"",VLOOKUP(E539,Modificaciones!$B$7:$AA$919,25,0))</f>
        <v>3 meses y 25 días</v>
      </c>
      <c r="S539" s="131">
        <f>IF(Modificaciones!AA539=0,"",VLOOKUP(E539,Modificaciones!$B$7:$AA$919,26,0))</f>
        <v>43231</v>
      </c>
      <c r="T539" s="855">
        <f t="shared" si="102"/>
        <v>43231</v>
      </c>
      <c r="U539" s="62">
        <f t="shared" si="103"/>
        <v>882002189</v>
      </c>
      <c r="V539" s="172">
        <f>VLOOKUP(E539,Modificaciones!$B$7:$AU$819,46,0)</f>
        <v>880108950</v>
      </c>
      <c r="W539" s="93">
        <f t="shared" si="101"/>
        <v>1893239</v>
      </c>
      <c r="X539" s="93" t="s">
        <v>1878</v>
      </c>
      <c r="Y539" s="852">
        <f t="shared" si="104"/>
        <v>0.99785347584891315</v>
      </c>
      <c r="Z539" s="42">
        <f t="shared" ca="1" si="105"/>
        <v>1</v>
      </c>
      <c r="AA539" s="43">
        <f t="shared" ca="1" si="106"/>
        <v>2.1465241510868482E-3</v>
      </c>
      <c r="AB539" s="202" t="str">
        <f t="shared" ca="1" si="107"/>
        <v/>
      </c>
      <c r="AC539" s="44" t="str">
        <f t="shared" si="109"/>
        <v>NO</v>
      </c>
      <c r="AD539" s="760" t="s">
        <v>1710</v>
      </c>
      <c r="AE539" s="173" t="s">
        <v>1256</v>
      </c>
      <c r="AF539" s="281" t="s">
        <v>1127</v>
      </c>
      <c r="AG539" s="173"/>
      <c r="AH539" s="281" t="s">
        <v>560</v>
      </c>
      <c r="AI539" s="305"/>
      <c r="AJ539" s="305" t="s">
        <v>3802</v>
      </c>
      <c r="AK539" s="181" t="str">
        <f t="shared" ca="1" si="108"/>
        <v>TERMINO</v>
      </c>
      <c r="AL539" s="310" t="s">
        <v>575</v>
      </c>
      <c r="AM539" s="433" t="s">
        <v>390</v>
      </c>
      <c r="AN539" s="848" t="str">
        <f>IFERROR(VLOOKUP(E539,'liquidaciones '!$B$2:$C$1048576,2,0),"NO")</f>
        <v>NO</v>
      </c>
      <c r="AO539" s="944" t="str">
        <f>IFERROR(VLOOKUP(E539,'liquidaciones '!$B$2:$I$1048576,8,0),"")</f>
        <v/>
      </c>
      <c r="AP539" s="433"/>
      <c r="AQ539" s="433" t="s">
        <v>390</v>
      </c>
      <c r="AR539" s="433" t="s">
        <v>3055</v>
      </c>
      <c r="AS539" s="433" t="s">
        <v>1379</v>
      </c>
      <c r="AT539" s="966" t="s">
        <v>560</v>
      </c>
      <c r="AU539" s="964"/>
      <c r="AV539" s="964"/>
    </row>
    <row r="540" spans="3:48" ht="45" x14ac:dyDescent="0.25">
      <c r="C540" s="867"/>
      <c r="D540" s="867"/>
      <c r="E540" s="868" t="s">
        <v>3001</v>
      </c>
      <c r="F540" s="441" t="s">
        <v>1599</v>
      </c>
      <c r="G540" s="906" t="s">
        <v>3002</v>
      </c>
      <c r="H540" s="1003" t="s">
        <v>3003</v>
      </c>
      <c r="I540" s="910">
        <v>70086000</v>
      </c>
      <c r="J540" s="873" t="s">
        <v>3006</v>
      </c>
      <c r="K540" s="295">
        <v>2017</v>
      </c>
      <c r="L540" s="546">
        <v>42921</v>
      </c>
      <c r="M540" s="874">
        <v>42930</v>
      </c>
      <c r="N540" s="874">
        <v>43053</v>
      </c>
      <c r="O540" s="127">
        <f>COUNTA(Modificaciones!I526,Modificaciones!K526,Modificaciones!M526,Modificaciones!O526)</f>
        <v>1</v>
      </c>
      <c r="P540" s="128">
        <f>VLOOKUP(E540,Modificaciones!$B$7:$Q$819,16,0)</f>
        <v>0</v>
      </c>
      <c r="Q540" s="129">
        <f>COUNTA(Modificaciones!S540,Modificaciones!U540,Modificaciones!W540,Modificaciones!Y540)</f>
        <v>0</v>
      </c>
      <c r="R540" s="130" t="str">
        <f>IF(Modificaciones!Z540=0,"",VLOOKUP(E540,Modificaciones!$B$7:$AA$1419,25,0))</f>
        <v/>
      </c>
      <c r="S540" s="131" t="str">
        <f>IF(Modificaciones!AA540=0,"",VLOOKUP(E540,Modificaciones!$B$7:$AA$1419,26,0))</f>
        <v/>
      </c>
      <c r="T540" s="855">
        <f t="shared" si="102"/>
        <v>43053</v>
      </c>
      <c r="U540" s="62">
        <f t="shared" si="103"/>
        <v>70086000</v>
      </c>
      <c r="V540" s="172">
        <f>VLOOKUP(E540,Modificaciones!$B$7:$AU$819,46,0)</f>
        <v>70086000</v>
      </c>
      <c r="W540" s="93">
        <f t="shared" si="101"/>
        <v>0</v>
      </c>
      <c r="X540" s="309" t="s">
        <v>3004</v>
      </c>
      <c r="Y540" s="852">
        <f t="shared" si="104"/>
        <v>1</v>
      </c>
      <c r="Z540" s="42">
        <f t="shared" ca="1" si="105"/>
        <v>1</v>
      </c>
      <c r="AA540" s="43">
        <f t="shared" ca="1" si="106"/>
        <v>0</v>
      </c>
      <c r="AB540" s="202" t="str">
        <f t="shared" ca="1" si="107"/>
        <v/>
      </c>
      <c r="AC540" s="44" t="str">
        <f t="shared" si="109"/>
        <v>SI</v>
      </c>
      <c r="AD540" s="760" t="s">
        <v>1710</v>
      </c>
      <c r="AE540" s="173" t="s">
        <v>1257</v>
      </c>
      <c r="AF540" s="281" t="s">
        <v>1602</v>
      </c>
      <c r="AG540" s="173" t="s">
        <v>1439</v>
      </c>
      <c r="AH540" s="281" t="s">
        <v>560</v>
      </c>
      <c r="AI540" s="305" t="s">
        <v>1509</v>
      </c>
      <c r="AJ540" s="305" t="s">
        <v>3802</v>
      </c>
      <c r="AK540" s="181" t="str">
        <f t="shared" ca="1" si="108"/>
        <v>TERMINO</v>
      </c>
      <c r="AL540" s="181" t="s">
        <v>576</v>
      </c>
      <c r="AM540" s="433" t="s">
        <v>390</v>
      </c>
      <c r="AN540" s="848" t="str">
        <f>IFERROR(VLOOKUP(E540,'liquidaciones '!$B$2:$C$1048576,2,0),"NO")</f>
        <v>LIQUIDADO</v>
      </c>
      <c r="AO540" s="944">
        <f>IFERROR(VLOOKUP(E540,'liquidaciones '!$B$2:$I$1048576,8,0),"")</f>
        <v>0</v>
      </c>
      <c r="AP540" s="433"/>
      <c r="AQ540" s="433" t="s">
        <v>390</v>
      </c>
      <c r="AR540" s="433" t="s">
        <v>3518</v>
      </c>
      <c r="AS540" s="433" t="s">
        <v>3785</v>
      </c>
      <c r="AT540" s="966" t="s">
        <v>560</v>
      </c>
      <c r="AU540" s="964"/>
      <c r="AV540" s="964"/>
    </row>
    <row r="541" spans="3:48" ht="33.75" x14ac:dyDescent="0.25">
      <c r="C541" s="867">
        <v>199</v>
      </c>
      <c r="D541" s="867"/>
      <c r="E541" s="868" t="s">
        <v>3053</v>
      </c>
      <c r="F541" s="441" t="s">
        <v>1857</v>
      </c>
      <c r="G541" s="893">
        <v>860025639</v>
      </c>
      <c r="H541" s="1004" t="s">
        <v>3054</v>
      </c>
      <c r="I541" s="93">
        <v>15000000</v>
      </c>
      <c r="J541" s="873" t="s">
        <v>3053</v>
      </c>
      <c r="K541" s="295">
        <v>2017</v>
      </c>
      <c r="L541" s="546">
        <v>42906</v>
      </c>
      <c r="M541" s="902">
        <v>42948</v>
      </c>
      <c r="N541" s="902">
        <v>43236</v>
      </c>
      <c r="O541" s="127">
        <f>COUNTA(Modificaciones!I527,Modificaciones!K527,Modificaciones!M527,Modificaciones!O527)</f>
        <v>1</v>
      </c>
      <c r="P541" s="128">
        <f>VLOOKUP(E541,Modificaciones!$B$7:$Q$819,16,0)</f>
        <v>6193880</v>
      </c>
      <c r="Q541" s="129">
        <f>COUNTA(Modificaciones!S541,Modificaciones!U541,Modificaciones!W541,Modificaciones!Y541)</f>
        <v>1</v>
      </c>
      <c r="R541" s="130" t="str">
        <f>IF(Modificaciones!Z541=0,"",VLOOKUP(E541,Modificaciones!$B$7:$AA$1419,25,0))</f>
        <v>2 meses y 15 días</v>
      </c>
      <c r="S541" s="131">
        <f>IF(Modificaciones!AA541=0,"",VLOOKUP(E541,Modificaciones!$B$7:$AA$1419,26,0))</f>
        <v>43312</v>
      </c>
      <c r="T541" s="855">
        <f t="shared" si="102"/>
        <v>43312</v>
      </c>
      <c r="U541" s="62">
        <f t="shared" si="103"/>
        <v>21193880</v>
      </c>
      <c r="V541" s="172">
        <f>VLOOKUP(E541,Modificaciones!$B$7:$AU$819,46,0)</f>
        <v>18350880</v>
      </c>
      <c r="W541" s="93">
        <f t="shared" si="101"/>
        <v>2843000</v>
      </c>
      <c r="X541" s="309" t="s">
        <v>2994</v>
      </c>
      <c r="Y541" s="852">
        <f t="shared" si="104"/>
        <v>0.8658575022600864</v>
      </c>
      <c r="Z541" s="42">
        <f t="shared" ca="1" si="105"/>
        <v>1</v>
      </c>
      <c r="AA541" s="43">
        <f t="shared" ca="1" si="106"/>
        <v>0.1341424977399136</v>
      </c>
      <c r="AB541" s="202" t="str">
        <f t="shared" ca="1" si="107"/>
        <v/>
      </c>
      <c r="AC541" s="44" t="str">
        <f t="shared" si="109"/>
        <v>NO</v>
      </c>
      <c r="AD541" s="760" t="s">
        <v>1710</v>
      </c>
      <c r="AE541" s="173" t="s">
        <v>1256</v>
      </c>
      <c r="AF541" s="281" t="s">
        <v>1170</v>
      </c>
      <c r="AG541" s="173" t="s">
        <v>1442</v>
      </c>
      <c r="AH541" s="281" t="s">
        <v>560</v>
      </c>
      <c r="AI541" s="305"/>
      <c r="AJ541" s="305" t="s">
        <v>2834</v>
      </c>
      <c r="AK541" s="181" t="str">
        <f t="shared" ca="1" si="108"/>
        <v>TERMINO</v>
      </c>
      <c r="AL541" s="181" t="s">
        <v>582</v>
      </c>
      <c r="AM541" s="433" t="s">
        <v>390</v>
      </c>
      <c r="AN541" s="848" t="str">
        <f>IFERROR(VLOOKUP(E541,'liquidaciones '!$B$2:$C$1048576,2,0),"NO")</f>
        <v>LIQUIDADO</v>
      </c>
      <c r="AO541" s="944" t="str">
        <f>IFERROR(VLOOKUP(E541,'liquidaciones '!$B$2:$I$1048576,8,0),"")</f>
        <v>JUAN DIEGO ESPITIA</v>
      </c>
      <c r="AP541" s="433"/>
      <c r="AQ541" s="433" t="s">
        <v>390</v>
      </c>
      <c r="AR541" s="433" t="s">
        <v>4235</v>
      </c>
      <c r="AS541" s="433" t="s">
        <v>3781</v>
      </c>
      <c r="AT541" s="966" t="s">
        <v>3947</v>
      </c>
      <c r="AU541" s="964"/>
      <c r="AV541" s="964"/>
    </row>
    <row r="542" spans="3:48" ht="56.25" x14ac:dyDescent="0.25">
      <c r="C542" s="867"/>
      <c r="D542" s="867"/>
      <c r="E542" s="868" t="s">
        <v>3056</v>
      </c>
      <c r="F542" s="441" t="s">
        <v>152</v>
      </c>
      <c r="G542" s="893" t="s">
        <v>2800</v>
      </c>
      <c r="H542" s="1005" t="s">
        <v>3057</v>
      </c>
      <c r="I542" s="93">
        <v>196663000</v>
      </c>
      <c r="J542" s="873" t="s">
        <v>3060</v>
      </c>
      <c r="K542" s="295">
        <v>2017</v>
      </c>
      <c r="L542" s="546">
        <v>42927</v>
      </c>
      <c r="M542" s="874">
        <v>42937</v>
      </c>
      <c r="N542" s="874">
        <v>43180</v>
      </c>
      <c r="O542" s="127">
        <f>COUNTA(Modificaciones!I528,Modificaciones!K528,Modificaciones!M528,Modificaciones!O528)</f>
        <v>1</v>
      </c>
      <c r="P542" s="128">
        <f>VLOOKUP(E542,Modificaciones!$B$7:$Q$819,16,0)</f>
        <v>83761101</v>
      </c>
      <c r="Q542" s="129">
        <f>COUNTA(Modificaciones!S542,Modificaciones!U542,Modificaciones!W542,Modificaciones!Y542)</f>
        <v>2</v>
      </c>
      <c r="R542" s="130" t="str">
        <f>IF(Modificaciones!Z542=0,"",VLOOKUP(E542,Modificaciones!$B$7:$AA$1419,25,0))</f>
        <v>4 meses y 18 días</v>
      </c>
      <c r="S542" s="131">
        <f>IF(Modificaciones!AA542=0,"",VLOOKUP(E542,Modificaciones!$B$7:$AA$1419,26,0))</f>
        <v>43320</v>
      </c>
      <c r="T542" s="855">
        <f t="shared" si="102"/>
        <v>43320</v>
      </c>
      <c r="U542" s="62">
        <f t="shared" si="103"/>
        <v>280424101</v>
      </c>
      <c r="V542" s="172">
        <f>VLOOKUP(E542,Modificaciones!$B$7:$AU$819,46,0)</f>
        <v>280201542</v>
      </c>
      <c r="W542" s="93">
        <f t="shared" si="101"/>
        <v>222559</v>
      </c>
      <c r="X542" s="309" t="s">
        <v>3058</v>
      </c>
      <c r="Y542" s="852">
        <f t="shared" si="104"/>
        <v>0.99920634852993606</v>
      </c>
      <c r="Z542" s="42">
        <f t="shared" ca="1" si="105"/>
        <v>1</v>
      </c>
      <c r="AA542" s="43">
        <f t="shared" ca="1" si="106"/>
        <v>7.9365147006393855E-4</v>
      </c>
      <c r="AB542" s="202" t="str">
        <f t="shared" ca="1" si="107"/>
        <v/>
      </c>
      <c r="AC542" s="44" t="str">
        <f t="shared" si="109"/>
        <v>SI</v>
      </c>
      <c r="AD542" s="760" t="s">
        <v>3059</v>
      </c>
      <c r="AE542" s="173" t="s">
        <v>1257</v>
      </c>
      <c r="AF542" s="281" t="s">
        <v>1936</v>
      </c>
      <c r="AG542" s="173" t="s">
        <v>1439</v>
      </c>
      <c r="AH542" s="281" t="s">
        <v>560</v>
      </c>
      <c r="AI542" s="305" t="s">
        <v>1509</v>
      </c>
      <c r="AJ542" s="305" t="s">
        <v>3802</v>
      </c>
      <c r="AK542" s="181" t="str">
        <f t="shared" ca="1" si="108"/>
        <v>TERMINO</v>
      </c>
      <c r="AL542" s="310" t="s">
        <v>575</v>
      </c>
      <c r="AM542" s="176" t="s">
        <v>390</v>
      </c>
      <c r="AN542" s="848" t="str">
        <f>IFERROR(VLOOKUP(E542,'liquidaciones '!$B$2:$C$1048576,2,0),"NO")</f>
        <v>LIQUIDADO</v>
      </c>
      <c r="AO542" s="944">
        <f>IFERROR(VLOOKUP(E542,'liquidaciones '!$B$2:$I$1048576,8,0),"")</f>
        <v>0</v>
      </c>
      <c r="AP542" s="433"/>
      <c r="AQ542" s="433" t="s">
        <v>390</v>
      </c>
      <c r="AR542" s="433" t="s">
        <v>3518</v>
      </c>
      <c r="AS542" s="433" t="s">
        <v>3785</v>
      </c>
      <c r="AT542" s="966" t="s">
        <v>560</v>
      </c>
      <c r="AU542" s="964"/>
      <c r="AV542" s="964"/>
    </row>
    <row r="543" spans="3:48" ht="33.75" x14ac:dyDescent="0.25">
      <c r="C543" s="867">
        <v>178</v>
      </c>
      <c r="D543" s="867"/>
      <c r="E543" s="868" t="s">
        <v>3061</v>
      </c>
      <c r="F543" s="441" t="s">
        <v>73</v>
      </c>
      <c r="G543" s="893">
        <v>830012587</v>
      </c>
      <c r="H543" s="1005" t="s">
        <v>4897</v>
      </c>
      <c r="I543" s="93">
        <v>909999990</v>
      </c>
      <c r="J543" s="873" t="s">
        <v>3061</v>
      </c>
      <c r="K543" s="295">
        <v>2017</v>
      </c>
      <c r="L543" s="546">
        <v>42933</v>
      </c>
      <c r="M543" s="874">
        <v>42948</v>
      </c>
      <c r="N543" s="874">
        <v>43221</v>
      </c>
      <c r="O543" s="127">
        <f>COUNTA(Modificaciones!I529,Modificaciones!K529,Modificaciones!M529,Modificaciones!O529)</f>
        <v>1</v>
      </c>
      <c r="P543" s="128">
        <f>VLOOKUP(E543,Modificaciones!$B$7:$Q$819,16,0)</f>
        <v>331319780</v>
      </c>
      <c r="Q543" s="129">
        <f>COUNTA(Modificaciones!S543,Modificaciones!U543,Modificaciones!W543,Modificaciones!Y543)</f>
        <v>2</v>
      </c>
      <c r="R543" s="130" t="str">
        <f>IF(Modificaciones!Z543=0,"",VLOOKUP(E543,Modificaciones!$B$7:$AA$1419,25,0))</f>
        <v>3 meses</v>
      </c>
      <c r="S543" s="131">
        <f>IF(Modificaciones!AA543=0,"",VLOOKUP(E543,Modificaciones!$B$7:$AA$1419,26,0))</f>
        <v>43311</v>
      </c>
      <c r="T543" s="855">
        <f t="shared" si="102"/>
        <v>43311</v>
      </c>
      <c r="U543" s="62">
        <f t="shared" si="103"/>
        <v>1241319770</v>
      </c>
      <c r="V543" s="172">
        <f>VLOOKUP(E543,Modificaciones!$B$7:$AU$819,46,0)</f>
        <v>1221704174</v>
      </c>
      <c r="W543" s="93">
        <f t="shared" si="101"/>
        <v>19615596</v>
      </c>
      <c r="X543" s="309" t="s">
        <v>1890</v>
      </c>
      <c r="Y543" s="852">
        <f t="shared" si="104"/>
        <v>0.98419778974437833</v>
      </c>
      <c r="Z543" s="42">
        <f t="shared" ca="1" si="105"/>
        <v>1</v>
      </c>
      <c r="AA543" s="43">
        <f t="shared" ca="1" si="106"/>
        <v>1.5802210255621674E-2</v>
      </c>
      <c r="AB543" s="202" t="str">
        <f t="shared" ca="1" si="107"/>
        <v/>
      </c>
      <c r="AC543" s="44" t="str">
        <f t="shared" si="109"/>
        <v>NO</v>
      </c>
      <c r="AD543" s="760" t="s">
        <v>1719</v>
      </c>
      <c r="AE543" s="173" t="s">
        <v>1256</v>
      </c>
      <c r="AF543" s="173" t="s">
        <v>1292</v>
      </c>
      <c r="AG543" s="173" t="s">
        <v>1430</v>
      </c>
      <c r="AH543" s="281" t="s">
        <v>564</v>
      </c>
      <c r="AI543" s="305"/>
      <c r="AJ543" s="305" t="s">
        <v>2834</v>
      </c>
      <c r="AK543" s="181" t="str">
        <f t="shared" ca="1" si="108"/>
        <v>TERMINO</v>
      </c>
      <c r="AL543" s="310" t="s">
        <v>582</v>
      </c>
      <c r="AM543" s="433" t="s">
        <v>390</v>
      </c>
      <c r="AN543" s="848" t="str">
        <f>IFERROR(VLOOKUP(E543,'liquidaciones '!$B$2:$C$1048576,2,0),"NO")</f>
        <v>LIQUIDADO</v>
      </c>
      <c r="AO543" s="944" t="str">
        <f>IFERROR(VLOOKUP(E543,'liquidaciones '!$B$2:$I$1048576,8,0),"")</f>
        <v>JUAN DIEGO ESPITIA</v>
      </c>
      <c r="AP543" s="433"/>
      <c r="AQ543" s="433" t="s">
        <v>390</v>
      </c>
      <c r="AR543" s="433" t="s">
        <v>2978</v>
      </c>
      <c r="AS543" s="433" t="s">
        <v>3789</v>
      </c>
      <c r="AT543" s="966" t="s">
        <v>3928</v>
      </c>
      <c r="AU543" s="964"/>
      <c r="AV543" s="964"/>
    </row>
    <row r="544" spans="3:48" ht="30" x14ac:dyDescent="0.25">
      <c r="C544" s="867"/>
      <c r="D544" s="867"/>
      <c r="E544" s="868" t="s">
        <v>3062</v>
      </c>
      <c r="F544" s="441" t="s">
        <v>2507</v>
      </c>
      <c r="G544" s="903" t="s">
        <v>2508</v>
      </c>
      <c r="H544" s="1005" t="s">
        <v>3063</v>
      </c>
      <c r="I544" s="93">
        <v>3007941</v>
      </c>
      <c r="J544" s="873" t="s">
        <v>4003</v>
      </c>
      <c r="K544" s="295">
        <v>2017</v>
      </c>
      <c r="L544" s="546">
        <v>42944</v>
      </c>
      <c r="M544" s="874">
        <v>42944</v>
      </c>
      <c r="N544" s="874">
        <v>43006</v>
      </c>
      <c r="O544" s="127">
        <f>COUNTA(Modificaciones!I530,Modificaciones!K530,Modificaciones!M530,Modificaciones!O530)</f>
        <v>0</v>
      </c>
      <c r="P544" s="128">
        <f>VLOOKUP(E544,Modificaciones!$B$7:$Q$819,16,0)</f>
        <v>0</v>
      </c>
      <c r="Q544" s="129">
        <f>COUNTA(Modificaciones!S544,Modificaciones!U544,Modificaciones!W544,Modificaciones!Y544)</f>
        <v>0</v>
      </c>
      <c r="R544" s="130" t="str">
        <f>IF(Modificaciones!Z544=0,"",VLOOKUP(E544,Modificaciones!$B$7:$AA$500,25,0))</f>
        <v/>
      </c>
      <c r="S544" s="131" t="str">
        <f>IF(Modificaciones!AA544=0,"",VLOOKUP(E544,Modificaciones!$B$7:$AA$500,26,0))</f>
        <v/>
      </c>
      <c r="T544" s="855">
        <f t="shared" si="102"/>
        <v>43006</v>
      </c>
      <c r="U544" s="62">
        <f t="shared" si="103"/>
        <v>3007941</v>
      </c>
      <c r="V544" s="172">
        <f>VLOOKUP(E544,Modificaciones!$B$7:$AU$819,46,0)</f>
        <v>3007941</v>
      </c>
      <c r="W544" s="93">
        <f t="shared" si="101"/>
        <v>0</v>
      </c>
      <c r="X544" s="309" t="s">
        <v>1895</v>
      </c>
      <c r="Y544" s="852">
        <f t="shared" si="104"/>
        <v>1</v>
      </c>
      <c r="Z544" s="42">
        <f t="shared" ca="1" si="105"/>
        <v>1</v>
      </c>
      <c r="AA544" s="43">
        <f t="shared" ca="1" si="106"/>
        <v>0</v>
      </c>
      <c r="AB544" s="202" t="str">
        <f t="shared" ca="1" si="107"/>
        <v/>
      </c>
      <c r="AC544" s="44" t="str">
        <f t="shared" si="109"/>
        <v>SI</v>
      </c>
      <c r="AD544" s="868"/>
      <c r="AE544" s="871"/>
      <c r="AF544" s="871" t="s">
        <v>3064</v>
      </c>
      <c r="AG544" s="868"/>
      <c r="AH544" s="868"/>
      <c r="AI544" s="868"/>
      <c r="AJ544" s="305" t="s">
        <v>2834</v>
      </c>
      <c r="AK544" s="181" t="str">
        <f t="shared" ca="1" si="108"/>
        <v>TERMINO</v>
      </c>
      <c r="AL544" s="441" t="s">
        <v>2726</v>
      </c>
      <c r="AM544" s="433"/>
      <c r="AN544" s="848" t="str">
        <f>IFERROR(VLOOKUP(E544,'liquidaciones '!$B$2:$C$1048576,2,0),"NO")</f>
        <v>LIQUIDADO</v>
      </c>
      <c r="AO544" s="944">
        <f>IFERROR(VLOOKUP(E544,'liquidaciones '!$B$2:$I$1048576,8,0),"")</f>
        <v>0</v>
      </c>
      <c r="AP544" s="433"/>
      <c r="AQ544" s="433"/>
      <c r="AR544" s="177" t="s">
        <v>2978</v>
      </c>
      <c r="AS544" s="433"/>
      <c r="AT544" s="966"/>
      <c r="AU544" s="964"/>
      <c r="AV544" s="964"/>
    </row>
    <row r="545" spans="3:48" ht="22.5" x14ac:dyDescent="0.25">
      <c r="C545" s="867"/>
      <c r="D545" s="867"/>
      <c r="E545" s="868" t="s">
        <v>3065</v>
      </c>
      <c r="F545" s="441" t="s">
        <v>3066</v>
      </c>
      <c r="G545" s="893">
        <v>79983036</v>
      </c>
      <c r="H545" s="1005" t="s">
        <v>3067</v>
      </c>
      <c r="I545" s="93">
        <v>13125000</v>
      </c>
      <c r="J545" s="873" t="s">
        <v>3065</v>
      </c>
      <c r="K545" s="295">
        <v>2017</v>
      </c>
      <c r="L545" s="546">
        <v>42944</v>
      </c>
      <c r="M545" s="874">
        <v>42949</v>
      </c>
      <c r="N545" s="874">
        <v>43159</v>
      </c>
      <c r="O545" s="127">
        <f>COUNTA(Modificaciones!I531,Modificaciones!K531,Modificaciones!M531,Modificaciones!O531)</f>
        <v>1</v>
      </c>
      <c r="P545" s="128">
        <f>VLOOKUP(E545,Modificaciones!$B$7:$Q$819,16,0)</f>
        <v>0</v>
      </c>
      <c r="Q545" s="129">
        <f>COUNTA(Modificaciones!S545,Modificaciones!U545,Modificaciones!W545,Modificaciones!Y545)</f>
        <v>0</v>
      </c>
      <c r="R545" s="130" t="str">
        <f>IF(Modificaciones!Z545=0,"",VLOOKUP(E545,Modificaciones!$B$7:$AA$500,25,0))</f>
        <v/>
      </c>
      <c r="S545" s="131" t="str">
        <f>IF(Modificaciones!AA545=0,"",VLOOKUP(E545,Modificaciones!$B$7:$AA$500,26,0))</f>
        <v/>
      </c>
      <c r="T545" s="855">
        <f t="shared" si="102"/>
        <v>43159</v>
      </c>
      <c r="U545" s="62">
        <f t="shared" si="103"/>
        <v>13125000</v>
      </c>
      <c r="V545" s="172">
        <f>VLOOKUP(E545,Modificaciones!$B$7:$AU$819,46,0)</f>
        <v>10687500</v>
      </c>
      <c r="W545" s="93">
        <f t="shared" si="101"/>
        <v>2437500</v>
      </c>
      <c r="X545" s="309" t="s">
        <v>1095</v>
      </c>
      <c r="Y545" s="852">
        <f t="shared" si="104"/>
        <v>0.81428571428571428</v>
      </c>
      <c r="Z545" s="42">
        <f t="shared" ca="1" si="105"/>
        <v>1</v>
      </c>
      <c r="AA545" s="43">
        <f t="shared" ca="1" si="106"/>
        <v>0.18571428571428572</v>
      </c>
      <c r="AB545" s="202" t="str">
        <f t="shared" ca="1" si="107"/>
        <v/>
      </c>
      <c r="AC545" s="44" t="str">
        <f t="shared" si="109"/>
        <v>NO</v>
      </c>
      <c r="AD545" s="760" t="s">
        <v>2898</v>
      </c>
      <c r="AE545" s="173" t="s">
        <v>1256</v>
      </c>
      <c r="AF545" s="281" t="s">
        <v>3068</v>
      </c>
      <c r="AG545" s="173" t="s">
        <v>1437</v>
      </c>
      <c r="AH545" s="281" t="s">
        <v>561</v>
      </c>
      <c r="AI545" s="868"/>
      <c r="AJ545" s="305" t="s">
        <v>3803</v>
      </c>
      <c r="AK545" s="181" t="str">
        <f t="shared" ca="1" si="108"/>
        <v>TERMINO</v>
      </c>
      <c r="AL545" s="310" t="s">
        <v>582</v>
      </c>
      <c r="AM545" s="433" t="s">
        <v>391</v>
      </c>
      <c r="AN545" s="848" t="str">
        <f>IFERROR(VLOOKUP(E545,'liquidaciones '!$B$2:$C$1048576,2,0),"NO")</f>
        <v>LIQUIDADO</v>
      </c>
      <c r="AO545" s="944">
        <f>IFERROR(VLOOKUP(E545,'liquidaciones '!$B$2:$I$1048576,8,0),"")</f>
        <v>0</v>
      </c>
      <c r="AP545" s="433"/>
      <c r="AQ545" s="433" t="s">
        <v>390</v>
      </c>
      <c r="AR545" s="177" t="s">
        <v>3055</v>
      </c>
      <c r="AS545" s="433"/>
      <c r="AT545" s="966" t="s">
        <v>4188</v>
      </c>
      <c r="AU545" s="964"/>
      <c r="AV545" s="964"/>
    </row>
    <row r="546" spans="3:48" ht="56.25" x14ac:dyDescent="0.25">
      <c r="C546" s="867">
        <v>73</v>
      </c>
      <c r="D546" s="867"/>
      <c r="E546" s="868" t="s">
        <v>3069</v>
      </c>
      <c r="F546" s="441" t="s">
        <v>2125</v>
      </c>
      <c r="G546" s="893">
        <v>830083523</v>
      </c>
      <c r="H546" s="1005" t="s">
        <v>2657</v>
      </c>
      <c r="I546" s="93">
        <v>8320000</v>
      </c>
      <c r="J546" s="873" t="s">
        <v>3069</v>
      </c>
      <c r="K546" s="295">
        <v>2017</v>
      </c>
      <c r="L546" s="546">
        <v>42934</v>
      </c>
      <c r="M546" s="874">
        <v>42941</v>
      </c>
      <c r="N546" s="874">
        <v>43215</v>
      </c>
      <c r="O546" s="127">
        <f>COUNTA(Modificaciones!I532,Modificaciones!K532,Modificaciones!M532,Modificaciones!O532)</f>
        <v>0</v>
      </c>
      <c r="P546" s="128">
        <f>VLOOKUP(E546,Modificaciones!$B$7:$Q$819,16,0)</f>
        <v>2002963</v>
      </c>
      <c r="Q546" s="129">
        <f>COUNTA(Modificaciones!S546,Modificaciones!U546,Modificaciones!W546,Modificaciones!Y546)</f>
        <v>1</v>
      </c>
      <c r="R546" s="130" t="str">
        <f>IF(Modificaciones!Z546=0,"",VLOOKUP(E546,Modificaciones!$B$7:$AA$1419,25,0))</f>
        <v>2 meses y 5 días</v>
      </c>
      <c r="S546" s="131">
        <f>IF(Modificaciones!AA546=0,"",VLOOKUP(E546,Modificaciones!$B$7:$AA$1419,26,0))</f>
        <v>43280</v>
      </c>
      <c r="T546" s="855">
        <f t="shared" si="102"/>
        <v>43280</v>
      </c>
      <c r="U546" s="62">
        <f t="shared" si="103"/>
        <v>10322963</v>
      </c>
      <c r="V546" s="172">
        <f>VLOOKUP(E546,Modificaciones!$B$7:$AU$819,46,0)</f>
        <v>10322959</v>
      </c>
      <c r="W546" s="93">
        <f t="shared" si="101"/>
        <v>4</v>
      </c>
      <c r="X546" s="309" t="s">
        <v>3070</v>
      </c>
      <c r="Y546" s="852">
        <f t="shared" si="104"/>
        <v>0.99999961251435276</v>
      </c>
      <c r="Z546" s="42">
        <f t="shared" ca="1" si="105"/>
        <v>1</v>
      </c>
      <c r="AA546" s="43">
        <f t="shared" ca="1" si="106"/>
        <v>3.874856472352306E-7</v>
      </c>
      <c r="AB546" s="202" t="str">
        <f t="shared" ca="1" si="107"/>
        <v/>
      </c>
      <c r="AC546" s="44" t="str">
        <f t="shared" si="109"/>
        <v>SI</v>
      </c>
      <c r="AD546" s="868"/>
      <c r="AE546" s="173" t="s">
        <v>1257</v>
      </c>
      <c r="AF546" s="281" t="s">
        <v>2109</v>
      </c>
      <c r="AG546" s="173" t="s">
        <v>1439</v>
      </c>
      <c r="AH546" s="281" t="s">
        <v>560</v>
      </c>
      <c r="AI546" s="305" t="s">
        <v>1509</v>
      </c>
      <c r="AJ546" s="305" t="s">
        <v>3802</v>
      </c>
      <c r="AK546" s="181" t="str">
        <f t="shared" ca="1" si="108"/>
        <v>TERMINO</v>
      </c>
      <c r="AL546" s="310" t="s">
        <v>582</v>
      </c>
      <c r="AM546" s="433" t="s">
        <v>390</v>
      </c>
      <c r="AN546" s="848" t="str">
        <f>IFERROR(VLOOKUP(E546,'liquidaciones '!$B$2:$C$1048576,2,0),"NO")</f>
        <v>LIQUIDADO</v>
      </c>
      <c r="AO546" s="944" t="str">
        <f>IFERROR(VLOOKUP(E546,'liquidaciones '!$B$2:$I$1048576,8,0),"")</f>
        <v>JUAN DIEGO ESPITIA</v>
      </c>
      <c r="AP546" s="433"/>
      <c r="AQ546" s="433" t="s">
        <v>390</v>
      </c>
      <c r="AR546" s="433" t="s">
        <v>3518</v>
      </c>
      <c r="AS546" s="433" t="s">
        <v>3785</v>
      </c>
      <c r="AT546" s="966" t="s">
        <v>560</v>
      </c>
      <c r="AU546" s="964"/>
      <c r="AV546" s="964"/>
    </row>
    <row r="547" spans="3:48" ht="51.75" customHeight="1" x14ac:dyDescent="0.25">
      <c r="C547" s="867">
        <v>299</v>
      </c>
      <c r="D547" s="867"/>
      <c r="E547" s="868" t="s">
        <v>3071</v>
      </c>
      <c r="F547" s="441" t="s">
        <v>22</v>
      </c>
      <c r="G547" s="893" t="s">
        <v>3072</v>
      </c>
      <c r="H547" s="1005" t="s">
        <v>3073</v>
      </c>
      <c r="I547" s="93">
        <v>59500000</v>
      </c>
      <c r="J547" s="873" t="s">
        <v>3071</v>
      </c>
      <c r="K547" s="295">
        <v>2017</v>
      </c>
      <c r="L547" s="546">
        <v>42941</v>
      </c>
      <c r="M547" s="874">
        <v>42955</v>
      </c>
      <c r="N547" s="874">
        <v>43320</v>
      </c>
      <c r="O547" s="127">
        <f>COUNTA(Modificaciones!I533,Modificaciones!K533,Modificaciones!M533,Modificaciones!O533)</f>
        <v>1</v>
      </c>
      <c r="P547" s="128">
        <f>VLOOKUP(E547,Modificaciones!$B$7:$Q$819,16,0)</f>
        <v>0</v>
      </c>
      <c r="Q547" s="129">
        <f>COUNTA(Modificaciones!S547,Modificaciones!U547,Modificaciones!W547,Modificaciones!Y547)</f>
        <v>0</v>
      </c>
      <c r="R547" s="130" t="str">
        <f>IF(Modificaciones!Z547=0,"",VLOOKUP(E547,Modificaciones!$B$7:$AA$500,25,0))</f>
        <v/>
      </c>
      <c r="S547" s="131" t="str">
        <f>IF(Modificaciones!AA547=0,"",VLOOKUP(E547,Modificaciones!$B$7:$AA$500,26,0))</f>
        <v/>
      </c>
      <c r="T547" s="855">
        <f t="shared" si="102"/>
        <v>43320</v>
      </c>
      <c r="U547" s="62">
        <f t="shared" si="103"/>
        <v>59500000</v>
      </c>
      <c r="V547" s="172">
        <f>VLOOKUP(E547,Modificaciones!$B$7:$AU$819,46,0)</f>
        <v>59500000</v>
      </c>
      <c r="W547" s="93">
        <f t="shared" si="101"/>
        <v>0</v>
      </c>
      <c r="X547" s="899" t="s">
        <v>3074</v>
      </c>
      <c r="Y547" s="852">
        <f t="shared" si="104"/>
        <v>1</v>
      </c>
      <c r="Z547" s="42">
        <f t="shared" ca="1" si="105"/>
        <v>1</v>
      </c>
      <c r="AA547" s="43">
        <f t="shared" ca="1" si="106"/>
        <v>0</v>
      </c>
      <c r="AB547" s="202" t="str">
        <f t="shared" ca="1" si="107"/>
        <v/>
      </c>
      <c r="AC547" s="44" t="str">
        <f t="shared" si="109"/>
        <v>SI</v>
      </c>
      <c r="AD547" s="760" t="s">
        <v>1710</v>
      </c>
      <c r="AE547" s="173" t="s">
        <v>1257</v>
      </c>
      <c r="AF547" s="871" t="s">
        <v>3075</v>
      </c>
      <c r="AG547" s="173" t="s">
        <v>1439</v>
      </c>
      <c r="AH547" s="281" t="s">
        <v>560</v>
      </c>
      <c r="AI547" s="305" t="s">
        <v>1509</v>
      </c>
      <c r="AJ547" s="305" t="s">
        <v>3802</v>
      </c>
      <c r="AK547" s="181" t="str">
        <f t="shared" ca="1" si="108"/>
        <v>TERMINO</v>
      </c>
      <c r="AL547" s="310" t="s">
        <v>582</v>
      </c>
      <c r="AM547" s="433" t="s">
        <v>390</v>
      </c>
      <c r="AN547" s="848" t="str">
        <f>IFERROR(VLOOKUP(E547,'liquidaciones '!$B$2:$C$1048576,2,0),"NO")</f>
        <v>LIQUIDADO</v>
      </c>
      <c r="AO547" s="944" t="str">
        <f>IFERROR(VLOOKUP(E547,'liquidaciones '!$B$2:$I$1048576,8,0),"")</f>
        <v>JUAN DIEGO ESPITIA</v>
      </c>
      <c r="AP547" s="433"/>
      <c r="AQ547" s="433" t="s">
        <v>390</v>
      </c>
      <c r="AR547" s="433" t="s">
        <v>3518</v>
      </c>
      <c r="AS547" s="433" t="s">
        <v>3785</v>
      </c>
      <c r="AT547" s="966" t="s">
        <v>560</v>
      </c>
      <c r="AU547" s="964"/>
      <c r="AV547" s="964"/>
    </row>
    <row r="548" spans="3:48" ht="78.75" x14ac:dyDescent="0.25">
      <c r="C548" s="867">
        <v>146</v>
      </c>
      <c r="D548" s="867"/>
      <c r="E548" s="868" t="s">
        <v>3076</v>
      </c>
      <c r="F548" s="441" t="s">
        <v>3077</v>
      </c>
      <c r="G548" s="893">
        <v>100392583</v>
      </c>
      <c r="H548" s="1001" t="s">
        <v>3078</v>
      </c>
      <c r="I548" s="93">
        <v>39900000</v>
      </c>
      <c r="J548" s="873" t="s">
        <v>3076</v>
      </c>
      <c r="K548" s="295">
        <v>2017</v>
      </c>
      <c r="L548" s="546">
        <v>42961</v>
      </c>
      <c r="M548" s="874">
        <v>42969</v>
      </c>
      <c r="N548" s="874">
        <v>43181</v>
      </c>
      <c r="O548" s="127">
        <f>COUNTA(Modificaciones!I534,Modificaciones!K534,Modificaciones!M534,Modificaciones!O534)</f>
        <v>0</v>
      </c>
      <c r="P548" s="128">
        <f>VLOOKUP(E548,Modificaciones!$B$7:$Q$819,16,0)</f>
        <v>18620000</v>
      </c>
      <c r="Q548" s="129">
        <f>COUNTA(Modificaciones!S548,Modificaciones!U548,Modificaciones!W548,Modificaciones!Y548)</f>
        <v>1</v>
      </c>
      <c r="R548" s="130" t="str">
        <f>IF(Modificaciones!Z548=0,"",VLOOKUP(E548,Modificaciones!$B$7:$AA$1419,25,0))</f>
        <v>3 meses y 8 días</v>
      </c>
      <c r="S548" s="131">
        <f>IF(Modificaciones!AA548=0,"",VLOOKUP(E548,Modificaciones!$B$7:$AA$1419,26,0))</f>
        <v>43281</v>
      </c>
      <c r="T548" s="855">
        <f t="shared" si="102"/>
        <v>43281</v>
      </c>
      <c r="U548" s="62">
        <f t="shared" si="103"/>
        <v>58520000</v>
      </c>
      <c r="V548" s="172">
        <f>VLOOKUP(E548,Modificaciones!$B$7:$AU$819,46,0)</f>
        <v>58520000</v>
      </c>
      <c r="W548" s="93">
        <f t="shared" si="101"/>
        <v>0</v>
      </c>
      <c r="X548" s="309" t="s">
        <v>1095</v>
      </c>
      <c r="Y548" s="852">
        <f t="shared" si="104"/>
        <v>1</v>
      </c>
      <c r="Z548" s="42">
        <f t="shared" ca="1" si="105"/>
        <v>1</v>
      </c>
      <c r="AA548" s="43">
        <f t="shared" ca="1" si="106"/>
        <v>0</v>
      </c>
      <c r="AB548" s="202" t="str">
        <f t="shared" ca="1" si="107"/>
        <v/>
      </c>
      <c r="AC548" s="44" t="str">
        <f t="shared" si="109"/>
        <v>SI</v>
      </c>
      <c r="AD548" s="760" t="s">
        <v>2898</v>
      </c>
      <c r="AE548" s="173" t="s">
        <v>1257</v>
      </c>
      <c r="AF548" s="173" t="s">
        <v>2172</v>
      </c>
      <c r="AG548" s="173" t="s">
        <v>1177</v>
      </c>
      <c r="AH548" s="281" t="s">
        <v>559</v>
      </c>
      <c r="AI548" s="305"/>
      <c r="AJ548" s="305" t="s">
        <v>2834</v>
      </c>
      <c r="AK548" s="181" t="str">
        <f t="shared" ca="1" si="108"/>
        <v>TERMINO</v>
      </c>
      <c r="AL548" s="181" t="s">
        <v>582</v>
      </c>
      <c r="AM548" s="433" t="s">
        <v>391</v>
      </c>
      <c r="AN548" s="848" t="str">
        <f>IFERROR(VLOOKUP(E548,'liquidaciones '!$B$2:$C$1048576,2,0),"NO")</f>
        <v>LIQUIDADO</v>
      </c>
      <c r="AO548" s="944" t="str">
        <f>IFERROR(VLOOKUP(E548,'liquidaciones '!$B$2:$I$1048576,8,0),"")</f>
        <v>JUAN DIEGO ESPITIA</v>
      </c>
      <c r="AP548" s="433"/>
      <c r="AQ548" s="433" t="s">
        <v>390</v>
      </c>
      <c r="AR548" s="177" t="s">
        <v>3055</v>
      </c>
      <c r="AS548" s="433"/>
      <c r="AT548" s="966" t="s">
        <v>3947</v>
      </c>
      <c r="AU548" s="964"/>
      <c r="AV548" s="964"/>
    </row>
    <row r="549" spans="3:48" ht="22.5" x14ac:dyDescent="0.25">
      <c r="C549" s="867">
        <v>168</v>
      </c>
      <c r="D549" s="867"/>
      <c r="E549" s="868" t="s">
        <v>3079</v>
      </c>
      <c r="F549" s="441" t="s">
        <v>15</v>
      </c>
      <c r="G549" s="907">
        <v>830067096</v>
      </c>
      <c r="H549" s="1001" t="s">
        <v>3080</v>
      </c>
      <c r="I549" s="93">
        <v>8010000</v>
      </c>
      <c r="J549" s="873" t="s">
        <v>3079</v>
      </c>
      <c r="K549" s="295">
        <v>2017</v>
      </c>
      <c r="L549" s="546">
        <v>42962</v>
      </c>
      <c r="M549" s="874">
        <v>42965</v>
      </c>
      <c r="N549" s="874">
        <v>43330</v>
      </c>
      <c r="O549" s="127">
        <f>COUNTA(Modificaciones!I535,Modificaciones!K535,Modificaciones!M535,Modificaciones!O535)</f>
        <v>1</v>
      </c>
      <c r="P549" s="128">
        <f>VLOOKUP(E549,Modificaciones!$B$7:$Q$819,16,0)</f>
        <v>0</v>
      </c>
      <c r="Q549" s="129">
        <f>COUNTA(Modificaciones!S549,Modificaciones!U549,Modificaciones!W549,Modificaciones!Y549)</f>
        <v>0</v>
      </c>
      <c r="R549" s="130" t="str">
        <f>IF(Modificaciones!Z549=0,"",VLOOKUP(E549,Modificaciones!$B$7:$AA$500,25,0))</f>
        <v/>
      </c>
      <c r="S549" s="131" t="str">
        <f>IF(Modificaciones!AA549=0,"",VLOOKUP(E549,Modificaciones!$B$7:$AA$500,26,0))</f>
        <v/>
      </c>
      <c r="T549" s="855">
        <f t="shared" si="102"/>
        <v>43330</v>
      </c>
      <c r="U549" s="62">
        <f t="shared" si="103"/>
        <v>8010000</v>
      </c>
      <c r="V549" s="172">
        <f>VLOOKUP(E549,Modificaciones!$B$7:$AU$819,46,0)</f>
        <v>8010000</v>
      </c>
      <c r="W549" s="93">
        <f t="shared" si="101"/>
        <v>0</v>
      </c>
      <c r="X549" s="309" t="s">
        <v>1895</v>
      </c>
      <c r="Y549" s="852">
        <f t="shared" si="104"/>
        <v>1</v>
      </c>
      <c r="Z549" s="42">
        <f t="shared" ca="1" si="105"/>
        <v>1</v>
      </c>
      <c r="AA549" s="43">
        <f t="shared" ca="1" si="106"/>
        <v>0</v>
      </c>
      <c r="AB549" s="202" t="str">
        <f t="shared" ca="1" si="107"/>
        <v/>
      </c>
      <c r="AC549" s="44" t="str">
        <f t="shared" si="109"/>
        <v>SI</v>
      </c>
      <c r="AD549" s="760" t="s">
        <v>1714</v>
      </c>
      <c r="AE549" s="173"/>
      <c r="AF549" s="301" t="s">
        <v>1125</v>
      </c>
      <c r="AG549" s="173" t="s">
        <v>1430</v>
      </c>
      <c r="AH549" s="281" t="s">
        <v>564</v>
      </c>
      <c r="AI549" s="305"/>
      <c r="AJ549" s="305" t="s">
        <v>2834</v>
      </c>
      <c r="AK549" s="181" t="str">
        <f t="shared" ca="1" si="108"/>
        <v>TERMINO</v>
      </c>
      <c r="AL549" s="310" t="s">
        <v>582</v>
      </c>
      <c r="AM549" s="433" t="s">
        <v>390</v>
      </c>
      <c r="AN549" s="848" t="str">
        <f>IFERROR(VLOOKUP(E549,'liquidaciones '!$B$2:$C$1048576,2,0),"NO")</f>
        <v>EN TRÁMITE</v>
      </c>
      <c r="AO549" s="944">
        <f>IFERROR(VLOOKUP(E549,'liquidaciones '!$B$2:$I$1048576,8,0),"")</f>
        <v>0</v>
      </c>
      <c r="AP549" s="433"/>
      <c r="AQ549" s="433" t="s">
        <v>390</v>
      </c>
      <c r="AR549" s="177" t="s">
        <v>3055</v>
      </c>
      <c r="AS549" s="433"/>
      <c r="AT549" s="966" t="s">
        <v>3928</v>
      </c>
      <c r="AU549" s="964"/>
      <c r="AV549" s="964"/>
    </row>
    <row r="550" spans="3:48" ht="33.75" x14ac:dyDescent="0.25">
      <c r="C550" s="867"/>
      <c r="D550" s="867"/>
      <c r="E550" s="868" t="s">
        <v>3508</v>
      </c>
      <c r="F550" s="441" t="s">
        <v>3509</v>
      </c>
      <c r="G550" s="893">
        <v>1030659160</v>
      </c>
      <c r="H550" s="1005" t="s">
        <v>3510</v>
      </c>
      <c r="I550" s="93">
        <v>15750000</v>
      </c>
      <c r="J550" s="873" t="s">
        <v>3508</v>
      </c>
      <c r="K550" s="295">
        <v>2017</v>
      </c>
      <c r="L550" s="546">
        <v>42963</v>
      </c>
      <c r="M550" s="874">
        <v>42971</v>
      </c>
      <c r="N550" s="874">
        <v>43183</v>
      </c>
      <c r="O550" s="127">
        <f>COUNTA(Modificaciones!I536,Modificaciones!K536,Modificaciones!M536,Modificaciones!O536)</f>
        <v>0</v>
      </c>
      <c r="P550" s="128">
        <f>VLOOKUP(E550,Modificaciones!$B$7:$Q$819,16,0)</f>
        <v>7125000</v>
      </c>
      <c r="Q550" s="129">
        <f>COUNTA(Modificaciones!S550,Modificaciones!U550,Modificaciones!W550,Modificaciones!Y550)</f>
        <v>1</v>
      </c>
      <c r="R550" s="130" t="str">
        <f>IF(Modificaciones!Z550=0,"",VLOOKUP(E550,Modificaciones!$B$7:$AA$1419,25,0))</f>
        <v>3 meses y 5 días calendario</v>
      </c>
      <c r="S550" s="131">
        <f>IF(Modificaciones!AA550=0,"",VLOOKUP(E550,Modificaciones!$B$7:$AA$1419,26,0))</f>
        <v>43280</v>
      </c>
      <c r="T550" s="855">
        <f t="shared" si="102"/>
        <v>43280</v>
      </c>
      <c r="U550" s="62">
        <f t="shared" si="103"/>
        <v>22875000</v>
      </c>
      <c r="V550" s="172">
        <f>VLOOKUP(E550,Modificaciones!$B$7:$AU$819,46,0)</f>
        <v>22875000</v>
      </c>
      <c r="W550" s="93">
        <f t="shared" si="101"/>
        <v>0</v>
      </c>
      <c r="X550" s="309" t="s">
        <v>1095</v>
      </c>
      <c r="Y550" s="852">
        <f t="shared" si="104"/>
        <v>1</v>
      </c>
      <c r="Z550" s="42">
        <f t="shared" ca="1" si="105"/>
        <v>1</v>
      </c>
      <c r="AA550" s="43">
        <f t="shared" ca="1" si="106"/>
        <v>0</v>
      </c>
      <c r="AB550" s="202" t="str">
        <f t="shared" ca="1" si="107"/>
        <v/>
      </c>
      <c r="AC550" s="44" t="str">
        <f t="shared" si="109"/>
        <v>SI</v>
      </c>
      <c r="AD550" s="760" t="s">
        <v>2898</v>
      </c>
      <c r="AE550" s="871" t="s">
        <v>1256</v>
      </c>
      <c r="AF550" s="281" t="s">
        <v>3068</v>
      </c>
      <c r="AG550" s="173" t="s">
        <v>1437</v>
      </c>
      <c r="AH550" s="281" t="s">
        <v>561</v>
      </c>
      <c r="AI550" s="868"/>
      <c r="AJ550" s="305" t="s">
        <v>3803</v>
      </c>
      <c r="AK550" s="181" t="str">
        <f t="shared" ca="1" si="108"/>
        <v>TERMINO</v>
      </c>
      <c r="AL550" s="310" t="s">
        <v>582</v>
      </c>
      <c r="AM550" s="433" t="s">
        <v>391</v>
      </c>
      <c r="AN550" s="848" t="str">
        <f>IFERROR(VLOOKUP(E550,'liquidaciones '!$B$2:$C$1048576,2,0),"NO")</f>
        <v>EN TRÁMITE</v>
      </c>
      <c r="AO550" s="944" t="str">
        <f>IFERROR(VLOOKUP(E550,'liquidaciones '!$B$2:$I$1048576,8,0),"")</f>
        <v>JUAN DIEGO ESPITIA</v>
      </c>
      <c r="AP550" s="433"/>
      <c r="AQ550" s="433" t="s">
        <v>390</v>
      </c>
      <c r="AR550" s="177" t="s">
        <v>1510</v>
      </c>
      <c r="AS550" s="433"/>
      <c r="AT550" s="966" t="s">
        <v>4188</v>
      </c>
      <c r="AU550" s="964"/>
      <c r="AV550" s="964"/>
    </row>
    <row r="551" spans="3:48" ht="30" x14ac:dyDescent="0.25">
      <c r="C551" s="867">
        <v>165</v>
      </c>
      <c r="D551" s="867"/>
      <c r="E551" s="868" t="s">
        <v>3519</v>
      </c>
      <c r="F551" s="441" t="s">
        <v>12</v>
      </c>
      <c r="G551" s="893">
        <v>805006014</v>
      </c>
      <c r="H551" s="1005" t="s">
        <v>3520</v>
      </c>
      <c r="I551" s="93">
        <v>1878120</v>
      </c>
      <c r="J551" s="873" t="s">
        <v>3521</v>
      </c>
      <c r="K551" s="295">
        <v>2017</v>
      </c>
      <c r="L551" s="546">
        <v>42961</v>
      </c>
      <c r="M551" s="874">
        <v>42963</v>
      </c>
      <c r="N551" s="874">
        <v>43327</v>
      </c>
      <c r="O551" s="127">
        <f>COUNTA(Modificaciones!I537,Modificaciones!K537,Modificaciones!M537,Modificaciones!O537)</f>
        <v>0</v>
      </c>
      <c r="P551" s="128">
        <f>VLOOKUP(E551,Modificaciones!$B$7:$Q$819,16,0)</f>
        <v>0</v>
      </c>
      <c r="Q551" s="129">
        <f>COUNTA(Modificaciones!S551,Modificaciones!U551,Modificaciones!W551,Modificaciones!Y551)</f>
        <v>0</v>
      </c>
      <c r="R551" s="130" t="str">
        <f>IF(Modificaciones!Z551=0,"",VLOOKUP(E551,Modificaciones!$B$7:$AA$500,25,0))</f>
        <v/>
      </c>
      <c r="S551" s="131" t="str">
        <f>IF(Modificaciones!AA551=0,"",VLOOKUP(E551,Modificaciones!$B$7:$AA$500,26,0))</f>
        <v/>
      </c>
      <c r="T551" s="855">
        <f t="shared" si="102"/>
        <v>43327</v>
      </c>
      <c r="U551" s="62">
        <f t="shared" si="103"/>
        <v>1878120</v>
      </c>
      <c r="V551" s="172">
        <f>VLOOKUP(E551,Modificaciones!$B$7:$AU$819,46,0)</f>
        <v>1878120</v>
      </c>
      <c r="W551" s="93">
        <f t="shared" si="101"/>
        <v>0</v>
      </c>
      <c r="X551" s="309" t="s">
        <v>1895</v>
      </c>
      <c r="Y551" s="852">
        <f t="shared" si="104"/>
        <v>1</v>
      </c>
      <c r="Z551" s="42">
        <f t="shared" ca="1" si="105"/>
        <v>1</v>
      </c>
      <c r="AA551" s="43">
        <f t="shared" ca="1" si="106"/>
        <v>0</v>
      </c>
      <c r="AB551" s="202" t="str">
        <f t="shared" ca="1" si="107"/>
        <v/>
      </c>
      <c r="AC551" s="44" t="str">
        <f t="shared" si="109"/>
        <v>SI</v>
      </c>
      <c r="AD551" s="760" t="s">
        <v>1714</v>
      </c>
      <c r="AE551" s="173" t="s">
        <v>1256</v>
      </c>
      <c r="AF551" s="173" t="s">
        <v>1133</v>
      </c>
      <c r="AG551" s="173" t="s">
        <v>1442</v>
      </c>
      <c r="AH551" s="281" t="s">
        <v>560</v>
      </c>
      <c r="AI551" s="305"/>
      <c r="AJ551" s="305" t="s">
        <v>2834</v>
      </c>
      <c r="AK551" s="181" t="str">
        <f t="shared" ca="1" si="108"/>
        <v>TERMINO</v>
      </c>
      <c r="AL551" s="181" t="s">
        <v>576</v>
      </c>
      <c r="AM551" s="176" t="s">
        <v>390</v>
      </c>
      <c r="AN551" s="848" t="str">
        <f>IFERROR(VLOOKUP(E551,'liquidaciones '!$B$2:$C$1048576,2,0),"NO")</f>
        <v>EN TRÁMITE</v>
      </c>
      <c r="AO551" s="944" t="str">
        <f>IFERROR(VLOOKUP(E551,'liquidaciones '!$B$2:$I$1048576,8,0),"")</f>
        <v>JUAN DIEGO ESPITIA</v>
      </c>
      <c r="AP551" s="433"/>
      <c r="AQ551" s="177" t="s">
        <v>390</v>
      </c>
      <c r="AR551" s="177" t="s">
        <v>2978</v>
      </c>
      <c r="AS551" s="433"/>
      <c r="AT551" s="966" t="s">
        <v>3928</v>
      </c>
      <c r="AU551" s="964"/>
      <c r="AV551" s="964"/>
    </row>
    <row r="552" spans="3:48" ht="33.75" x14ac:dyDescent="0.25">
      <c r="C552" s="867">
        <v>210</v>
      </c>
      <c r="D552" s="867"/>
      <c r="E552" s="868" t="s">
        <v>3554</v>
      </c>
      <c r="F552" s="441" t="s">
        <v>3555</v>
      </c>
      <c r="G552" s="893">
        <v>900207129</v>
      </c>
      <c r="H552" s="1005" t="s">
        <v>3556</v>
      </c>
      <c r="I552" s="93">
        <v>3790032</v>
      </c>
      <c r="J552" s="873" t="s">
        <v>3709</v>
      </c>
      <c r="K552" s="295">
        <v>2017</v>
      </c>
      <c r="L552" s="546">
        <v>42971</v>
      </c>
      <c r="M552" s="902">
        <v>42982</v>
      </c>
      <c r="N552" s="902">
        <v>43073</v>
      </c>
      <c r="O552" s="127">
        <f>COUNTA(Modificaciones!I538,Modificaciones!K538,Modificaciones!M538,Modificaciones!O538)</f>
        <v>0</v>
      </c>
      <c r="P552" s="128">
        <f>VLOOKUP(E552,Modificaciones!$B$7:$Q$819,16,0)</f>
        <v>0</v>
      </c>
      <c r="Q552" s="129">
        <f>COUNTA(Modificaciones!S552,Modificaciones!U552,Modificaciones!W552,Modificaciones!Y552)</f>
        <v>0</v>
      </c>
      <c r="R552" s="130" t="str">
        <f>IF(Modificaciones!Z552=0,"",VLOOKUP(E552,Modificaciones!$B$7:$AA$500,25,0))</f>
        <v/>
      </c>
      <c r="S552" s="131" t="str">
        <f>IF(Modificaciones!AA552=0,"",VLOOKUP(E552,Modificaciones!$B$7:$AA$500,26,0))</f>
        <v/>
      </c>
      <c r="T552" s="855">
        <f t="shared" si="102"/>
        <v>43073</v>
      </c>
      <c r="U552" s="62">
        <f t="shared" si="103"/>
        <v>3790032</v>
      </c>
      <c r="V552" s="172">
        <f>VLOOKUP(E552,Modificaciones!$B$7:$AU$819,46,0)</f>
        <v>3790020</v>
      </c>
      <c r="W552" s="93">
        <f t="shared" si="101"/>
        <v>12</v>
      </c>
      <c r="X552" s="309" t="s">
        <v>1895</v>
      </c>
      <c r="Y552" s="852">
        <f t="shared" si="104"/>
        <v>0.99999683379982018</v>
      </c>
      <c r="Z552" s="42">
        <f t="shared" ca="1" si="105"/>
        <v>1</v>
      </c>
      <c r="AA552" s="43">
        <f t="shared" ca="1" si="106"/>
        <v>3.1662001798160588E-6</v>
      </c>
      <c r="AB552" s="202" t="str">
        <f t="shared" ca="1" si="107"/>
        <v/>
      </c>
      <c r="AC552" s="44" t="str">
        <f t="shared" si="109"/>
        <v>SI</v>
      </c>
      <c r="AD552" s="760" t="s">
        <v>1712</v>
      </c>
      <c r="AE552" s="173" t="s">
        <v>1256</v>
      </c>
      <c r="AF552" s="281" t="s">
        <v>1302</v>
      </c>
      <c r="AG552" s="173" t="s">
        <v>1435</v>
      </c>
      <c r="AH552" s="281" t="s">
        <v>560</v>
      </c>
      <c r="AI552" s="305" t="s">
        <v>1389</v>
      </c>
      <c r="AJ552" s="305" t="s">
        <v>3802</v>
      </c>
      <c r="AK552" s="181" t="str">
        <f t="shared" ca="1" si="108"/>
        <v>TERMINO</v>
      </c>
      <c r="AL552" s="310" t="s">
        <v>576</v>
      </c>
      <c r="AM552" s="433" t="s">
        <v>391</v>
      </c>
      <c r="AN552" s="848" t="str">
        <f>IFERROR(VLOOKUP(E552,'liquidaciones '!$B$2:$C$1048576,2,0),"NO")</f>
        <v>LIQUIDADO</v>
      </c>
      <c r="AO552" s="944">
        <f>IFERROR(VLOOKUP(E552,'liquidaciones '!$B$2:$I$1048576,8,0),"")</f>
        <v>0</v>
      </c>
      <c r="AP552" s="433"/>
      <c r="AQ552" s="433" t="s">
        <v>390</v>
      </c>
      <c r="AR552" s="177" t="s">
        <v>3055</v>
      </c>
      <c r="AS552" s="433" t="s">
        <v>3790</v>
      </c>
      <c r="AT552" s="966" t="s">
        <v>560</v>
      </c>
      <c r="AU552" s="964"/>
      <c r="AV552" s="964"/>
    </row>
    <row r="553" spans="3:48" ht="67.5" x14ac:dyDescent="0.25">
      <c r="C553" s="867">
        <v>151</v>
      </c>
      <c r="D553" s="867"/>
      <c r="E553" s="868" t="s">
        <v>3558</v>
      </c>
      <c r="F553" s="441" t="s">
        <v>3402</v>
      </c>
      <c r="G553" s="893" t="s">
        <v>3559</v>
      </c>
      <c r="H553" s="1005" t="s">
        <v>3560</v>
      </c>
      <c r="I553" s="93">
        <v>6956740</v>
      </c>
      <c r="J553" s="873" t="s">
        <v>3558</v>
      </c>
      <c r="K553" s="295">
        <v>2017</v>
      </c>
      <c r="L553" s="546">
        <v>42964</v>
      </c>
      <c r="M553" s="874">
        <v>42986</v>
      </c>
      <c r="N553" s="874">
        <v>43108</v>
      </c>
      <c r="O553" s="127">
        <f>COUNTA(Modificaciones!I539,Modificaciones!K539,Modificaciones!M539,Modificaciones!O539)</f>
        <v>1</v>
      </c>
      <c r="P553" s="128">
        <f>VLOOKUP(E553,Modificaciones!$B$7:$Q$819,16,0)</f>
        <v>0</v>
      </c>
      <c r="Q553" s="129">
        <f>COUNTA(Modificaciones!S553,Modificaciones!U553,Modificaciones!W553,Modificaciones!Y553)</f>
        <v>0</v>
      </c>
      <c r="R553" s="130" t="str">
        <f>IF(Modificaciones!Z553=0,"",VLOOKUP(E553,Modificaciones!$B$7:$AA$500,25,0))</f>
        <v/>
      </c>
      <c r="S553" s="131" t="str">
        <f>IF(Modificaciones!AA553=0,"",VLOOKUP(E553,Modificaciones!$B$7:$AA$500,26,0))</f>
        <v/>
      </c>
      <c r="T553" s="855">
        <f t="shared" si="102"/>
        <v>43108</v>
      </c>
      <c r="U553" s="62">
        <f t="shared" si="103"/>
        <v>6956740</v>
      </c>
      <c r="V553" s="172">
        <f>VLOOKUP(E553,Modificaciones!$B$7:$AU$819,46,0)</f>
        <v>6956740</v>
      </c>
      <c r="W553" s="93">
        <f t="shared" si="101"/>
        <v>0</v>
      </c>
      <c r="X553" s="309" t="s">
        <v>3561</v>
      </c>
      <c r="Y553" s="852">
        <f t="shared" si="104"/>
        <v>1</v>
      </c>
      <c r="Z553" s="42">
        <f t="shared" ca="1" si="105"/>
        <v>1</v>
      </c>
      <c r="AA553" s="43">
        <f t="shared" ca="1" si="106"/>
        <v>0</v>
      </c>
      <c r="AB553" s="202" t="str">
        <f t="shared" ca="1" si="107"/>
        <v/>
      </c>
      <c r="AC553" s="44" t="str">
        <f t="shared" si="109"/>
        <v>SI</v>
      </c>
      <c r="AD553" s="760" t="s">
        <v>2570</v>
      </c>
      <c r="AE553" s="173" t="s">
        <v>1256</v>
      </c>
      <c r="AF553" s="281" t="s">
        <v>1974</v>
      </c>
      <c r="AG553" s="173"/>
      <c r="AH553" s="281" t="s">
        <v>563</v>
      </c>
      <c r="AI553" s="305" t="s">
        <v>1975</v>
      </c>
      <c r="AJ553" s="305" t="s">
        <v>3804</v>
      </c>
      <c r="AK553" s="181" t="str">
        <f t="shared" ca="1" si="108"/>
        <v>TERMINO</v>
      </c>
      <c r="AL553" s="310" t="s">
        <v>582</v>
      </c>
      <c r="AM553" s="433" t="s">
        <v>390</v>
      </c>
      <c r="AN553" s="848" t="str">
        <f>IFERROR(VLOOKUP(E553,'liquidaciones '!$B$2:$C$1048576,2,0),"NO")</f>
        <v>LIQUIDADO</v>
      </c>
      <c r="AO553" s="944">
        <f>IFERROR(VLOOKUP(E553,'liquidaciones '!$B$2:$I$1048576,8,0),"")</f>
        <v>0</v>
      </c>
      <c r="AP553" s="433"/>
      <c r="AQ553" s="433" t="s">
        <v>390</v>
      </c>
      <c r="AR553" s="177" t="s">
        <v>2978</v>
      </c>
      <c r="AS553" s="433"/>
      <c r="AT553" s="966" t="s">
        <v>4035</v>
      </c>
      <c r="AU553" s="964"/>
      <c r="AV553" s="964"/>
    </row>
    <row r="554" spans="3:48" ht="45" x14ac:dyDescent="0.25">
      <c r="C554" s="867"/>
      <c r="D554" s="867"/>
      <c r="E554" s="868" t="s">
        <v>3562</v>
      </c>
      <c r="F554" s="864" t="s">
        <v>203</v>
      </c>
      <c r="G554" s="903">
        <v>860049921</v>
      </c>
      <c r="H554" s="1005" t="s">
        <v>3646</v>
      </c>
      <c r="I554" s="93">
        <v>5217555</v>
      </c>
      <c r="J554" s="873" t="s">
        <v>3562</v>
      </c>
      <c r="K554" s="295">
        <v>2017</v>
      </c>
      <c r="L554" s="546">
        <v>42970</v>
      </c>
      <c r="M554" s="874">
        <v>42986</v>
      </c>
      <c r="N554" s="874">
        <v>43108</v>
      </c>
      <c r="O554" s="127">
        <f>COUNTA(Modificaciones!I540,Modificaciones!K540,Modificaciones!M540,Modificaciones!O540)</f>
        <v>0</v>
      </c>
      <c r="P554" s="128">
        <f>VLOOKUP(E554,Modificaciones!$B$7:$Q$819,16,0)</f>
        <v>0</v>
      </c>
      <c r="Q554" s="129">
        <f>COUNTA(Modificaciones!S554,Modificaciones!U554,Modificaciones!W554,Modificaciones!Y554)</f>
        <v>0</v>
      </c>
      <c r="R554" s="130" t="str">
        <f>IF(Modificaciones!Z554=0,"",VLOOKUP(E554,Modificaciones!$B$7:$AA$500,25,0))</f>
        <v/>
      </c>
      <c r="S554" s="131" t="str">
        <f>IF(Modificaciones!AA554=0,"",VLOOKUP(E554,Modificaciones!$B$7:$AA$500,26,0))</f>
        <v/>
      </c>
      <c r="T554" s="855">
        <f t="shared" si="102"/>
        <v>43108</v>
      </c>
      <c r="U554" s="62">
        <f t="shared" si="103"/>
        <v>5217555</v>
      </c>
      <c r="V554" s="172">
        <f>VLOOKUP(E554,Modificaciones!$B$7:$AU$819,46,0)</f>
        <v>5217555</v>
      </c>
      <c r="W554" s="93">
        <f t="shared" si="101"/>
        <v>0</v>
      </c>
      <c r="X554" s="309" t="s">
        <v>3563</v>
      </c>
      <c r="Y554" s="852">
        <f t="shared" si="104"/>
        <v>1</v>
      </c>
      <c r="Z554" s="42">
        <f t="shared" ca="1" si="105"/>
        <v>1</v>
      </c>
      <c r="AA554" s="43">
        <f t="shared" ca="1" si="106"/>
        <v>0</v>
      </c>
      <c r="AB554" s="202" t="str">
        <f t="shared" ca="1" si="107"/>
        <v/>
      </c>
      <c r="AC554" s="44" t="str">
        <f t="shared" si="109"/>
        <v>SI</v>
      </c>
      <c r="AD554" s="760" t="s">
        <v>1710</v>
      </c>
      <c r="AE554" s="173" t="s">
        <v>1256</v>
      </c>
      <c r="AF554" s="301" t="s">
        <v>1350</v>
      </c>
      <c r="AG554" s="173" t="s">
        <v>1431</v>
      </c>
      <c r="AH554" s="281" t="s">
        <v>563</v>
      </c>
      <c r="AI554" s="305"/>
      <c r="AJ554" s="305" t="s">
        <v>3804</v>
      </c>
      <c r="AK554" s="181" t="str">
        <f t="shared" ca="1" si="108"/>
        <v>TERMINO</v>
      </c>
      <c r="AL554" s="181" t="s">
        <v>582</v>
      </c>
      <c r="AM554" s="433" t="s">
        <v>390</v>
      </c>
      <c r="AN554" s="848" t="str">
        <f>IFERROR(VLOOKUP(E554,'liquidaciones '!$B$2:$C$1048576,2,0),"NO")</f>
        <v>LIQUIDADO</v>
      </c>
      <c r="AO554" s="944">
        <f>IFERROR(VLOOKUP(E554,'liquidaciones '!$B$2:$I$1048576,8,0),"")</f>
        <v>0</v>
      </c>
      <c r="AP554" s="433"/>
      <c r="AQ554" s="433" t="s">
        <v>390</v>
      </c>
      <c r="AR554" s="177" t="s">
        <v>2978</v>
      </c>
      <c r="AS554" s="433"/>
      <c r="AT554" s="966" t="s">
        <v>4035</v>
      </c>
      <c r="AU554" s="964"/>
      <c r="AV554" s="964"/>
    </row>
    <row r="555" spans="3:48" ht="90" x14ac:dyDescent="0.25">
      <c r="C555" s="867">
        <v>197</v>
      </c>
      <c r="D555" s="867"/>
      <c r="E555" s="868" t="s">
        <v>3564</v>
      </c>
      <c r="F555" s="441" t="s">
        <v>3956</v>
      </c>
      <c r="G555" s="893" t="s">
        <v>3565</v>
      </c>
      <c r="H555" s="1005" t="s">
        <v>3566</v>
      </c>
      <c r="I555" s="93">
        <v>259000000</v>
      </c>
      <c r="J555" s="873" t="s">
        <v>3567</v>
      </c>
      <c r="K555" s="295">
        <v>2017</v>
      </c>
      <c r="L555" s="546">
        <v>42975</v>
      </c>
      <c r="M555" s="874">
        <v>42990</v>
      </c>
      <c r="N555" s="874">
        <v>43355</v>
      </c>
      <c r="O555" s="127">
        <f>COUNTA(Modificaciones!I541,Modificaciones!K541,Modificaciones!M541,Modificaciones!O541)</f>
        <v>1</v>
      </c>
      <c r="P555" s="128">
        <f>VLOOKUP(E555,Modificaciones!$B$7:$Q$819,16,0)</f>
        <v>137140000</v>
      </c>
      <c r="Q555" s="129">
        <f>COUNTA(Modificaciones!S555,Modificaciones!U555,Modificaciones!W555,Modificaciones!Y555)</f>
        <v>2</v>
      </c>
      <c r="R555" s="130" t="str">
        <f>IF(Modificaciones!Z555=0,"",VLOOKUP(E555,Modificaciones!$B$7:$AA$1419,25,0))</f>
        <v>3 meses y 19 días calendario</v>
      </c>
      <c r="S555" s="131">
        <f>IF(Modificaciones!AA555=0,"",VLOOKUP(E555,Modificaciones!$B$7:$AA$1419,26,0))</f>
        <v>43465</v>
      </c>
      <c r="T555" s="855">
        <f t="shared" si="102"/>
        <v>43465</v>
      </c>
      <c r="U555" s="62">
        <f t="shared" si="103"/>
        <v>396140000</v>
      </c>
      <c r="V555" s="172">
        <f>VLOOKUP(E555,Modificaciones!$B$7:$AU$819,46,0)</f>
        <v>374460942</v>
      </c>
      <c r="W555" s="93">
        <f t="shared" si="101"/>
        <v>21679058</v>
      </c>
      <c r="X555" s="309"/>
      <c r="Y555" s="852">
        <f t="shared" si="104"/>
        <v>0.94527425152723787</v>
      </c>
      <c r="Z555" s="42">
        <f t="shared" ca="1" si="105"/>
        <v>1</v>
      </c>
      <c r="AA555" s="43">
        <f t="shared" ca="1" si="106"/>
        <v>5.4725748472762126E-2</v>
      </c>
      <c r="AB555" s="202" t="str">
        <f t="shared" ca="1" si="107"/>
        <v/>
      </c>
      <c r="AC555" s="44" t="str">
        <f t="shared" si="109"/>
        <v>NO</v>
      </c>
      <c r="AD555" s="760" t="s">
        <v>1717</v>
      </c>
      <c r="AE555" s="173" t="s">
        <v>1256</v>
      </c>
      <c r="AF555" s="281" t="s">
        <v>2556</v>
      </c>
      <c r="AG555" s="173"/>
      <c r="AH555" s="281"/>
      <c r="AI555" s="305" t="s">
        <v>1380</v>
      </c>
      <c r="AJ555" s="305" t="s">
        <v>2834</v>
      </c>
      <c r="AK555" s="181" t="str">
        <f t="shared" ca="1" si="108"/>
        <v>TERMINO</v>
      </c>
      <c r="AL555" s="310" t="s">
        <v>574</v>
      </c>
      <c r="AM555" s="176" t="s">
        <v>390</v>
      </c>
      <c r="AN555" s="848" t="str">
        <f>IFERROR(VLOOKUP(E555,'liquidaciones '!$B$2:$C$1048576,2,0),"NO")</f>
        <v>NO</v>
      </c>
      <c r="AO555" s="944" t="str">
        <f>IFERROR(VLOOKUP(E555,'liquidaciones '!$B$2:$I$1048576,8,0),"")</f>
        <v/>
      </c>
      <c r="AP555" s="433"/>
      <c r="AQ555" s="177" t="s">
        <v>390</v>
      </c>
      <c r="AR555" s="177" t="s">
        <v>4254</v>
      </c>
      <c r="AS555" s="433"/>
      <c r="AT555" s="966" t="s">
        <v>3947</v>
      </c>
      <c r="AU555" s="964"/>
      <c r="AV555" s="964"/>
    </row>
    <row r="556" spans="3:48" ht="22.5" x14ac:dyDescent="0.25">
      <c r="C556" s="867">
        <v>170</v>
      </c>
      <c r="D556" s="867"/>
      <c r="E556" s="868" t="s">
        <v>3572</v>
      </c>
      <c r="F556" s="441" t="s">
        <v>3573</v>
      </c>
      <c r="G556" s="893">
        <v>901017183</v>
      </c>
      <c r="H556" s="1005" t="s">
        <v>3574</v>
      </c>
      <c r="I556" s="93">
        <v>840000</v>
      </c>
      <c r="J556" s="873" t="s">
        <v>3572</v>
      </c>
      <c r="K556" s="295">
        <v>2017</v>
      </c>
      <c r="L556" s="546">
        <v>42983</v>
      </c>
      <c r="M556" s="874">
        <v>43069</v>
      </c>
      <c r="N556" s="874">
        <v>43434</v>
      </c>
      <c r="O556" s="127">
        <f>COUNTA(Modificaciones!I542,Modificaciones!K542,Modificaciones!M542,Modificaciones!O542)</f>
        <v>2</v>
      </c>
      <c r="P556" s="128">
        <f>VLOOKUP(E556,Modificaciones!$B$7:$Q$819,16,0)</f>
        <v>0</v>
      </c>
      <c r="Q556" s="129">
        <f>COUNTA(Modificaciones!S556,Modificaciones!U556,Modificaciones!W556,Modificaciones!Y556)</f>
        <v>0</v>
      </c>
      <c r="R556" s="130" t="str">
        <f>IF(Modificaciones!Z556=0,"",VLOOKUP(E556,Modificaciones!$B$7:$AA$500,25,0))</f>
        <v/>
      </c>
      <c r="S556" s="131" t="str">
        <f>IF(Modificaciones!AA556=0,"",VLOOKUP(E556,Modificaciones!$B$7:$AA$500,26,0))</f>
        <v/>
      </c>
      <c r="T556" s="855">
        <f t="shared" si="102"/>
        <v>43434</v>
      </c>
      <c r="U556" s="62">
        <f t="shared" si="103"/>
        <v>840000</v>
      </c>
      <c r="V556" s="172">
        <f>VLOOKUP(E556,Modificaciones!$B$7:$AU$819,46,0)</f>
        <v>840000</v>
      </c>
      <c r="W556" s="93">
        <f t="shared" si="101"/>
        <v>0</v>
      </c>
      <c r="X556" s="309" t="s">
        <v>2114</v>
      </c>
      <c r="Y556" s="852">
        <f t="shared" si="104"/>
        <v>1</v>
      </c>
      <c r="Z556" s="42">
        <f t="shared" ca="1" si="105"/>
        <v>1</v>
      </c>
      <c r="AA556" s="43">
        <f t="shared" ca="1" si="106"/>
        <v>0</v>
      </c>
      <c r="AB556" s="202" t="str">
        <f t="shared" ca="1" si="107"/>
        <v/>
      </c>
      <c r="AC556" s="44" t="str">
        <f t="shared" si="109"/>
        <v>SI</v>
      </c>
      <c r="AD556" s="760" t="s">
        <v>1714</v>
      </c>
      <c r="AE556" s="173" t="s">
        <v>1256</v>
      </c>
      <c r="AF556" s="281" t="s">
        <v>1125</v>
      </c>
      <c r="AG556" s="173" t="s">
        <v>1430</v>
      </c>
      <c r="AH556" s="281" t="s">
        <v>564</v>
      </c>
      <c r="AI556" s="305"/>
      <c r="AJ556" s="305" t="s">
        <v>3805</v>
      </c>
      <c r="AK556" s="181" t="str">
        <f t="shared" ca="1" si="108"/>
        <v>TERMINO</v>
      </c>
      <c r="AL556" s="310" t="s">
        <v>582</v>
      </c>
      <c r="AM556" s="176" t="s">
        <v>390</v>
      </c>
      <c r="AN556" s="848" t="str">
        <f>IFERROR(VLOOKUP(E556,'liquidaciones '!$B$2:$C$1048576,2,0),"NO")</f>
        <v>NO</v>
      </c>
      <c r="AO556" s="944" t="str">
        <f>IFERROR(VLOOKUP(E556,'liquidaciones '!$B$2:$I$1048576,8,0),"")</f>
        <v/>
      </c>
      <c r="AP556" s="433"/>
      <c r="AQ556" s="433" t="s">
        <v>390</v>
      </c>
      <c r="AR556" s="177" t="s">
        <v>2965</v>
      </c>
      <c r="AS556" s="433"/>
      <c r="AT556" s="966" t="s">
        <v>3928</v>
      </c>
      <c r="AU556" s="964"/>
      <c r="AV556" s="964"/>
    </row>
    <row r="557" spans="3:48" ht="56.25" x14ac:dyDescent="0.25">
      <c r="C557" s="867">
        <v>206</v>
      </c>
      <c r="D557" s="867"/>
      <c r="E557" s="868" t="s">
        <v>3575</v>
      </c>
      <c r="F557" s="441" t="s">
        <v>3576</v>
      </c>
      <c r="G557" s="893" t="s">
        <v>3577</v>
      </c>
      <c r="H557" s="1005" t="s">
        <v>3578</v>
      </c>
      <c r="I557" s="93">
        <v>855382000</v>
      </c>
      <c r="J557" s="873" t="s">
        <v>3579</v>
      </c>
      <c r="K557" s="295">
        <v>2017</v>
      </c>
      <c r="L557" s="546">
        <v>42984</v>
      </c>
      <c r="M557" s="874">
        <v>42999</v>
      </c>
      <c r="N557" s="874">
        <v>43241</v>
      </c>
      <c r="O557" s="127">
        <f>COUNTA(Modificaciones!I543,Modificaciones!K543,Modificaciones!M543,Modificaciones!O543)</f>
        <v>2</v>
      </c>
      <c r="P557" s="128">
        <f>VLOOKUP(E557,Modificaciones!$B$7:$Q$819,16,0)</f>
        <v>0</v>
      </c>
      <c r="Q557" s="129">
        <f>COUNTA(Modificaciones!S557,Modificaciones!U557,Modificaciones!W557,Modificaciones!Y557)</f>
        <v>3</v>
      </c>
      <c r="R557" s="130" t="str">
        <f>IF(Modificaciones!Z557=0,"",VLOOKUP(E557,Modificaciones!$B$7:$AA$1419,25,0))</f>
        <v>4 meses y 10 días</v>
      </c>
      <c r="S557" s="131">
        <f>IF(Modificaciones!AA557=0,"",VLOOKUP(E557,Modificaciones!$B$7:$AA$1419,26,0))</f>
        <v>43373</v>
      </c>
      <c r="T557" s="855">
        <f t="shared" si="102"/>
        <v>43373</v>
      </c>
      <c r="U557" s="62">
        <f t="shared" si="103"/>
        <v>855382000</v>
      </c>
      <c r="V557" s="172">
        <f>VLOOKUP(E557,Modificaciones!$B$7:$AU$819,46,0)</f>
        <v>762489588</v>
      </c>
      <c r="W557" s="93">
        <f t="shared" si="101"/>
        <v>92892412</v>
      </c>
      <c r="X557" s="309" t="s">
        <v>2663</v>
      </c>
      <c r="Y557" s="852">
        <f t="shared" si="104"/>
        <v>0.8914024237124466</v>
      </c>
      <c r="Z557" s="42">
        <f t="shared" ca="1" si="105"/>
        <v>1</v>
      </c>
      <c r="AA557" s="43">
        <f t="shared" ca="1" si="106"/>
        <v>0.1085975762875534</v>
      </c>
      <c r="AB557" s="202" t="str">
        <f t="shared" ca="1" si="107"/>
        <v/>
      </c>
      <c r="AC557" s="44" t="str">
        <f t="shared" si="109"/>
        <v>NO</v>
      </c>
      <c r="AD557" s="760" t="s">
        <v>1710</v>
      </c>
      <c r="AE557" s="173" t="s">
        <v>1256</v>
      </c>
      <c r="AF557" s="281" t="s">
        <v>1280</v>
      </c>
      <c r="AG557" s="173" t="s">
        <v>1435</v>
      </c>
      <c r="AH557" s="281" t="s">
        <v>560</v>
      </c>
      <c r="AI557" s="305" t="s">
        <v>1386</v>
      </c>
      <c r="AJ557" s="305" t="s">
        <v>3802</v>
      </c>
      <c r="AK557" s="181" t="str">
        <f t="shared" ca="1" si="108"/>
        <v>TERMINO</v>
      </c>
      <c r="AL557" s="310" t="s">
        <v>573</v>
      </c>
      <c r="AM557" s="433" t="s">
        <v>390</v>
      </c>
      <c r="AN557" s="848" t="str">
        <f>IFERROR(VLOOKUP(E557,'liquidaciones '!$B$2:$C$1048576,2,0),"NO")</f>
        <v>NO</v>
      </c>
      <c r="AO557" s="944" t="str">
        <f>IFERROR(VLOOKUP(E557,'liquidaciones '!$B$2:$I$1048576,8,0),"")</f>
        <v/>
      </c>
      <c r="AP557" s="433"/>
      <c r="AQ557" s="433" t="s">
        <v>390</v>
      </c>
      <c r="AR557" s="177" t="s">
        <v>1510</v>
      </c>
      <c r="AS557" s="433" t="s">
        <v>3786</v>
      </c>
      <c r="AT557" s="966" t="s">
        <v>560</v>
      </c>
      <c r="AU557" s="964"/>
      <c r="AV557" s="964"/>
    </row>
    <row r="558" spans="3:48" ht="56.25" x14ac:dyDescent="0.25">
      <c r="C558" s="867">
        <v>154</v>
      </c>
      <c r="D558" s="867"/>
      <c r="E558" s="868" t="s">
        <v>3580</v>
      </c>
      <c r="F558" s="1037" t="s">
        <v>3581</v>
      </c>
      <c r="G558" s="893">
        <v>52733413</v>
      </c>
      <c r="H558" s="1001" t="s">
        <v>2503</v>
      </c>
      <c r="I558" s="93">
        <v>22800000</v>
      </c>
      <c r="J558" s="873" t="s">
        <v>3580</v>
      </c>
      <c r="K558" s="295">
        <v>2017</v>
      </c>
      <c r="L558" s="546">
        <v>42984</v>
      </c>
      <c r="M558" s="874">
        <v>42997</v>
      </c>
      <c r="N558" s="874">
        <v>43119</v>
      </c>
      <c r="O558" s="127">
        <f>COUNTA(Modificaciones!I544,Modificaciones!K544,Modificaciones!M544,Modificaciones!O544)</f>
        <v>0</v>
      </c>
      <c r="P558" s="128">
        <f>VLOOKUP(E558,Modificaciones!$B$7:$Q$819,16,0)</f>
        <v>0</v>
      </c>
      <c r="Q558" s="129">
        <f>COUNTA(Modificaciones!S558,Modificaciones!U558,Modificaciones!W558,Modificaciones!Y558)</f>
        <v>0</v>
      </c>
      <c r="R558" s="130" t="str">
        <f>IF(Modificaciones!Z558=0,"",VLOOKUP(E558,Modificaciones!$B$7:$AA$500,25,0))</f>
        <v/>
      </c>
      <c r="S558" s="131" t="str">
        <f>IF(Modificaciones!AA558=0,"",VLOOKUP(E558,Modificaciones!$B$7:$AA$500,26,0))</f>
        <v/>
      </c>
      <c r="T558" s="855">
        <f t="shared" si="102"/>
        <v>43119</v>
      </c>
      <c r="U558" s="62">
        <f t="shared" si="103"/>
        <v>22800000</v>
      </c>
      <c r="V558" s="172">
        <f>VLOOKUP(E558,Modificaciones!$B$7:$AU$819,46,0)</f>
        <v>22800000</v>
      </c>
      <c r="W558" s="93">
        <f t="shared" si="101"/>
        <v>0</v>
      </c>
      <c r="X558" s="309" t="s">
        <v>1967</v>
      </c>
      <c r="Y558" s="852">
        <f t="shared" si="104"/>
        <v>1</v>
      </c>
      <c r="Z558" s="42">
        <f t="shared" ca="1" si="105"/>
        <v>1</v>
      </c>
      <c r="AA558" s="43">
        <f t="shared" ca="1" si="106"/>
        <v>0</v>
      </c>
      <c r="AB558" s="202" t="str">
        <f t="shared" ca="1" si="107"/>
        <v/>
      </c>
      <c r="AC558" s="44" t="str">
        <f t="shared" si="109"/>
        <v>SI</v>
      </c>
      <c r="AD558" s="760" t="s">
        <v>2898</v>
      </c>
      <c r="AE558" s="173" t="s">
        <v>1256</v>
      </c>
      <c r="AF558" s="281" t="s">
        <v>1968</v>
      </c>
      <c r="AG558" s="173" t="s">
        <v>1429</v>
      </c>
      <c r="AH558" s="281" t="s">
        <v>563</v>
      </c>
      <c r="AI558" s="305"/>
      <c r="AJ558" s="305" t="s">
        <v>3802</v>
      </c>
      <c r="AK558" s="181" t="str">
        <f t="shared" ca="1" si="108"/>
        <v>TERMINO</v>
      </c>
      <c r="AL558" s="310" t="s">
        <v>582</v>
      </c>
      <c r="AM558" s="433" t="s">
        <v>391</v>
      </c>
      <c r="AN558" s="848" t="str">
        <f>IFERROR(VLOOKUP(E558,'liquidaciones '!$B$2:$C$1048576,2,0),"NO")</f>
        <v>LIQUIDADO</v>
      </c>
      <c r="AO558" s="944">
        <f>IFERROR(VLOOKUP(E558,'liquidaciones '!$B$2:$I$1048576,8,0),"")</f>
        <v>0</v>
      </c>
      <c r="AP558" s="433"/>
      <c r="AQ558" s="433" t="s">
        <v>390</v>
      </c>
      <c r="AR558" s="177" t="s">
        <v>3055</v>
      </c>
      <c r="AS558" s="433" t="s">
        <v>3824</v>
      </c>
      <c r="AT558" s="966" t="s">
        <v>560</v>
      </c>
      <c r="AU558" s="964"/>
      <c r="AV558" s="964"/>
    </row>
    <row r="559" spans="3:48" ht="135" x14ac:dyDescent="0.25">
      <c r="C559" s="867">
        <v>226</v>
      </c>
      <c r="D559" s="867"/>
      <c r="E559" s="868" t="s">
        <v>3587</v>
      </c>
      <c r="F559" s="441" t="s">
        <v>3588</v>
      </c>
      <c r="G559" s="893">
        <v>900446648</v>
      </c>
      <c r="H559" s="1005" t="s">
        <v>3589</v>
      </c>
      <c r="I559" s="93">
        <v>12595436</v>
      </c>
      <c r="J559" s="873" t="s">
        <v>3591</v>
      </c>
      <c r="K559" s="295">
        <v>2017</v>
      </c>
      <c r="L559" s="546">
        <v>42993</v>
      </c>
      <c r="M559" s="874">
        <v>42999</v>
      </c>
      <c r="N559" s="874">
        <v>43364</v>
      </c>
      <c r="O559" s="127">
        <f>COUNTA(Modificaciones!I545,Modificaciones!K545,Modificaciones!M545,Modificaciones!O545)</f>
        <v>0</v>
      </c>
      <c r="P559" s="128">
        <f>VLOOKUP(E559,Modificaciones!$B$7:$Q$819,16,0)</f>
        <v>0</v>
      </c>
      <c r="Q559" s="129">
        <f>COUNTA(Modificaciones!S559,Modificaciones!U559,Modificaciones!W559,Modificaciones!Y559)</f>
        <v>0</v>
      </c>
      <c r="R559" s="130" t="str">
        <f>IF(Modificaciones!Z559=0,"",VLOOKUP(E559,Modificaciones!$B$7:$AA$500,25,0))</f>
        <v/>
      </c>
      <c r="S559" s="131" t="str">
        <f>IF(Modificaciones!AA559=0,"",VLOOKUP(E559,Modificaciones!$B$7:$AA$500,26,0))</f>
        <v/>
      </c>
      <c r="T559" s="855">
        <f t="shared" si="102"/>
        <v>43364</v>
      </c>
      <c r="U559" s="62">
        <f t="shared" si="103"/>
        <v>12595436</v>
      </c>
      <c r="V559" s="172">
        <f>VLOOKUP(E559,Modificaciones!$B$7:$AU$819,46,0)</f>
        <v>12595436</v>
      </c>
      <c r="W559" s="93">
        <f t="shared" si="101"/>
        <v>0</v>
      </c>
      <c r="X559" s="314" t="s">
        <v>3590</v>
      </c>
      <c r="Y559" s="852">
        <f t="shared" si="104"/>
        <v>1</v>
      </c>
      <c r="Z559" s="42">
        <f t="shared" ca="1" si="105"/>
        <v>1</v>
      </c>
      <c r="AA559" s="43">
        <f t="shared" ca="1" si="106"/>
        <v>0</v>
      </c>
      <c r="AB559" s="202" t="str">
        <f t="shared" ca="1" si="107"/>
        <v/>
      </c>
      <c r="AC559" s="44" t="str">
        <f t="shared" si="109"/>
        <v>SI</v>
      </c>
      <c r="AD559" s="868" t="s">
        <v>1712</v>
      </c>
      <c r="AE559" s="871" t="s">
        <v>1257</v>
      </c>
      <c r="AF559" s="871" t="s">
        <v>1174</v>
      </c>
      <c r="AG559" s="173" t="s">
        <v>1439</v>
      </c>
      <c r="AH559" s="281" t="s">
        <v>560</v>
      </c>
      <c r="AI559" s="305" t="s">
        <v>1509</v>
      </c>
      <c r="AJ559" s="305" t="s">
        <v>3802</v>
      </c>
      <c r="AK559" s="181" t="str">
        <f t="shared" ca="1" si="108"/>
        <v>TERMINO</v>
      </c>
      <c r="AL559" s="441" t="s">
        <v>2906</v>
      </c>
      <c r="AM559" s="433" t="s">
        <v>390</v>
      </c>
      <c r="AN559" s="848" t="str">
        <f>IFERROR(VLOOKUP(E559,'liquidaciones '!$B$2:$C$1048576,2,0),"NO")</f>
        <v>LIQUIDADO</v>
      </c>
      <c r="AO559" s="944" t="str">
        <f>IFERROR(VLOOKUP(E559,'liquidaciones '!$B$2:$I$1048576,8,0),"")</f>
        <v>JUAN DIEGO ESPITIA</v>
      </c>
      <c r="AP559" s="433"/>
      <c r="AQ559" s="433" t="s">
        <v>390</v>
      </c>
      <c r="AR559" s="177" t="s">
        <v>4219</v>
      </c>
      <c r="AS559" s="433" t="s">
        <v>3785</v>
      </c>
      <c r="AT559" s="966" t="s">
        <v>560</v>
      </c>
      <c r="AU559" s="964"/>
      <c r="AV559" s="964"/>
    </row>
    <row r="560" spans="3:48" ht="33.75" x14ac:dyDescent="0.25">
      <c r="C560" s="867">
        <v>187</v>
      </c>
      <c r="D560" s="867"/>
      <c r="E560" s="868" t="s">
        <v>3592</v>
      </c>
      <c r="F560" s="441" t="s">
        <v>3593</v>
      </c>
      <c r="G560" s="893">
        <v>830085106</v>
      </c>
      <c r="H560" s="1005" t="s">
        <v>3594</v>
      </c>
      <c r="I560" s="93">
        <v>6711600</v>
      </c>
      <c r="J560" s="873" t="s">
        <v>3596</v>
      </c>
      <c r="K560" s="295">
        <v>2017</v>
      </c>
      <c r="L560" s="546">
        <v>42996</v>
      </c>
      <c r="M560" s="874">
        <v>43004</v>
      </c>
      <c r="N560" s="874">
        <v>43185</v>
      </c>
      <c r="O560" s="127">
        <f>COUNTA(Modificaciones!I546,Modificaciones!K546,Modificaciones!M546,Modificaciones!O546)</f>
        <v>1</v>
      </c>
      <c r="P560" s="128">
        <f>VLOOKUP(E560,Modificaciones!$B$7:$Q$819,16,0)</f>
        <v>0</v>
      </c>
      <c r="Q560" s="129">
        <f>COUNTA(Modificaciones!S560,Modificaciones!U560,Modificaciones!W560,Modificaciones!Y560)</f>
        <v>0</v>
      </c>
      <c r="R560" s="130" t="str">
        <f>IF(Modificaciones!Z560=0,"",VLOOKUP(E560,Modificaciones!$B$7:$AA$500,25,0))</f>
        <v/>
      </c>
      <c r="S560" s="131" t="str">
        <f>IF(Modificaciones!AA560=0,"",VLOOKUP(E560,Modificaciones!$B$7:$AA$500,26,0))</f>
        <v/>
      </c>
      <c r="T560" s="855">
        <f t="shared" si="102"/>
        <v>43185</v>
      </c>
      <c r="U560" s="62">
        <f t="shared" si="103"/>
        <v>6711600</v>
      </c>
      <c r="V560" s="172">
        <f>VLOOKUP(E560,Modificaciones!$B$7:$AU$819,46,0)</f>
        <v>6711600</v>
      </c>
      <c r="W560" s="93">
        <f t="shared" si="101"/>
        <v>0</v>
      </c>
      <c r="X560" s="309" t="s">
        <v>1958</v>
      </c>
      <c r="Y560" s="852">
        <f t="shared" si="104"/>
        <v>1</v>
      </c>
      <c r="Z560" s="42">
        <f t="shared" ca="1" si="105"/>
        <v>1</v>
      </c>
      <c r="AA560" s="43">
        <f t="shared" ca="1" si="106"/>
        <v>0</v>
      </c>
      <c r="AB560" s="202" t="str">
        <f t="shared" ca="1" si="107"/>
        <v/>
      </c>
      <c r="AC560" s="44" t="str">
        <f t="shared" si="109"/>
        <v>SI</v>
      </c>
      <c r="AD560" s="760" t="s">
        <v>1713</v>
      </c>
      <c r="AE560" s="173" t="s">
        <v>1256</v>
      </c>
      <c r="AF560" s="281" t="s">
        <v>1959</v>
      </c>
      <c r="AG560" s="173" t="s">
        <v>1442</v>
      </c>
      <c r="AH560" s="281" t="s">
        <v>560</v>
      </c>
      <c r="AI560" s="305"/>
      <c r="AJ560" s="305" t="s">
        <v>3802</v>
      </c>
      <c r="AK560" s="181" t="str">
        <f t="shared" ca="1" si="108"/>
        <v>TERMINO</v>
      </c>
      <c r="AL560" s="310" t="s">
        <v>576</v>
      </c>
      <c r="AM560" s="176" t="s">
        <v>390</v>
      </c>
      <c r="AN560" s="848" t="str">
        <f>IFERROR(VLOOKUP(E560,'liquidaciones '!$B$2:$C$1048576,2,0),"NO")</f>
        <v>LIQUIDADO</v>
      </c>
      <c r="AO560" s="944">
        <f>IFERROR(VLOOKUP(E560,'liquidaciones '!$B$2:$I$1048576,8,0),"")</f>
        <v>0</v>
      </c>
      <c r="AP560" s="433"/>
      <c r="AQ560" s="433" t="s">
        <v>390</v>
      </c>
      <c r="AR560" s="177" t="s">
        <v>1510</v>
      </c>
      <c r="AS560" s="433" t="s">
        <v>1379</v>
      </c>
      <c r="AT560" s="966" t="s">
        <v>560</v>
      </c>
      <c r="AU560" s="964"/>
      <c r="AV560" s="964"/>
    </row>
    <row r="561" spans="3:48" ht="22.5" x14ac:dyDescent="0.25">
      <c r="C561" s="867">
        <v>171</v>
      </c>
      <c r="D561" s="867"/>
      <c r="E561" s="868" t="s">
        <v>3595</v>
      </c>
      <c r="F561" s="441" t="s">
        <v>2116</v>
      </c>
      <c r="G561" s="903">
        <v>860007590</v>
      </c>
      <c r="H561" s="1001" t="s">
        <v>2648</v>
      </c>
      <c r="I561" s="93">
        <v>1185000</v>
      </c>
      <c r="J561" s="873" t="s">
        <v>3595</v>
      </c>
      <c r="K561" s="295">
        <v>2017</v>
      </c>
      <c r="L561" s="546">
        <v>42998</v>
      </c>
      <c r="M561" s="874">
        <v>43010</v>
      </c>
      <c r="N561" s="874">
        <v>43375</v>
      </c>
      <c r="O561" s="127">
        <f>COUNTA(Modificaciones!I547,Modificaciones!K547,Modificaciones!M547,Modificaciones!O547)</f>
        <v>0</v>
      </c>
      <c r="P561" s="128">
        <f>VLOOKUP(E561,Modificaciones!$B$7:$Q$819,16,0)</f>
        <v>0</v>
      </c>
      <c r="Q561" s="129">
        <f>COUNTA(Modificaciones!S561,Modificaciones!U561,Modificaciones!W561,Modificaciones!Y561)</f>
        <v>0</v>
      </c>
      <c r="R561" s="130" t="str">
        <f>IF(Modificaciones!Z561=0,"",VLOOKUP(E561,Modificaciones!$B$7:$AA$500,25,0))</f>
        <v/>
      </c>
      <c r="S561" s="131" t="str">
        <f>IF(Modificaciones!AA561=0,"",VLOOKUP(E561,Modificaciones!$B$7:$AA$500,26,0))</f>
        <v/>
      </c>
      <c r="T561" s="855">
        <f t="shared" si="102"/>
        <v>43375</v>
      </c>
      <c r="U561" s="62">
        <f t="shared" si="103"/>
        <v>1185000</v>
      </c>
      <c r="V561" s="172">
        <f>VLOOKUP(E561,Modificaciones!$B$7:$AU$819,46,0)</f>
        <v>1185000</v>
      </c>
      <c r="W561" s="93">
        <f t="shared" si="101"/>
        <v>0</v>
      </c>
      <c r="X561" s="309" t="s">
        <v>1895</v>
      </c>
      <c r="Y561" s="852">
        <f t="shared" si="104"/>
        <v>1</v>
      </c>
      <c r="Z561" s="42">
        <f t="shared" ca="1" si="105"/>
        <v>1</v>
      </c>
      <c r="AA561" s="43">
        <f t="shared" ca="1" si="106"/>
        <v>0</v>
      </c>
      <c r="AB561" s="202" t="str">
        <f t="shared" ca="1" si="107"/>
        <v/>
      </c>
      <c r="AC561" s="44" t="str">
        <f t="shared" si="109"/>
        <v>SI</v>
      </c>
      <c r="AD561" s="760" t="s">
        <v>1714</v>
      </c>
      <c r="AE561" s="173" t="s">
        <v>1256</v>
      </c>
      <c r="AF561" s="281" t="s">
        <v>1125</v>
      </c>
      <c r="AG561" s="173" t="s">
        <v>1430</v>
      </c>
      <c r="AH561" s="281" t="s">
        <v>564</v>
      </c>
      <c r="AI561" s="305"/>
      <c r="AJ561" s="305" t="s">
        <v>3805</v>
      </c>
      <c r="AK561" s="181" t="str">
        <f t="shared" ca="1" si="108"/>
        <v>TERMINO</v>
      </c>
      <c r="AL561" s="310" t="s">
        <v>582</v>
      </c>
      <c r="AM561" s="176" t="s">
        <v>390</v>
      </c>
      <c r="AN561" s="848" t="str">
        <f>IFERROR(VLOOKUP(E561,'liquidaciones '!$B$2:$C$1048576,2,0),"NO")</f>
        <v>NO</v>
      </c>
      <c r="AO561" s="944" t="str">
        <f>IFERROR(VLOOKUP(E561,'liquidaciones '!$B$2:$I$1048576,8,0),"")</f>
        <v/>
      </c>
      <c r="AP561" s="433"/>
      <c r="AQ561" s="177" t="s">
        <v>390</v>
      </c>
      <c r="AR561" s="177" t="s">
        <v>3055</v>
      </c>
      <c r="AS561" s="433"/>
      <c r="AT561" s="966" t="s">
        <v>3928</v>
      </c>
      <c r="AU561" s="964"/>
      <c r="AV561" s="964"/>
    </row>
    <row r="562" spans="3:48" ht="56.25" x14ac:dyDescent="0.25">
      <c r="C562" s="867"/>
      <c r="D562" s="867"/>
      <c r="E562" s="868" t="s">
        <v>3598</v>
      </c>
      <c r="F562" s="441" t="s">
        <v>3599</v>
      </c>
      <c r="G562" s="893">
        <v>1022949330</v>
      </c>
      <c r="H562" s="1005" t="s">
        <v>3600</v>
      </c>
      <c r="I562" s="93">
        <v>7500000</v>
      </c>
      <c r="J562" s="873" t="s">
        <v>3598</v>
      </c>
      <c r="K562" s="295">
        <v>2017</v>
      </c>
      <c r="L562" s="546">
        <v>42999</v>
      </c>
      <c r="M562" s="874">
        <v>43006</v>
      </c>
      <c r="N562" s="874">
        <v>43100</v>
      </c>
      <c r="O562" s="127">
        <f>COUNTA(Modificaciones!I548,Modificaciones!K548,Modificaciones!M548,Modificaciones!O548)</f>
        <v>1</v>
      </c>
      <c r="P562" s="128">
        <f>VLOOKUP(E562,Modificaciones!$B$7:$Q$819,16,0)</f>
        <v>0</v>
      </c>
      <c r="Q562" s="129">
        <f>COUNTA(Modificaciones!S562,Modificaciones!U562,Modificaciones!W562,Modificaciones!Y562)</f>
        <v>1</v>
      </c>
      <c r="R562" s="130" t="str">
        <f>IF(Modificaciones!Z562=0,"",VLOOKUP(E562,Modificaciones!$B$7:$AA$1419,25,0))</f>
        <v>13 días calendario</v>
      </c>
      <c r="S562" s="131">
        <f>IF(Modificaciones!AA562=0,"",VLOOKUP(E562,Modificaciones!$B$7:$AA$1419,26,0))</f>
        <v>43125</v>
      </c>
      <c r="T562" s="855">
        <f t="shared" si="102"/>
        <v>43125</v>
      </c>
      <c r="U562" s="62">
        <f t="shared" si="103"/>
        <v>7500000</v>
      </c>
      <c r="V562" s="172">
        <f>VLOOKUP(E562,Modificaciones!$B$7:$AU$819,46,0)</f>
        <v>7375000</v>
      </c>
      <c r="W562" s="93">
        <f t="shared" si="101"/>
        <v>125000</v>
      </c>
      <c r="X562" s="309" t="s">
        <v>1967</v>
      </c>
      <c r="Y562" s="852">
        <f t="shared" si="104"/>
        <v>0.98333333333333328</v>
      </c>
      <c r="Z562" s="42">
        <f t="shared" ca="1" si="105"/>
        <v>1</v>
      </c>
      <c r="AA562" s="43">
        <f t="shared" ca="1" si="106"/>
        <v>1.6666666666666718E-2</v>
      </c>
      <c r="AB562" s="202" t="str">
        <f t="shared" ca="1" si="107"/>
        <v/>
      </c>
      <c r="AC562" s="44" t="str">
        <f t="shared" ref="AC562:AC593" si="110">IF(Y562&lt;=99.9%,"NO","SI")</f>
        <v>NO</v>
      </c>
      <c r="AD562" s="760" t="s">
        <v>2898</v>
      </c>
      <c r="AE562" s="173" t="s">
        <v>1256</v>
      </c>
      <c r="AF562" s="281" t="s">
        <v>3601</v>
      </c>
      <c r="AG562" s="868" t="s">
        <v>3602</v>
      </c>
      <c r="AH562" s="281" t="s">
        <v>560</v>
      </c>
      <c r="AI562" s="868" t="s">
        <v>3603</v>
      </c>
      <c r="AJ562" s="305" t="s">
        <v>3802</v>
      </c>
      <c r="AK562" s="181" t="str">
        <f t="shared" ca="1" si="108"/>
        <v>TERMINO</v>
      </c>
      <c r="AL562" s="310" t="s">
        <v>582</v>
      </c>
      <c r="AM562" s="433" t="s">
        <v>391</v>
      </c>
      <c r="AN562" s="848" t="str">
        <f>IFERROR(VLOOKUP(E562,'liquidaciones '!$B$2:$C$1048576,2,0),"NO")</f>
        <v>LIQUIDADO</v>
      </c>
      <c r="AO562" s="944">
        <f>IFERROR(VLOOKUP(E562,'liquidaciones '!$B$2:$I$1048576,8,0),"")</f>
        <v>0</v>
      </c>
      <c r="AP562" s="433"/>
      <c r="AQ562" s="433" t="s">
        <v>390</v>
      </c>
      <c r="AR562" s="177" t="s">
        <v>3570</v>
      </c>
      <c r="AS562" s="433" t="s">
        <v>3781</v>
      </c>
      <c r="AT562" s="966" t="s">
        <v>560</v>
      </c>
      <c r="AU562" s="964"/>
      <c r="AV562" s="964"/>
    </row>
    <row r="563" spans="3:48" ht="67.5" x14ac:dyDescent="0.25">
      <c r="C563" s="867">
        <v>86</v>
      </c>
      <c r="D563" s="867"/>
      <c r="E563" s="868" t="s">
        <v>3604</v>
      </c>
      <c r="F563" s="441" t="s">
        <v>1862</v>
      </c>
      <c r="G563" s="893">
        <v>830124848</v>
      </c>
      <c r="H563" s="1001" t="s">
        <v>3605</v>
      </c>
      <c r="I563" s="93">
        <v>30000000</v>
      </c>
      <c r="J563" s="873" t="s">
        <v>3606</v>
      </c>
      <c r="K563" s="295">
        <v>2017</v>
      </c>
      <c r="L563" s="546">
        <v>42993</v>
      </c>
      <c r="M563" s="874">
        <v>43020</v>
      </c>
      <c r="N563" s="874">
        <v>43202</v>
      </c>
      <c r="O563" s="127">
        <f>COUNTA(Modificaciones!I549,Modificaciones!K549,Modificaciones!M549,Modificaciones!O549)</f>
        <v>0</v>
      </c>
      <c r="P563" s="128">
        <f>VLOOKUP(E563,Modificaciones!$B$7:$Q$819,16,0)</f>
        <v>10000000</v>
      </c>
      <c r="Q563" s="129">
        <f>COUNTA(Modificaciones!S563,Modificaciones!U563,Modificaciones!W563,Modificaciones!Y563)</f>
        <v>2</v>
      </c>
      <c r="R563" s="130" t="str">
        <f>IF(Modificaciones!Z563=0,"",VLOOKUP(E563,Modificaciones!$B$7:$AA$1419,25,0))</f>
        <v>3 meses</v>
      </c>
      <c r="S563" s="131">
        <f>IF(Modificaciones!AA563=0,"",VLOOKUP(E563,Modificaciones!$B$7:$AA$1419,26,0))</f>
        <v>43293</v>
      </c>
      <c r="T563" s="855">
        <f t="shared" si="102"/>
        <v>43293</v>
      </c>
      <c r="U563" s="62">
        <f t="shared" si="103"/>
        <v>40000000</v>
      </c>
      <c r="V563" s="172">
        <f>VLOOKUP(E563,Modificaciones!$B$7:$AU$819,46,0)</f>
        <v>39991153</v>
      </c>
      <c r="W563" s="93">
        <f t="shared" si="101"/>
        <v>8847</v>
      </c>
      <c r="X563" s="309" t="s">
        <v>1864</v>
      </c>
      <c r="Y563" s="852">
        <f t="shared" si="104"/>
        <v>0.99977882500000004</v>
      </c>
      <c r="Z563" s="42">
        <f t="shared" ca="1" si="105"/>
        <v>1</v>
      </c>
      <c r="AA563" s="43">
        <f t="shared" ca="1" si="106"/>
        <v>2.2117499999996237E-4</v>
      </c>
      <c r="AB563" s="202" t="str">
        <f t="shared" ca="1" si="107"/>
        <v/>
      </c>
      <c r="AC563" s="44" t="str">
        <f t="shared" si="110"/>
        <v>SI</v>
      </c>
      <c r="AD563" s="760" t="s">
        <v>1710</v>
      </c>
      <c r="AE563" s="173" t="s">
        <v>1257</v>
      </c>
      <c r="AF563" s="301" t="s">
        <v>1166</v>
      </c>
      <c r="AG563" s="173" t="s">
        <v>1439</v>
      </c>
      <c r="AH563" s="281" t="s">
        <v>560</v>
      </c>
      <c r="AI563" s="305" t="s">
        <v>1509</v>
      </c>
      <c r="AJ563" s="305" t="s">
        <v>3802</v>
      </c>
      <c r="AK563" s="181" t="str">
        <f t="shared" ca="1" si="108"/>
        <v>TERMINO</v>
      </c>
      <c r="AL563" s="310" t="s">
        <v>576</v>
      </c>
      <c r="AM563" s="433" t="s">
        <v>390</v>
      </c>
      <c r="AN563" s="848" t="str">
        <f>IFERROR(VLOOKUP(E563,'liquidaciones '!$B$2:$C$1048576,2,0),"NO")</f>
        <v>LIQUIDADO</v>
      </c>
      <c r="AO563" s="944" t="str">
        <f>IFERROR(VLOOKUP(E563,'liquidaciones '!$B$2:$I$1048576,8,0),"")</f>
        <v>JUAN DIEGO ESPITIA</v>
      </c>
      <c r="AP563" s="433"/>
      <c r="AQ563" s="433" t="s">
        <v>390</v>
      </c>
      <c r="AR563" s="433" t="s">
        <v>3518</v>
      </c>
      <c r="AS563" s="433" t="s">
        <v>3785</v>
      </c>
      <c r="AT563" s="966" t="s">
        <v>560</v>
      </c>
      <c r="AU563" s="964"/>
      <c r="AV563" s="964"/>
    </row>
    <row r="564" spans="3:48" ht="101.25" x14ac:dyDescent="0.25">
      <c r="C564" s="867">
        <v>166</v>
      </c>
      <c r="D564" s="867"/>
      <c r="E564" s="868" t="s">
        <v>3607</v>
      </c>
      <c r="F564" s="441" t="s">
        <v>3608</v>
      </c>
      <c r="G564" s="893">
        <v>800109177</v>
      </c>
      <c r="H564" s="1001" t="s">
        <v>3037</v>
      </c>
      <c r="I564" s="93">
        <v>975000</v>
      </c>
      <c r="J564" s="873" t="s">
        <v>4547</v>
      </c>
      <c r="K564" s="295">
        <v>2017</v>
      </c>
      <c r="L564" s="546">
        <v>43003</v>
      </c>
      <c r="M564" s="874">
        <v>43034</v>
      </c>
      <c r="N564" s="874">
        <v>43399</v>
      </c>
      <c r="O564" s="127">
        <f>COUNTA(Modificaciones!I550,Modificaciones!K550,Modificaciones!M550,Modificaciones!O550)</f>
        <v>1</v>
      </c>
      <c r="P564" s="128">
        <f>VLOOKUP(E564,Modificaciones!$B$7:$Q$819,16,0)</f>
        <v>0</v>
      </c>
      <c r="Q564" s="129">
        <f>COUNTA(Modificaciones!S564,Modificaciones!U564,Modificaciones!W564,Modificaciones!Y564)</f>
        <v>0</v>
      </c>
      <c r="R564" s="130" t="str">
        <f>IF(Modificaciones!Z564=0,"",VLOOKUP(E564,Modificaciones!$B$7:$AA$500,25,0))</f>
        <v/>
      </c>
      <c r="S564" s="131" t="str">
        <f>IF(Modificaciones!AA564=0,"",VLOOKUP(E564,Modificaciones!$B$7:$AA$500,26,0))</f>
        <v/>
      </c>
      <c r="T564" s="855">
        <f t="shared" si="102"/>
        <v>43399</v>
      </c>
      <c r="U564" s="62">
        <f t="shared" si="103"/>
        <v>975000</v>
      </c>
      <c r="V564" s="172">
        <f>VLOOKUP(E564,Modificaciones!$B$7:$AU$819,46,0)</f>
        <v>975000</v>
      </c>
      <c r="W564" s="93">
        <f t="shared" si="101"/>
        <v>0</v>
      </c>
      <c r="X564" s="314" t="s">
        <v>1231</v>
      </c>
      <c r="Y564" s="852">
        <f t="shared" si="104"/>
        <v>1</v>
      </c>
      <c r="Z564" s="42">
        <f t="shared" ca="1" si="105"/>
        <v>1</v>
      </c>
      <c r="AA564" s="43">
        <f t="shared" ca="1" si="106"/>
        <v>0</v>
      </c>
      <c r="AB564" s="202" t="str">
        <f t="shared" ca="1" si="107"/>
        <v/>
      </c>
      <c r="AC564" s="44" t="str">
        <f t="shared" si="110"/>
        <v>SI</v>
      </c>
      <c r="AD564" s="868"/>
      <c r="AE564" s="173" t="s">
        <v>1257</v>
      </c>
      <c r="AF564" s="301" t="s">
        <v>1142</v>
      </c>
      <c r="AG564" s="173" t="s">
        <v>1430</v>
      </c>
      <c r="AH564" s="281" t="s">
        <v>564</v>
      </c>
      <c r="AI564" s="174"/>
      <c r="AJ564" s="305" t="s">
        <v>2834</v>
      </c>
      <c r="AK564" s="181" t="str">
        <f t="shared" ca="1" si="108"/>
        <v>TERMINO</v>
      </c>
      <c r="AL564" s="181" t="s">
        <v>576</v>
      </c>
      <c r="AM564" s="433" t="s">
        <v>390</v>
      </c>
      <c r="AN564" s="848" t="str">
        <f>IFERROR(VLOOKUP(E564,'liquidaciones '!$B$2:$C$1048576,2,0),"NO")</f>
        <v>NO</v>
      </c>
      <c r="AO564" s="944" t="str">
        <f>IFERROR(VLOOKUP(E564,'liquidaciones '!$B$2:$I$1048576,8,0),"")</f>
        <v/>
      </c>
      <c r="AP564" s="433"/>
      <c r="AQ564" s="433" t="s">
        <v>390</v>
      </c>
      <c r="AR564" s="177" t="s">
        <v>4235</v>
      </c>
      <c r="AS564" s="433"/>
      <c r="AT564" s="966" t="s">
        <v>3947</v>
      </c>
      <c r="AU564" s="964"/>
      <c r="AV564" s="301" t="s">
        <v>4673</v>
      </c>
    </row>
    <row r="565" spans="3:48" ht="180" x14ac:dyDescent="0.25">
      <c r="C565" s="867">
        <v>179</v>
      </c>
      <c r="D565" s="867"/>
      <c r="E565" s="868" t="s">
        <v>3609</v>
      </c>
      <c r="F565" s="441" t="s">
        <v>3614</v>
      </c>
      <c r="G565" s="893">
        <v>900749719</v>
      </c>
      <c r="H565" s="1005" t="s">
        <v>3610</v>
      </c>
      <c r="I565" s="93">
        <v>241357373</v>
      </c>
      <c r="J565" s="873" t="s">
        <v>3611</v>
      </c>
      <c r="K565" s="295">
        <v>2017</v>
      </c>
      <c r="L565" s="546">
        <v>42993</v>
      </c>
      <c r="M565" s="874">
        <v>43053</v>
      </c>
      <c r="N565" s="874">
        <v>43172</v>
      </c>
      <c r="O565" s="127">
        <f>COUNTA(Modificaciones!I551,Modificaciones!K551,Modificaciones!M551,Modificaciones!O551)</f>
        <v>0</v>
      </c>
      <c r="P565" s="128">
        <f>VLOOKUP(E565,Modificaciones!$B$7:$Q$819,16,0)</f>
        <v>85040124</v>
      </c>
      <c r="Q565" s="129">
        <f>COUNTA(Modificaciones!S565,Modificaciones!U565,Modificaciones!W565,Modificaciones!Y565)</f>
        <v>2</v>
      </c>
      <c r="R565" s="130" t="str">
        <f>IF(Modificaciones!Z565=0,"",VLOOKUP(E565,Modificaciones!$B$7:$AA$1419,25,0))</f>
        <v>2 meses y 15 días calendario</v>
      </c>
      <c r="S565" s="131">
        <f>IF(Modificaciones!AA565=0,"",VLOOKUP(E565,Modificaciones!$B$7:$AA$1419,26,0))</f>
        <v>43248</v>
      </c>
      <c r="T565" s="855">
        <f t="shared" si="102"/>
        <v>43248</v>
      </c>
      <c r="U565" s="62">
        <f>I565+P565</f>
        <v>326397497</v>
      </c>
      <c r="V565" s="172">
        <f>VLOOKUP(E565,Modificaciones!$B$7:$AU$819,46,0)</f>
        <v>253990286</v>
      </c>
      <c r="W565" s="93">
        <f t="shared" si="101"/>
        <v>72407211</v>
      </c>
      <c r="X565" s="314" t="s">
        <v>3612</v>
      </c>
      <c r="Y565" s="852">
        <f t="shared" si="104"/>
        <v>0.77816248082319084</v>
      </c>
      <c r="Z565" s="42">
        <f t="shared" ca="1" si="105"/>
        <v>1</v>
      </c>
      <c r="AA565" s="43">
        <f t="shared" ca="1" si="106"/>
        <v>0.22183751917680916</v>
      </c>
      <c r="AB565" s="202" t="str">
        <f t="shared" ca="1" si="107"/>
        <v/>
      </c>
      <c r="AC565" s="44" t="str">
        <f t="shared" si="110"/>
        <v>NO</v>
      </c>
      <c r="AD565" s="760" t="s">
        <v>1717</v>
      </c>
      <c r="AE565" s="173" t="s">
        <v>1256</v>
      </c>
      <c r="AF565" s="281" t="s">
        <v>3613</v>
      </c>
      <c r="AG565" s="173"/>
      <c r="AH565" s="281"/>
      <c r="AI565" s="305" t="s">
        <v>3603</v>
      </c>
      <c r="AJ565" s="305" t="s">
        <v>2834</v>
      </c>
      <c r="AK565" s="181" t="str">
        <f t="shared" ca="1" si="108"/>
        <v>TERMINO</v>
      </c>
      <c r="AL565" s="310" t="s">
        <v>574</v>
      </c>
      <c r="AM565" s="433" t="s">
        <v>390</v>
      </c>
      <c r="AN565" s="848" t="str">
        <f>IFERROR(VLOOKUP(E565,'liquidaciones '!$B$2:$C$1048576,2,0),"NO")</f>
        <v>LIQUIDADO</v>
      </c>
      <c r="AO565" s="944" t="str">
        <f>IFERROR(VLOOKUP(E565,'liquidaciones '!$B$2:$I$1048576,8,0),"")</f>
        <v>JUAN DIEGO ESPITIA</v>
      </c>
      <c r="AP565" s="433"/>
      <c r="AQ565" s="433" t="s">
        <v>390</v>
      </c>
      <c r="AR565" s="177" t="s">
        <v>3570</v>
      </c>
      <c r="AS565" s="433"/>
      <c r="AT565" s="966" t="s">
        <v>3947</v>
      </c>
      <c r="AU565" s="964"/>
      <c r="AV565" s="964"/>
    </row>
    <row r="566" spans="3:48" ht="78.75" x14ac:dyDescent="0.25">
      <c r="C566" s="867"/>
      <c r="D566" s="867"/>
      <c r="E566" s="868" t="s">
        <v>3617</v>
      </c>
      <c r="F566" s="441" t="s">
        <v>3618</v>
      </c>
      <c r="G566" s="893">
        <v>52390138</v>
      </c>
      <c r="H566" s="1005" t="s">
        <v>3619</v>
      </c>
      <c r="I566" s="93">
        <v>12000000</v>
      </c>
      <c r="J566" s="873" t="s">
        <v>3617</v>
      </c>
      <c r="K566" s="295">
        <v>2017</v>
      </c>
      <c r="L566" s="546">
        <v>43010</v>
      </c>
      <c r="M566" s="874">
        <v>43014</v>
      </c>
      <c r="N566" s="874">
        <v>43106</v>
      </c>
      <c r="O566" s="127">
        <f>COUNTA(Modificaciones!I552,Modificaciones!K552,Modificaciones!M552,Modificaciones!O552)</f>
        <v>0</v>
      </c>
      <c r="P566" s="128">
        <f>VLOOKUP(E566,Modificaciones!$B$7:$Q$819,16,0)</f>
        <v>0</v>
      </c>
      <c r="Q566" s="129">
        <f>COUNTA(Modificaciones!S566,Modificaciones!U566,Modificaciones!W566,Modificaciones!Y566)</f>
        <v>0</v>
      </c>
      <c r="R566" s="130" t="str">
        <f>IF(Modificaciones!Z566=0,"",VLOOKUP(E566,Modificaciones!$B$7:$AA$500,25,0))</f>
        <v/>
      </c>
      <c r="S566" s="131" t="str">
        <f>IF(Modificaciones!AA566=0,"",VLOOKUP(E566,Modificaciones!$B$7:$AA$500,26,0))</f>
        <v/>
      </c>
      <c r="T566" s="855">
        <f t="shared" si="102"/>
        <v>43106</v>
      </c>
      <c r="U566" s="62">
        <f t="shared" si="103"/>
        <v>12000000</v>
      </c>
      <c r="V566" s="172">
        <f>VLOOKUP(E566,Modificaciones!$B$7:$AU$819,46,0)</f>
        <v>12000000</v>
      </c>
      <c r="W566" s="93">
        <f t="shared" si="101"/>
        <v>0</v>
      </c>
      <c r="X566" s="309" t="s">
        <v>1095</v>
      </c>
      <c r="Y566" s="852">
        <f t="shared" si="104"/>
        <v>1</v>
      </c>
      <c r="Z566" s="42">
        <f t="shared" ca="1" si="105"/>
        <v>1</v>
      </c>
      <c r="AA566" s="43">
        <f t="shared" ca="1" si="106"/>
        <v>0</v>
      </c>
      <c r="AB566" s="202" t="str">
        <f t="shared" ca="1" si="107"/>
        <v/>
      </c>
      <c r="AC566" s="44" t="str">
        <f t="shared" si="110"/>
        <v>SI</v>
      </c>
      <c r="AD566" s="760" t="s">
        <v>2898</v>
      </c>
      <c r="AE566" s="173" t="s">
        <v>1256</v>
      </c>
      <c r="AF566" s="173" t="s">
        <v>2496</v>
      </c>
      <c r="AG566" s="173" t="s">
        <v>1430</v>
      </c>
      <c r="AH566" s="281" t="s">
        <v>564</v>
      </c>
      <c r="AI566" s="868"/>
      <c r="AJ566" s="305" t="s">
        <v>3805</v>
      </c>
      <c r="AK566" s="181" t="str">
        <f t="shared" ca="1" si="108"/>
        <v>TERMINO</v>
      </c>
      <c r="AL566" s="310" t="s">
        <v>582</v>
      </c>
      <c r="AM566" s="433" t="s">
        <v>391</v>
      </c>
      <c r="AN566" s="848" t="str">
        <f>IFERROR(VLOOKUP(E566,'liquidaciones '!$B$2:$C$1048576,2,0),"NO")</f>
        <v>LIQUIDADO</v>
      </c>
      <c r="AO566" s="944">
        <f>IFERROR(VLOOKUP(E566,'liquidaciones '!$B$2:$I$1048576,8,0),"")</f>
        <v>0</v>
      </c>
      <c r="AP566" s="433"/>
      <c r="AQ566" s="433" t="s">
        <v>390</v>
      </c>
      <c r="AR566" s="177" t="s">
        <v>2978</v>
      </c>
      <c r="AS566" s="433"/>
      <c r="AT566" s="966" t="s">
        <v>3928</v>
      </c>
      <c r="AU566" s="964"/>
      <c r="AV566" s="964"/>
    </row>
    <row r="567" spans="3:48" ht="247.5" x14ac:dyDescent="0.25">
      <c r="C567" s="867"/>
      <c r="D567" s="867"/>
      <c r="E567" s="868" t="s">
        <v>3621</v>
      </c>
      <c r="F567" s="441" t="s">
        <v>3622</v>
      </c>
      <c r="G567" s="893" t="s">
        <v>3623</v>
      </c>
      <c r="H567" s="1005" t="s">
        <v>3624</v>
      </c>
      <c r="I567" s="93">
        <v>103000000</v>
      </c>
      <c r="J567" s="873" t="s">
        <v>3621</v>
      </c>
      <c r="K567" s="295">
        <v>2017</v>
      </c>
      <c r="L567" s="546">
        <v>43007</v>
      </c>
      <c r="M567" s="874">
        <v>43018</v>
      </c>
      <c r="N567" s="874">
        <v>43383</v>
      </c>
      <c r="O567" s="127">
        <f>COUNTA(Modificaciones!I553,Modificaciones!K553,Modificaciones!M553,Modificaciones!O553)</f>
        <v>0</v>
      </c>
      <c r="P567" s="128">
        <f>VLOOKUP(E567,Modificaciones!$B$7:$Q$819,16,0)</f>
        <v>0</v>
      </c>
      <c r="Q567" s="129">
        <f>COUNTA(Modificaciones!S567,Modificaciones!U567,Modificaciones!W567,Modificaciones!Y567)</f>
        <v>0</v>
      </c>
      <c r="R567" s="130" t="str">
        <f>IF(Modificaciones!Z567=0,"",VLOOKUP(E567,Modificaciones!$B$7:$AA$500,25,0))</f>
        <v/>
      </c>
      <c r="S567" s="131" t="str">
        <f>IF(Modificaciones!AA567=0,"",VLOOKUP(E567,Modificaciones!$B$7:$AA$500,26,0))</f>
        <v/>
      </c>
      <c r="T567" s="855">
        <f t="shared" si="102"/>
        <v>43383</v>
      </c>
      <c r="U567" s="62">
        <f t="shared" si="103"/>
        <v>103000000</v>
      </c>
      <c r="V567" s="172">
        <f>VLOOKUP(E567,Modificaciones!$B$7:$AU$819,46,0)</f>
        <v>98313777</v>
      </c>
      <c r="W567" s="93">
        <f t="shared" si="101"/>
        <v>4686223</v>
      </c>
      <c r="X567" s="314" t="s">
        <v>3625</v>
      </c>
      <c r="Y567" s="852">
        <f t="shared" si="104"/>
        <v>0.9545026893203884</v>
      </c>
      <c r="Z567" s="42">
        <f t="shared" ca="1" si="105"/>
        <v>1</v>
      </c>
      <c r="AA567" s="43">
        <f t="shared" ca="1" si="106"/>
        <v>4.5497310679611602E-2</v>
      </c>
      <c r="AB567" s="202" t="str">
        <f t="shared" ca="1" si="107"/>
        <v/>
      </c>
      <c r="AC567" s="44" t="str">
        <f t="shared" si="110"/>
        <v>NO</v>
      </c>
      <c r="AD567" s="760" t="s">
        <v>1710</v>
      </c>
      <c r="AE567" s="871" t="s">
        <v>1257</v>
      </c>
      <c r="AF567" s="871" t="s">
        <v>2971</v>
      </c>
      <c r="AG567" s="173" t="s">
        <v>1439</v>
      </c>
      <c r="AH567" s="281" t="s">
        <v>560</v>
      </c>
      <c r="AI567" s="868"/>
      <c r="AJ567" s="305" t="s">
        <v>3802</v>
      </c>
      <c r="AK567" s="181" t="str">
        <f t="shared" ca="1" si="108"/>
        <v>TERMINO</v>
      </c>
      <c r="AL567" s="441"/>
      <c r="AM567" s="433" t="s">
        <v>390</v>
      </c>
      <c r="AN567" s="848" t="str">
        <f>IFERROR(VLOOKUP(E567,'liquidaciones '!$B$2:$C$1048576,2,0),"NO")</f>
        <v>LIQUIDADO</v>
      </c>
      <c r="AO567" s="944" t="str">
        <f>IFERROR(VLOOKUP(E567,'liquidaciones '!$B$2:$I$1048576,8,0),"")</f>
        <v>JUAN DIEGO ESPITIA</v>
      </c>
      <c r="AP567" s="433"/>
      <c r="AQ567" s="433" t="s">
        <v>390</v>
      </c>
      <c r="AR567" s="177" t="s">
        <v>4219</v>
      </c>
      <c r="AS567" s="433" t="s">
        <v>3785</v>
      </c>
      <c r="AT567" s="966" t="s">
        <v>560</v>
      </c>
      <c r="AU567" s="964"/>
      <c r="AV567" s="964"/>
    </row>
    <row r="568" spans="3:48" ht="33.75" x14ac:dyDescent="0.25">
      <c r="C568" s="867">
        <v>172</v>
      </c>
      <c r="D568" s="867"/>
      <c r="E568" s="868" t="s">
        <v>3626</v>
      </c>
      <c r="F568" s="441" t="s">
        <v>2146</v>
      </c>
      <c r="G568" s="893">
        <v>860536029</v>
      </c>
      <c r="H568" s="1001" t="s">
        <v>2665</v>
      </c>
      <c r="I568" s="93">
        <v>960000</v>
      </c>
      <c r="J568" s="873" t="s">
        <v>3626</v>
      </c>
      <c r="K568" s="295">
        <v>2017</v>
      </c>
      <c r="L568" s="546">
        <v>42986</v>
      </c>
      <c r="M568" s="874">
        <v>43013</v>
      </c>
      <c r="N568" s="874">
        <v>43378</v>
      </c>
      <c r="O568" s="127">
        <f>COUNTA(Modificaciones!I554,Modificaciones!K554,Modificaciones!M554,Modificaciones!O554)</f>
        <v>0</v>
      </c>
      <c r="P568" s="128">
        <f>VLOOKUP(E568,Modificaciones!$B$7:$Q$819,16,0)</f>
        <v>0</v>
      </c>
      <c r="Q568" s="129">
        <f>COUNTA(Modificaciones!S568,Modificaciones!U568,Modificaciones!W568,Modificaciones!Y568)</f>
        <v>0</v>
      </c>
      <c r="R568" s="130" t="str">
        <f>IF(Modificaciones!Z568=0,"",VLOOKUP(E568,Modificaciones!$B$7:$AA$500,25,0))</f>
        <v/>
      </c>
      <c r="S568" s="131" t="str">
        <f>IF(Modificaciones!AA568=0,"",VLOOKUP(E568,Modificaciones!$B$7:$AA$500,26,0))</f>
        <v/>
      </c>
      <c r="T568" s="855">
        <f t="shared" si="102"/>
        <v>43378</v>
      </c>
      <c r="U568" s="62">
        <f t="shared" si="103"/>
        <v>960000</v>
      </c>
      <c r="V568" s="172">
        <f>VLOOKUP(E568,Modificaciones!$B$7:$AU$819,46,0)</f>
        <v>960000</v>
      </c>
      <c r="W568" s="93">
        <f t="shared" si="101"/>
        <v>0</v>
      </c>
      <c r="X568" s="309" t="s">
        <v>1895</v>
      </c>
      <c r="Y568" s="852">
        <f t="shared" si="104"/>
        <v>1</v>
      </c>
      <c r="Z568" s="42">
        <f t="shared" ca="1" si="105"/>
        <v>1</v>
      </c>
      <c r="AA568" s="43">
        <f t="shared" ca="1" si="106"/>
        <v>0</v>
      </c>
      <c r="AB568" s="202" t="str">
        <f t="shared" ca="1" si="107"/>
        <v/>
      </c>
      <c r="AC568" s="44" t="str">
        <f t="shared" si="110"/>
        <v>SI</v>
      </c>
      <c r="AD568" s="760" t="str">
        <f>VLOOKUP(C568,[2]Hoja4!$A$2:$E$116,5,0)</f>
        <v>PRESTACION DE SERVICIOS</v>
      </c>
      <c r="AE568" s="173" t="s">
        <v>1256</v>
      </c>
      <c r="AF568" s="281" t="s">
        <v>1125</v>
      </c>
      <c r="AG568" s="173" t="s">
        <v>1430</v>
      </c>
      <c r="AH568" s="281" t="s">
        <v>564</v>
      </c>
      <c r="AI568" s="305"/>
      <c r="AJ568" s="305" t="s">
        <v>3805</v>
      </c>
      <c r="AK568" s="181" t="str">
        <f t="shared" ca="1" si="108"/>
        <v>TERMINO</v>
      </c>
      <c r="AL568" s="310" t="s">
        <v>582</v>
      </c>
      <c r="AM568" s="433" t="s">
        <v>390</v>
      </c>
      <c r="AN568" s="848" t="str">
        <f>IFERROR(VLOOKUP(E568,'liquidaciones '!$B$2:$C$1048576,2,0),"NO")</f>
        <v>NO</v>
      </c>
      <c r="AO568" s="944" t="str">
        <f>IFERROR(VLOOKUP(E568,'liquidaciones '!$B$2:$I$1048576,8,0),"")</f>
        <v/>
      </c>
      <c r="AP568" s="433"/>
      <c r="AQ568" s="433" t="s">
        <v>390</v>
      </c>
      <c r="AR568" s="177" t="s">
        <v>1510</v>
      </c>
      <c r="AS568" s="433"/>
      <c r="AT568" s="966" t="s">
        <v>3928</v>
      </c>
      <c r="AU568" s="964"/>
      <c r="AV568" s="964"/>
    </row>
    <row r="569" spans="3:48" ht="30" x14ac:dyDescent="0.25">
      <c r="C569" s="867">
        <v>208</v>
      </c>
      <c r="D569" s="867"/>
      <c r="E569" s="868" t="s">
        <v>3647</v>
      </c>
      <c r="F569" s="441" t="s">
        <v>3648</v>
      </c>
      <c r="G569" s="893">
        <v>900619795</v>
      </c>
      <c r="H569" s="1005" t="s">
        <v>3649</v>
      </c>
      <c r="I569" s="93">
        <v>23058000</v>
      </c>
      <c r="J569" s="873" t="s">
        <v>3654</v>
      </c>
      <c r="K569" s="295">
        <v>2017</v>
      </c>
      <c r="L569" s="546">
        <v>43013</v>
      </c>
      <c r="M569" s="874">
        <v>43033</v>
      </c>
      <c r="N569" s="874">
        <v>43156</v>
      </c>
      <c r="O569" s="127">
        <f>COUNTA(Modificaciones!I555,Modificaciones!K555,Modificaciones!M555,Modificaciones!O555)</f>
        <v>2</v>
      </c>
      <c r="P569" s="128">
        <f>VLOOKUP(E569,Modificaciones!$B$7:$Q$819,16,0)</f>
        <v>0</v>
      </c>
      <c r="Q569" s="129">
        <f>COUNTA(Modificaciones!S569,Modificaciones!U569,Modificaciones!W569,Modificaciones!Y569)</f>
        <v>0</v>
      </c>
      <c r="R569" s="130" t="str">
        <f>IF(Modificaciones!Z569=0,"",VLOOKUP(E569,Modificaciones!$B$7:$AA$500,25,0))</f>
        <v/>
      </c>
      <c r="S569" s="131" t="str">
        <f>IF(Modificaciones!AA569=0,"",VLOOKUP(E569,Modificaciones!$B$7:$AA$500,26,0))</f>
        <v/>
      </c>
      <c r="T569" s="855">
        <f t="shared" si="102"/>
        <v>43156</v>
      </c>
      <c r="U569" s="62">
        <f t="shared" si="103"/>
        <v>23058000</v>
      </c>
      <c r="V569" s="172">
        <f>VLOOKUP(E569,Modificaciones!$B$7:$AU$819,46,0)</f>
        <v>21231623</v>
      </c>
      <c r="W569" s="93">
        <f t="shared" si="101"/>
        <v>1826377</v>
      </c>
      <c r="X569" s="309" t="s">
        <v>2196</v>
      </c>
      <c r="Y569" s="852">
        <f t="shared" si="104"/>
        <v>0.92079204614450516</v>
      </c>
      <c r="Z569" s="42">
        <f t="shared" ca="1" si="105"/>
        <v>1</v>
      </c>
      <c r="AA569" s="43">
        <f t="shared" ca="1" si="106"/>
        <v>7.9207953855494839E-2</v>
      </c>
      <c r="AB569" s="202" t="str">
        <f t="shared" ca="1" si="107"/>
        <v/>
      </c>
      <c r="AC569" s="44" t="str">
        <f t="shared" si="110"/>
        <v>NO</v>
      </c>
      <c r="AD569" s="760" t="s">
        <v>1712</v>
      </c>
      <c r="AE569" s="173" t="s">
        <v>1256</v>
      </c>
      <c r="AF569" s="281" t="s">
        <v>1304</v>
      </c>
      <c r="AG569" s="173" t="s">
        <v>1435</v>
      </c>
      <c r="AH569" s="281" t="s">
        <v>560</v>
      </c>
      <c r="AI569" s="305" t="s">
        <v>1388</v>
      </c>
      <c r="AJ569" s="305" t="s">
        <v>3802</v>
      </c>
      <c r="AK569" s="181" t="str">
        <f t="shared" ca="1" si="108"/>
        <v>TERMINO</v>
      </c>
      <c r="AL569" s="310" t="s">
        <v>576</v>
      </c>
      <c r="AM569" s="433" t="s">
        <v>390</v>
      </c>
      <c r="AN569" s="848" t="str">
        <f>IFERROR(VLOOKUP(E569,'liquidaciones '!$B$2:$C$1048576,2,0),"NO")</f>
        <v>LIQUIDADO</v>
      </c>
      <c r="AO569" s="944" t="str">
        <f>IFERROR(VLOOKUP(E569,'liquidaciones '!$B$2:$I$1048576,8,0),"")</f>
        <v>JUAN DIEGO ESPITIA</v>
      </c>
      <c r="AP569" s="433"/>
      <c r="AQ569" s="1018" t="s">
        <v>390</v>
      </c>
      <c r="AR569" s="177" t="s">
        <v>1510</v>
      </c>
      <c r="AS569" s="433" t="s">
        <v>3790</v>
      </c>
      <c r="AT569" s="966" t="s">
        <v>560</v>
      </c>
      <c r="AU569" s="964"/>
      <c r="AV569" s="964"/>
    </row>
    <row r="570" spans="3:48" ht="45" x14ac:dyDescent="0.25">
      <c r="C570" s="867"/>
      <c r="D570" s="867"/>
      <c r="E570" s="868" t="s">
        <v>3651</v>
      </c>
      <c r="F570" s="441" t="s">
        <v>3650</v>
      </c>
      <c r="G570" s="893" t="s">
        <v>3652</v>
      </c>
      <c r="H570" s="1005" t="s">
        <v>3653</v>
      </c>
      <c r="I570" s="93">
        <v>5087000</v>
      </c>
      <c r="J570" s="873" t="s">
        <v>3655</v>
      </c>
      <c r="K570" s="295">
        <v>2017</v>
      </c>
      <c r="L570" s="546">
        <v>43013</v>
      </c>
      <c r="M570" s="874">
        <v>43028</v>
      </c>
      <c r="N570" s="874">
        <v>43393</v>
      </c>
      <c r="O570" s="127">
        <f>COUNTA(Modificaciones!I556,Modificaciones!K556,Modificaciones!M556,Modificaciones!O556)</f>
        <v>0</v>
      </c>
      <c r="P570" s="128">
        <f>VLOOKUP(E570,Modificaciones!$B$7:$Q$819,16,0)</f>
        <v>0</v>
      </c>
      <c r="Q570" s="129">
        <f>COUNTA(Modificaciones!S570,Modificaciones!U570,Modificaciones!W570,Modificaciones!Y570)</f>
        <v>0</v>
      </c>
      <c r="R570" s="130" t="str">
        <f>IF(Modificaciones!Z570=0,"",VLOOKUP(E570,Modificaciones!$B$7:$AA$500,25,0))</f>
        <v/>
      </c>
      <c r="S570" s="131" t="str">
        <f>IF(Modificaciones!AA570=0,"",VLOOKUP(E570,Modificaciones!$B$7:$AA$500,26,0))</f>
        <v/>
      </c>
      <c r="T570" s="855">
        <f t="shared" si="102"/>
        <v>43393</v>
      </c>
      <c r="U570" s="62">
        <f t="shared" si="103"/>
        <v>5087000</v>
      </c>
      <c r="V570" s="172">
        <f>VLOOKUP(E570,Modificaciones!$B$7:$AU$819,46,0)</f>
        <v>5083999</v>
      </c>
      <c r="W570" s="93">
        <f t="shared" ref="W570:W600" si="111">U570-V570</f>
        <v>3001</v>
      </c>
      <c r="X570" s="309" t="s">
        <v>1632</v>
      </c>
      <c r="Y570" s="852">
        <f t="shared" si="104"/>
        <v>0.9994100648712404</v>
      </c>
      <c r="Z570" s="42">
        <f t="shared" ca="1" si="105"/>
        <v>1</v>
      </c>
      <c r="AA570" s="43">
        <f t="shared" ca="1" si="106"/>
        <v>5.8993512875959997E-4</v>
      </c>
      <c r="AB570" s="202" t="str">
        <f t="shared" ca="1" si="107"/>
        <v/>
      </c>
      <c r="AC570" s="44" t="str">
        <f t="shared" si="110"/>
        <v>SI</v>
      </c>
      <c r="AD570" s="760" t="s">
        <v>1710</v>
      </c>
      <c r="AE570" s="173" t="s">
        <v>1256</v>
      </c>
      <c r="AF570" s="281" t="s">
        <v>1511</v>
      </c>
      <c r="AG570" s="173" t="s">
        <v>1442</v>
      </c>
      <c r="AH570" s="281" t="s">
        <v>560</v>
      </c>
      <c r="AI570" s="305" t="s">
        <v>3603</v>
      </c>
      <c r="AJ570" s="305" t="s">
        <v>3802</v>
      </c>
      <c r="AK570" s="181" t="str">
        <f t="shared" ca="1" si="108"/>
        <v>TERMINO</v>
      </c>
      <c r="AL570" s="310" t="s">
        <v>576</v>
      </c>
      <c r="AM570" s="176" t="s">
        <v>390</v>
      </c>
      <c r="AN570" s="848" t="str">
        <f>IFERROR(VLOOKUP(E570,'liquidaciones '!$B$2:$C$1048576,2,0),"NO")</f>
        <v>NO</v>
      </c>
      <c r="AO570" s="944" t="str">
        <f>IFERROR(VLOOKUP(E570,'liquidaciones '!$B$2:$I$1048576,8,0),"")</f>
        <v/>
      </c>
      <c r="AP570" s="433"/>
      <c r="AQ570" s="177" t="s">
        <v>390</v>
      </c>
      <c r="AR570" s="177" t="s">
        <v>3055</v>
      </c>
      <c r="AS570" s="433" t="s">
        <v>3781</v>
      </c>
      <c r="AT570" s="966" t="s">
        <v>560</v>
      </c>
      <c r="AU570" s="964"/>
      <c r="AV570" s="301" t="s">
        <v>4935</v>
      </c>
    </row>
    <row r="571" spans="3:48" ht="123.75" x14ac:dyDescent="0.25">
      <c r="C571" s="867"/>
      <c r="D571" s="867"/>
      <c r="E571" s="868" t="s">
        <v>3669</v>
      </c>
      <c r="F571" s="441" t="s">
        <v>3660</v>
      </c>
      <c r="G571" s="893">
        <v>79789613</v>
      </c>
      <c r="H571" s="1005" t="s">
        <v>3661</v>
      </c>
      <c r="I571" s="93">
        <v>9000000</v>
      </c>
      <c r="J571" s="873" t="s">
        <v>3662</v>
      </c>
      <c r="K571" s="295">
        <v>2017</v>
      </c>
      <c r="L571" s="546">
        <v>43025</v>
      </c>
      <c r="M571" s="874">
        <v>43034</v>
      </c>
      <c r="N571" s="874">
        <v>43185</v>
      </c>
      <c r="O571" s="127">
        <f>COUNTA(Modificaciones!I557,Modificaciones!K557,Modificaciones!M557,Modificaciones!O557)</f>
        <v>0</v>
      </c>
      <c r="P571" s="128">
        <f>VLOOKUP(E571,Modificaciones!$B$7:$Q$819,16,0)</f>
        <v>4133333</v>
      </c>
      <c r="Q571" s="129">
        <f>COUNTA(Modificaciones!S571,Modificaciones!U571,Modificaciones!W571,Modificaciones!Y571)</f>
        <v>2</v>
      </c>
      <c r="R571" s="130" t="str">
        <f>IF(Modificaciones!Z571=0,"",VLOOKUP(E571,Modificaciones!$B$7:$AA$1419,25,0))</f>
        <v>3 meses y 2 días calendario</v>
      </c>
      <c r="S571" s="131">
        <f>IF(Modificaciones!AA571=0,"",VLOOKUP(E571,Modificaciones!$B$7:$AA$1419,26,0))</f>
        <v>43278</v>
      </c>
      <c r="T571" s="855">
        <f t="shared" si="102"/>
        <v>43278</v>
      </c>
      <c r="U571" s="62">
        <f t="shared" si="103"/>
        <v>13133333</v>
      </c>
      <c r="V571" s="172">
        <f>VLOOKUP(E571,Modificaciones!$B$7:$AU$819,46,0)</f>
        <v>13133333</v>
      </c>
      <c r="W571" s="93">
        <f t="shared" si="111"/>
        <v>0</v>
      </c>
      <c r="X571" s="314" t="s">
        <v>3663</v>
      </c>
      <c r="Y571" s="852">
        <f t="shared" si="104"/>
        <v>1</v>
      </c>
      <c r="Z571" s="42">
        <f t="shared" ca="1" si="105"/>
        <v>1</v>
      </c>
      <c r="AA571" s="43">
        <f t="shared" ca="1" si="106"/>
        <v>0</v>
      </c>
      <c r="AB571" s="202" t="str">
        <f t="shared" ca="1" si="107"/>
        <v/>
      </c>
      <c r="AC571" s="44" t="str">
        <f t="shared" si="110"/>
        <v>SI</v>
      </c>
      <c r="AD571" s="760" t="s">
        <v>1717</v>
      </c>
      <c r="AE571" s="173" t="s">
        <v>1256</v>
      </c>
      <c r="AF571" s="281" t="s">
        <v>2556</v>
      </c>
      <c r="AG571" s="173"/>
      <c r="AH571" s="281"/>
      <c r="AI571" s="305" t="s">
        <v>3603</v>
      </c>
      <c r="AJ571" s="305" t="s">
        <v>2834</v>
      </c>
      <c r="AK571" s="181" t="str">
        <f t="shared" ca="1" si="108"/>
        <v>TERMINO</v>
      </c>
      <c r="AL571" s="310" t="s">
        <v>574</v>
      </c>
      <c r="AM571" s="433" t="s">
        <v>390</v>
      </c>
      <c r="AN571" s="848" t="str">
        <f>IFERROR(VLOOKUP(E571,'liquidaciones '!$B$2:$C$1048576,2,0),"NO")</f>
        <v>EN TRÁMITE</v>
      </c>
      <c r="AO571" s="944" t="str">
        <f>IFERROR(VLOOKUP(E571,'liquidaciones '!$B$2:$I$1048576,8,0),"")</f>
        <v>JUAN DIEGO ESPITIA</v>
      </c>
      <c r="AP571" s="433"/>
      <c r="AQ571" s="433" t="s">
        <v>390</v>
      </c>
      <c r="AR571" s="177" t="s">
        <v>3570</v>
      </c>
      <c r="AS571" s="433"/>
      <c r="AT571" s="966" t="s">
        <v>3947</v>
      </c>
      <c r="AU571" s="964"/>
      <c r="AV571" s="964"/>
    </row>
    <row r="572" spans="3:48" ht="56.25" x14ac:dyDescent="0.25">
      <c r="C572" s="867">
        <v>209</v>
      </c>
      <c r="D572" s="867"/>
      <c r="E572" s="868" t="s">
        <v>3657</v>
      </c>
      <c r="F572" s="441" t="s">
        <v>2586</v>
      </c>
      <c r="G572" s="893">
        <v>80807003</v>
      </c>
      <c r="H572" s="1005" t="s">
        <v>3658</v>
      </c>
      <c r="I572" s="93">
        <v>4606000</v>
      </c>
      <c r="J572" s="873" t="s">
        <v>3659</v>
      </c>
      <c r="K572" s="295">
        <v>2017</v>
      </c>
      <c r="L572" s="546">
        <v>43026</v>
      </c>
      <c r="M572" s="874">
        <v>43041</v>
      </c>
      <c r="N572" s="874">
        <v>43133</v>
      </c>
      <c r="O572" s="127">
        <f>COUNTA(Modificaciones!I558,Modificaciones!K558,Modificaciones!M558,Modificaciones!O558)</f>
        <v>0</v>
      </c>
      <c r="P572" s="128">
        <f>VLOOKUP(E572,Modificaciones!$B$7:$Q$819,16,0)</f>
        <v>0</v>
      </c>
      <c r="Q572" s="129">
        <f>COUNTA(Modificaciones!S572,Modificaciones!U572,Modificaciones!W572,Modificaciones!Y572)</f>
        <v>0</v>
      </c>
      <c r="R572" s="130" t="str">
        <f>IF(Modificaciones!Z572=0,"",VLOOKUP(E572,Modificaciones!$B$7:$AA$500,25,0))</f>
        <v/>
      </c>
      <c r="S572" s="131" t="str">
        <f>IF(Modificaciones!AA572=0,"",VLOOKUP(E572,Modificaciones!$B$7:$AA$500,26,0))</f>
        <v/>
      </c>
      <c r="T572" s="855">
        <f t="shared" si="102"/>
        <v>43133</v>
      </c>
      <c r="U572" s="62">
        <f t="shared" si="103"/>
        <v>4606000</v>
      </c>
      <c r="V572" s="172">
        <f>VLOOKUP(E572,Modificaciones!$B$7:$AU$819,46,0)</f>
        <v>2576666</v>
      </c>
      <c r="W572" s="93">
        <f t="shared" si="111"/>
        <v>2029334</v>
      </c>
      <c r="X572" s="309" t="s">
        <v>2588</v>
      </c>
      <c r="Y572" s="852">
        <f t="shared" si="104"/>
        <v>0.55941511072514116</v>
      </c>
      <c r="Z572" s="42">
        <f t="shared" ca="1" si="105"/>
        <v>1</v>
      </c>
      <c r="AA572" s="43">
        <f t="shared" ca="1" si="106"/>
        <v>0.44058488927485884</v>
      </c>
      <c r="AB572" s="202" t="str">
        <f t="shared" ca="1" si="107"/>
        <v/>
      </c>
      <c r="AC572" s="44" t="str">
        <f t="shared" si="110"/>
        <v>NO</v>
      </c>
      <c r="AD572" s="760" t="s">
        <v>1710</v>
      </c>
      <c r="AE572" s="173" t="s">
        <v>1256</v>
      </c>
      <c r="AF572" s="173" t="s">
        <v>1300</v>
      </c>
      <c r="AG572" s="173" t="s">
        <v>1442</v>
      </c>
      <c r="AH572" s="281" t="s">
        <v>560</v>
      </c>
      <c r="AI572" s="174" t="s">
        <v>3603</v>
      </c>
      <c r="AJ572" s="305" t="s">
        <v>3802</v>
      </c>
      <c r="AK572" s="181" t="str">
        <f t="shared" ca="1" si="108"/>
        <v>TERMINO</v>
      </c>
      <c r="AL572" s="310" t="s">
        <v>576</v>
      </c>
      <c r="AM572" s="433" t="s">
        <v>390</v>
      </c>
      <c r="AN572" s="848" t="str">
        <f>IFERROR(VLOOKUP(E572,'liquidaciones '!$B$2:$C$1048576,2,0),"NO")</f>
        <v>LIQUIDADO</v>
      </c>
      <c r="AO572" s="944">
        <f>IFERROR(VLOOKUP(E572,'liquidaciones '!$B$2:$I$1048576,8,0),"")</f>
        <v>0</v>
      </c>
      <c r="AP572" s="433"/>
      <c r="AQ572" s="433" t="s">
        <v>390</v>
      </c>
      <c r="AR572" s="177" t="s">
        <v>1510</v>
      </c>
      <c r="AS572" s="433" t="s">
        <v>3790</v>
      </c>
      <c r="AT572" s="966" t="s">
        <v>560</v>
      </c>
      <c r="AU572" s="964"/>
      <c r="AV572" s="964"/>
    </row>
    <row r="573" spans="3:48" ht="33.75" x14ac:dyDescent="0.25">
      <c r="C573" s="867"/>
      <c r="D573" s="867"/>
      <c r="E573" s="868" t="s">
        <v>3664</v>
      </c>
      <c r="F573" s="441" t="s">
        <v>2716</v>
      </c>
      <c r="G573" s="903" t="s">
        <v>2717</v>
      </c>
      <c r="H573" s="1001" t="s">
        <v>3665</v>
      </c>
      <c r="I573" s="93">
        <v>6717550</v>
      </c>
      <c r="J573" s="873" t="s">
        <v>3666</v>
      </c>
      <c r="K573" s="295">
        <v>2017</v>
      </c>
      <c r="L573" s="546">
        <v>43013</v>
      </c>
      <c r="M573" s="874">
        <v>43033</v>
      </c>
      <c r="N573" s="874">
        <v>43107</v>
      </c>
      <c r="O573" s="127">
        <f>COUNTA(Modificaciones!I559,Modificaciones!K559,Modificaciones!M559,Modificaciones!O559)</f>
        <v>0</v>
      </c>
      <c r="P573" s="128">
        <f>VLOOKUP(E573,Modificaciones!$B$7:$Q$819,16,0)</f>
        <v>0</v>
      </c>
      <c r="Q573" s="129">
        <f>COUNTA(Modificaciones!S573,Modificaciones!U573,Modificaciones!W573,Modificaciones!Y573)</f>
        <v>0</v>
      </c>
      <c r="R573" s="130" t="str">
        <f>IF(Modificaciones!Z573=0,"",VLOOKUP(E573,Modificaciones!$B$7:$AA$500,25,0))</f>
        <v/>
      </c>
      <c r="S573" s="131" t="str">
        <f>IF(Modificaciones!AA573=0,"",VLOOKUP(E573,Modificaciones!$B$7:$AA$500,26,0))</f>
        <v/>
      </c>
      <c r="T573" s="855">
        <f t="shared" si="102"/>
        <v>43107</v>
      </c>
      <c r="U573" s="62">
        <f t="shared" si="103"/>
        <v>6717550</v>
      </c>
      <c r="V573" s="172">
        <f>VLOOKUP(E573,Modificaciones!$B$7:$AU$819,46,0)</f>
        <v>6717550</v>
      </c>
      <c r="W573" s="93">
        <f t="shared" si="111"/>
        <v>0</v>
      </c>
      <c r="X573" s="309" t="s">
        <v>1895</v>
      </c>
      <c r="Y573" s="852">
        <f t="shared" si="104"/>
        <v>1</v>
      </c>
      <c r="Z573" s="42">
        <f t="shared" ca="1" si="105"/>
        <v>1</v>
      </c>
      <c r="AA573" s="43">
        <f t="shared" ca="1" si="106"/>
        <v>0</v>
      </c>
      <c r="AB573" s="202" t="str">
        <f t="shared" ca="1" si="107"/>
        <v/>
      </c>
      <c r="AC573" s="44" t="str">
        <f t="shared" si="110"/>
        <v>SI</v>
      </c>
      <c r="AD573" s="760" t="s">
        <v>1712</v>
      </c>
      <c r="AE573" s="173" t="s">
        <v>1256</v>
      </c>
      <c r="AF573" s="281" t="s">
        <v>2720</v>
      </c>
      <c r="AG573" s="173" t="s">
        <v>1435</v>
      </c>
      <c r="AH573" s="281" t="s">
        <v>560</v>
      </c>
      <c r="AI573" s="305" t="s">
        <v>1389</v>
      </c>
      <c r="AJ573" s="305" t="s">
        <v>3802</v>
      </c>
      <c r="AK573" s="181" t="str">
        <f t="shared" ca="1" si="108"/>
        <v>TERMINO</v>
      </c>
      <c r="AL573" s="310" t="s">
        <v>576</v>
      </c>
      <c r="AM573" s="433" t="s">
        <v>391</v>
      </c>
      <c r="AN573" s="848" t="str">
        <f>IFERROR(VLOOKUP(E573,'liquidaciones '!$B$2:$C$1048576,2,0),"NO")</f>
        <v>LIQUIDADO</v>
      </c>
      <c r="AO573" s="944">
        <f>IFERROR(VLOOKUP(E573,'liquidaciones '!$B$2:$I$1048576,8,0),"")</f>
        <v>0</v>
      </c>
      <c r="AP573" s="433"/>
      <c r="AQ573" s="433" t="s">
        <v>390</v>
      </c>
      <c r="AR573" s="177" t="s">
        <v>3055</v>
      </c>
      <c r="AS573" s="433" t="s">
        <v>3790</v>
      </c>
      <c r="AT573" s="966" t="s">
        <v>560</v>
      </c>
      <c r="AU573" s="964"/>
      <c r="AV573" s="964"/>
    </row>
    <row r="574" spans="3:48" ht="22.5" x14ac:dyDescent="0.25">
      <c r="C574" s="867"/>
      <c r="D574" s="867"/>
      <c r="E574" s="868" t="s">
        <v>3656</v>
      </c>
      <c r="F574" s="441" t="s">
        <v>33</v>
      </c>
      <c r="G574" s="903">
        <v>860509265</v>
      </c>
      <c r="H574" s="1001" t="s">
        <v>3670</v>
      </c>
      <c r="I574" s="93">
        <v>870000</v>
      </c>
      <c r="J574" s="873" t="s">
        <v>3656</v>
      </c>
      <c r="K574" s="295">
        <v>2017</v>
      </c>
      <c r="L574" s="546">
        <v>43032</v>
      </c>
      <c r="M574" s="874">
        <v>43040</v>
      </c>
      <c r="N574" s="874">
        <v>43405</v>
      </c>
      <c r="O574" s="127">
        <f>COUNTA(Modificaciones!I560,Modificaciones!K560,Modificaciones!M560,Modificaciones!O560)</f>
        <v>0</v>
      </c>
      <c r="P574" s="128">
        <f>VLOOKUP(E574,Modificaciones!$B$7:$Q$819,16,0)</f>
        <v>0</v>
      </c>
      <c r="Q574" s="129">
        <f>COUNTA(Modificaciones!S574,Modificaciones!U574,Modificaciones!W574,Modificaciones!Y574)</f>
        <v>0</v>
      </c>
      <c r="R574" s="130" t="str">
        <f>IF(Modificaciones!Z574=0,"",VLOOKUP(E574,Modificaciones!$B$7:$AA$500,25,0))</f>
        <v/>
      </c>
      <c r="S574" s="131" t="str">
        <f>IF(Modificaciones!AA574=0,"",VLOOKUP(E574,Modificaciones!$B$7:$AA$500,26,0))</f>
        <v/>
      </c>
      <c r="T574" s="855">
        <f t="shared" si="102"/>
        <v>43405</v>
      </c>
      <c r="U574" s="62">
        <f t="shared" si="103"/>
        <v>870000</v>
      </c>
      <c r="V574" s="172">
        <f>VLOOKUP(E574,Modificaciones!$B$7:$AU$819,46,0)</f>
        <v>870000</v>
      </c>
      <c r="W574" s="93">
        <f t="shared" si="111"/>
        <v>0</v>
      </c>
      <c r="X574" s="309" t="s">
        <v>1895</v>
      </c>
      <c r="Y574" s="852">
        <f t="shared" si="104"/>
        <v>1</v>
      </c>
      <c r="Z574" s="42">
        <f t="shared" ca="1" si="105"/>
        <v>1</v>
      </c>
      <c r="AA574" s="43">
        <f t="shared" ca="1" si="106"/>
        <v>0</v>
      </c>
      <c r="AB574" s="202" t="str">
        <f t="shared" ca="1" si="107"/>
        <v/>
      </c>
      <c r="AC574" s="44" t="str">
        <f t="shared" si="110"/>
        <v>SI</v>
      </c>
      <c r="AD574" s="760" t="s">
        <v>1714</v>
      </c>
      <c r="AE574" s="173" t="s">
        <v>1256</v>
      </c>
      <c r="AF574" s="301" t="s">
        <v>1469</v>
      </c>
      <c r="AG574" s="173" t="s">
        <v>1430</v>
      </c>
      <c r="AH574" s="281" t="s">
        <v>564</v>
      </c>
      <c r="AI574" s="305"/>
      <c r="AJ574" s="305" t="s">
        <v>3805</v>
      </c>
      <c r="AK574" s="181" t="str">
        <f t="shared" ca="1" si="108"/>
        <v>TERMINO</v>
      </c>
      <c r="AL574" s="181" t="s">
        <v>582</v>
      </c>
      <c r="AM574" s="433" t="s">
        <v>390</v>
      </c>
      <c r="AN574" s="848" t="str">
        <f>IFERROR(VLOOKUP(E574,'liquidaciones '!$B$2:$C$1048576,2,0),"NO")</f>
        <v>NO</v>
      </c>
      <c r="AO574" s="944" t="str">
        <f>IFERROR(VLOOKUP(E574,'liquidaciones '!$B$2:$I$1048576,8,0),"")</f>
        <v/>
      </c>
      <c r="AP574" s="433"/>
      <c r="AQ574" s="433" t="s">
        <v>390</v>
      </c>
      <c r="AR574" s="177" t="s">
        <v>3055</v>
      </c>
      <c r="AS574" s="433"/>
      <c r="AT574" s="966" t="s">
        <v>3928</v>
      </c>
      <c r="AU574" s="964"/>
      <c r="AV574" s="964"/>
    </row>
    <row r="575" spans="3:48" ht="191.25" x14ac:dyDescent="0.25">
      <c r="C575" s="867"/>
      <c r="D575" s="867"/>
      <c r="E575" s="868" t="s">
        <v>3673</v>
      </c>
      <c r="F575" s="441" t="s">
        <v>3674</v>
      </c>
      <c r="G575" s="893">
        <v>830067856</v>
      </c>
      <c r="H575" s="1005" t="s">
        <v>3675</v>
      </c>
      <c r="I575" s="93">
        <v>40817000</v>
      </c>
      <c r="J575" s="873" t="s">
        <v>3677</v>
      </c>
      <c r="K575" s="295">
        <v>2017</v>
      </c>
      <c r="L575" s="546">
        <v>43011</v>
      </c>
      <c r="M575" s="874">
        <v>43040</v>
      </c>
      <c r="N575" s="874">
        <v>43132</v>
      </c>
      <c r="O575" s="127">
        <f>COUNTA(Modificaciones!I561,Modificaciones!K561,Modificaciones!M561,Modificaciones!O561)</f>
        <v>0</v>
      </c>
      <c r="P575" s="128">
        <f>VLOOKUP(E575,Modificaciones!$B$7:$Q$819,16,0)</f>
        <v>0</v>
      </c>
      <c r="Q575" s="129">
        <f>COUNTA(Modificaciones!S575,Modificaciones!U575,Modificaciones!W575,Modificaciones!Y575)</f>
        <v>1</v>
      </c>
      <c r="R575" s="130" t="str">
        <f>IF(Modificaciones!Z575=0,"",VLOOKUP(E575,Modificaciones!$B$7:$AA$1419,25,0))</f>
        <v>1 mes</v>
      </c>
      <c r="S575" s="131">
        <f>IF(Modificaciones!AA575=0,"",VLOOKUP(E575,Modificaciones!$B$7:$AA$1419,26,0))</f>
        <v>43160</v>
      </c>
      <c r="T575" s="855">
        <f t="shared" si="102"/>
        <v>43160</v>
      </c>
      <c r="U575" s="62">
        <f t="shared" si="103"/>
        <v>40817000</v>
      </c>
      <c r="V575" s="172">
        <f>VLOOKUP(E575,Modificaciones!$B$7:$AU$819,46,0)</f>
        <v>8613400</v>
      </c>
      <c r="W575" s="93">
        <f t="shared" si="111"/>
        <v>32203600</v>
      </c>
      <c r="X575" s="314" t="s">
        <v>3676</v>
      </c>
      <c r="Y575" s="852">
        <f t="shared" si="104"/>
        <v>0.2110248180905015</v>
      </c>
      <c r="Z575" s="42">
        <f t="shared" ca="1" si="105"/>
        <v>1</v>
      </c>
      <c r="AA575" s="43">
        <f t="shared" ca="1" si="106"/>
        <v>0.78897518190949856</v>
      </c>
      <c r="AB575" s="202" t="str">
        <f t="shared" ca="1" si="107"/>
        <v/>
      </c>
      <c r="AC575" s="44" t="str">
        <f t="shared" si="110"/>
        <v>NO</v>
      </c>
      <c r="AD575" s="1069" t="s">
        <v>3679</v>
      </c>
      <c r="AE575" s="871" t="s">
        <v>1256</v>
      </c>
      <c r="AF575" s="871" t="s">
        <v>3678</v>
      </c>
      <c r="AG575" s="173" t="s">
        <v>1442</v>
      </c>
      <c r="AH575" s="281" t="s">
        <v>560</v>
      </c>
      <c r="AI575" s="174" t="s">
        <v>3603</v>
      </c>
      <c r="AJ575" s="305" t="s">
        <v>2834</v>
      </c>
      <c r="AK575" s="181" t="str">
        <f t="shared" ca="1" si="108"/>
        <v>TERMINO</v>
      </c>
      <c r="AL575" s="310" t="s">
        <v>576</v>
      </c>
      <c r="AM575" s="433" t="s">
        <v>390</v>
      </c>
      <c r="AN575" s="848" t="str">
        <f>IFERROR(VLOOKUP(E575,'liquidaciones '!$B$2:$C$1048576,2,0),"NO")</f>
        <v>EN TRÁMITE</v>
      </c>
      <c r="AO575" s="944" t="str">
        <f>IFERROR(VLOOKUP(E575,'liquidaciones '!$B$2:$I$1048576,8,0),"")</f>
        <v>JUAN DIEGO ESPITIA</v>
      </c>
      <c r="AP575" s="433"/>
      <c r="AQ575" s="433" t="s">
        <v>390</v>
      </c>
      <c r="AR575" s="177" t="s">
        <v>3570</v>
      </c>
      <c r="AS575" s="433"/>
      <c r="AT575" s="966" t="s">
        <v>3947</v>
      </c>
      <c r="AU575" s="964"/>
      <c r="AV575" s="964"/>
    </row>
    <row r="576" spans="3:48" ht="56.25" x14ac:dyDescent="0.25">
      <c r="C576" s="867">
        <v>192</v>
      </c>
      <c r="D576" s="867"/>
      <c r="E576" s="868" t="s">
        <v>3682</v>
      </c>
      <c r="F576" s="441" t="s">
        <v>38</v>
      </c>
      <c r="G576" s="893">
        <v>830053669</v>
      </c>
      <c r="H576" s="1005" t="s">
        <v>3683</v>
      </c>
      <c r="I576" s="93">
        <v>38989000</v>
      </c>
      <c r="J576" s="873" t="s">
        <v>3684</v>
      </c>
      <c r="K576" s="295">
        <v>2017</v>
      </c>
      <c r="L576" s="546">
        <v>43040</v>
      </c>
      <c r="M576" s="874">
        <v>43048</v>
      </c>
      <c r="N576" s="874">
        <v>43259</v>
      </c>
      <c r="O576" s="127">
        <f>COUNTA(Modificaciones!I562,Modificaciones!K562,Modificaciones!M562,Modificaciones!O562)</f>
        <v>0</v>
      </c>
      <c r="P576" s="128">
        <f>VLOOKUP(E576,Modificaciones!$B$7:$Q$819,16,0)</f>
        <v>0</v>
      </c>
      <c r="Q576" s="129">
        <f>COUNTA(Modificaciones!S576,Modificaciones!U576,Modificaciones!W576,Modificaciones!Y576)</f>
        <v>1</v>
      </c>
      <c r="R576" s="130" t="str">
        <f>IF(Modificaciones!Z576=0,"",VLOOKUP(E576,Modificaciones!$B$7:$AA$1419,25,0))</f>
        <v>2 meses y 23 días</v>
      </c>
      <c r="S576" s="131">
        <f>IF(Modificaciones!AA576=0,"",VLOOKUP(E576,Modificaciones!$B$7:$AA$1419,26,0))</f>
        <v>43343</v>
      </c>
      <c r="T576" s="855">
        <f t="shared" ref="T576:T600" si="112">MAX(N576,S576)</f>
        <v>43343</v>
      </c>
      <c r="U576" s="62">
        <f t="shared" si="103"/>
        <v>38989000</v>
      </c>
      <c r="V576" s="172">
        <f>VLOOKUP(E576,Modificaciones!$B$7:$AU$819,46,0)</f>
        <v>17831193</v>
      </c>
      <c r="W576" s="93">
        <f t="shared" si="111"/>
        <v>21157807</v>
      </c>
      <c r="X576" s="309" t="s">
        <v>1963</v>
      </c>
      <c r="Y576" s="852">
        <f t="shared" si="104"/>
        <v>0.4573390699941009</v>
      </c>
      <c r="Z576" s="42">
        <f t="shared" ca="1" si="105"/>
        <v>1</v>
      </c>
      <c r="AA576" s="43">
        <f t="shared" ca="1" si="106"/>
        <v>0.5426609300058991</v>
      </c>
      <c r="AB576" s="202" t="str">
        <f t="shared" ca="1" si="107"/>
        <v/>
      </c>
      <c r="AC576" s="44" t="str">
        <f t="shared" si="110"/>
        <v>NO</v>
      </c>
      <c r="AD576" s="760" t="s">
        <v>1710</v>
      </c>
      <c r="AE576" s="173" t="s">
        <v>1256</v>
      </c>
      <c r="AF576" s="281" t="s">
        <v>1140</v>
      </c>
      <c r="AG576" s="173" t="s">
        <v>1442</v>
      </c>
      <c r="AH576" s="281" t="s">
        <v>560</v>
      </c>
      <c r="AI576" s="174" t="s">
        <v>1379</v>
      </c>
      <c r="AJ576" s="305" t="s">
        <v>2834</v>
      </c>
      <c r="AK576" s="181" t="str">
        <f t="shared" ca="1" si="108"/>
        <v>TERMINO</v>
      </c>
      <c r="AL576" s="310" t="s">
        <v>575</v>
      </c>
      <c r="AM576" s="433" t="s">
        <v>390</v>
      </c>
      <c r="AN576" s="848" t="str">
        <f>IFERROR(VLOOKUP(E576,'liquidaciones '!$B$2:$C$1048576,2,0),"NO")</f>
        <v>NO</v>
      </c>
      <c r="AO576" s="944" t="str">
        <f>IFERROR(VLOOKUP(E576,'liquidaciones '!$B$2:$I$1048576,8,0),"")</f>
        <v/>
      </c>
      <c r="AP576" s="433"/>
      <c r="AQ576" s="433" t="s">
        <v>390</v>
      </c>
      <c r="AR576" s="177" t="s">
        <v>3055</v>
      </c>
      <c r="AS576" s="433"/>
      <c r="AT576" s="966" t="s">
        <v>3947</v>
      </c>
      <c r="AU576" s="964"/>
      <c r="AV576" s="964"/>
    </row>
    <row r="577" spans="3:48" ht="101.25" x14ac:dyDescent="0.25">
      <c r="C577" s="867"/>
      <c r="D577" s="867"/>
      <c r="E577" s="868" t="s">
        <v>3685</v>
      </c>
      <c r="F577" s="441" t="s">
        <v>3686</v>
      </c>
      <c r="G577" s="893">
        <v>91156558</v>
      </c>
      <c r="H577" s="1005" t="s">
        <v>3687</v>
      </c>
      <c r="I577" s="93">
        <v>7000000</v>
      </c>
      <c r="J577" s="873" t="s">
        <v>3685</v>
      </c>
      <c r="K577" s="295">
        <v>2017</v>
      </c>
      <c r="L577" s="546">
        <v>43040</v>
      </c>
      <c r="M577" s="874">
        <v>43048</v>
      </c>
      <c r="N577" s="874">
        <v>43108</v>
      </c>
      <c r="O577" s="127">
        <f>COUNTA(Modificaciones!I563,Modificaciones!K563,Modificaciones!M563,Modificaciones!O563)</f>
        <v>1</v>
      </c>
      <c r="P577" s="128">
        <f>VLOOKUP(E577,Modificaciones!$B$7:$Q$819,16,0)</f>
        <v>0</v>
      </c>
      <c r="Q577" s="129">
        <f>COUNTA(Modificaciones!S577,Modificaciones!U577,Modificaciones!W577,Modificaciones!Y577)</f>
        <v>0</v>
      </c>
      <c r="R577" s="130" t="str">
        <f>IF(Modificaciones!Z577=0,"",VLOOKUP(E577,Modificaciones!$B$7:$AA$500,25,0))</f>
        <v/>
      </c>
      <c r="S577" s="131" t="str">
        <f>IF(Modificaciones!AA577=0,"",VLOOKUP(E577,Modificaciones!$B$7:$AA$500,26,0))</f>
        <v/>
      </c>
      <c r="T577" s="855">
        <f t="shared" si="112"/>
        <v>43108</v>
      </c>
      <c r="U577" s="62">
        <f t="shared" si="103"/>
        <v>7000000</v>
      </c>
      <c r="V577" s="172">
        <f>VLOOKUP(E577,Modificaciones!$B$7:$AU$819,46,0)</f>
        <v>7000000</v>
      </c>
      <c r="W577" s="93">
        <f t="shared" si="111"/>
        <v>0</v>
      </c>
      <c r="X577" s="313" t="s">
        <v>3688</v>
      </c>
      <c r="Y577" s="852">
        <f t="shared" si="104"/>
        <v>1</v>
      </c>
      <c r="Z577" s="42">
        <f t="shared" ca="1" si="105"/>
        <v>1</v>
      </c>
      <c r="AA577" s="43">
        <f t="shared" ca="1" si="106"/>
        <v>0</v>
      </c>
      <c r="AB577" s="202" t="str">
        <f t="shared" ca="1" si="107"/>
        <v/>
      </c>
      <c r="AC577" s="44" t="str">
        <f t="shared" si="110"/>
        <v>SI</v>
      </c>
      <c r="AD577" s="760" t="s">
        <v>1710</v>
      </c>
      <c r="AE577" s="173" t="s">
        <v>1256</v>
      </c>
      <c r="AF577" s="281" t="s">
        <v>1307</v>
      </c>
      <c r="AG577" s="868"/>
      <c r="AH577" s="868"/>
      <c r="AI577" s="868"/>
      <c r="AJ577" s="305" t="s">
        <v>2834</v>
      </c>
      <c r="AK577" s="181" t="str">
        <f t="shared" ca="1" si="108"/>
        <v>TERMINO</v>
      </c>
      <c r="AL577" s="310" t="s">
        <v>582</v>
      </c>
      <c r="AM577" s="176" t="s">
        <v>390</v>
      </c>
      <c r="AN577" s="848" t="str">
        <f>IFERROR(VLOOKUP(E577,'liquidaciones '!$B$2:$C$1048576,2,0),"NO")</f>
        <v>LIQUIDADO</v>
      </c>
      <c r="AO577" s="944">
        <f>IFERROR(VLOOKUP(E577,'liquidaciones '!$B$2:$I$1048576,8,0),"")</f>
        <v>0</v>
      </c>
      <c r="AP577" s="433"/>
      <c r="AQ577" s="433" t="s">
        <v>390</v>
      </c>
      <c r="AR577" s="177" t="s">
        <v>1510</v>
      </c>
      <c r="AS577" s="433"/>
      <c r="AT577" s="966" t="s">
        <v>3947</v>
      </c>
      <c r="AU577" s="964"/>
      <c r="AV577" s="964"/>
    </row>
    <row r="578" spans="3:48" ht="22.5" x14ac:dyDescent="0.25">
      <c r="C578" s="867">
        <v>76</v>
      </c>
      <c r="D578" s="867"/>
      <c r="E578" s="868" t="s">
        <v>3689</v>
      </c>
      <c r="F578" s="441" t="s">
        <v>2024</v>
      </c>
      <c r="G578" s="893">
        <v>800198591</v>
      </c>
      <c r="H578" s="1005" t="s">
        <v>2549</v>
      </c>
      <c r="I578" s="93">
        <v>228000000</v>
      </c>
      <c r="J578" s="873" t="s">
        <v>3689</v>
      </c>
      <c r="K578" s="295">
        <v>2017</v>
      </c>
      <c r="L578" s="546">
        <v>43042</v>
      </c>
      <c r="M578" s="874">
        <v>43075</v>
      </c>
      <c r="N578" s="874">
        <v>43439</v>
      </c>
      <c r="O578" s="127">
        <f>COUNTA(Modificaciones!I564,Modificaciones!K564,Modificaciones!M564,Modificaciones!O564)</f>
        <v>0</v>
      </c>
      <c r="P578" s="128">
        <f>VLOOKUP(E578,Modificaciones!$B$7:$Q$819,16,0)</f>
        <v>0</v>
      </c>
      <c r="Q578" s="129">
        <f>COUNTA(Modificaciones!S578,Modificaciones!U578,Modificaciones!W578,Modificaciones!Y578)</f>
        <v>0</v>
      </c>
      <c r="R578" s="130" t="str">
        <f>IF(Modificaciones!Z578=0,"",VLOOKUP(E578,Modificaciones!$B$7:$AA$500,25,0))</f>
        <v/>
      </c>
      <c r="S578" s="131" t="str">
        <f>IF(Modificaciones!AA578=0,"",VLOOKUP(E578,Modificaciones!$B$7:$AA$500,26,0))</f>
        <v/>
      </c>
      <c r="T578" s="855">
        <f t="shared" si="112"/>
        <v>43439</v>
      </c>
      <c r="U578" s="62">
        <f t="shared" si="103"/>
        <v>228000000</v>
      </c>
      <c r="V578" s="172">
        <f>VLOOKUP(E578,Modificaciones!$B$7:$AU$819,46,0)</f>
        <v>228000000</v>
      </c>
      <c r="W578" s="93">
        <f t="shared" si="111"/>
        <v>0</v>
      </c>
      <c r="X578" s="309" t="s">
        <v>2206</v>
      </c>
      <c r="Y578" s="852">
        <f t="shared" si="104"/>
        <v>1</v>
      </c>
      <c r="Z578" s="42">
        <f t="shared" ca="1" si="105"/>
        <v>1</v>
      </c>
      <c r="AA578" s="43">
        <f t="shared" ca="1" si="106"/>
        <v>0</v>
      </c>
      <c r="AB578" s="202" t="str">
        <f t="shared" ca="1" si="107"/>
        <v/>
      </c>
      <c r="AC578" s="44" t="str">
        <f t="shared" si="110"/>
        <v>SI</v>
      </c>
      <c r="AD578" s="760" t="s">
        <v>1710</v>
      </c>
      <c r="AE578" s="173" t="s">
        <v>1257</v>
      </c>
      <c r="AF578" s="173" t="s">
        <v>1174</v>
      </c>
      <c r="AG578" s="173" t="s">
        <v>1439</v>
      </c>
      <c r="AH578" s="281" t="s">
        <v>560</v>
      </c>
      <c r="AI578" s="305" t="s">
        <v>1509</v>
      </c>
      <c r="AJ578" s="305" t="s">
        <v>3802</v>
      </c>
      <c r="AK578" s="181" t="str">
        <f t="shared" ca="1" si="108"/>
        <v>TERMINO</v>
      </c>
      <c r="AL578" s="310" t="s">
        <v>582</v>
      </c>
      <c r="AM578" s="433" t="s">
        <v>390</v>
      </c>
      <c r="AN578" s="848" t="str">
        <f>IFERROR(VLOOKUP(E578,'liquidaciones '!$B$2:$C$1048576,2,0),"NO")</f>
        <v>EN TRÁMITE</v>
      </c>
      <c r="AO578" s="944" t="str">
        <f>IFERROR(VLOOKUP(E578,'liquidaciones '!$B$2:$I$1048576,8,0),"")</f>
        <v>JUAN DIEGO ESPITIA</v>
      </c>
      <c r="AP578" s="433"/>
      <c r="AQ578" s="433" t="s">
        <v>390</v>
      </c>
      <c r="AR578" s="177" t="s">
        <v>4219</v>
      </c>
      <c r="AS578" s="433" t="s">
        <v>3785</v>
      </c>
      <c r="AT578" s="966" t="s">
        <v>560</v>
      </c>
      <c r="AU578" s="964"/>
      <c r="AV578" s="966" t="s">
        <v>4682</v>
      </c>
    </row>
    <row r="579" spans="3:48" ht="56.25" x14ac:dyDescent="0.25">
      <c r="C579" s="867">
        <v>188</v>
      </c>
      <c r="D579" s="867"/>
      <c r="E579" s="868" t="s">
        <v>3690</v>
      </c>
      <c r="F579" s="441" t="s">
        <v>2650</v>
      </c>
      <c r="G579" s="893">
        <v>830113914</v>
      </c>
      <c r="H579" s="1005" t="s">
        <v>3691</v>
      </c>
      <c r="I579" s="93">
        <v>79741000</v>
      </c>
      <c r="J579" s="873" t="s">
        <v>3698</v>
      </c>
      <c r="K579" s="295">
        <v>2017</v>
      </c>
      <c r="L579" s="546" t="s">
        <v>3692</v>
      </c>
      <c r="M579" s="874">
        <v>43059</v>
      </c>
      <c r="N579" s="874">
        <v>43286</v>
      </c>
      <c r="O579" s="127">
        <f>COUNTA(Modificaciones!I565,Modificaciones!K565,Modificaciones!M565,Modificaciones!O565)</f>
        <v>1</v>
      </c>
      <c r="P579" s="128">
        <f>VLOOKUP(E579,Modificaciones!$B$7:$Q$819,16,0)</f>
        <v>0</v>
      </c>
      <c r="Q579" s="129">
        <f>COUNTA(Modificaciones!S579,Modificaciones!U579,Modificaciones!W579,Modificaciones!Y579)</f>
        <v>0</v>
      </c>
      <c r="R579" s="130" t="str">
        <f>IF(Modificaciones!Z579=0,"",VLOOKUP(E579,Modificaciones!$B$7:$AA$500,25,0))</f>
        <v/>
      </c>
      <c r="S579" s="131" t="str">
        <f>IF(Modificaciones!AA579=0,"",VLOOKUP(E579,Modificaciones!$B$7:$AA$500,26,0))</f>
        <v/>
      </c>
      <c r="T579" s="855">
        <f t="shared" si="112"/>
        <v>43286</v>
      </c>
      <c r="U579" s="62">
        <f t="shared" si="103"/>
        <v>79741000</v>
      </c>
      <c r="V579" s="172">
        <f>VLOOKUP(E579,Modificaciones!$B$7:$AU$819,46,0)</f>
        <v>79740999</v>
      </c>
      <c r="W579" s="93">
        <f t="shared" si="111"/>
        <v>1</v>
      </c>
      <c r="X579" s="309" t="s">
        <v>2006</v>
      </c>
      <c r="Y579" s="962">
        <f>(V579*100%)/U579</f>
        <v>0.99999998745939978</v>
      </c>
      <c r="Z579" s="42">
        <f t="shared" ca="1" si="105"/>
        <v>1</v>
      </c>
      <c r="AA579" s="43">
        <f t="shared" ca="1" si="106"/>
        <v>1.2540600224930643E-8</v>
      </c>
      <c r="AB579" s="202" t="str">
        <f t="shared" ca="1" si="107"/>
        <v/>
      </c>
      <c r="AC579" s="44" t="str">
        <f t="shared" si="110"/>
        <v>SI</v>
      </c>
      <c r="AD579" s="760" t="s">
        <v>1713</v>
      </c>
      <c r="AE579" s="173" t="s">
        <v>1256</v>
      </c>
      <c r="AF579" s="173" t="s">
        <v>1130</v>
      </c>
      <c r="AG579" s="173" t="s">
        <v>1442</v>
      </c>
      <c r="AH579" s="281" t="s">
        <v>560</v>
      </c>
      <c r="AI579" s="179" t="s">
        <v>1379</v>
      </c>
      <c r="AJ579" s="305" t="s">
        <v>3802</v>
      </c>
      <c r="AK579" s="181" t="str">
        <f t="shared" ca="1" si="108"/>
        <v>TERMINO</v>
      </c>
      <c r="AL579" s="310" t="s">
        <v>575</v>
      </c>
      <c r="AM579" s="433" t="s">
        <v>390</v>
      </c>
      <c r="AN579" s="848" t="str">
        <f>IFERROR(VLOOKUP(E579,'liquidaciones '!$B$2:$C$1048576,2,0),"NO")</f>
        <v>NO</v>
      </c>
      <c r="AO579" s="944" t="str">
        <f>IFERROR(VLOOKUP(E579,'liquidaciones '!$B$2:$I$1048576,8,0),"")</f>
        <v/>
      </c>
      <c r="AP579" s="433"/>
      <c r="AQ579" s="433" t="s">
        <v>390</v>
      </c>
      <c r="AR579" s="177" t="s">
        <v>1510</v>
      </c>
      <c r="AS579" s="433" t="s">
        <v>1379</v>
      </c>
      <c r="AT579" s="966" t="s">
        <v>560</v>
      </c>
      <c r="AU579" s="964"/>
      <c r="AV579" s="966" t="s">
        <v>4671</v>
      </c>
    </row>
    <row r="580" spans="3:48" ht="180" x14ac:dyDescent="0.25">
      <c r="C580" s="867"/>
      <c r="D580" s="867"/>
      <c r="E580" s="868" t="s">
        <v>3693</v>
      </c>
      <c r="F580" s="441" t="s">
        <v>2435</v>
      </c>
      <c r="G580" s="903">
        <v>900475780</v>
      </c>
      <c r="H580" s="1001" t="s">
        <v>3694</v>
      </c>
      <c r="I580" s="93">
        <v>2840000000</v>
      </c>
      <c r="J580" s="873" t="s">
        <v>3693</v>
      </c>
      <c r="K580" s="295">
        <v>2017</v>
      </c>
      <c r="L580" s="546">
        <v>43048</v>
      </c>
      <c r="M580" s="874">
        <v>43101</v>
      </c>
      <c r="N580" s="874">
        <v>43312</v>
      </c>
      <c r="O580" s="127">
        <f>COUNTA(Modificaciones!I566,Modificaciones!K566,Modificaciones!M566,Modificaciones!O566)</f>
        <v>0</v>
      </c>
      <c r="P580" s="128">
        <f>VLOOKUP(E580,Modificaciones!$B$7:$Q$819,16,0)</f>
        <v>0</v>
      </c>
      <c r="Q580" s="129">
        <f>COUNTA(Modificaciones!S580,Modificaciones!U580,Modificaciones!W580,Modificaciones!Y580)</f>
        <v>0</v>
      </c>
      <c r="R580" s="130" t="str">
        <f>IF(Modificaciones!Z580=0,"",VLOOKUP(E580,Modificaciones!$B$7:$AA$500,25,0))</f>
        <v/>
      </c>
      <c r="S580" s="131" t="str">
        <f>IF(Modificaciones!AA580=0,"",VLOOKUP(E580,Modificaciones!$B$7:$AA$500,26,0))</f>
        <v/>
      </c>
      <c r="T580" s="855">
        <f t="shared" si="112"/>
        <v>43312</v>
      </c>
      <c r="U580" s="62">
        <f t="shared" si="103"/>
        <v>2840000000</v>
      </c>
      <c r="V580" s="172">
        <f>VLOOKUP(E580,Modificaciones!$B$7:$AU$819,46,0)</f>
        <v>2792222710</v>
      </c>
      <c r="W580" s="93">
        <f t="shared" si="111"/>
        <v>47777290</v>
      </c>
      <c r="X580" s="314" t="s">
        <v>3695</v>
      </c>
      <c r="Y580" s="852">
        <f t="shared" si="104"/>
        <v>0.98317701056338025</v>
      </c>
      <c r="Z580" s="42">
        <f t="shared" ca="1" si="105"/>
        <v>1</v>
      </c>
      <c r="AA580" s="43">
        <f t="shared" ca="1" si="106"/>
        <v>1.6822989436619751E-2</v>
      </c>
      <c r="AB580" s="202" t="str">
        <f t="shared" ca="1" si="107"/>
        <v/>
      </c>
      <c r="AC580" s="44" t="str">
        <f t="shared" si="110"/>
        <v>NO</v>
      </c>
      <c r="AD580" s="760" t="s">
        <v>1719</v>
      </c>
      <c r="AE580" s="173" t="s">
        <v>1256</v>
      </c>
      <c r="AF580" s="281" t="s">
        <v>1508</v>
      </c>
      <c r="AG580" s="173" t="s">
        <v>1442</v>
      </c>
      <c r="AH580" s="281" t="s">
        <v>560</v>
      </c>
      <c r="AI580" s="305" t="s">
        <v>1319</v>
      </c>
      <c r="AJ580" s="305" t="s">
        <v>2834</v>
      </c>
      <c r="AK580" s="181" t="str">
        <f t="shared" ca="1" si="108"/>
        <v>TERMINO</v>
      </c>
      <c r="AL580" s="181" t="s">
        <v>582</v>
      </c>
      <c r="AM580" s="433" t="s">
        <v>390</v>
      </c>
      <c r="AN580" s="848" t="str">
        <f>IFERROR(VLOOKUP(E580,'liquidaciones '!$B$2:$C$1048576,2,0),"NO")</f>
        <v>LIQUIDADO</v>
      </c>
      <c r="AO580" s="944" t="str">
        <f>IFERROR(VLOOKUP(E580,'liquidaciones '!$B$2:$I$1048576,8,0),"")</f>
        <v>SONIA CACERES</v>
      </c>
      <c r="AP580" s="433"/>
      <c r="AQ580" s="433" t="s">
        <v>390</v>
      </c>
      <c r="AR580" s="177" t="s">
        <v>2977</v>
      </c>
      <c r="AS580" s="433"/>
      <c r="AT580" s="966" t="s">
        <v>3947</v>
      </c>
      <c r="AU580" s="964"/>
      <c r="AV580" s="964"/>
    </row>
    <row r="581" spans="3:48" ht="45" x14ac:dyDescent="0.25">
      <c r="C581" s="867"/>
      <c r="D581" s="867"/>
      <c r="E581" s="868" t="s">
        <v>3696</v>
      </c>
      <c r="F581" s="441" t="s">
        <v>70</v>
      </c>
      <c r="G581" s="893">
        <v>860506170</v>
      </c>
      <c r="H581" s="1005" t="s">
        <v>3697</v>
      </c>
      <c r="I581" s="93">
        <v>191000000</v>
      </c>
      <c r="J581" s="873" t="s">
        <v>3696</v>
      </c>
      <c r="K581" s="295">
        <v>2017</v>
      </c>
      <c r="L581" s="546">
        <v>43047</v>
      </c>
      <c r="M581" s="874">
        <v>43061</v>
      </c>
      <c r="N581" s="874">
        <v>43425</v>
      </c>
      <c r="O581" s="127">
        <f>COUNTA(Modificaciones!I567,Modificaciones!K567,Modificaciones!M567,Modificaciones!O567)</f>
        <v>0</v>
      </c>
      <c r="P581" s="128">
        <f>VLOOKUP(E581,Modificaciones!$B$7:$Q$819,16,0)</f>
        <v>0</v>
      </c>
      <c r="Q581" s="129">
        <f>COUNTA(Modificaciones!S581,Modificaciones!U581,Modificaciones!W581,Modificaciones!Y581)</f>
        <v>1</v>
      </c>
      <c r="R581" s="130" t="str">
        <f>IF(Modificaciones!Z581=0,"",VLOOKUP(E581,Modificaciones!$B$7:$AA$1419,25,0))</f>
        <v>8 meses</v>
      </c>
      <c r="S581" s="131">
        <f>IF(Modificaciones!AA581=0,"",VLOOKUP(E581,Modificaciones!$B$7:$AA$1419,26,0))</f>
        <v>43667</v>
      </c>
      <c r="T581" s="855">
        <f t="shared" si="112"/>
        <v>43667</v>
      </c>
      <c r="U581" s="62">
        <f t="shared" si="103"/>
        <v>191000000</v>
      </c>
      <c r="V581" s="172">
        <f>VLOOKUP(E581,Modificaciones!$B$7:$AU$819,46,0)</f>
        <v>0</v>
      </c>
      <c r="W581" s="93">
        <f t="shared" si="111"/>
        <v>191000000</v>
      </c>
      <c r="X581" s="309"/>
      <c r="Y581" s="852">
        <f t="shared" si="104"/>
        <v>0</v>
      </c>
      <c r="Z581" s="42">
        <f t="shared" ca="1" si="105"/>
        <v>0.96039603960396036</v>
      </c>
      <c r="AA581" s="43">
        <f t="shared" ca="1" si="106"/>
        <v>0.96039603960396036</v>
      </c>
      <c r="AB581" s="202">
        <f t="shared" ca="1" si="107"/>
        <v>24</v>
      </c>
      <c r="AC581" s="44" t="str">
        <f t="shared" si="110"/>
        <v>NO</v>
      </c>
      <c r="AD581" s="760" t="s">
        <v>1719</v>
      </c>
      <c r="AE581" s="173" t="s">
        <v>1256</v>
      </c>
      <c r="AF581" s="871"/>
      <c r="AG581" s="173" t="s">
        <v>1442</v>
      </c>
      <c r="AH581" s="281" t="s">
        <v>560</v>
      </c>
      <c r="AI581" s="174" t="s">
        <v>3603</v>
      </c>
      <c r="AJ581" s="305" t="s">
        <v>2834</v>
      </c>
      <c r="AK581" s="181" t="str">
        <f t="shared" ca="1" si="108"/>
        <v>EN EJECUCIÓN</v>
      </c>
      <c r="AL581" s="181" t="s">
        <v>582</v>
      </c>
      <c r="AM581" s="433" t="s">
        <v>390</v>
      </c>
      <c r="AN581" s="848" t="str">
        <f>IFERROR(VLOOKUP(E581,'liquidaciones '!$B$2:$C$1048576,2,0),"NO")</f>
        <v>NO</v>
      </c>
      <c r="AO581" s="944" t="str">
        <f>IFERROR(VLOOKUP(E581,'liquidaciones '!$B$2:$I$1048576,8,0),"")</f>
        <v/>
      </c>
      <c r="AP581" s="433"/>
      <c r="AQ581" s="433" t="s">
        <v>390</v>
      </c>
      <c r="AR581" s="177" t="s">
        <v>4254</v>
      </c>
      <c r="AS581" s="433"/>
      <c r="AT581" s="966" t="s">
        <v>3947</v>
      </c>
      <c r="AU581" s="964"/>
      <c r="AV581" s="964"/>
    </row>
    <row r="582" spans="3:48" ht="33.75" x14ac:dyDescent="0.25">
      <c r="C582" s="867">
        <v>84</v>
      </c>
      <c r="D582" s="867"/>
      <c r="E582" s="868" t="s">
        <v>3700</v>
      </c>
      <c r="F582" s="441" t="s">
        <v>1338</v>
      </c>
      <c r="G582" s="893">
        <v>899999115</v>
      </c>
      <c r="H582" s="1005" t="s">
        <v>3701</v>
      </c>
      <c r="I582" s="93">
        <v>68129166</v>
      </c>
      <c r="J582" s="873" t="s">
        <v>3700</v>
      </c>
      <c r="K582" s="295">
        <v>2017</v>
      </c>
      <c r="L582" s="546">
        <v>43046</v>
      </c>
      <c r="M582" s="874">
        <v>43053</v>
      </c>
      <c r="N582" s="874">
        <v>43234</v>
      </c>
      <c r="O582" s="127">
        <f>COUNTA(Modificaciones!I568,Modificaciones!K568,Modificaciones!M568,Modificaciones!O568)</f>
        <v>0</v>
      </c>
      <c r="P582" s="128">
        <f>VLOOKUP(E582,Modificaciones!$B$7:$Q$819,16,0)</f>
        <v>22709722</v>
      </c>
      <c r="Q582" s="129">
        <f>COUNTA(Modificaciones!S582,Modificaciones!U582,Modificaciones!W582,Modificaciones!Y582)</f>
        <v>1</v>
      </c>
      <c r="R582" s="130" t="str">
        <f>IF(Modificaciones!Z582=0,"",VLOOKUP(E582,Modificaciones!$B$7:$AA$1419,25,0))</f>
        <v>2 meses</v>
      </c>
      <c r="S582" s="131">
        <f>IF(Modificaciones!AA582=0,"",VLOOKUP(E582,Modificaciones!$B$7:$AA$1419,26,0))</f>
        <v>43294</v>
      </c>
      <c r="T582" s="855">
        <f t="shared" si="112"/>
        <v>43294</v>
      </c>
      <c r="U582" s="62">
        <f t="shared" si="103"/>
        <v>90838888</v>
      </c>
      <c r="V582" s="172">
        <f>VLOOKUP(E582,Modificaciones!$B$7:$AU$819,46,0)</f>
        <v>90838884</v>
      </c>
      <c r="W582" s="93">
        <f t="shared" si="111"/>
        <v>4</v>
      </c>
      <c r="X582" s="309" t="s">
        <v>3702</v>
      </c>
      <c r="Y582" s="852">
        <f t="shared" si="104"/>
        <v>0.99999995596599556</v>
      </c>
      <c r="Z582" s="42">
        <f t="shared" ca="1" si="105"/>
        <v>1</v>
      </c>
      <c r="AA582" s="43">
        <f t="shared" ca="1" si="106"/>
        <v>4.4034004442750074E-8</v>
      </c>
      <c r="AB582" s="202" t="str">
        <f t="shared" ca="1" si="107"/>
        <v/>
      </c>
      <c r="AC582" s="44" t="str">
        <f t="shared" si="110"/>
        <v>SI</v>
      </c>
      <c r="AD582" s="760" t="s">
        <v>1710</v>
      </c>
      <c r="AE582" s="173" t="s">
        <v>1257</v>
      </c>
      <c r="AF582" s="281" t="s">
        <v>1606</v>
      </c>
      <c r="AG582" s="173" t="s">
        <v>1439</v>
      </c>
      <c r="AH582" s="281" t="s">
        <v>560</v>
      </c>
      <c r="AI582" s="305" t="s">
        <v>1509</v>
      </c>
      <c r="AJ582" s="305" t="s">
        <v>3802</v>
      </c>
      <c r="AK582" s="181" t="str">
        <f t="shared" ca="1" si="108"/>
        <v>TERMINO</v>
      </c>
      <c r="AL582" s="310" t="s">
        <v>582</v>
      </c>
      <c r="AM582" s="433" t="s">
        <v>390</v>
      </c>
      <c r="AN582" s="848" t="str">
        <f>IFERROR(VLOOKUP(E582,'liquidaciones '!$B$2:$C$1048576,2,0),"NO")</f>
        <v>LIQUIDADO</v>
      </c>
      <c r="AO582" s="944" t="str">
        <f>IFERROR(VLOOKUP(E582,'liquidaciones '!$B$2:$I$1048576,8,0),"")</f>
        <v>JUAN DIEGO ESPITIA</v>
      </c>
      <c r="AP582" s="433"/>
      <c r="AQ582" s="433" t="s">
        <v>390</v>
      </c>
      <c r="AR582" s="177" t="s">
        <v>3518</v>
      </c>
      <c r="AS582" s="433" t="s">
        <v>3785</v>
      </c>
      <c r="AT582" s="966" t="s">
        <v>560</v>
      </c>
      <c r="AU582" s="964"/>
      <c r="AV582" s="964"/>
    </row>
    <row r="583" spans="3:48" ht="30" x14ac:dyDescent="0.25">
      <c r="C583" s="867"/>
      <c r="D583" s="867"/>
      <c r="E583" s="868" t="s">
        <v>3703</v>
      </c>
      <c r="F583" s="441" t="s">
        <v>3704</v>
      </c>
      <c r="G583" s="893" t="s">
        <v>3705</v>
      </c>
      <c r="H583" s="1005" t="s">
        <v>3706</v>
      </c>
      <c r="I583" s="93">
        <v>1380207</v>
      </c>
      <c r="J583" s="873" t="s">
        <v>3707</v>
      </c>
      <c r="K583" s="295">
        <v>2017</v>
      </c>
      <c r="L583" s="546">
        <v>43042</v>
      </c>
      <c r="M583" s="874">
        <v>43060</v>
      </c>
      <c r="N583" s="874">
        <v>43089</v>
      </c>
      <c r="O583" s="127">
        <f>COUNTA(Modificaciones!I569,Modificaciones!K569,Modificaciones!M569,Modificaciones!O569)</f>
        <v>0</v>
      </c>
      <c r="P583" s="128">
        <f>VLOOKUP(E583,Modificaciones!$B$7:$Q$819,16,0)</f>
        <v>0</v>
      </c>
      <c r="Q583" s="129">
        <f>COUNTA(Modificaciones!S583,Modificaciones!U583,Modificaciones!W583,Modificaciones!Y583)</f>
        <v>0</v>
      </c>
      <c r="R583" s="130" t="str">
        <f>IF(Modificaciones!Z583=0,"",VLOOKUP(E583,Modificaciones!$B$7:$AA$500,25,0))</f>
        <v/>
      </c>
      <c r="S583" s="131" t="str">
        <f>IF(Modificaciones!AA583=0,"",VLOOKUP(E583,Modificaciones!$B$7:$AA$500,26,0))</f>
        <v/>
      </c>
      <c r="T583" s="855">
        <f t="shared" si="112"/>
        <v>43089</v>
      </c>
      <c r="U583" s="62">
        <f t="shared" ref="U583:U600" si="113">I583+P583</f>
        <v>1380207</v>
      </c>
      <c r="V583" s="172">
        <f>VLOOKUP(E583,Modificaciones!$B$7:$AU$819,46,0)</f>
        <v>1380207</v>
      </c>
      <c r="W583" s="93">
        <f t="shared" si="111"/>
        <v>0</v>
      </c>
      <c r="X583" s="309" t="s">
        <v>1895</v>
      </c>
      <c r="Y583" s="852">
        <f t="shared" ref="Y583:Y600" si="114">(V583*100%)/U583</f>
        <v>1</v>
      </c>
      <c r="Z583" s="42">
        <f t="shared" ref="Z583:Z600" ca="1" si="115">IF((($F$3-M583)*100%/(T583-M583))&gt;100%,100%,(($F$3-M583)*100%/(T583-M583)))</f>
        <v>1</v>
      </c>
      <c r="AA583" s="43">
        <f t="shared" ref="AA583:AA600" ca="1" si="116">Z583-Y583</f>
        <v>0</v>
      </c>
      <c r="AB583" s="202" t="str">
        <f t="shared" ref="AB583:AB600" ca="1" si="117">IF(Z583&lt;100%,T583-$F$3,"")</f>
        <v/>
      </c>
      <c r="AC583" s="44" t="str">
        <f t="shared" si="110"/>
        <v>SI</v>
      </c>
      <c r="AD583" s="868"/>
      <c r="AE583" s="871"/>
      <c r="AF583" s="871"/>
      <c r="AG583" s="868"/>
      <c r="AH583" s="868"/>
      <c r="AI583" s="868"/>
      <c r="AJ583" s="305" t="s">
        <v>2834</v>
      </c>
      <c r="AK583" s="181" t="str">
        <f t="shared" ref="AK583:AK600" ca="1" si="118">IF(T583&gt;=$F$3,"EN EJECUCIÓN","TERMINO")</f>
        <v>TERMINO</v>
      </c>
      <c r="AL583" s="310" t="s">
        <v>576</v>
      </c>
      <c r="AM583" s="433"/>
      <c r="AN583" s="848" t="str">
        <f>IFERROR(VLOOKUP(E583,'liquidaciones '!$B$2:$C$1048576,2,0),"NO")</f>
        <v>LIQUIDADO</v>
      </c>
      <c r="AO583" s="944">
        <f>IFERROR(VLOOKUP(E583,'liquidaciones '!$B$2:$I$1048576,8,0),"")</f>
        <v>0</v>
      </c>
      <c r="AP583" s="433"/>
      <c r="AQ583" s="433" t="s">
        <v>390</v>
      </c>
      <c r="AR583" s="177" t="s">
        <v>3055</v>
      </c>
      <c r="AS583" s="433"/>
      <c r="AT583" s="966" t="s">
        <v>3947</v>
      </c>
      <c r="AU583" s="964"/>
      <c r="AV583" s="964"/>
    </row>
    <row r="584" spans="3:48" ht="56.25" x14ac:dyDescent="0.25">
      <c r="C584" s="867">
        <v>190</v>
      </c>
      <c r="D584" s="867"/>
      <c r="E584" s="868" t="s">
        <v>3710</v>
      </c>
      <c r="F584" s="441" t="s">
        <v>2560</v>
      </c>
      <c r="G584" s="903" t="s">
        <v>2561</v>
      </c>
      <c r="H584" s="1005" t="s">
        <v>3711</v>
      </c>
      <c r="I584" s="93">
        <v>6512000</v>
      </c>
      <c r="J584" s="873" t="s">
        <v>3712</v>
      </c>
      <c r="K584" s="295">
        <v>2017</v>
      </c>
      <c r="L584" s="546">
        <v>43053</v>
      </c>
      <c r="M584" s="874">
        <v>43070</v>
      </c>
      <c r="N584" s="874">
        <v>43190</v>
      </c>
      <c r="O584" s="127">
        <f>COUNTA(Modificaciones!I570,Modificaciones!K570,Modificaciones!M570,Modificaciones!O570)</f>
        <v>0</v>
      </c>
      <c r="P584" s="128">
        <f>VLOOKUP(E584,Modificaciones!$B$7:$Q$819,16,0)</f>
        <v>0</v>
      </c>
      <c r="Q584" s="129">
        <f>COUNTA(Modificaciones!S584,Modificaciones!U584,Modificaciones!W584,Modificaciones!Y584)</f>
        <v>2</v>
      </c>
      <c r="R584" s="130" t="str">
        <f>IF(Modificaciones!Z584=0,"",VLOOKUP(E584,Modificaciones!$B$7:$AA$1419,25,0))</f>
        <v>3 meses</v>
      </c>
      <c r="S584" s="131">
        <f>IF(Modificaciones!AA584=0,"",VLOOKUP(E584,Modificaciones!$B$7:$AA$1419,26,0))</f>
        <v>43281</v>
      </c>
      <c r="T584" s="855">
        <f t="shared" si="112"/>
        <v>43281</v>
      </c>
      <c r="U584" s="62">
        <f t="shared" si="113"/>
        <v>6512000</v>
      </c>
      <c r="V584" s="172">
        <f>VLOOKUP(E584,Modificaciones!$B$7:$AU$819,46,0)</f>
        <v>3000000</v>
      </c>
      <c r="W584" s="93">
        <f t="shared" si="111"/>
        <v>3512000</v>
      </c>
      <c r="X584" s="314" t="s">
        <v>1187</v>
      </c>
      <c r="Y584" s="852">
        <f t="shared" si="114"/>
        <v>0.4606879606879607</v>
      </c>
      <c r="Z584" s="42">
        <f t="shared" ca="1" si="115"/>
        <v>1</v>
      </c>
      <c r="AA584" s="43">
        <f t="shared" ca="1" si="116"/>
        <v>0.5393120393120393</v>
      </c>
      <c r="AB584" s="202" t="str">
        <f t="shared" ca="1" si="117"/>
        <v/>
      </c>
      <c r="AC584" s="44" t="str">
        <f t="shared" si="110"/>
        <v>NO</v>
      </c>
      <c r="AD584" s="868"/>
      <c r="AE584" s="173" t="s">
        <v>1256</v>
      </c>
      <c r="AF584" s="281" t="s">
        <v>1136</v>
      </c>
      <c r="AG584" s="173" t="s">
        <v>1442</v>
      </c>
      <c r="AH584" s="281" t="s">
        <v>560</v>
      </c>
      <c r="AI584" s="174" t="s">
        <v>1380</v>
      </c>
      <c r="AJ584" s="305" t="s">
        <v>3802</v>
      </c>
      <c r="AK584" s="181" t="str">
        <f t="shared" ca="1" si="118"/>
        <v>TERMINO</v>
      </c>
      <c r="AL584" s="181" t="s">
        <v>576</v>
      </c>
      <c r="AM584" s="433" t="s">
        <v>390</v>
      </c>
      <c r="AN584" s="848" t="str">
        <f>IFERROR(VLOOKUP(E584,'liquidaciones '!$B$2:$C$1048576,2,0),"NO")</f>
        <v>LIQUIDADO</v>
      </c>
      <c r="AO584" s="944" t="str">
        <f>IFERROR(VLOOKUP(E584,'liquidaciones '!$B$2:$I$1048576,8,0),"")</f>
        <v>JUAN DIEGO ESPITIA</v>
      </c>
      <c r="AP584" s="433"/>
      <c r="AQ584" s="433" t="s">
        <v>390</v>
      </c>
      <c r="AR584" s="177" t="s">
        <v>2965</v>
      </c>
      <c r="AS584" s="433" t="s">
        <v>1379</v>
      </c>
      <c r="AT584" s="966" t="s">
        <v>560</v>
      </c>
      <c r="AU584" s="964"/>
      <c r="AV584" s="964"/>
    </row>
    <row r="585" spans="3:48" ht="33.75" x14ac:dyDescent="0.25">
      <c r="C585" s="867">
        <v>202</v>
      </c>
      <c r="D585" s="867"/>
      <c r="E585" s="868" t="s">
        <v>3714</v>
      </c>
      <c r="F585" s="441" t="s">
        <v>3715</v>
      </c>
      <c r="G585" s="893" t="s">
        <v>3716</v>
      </c>
      <c r="H585" s="1005" t="s">
        <v>3730</v>
      </c>
      <c r="I585" s="93">
        <v>405331000</v>
      </c>
      <c r="J585" s="873" t="s">
        <v>3717</v>
      </c>
      <c r="K585" s="295">
        <v>2017</v>
      </c>
      <c r="L585" s="546">
        <v>43063</v>
      </c>
      <c r="M585" s="874">
        <v>43070</v>
      </c>
      <c r="N585" s="874">
        <v>43312</v>
      </c>
      <c r="O585" s="127">
        <f>COUNTA(Modificaciones!I571,Modificaciones!K571,Modificaciones!M571,Modificaciones!O571)</f>
        <v>1</v>
      </c>
      <c r="P585" s="128">
        <f>VLOOKUP(E585,Modificaciones!$B$7:$Q$819,16,0)</f>
        <v>0</v>
      </c>
      <c r="Q585" s="129">
        <f>COUNTA(Modificaciones!S585,Modificaciones!U585,Modificaciones!W585,Modificaciones!Y585)</f>
        <v>1</v>
      </c>
      <c r="R585" s="130" t="str">
        <f>IF(Modificaciones!Z585=0,"",VLOOKUP(E585,Modificaciones!$B$7:$AA$1419,25,0))</f>
        <v>3 meses</v>
      </c>
      <c r="S585" s="131">
        <f>IF(Modificaciones!AA585=0,"",VLOOKUP(E585,Modificaciones!$B$7:$AA$1419,26,0))</f>
        <v>43404</v>
      </c>
      <c r="T585" s="855">
        <f t="shared" si="112"/>
        <v>43404</v>
      </c>
      <c r="U585" s="62">
        <f t="shared" si="113"/>
        <v>405331000</v>
      </c>
      <c r="V585" s="172">
        <f>VLOOKUP(E585,Modificaciones!$B$7:$AU$819,46,0)</f>
        <v>232376000</v>
      </c>
      <c r="W585" s="93">
        <f t="shared" si="111"/>
        <v>172955000</v>
      </c>
      <c r="X585" s="309" t="s">
        <v>1878</v>
      </c>
      <c r="Y585" s="852">
        <f t="shared" si="114"/>
        <v>0.57329935287456424</v>
      </c>
      <c r="Z585" s="42">
        <f t="shared" ca="1" si="115"/>
        <v>1</v>
      </c>
      <c r="AA585" s="43">
        <f t="shared" ca="1" si="116"/>
        <v>0.42670064712543576</v>
      </c>
      <c r="AB585" s="202" t="str">
        <f t="shared" ca="1" si="117"/>
        <v/>
      </c>
      <c r="AC585" s="44" t="str">
        <f t="shared" si="110"/>
        <v>NO</v>
      </c>
      <c r="AD585" s="760" t="s">
        <v>1710</v>
      </c>
      <c r="AE585" s="173" t="s">
        <v>1256</v>
      </c>
      <c r="AF585" s="281" t="s">
        <v>1283</v>
      </c>
      <c r="AG585" s="173" t="s">
        <v>1435</v>
      </c>
      <c r="AH585" s="281" t="s">
        <v>560</v>
      </c>
      <c r="AI585" s="305" t="s">
        <v>1386</v>
      </c>
      <c r="AJ585" s="305" t="s">
        <v>3802</v>
      </c>
      <c r="AK585" s="181" t="str">
        <f t="shared" ca="1" si="118"/>
        <v>TERMINO</v>
      </c>
      <c r="AL585" s="310"/>
      <c r="AM585" s="433" t="s">
        <v>390</v>
      </c>
      <c r="AN585" s="848" t="str">
        <f>IFERROR(VLOOKUP(E585,'liquidaciones '!$B$2:$C$1048576,2,0),"NO")</f>
        <v>EN TRÁMITE</v>
      </c>
      <c r="AO585" s="944" t="str">
        <f>IFERROR(VLOOKUP(E585,'liquidaciones '!$B$2:$I$1048576,8,0),"")</f>
        <v>JUAN DIEGO ESPITIA</v>
      </c>
      <c r="AP585" s="433"/>
      <c r="AQ585" s="433" t="s">
        <v>390</v>
      </c>
      <c r="AR585" s="177" t="s">
        <v>3055</v>
      </c>
      <c r="AS585" s="433" t="s">
        <v>3786</v>
      </c>
      <c r="AT585" s="966" t="s">
        <v>560</v>
      </c>
      <c r="AU585" s="964"/>
      <c r="AV585" s="301" t="s">
        <v>4792</v>
      </c>
    </row>
    <row r="586" spans="3:48" ht="30" x14ac:dyDescent="0.25">
      <c r="C586" s="867"/>
      <c r="D586" s="867"/>
      <c r="E586" s="868" t="s">
        <v>3721</v>
      </c>
      <c r="F586" s="441" t="s">
        <v>3720</v>
      </c>
      <c r="G586" s="893" t="s">
        <v>3722</v>
      </c>
      <c r="H586" s="1005" t="s">
        <v>3723</v>
      </c>
      <c r="I586" s="93">
        <v>242533577</v>
      </c>
      <c r="J586" s="873" t="s">
        <v>3726</v>
      </c>
      <c r="K586" s="295">
        <v>2017</v>
      </c>
      <c r="L586" s="546">
        <v>43068</v>
      </c>
      <c r="M586" s="874">
        <v>43068</v>
      </c>
      <c r="N586" s="874">
        <v>43082</v>
      </c>
      <c r="O586" s="127">
        <f>COUNTA(Modificaciones!I572,Modificaciones!K572,Modificaciones!M572,Modificaciones!O572)</f>
        <v>0</v>
      </c>
      <c r="P586" s="128">
        <f>VLOOKUP(E586,Modificaciones!$B$7:$Q$819,16,0)</f>
        <v>0</v>
      </c>
      <c r="Q586" s="129">
        <f>COUNTA(Modificaciones!S586,Modificaciones!U586,Modificaciones!W586,Modificaciones!Y586)</f>
        <v>0</v>
      </c>
      <c r="R586" s="130" t="str">
        <f>IF(Modificaciones!Z586=0,"",VLOOKUP(E586,Modificaciones!$B$7:$AA$500,25,0))</f>
        <v/>
      </c>
      <c r="S586" s="131" t="str">
        <f>IF(Modificaciones!AA586=0,"",VLOOKUP(E586,Modificaciones!$B$7:$AA$500,26,0))</f>
        <v/>
      </c>
      <c r="T586" s="855">
        <f t="shared" si="112"/>
        <v>43082</v>
      </c>
      <c r="U586" s="62">
        <f t="shared" si="113"/>
        <v>242533577</v>
      </c>
      <c r="V586" s="172">
        <f>VLOOKUP(E586,Modificaciones!$B$7:$AU$819,46,0)</f>
        <v>242531342</v>
      </c>
      <c r="W586" s="93">
        <f t="shared" si="111"/>
        <v>2235</v>
      </c>
      <c r="X586" s="309"/>
      <c r="Y586" s="852">
        <f t="shared" si="114"/>
        <v>0.99999078478111092</v>
      </c>
      <c r="Z586" s="42">
        <f t="shared" ca="1" si="115"/>
        <v>1</v>
      </c>
      <c r="AA586" s="43">
        <f t="shared" ca="1" si="116"/>
        <v>9.2152188890803899E-6</v>
      </c>
      <c r="AB586" s="202" t="str">
        <f t="shared" ca="1" si="117"/>
        <v/>
      </c>
      <c r="AC586" s="44" t="str">
        <f t="shared" si="110"/>
        <v>SI</v>
      </c>
      <c r="AD586" s="760" t="s">
        <v>1710</v>
      </c>
      <c r="AE586" s="173" t="s">
        <v>1257</v>
      </c>
      <c r="AF586" s="900" t="s">
        <v>3725</v>
      </c>
      <c r="AG586" s="173" t="s">
        <v>1439</v>
      </c>
      <c r="AH586" s="281" t="s">
        <v>560</v>
      </c>
      <c r="AI586" s="305" t="s">
        <v>1509</v>
      </c>
      <c r="AJ586" s="305" t="s">
        <v>3802</v>
      </c>
      <c r="AK586" s="181" t="str">
        <f t="shared" ca="1" si="118"/>
        <v>TERMINO</v>
      </c>
      <c r="AL586" s="310" t="s">
        <v>2726</v>
      </c>
      <c r="AM586" s="433"/>
      <c r="AN586" s="848" t="str">
        <f>IFERROR(VLOOKUP(E586,'liquidaciones '!$B$2:$C$1048576,2,0),"NO")</f>
        <v>LIQUIDADO</v>
      </c>
      <c r="AO586" s="944">
        <f>IFERROR(VLOOKUP(E586,'liquidaciones '!$B$2:$I$1048576,8,0),"")</f>
        <v>0</v>
      </c>
      <c r="AP586" s="433"/>
      <c r="AQ586" s="433" t="s">
        <v>390</v>
      </c>
      <c r="AR586" s="177" t="s">
        <v>3518</v>
      </c>
      <c r="AS586" s="433" t="s">
        <v>3785</v>
      </c>
      <c r="AT586" s="966" t="s">
        <v>560</v>
      </c>
      <c r="AU586" s="964"/>
      <c r="AV586" s="964"/>
    </row>
    <row r="587" spans="3:48" ht="33.75" x14ac:dyDescent="0.25">
      <c r="C587" s="867"/>
      <c r="D587" s="867"/>
      <c r="E587" s="868" t="s">
        <v>3727</v>
      </c>
      <c r="F587" s="441" t="s">
        <v>3728</v>
      </c>
      <c r="G587" s="893" t="s">
        <v>3559</v>
      </c>
      <c r="H587" s="1005" t="s">
        <v>3729</v>
      </c>
      <c r="I587" s="93">
        <v>102161000</v>
      </c>
      <c r="J587" s="873" t="s">
        <v>3717</v>
      </c>
      <c r="K587" s="295">
        <v>2017</v>
      </c>
      <c r="L587" s="546">
        <v>43063</v>
      </c>
      <c r="M587" s="874">
        <v>43080</v>
      </c>
      <c r="N587" s="874">
        <v>43322</v>
      </c>
      <c r="O587" s="127">
        <f>COUNTA(Modificaciones!I573,Modificaciones!K573,Modificaciones!M573,Modificaciones!O573)</f>
        <v>0</v>
      </c>
      <c r="P587" s="128">
        <f>VLOOKUP(E587,Modificaciones!$B$7:$Q$819,16,0)</f>
        <v>0</v>
      </c>
      <c r="Q587" s="129">
        <f>COUNTA(Modificaciones!S587,Modificaciones!U587,Modificaciones!W587,Modificaciones!Y587)</f>
        <v>1</v>
      </c>
      <c r="R587" s="130" t="str">
        <f>IF(Modificaciones!Z587=0,"",VLOOKUP(E587,Modificaciones!$B$7:$AA$1419,25,0))</f>
        <v>3 meses</v>
      </c>
      <c r="S587" s="131">
        <f>IF(Modificaciones!AA587=0,"",VLOOKUP(E587,Modificaciones!$B$7:$AA$1419,26,0))</f>
        <v>43414</v>
      </c>
      <c r="T587" s="855">
        <f t="shared" si="112"/>
        <v>43414</v>
      </c>
      <c r="U587" s="62">
        <f t="shared" si="113"/>
        <v>102161000</v>
      </c>
      <c r="V587" s="172">
        <f>VLOOKUP(E587,Modificaciones!$B$7:$AU$819,46,0)</f>
        <v>56764190</v>
      </c>
      <c r="W587" s="93">
        <f t="shared" si="111"/>
        <v>45396810</v>
      </c>
      <c r="X587" s="309" t="s">
        <v>1878</v>
      </c>
      <c r="Y587" s="852">
        <f t="shared" si="114"/>
        <v>0.55563463552627712</v>
      </c>
      <c r="Z587" s="42">
        <f t="shared" ca="1" si="115"/>
        <v>1</v>
      </c>
      <c r="AA587" s="43">
        <f t="shared" ca="1" si="116"/>
        <v>0.44436536447372288</v>
      </c>
      <c r="AB587" s="202" t="str">
        <f t="shared" ca="1" si="117"/>
        <v/>
      </c>
      <c r="AC587" s="44" t="str">
        <f t="shared" si="110"/>
        <v>NO</v>
      </c>
      <c r="AD587" s="760" t="s">
        <v>1710</v>
      </c>
      <c r="AE587" s="173" t="s">
        <v>1256</v>
      </c>
      <c r="AF587" s="281" t="s">
        <v>1283</v>
      </c>
      <c r="AG587" s="173" t="s">
        <v>1435</v>
      </c>
      <c r="AH587" s="281" t="s">
        <v>560</v>
      </c>
      <c r="AI587" s="305" t="s">
        <v>1386</v>
      </c>
      <c r="AJ587" s="305" t="s">
        <v>3802</v>
      </c>
      <c r="AK587" s="181" t="str">
        <f t="shared" ca="1" si="118"/>
        <v>TERMINO</v>
      </c>
      <c r="AL587" s="441"/>
      <c r="AM587" s="433" t="s">
        <v>390</v>
      </c>
      <c r="AN587" s="848" t="str">
        <f>IFERROR(VLOOKUP(E587,'liquidaciones '!$B$2:$C$1048576,2,0),"NO")</f>
        <v>NO</v>
      </c>
      <c r="AO587" s="944" t="str">
        <f>IFERROR(VLOOKUP(E587,'liquidaciones '!$B$2:$I$1048576,8,0),"")</f>
        <v/>
      </c>
      <c r="AP587" s="433"/>
      <c r="AQ587" s="433" t="s">
        <v>390</v>
      </c>
      <c r="AR587" s="177" t="s">
        <v>4255</v>
      </c>
      <c r="AS587" s="433" t="s">
        <v>3786</v>
      </c>
      <c r="AT587" s="966" t="s">
        <v>560</v>
      </c>
      <c r="AU587" s="964"/>
      <c r="AV587" s="964"/>
    </row>
    <row r="588" spans="3:48" ht="45" x14ac:dyDescent="0.25">
      <c r="C588" s="867"/>
      <c r="D588" s="867"/>
      <c r="E588" s="868" t="s">
        <v>3733</v>
      </c>
      <c r="F588" s="441" t="s">
        <v>3734</v>
      </c>
      <c r="G588" s="893">
        <v>901132826</v>
      </c>
      <c r="H588" s="1005" t="s">
        <v>3735</v>
      </c>
      <c r="I588" s="93">
        <v>120149000</v>
      </c>
      <c r="J588" s="873" t="s">
        <v>3736</v>
      </c>
      <c r="K588" s="295">
        <v>2017</v>
      </c>
      <c r="L588" s="546">
        <v>43063</v>
      </c>
      <c r="M588" s="902">
        <v>43083</v>
      </c>
      <c r="N588" s="902">
        <v>43447</v>
      </c>
      <c r="O588" s="127">
        <f>COUNTA(Modificaciones!I574,Modificaciones!K574,Modificaciones!M574,Modificaciones!O574)</f>
        <v>0</v>
      </c>
      <c r="P588" s="128">
        <f>VLOOKUP(E588,Modificaciones!$B$7:$Q$819,16,0)</f>
        <v>30037250</v>
      </c>
      <c r="Q588" s="129">
        <f>COUNTA(Modificaciones!S588,Modificaciones!U588,Modificaciones!W588,Modificaciones!Y588)</f>
        <v>1</v>
      </c>
      <c r="R588" s="130" t="str">
        <f>IF(Modificaciones!Z588=0,"",VLOOKUP(E588,Modificaciones!$B$7:$AA$1419,25,0))</f>
        <v>3 meses</v>
      </c>
      <c r="S588" s="131">
        <f>IF(Modificaciones!AA588=0,"",VLOOKUP(E588,Modificaciones!$B$7:$AA$1419,26,0))</f>
        <v>43537</v>
      </c>
      <c r="T588" s="855">
        <f t="shared" si="112"/>
        <v>43537</v>
      </c>
      <c r="U588" s="62">
        <f t="shared" si="113"/>
        <v>150186250</v>
      </c>
      <c r="V588" s="172">
        <f>VLOOKUP(E588,Modificaciones!$B$7:$AU$819,46,0)</f>
        <v>130672313</v>
      </c>
      <c r="W588" s="93">
        <f t="shared" si="111"/>
        <v>19513937</v>
      </c>
      <c r="X588" s="309" t="s">
        <v>3737</v>
      </c>
      <c r="Y588" s="852">
        <f t="shared" si="114"/>
        <v>0.87006841838051086</v>
      </c>
      <c r="Z588" s="42">
        <f t="shared" ca="1" si="115"/>
        <v>1</v>
      </c>
      <c r="AA588" s="43">
        <f t="shared" ca="1" si="116"/>
        <v>0.12993158161948914</v>
      </c>
      <c r="AB588" s="202" t="str">
        <f t="shared" ca="1" si="117"/>
        <v/>
      </c>
      <c r="AC588" s="44" t="str">
        <f t="shared" si="110"/>
        <v>NO</v>
      </c>
      <c r="AD588" s="760" t="s">
        <v>1710</v>
      </c>
      <c r="AE588" s="173" t="s">
        <v>1257</v>
      </c>
      <c r="AF588" s="281" t="s">
        <v>2080</v>
      </c>
      <c r="AG588" s="173" t="s">
        <v>1439</v>
      </c>
      <c r="AH588" s="281" t="s">
        <v>560</v>
      </c>
      <c r="AI588" s="305" t="s">
        <v>1509</v>
      </c>
      <c r="AJ588" s="305" t="s">
        <v>2834</v>
      </c>
      <c r="AK588" s="181" t="str">
        <f t="shared" ca="1" si="118"/>
        <v>TERMINO</v>
      </c>
      <c r="AL588" s="310" t="s">
        <v>575</v>
      </c>
      <c r="AM588" s="433" t="s">
        <v>390</v>
      </c>
      <c r="AN588" s="848" t="str">
        <f>IFERROR(VLOOKUP(E588,'liquidaciones '!$B$2:$C$1048576,2,0),"NO")</f>
        <v>NO</v>
      </c>
      <c r="AO588" s="944" t="str">
        <f>IFERROR(VLOOKUP(E588,'liquidaciones '!$B$2:$I$1048576,8,0),"")</f>
        <v/>
      </c>
      <c r="AP588" s="433"/>
      <c r="AQ588" s="433"/>
      <c r="AR588" s="177" t="s">
        <v>4219</v>
      </c>
      <c r="AS588" s="433" t="s">
        <v>3785</v>
      </c>
      <c r="AT588" s="966" t="s">
        <v>560</v>
      </c>
      <c r="AU588" s="964"/>
      <c r="AV588" s="301" t="s">
        <v>4686</v>
      </c>
    </row>
    <row r="589" spans="3:48" ht="112.5" x14ac:dyDescent="0.25">
      <c r="C589" s="867">
        <v>78</v>
      </c>
      <c r="D589" s="867"/>
      <c r="E589" s="868" t="s">
        <v>3741</v>
      </c>
      <c r="F589" s="441" t="s">
        <v>3742</v>
      </c>
      <c r="G589" s="893">
        <v>900280686</v>
      </c>
      <c r="H589" s="1005" t="s">
        <v>3743</v>
      </c>
      <c r="I589" s="93">
        <v>11637012</v>
      </c>
      <c r="J589" s="873" t="s">
        <v>3749</v>
      </c>
      <c r="K589" s="295">
        <v>2017</v>
      </c>
      <c r="L589" s="546">
        <v>43075</v>
      </c>
      <c r="M589" s="874">
        <v>43096</v>
      </c>
      <c r="N589" s="874">
        <v>43369</v>
      </c>
      <c r="O589" s="127">
        <f>COUNTA(Modificaciones!I575,Modificaciones!K575,Modificaciones!M575,Modificaciones!O575)</f>
        <v>0</v>
      </c>
      <c r="P589" s="128">
        <f>VLOOKUP(E589,Modificaciones!$B$7:$Q$1819,16,0)</f>
        <v>0</v>
      </c>
      <c r="Q589" s="129">
        <f>COUNTA(Modificaciones!S589,Modificaciones!U589,Modificaciones!W589,Modificaciones!Y589)</f>
        <v>0</v>
      </c>
      <c r="R589" s="130" t="str">
        <f>IF(Modificaciones!Z589=0,"",VLOOKUP(E589,Modificaciones!$B$7:$AA$500,25,0))</f>
        <v/>
      </c>
      <c r="S589" s="131" t="str">
        <f>IF(Modificaciones!AA589=0,"",VLOOKUP(E589,Modificaciones!$B$7:$AA$500,26,0))</f>
        <v/>
      </c>
      <c r="T589" s="855">
        <f t="shared" si="112"/>
        <v>43369</v>
      </c>
      <c r="U589" s="62">
        <f t="shared" si="113"/>
        <v>11637012</v>
      </c>
      <c r="V589" s="172">
        <f>VLOOKUP(E589,Modificaciones!$B$7:$AU$819,46,0)</f>
        <v>11637012</v>
      </c>
      <c r="W589" s="93">
        <f t="shared" si="111"/>
        <v>0</v>
      </c>
      <c r="X589" s="314" t="s">
        <v>3744</v>
      </c>
      <c r="Y589" s="852">
        <f t="shared" si="114"/>
        <v>1</v>
      </c>
      <c r="Z589" s="42">
        <f t="shared" ca="1" si="115"/>
        <v>1</v>
      </c>
      <c r="AA589" s="43">
        <f t="shared" ca="1" si="116"/>
        <v>0</v>
      </c>
      <c r="AB589" s="202" t="str">
        <f t="shared" ca="1" si="117"/>
        <v/>
      </c>
      <c r="AC589" s="44" t="str">
        <f t="shared" si="110"/>
        <v>SI</v>
      </c>
      <c r="AD589" s="760" t="s">
        <v>1710</v>
      </c>
      <c r="AE589" s="173" t="s">
        <v>1257</v>
      </c>
      <c r="AF589" s="281" t="s">
        <v>2788</v>
      </c>
      <c r="AG589" s="173" t="s">
        <v>1439</v>
      </c>
      <c r="AH589" s="281" t="s">
        <v>560</v>
      </c>
      <c r="AI589" s="305" t="s">
        <v>1509</v>
      </c>
      <c r="AJ589" s="305" t="s">
        <v>3802</v>
      </c>
      <c r="AK589" s="181" t="str">
        <f t="shared" ca="1" si="118"/>
        <v>TERMINO</v>
      </c>
      <c r="AL589" s="310" t="s">
        <v>576</v>
      </c>
      <c r="AM589" s="433" t="s">
        <v>390</v>
      </c>
      <c r="AN589" s="848" t="str">
        <f>IFERROR(VLOOKUP(E589,'liquidaciones '!$B$2:$C$1048576,2,0),"NO")</f>
        <v>LIQUIDADO</v>
      </c>
      <c r="AO589" s="944" t="str">
        <f>IFERROR(VLOOKUP(E589,'liquidaciones '!$B$2:$I$1048576,8,0),"")</f>
        <v>JUAN DIEGO ESPITIA</v>
      </c>
      <c r="AP589" s="433"/>
      <c r="AQ589" s="177" t="s">
        <v>390</v>
      </c>
      <c r="AR589" s="177" t="s">
        <v>4219</v>
      </c>
      <c r="AS589" s="433" t="s">
        <v>3785</v>
      </c>
      <c r="AT589" s="966" t="s">
        <v>560</v>
      </c>
      <c r="AU589" s="964"/>
      <c r="AV589" s="301" t="s">
        <v>4672</v>
      </c>
    </row>
    <row r="590" spans="3:48" ht="33.75" x14ac:dyDescent="0.25">
      <c r="C590" s="867"/>
      <c r="D590" s="867"/>
      <c r="E590" s="868" t="s">
        <v>3745</v>
      </c>
      <c r="F590" s="441" t="s">
        <v>3747</v>
      </c>
      <c r="G590" s="893">
        <v>900908055</v>
      </c>
      <c r="H590" s="1005" t="s">
        <v>3746</v>
      </c>
      <c r="I590" s="93">
        <v>571200</v>
      </c>
      <c r="J590" s="873" t="s">
        <v>3748</v>
      </c>
      <c r="K590" s="295">
        <v>2017</v>
      </c>
      <c r="L590" s="546">
        <v>43074</v>
      </c>
      <c r="M590" s="874">
        <v>43088</v>
      </c>
      <c r="N590" s="874">
        <v>43269</v>
      </c>
      <c r="O590" s="127">
        <f>COUNTA(Modificaciones!I576,Modificaciones!K576,Modificaciones!M576,Modificaciones!O576)</f>
        <v>0</v>
      </c>
      <c r="P590" s="128">
        <f>VLOOKUP(E590,Modificaciones!$B$7:$Q$819,16,0)</f>
        <v>0</v>
      </c>
      <c r="Q590" s="129">
        <f>COUNTA(Modificaciones!S590,Modificaciones!U590,Modificaciones!W590,Modificaciones!Y590)</f>
        <v>0</v>
      </c>
      <c r="R590" s="130" t="str">
        <f>IF(Modificaciones!Z590=0,"",VLOOKUP(E590,Modificaciones!$B$7:$AA$500,25,0))</f>
        <v/>
      </c>
      <c r="S590" s="131" t="str">
        <f>IF(Modificaciones!AA590=0,"",VLOOKUP(E590,Modificaciones!$B$7:$AA$500,26,0))</f>
        <v/>
      </c>
      <c r="T590" s="855">
        <f t="shared" si="112"/>
        <v>43269</v>
      </c>
      <c r="U590" s="62">
        <f t="shared" si="113"/>
        <v>571200</v>
      </c>
      <c r="V590" s="172">
        <f>VLOOKUP(E590,Modificaciones!$B$7:$AU$819,46,0)</f>
        <v>0</v>
      </c>
      <c r="W590" s="93">
        <f t="shared" si="111"/>
        <v>571200</v>
      </c>
      <c r="X590" s="309" t="s">
        <v>1895</v>
      </c>
      <c r="Y590" s="852">
        <f t="shared" si="114"/>
        <v>0</v>
      </c>
      <c r="Z590" s="42">
        <f t="shared" ca="1" si="115"/>
        <v>1</v>
      </c>
      <c r="AA590" s="43">
        <f t="shared" ca="1" si="116"/>
        <v>1</v>
      </c>
      <c r="AB590" s="202" t="str">
        <f t="shared" ca="1" si="117"/>
        <v/>
      </c>
      <c r="AC590" s="44" t="str">
        <f t="shared" si="110"/>
        <v>NO</v>
      </c>
      <c r="AD590" s="868"/>
      <c r="AE590" s="173" t="s">
        <v>1256</v>
      </c>
      <c r="AF590" s="281" t="s">
        <v>1504</v>
      </c>
      <c r="AG590" s="173" t="s">
        <v>1442</v>
      </c>
      <c r="AH590" s="281" t="s">
        <v>560</v>
      </c>
      <c r="AI590" s="305"/>
      <c r="AJ590" s="305" t="s">
        <v>2834</v>
      </c>
      <c r="AK590" s="181" t="str">
        <f t="shared" ca="1" si="118"/>
        <v>TERMINO</v>
      </c>
      <c r="AL590" s="441"/>
      <c r="AM590" s="433" t="s">
        <v>390</v>
      </c>
      <c r="AN590" s="848" t="str">
        <f>IFERROR(VLOOKUP(E590,'liquidaciones '!$B$2:$C$1048576,2,0),"NO")</f>
        <v>NO</v>
      </c>
      <c r="AO590" s="944" t="str">
        <f>IFERROR(VLOOKUP(E590,'liquidaciones '!$B$2:$I$1048576,8,0),"")</f>
        <v/>
      </c>
      <c r="AP590" s="433"/>
      <c r="AQ590" s="433" t="s">
        <v>390</v>
      </c>
      <c r="AR590" s="177" t="s">
        <v>2978</v>
      </c>
      <c r="AS590" s="433"/>
      <c r="AT590" s="966" t="s">
        <v>3947</v>
      </c>
      <c r="AU590" s="964"/>
      <c r="AV590" s="964"/>
    </row>
    <row r="591" spans="3:48" ht="45" x14ac:dyDescent="0.25">
      <c r="C591" s="867">
        <v>79</v>
      </c>
      <c r="D591" s="867"/>
      <c r="E591" s="868" t="s">
        <v>3750</v>
      </c>
      <c r="F591" s="441" t="s">
        <v>1367</v>
      </c>
      <c r="G591" s="893">
        <v>79797614</v>
      </c>
      <c r="H591" s="1005" t="s">
        <v>3751</v>
      </c>
      <c r="I591" s="93">
        <v>12500004</v>
      </c>
      <c r="J591" s="873" t="s">
        <v>3759</v>
      </c>
      <c r="K591" s="295">
        <v>2017</v>
      </c>
      <c r="L591" s="546">
        <v>43060</v>
      </c>
      <c r="M591" s="874">
        <v>43096</v>
      </c>
      <c r="N591" s="874">
        <v>43460</v>
      </c>
      <c r="O591" s="127">
        <f>COUNTA(Modificaciones!I577,Modificaciones!K577,Modificaciones!M577,Modificaciones!O577)</f>
        <v>0</v>
      </c>
      <c r="P591" s="128">
        <f>VLOOKUP(E591,Modificaciones!$B$7:$Q$819,16,0)</f>
        <v>3125001</v>
      </c>
      <c r="Q591" s="129">
        <f>COUNTA(Modificaciones!S591,Modificaciones!U591,Modificaciones!W591,Modificaciones!Y591)</f>
        <v>1</v>
      </c>
      <c r="R591" s="130" t="str">
        <f>IF(Modificaciones!Z591=0,"",VLOOKUP(E591,Modificaciones!$B$7:$AA$1419,25,0))</f>
        <v>3 meses</v>
      </c>
      <c r="S591" s="131">
        <f>IF(Modificaciones!AA591=0,"",VLOOKUP(E591,Modificaciones!$B$7:$AA$1419,26,0))</f>
        <v>43550</v>
      </c>
      <c r="T591" s="855">
        <f t="shared" si="112"/>
        <v>43550</v>
      </c>
      <c r="U591" s="62">
        <f t="shared" si="113"/>
        <v>15625005</v>
      </c>
      <c r="V591" s="172">
        <f>VLOOKUP(E591,Modificaciones!$B$7:$AU$819,46,0)</f>
        <v>15625005</v>
      </c>
      <c r="W591" s="93">
        <f t="shared" si="111"/>
        <v>0</v>
      </c>
      <c r="X591" s="309" t="s">
        <v>1095</v>
      </c>
      <c r="Y591" s="852">
        <f t="shared" si="114"/>
        <v>1</v>
      </c>
      <c r="Z591" s="42">
        <f t="shared" ca="1" si="115"/>
        <v>1</v>
      </c>
      <c r="AA591" s="43">
        <f t="shared" ca="1" si="116"/>
        <v>0</v>
      </c>
      <c r="AB591" s="202" t="str">
        <f t="shared" ca="1" si="117"/>
        <v/>
      </c>
      <c r="AC591" s="44" t="str">
        <f t="shared" si="110"/>
        <v>SI</v>
      </c>
      <c r="AD591" s="868"/>
      <c r="AE591" s="173" t="s">
        <v>1257</v>
      </c>
      <c r="AF591" s="281" t="s">
        <v>1369</v>
      </c>
      <c r="AG591" s="173" t="s">
        <v>1439</v>
      </c>
      <c r="AH591" s="281" t="s">
        <v>560</v>
      </c>
      <c r="AI591" s="305" t="s">
        <v>1509</v>
      </c>
      <c r="AJ591" s="305" t="s">
        <v>3802</v>
      </c>
      <c r="AK591" s="181" t="str">
        <f t="shared" ca="1" si="118"/>
        <v>TERMINO</v>
      </c>
      <c r="AL591" s="310" t="s">
        <v>576</v>
      </c>
      <c r="AM591" s="433" t="s">
        <v>390</v>
      </c>
      <c r="AN591" s="848" t="str">
        <f>IFERROR(VLOOKUP(E591,'liquidaciones '!$B$2:$C$1048576,2,0),"NO")</f>
        <v>NO</v>
      </c>
      <c r="AO591" s="944" t="str">
        <f>IFERROR(VLOOKUP(E591,'liquidaciones '!$B$2:$I$1048576,8,0),"")</f>
        <v/>
      </c>
      <c r="AP591" s="433"/>
      <c r="AQ591" s="433" t="s">
        <v>390</v>
      </c>
      <c r="AR591" s="177" t="s">
        <v>4219</v>
      </c>
      <c r="AS591" s="433" t="s">
        <v>3785</v>
      </c>
      <c r="AT591" s="966" t="s">
        <v>560</v>
      </c>
      <c r="AU591" s="964"/>
      <c r="AV591" s="301" t="s">
        <v>4675</v>
      </c>
    </row>
    <row r="592" spans="3:48" ht="50.25" customHeight="1" x14ac:dyDescent="0.25">
      <c r="C592" s="867"/>
      <c r="D592" s="867"/>
      <c r="E592" s="868" t="s">
        <v>3754</v>
      </c>
      <c r="F592" s="441" t="s">
        <v>2628</v>
      </c>
      <c r="G592" s="903">
        <v>900699012</v>
      </c>
      <c r="H592" s="1001" t="s">
        <v>2730</v>
      </c>
      <c r="I592" s="93">
        <v>16300000</v>
      </c>
      <c r="J592" s="873" t="s">
        <v>3760</v>
      </c>
      <c r="K592" s="295">
        <v>2017</v>
      </c>
      <c r="L592" s="546">
        <v>43075</v>
      </c>
      <c r="M592" s="874">
        <v>43091</v>
      </c>
      <c r="N592" s="874">
        <v>43152</v>
      </c>
      <c r="O592" s="127">
        <f>COUNTA(Modificaciones!I578,Modificaciones!K578,Modificaciones!M578,Modificaciones!O578)</f>
        <v>0</v>
      </c>
      <c r="P592" s="128">
        <f>VLOOKUP(E592,Modificaciones!$B$7:$Q$819,16,0)</f>
        <v>0</v>
      </c>
      <c r="Q592" s="129">
        <f>COUNTA(Modificaciones!S592,Modificaciones!U592,Modificaciones!W592,Modificaciones!Y592)</f>
        <v>0</v>
      </c>
      <c r="R592" s="130" t="str">
        <f>IF(Modificaciones!Z592=0,"",VLOOKUP(E592,Modificaciones!$B$7:$AA$500,25,0))</f>
        <v/>
      </c>
      <c r="S592" s="131" t="str">
        <f>IF(Modificaciones!AA592=0,"",VLOOKUP(E592,Modificaciones!$B$7:$AA$500,26,0))</f>
        <v/>
      </c>
      <c r="T592" s="855">
        <f t="shared" si="112"/>
        <v>43152</v>
      </c>
      <c r="U592" s="62">
        <f t="shared" si="113"/>
        <v>16300000</v>
      </c>
      <c r="V592" s="172">
        <f>VLOOKUP(E592,Modificaciones!$B$7:$AU$819,46,0)</f>
        <v>16300000</v>
      </c>
      <c r="W592" s="93">
        <f t="shared" si="111"/>
        <v>0</v>
      </c>
      <c r="X592" s="309" t="s">
        <v>2272</v>
      </c>
      <c r="Y592" s="852">
        <f t="shared" si="114"/>
        <v>1</v>
      </c>
      <c r="Z592" s="42">
        <f t="shared" ca="1" si="115"/>
        <v>1</v>
      </c>
      <c r="AA592" s="43">
        <f t="shared" ca="1" si="116"/>
        <v>0</v>
      </c>
      <c r="AB592" s="202" t="str">
        <f t="shared" ca="1" si="117"/>
        <v/>
      </c>
      <c r="AC592" s="44" t="str">
        <f t="shared" si="110"/>
        <v>SI</v>
      </c>
      <c r="AD592" s="868"/>
      <c r="AE592" s="173" t="s">
        <v>1256</v>
      </c>
      <c r="AF592" s="281" t="s">
        <v>1488</v>
      </c>
      <c r="AG592" s="173" t="s">
        <v>1442</v>
      </c>
      <c r="AH592" s="281" t="s">
        <v>560</v>
      </c>
      <c r="AI592" s="305" t="s">
        <v>1380</v>
      </c>
      <c r="AJ592" s="305" t="s">
        <v>3802</v>
      </c>
      <c r="AK592" s="181" t="str">
        <f t="shared" ca="1" si="118"/>
        <v>TERMINO</v>
      </c>
      <c r="AL592" s="310" t="s">
        <v>576</v>
      </c>
      <c r="AM592" s="433" t="s">
        <v>390</v>
      </c>
      <c r="AN592" s="848" t="str">
        <f>IFERROR(VLOOKUP(E592,'liquidaciones '!$B$2:$C$1048576,2,0),"NO")</f>
        <v>EN TRÁMITE</v>
      </c>
      <c r="AO592" s="944">
        <f>IFERROR(VLOOKUP(E592,'liquidaciones '!$B$2:$I$1048576,8,0),"")</f>
        <v>0</v>
      </c>
      <c r="AP592" s="433"/>
      <c r="AQ592" s="433" t="s">
        <v>390</v>
      </c>
      <c r="AR592" s="967" t="s">
        <v>1510</v>
      </c>
      <c r="AS592" s="433"/>
      <c r="AT592" s="966" t="s">
        <v>3947</v>
      </c>
      <c r="AU592" s="964"/>
      <c r="AV592" s="964"/>
    </row>
    <row r="593" spans="3:48" ht="45" x14ac:dyDescent="0.25">
      <c r="C593" s="867">
        <v>207</v>
      </c>
      <c r="D593" s="867"/>
      <c r="E593" s="868" t="s">
        <v>3757</v>
      </c>
      <c r="F593" s="441" t="s">
        <v>3755</v>
      </c>
      <c r="G593" s="903">
        <v>890900608</v>
      </c>
      <c r="H593" s="1005" t="s">
        <v>3756</v>
      </c>
      <c r="I593" s="93">
        <v>35410320</v>
      </c>
      <c r="J593" s="873" t="s">
        <v>3761</v>
      </c>
      <c r="K593" s="295">
        <v>2017</v>
      </c>
      <c r="L593" s="546">
        <v>43076</v>
      </c>
      <c r="M593" s="874">
        <v>43091</v>
      </c>
      <c r="N593" s="874">
        <v>43211</v>
      </c>
      <c r="O593" s="127">
        <f>COUNTA(Modificaciones!I579,Modificaciones!K579,Modificaciones!M579,Modificaciones!O579)</f>
        <v>0</v>
      </c>
      <c r="P593" s="128">
        <f>VLOOKUP(E593,Modificaciones!$B$7:$Q$819,16,0)</f>
        <v>0</v>
      </c>
      <c r="Q593" s="129">
        <f>COUNTA(Modificaciones!S593,Modificaciones!U593,Modificaciones!W593,Modificaciones!Y593)</f>
        <v>0</v>
      </c>
      <c r="R593" s="130" t="str">
        <f>IF(Modificaciones!Z593=0,"",VLOOKUP(E593,Modificaciones!$B$7:$AA$500,25,0))</f>
        <v/>
      </c>
      <c r="S593" s="131" t="str">
        <f>IF(Modificaciones!AA593=0,"",VLOOKUP(E593,Modificaciones!$B$7:$AA$500,26,0))</f>
        <v/>
      </c>
      <c r="T593" s="855">
        <f t="shared" si="112"/>
        <v>43211</v>
      </c>
      <c r="U593" s="62">
        <f t="shared" si="113"/>
        <v>35410320</v>
      </c>
      <c r="V593" s="172">
        <f>VLOOKUP(E593,Modificaciones!$B$7:$AU$819,46,0)</f>
        <v>31126053</v>
      </c>
      <c r="W593" s="93">
        <f t="shared" si="111"/>
        <v>4284267</v>
      </c>
      <c r="X593" s="309" t="s">
        <v>2739</v>
      </c>
      <c r="Y593" s="852">
        <f t="shared" si="114"/>
        <v>0.87901077990823018</v>
      </c>
      <c r="Z593" s="42">
        <f t="shared" ca="1" si="115"/>
        <v>1</v>
      </c>
      <c r="AA593" s="43">
        <f t="shared" ca="1" si="116"/>
        <v>0.12098922009176982</v>
      </c>
      <c r="AB593" s="202" t="str">
        <f t="shared" ca="1" si="117"/>
        <v/>
      </c>
      <c r="AC593" s="44" t="str">
        <f t="shared" si="110"/>
        <v>NO</v>
      </c>
      <c r="AD593" s="760" t="s">
        <v>1712</v>
      </c>
      <c r="AE593" s="173" t="s">
        <v>1256</v>
      </c>
      <c r="AF593" s="281" t="s">
        <v>1484</v>
      </c>
      <c r="AG593" s="173" t="s">
        <v>1435</v>
      </c>
      <c r="AH593" s="281" t="s">
        <v>560</v>
      </c>
      <c r="AI593" s="305" t="s">
        <v>1386</v>
      </c>
      <c r="AJ593" s="305" t="s">
        <v>3802</v>
      </c>
      <c r="AK593" s="181" t="str">
        <f t="shared" ca="1" si="118"/>
        <v>TERMINO</v>
      </c>
      <c r="AL593" s="310" t="s">
        <v>574</v>
      </c>
      <c r="AM593" s="433" t="s">
        <v>390</v>
      </c>
      <c r="AN593" s="848" t="str">
        <f>IFERROR(VLOOKUP(E593,'liquidaciones '!$B$2:$C$1048576,2,0),"NO")</f>
        <v>LIQUIDADO</v>
      </c>
      <c r="AO593" s="944" t="str">
        <f>IFERROR(VLOOKUP(E593,'liquidaciones '!$B$2:$I$1048576,8,0),"")</f>
        <v>JUAN DIEGO ESPITIA</v>
      </c>
      <c r="AP593" s="433"/>
      <c r="AQ593" s="433" t="s">
        <v>390</v>
      </c>
      <c r="AR593" s="974" t="s">
        <v>1510</v>
      </c>
      <c r="AS593" s="433"/>
      <c r="AT593" s="966" t="s">
        <v>3947</v>
      </c>
      <c r="AU593" s="964"/>
      <c r="AV593" s="964"/>
    </row>
    <row r="594" spans="3:48" ht="45" x14ac:dyDescent="0.25">
      <c r="C594" s="867"/>
      <c r="D594" s="867"/>
      <c r="E594" s="868" t="s">
        <v>3762</v>
      </c>
      <c r="F594" s="441" t="s">
        <v>3763</v>
      </c>
      <c r="G594" s="893" t="s">
        <v>3764</v>
      </c>
      <c r="H594" s="1005" t="s">
        <v>3765</v>
      </c>
      <c r="I594" s="93">
        <v>165980000</v>
      </c>
      <c r="J594" s="873" t="s">
        <v>3770</v>
      </c>
      <c r="K594" s="295">
        <v>2017</v>
      </c>
      <c r="L594" s="546">
        <v>43090</v>
      </c>
      <c r="M594" s="874">
        <v>43092</v>
      </c>
      <c r="N594" s="874">
        <v>43402</v>
      </c>
      <c r="O594" s="127">
        <f>COUNTA(Modificaciones!I580,Modificaciones!K580,Modificaciones!M580,Modificaciones!O580)</f>
        <v>0</v>
      </c>
      <c r="P594" s="128">
        <f>VLOOKUP(E594,Modificaciones!$B$7:$Q$819,16,0)</f>
        <v>0</v>
      </c>
      <c r="Q594" s="129">
        <f>COUNTA(Modificaciones!S594,Modificaciones!U594,Modificaciones!W594,Modificaciones!Y594)</f>
        <v>0</v>
      </c>
      <c r="R594" s="130" t="str">
        <f>IF(Modificaciones!Z594=0,"",VLOOKUP(E594,Modificaciones!$B$7:$AA$500,25,0))</f>
        <v/>
      </c>
      <c r="S594" s="131" t="str">
        <f>IF(Modificaciones!AA594=0,"",VLOOKUP(E594,Modificaciones!$B$7:$AA$500,26,0))</f>
        <v/>
      </c>
      <c r="T594" s="855">
        <f t="shared" si="112"/>
        <v>43402</v>
      </c>
      <c r="U594" s="62">
        <f t="shared" si="113"/>
        <v>165980000</v>
      </c>
      <c r="V594" s="172">
        <f>VLOOKUP(E594,Modificaciones!$B$7:$AU$819,46,0)</f>
        <v>162615666</v>
      </c>
      <c r="W594" s="93">
        <f t="shared" si="111"/>
        <v>3364334</v>
      </c>
      <c r="X594" s="309"/>
      <c r="Y594" s="852">
        <f t="shared" si="114"/>
        <v>0.97973048560067477</v>
      </c>
      <c r="Z594" s="42">
        <f t="shared" ca="1" si="115"/>
        <v>1</v>
      </c>
      <c r="AA594" s="43">
        <f t="shared" ca="1" si="116"/>
        <v>2.0269514399325228E-2</v>
      </c>
      <c r="AB594" s="202" t="str">
        <f t="shared" ca="1" si="117"/>
        <v/>
      </c>
      <c r="AC594" s="44" t="str">
        <f t="shared" ref="AC594:AC600" si="119">IF(Y594&lt;=99.9%,"NO","SI")</f>
        <v>NO</v>
      </c>
      <c r="AD594" s="760" t="s">
        <v>1710</v>
      </c>
      <c r="AE594" s="173" t="s">
        <v>1256</v>
      </c>
      <c r="AF594" s="281" t="s">
        <v>2074</v>
      </c>
      <c r="AG594" s="173"/>
      <c r="AH594" s="281" t="s">
        <v>559</v>
      </c>
      <c r="AI594" s="305"/>
      <c r="AJ594" s="305" t="s">
        <v>2834</v>
      </c>
      <c r="AK594" s="181" t="str">
        <f t="shared" ca="1" si="118"/>
        <v>TERMINO</v>
      </c>
      <c r="AL594" s="310" t="s">
        <v>574</v>
      </c>
      <c r="AM594" s="433" t="s">
        <v>390</v>
      </c>
      <c r="AN594" s="848" t="str">
        <f>IFERROR(VLOOKUP(E594,'liquidaciones '!$B$2:$C$1048576,2,0),"NO")</f>
        <v>NO</v>
      </c>
      <c r="AO594" s="944" t="str">
        <f>IFERROR(VLOOKUP(E594,'liquidaciones '!$B$2:$I$1048576,8,0),"")</f>
        <v/>
      </c>
      <c r="AP594" s="433"/>
      <c r="AQ594" s="433" t="s">
        <v>390</v>
      </c>
      <c r="AR594" s="433" t="s">
        <v>3055</v>
      </c>
      <c r="AS594" s="433"/>
      <c r="AT594" s="966" t="s">
        <v>3947</v>
      </c>
      <c r="AU594" s="964"/>
      <c r="AV594" s="964"/>
    </row>
    <row r="595" spans="3:48" ht="33.75" x14ac:dyDescent="0.25">
      <c r="C595" s="867"/>
      <c r="D595" s="867"/>
      <c r="E595" s="868" t="s">
        <v>3766</v>
      </c>
      <c r="F595" s="441" t="s">
        <v>3767</v>
      </c>
      <c r="G595" s="893">
        <v>830006901</v>
      </c>
      <c r="H595" s="1005" t="s">
        <v>3771</v>
      </c>
      <c r="I595" s="93">
        <v>219937796</v>
      </c>
      <c r="J595" s="873" t="s">
        <v>3772</v>
      </c>
      <c r="K595" s="295">
        <v>2017</v>
      </c>
      <c r="L595" s="546">
        <v>43088</v>
      </c>
      <c r="M595" s="874">
        <v>43089</v>
      </c>
      <c r="N595" s="874">
        <v>43144</v>
      </c>
      <c r="O595" s="127">
        <f>COUNTA(Modificaciones!I581,Modificaciones!K581,Modificaciones!M581,Modificaciones!O581)</f>
        <v>0</v>
      </c>
      <c r="P595" s="128">
        <f>VLOOKUP(E595,Modificaciones!$B$7:$Q$819,16,0)</f>
        <v>0</v>
      </c>
      <c r="Q595" s="129">
        <f>COUNTA(Modificaciones!S595,Modificaciones!U595,Modificaciones!W595,Modificaciones!Y595)</f>
        <v>0</v>
      </c>
      <c r="R595" s="130" t="str">
        <f>IF(Modificaciones!Z595=0,"",VLOOKUP(E595,Modificaciones!$B$7:$AA$500,25,0))</f>
        <v/>
      </c>
      <c r="S595" s="131" t="str">
        <f>IF(Modificaciones!AA595=0,"",VLOOKUP(E595,Modificaciones!$B$7:$AA$500,26,0))</f>
        <v/>
      </c>
      <c r="T595" s="855">
        <f t="shared" si="112"/>
        <v>43144</v>
      </c>
      <c r="U595" s="62">
        <f t="shared" si="113"/>
        <v>219937796</v>
      </c>
      <c r="V595" s="172">
        <f>VLOOKUP(E595,Modificaciones!$B$7:$AU$819,46,0)</f>
        <v>219785882</v>
      </c>
      <c r="W595" s="93">
        <f t="shared" si="111"/>
        <v>151914</v>
      </c>
      <c r="X595" s="309" t="s">
        <v>2780</v>
      </c>
      <c r="Y595" s="852">
        <f t="shared" si="114"/>
        <v>0.9993092865220855</v>
      </c>
      <c r="Z595" s="42">
        <f t="shared" ca="1" si="115"/>
        <v>1</v>
      </c>
      <c r="AA595" s="43">
        <f t="shared" ca="1" si="116"/>
        <v>6.9071347791449522E-4</v>
      </c>
      <c r="AB595" s="202" t="str">
        <f t="shared" ca="1" si="117"/>
        <v/>
      </c>
      <c r="AC595" s="44" t="str">
        <f t="shared" si="119"/>
        <v>SI</v>
      </c>
      <c r="AD595" s="760" t="s">
        <v>1712</v>
      </c>
      <c r="AE595" s="173" t="s">
        <v>1256</v>
      </c>
      <c r="AF595" s="281" t="s">
        <v>2781</v>
      </c>
      <c r="AG595" s="868"/>
      <c r="AH595" s="868"/>
      <c r="AI595" s="868"/>
      <c r="AJ595" s="305" t="s">
        <v>2834</v>
      </c>
      <c r="AK595" s="181" t="str">
        <f t="shared" ca="1" si="118"/>
        <v>TERMINO</v>
      </c>
      <c r="AL595" s="310" t="s">
        <v>2726</v>
      </c>
      <c r="AM595" s="433"/>
      <c r="AN595" s="848" t="str">
        <f>IFERROR(VLOOKUP(E595,'liquidaciones '!$B$2:$C$1048576,2,0),"NO")</f>
        <v>LIQUIDADO</v>
      </c>
      <c r="AO595" s="944" t="str">
        <f>IFERROR(VLOOKUP(E595,'liquidaciones '!$B$2:$I$1048576,8,0),"")</f>
        <v>JUAN DIEGO ESPITIA</v>
      </c>
      <c r="AP595" s="433"/>
      <c r="AQ595" s="433" t="s">
        <v>390</v>
      </c>
      <c r="AR595" s="433" t="s">
        <v>1510</v>
      </c>
      <c r="AS595" s="433"/>
      <c r="AT595" s="966" t="s">
        <v>3947</v>
      </c>
      <c r="AU595" s="964"/>
      <c r="AV595" s="964"/>
    </row>
    <row r="596" spans="3:48" ht="112.5" x14ac:dyDescent="0.25">
      <c r="C596" s="867"/>
      <c r="D596" s="867"/>
      <c r="E596" s="868" t="s">
        <v>3768</v>
      </c>
      <c r="F596" s="441" t="s">
        <v>2070</v>
      </c>
      <c r="G596" s="893">
        <v>901140878</v>
      </c>
      <c r="H596" s="1005" t="s">
        <v>3798</v>
      </c>
      <c r="I596" s="93">
        <v>147000000</v>
      </c>
      <c r="J596" s="873" t="s">
        <v>3770</v>
      </c>
      <c r="K596" s="295">
        <v>2017</v>
      </c>
      <c r="L596" s="546">
        <v>43090</v>
      </c>
      <c r="M596" s="874">
        <v>43092</v>
      </c>
      <c r="N596" s="874">
        <v>43356</v>
      </c>
      <c r="O596" s="127">
        <f>COUNTA(Modificaciones!I582,Modificaciones!K582,Modificaciones!M582,Modificaciones!O582)</f>
        <v>1</v>
      </c>
      <c r="P596" s="128">
        <f>VLOOKUP(E596,Modificaciones!$B$7:$Q$819,16,0)</f>
        <v>28639250</v>
      </c>
      <c r="Q596" s="129">
        <f>COUNTA(Modificaciones!S596,Modificaciones!U596,Modificaciones!W596,Modificaciones!Y596)</f>
        <v>1</v>
      </c>
      <c r="R596" s="130" t="str">
        <f>IF(Modificaciones!Z596=0,"",VLOOKUP(E596,Modificaciones!$B$7:$AA$1419,25,0))</f>
        <v>46 días calendario</v>
      </c>
      <c r="S596" s="131">
        <f>IF(Modificaciones!AA596=0,"",VLOOKUP(E596,Modificaciones!$B$7:$AA$1419,26,0))</f>
        <v>43402</v>
      </c>
      <c r="T596" s="855">
        <f t="shared" si="112"/>
        <v>43402</v>
      </c>
      <c r="U596" s="62">
        <f t="shared" si="113"/>
        <v>175639250</v>
      </c>
      <c r="V596" s="172">
        <f>VLOOKUP(E596,Modificaciones!$B$7:$AU$819,46,0)</f>
        <v>174865405</v>
      </c>
      <c r="W596" s="93">
        <f t="shared" si="111"/>
        <v>773845</v>
      </c>
      <c r="X596" s="309"/>
      <c r="Y596" s="852">
        <f t="shared" si="114"/>
        <v>0.99559412261211544</v>
      </c>
      <c r="Z596" s="42">
        <f t="shared" ca="1" si="115"/>
        <v>1</v>
      </c>
      <c r="AA596" s="43">
        <f t="shared" ca="1" si="116"/>
        <v>4.4058773878845603E-3</v>
      </c>
      <c r="AB596" s="202" t="str">
        <f t="shared" ca="1" si="117"/>
        <v/>
      </c>
      <c r="AC596" s="44" t="str">
        <f t="shared" si="119"/>
        <v>NO</v>
      </c>
      <c r="AD596" s="760" t="s">
        <v>1710</v>
      </c>
      <c r="AE596" s="173" t="s">
        <v>1256</v>
      </c>
      <c r="AF596" s="281" t="s">
        <v>3769</v>
      </c>
      <c r="AG596" s="868"/>
      <c r="AH596" s="281" t="s">
        <v>559</v>
      </c>
      <c r="AI596" s="868"/>
      <c r="AJ596" s="305" t="s">
        <v>2834</v>
      </c>
      <c r="AK596" s="181" t="str">
        <f t="shared" ca="1" si="118"/>
        <v>TERMINO</v>
      </c>
      <c r="AL596" s="310" t="s">
        <v>574</v>
      </c>
      <c r="AM596" s="433" t="s">
        <v>390</v>
      </c>
      <c r="AN596" s="848" t="str">
        <f>IFERROR(VLOOKUP(E596,'liquidaciones '!$B$2:$C$1048576,2,0),"NO")</f>
        <v>NO</v>
      </c>
      <c r="AO596" s="944" t="str">
        <f>IFERROR(VLOOKUP(E596,'liquidaciones '!$B$2:$I$1048576,8,0),"")</f>
        <v/>
      </c>
      <c r="AP596" s="433"/>
      <c r="AQ596" s="433" t="s">
        <v>390</v>
      </c>
      <c r="AR596" s="433" t="s">
        <v>3055</v>
      </c>
      <c r="AS596" s="433"/>
      <c r="AT596" s="966" t="s">
        <v>3947</v>
      </c>
      <c r="AU596" s="964"/>
      <c r="AV596" s="964"/>
    </row>
    <row r="597" spans="3:48" ht="30" x14ac:dyDescent="0.25">
      <c r="C597" s="867"/>
      <c r="D597" s="867"/>
      <c r="E597" s="868" t="s">
        <v>3773</v>
      </c>
      <c r="F597" s="441" t="s">
        <v>3720</v>
      </c>
      <c r="G597" s="893" t="s">
        <v>3722</v>
      </c>
      <c r="H597" s="1005" t="s">
        <v>3774</v>
      </c>
      <c r="I597" s="93">
        <v>43945784</v>
      </c>
      <c r="J597" s="873" t="s">
        <v>3775</v>
      </c>
      <c r="K597" s="295">
        <v>2017</v>
      </c>
      <c r="L597" s="546">
        <v>43090</v>
      </c>
      <c r="M597" s="874">
        <v>43090</v>
      </c>
      <c r="N597" s="874">
        <v>43137</v>
      </c>
      <c r="O597" s="127">
        <f>COUNTA(Modificaciones!I583,Modificaciones!K583,Modificaciones!M583,Modificaciones!O583)</f>
        <v>0</v>
      </c>
      <c r="P597" s="128">
        <f>VLOOKUP(E597,Modificaciones!$B$7:$Q$819,16,0)</f>
        <v>0</v>
      </c>
      <c r="Q597" s="129">
        <f>COUNTA(Modificaciones!S597,Modificaciones!U597,Modificaciones!W597,Modificaciones!Y597)</f>
        <v>0</v>
      </c>
      <c r="R597" s="130" t="str">
        <f>IF(Modificaciones!Z597=0,"",VLOOKUP(E597,Modificaciones!$B$7:$AA$500,25,0))</f>
        <v/>
      </c>
      <c r="S597" s="131" t="str">
        <f>IF(Modificaciones!AA597=0,"",VLOOKUP(E597,Modificaciones!$B$7:$AA$500,26,0))</f>
        <v/>
      </c>
      <c r="T597" s="855">
        <f t="shared" si="112"/>
        <v>43137</v>
      </c>
      <c r="U597" s="62">
        <f t="shared" si="113"/>
        <v>43945784</v>
      </c>
      <c r="V597" s="172">
        <f>VLOOKUP(E597,Modificaciones!$B$7:$AU$819,46,0)</f>
        <v>43945455</v>
      </c>
      <c r="W597" s="93">
        <f t="shared" si="111"/>
        <v>329</v>
      </c>
      <c r="X597" s="309"/>
      <c r="Y597" s="852">
        <f t="shared" si="114"/>
        <v>0.9999925135025467</v>
      </c>
      <c r="Z597" s="42">
        <f t="shared" ca="1" si="115"/>
        <v>1</v>
      </c>
      <c r="AA597" s="43">
        <f t="shared" ca="1" si="116"/>
        <v>7.4864974533017659E-6</v>
      </c>
      <c r="AB597" s="202" t="str">
        <f t="shared" ca="1" si="117"/>
        <v/>
      </c>
      <c r="AC597" s="44" t="str">
        <f t="shared" si="119"/>
        <v>SI</v>
      </c>
      <c r="AD597" s="760" t="s">
        <v>1712</v>
      </c>
      <c r="AE597" s="173" t="s">
        <v>1257</v>
      </c>
      <c r="AF597" s="281" t="s">
        <v>1991</v>
      </c>
      <c r="AG597" s="173" t="s">
        <v>1439</v>
      </c>
      <c r="AH597" s="281" t="s">
        <v>560</v>
      </c>
      <c r="AI597" s="305" t="s">
        <v>1509</v>
      </c>
      <c r="AJ597" s="305" t="s">
        <v>3802</v>
      </c>
      <c r="AK597" s="181" t="str">
        <f t="shared" ca="1" si="118"/>
        <v>TERMINO</v>
      </c>
      <c r="AL597" s="310" t="s">
        <v>2726</v>
      </c>
      <c r="AM597" s="433"/>
      <c r="AN597" s="848" t="str">
        <f>IFERROR(VLOOKUP(E597,'liquidaciones '!$B$2:$C$1048576,2,0),"NO")</f>
        <v>LIQUIDADO</v>
      </c>
      <c r="AO597" s="944" t="str">
        <f>IFERROR(VLOOKUP(E597,'liquidaciones '!$B$2:$I$1048576,8,0),"")</f>
        <v>JUAN DIEGO ESPITIA</v>
      </c>
      <c r="AP597" s="433"/>
      <c r="AQ597" s="433" t="s">
        <v>390</v>
      </c>
      <c r="AR597" s="177" t="s">
        <v>3518</v>
      </c>
      <c r="AS597" s="433" t="s">
        <v>3785</v>
      </c>
      <c r="AT597" s="966" t="s">
        <v>560</v>
      </c>
      <c r="AU597" s="964"/>
      <c r="AV597" s="964"/>
    </row>
    <row r="598" spans="3:48" ht="168.75" x14ac:dyDescent="0.25">
      <c r="C598" s="867"/>
      <c r="D598" s="867"/>
      <c r="E598" s="868" t="s">
        <v>3776</v>
      </c>
      <c r="F598" s="441" t="s">
        <v>3777</v>
      </c>
      <c r="G598" s="893">
        <v>9002546914</v>
      </c>
      <c r="H598" s="1005" t="s">
        <v>3796</v>
      </c>
      <c r="I598" s="93">
        <v>474509835</v>
      </c>
      <c r="J598" s="873" t="s">
        <v>3809</v>
      </c>
      <c r="K598" s="295">
        <v>2017</v>
      </c>
      <c r="L598" s="546">
        <v>43096</v>
      </c>
      <c r="M598" s="874">
        <v>43104</v>
      </c>
      <c r="N598" s="874">
        <v>43468</v>
      </c>
      <c r="O598" s="127">
        <f>COUNTA(Modificaciones!I584,Modificaciones!K584,Modificaciones!M584,Modificaciones!O584)</f>
        <v>0</v>
      </c>
      <c r="P598" s="128">
        <f>VLOOKUP(E598,Modificaciones!$B$7:$Q$819,16,0)</f>
        <v>0</v>
      </c>
      <c r="Q598" s="129">
        <f>COUNTA(Modificaciones!S598,Modificaciones!U598,Modificaciones!W598,Modificaciones!Y598)</f>
        <v>0</v>
      </c>
      <c r="R598" s="130" t="str">
        <f>IF(Modificaciones!Z598=0,"",VLOOKUP(E598,Modificaciones!$B$7:$AA$500,25,0))</f>
        <v/>
      </c>
      <c r="S598" s="131" t="str">
        <f>IF(Modificaciones!AA598=0,"",VLOOKUP(E598,Modificaciones!$B$7:$AA$500,26,0))</f>
        <v/>
      </c>
      <c r="T598" s="855">
        <f t="shared" si="112"/>
        <v>43468</v>
      </c>
      <c r="U598" s="62">
        <f t="shared" si="113"/>
        <v>474509835</v>
      </c>
      <c r="V598" s="172">
        <f>VLOOKUP(E598,Modificaciones!$B$7:$AU$819,46,0)</f>
        <v>474509835</v>
      </c>
      <c r="W598" s="93">
        <f t="shared" si="111"/>
        <v>0</v>
      </c>
      <c r="X598" s="314" t="s">
        <v>3778</v>
      </c>
      <c r="Y598" s="852">
        <f t="shared" si="114"/>
        <v>1</v>
      </c>
      <c r="Z598" s="42">
        <f t="shared" ca="1" si="115"/>
        <v>1</v>
      </c>
      <c r="AA598" s="43">
        <f t="shared" ca="1" si="116"/>
        <v>0</v>
      </c>
      <c r="AB598" s="202" t="str">
        <f t="shared" ca="1" si="117"/>
        <v/>
      </c>
      <c r="AC598" s="44" t="str">
        <f t="shared" si="119"/>
        <v>SI</v>
      </c>
      <c r="AD598" s="868"/>
      <c r="AE598" s="871"/>
      <c r="AF598" s="871"/>
      <c r="AG598" s="868"/>
      <c r="AH598" s="868"/>
      <c r="AI598" s="868"/>
      <c r="AJ598" s="305" t="s">
        <v>3802</v>
      </c>
      <c r="AK598" s="181" t="str">
        <f t="shared" ca="1" si="118"/>
        <v>TERMINO</v>
      </c>
      <c r="AL598" s="441"/>
      <c r="AM598" s="433"/>
      <c r="AN598" s="848" t="str">
        <f>IFERROR(VLOOKUP(E598,'liquidaciones '!$B$2:$C$1048576,2,0),"NO")</f>
        <v>EN TRÁMITE</v>
      </c>
      <c r="AO598" s="944" t="str">
        <f>IFERROR(VLOOKUP(E598,'liquidaciones '!$B$2:$I$1048576,8,0),"")</f>
        <v>JUAN DIEGO ESPITIA</v>
      </c>
      <c r="AP598" s="433"/>
      <c r="AQ598" s="433" t="s">
        <v>390</v>
      </c>
      <c r="AR598" s="967" t="s">
        <v>4219</v>
      </c>
      <c r="AS598" s="433" t="s">
        <v>3785</v>
      </c>
      <c r="AT598" s="966" t="s">
        <v>560</v>
      </c>
      <c r="AU598" s="964"/>
      <c r="AV598" s="964"/>
    </row>
    <row r="599" spans="3:48" ht="135" x14ac:dyDescent="0.25">
      <c r="C599" s="867"/>
      <c r="D599" s="867"/>
      <c r="E599" s="868" t="s">
        <v>3779</v>
      </c>
      <c r="F599" s="441" t="s">
        <v>3797</v>
      </c>
      <c r="G599" s="893" t="s">
        <v>3792</v>
      </c>
      <c r="H599" s="1005" t="s">
        <v>3793</v>
      </c>
      <c r="I599" s="93">
        <v>259718863</v>
      </c>
      <c r="J599" s="873" t="s">
        <v>3806</v>
      </c>
      <c r="K599" s="295">
        <v>2017</v>
      </c>
      <c r="L599" s="546">
        <v>43097</v>
      </c>
      <c r="M599" s="874">
        <v>43116</v>
      </c>
      <c r="N599" s="874">
        <v>43235</v>
      </c>
      <c r="O599" s="127">
        <f>COUNTA(Modificaciones!I585,Modificaciones!K585,Modificaciones!M585,Modificaciones!O585)</f>
        <v>0</v>
      </c>
      <c r="P599" s="128">
        <f>VLOOKUP(E599,Modificaciones!$B$7:$Q$819,16,0)</f>
        <v>97171827</v>
      </c>
      <c r="Q599" s="129">
        <f>COUNTA(Modificaciones!S599,Modificaciones!U599,Modificaciones!W599,Modificaciones!Y599)</f>
        <v>1</v>
      </c>
      <c r="R599" s="130" t="str">
        <f>IF(Modificaciones!Z599=0,"",VLOOKUP(E599,Modificaciones!$B$7:$AA$1419,25,0))</f>
        <v>2 meses</v>
      </c>
      <c r="S599" s="131">
        <f>IF(Modificaciones!AA599=0,"",VLOOKUP(E599,Modificaciones!$B$7:$AA$1419,26,0))</f>
        <v>43296</v>
      </c>
      <c r="T599" s="855">
        <f t="shared" si="112"/>
        <v>43296</v>
      </c>
      <c r="U599" s="62">
        <f t="shared" si="113"/>
        <v>356890690</v>
      </c>
      <c r="V599" s="172">
        <f>VLOOKUP(E599,Modificaciones!$B$7:$AU$819,46,0)</f>
        <v>356890690</v>
      </c>
      <c r="W599" s="93">
        <f t="shared" si="111"/>
        <v>0</v>
      </c>
      <c r="X599" s="314" t="s">
        <v>3794</v>
      </c>
      <c r="Y599" s="852">
        <f t="shared" si="114"/>
        <v>1</v>
      </c>
      <c r="Z599" s="42">
        <f t="shared" ca="1" si="115"/>
        <v>1</v>
      </c>
      <c r="AA599" s="43">
        <f t="shared" ca="1" si="116"/>
        <v>0</v>
      </c>
      <c r="AB599" s="202" t="str">
        <f t="shared" ca="1" si="117"/>
        <v/>
      </c>
      <c r="AC599" s="44" t="str">
        <f t="shared" si="119"/>
        <v>SI</v>
      </c>
      <c r="AD599" s="868" t="s">
        <v>1717</v>
      </c>
      <c r="AE599" s="871" t="s">
        <v>1256</v>
      </c>
      <c r="AF599" s="871" t="s">
        <v>3795</v>
      </c>
      <c r="AG599" s="868"/>
      <c r="AH599" s="281" t="s">
        <v>559</v>
      </c>
      <c r="AI599" s="868"/>
      <c r="AJ599" s="305" t="s">
        <v>2834</v>
      </c>
      <c r="AK599" s="181" t="str">
        <f t="shared" ca="1" si="118"/>
        <v>TERMINO</v>
      </c>
      <c r="AL599" s="310" t="s">
        <v>574</v>
      </c>
      <c r="AM599" s="433" t="s">
        <v>390</v>
      </c>
      <c r="AN599" s="848" t="str">
        <f>IFERROR(VLOOKUP(E599,'liquidaciones '!$B$2:$C$1048576,2,0),"NO")</f>
        <v>LIQUIDADO</v>
      </c>
      <c r="AO599" s="944" t="str">
        <f>IFERROR(VLOOKUP(E599,'liquidaciones '!$B$2:$I$1048576,8,0),"")</f>
        <v>JUAN DIEGO ESPITIA</v>
      </c>
      <c r="AP599" s="433"/>
      <c r="AQ599" s="433" t="s">
        <v>390</v>
      </c>
      <c r="AR599" s="967" t="s">
        <v>3570</v>
      </c>
      <c r="AS599" s="433"/>
      <c r="AT599" s="966" t="s">
        <v>3947</v>
      </c>
      <c r="AU599" s="964"/>
      <c r="AV599" s="964"/>
    </row>
    <row r="600" spans="3:48" ht="56.25" x14ac:dyDescent="0.25">
      <c r="C600" s="867">
        <v>221</v>
      </c>
      <c r="D600" s="867"/>
      <c r="E600" s="868" t="s">
        <v>3799</v>
      </c>
      <c r="F600" s="441" t="s">
        <v>3800</v>
      </c>
      <c r="G600" s="893" t="s">
        <v>3801</v>
      </c>
      <c r="H600" s="1005" t="s">
        <v>3807</v>
      </c>
      <c r="I600" s="93">
        <v>223899975</v>
      </c>
      <c r="J600" s="873" t="s">
        <v>3808</v>
      </c>
      <c r="K600" s="295">
        <v>2017</v>
      </c>
      <c r="L600" s="546">
        <v>43098</v>
      </c>
      <c r="M600" s="874">
        <v>43112</v>
      </c>
      <c r="N600" s="874">
        <v>43201</v>
      </c>
      <c r="O600" s="127">
        <f>COUNTA(Modificaciones!I586,Modificaciones!K586,Modificaciones!M586,Modificaciones!O586)</f>
        <v>0</v>
      </c>
      <c r="P600" s="128">
        <f>VLOOKUP(E600,Modificaciones!$B$7:$Q$819,16,0)</f>
        <v>0</v>
      </c>
      <c r="Q600" s="129">
        <f>COUNTA(Modificaciones!S600,Modificaciones!U600,Modificaciones!W600,Modificaciones!Y600)</f>
        <v>0</v>
      </c>
      <c r="R600" s="130" t="str">
        <f>IF(Modificaciones!Z600=0,"",VLOOKUP(E600,Modificaciones!$B$7:$AA$500,25,0))</f>
        <v/>
      </c>
      <c r="S600" s="131" t="str">
        <f>IF(Modificaciones!AA600=0,"",VLOOKUP(E600,Modificaciones!$B$7:$AA$500,26,0))</f>
        <v/>
      </c>
      <c r="T600" s="855">
        <f t="shared" si="112"/>
        <v>43201</v>
      </c>
      <c r="U600" s="62">
        <f t="shared" si="113"/>
        <v>223899975</v>
      </c>
      <c r="V600" s="172">
        <f>VLOOKUP(E600,Modificaciones!$B$7:$AU$819,46,0)</f>
        <v>223899974</v>
      </c>
      <c r="W600" s="93">
        <f t="shared" si="111"/>
        <v>1</v>
      </c>
      <c r="X600" s="309" t="s">
        <v>1895</v>
      </c>
      <c r="Y600" s="852">
        <f t="shared" si="114"/>
        <v>0.99999999553371988</v>
      </c>
      <c r="Z600" s="42">
        <f t="shared" ca="1" si="115"/>
        <v>1</v>
      </c>
      <c r="AA600" s="43">
        <f t="shared" ca="1" si="116"/>
        <v>4.4662801235162419E-9</v>
      </c>
      <c r="AB600" s="202" t="str">
        <f t="shared" ca="1" si="117"/>
        <v/>
      </c>
      <c r="AC600" s="44" t="str">
        <f t="shared" si="119"/>
        <v>SI</v>
      </c>
      <c r="AD600" s="868"/>
      <c r="AE600" s="173" t="s">
        <v>1257</v>
      </c>
      <c r="AF600" s="301" t="s">
        <v>1176</v>
      </c>
      <c r="AG600" s="173" t="s">
        <v>1439</v>
      </c>
      <c r="AH600" s="281" t="s">
        <v>560</v>
      </c>
      <c r="AI600" s="174" t="s">
        <v>1509</v>
      </c>
      <c r="AJ600" s="305" t="s">
        <v>3802</v>
      </c>
      <c r="AK600" s="181" t="str">
        <f t="shared" ca="1" si="118"/>
        <v>TERMINO</v>
      </c>
      <c r="AL600" s="441"/>
      <c r="AM600" s="433" t="s">
        <v>390</v>
      </c>
      <c r="AN600" s="848" t="str">
        <f>IFERROR(VLOOKUP(E600,'liquidaciones '!$B$2:$C$1048576,2,0),"NO")</f>
        <v>LIQUIDADO</v>
      </c>
      <c r="AO600" s="944" t="str">
        <f>IFERROR(VLOOKUP(E600,'liquidaciones '!$B$2:$I$1048576,8,0),"")</f>
        <v>MANUEL ROJAS</v>
      </c>
      <c r="AP600" s="433"/>
      <c r="AQ600" s="433" t="s">
        <v>390</v>
      </c>
      <c r="AR600" s="967" t="s">
        <v>3518</v>
      </c>
      <c r="AS600" s="433" t="s">
        <v>3785</v>
      </c>
      <c r="AT600" s="966" t="s">
        <v>560</v>
      </c>
      <c r="AU600" s="964"/>
      <c r="AV600" s="964"/>
    </row>
    <row r="601" spans="3:48" ht="30" x14ac:dyDescent="0.25">
      <c r="C601" s="867">
        <v>120</v>
      </c>
      <c r="D601" s="867"/>
      <c r="E601" s="868" t="s">
        <v>3819</v>
      </c>
      <c r="F601" s="441" t="s">
        <v>3820</v>
      </c>
      <c r="G601" s="903" t="s">
        <v>3821</v>
      </c>
      <c r="H601" s="1001" t="s">
        <v>402</v>
      </c>
      <c r="I601" s="93">
        <v>344000000</v>
      </c>
      <c r="J601" s="873" t="s">
        <v>3825</v>
      </c>
      <c r="K601" s="295">
        <v>2018</v>
      </c>
      <c r="L601" s="546">
        <v>43115</v>
      </c>
      <c r="M601" s="874">
        <v>43121</v>
      </c>
      <c r="N601" s="874">
        <v>43378</v>
      </c>
      <c r="O601" s="127">
        <f>COUNTA(Modificaciones!I587,Modificaciones!K587,Modificaciones!M587,Modificaciones!O587)</f>
        <v>0</v>
      </c>
      <c r="P601" s="128">
        <f>VLOOKUP(E601,Modificaciones!$B$7:$Q$819,16,0)</f>
        <v>0</v>
      </c>
      <c r="Q601" s="129">
        <f>COUNTA(Modificaciones!S601,Modificaciones!U601,Modificaciones!W601,Modificaciones!Y601)</f>
        <v>0</v>
      </c>
      <c r="R601" s="130" t="str">
        <f>IF(Modificaciones!Z601=0,"",VLOOKUP(E601,Modificaciones!$B$7:$AA$500,25,0))</f>
        <v/>
      </c>
      <c r="S601" s="131" t="str">
        <f>IF(Modificaciones!AA601=0,"",VLOOKUP(E601,Modificaciones!$B$7:$AA$500,26,0))</f>
        <v/>
      </c>
      <c r="T601" s="855">
        <f t="shared" ref="T601:T606" si="120">MAX(N601,S601)</f>
        <v>43378</v>
      </c>
      <c r="U601" s="62">
        <f t="shared" ref="U601" si="121">I601+P601</f>
        <v>344000000</v>
      </c>
      <c r="V601" s="172">
        <f>VLOOKUP(E601,Modificaciones!$B$7:$AU$819,46,0)</f>
        <v>337991310</v>
      </c>
      <c r="W601" s="93">
        <f t="shared" ref="W601" si="122">U601-V601</f>
        <v>6008690</v>
      </c>
      <c r="X601" s="309"/>
      <c r="Y601" s="852">
        <f t="shared" ref="Y601:Y606" si="123">(V601*100%)/U601</f>
        <v>0.98253287790697674</v>
      </c>
      <c r="Z601" s="42">
        <f t="shared" ref="Z601:Z606" ca="1" si="124">IF((($F$3-M601)*100%/(T601-M601))&gt;100%,100%,(($F$3-M601)*100%/(T601-M601)))</f>
        <v>1</v>
      </c>
      <c r="AA601" s="43">
        <f t="shared" ref="AA601:AA606" ca="1" si="125">Z601-Y601</f>
        <v>1.7467122093023257E-2</v>
      </c>
      <c r="AB601" s="202" t="str">
        <f t="shared" ref="AB601:AB606" ca="1" si="126">IF(Z601&lt;100%,T601-$F$3,"")</f>
        <v/>
      </c>
      <c r="AC601" s="44" t="str">
        <f t="shared" ref="AC601:AC606" si="127">IF(Y601&lt;=99.9%,"NO","SI")</f>
        <v>NO</v>
      </c>
      <c r="AD601" s="868"/>
      <c r="AE601" s="173" t="s">
        <v>1256</v>
      </c>
      <c r="AF601" s="281" t="s">
        <v>1139</v>
      </c>
      <c r="AG601" s="173"/>
      <c r="AH601" s="281" t="s">
        <v>560</v>
      </c>
      <c r="AI601" s="305" t="s">
        <v>1319</v>
      </c>
      <c r="AJ601" s="305" t="s">
        <v>2834</v>
      </c>
      <c r="AK601" s="181" t="str">
        <f t="shared" ref="AK601:AK606" ca="1" si="128">IF(T601&gt;=$F$3,"EN EJECUCIÓN","TERMINO")</f>
        <v>TERMINO</v>
      </c>
      <c r="AL601" s="441"/>
      <c r="AM601" s="433"/>
      <c r="AN601" s="848" t="str">
        <f>IFERROR(VLOOKUP(E601,'liquidaciones '!$B$2:$C$1048576,2,0),"NO")</f>
        <v>LIQUIDADO</v>
      </c>
      <c r="AO601" s="944" t="str">
        <f>IFERROR(VLOOKUP(E601,'liquidaciones '!$B$2:$I$1048576,8,0),"")</f>
        <v>JUAN DIEGO ESPITIA</v>
      </c>
      <c r="AP601" s="433"/>
      <c r="AQ601" s="177" t="s">
        <v>390</v>
      </c>
      <c r="AR601" s="433" t="s">
        <v>1510</v>
      </c>
      <c r="AS601" s="433"/>
      <c r="AT601" s="966" t="s">
        <v>3947</v>
      </c>
      <c r="AU601" s="964"/>
      <c r="AV601" s="964"/>
    </row>
    <row r="602" spans="3:48" ht="33.75" x14ac:dyDescent="0.25">
      <c r="C602" s="867">
        <v>106</v>
      </c>
      <c r="D602" s="867"/>
      <c r="E602" s="868" t="s">
        <v>3831</v>
      </c>
      <c r="F602" s="441" t="s">
        <v>3686</v>
      </c>
      <c r="G602" s="893">
        <v>91156558</v>
      </c>
      <c r="H602" s="1005" t="s">
        <v>3832</v>
      </c>
      <c r="I602" s="93">
        <v>7300000</v>
      </c>
      <c r="J602" s="873" t="s">
        <v>3831</v>
      </c>
      <c r="K602" s="295">
        <v>2018</v>
      </c>
      <c r="L602" s="546">
        <v>43125</v>
      </c>
      <c r="M602" s="874">
        <v>43129</v>
      </c>
      <c r="N602" s="874">
        <v>43187</v>
      </c>
      <c r="O602" s="127">
        <f>COUNTA(Modificaciones!I588,Modificaciones!K588,Modificaciones!M588,Modificaciones!O588)</f>
        <v>1</v>
      </c>
      <c r="P602" s="128">
        <f>VLOOKUP(E602,Modificaciones!$B$7:$Q$1819,16,0)</f>
        <v>0</v>
      </c>
      <c r="Q602" s="129">
        <f>COUNTA(Modificaciones!S602,Modificaciones!U602,Modificaciones!W602,Modificaciones!Y602)</f>
        <v>0</v>
      </c>
      <c r="R602" s="130" t="str">
        <f>IF(Modificaciones!Z602=0,"",VLOOKUP(E602,Modificaciones!$B$7:$AA$500,25,0))</f>
        <v/>
      </c>
      <c r="S602" s="131" t="str">
        <f>IF(Modificaciones!AA602=0,"",VLOOKUP(E602,Modificaciones!$B$7:$AA$500,26,0))</f>
        <v/>
      </c>
      <c r="T602" s="855">
        <f t="shared" si="120"/>
        <v>43187</v>
      </c>
      <c r="U602" s="62">
        <f t="shared" ref="U602:U606" si="129">I602+P602</f>
        <v>7300000</v>
      </c>
      <c r="V602" s="172">
        <f>VLOOKUP(E602,Modificaciones!$B$7:$AU$819,46,0)</f>
        <v>7300000</v>
      </c>
      <c r="W602" s="93">
        <f t="shared" ref="W602:W606" si="130">U602-V602</f>
        <v>0</v>
      </c>
      <c r="X602" s="309"/>
      <c r="Y602" s="852">
        <f t="shared" si="123"/>
        <v>1</v>
      </c>
      <c r="Z602" s="42">
        <f t="shared" ca="1" si="124"/>
        <v>1</v>
      </c>
      <c r="AA602" s="43">
        <f t="shared" ca="1" si="125"/>
        <v>0</v>
      </c>
      <c r="AB602" s="202" t="str">
        <f t="shared" ca="1" si="126"/>
        <v/>
      </c>
      <c r="AC602" s="44" t="str">
        <f t="shared" si="127"/>
        <v>SI</v>
      </c>
      <c r="AD602" s="760" t="s">
        <v>1710</v>
      </c>
      <c r="AE602" s="173" t="s">
        <v>1256</v>
      </c>
      <c r="AF602" s="281" t="s">
        <v>1307</v>
      </c>
      <c r="AG602" s="868"/>
      <c r="AH602" s="868"/>
      <c r="AI602" s="868"/>
      <c r="AJ602" s="305" t="s">
        <v>2834</v>
      </c>
      <c r="AK602" s="181" t="str">
        <f t="shared" ca="1" si="128"/>
        <v>TERMINO</v>
      </c>
      <c r="AL602" s="310" t="s">
        <v>582</v>
      </c>
      <c r="AM602" s="176" t="s">
        <v>390</v>
      </c>
      <c r="AN602" s="848" t="str">
        <f>IFERROR(VLOOKUP(E602,'liquidaciones '!$B$2:$C$1048576,2,0),"NO")</f>
        <v>LIQUIDADO</v>
      </c>
      <c r="AO602" s="944" t="str">
        <f>IFERROR(VLOOKUP(E602,'liquidaciones '!$B$2:$I$1048576,8,0),"")</f>
        <v>MANUEL EDUARDO ROJAS</v>
      </c>
      <c r="AP602" s="433"/>
      <c r="AQ602" s="433" t="s">
        <v>390</v>
      </c>
      <c r="AR602" s="967" t="s">
        <v>2978</v>
      </c>
      <c r="AS602" s="433"/>
      <c r="AT602" s="966" t="s">
        <v>3947</v>
      </c>
      <c r="AU602" s="964"/>
      <c r="AV602" s="964"/>
    </row>
    <row r="603" spans="3:48" ht="33.75" x14ac:dyDescent="0.25">
      <c r="C603" s="867"/>
      <c r="D603" s="867"/>
      <c r="E603" s="868" t="s">
        <v>3833</v>
      </c>
      <c r="F603" s="441" t="s">
        <v>1031</v>
      </c>
      <c r="G603" s="893" t="s">
        <v>3834</v>
      </c>
      <c r="H603" s="1005" t="s">
        <v>3835</v>
      </c>
      <c r="I603" s="93">
        <v>4300000</v>
      </c>
      <c r="J603" s="873" t="s">
        <v>3833</v>
      </c>
      <c r="K603" s="295">
        <v>2018</v>
      </c>
      <c r="L603" s="546">
        <v>43125</v>
      </c>
      <c r="M603" s="874">
        <v>43133</v>
      </c>
      <c r="N603" s="874">
        <v>43252</v>
      </c>
      <c r="O603" s="127">
        <f>COUNTA(Modificaciones!I589,Modificaciones!K589,Modificaciones!M589,Modificaciones!O589)</f>
        <v>0</v>
      </c>
      <c r="P603" s="128">
        <f>VLOOKUP(E603,Modificaciones!$B$7:$Q$819,16,0)</f>
        <v>0</v>
      </c>
      <c r="Q603" s="129">
        <f>COUNTA(Modificaciones!S603,Modificaciones!U603,Modificaciones!W603,Modificaciones!Y603)</f>
        <v>2</v>
      </c>
      <c r="R603" s="130" t="str">
        <f>IF(Modificaciones!Z603=0,"",VLOOKUP(E603,Modificaciones!$B$7:$AA$1419,25,0))</f>
        <v>2 meses y 29 días</v>
      </c>
      <c r="S603" s="131">
        <f>IF(Modificaciones!AA603=0,"",VLOOKUP(E603,Modificaciones!$B$7:$AA$1419,26,0))</f>
        <v>43342</v>
      </c>
      <c r="T603" s="855">
        <f t="shared" si="120"/>
        <v>43342</v>
      </c>
      <c r="U603" s="62">
        <f t="shared" si="129"/>
        <v>4300000</v>
      </c>
      <c r="V603" s="172">
        <f>VLOOKUP(E603,Modificaciones!$B$7:$AU$819,46,0)</f>
        <v>4300000</v>
      </c>
      <c r="W603" s="93">
        <f t="shared" si="130"/>
        <v>0</v>
      </c>
      <c r="X603" s="309"/>
      <c r="Y603" s="852">
        <f t="shared" si="123"/>
        <v>1</v>
      </c>
      <c r="Z603" s="42">
        <f t="shared" ca="1" si="124"/>
        <v>1</v>
      </c>
      <c r="AA603" s="43">
        <f t="shared" ca="1" si="125"/>
        <v>0</v>
      </c>
      <c r="AB603" s="202" t="str">
        <f t="shared" ca="1" si="126"/>
        <v/>
      </c>
      <c r="AC603" s="44" t="str">
        <f t="shared" si="127"/>
        <v>SI</v>
      </c>
      <c r="AD603" s="868"/>
      <c r="AE603" s="173" t="s">
        <v>1256</v>
      </c>
      <c r="AF603" s="281" t="s">
        <v>1291</v>
      </c>
      <c r="AG603" s="868"/>
      <c r="AH603" s="281" t="s">
        <v>564</v>
      </c>
      <c r="AI603" s="868"/>
      <c r="AJ603" s="305" t="s">
        <v>2834</v>
      </c>
      <c r="AK603" s="181" t="str">
        <f t="shared" ca="1" si="128"/>
        <v>TERMINO</v>
      </c>
      <c r="AL603" s="310" t="s">
        <v>582</v>
      </c>
      <c r="AM603" s="433" t="s">
        <v>390</v>
      </c>
      <c r="AN603" s="848" t="str">
        <f>IFERROR(VLOOKUP(E603,'liquidaciones '!$B$2:$C$1048576,2,0),"NO")</f>
        <v>NO</v>
      </c>
      <c r="AO603" s="944" t="str">
        <f>IFERROR(VLOOKUP(E603,'liquidaciones '!$B$2:$I$1048576,8,0),"")</f>
        <v/>
      </c>
      <c r="AP603" s="433"/>
      <c r="AQ603" s="433" t="s">
        <v>390</v>
      </c>
      <c r="AR603" s="177" t="s">
        <v>2965</v>
      </c>
      <c r="AS603" s="433"/>
      <c r="AT603" s="966" t="s">
        <v>3947</v>
      </c>
      <c r="AU603" s="964"/>
      <c r="AV603" s="301" t="s">
        <v>4937</v>
      </c>
    </row>
    <row r="604" spans="3:48" ht="56.25" x14ac:dyDescent="0.25">
      <c r="C604" s="867">
        <v>116</v>
      </c>
      <c r="D604" s="867"/>
      <c r="E604" s="868" t="s">
        <v>3836</v>
      </c>
      <c r="F604" s="441" t="s">
        <v>3599</v>
      </c>
      <c r="G604" s="893">
        <v>1022949330</v>
      </c>
      <c r="H604" s="1005" t="s">
        <v>3600</v>
      </c>
      <c r="I604" s="93">
        <v>9982000</v>
      </c>
      <c r="J604" s="873" t="s">
        <v>3836</v>
      </c>
      <c r="K604" s="295">
        <v>2018</v>
      </c>
      <c r="L604" s="546">
        <v>43124</v>
      </c>
      <c r="M604" s="874">
        <v>43129</v>
      </c>
      <c r="N604" s="874">
        <v>43285</v>
      </c>
      <c r="O604" s="127">
        <f>COUNTA(Modificaciones!I590,Modificaciones!K590,Modificaciones!M590,Modificaciones!O590)</f>
        <v>0</v>
      </c>
      <c r="P604" s="128">
        <f>VLOOKUP(E604,Modificaciones!$B$7:$Q$819,16,0)</f>
        <v>0</v>
      </c>
      <c r="Q604" s="129">
        <f>COUNTA(Modificaciones!S604,Modificaciones!U604,Modificaciones!W604,Modificaciones!Y604)</f>
        <v>0</v>
      </c>
      <c r="R604" s="130" t="str">
        <f>IF(Modificaciones!Z604=0,"",VLOOKUP(E604,Modificaciones!$B$7:$AA$500,25,0))</f>
        <v/>
      </c>
      <c r="S604" s="131" t="str">
        <f>IF(Modificaciones!AA604=0,"",VLOOKUP(E604,Modificaciones!$B$7:$AA$500,26,0))</f>
        <v/>
      </c>
      <c r="T604" s="855">
        <f t="shared" si="120"/>
        <v>43285</v>
      </c>
      <c r="U604" s="62">
        <f t="shared" si="129"/>
        <v>9982000</v>
      </c>
      <c r="V604" s="172">
        <f>VLOOKUP(E604,Modificaciones!$B$7:$AU$819,46,0)</f>
        <v>9982000</v>
      </c>
      <c r="W604" s="93">
        <f t="shared" si="130"/>
        <v>0</v>
      </c>
      <c r="X604" s="309" t="s">
        <v>1967</v>
      </c>
      <c r="Y604" s="852">
        <f t="shared" si="123"/>
        <v>1</v>
      </c>
      <c r="Z604" s="42">
        <f t="shared" ca="1" si="124"/>
        <v>1</v>
      </c>
      <c r="AA604" s="43">
        <f t="shared" ca="1" si="125"/>
        <v>0</v>
      </c>
      <c r="AB604" s="202" t="str">
        <f t="shared" ca="1" si="126"/>
        <v/>
      </c>
      <c r="AC604" s="44" t="str">
        <f t="shared" si="127"/>
        <v>SI</v>
      </c>
      <c r="AD604" s="760" t="s">
        <v>2898</v>
      </c>
      <c r="AE604" s="173" t="s">
        <v>1256</v>
      </c>
      <c r="AF604" s="281" t="s">
        <v>3601</v>
      </c>
      <c r="AG604" s="868" t="s">
        <v>3602</v>
      </c>
      <c r="AH604" s="281" t="s">
        <v>560</v>
      </c>
      <c r="AI604" s="868" t="s">
        <v>3603</v>
      </c>
      <c r="AJ604" s="305" t="s">
        <v>3802</v>
      </c>
      <c r="AK604" s="181" t="str">
        <f t="shared" ca="1" si="128"/>
        <v>TERMINO</v>
      </c>
      <c r="AL604" s="310" t="s">
        <v>582</v>
      </c>
      <c r="AM604" s="433" t="s">
        <v>391</v>
      </c>
      <c r="AN604" s="848" t="str">
        <f>IFERROR(VLOOKUP(E604,'liquidaciones '!$B$2:$C$1048576,2,0),"NO")</f>
        <v>EN TRÁMITE</v>
      </c>
      <c r="AO604" s="944" t="str">
        <f>IFERROR(VLOOKUP(E604,'liquidaciones '!$B$2:$I$1048576,8,0),"")</f>
        <v>JUAN DIEGO ESPITIA</v>
      </c>
      <c r="AP604" s="433"/>
      <c r="AQ604" s="433" t="s">
        <v>390</v>
      </c>
      <c r="AR604" s="177" t="s">
        <v>3570</v>
      </c>
      <c r="AS604" s="433" t="s">
        <v>3781</v>
      </c>
      <c r="AT604" s="966" t="s">
        <v>560</v>
      </c>
      <c r="AU604" s="964"/>
      <c r="AV604" s="964"/>
    </row>
    <row r="605" spans="3:48" ht="33.75" x14ac:dyDescent="0.25">
      <c r="C605" s="867">
        <v>85</v>
      </c>
      <c r="D605" s="867"/>
      <c r="E605" s="868" t="s">
        <v>3837</v>
      </c>
      <c r="F605" s="441" t="s">
        <v>3838</v>
      </c>
      <c r="G605" s="893">
        <v>79730476</v>
      </c>
      <c r="H605" s="1003" t="s">
        <v>2908</v>
      </c>
      <c r="I605" s="93">
        <v>70452000</v>
      </c>
      <c r="J605" s="873" t="s">
        <v>3837</v>
      </c>
      <c r="K605" s="295">
        <v>2018</v>
      </c>
      <c r="L605" s="546">
        <v>43126</v>
      </c>
      <c r="M605" s="874">
        <v>43132</v>
      </c>
      <c r="N605" s="874">
        <v>43496</v>
      </c>
      <c r="O605" s="127">
        <f>COUNTA(Modificaciones!I591,Modificaciones!K591,Modificaciones!M591,Modificaciones!O591)</f>
        <v>1</v>
      </c>
      <c r="P605" s="128">
        <f>VLOOKUP(E605,Modificaciones!$B$7:$Q$819,16,0)</f>
        <v>0</v>
      </c>
      <c r="Q605" s="129">
        <f>COUNTA(Modificaciones!S605,Modificaciones!U605,Modificaciones!W605,Modificaciones!Y605)</f>
        <v>0</v>
      </c>
      <c r="R605" s="130" t="str">
        <f>IF(Modificaciones!Z605=0,"",VLOOKUP(E605,Modificaciones!$B$7:$AA$500,25,0))</f>
        <v/>
      </c>
      <c r="S605" s="131" t="str">
        <f>IF(Modificaciones!AA605=0,"",VLOOKUP(E605,Modificaciones!$B$7:$AA$500,26,0))</f>
        <v/>
      </c>
      <c r="T605" s="855">
        <f t="shared" si="120"/>
        <v>43496</v>
      </c>
      <c r="U605" s="62">
        <f t="shared" si="129"/>
        <v>70452000</v>
      </c>
      <c r="V605" s="172">
        <f>VLOOKUP(E605,Modificaciones!$B$7:$AU$819,46,0)</f>
        <v>70452000</v>
      </c>
      <c r="W605" s="93">
        <f t="shared" si="130"/>
        <v>0</v>
      </c>
      <c r="X605" s="309" t="s">
        <v>1095</v>
      </c>
      <c r="Y605" s="852">
        <f t="shared" si="123"/>
        <v>1</v>
      </c>
      <c r="Z605" s="42">
        <f t="shared" ca="1" si="124"/>
        <v>1</v>
      </c>
      <c r="AA605" s="43">
        <f t="shared" ca="1" si="125"/>
        <v>0</v>
      </c>
      <c r="AB605" s="202" t="str">
        <f t="shared" ca="1" si="126"/>
        <v/>
      </c>
      <c r="AC605" s="44" t="str">
        <f t="shared" si="127"/>
        <v>SI</v>
      </c>
      <c r="AD605" s="760" t="s">
        <v>2898</v>
      </c>
      <c r="AE605" s="173" t="s">
        <v>1256</v>
      </c>
      <c r="AF605" s="173" t="s">
        <v>2174</v>
      </c>
      <c r="AG605" s="173" t="s">
        <v>1177</v>
      </c>
      <c r="AH605" s="281" t="s">
        <v>559</v>
      </c>
      <c r="AI605" s="174"/>
      <c r="AJ605" s="305" t="s">
        <v>2834</v>
      </c>
      <c r="AK605" s="181" t="str">
        <f t="shared" ca="1" si="128"/>
        <v>TERMINO</v>
      </c>
      <c r="AL605" s="181" t="s">
        <v>582</v>
      </c>
      <c r="AM605" s="176" t="s">
        <v>391</v>
      </c>
      <c r="AN605" s="848" t="str">
        <f>IFERROR(VLOOKUP(E605,'liquidaciones '!$B$2:$C$1048576,2,0),"NO")</f>
        <v>NO</v>
      </c>
      <c r="AO605" s="944" t="str">
        <f>IFERROR(VLOOKUP(E605,'liquidaciones '!$B$2:$I$1048576,8,0),"")</f>
        <v/>
      </c>
      <c r="AP605" s="433"/>
      <c r="AQ605" s="177" t="s">
        <v>390</v>
      </c>
      <c r="AR605" s="433" t="s">
        <v>1510</v>
      </c>
      <c r="AS605" s="433"/>
      <c r="AT605" s="966" t="s">
        <v>3947</v>
      </c>
      <c r="AU605" s="964"/>
      <c r="AV605" s="964"/>
    </row>
    <row r="606" spans="3:48" ht="22.5" x14ac:dyDescent="0.25">
      <c r="C606" s="867">
        <v>58</v>
      </c>
      <c r="D606" s="867"/>
      <c r="E606" s="868" t="s">
        <v>3841</v>
      </c>
      <c r="F606" s="897" t="s">
        <v>3840</v>
      </c>
      <c r="G606" s="905">
        <v>860001022</v>
      </c>
      <c r="H606" s="1003" t="s">
        <v>2849</v>
      </c>
      <c r="I606" s="93">
        <v>1379700</v>
      </c>
      <c r="J606" s="873" t="s">
        <v>3846</v>
      </c>
      <c r="K606" s="295">
        <v>2018</v>
      </c>
      <c r="L606" s="546">
        <v>43126</v>
      </c>
      <c r="M606" s="546">
        <v>43185</v>
      </c>
      <c r="N606" s="546">
        <v>43549</v>
      </c>
      <c r="O606" s="127">
        <f>COUNTA(Modificaciones!I592,Modificaciones!K592,Modificaciones!M592,Modificaciones!O592)</f>
        <v>0</v>
      </c>
      <c r="P606" s="128">
        <f>VLOOKUP(E606,Modificaciones!$B$7:$Q$819,16,0)</f>
        <v>0</v>
      </c>
      <c r="Q606" s="129">
        <f>COUNTA(Modificaciones!S606,Modificaciones!U606,Modificaciones!W606,Modificaciones!Y606)</f>
        <v>0</v>
      </c>
      <c r="R606" s="130" t="str">
        <f>IF(Modificaciones!Z606=0,"",VLOOKUP(E606,Modificaciones!$B$7:$AA$500,25,0))</f>
        <v/>
      </c>
      <c r="S606" s="131" t="str">
        <f>IF(Modificaciones!AA606=0,"",VLOOKUP(E606,Modificaciones!$B$7:$AA$500,26,0))</f>
        <v/>
      </c>
      <c r="T606" s="855">
        <f t="shared" si="120"/>
        <v>43549</v>
      </c>
      <c r="U606" s="62">
        <f t="shared" si="129"/>
        <v>1379700</v>
      </c>
      <c r="V606" s="172">
        <f>VLOOKUP(E606,Modificaciones!$B$7:$AU$819,46,0)</f>
        <v>1379700</v>
      </c>
      <c r="W606" s="93">
        <f t="shared" si="130"/>
        <v>0</v>
      </c>
      <c r="X606" s="309" t="s">
        <v>1895</v>
      </c>
      <c r="Y606" s="852">
        <f t="shared" si="123"/>
        <v>1</v>
      </c>
      <c r="Z606" s="42">
        <f t="shared" ca="1" si="124"/>
        <v>1</v>
      </c>
      <c r="AA606" s="43">
        <f t="shared" ca="1" si="125"/>
        <v>0</v>
      </c>
      <c r="AB606" s="202" t="str">
        <f t="shared" ca="1" si="126"/>
        <v/>
      </c>
      <c r="AC606" s="44" t="str">
        <f t="shared" si="127"/>
        <v>SI</v>
      </c>
      <c r="AD606" s="433" t="s">
        <v>1710</v>
      </c>
      <c r="AE606" s="871" t="s">
        <v>1256</v>
      </c>
      <c r="AF606" s="871" t="s">
        <v>1125</v>
      </c>
      <c r="AG606" s="868"/>
      <c r="AH606" s="578" t="s">
        <v>564</v>
      </c>
      <c r="AI606" s="868"/>
      <c r="AJ606" s="305" t="s">
        <v>3805</v>
      </c>
      <c r="AK606" s="181" t="str">
        <f t="shared" ca="1" si="128"/>
        <v>TERMINO</v>
      </c>
      <c r="AL606" s="441"/>
      <c r="AM606" s="433"/>
      <c r="AN606" s="848" t="str">
        <f>IFERROR(VLOOKUP(E606,'liquidaciones '!$B$2:$C$1048576,2,0),"NO")</f>
        <v>NO</v>
      </c>
      <c r="AO606" s="944" t="str">
        <f>IFERROR(VLOOKUP(E606,'liquidaciones '!$B$2:$I$1048576,8,0),"")</f>
        <v/>
      </c>
      <c r="AP606" s="433"/>
      <c r="AQ606" s="433" t="s">
        <v>390</v>
      </c>
      <c r="AR606" s="177" t="s">
        <v>2965</v>
      </c>
      <c r="AS606" s="433"/>
      <c r="AT606" s="966" t="s">
        <v>3928</v>
      </c>
      <c r="AU606" s="964"/>
      <c r="AV606" s="301" t="s">
        <v>4684</v>
      </c>
    </row>
    <row r="607" spans="3:48" ht="45" x14ac:dyDescent="0.25">
      <c r="C607" s="867"/>
      <c r="D607" s="867"/>
      <c r="E607" s="868" t="s">
        <v>3842</v>
      </c>
      <c r="F607" s="441" t="s">
        <v>3843</v>
      </c>
      <c r="G607" s="893">
        <v>9395124</v>
      </c>
      <c r="H607" s="1005" t="s">
        <v>3844</v>
      </c>
      <c r="I607" s="93">
        <v>77000000</v>
      </c>
      <c r="J607" s="873" t="s">
        <v>3842</v>
      </c>
      <c r="K607" s="295">
        <v>2018</v>
      </c>
      <c r="L607" s="546">
        <v>43126</v>
      </c>
      <c r="M607" s="546">
        <v>43132</v>
      </c>
      <c r="N607" s="546">
        <v>43326</v>
      </c>
      <c r="O607" s="127">
        <f>COUNTA(Modificaciones!I593,Modificaciones!K593,Modificaciones!M593,Modificaciones!O593)</f>
        <v>0</v>
      </c>
      <c r="P607" s="128">
        <f>VLOOKUP(E607,Modificaciones!$B$7:$Q$819,16,0)</f>
        <v>0</v>
      </c>
      <c r="Q607" s="129">
        <f>COUNTA(Modificaciones!S607,Modificaciones!U607,Modificaciones!W607,Modificaciones!Y607)</f>
        <v>0</v>
      </c>
      <c r="R607" s="130" t="str">
        <f>IF(Modificaciones!Z607=0,"",VLOOKUP(E607,Modificaciones!$B$7:$AA$500,25,0))</f>
        <v/>
      </c>
      <c r="S607" s="131" t="str">
        <f>IF(Modificaciones!AA607=0,"",VLOOKUP(E607,Modificaciones!$B$7:$AA$500,26,0))</f>
        <v/>
      </c>
      <c r="T607" s="855">
        <f t="shared" ref="T607:T645" si="131">MAX(N607,S607)</f>
        <v>43326</v>
      </c>
      <c r="U607" s="62">
        <f t="shared" ref="U607:U645" si="132">I607+P607</f>
        <v>77000000</v>
      </c>
      <c r="V607" s="172">
        <f>VLOOKUP(E607,Modificaciones!$B$7:$AU$819,46,0)</f>
        <v>45266667</v>
      </c>
      <c r="W607" s="93">
        <f t="shared" ref="W607:W645" si="133">U607-V607</f>
        <v>31733333</v>
      </c>
      <c r="X607" s="309" t="s">
        <v>1095</v>
      </c>
      <c r="Y607" s="852">
        <f t="shared" ref="Y607:Y645" si="134">(V607*100%)/U607</f>
        <v>0.58787879220779216</v>
      </c>
      <c r="Z607" s="42">
        <f t="shared" ref="Z607:Z645" ca="1" si="135">IF((($F$3-M607)*100%/(T607-M607))&gt;100%,100%,(($F$3-M607)*100%/(T607-M607)))</f>
        <v>1</v>
      </c>
      <c r="AA607" s="43">
        <f t="shared" ref="AA607:AA645" ca="1" si="136">Z607-Y607</f>
        <v>0.41212120779220784</v>
      </c>
      <c r="AB607" s="202" t="str">
        <f t="shared" ref="AB607:AB645" ca="1" si="137">IF(Z607&lt;100%,T607-$F$3,"")</f>
        <v/>
      </c>
      <c r="AC607" s="44" t="str">
        <f t="shared" ref="AC607:AC645" si="138">IF(Y607&lt;=99.9%,"NO","SI")</f>
        <v>NO</v>
      </c>
      <c r="AD607" s="760" t="s">
        <v>2898</v>
      </c>
      <c r="AE607" s="871" t="s">
        <v>1256</v>
      </c>
      <c r="AF607" s="173" t="s">
        <v>3845</v>
      </c>
      <c r="AG607" s="868"/>
      <c r="AH607" s="281" t="s">
        <v>559</v>
      </c>
      <c r="AI607" s="868"/>
      <c r="AJ607" s="305" t="s">
        <v>2834</v>
      </c>
      <c r="AK607" s="181" t="str">
        <f t="shared" ref="AK607:AK645" ca="1" si="139">IF(T607&gt;=$F$3,"EN EJECUCIÓN","TERMINO")</f>
        <v>TERMINO</v>
      </c>
      <c r="AL607" s="181" t="s">
        <v>582</v>
      </c>
      <c r="AM607" s="176" t="s">
        <v>391</v>
      </c>
      <c r="AN607" s="848" t="str">
        <f>IFERROR(VLOOKUP(E607,'liquidaciones '!$B$2:$C$1048576,2,0),"NO")</f>
        <v>EN TRÁMITE</v>
      </c>
      <c r="AO607" s="944">
        <f>IFERROR(VLOOKUP(E607,'liquidaciones '!$B$2:$I$1048576,8,0),"")</f>
        <v>0</v>
      </c>
      <c r="AP607" s="433"/>
      <c r="AQ607" s="433" t="s">
        <v>390</v>
      </c>
      <c r="AR607" s="975" t="s">
        <v>3055</v>
      </c>
      <c r="AS607" s="433"/>
      <c r="AT607" s="966" t="s">
        <v>4188</v>
      </c>
      <c r="AU607" s="964"/>
      <c r="AV607" s="964"/>
    </row>
    <row r="608" spans="3:48" ht="56.25" x14ac:dyDescent="0.25">
      <c r="C608" s="867"/>
      <c r="D608" s="867"/>
      <c r="E608" s="868" t="s">
        <v>3854</v>
      </c>
      <c r="F608" s="441" t="s">
        <v>3581</v>
      </c>
      <c r="G608" s="893">
        <v>52733413</v>
      </c>
      <c r="H608" s="1001" t="s">
        <v>2503</v>
      </c>
      <c r="I608" s="93">
        <v>70452000</v>
      </c>
      <c r="J608" s="873" t="s">
        <v>3854</v>
      </c>
      <c r="K608" s="295">
        <v>2018</v>
      </c>
      <c r="L608" s="546">
        <v>43125</v>
      </c>
      <c r="M608" s="546">
        <v>43136</v>
      </c>
      <c r="N608" s="546">
        <v>43500</v>
      </c>
      <c r="O608" s="127">
        <f>COUNTA(Modificaciones!I594,Modificaciones!K594,Modificaciones!M594,Modificaciones!O594)</f>
        <v>0</v>
      </c>
      <c r="P608" s="128">
        <f>VLOOKUP(E608,Modificaciones!$B$7:$Q$819,16,0)</f>
        <v>0</v>
      </c>
      <c r="Q608" s="129">
        <f>COUNTA(Modificaciones!S608,Modificaciones!U608,Modificaciones!W608,Modificaciones!Y608)</f>
        <v>0</v>
      </c>
      <c r="R608" s="130" t="str">
        <f>IF(Modificaciones!Z608=0,"",VLOOKUP(E608,Modificaciones!$B$7:$AA$500,25,0))</f>
        <v/>
      </c>
      <c r="S608" s="131" t="str">
        <f>IF(Modificaciones!AA608=0,"",VLOOKUP(E608,Modificaciones!$B$7:$AA$500,26,0))</f>
        <v/>
      </c>
      <c r="T608" s="855">
        <f t="shared" si="131"/>
        <v>43500</v>
      </c>
      <c r="U608" s="62">
        <f t="shared" si="132"/>
        <v>70452000</v>
      </c>
      <c r="V608" s="172">
        <f>VLOOKUP(E608,Modificaciones!$B$7:$AU$819,46,0)</f>
        <v>70452000</v>
      </c>
      <c r="W608" s="93">
        <f t="shared" si="133"/>
        <v>0</v>
      </c>
      <c r="X608" s="309" t="s">
        <v>1967</v>
      </c>
      <c r="Y608" s="852">
        <f t="shared" si="134"/>
        <v>1</v>
      </c>
      <c r="Z608" s="42">
        <f t="shared" ca="1" si="135"/>
        <v>1</v>
      </c>
      <c r="AA608" s="43">
        <f t="shared" ca="1" si="136"/>
        <v>0</v>
      </c>
      <c r="AB608" s="202" t="str">
        <f t="shared" ca="1" si="137"/>
        <v/>
      </c>
      <c r="AC608" s="44" t="str">
        <f t="shared" si="138"/>
        <v>SI</v>
      </c>
      <c r="AD608" s="760" t="s">
        <v>2898</v>
      </c>
      <c r="AE608" s="173" t="s">
        <v>1256</v>
      </c>
      <c r="AF608" s="281" t="s">
        <v>1968</v>
      </c>
      <c r="AG608" s="173" t="s">
        <v>1429</v>
      </c>
      <c r="AH608" s="281" t="s">
        <v>563</v>
      </c>
      <c r="AI608" s="305"/>
      <c r="AJ608" s="305" t="s">
        <v>3802</v>
      </c>
      <c r="AK608" s="181" t="str">
        <f t="shared" ca="1" si="139"/>
        <v>TERMINO</v>
      </c>
      <c r="AL608" s="310" t="s">
        <v>582</v>
      </c>
      <c r="AM608" s="433" t="s">
        <v>390</v>
      </c>
      <c r="AN608" s="848" t="str">
        <f>IFERROR(VLOOKUP(E608,'liquidaciones '!$B$2:$C$1048576,2,0),"NO")</f>
        <v>NO</v>
      </c>
      <c r="AO608" s="944" t="str">
        <f>IFERROR(VLOOKUP(E608,'liquidaciones '!$B$2:$I$1048576,8,0),"")</f>
        <v/>
      </c>
      <c r="AP608" s="433"/>
      <c r="AQ608" s="433"/>
      <c r="AR608" s="177" t="s">
        <v>3055</v>
      </c>
      <c r="AS608" s="433" t="s">
        <v>3824</v>
      </c>
      <c r="AT608" s="966" t="s">
        <v>560</v>
      </c>
      <c r="AU608" s="964"/>
      <c r="AV608" s="964"/>
    </row>
    <row r="609" spans="3:48" ht="33.75" x14ac:dyDescent="0.25">
      <c r="C609" s="867"/>
      <c r="D609" s="867"/>
      <c r="E609" s="868" t="s">
        <v>3855</v>
      </c>
      <c r="F609" s="441" t="s">
        <v>3856</v>
      </c>
      <c r="G609" s="893">
        <v>80734819</v>
      </c>
      <c r="H609" s="1005" t="s">
        <v>2913</v>
      </c>
      <c r="I609" s="93">
        <v>21286908</v>
      </c>
      <c r="J609" s="873" t="s">
        <v>3855</v>
      </c>
      <c r="K609" s="295">
        <v>2018</v>
      </c>
      <c r="L609" s="546">
        <v>43126</v>
      </c>
      <c r="M609" s="546">
        <v>43132</v>
      </c>
      <c r="N609" s="546">
        <v>43312</v>
      </c>
      <c r="O609" s="127">
        <f>COUNTA(Modificaciones!I595,Modificaciones!K595,Modificaciones!M595,Modificaciones!O595)</f>
        <v>0</v>
      </c>
      <c r="P609" s="128">
        <f>VLOOKUP(E609,Modificaciones!$B$7:$Q$819,16,0)</f>
        <v>0</v>
      </c>
      <c r="Q609" s="129">
        <f>COUNTA(Modificaciones!S609,Modificaciones!U609,Modificaciones!W609,Modificaciones!Y609)</f>
        <v>0</v>
      </c>
      <c r="R609" s="130" t="str">
        <f>IF(Modificaciones!Z609=0,"",VLOOKUP(E609,Modificaciones!$B$7:$AA$500,25,0))</f>
        <v/>
      </c>
      <c r="S609" s="131" t="str">
        <f>IF(Modificaciones!AA609=0,"",VLOOKUP(E609,Modificaciones!$B$7:$AA$500,26,0))</f>
        <v/>
      </c>
      <c r="T609" s="855">
        <f t="shared" si="131"/>
        <v>43312</v>
      </c>
      <c r="U609" s="62">
        <f t="shared" si="132"/>
        <v>21286908</v>
      </c>
      <c r="V609" s="172">
        <f>VLOOKUP(E609,Modificaciones!$B$7:$AU$819,46,0)</f>
        <v>21286908</v>
      </c>
      <c r="W609" s="93">
        <f t="shared" si="133"/>
        <v>0</v>
      </c>
      <c r="X609" s="309" t="s">
        <v>1967</v>
      </c>
      <c r="Y609" s="852">
        <f t="shared" si="134"/>
        <v>1</v>
      </c>
      <c r="Z609" s="42">
        <f t="shared" ca="1" si="135"/>
        <v>1</v>
      </c>
      <c r="AA609" s="43">
        <f t="shared" ca="1" si="136"/>
        <v>0</v>
      </c>
      <c r="AB609" s="202" t="str">
        <f t="shared" ca="1" si="137"/>
        <v/>
      </c>
      <c r="AC609" s="44" t="str">
        <f t="shared" si="138"/>
        <v>SI</v>
      </c>
      <c r="AD609" s="760" t="s">
        <v>2898</v>
      </c>
      <c r="AE609" s="173" t="s">
        <v>1256</v>
      </c>
      <c r="AF609" s="173" t="s">
        <v>2178</v>
      </c>
      <c r="AG609" s="173" t="s">
        <v>1439</v>
      </c>
      <c r="AH609" s="281" t="s">
        <v>560</v>
      </c>
      <c r="AI609" s="305" t="s">
        <v>1509</v>
      </c>
      <c r="AJ609" s="305" t="s">
        <v>3802</v>
      </c>
      <c r="AK609" s="181" t="str">
        <f t="shared" ca="1" si="139"/>
        <v>TERMINO</v>
      </c>
      <c r="AL609" s="181" t="s">
        <v>582</v>
      </c>
      <c r="AM609" s="433" t="s">
        <v>391</v>
      </c>
      <c r="AN609" s="848" t="str">
        <f>IFERROR(VLOOKUP(E609,'liquidaciones '!$B$2:$C$1048576,2,0),"NO")</f>
        <v>NO</v>
      </c>
      <c r="AO609" s="944" t="str">
        <f>IFERROR(VLOOKUP(E609,'liquidaciones '!$B$2:$I$1048576,8,0),"")</f>
        <v/>
      </c>
      <c r="AP609" s="433"/>
      <c r="AQ609" s="177" t="str">
        <f ca="1">IF((TODAY()-T609&lt;900),"SI","NO")</f>
        <v>SI</v>
      </c>
      <c r="AR609" s="433" t="s">
        <v>3518</v>
      </c>
      <c r="AS609" s="433" t="s">
        <v>3785</v>
      </c>
      <c r="AT609" s="966" t="s">
        <v>560</v>
      </c>
      <c r="AU609" s="964"/>
      <c r="AV609" s="964"/>
    </row>
    <row r="610" spans="3:48" ht="45" x14ac:dyDescent="0.25">
      <c r="C610" s="867">
        <v>279</v>
      </c>
      <c r="D610" s="867"/>
      <c r="E610" s="868" t="s">
        <v>3860</v>
      </c>
      <c r="F610" s="441" t="s">
        <v>3932</v>
      </c>
      <c r="G610" s="893">
        <v>52961573</v>
      </c>
      <c r="H610" s="1005" t="s">
        <v>3861</v>
      </c>
      <c r="I610" s="93">
        <v>56100000</v>
      </c>
      <c r="J610" s="873" t="s">
        <v>3860</v>
      </c>
      <c r="K610" s="295">
        <v>2018</v>
      </c>
      <c r="L610" s="546">
        <v>43126</v>
      </c>
      <c r="M610" s="546">
        <v>43140</v>
      </c>
      <c r="N610" s="546">
        <v>43473</v>
      </c>
      <c r="O610" s="127">
        <f>COUNTA(Modificaciones!I596,Modificaciones!K596,Modificaciones!M596,Modificaciones!O596)</f>
        <v>2</v>
      </c>
      <c r="P610" s="128">
        <f>VLOOKUP(E610,Modificaciones!$B$7:$Q$819,16,0)</f>
        <v>0</v>
      </c>
      <c r="Q610" s="129">
        <f>COUNTA(Modificaciones!S610,Modificaciones!U610,Modificaciones!W610,Modificaciones!Y610)</f>
        <v>1</v>
      </c>
      <c r="R610" s="130" t="str">
        <f>IF(Modificaciones!Z610=0,"",VLOOKUP(E610,Modificaciones!$B$7:$AA$1419,25,0))</f>
        <v>45 días calendario</v>
      </c>
      <c r="S610" s="131">
        <f>IF(Modificaciones!AA610=0,"",VLOOKUP(E610,Modificaciones!$B$7:$AA$1419,26,0))</f>
        <v>43518</v>
      </c>
      <c r="T610" s="855">
        <f t="shared" si="131"/>
        <v>43518</v>
      </c>
      <c r="U610" s="62">
        <f t="shared" si="132"/>
        <v>56100000</v>
      </c>
      <c r="V610" s="172">
        <f>VLOOKUP(E610,Modificaciones!$B$7:$AU$819,46,0)</f>
        <v>55930000</v>
      </c>
      <c r="W610" s="93">
        <f t="shared" si="133"/>
        <v>170000</v>
      </c>
      <c r="X610" s="309" t="s">
        <v>1967</v>
      </c>
      <c r="Y610" s="852">
        <f t="shared" si="134"/>
        <v>0.99696969696969695</v>
      </c>
      <c r="Z610" s="42">
        <f t="shared" ca="1" si="135"/>
        <v>1</v>
      </c>
      <c r="AA610" s="43">
        <f t="shared" ca="1" si="136"/>
        <v>3.0303030303030498E-3</v>
      </c>
      <c r="AB610" s="202" t="str">
        <f t="shared" ca="1" si="137"/>
        <v/>
      </c>
      <c r="AC610" s="44" t="str">
        <f t="shared" si="138"/>
        <v>NO</v>
      </c>
      <c r="AD610" s="760" t="s">
        <v>2898</v>
      </c>
      <c r="AE610" s="173" t="s">
        <v>1256</v>
      </c>
      <c r="AF610" s="173" t="s">
        <v>3862</v>
      </c>
      <c r="AG610" s="868"/>
      <c r="AH610" s="578" t="s">
        <v>564</v>
      </c>
      <c r="AI610" s="868"/>
      <c r="AJ610" s="305" t="s">
        <v>3863</v>
      </c>
      <c r="AK610" s="181" t="str">
        <f t="shared" ca="1" si="139"/>
        <v>TERMINO</v>
      </c>
      <c r="AL610" s="181" t="s">
        <v>582</v>
      </c>
      <c r="AM610" s="433" t="s">
        <v>391</v>
      </c>
      <c r="AN610" s="848" t="str">
        <f>IFERROR(VLOOKUP(E610,'liquidaciones '!$B$2:$C$1048576,2,0),"NO")</f>
        <v>NO</v>
      </c>
      <c r="AO610" s="944" t="str">
        <f>IFERROR(VLOOKUP(E610,'liquidaciones '!$B$2:$I$1048576,8,0),"")</f>
        <v/>
      </c>
      <c r="AP610" s="433"/>
      <c r="AQ610" s="177" t="str">
        <f ca="1">IF((TODAY()-T610&lt;900),"SI","NO")</f>
        <v>SI</v>
      </c>
      <c r="AR610" s="966" t="s">
        <v>4819</v>
      </c>
      <c r="AS610" s="433"/>
      <c r="AT610" s="966" t="s">
        <v>4188</v>
      </c>
      <c r="AU610" s="964"/>
      <c r="AV610" s="964"/>
    </row>
    <row r="611" spans="3:48" ht="67.5" x14ac:dyDescent="0.25">
      <c r="C611" s="867"/>
      <c r="D611" s="867"/>
      <c r="E611" s="868" t="s">
        <v>3872</v>
      </c>
      <c r="F611" s="441" t="s">
        <v>3910</v>
      </c>
      <c r="G611" s="893">
        <v>52334577</v>
      </c>
      <c r="H611" s="1005" t="s">
        <v>4685</v>
      </c>
      <c r="I611" s="93">
        <v>49440000</v>
      </c>
      <c r="J611" s="873" t="s">
        <v>3872</v>
      </c>
      <c r="K611" s="295">
        <v>2018</v>
      </c>
      <c r="L611" s="546">
        <v>43126</v>
      </c>
      <c r="M611" s="874">
        <v>43196</v>
      </c>
      <c r="N611" s="874">
        <v>43560</v>
      </c>
      <c r="O611" s="127">
        <f>COUNTA(Modificaciones!I597,Modificaciones!K597,Modificaciones!M597,Modificaciones!O597)</f>
        <v>0</v>
      </c>
      <c r="P611" s="128">
        <f>VLOOKUP(E611,Modificaciones!$B$7:$Q$819,16,0)</f>
        <v>0</v>
      </c>
      <c r="Q611" s="129">
        <f>COUNTA(Modificaciones!S611,Modificaciones!U611,Modificaciones!W611,Modificaciones!Y611)</f>
        <v>0</v>
      </c>
      <c r="R611" s="130" t="str">
        <f>IF(Modificaciones!Z611=0,"",VLOOKUP(E611,Modificaciones!$B$7:$AA$500,25,0))</f>
        <v/>
      </c>
      <c r="S611" s="131" t="str">
        <f>IF(Modificaciones!AA611=0,"",VLOOKUP(E611,Modificaciones!$B$7:$AA$500,26,0))</f>
        <v/>
      </c>
      <c r="T611" s="855">
        <f t="shared" si="131"/>
        <v>43560</v>
      </c>
      <c r="U611" s="62">
        <f t="shared" si="132"/>
        <v>49440000</v>
      </c>
      <c r="V611" s="172">
        <f>VLOOKUP(E611,Modificaciones!$B$7:$AU$819,46,0)</f>
        <v>49440000</v>
      </c>
      <c r="W611" s="93">
        <f t="shared" si="133"/>
        <v>0</v>
      </c>
      <c r="X611" s="309" t="s">
        <v>1967</v>
      </c>
      <c r="Y611" s="852">
        <f t="shared" si="134"/>
        <v>1</v>
      </c>
      <c r="Z611" s="42">
        <f t="shared" ca="1" si="135"/>
        <v>1</v>
      </c>
      <c r="AA611" s="43">
        <f t="shared" ca="1" si="136"/>
        <v>0</v>
      </c>
      <c r="AB611" s="202" t="str">
        <f t="shared" ca="1" si="137"/>
        <v/>
      </c>
      <c r="AC611" s="44" t="str">
        <f t="shared" si="138"/>
        <v>SI</v>
      </c>
      <c r="AD611" s="760" t="s">
        <v>2898</v>
      </c>
      <c r="AE611" s="173" t="s">
        <v>1256</v>
      </c>
      <c r="AF611" s="173" t="s">
        <v>3862</v>
      </c>
      <c r="AG611" s="868"/>
      <c r="AH611" s="578" t="s">
        <v>564</v>
      </c>
      <c r="AI611" s="868"/>
      <c r="AJ611" s="305" t="s">
        <v>3805</v>
      </c>
      <c r="AK611" s="181" t="str">
        <f t="shared" ca="1" si="139"/>
        <v>TERMINO</v>
      </c>
      <c r="AL611" s="181" t="s">
        <v>582</v>
      </c>
      <c r="AM611" s="433" t="s">
        <v>391</v>
      </c>
      <c r="AN611" s="848" t="str">
        <f>IFERROR(VLOOKUP(E611,'liquidaciones '!$B$2:$C$1048576,2,0),"NO")</f>
        <v>NO</v>
      </c>
      <c r="AO611" s="944" t="str">
        <f>IFERROR(VLOOKUP(E611,'liquidaciones '!$B$2:$I$1048576,8,0),"")</f>
        <v/>
      </c>
      <c r="AP611" s="433"/>
      <c r="AQ611" s="433" t="s">
        <v>390</v>
      </c>
      <c r="AR611" s="966" t="s">
        <v>4819</v>
      </c>
      <c r="AS611" s="433"/>
      <c r="AT611" s="966" t="s">
        <v>3928</v>
      </c>
      <c r="AU611" s="964"/>
      <c r="AV611" s="301" t="s">
        <v>4721</v>
      </c>
    </row>
    <row r="612" spans="3:48" ht="30" x14ac:dyDescent="0.25">
      <c r="C612" s="867"/>
      <c r="D612" s="867"/>
      <c r="E612" s="868" t="s">
        <v>3877</v>
      </c>
      <c r="F612" s="441" t="s">
        <v>2362</v>
      </c>
      <c r="G612" s="893">
        <v>800103052</v>
      </c>
      <c r="H612" s="1005" t="s">
        <v>3878</v>
      </c>
      <c r="I612" s="93">
        <v>203714167</v>
      </c>
      <c r="J612" s="873" t="s">
        <v>3881</v>
      </c>
      <c r="K612" s="295">
        <v>2018</v>
      </c>
      <c r="L612" s="546">
        <v>43125</v>
      </c>
      <c r="M612" s="546">
        <v>43126</v>
      </c>
      <c r="N612" s="546">
        <v>43465</v>
      </c>
      <c r="O612" s="127">
        <f>COUNTA(Modificaciones!I598,Modificaciones!K598,Modificaciones!M598,Modificaciones!O598)</f>
        <v>0</v>
      </c>
      <c r="P612" s="128">
        <f>VLOOKUP(E612,Modificaciones!$B$7:$Q$819,16,0)</f>
        <v>0</v>
      </c>
      <c r="Q612" s="129">
        <f>COUNTA(Modificaciones!S612,Modificaciones!U612,Modificaciones!W612,Modificaciones!Y612)</f>
        <v>0</v>
      </c>
      <c r="R612" s="130" t="str">
        <f>IF(Modificaciones!Z612=0,"",VLOOKUP(E612,Modificaciones!$B$7:$AA$500,25,0))</f>
        <v/>
      </c>
      <c r="S612" s="131" t="str">
        <f>IF(Modificaciones!AA612=0,"",VLOOKUP(E612,Modificaciones!$B$7:$AA$500,26,0))</f>
        <v/>
      </c>
      <c r="T612" s="855">
        <f t="shared" si="131"/>
        <v>43465</v>
      </c>
      <c r="U612" s="62">
        <f t="shared" si="132"/>
        <v>203714167</v>
      </c>
      <c r="V612" s="172">
        <f>VLOOKUP(E612,Modificaciones!$B$7:$AU$819,46,0)</f>
        <v>203714167</v>
      </c>
      <c r="W612" s="93">
        <f t="shared" si="133"/>
        <v>0</v>
      </c>
      <c r="X612" s="309"/>
      <c r="Y612" s="852">
        <f t="shared" si="134"/>
        <v>1</v>
      </c>
      <c r="Z612" s="42">
        <f t="shared" ca="1" si="135"/>
        <v>1</v>
      </c>
      <c r="AA612" s="43">
        <f t="shared" ca="1" si="136"/>
        <v>0</v>
      </c>
      <c r="AB612" s="202" t="str">
        <f t="shared" ca="1" si="137"/>
        <v/>
      </c>
      <c r="AC612" s="44" t="str">
        <f t="shared" si="138"/>
        <v>SI</v>
      </c>
      <c r="AD612" s="441" t="s">
        <v>1710</v>
      </c>
      <c r="AE612" s="871" t="s">
        <v>1257</v>
      </c>
      <c r="AF612" s="871" t="s">
        <v>3879</v>
      </c>
      <c r="AG612" s="173" t="s">
        <v>1439</v>
      </c>
      <c r="AH612" s="281" t="s">
        <v>560</v>
      </c>
      <c r="AI612" s="305" t="s">
        <v>1509</v>
      </c>
      <c r="AJ612" s="305" t="s">
        <v>3880</v>
      </c>
      <c r="AK612" s="181" t="str">
        <f t="shared" ca="1" si="139"/>
        <v>TERMINO</v>
      </c>
      <c r="AL612" s="310" t="s">
        <v>2726</v>
      </c>
      <c r="AM612" s="433" t="s">
        <v>391</v>
      </c>
      <c r="AN612" s="848" t="str">
        <f>IFERROR(VLOOKUP(E612,'liquidaciones '!$B$2:$C$1048576,2,0),"NO")</f>
        <v>NO</v>
      </c>
      <c r="AO612" s="944" t="str">
        <f>IFERROR(VLOOKUP(E612,'liquidaciones '!$B$2:$I$1048576,8,0),"")</f>
        <v/>
      </c>
      <c r="AP612" s="433"/>
      <c r="AQ612" s="433" t="s">
        <v>390</v>
      </c>
      <c r="AR612" s="975" t="s">
        <v>4219</v>
      </c>
      <c r="AS612" s="433" t="s">
        <v>3785</v>
      </c>
      <c r="AT612" s="966" t="s">
        <v>560</v>
      </c>
      <c r="AU612" s="964"/>
      <c r="AV612" s="964"/>
    </row>
    <row r="613" spans="3:48" ht="22.5" x14ac:dyDescent="0.25">
      <c r="C613" s="867">
        <v>200</v>
      </c>
      <c r="D613" s="867"/>
      <c r="E613" s="868" t="s">
        <v>3887</v>
      </c>
      <c r="F613" s="864" t="s">
        <v>2773</v>
      </c>
      <c r="G613" s="907" t="s">
        <v>2774</v>
      </c>
      <c r="H613" s="1001" t="s">
        <v>2775</v>
      </c>
      <c r="I613" s="93">
        <v>426827</v>
      </c>
      <c r="J613" s="873" t="s">
        <v>3887</v>
      </c>
      <c r="K613" s="295">
        <v>2018</v>
      </c>
      <c r="L613" s="546">
        <v>43126</v>
      </c>
      <c r="M613" s="546">
        <v>43220</v>
      </c>
      <c r="N613" s="546">
        <v>43584</v>
      </c>
      <c r="O613" s="127">
        <f>COUNTA(Modificaciones!I599,Modificaciones!K599,Modificaciones!M599,Modificaciones!O599)</f>
        <v>1</v>
      </c>
      <c r="P613" s="128">
        <f>VLOOKUP(E613,Modificaciones!$B$7:$Q$819,16,0)</f>
        <v>0</v>
      </c>
      <c r="Q613" s="129">
        <f>COUNTA(Modificaciones!S613,Modificaciones!U613,Modificaciones!W613,Modificaciones!Y613)</f>
        <v>0</v>
      </c>
      <c r="R613" s="130" t="str">
        <f>IF(Modificaciones!Z613=0,"",VLOOKUP(E613,Modificaciones!$B$7:$AA$500,25,0))</f>
        <v/>
      </c>
      <c r="S613" s="131" t="str">
        <f>IF(Modificaciones!AA613=0,"",VLOOKUP(E613,Modificaciones!$B$7:$AA$500,26,0))</f>
        <v/>
      </c>
      <c r="T613" s="855">
        <f t="shared" si="131"/>
        <v>43584</v>
      </c>
      <c r="U613" s="62">
        <f t="shared" si="132"/>
        <v>426827</v>
      </c>
      <c r="V613" s="172">
        <f>VLOOKUP(E613,Modificaciones!$B$7:$AU$819,46,0)</f>
        <v>426827</v>
      </c>
      <c r="W613" s="93">
        <f t="shared" si="133"/>
        <v>0</v>
      </c>
      <c r="X613" s="309" t="s">
        <v>1895</v>
      </c>
      <c r="Y613" s="852">
        <f t="shared" si="134"/>
        <v>1</v>
      </c>
      <c r="Z613" s="42">
        <f t="shared" ca="1" si="135"/>
        <v>1</v>
      </c>
      <c r="AA613" s="43">
        <f t="shared" ca="1" si="136"/>
        <v>0</v>
      </c>
      <c r="AB613" s="202" t="str">
        <f t="shared" ca="1" si="137"/>
        <v/>
      </c>
      <c r="AC613" s="44" t="str">
        <f t="shared" si="138"/>
        <v>SI</v>
      </c>
      <c r="AD613" s="760" t="s">
        <v>1710</v>
      </c>
      <c r="AE613" s="173" t="s">
        <v>1257</v>
      </c>
      <c r="AF613" s="301" t="s">
        <v>1471</v>
      </c>
      <c r="AG613" s="173" t="s">
        <v>1439</v>
      </c>
      <c r="AH613" s="281" t="s">
        <v>560</v>
      </c>
      <c r="AI613" s="174" t="s">
        <v>1509</v>
      </c>
      <c r="AJ613" s="305" t="s">
        <v>3888</v>
      </c>
      <c r="AK613" s="181" t="str">
        <f t="shared" ca="1" si="139"/>
        <v>TERMINO</v>
      </c>
      <c r="AL613" s="310" t="s">
        <v>582</v>
      </c>
      <c r="AM613" s="176" t="s">
        <v>390</v>
      </c>
      <c r="AN613" s="848" t="str">
        <f>IFERROR(VLOOKUP(E613,'liquidaciones '!$B$2:$C$1048576,2,0),"NO")</f>
        <v>NO</v>
      </c>
      <c r="AO613" s="944" t="str">
        <f>IFERROR(VLOOKUP(E613,'liquidaciones '!$B$2:$I$1048576,8,0),"")</f>
        <v/>
      </c>
      <c r="AP613" s="433"/>
      <c r="AQ613" s="177" t="s">
        <v>390</v>
      </c>
      <c r="AR613" s="975" t="s">
        <v>4219</v>
      </c>
      <c r="AS613" s="433"/>
      <c r="AT613" s="966" t="s">
        <v>3947</v>
      </c>
      <c r="AU613" s="964"/>
      <c r="AV613" s="964"/>
    </row>
    <row r="614" spans="3:48" ht="33.75" x14ac:dyDescent="0.25">
      <c r="C614" s="867">
        <v>287</v>
      </c>
      <c r="D614" s="867"/>
      <c r="E614" s="868" t="s">
        <v>3889</v>
      </c>
      <c r="F614" s="441" t="s">
        <v>3890</v>
      </c>
      <c r="G614" s="893">
        <v>52713367</v>
      </c>
      <c r="H614" s="1005" t="s">
        <v>3891</v>
      </c>
      <c r="I614" s="93">
        <v>11634980</v>
      </c>
      <c r="J614" s="873" t="s">
        <v>3892</v>
      </c>
      <c r="K614" s="295">
        <v>2018</v>
      </c>
      <c r="L614" s="546">
        <v>43168</v>
      </c>
      <c r="M614" s="546">
        <v>43194</v>
      </c>
      <c r="N614" s="546">
        <v>43254</v>
      </c>
      <c r="O614" s="127">
        <f>COUNTA(Modificaciones!I600,Modificaciones!K600,Modificaciones!M600,Modificaciones!O600)</f>
        <v>0</v>
      </c>
      <c r="P614" s="128">
        <f>VLOOKUP(E614,Modificaciones!$B$7:$Q$819,16,0)</f>
        <v>0</v>
      </c>
      <c r="Q614" s="129">
        <f>COUNTA(Modificaciones!S614,Modificaciones!U614,Modificaciones!W614,Modificaciones!Y614)</f>
        <v>0</v>
      </c>
      <c r="R614" s="130" t="str">
        <f>IF(Modificaciones!Z614=0,"",VLOOKUP(E614,Modificaciones!$B$7:$AA$500,25,0))</f>
        <v/>
      </c>
      <c r="S614" s="131" t="str">
        <f>IF(Modificaciones!AA614=0,"",VLOOKUP(E614,Modificaciones!$B$7:$AA$500,26,0))</f>
        <v/>
      </c>
      <c r="T614" s="855">
        <f t="shared" si="131"/>
        <v>43254</v>
      </c>
      <c r="U614" s="62">
        <f t="shared" si="132"/>
        <v>11634980</v>
      </c>
      <c r="V614" s="172">
        <f>VLOOKUP(E614,Modificaciones!$B$7:$AU$819,46,0)</f>
        <v>11618540</v>
      </c>
      <c r="W614" s="93">
        <f t="shared" si="133"/>
        <v>16440</v>
      </c>
      <c r="X614" s="309" t="s">
        <v>1895</v>
      </c>
      <c r="Y614" s="852">
        <f t="shared" si="134"/>
        <v>0.99858701948778594</v>
      </c>
      <c r="Z614" s="42">
        <f t="shared" ca="1" si="135"/>
        <v>1</v>
      </c>
      <c r="AA614" s="43">
        <f t="shared" ca="1" si="136"/>
        <v>1.4129805122140571E-3</v>
      </c>
      <c r="AB614" s="202" t="str">
        <f t="shared" ca="1" si="137"/>
        <v/>
      </c>
      <c r="AC614" s="44" t="str">
        <f t="shared" si="138"/>
        <v>NO</v>
      </c>
      <c r="AD614" s="760" t="s">
        <v>1712</v>
      </c>
      <c r="AE614" s="173" t="s">
        <v>1256</v>
      </c>
      <c r="AF614" s="281" t="s">
        <v>1466</v>
      </c>
      <c r="AG614" s="173"/>
      <c r="AH614" s="281"/>
      <c r="AI614" s="305"/>
      <c r="AJ614" s="305" t="s">
        <v>3880</v>
      </c>
      <c r="AK614" s="181" t="str">
        <f t="shared" ca="1" si="139"/>
        <v>TERMINO</v>
      </c>
      <c r="AL614" s="310" t="s">
        <v>576</v>
      </c>
      <c r="AM614" s="176" t="s">
        <v>391</v>
      </c>
      <c r="AN614" s="848" t="str">
        <f>IFERROR(VLOOKUP(E614,'liquidaciones '!$B$2:$C$1048576,2,0),"NO")</f>
        <v>LIQUIDADO</v>
      </c>
      <c r="AO614" s="944" t="str">
        <f>IFERROR(VLOOKUP(E614,'liquidaciones '!$B$2:$I$1048576,8,0),"")</f>
        <v>JUAN DIEGO ESPITIA</v>
      </c>
      <c r="AP614" s="433"/>
      <c r="AQ614" s="433" t="s">
        <v>390</v>
      </c>
      <c r="AR614" s="975" t="s">
        <v>1510</v>
      </c>
      <c r="AS614" s="433" t="s">
        <v>3930</v>
      </c>
      <c r="AT614" s="966" t="s">
        <v>560</v>
      </c>
      <c r="AU614" s="964"/>
      <c r="AV614" s="301" t="s">
        <v>4803</v>
      </c>
    </row>
    <row r="615" spans="3:48" ht="179.25" customHeight="1" x14ac:dyDescent="0.25">
      <c r="C615" s="867">
        <v>5</v>
      </c>
      <c r="D615" s="867"/>
      <c r="E615" s="868" t="s">
        <v>3893</v>
      </c>
      <c r="F615" s="441" t="s">
        <v>2153</v>
      </c>
      <c r="G615" s="906" t="s">
        <v>2988</v>
      </c>
      <c r="H615" s="1003" t="s">
        <v>2868</v>
      </c>
      <c r="I615" s="93">
        <v>9705000</v>
      </c>
      <c r="J615" s="873" t="s">
        <v>3894</v>
      </c>
      <c r="K615" s="295">
        <v>2018</v>
      </c>
      <c r="L615" s="546">
        <v>43168</v>
      </c>
      <c r="M615" s="546">
        <v>43201</v>
      </c>
      <c r="N615" s="546">
        <v>43565</v>
      </c>
      <c r="O615" s="127">
        <f>COUNTA(Modificaciones!I601,Modificaciones!K601,Modificaciones!M601,Modificaciones!O601)</f>
        <v>0</v>
      </c>
      <c r="P615" s="128">
        <f>VLOOKUP(E615,Modificaciones!$B$7:$Q$819,16,0)</f>
        <v>0</v>
      </c>
      <c r="Q615" s="129">
        <f>COUNTA(Modificaciones!S615,Modificaciones!U615,Modificaciones!W615,Modificaciones!Y615)</f>
        <v>1</v>
      </c>
      <c r="R615" s="130" t="str">
        <f>IF(Modificaciones!Z615=0,"",VLOOKUP(E615,Modificaciones!$B$7:$AA$1500,25,0))</f>
        <v>2 meses</v>
      </c>
      <c r="S615" s="131">
        <f>IF(Modificaciones!AA615=0,"",VLOOKUP(E615,Modificaciones!$B$7:$AA$1500,26,0))</f>
        <v>43626</v>
      </c>
      <c r="T615" s="855">
        <f t="shared" si="131"/>
        <v>43626</v>
      </c>
      <c r="U615" s="62">
        <f t="shared" si="132"/>
        <v>9705000</v>
      </c>
      <c r="V615" s="172">
        <f>VLOOKUP(E615,Modificaciones!$B$7:$AU$819,46,0)</f>
        <v>700000</v>
      </c>
      <c r="W615" s="93">
        <f t="shared" si="133"/>
        <v>9005000</v>
      </c>
      <c r="X615" s="314" t="s">
        <v>4201</v>
      </c>
      <c r="Y615" s="852">
        <f t="shared" si="134"/>
        <v>7.2127769191138585E-2</v>
      </c>
      <c r="Z615" s="42">
        <f t="shared" ca="1" si="135"/>
        <v>1</v>
      </c>
      <c r="AA615" s="43">
        <f t="shared" ca="1" si="136"/>
        <v>0.92787223080886139</v>
      </c>
      <c r="AB615" s="202" t="str">
        <f t="shared" ca="1" si="137"/>
        <v/>
      </c>
      <c r="AC615" s="44" t="str">
        <f t="shared" si="138"/>
        <v>NO</v>
      </c>
      <c r="AD615" s="760" t="s">
        <v>2512</v>
      </c>
      <c r="AE615" s="173" t="s">
        <v>1256</v>
      </c>
      <c r="AF615" s="301" t="s">
        <v>1144</v>
      </c>
      <c r="AG615" s="173" t="s">
        <v>1442</v>
      </c>
      <c r="AH615" s="281" t="s">
        <v>560</v>
      </c>
      <c r="AI615" s="174" t="s">
        <v>1380</v>
      </c>
      <c r="AJ615" s="305" t="s">
        <v>3880</v>
      </c>
      <c r="AK615" s="181" t="str">
        <f t="shared" ca="1" si="139"/>
        <v>TERMINO</v>
      </c>
      <c r="AL615" s="310" t="s">
        <v>576</v>
      </c>
      <c r="AM615" s="433" t="s">
        <v>390</v>
      </c>
      <c r="AN615" s="848" t="str">
        <f>IFERROR(VLOOKUP(E615,'liquidaciones '!$B$2:$C$1048576,2,0),"NO")</f>
        <v>NO</v>
      </c>
      <c r="AO615" s="944" t="str">
        <f>IFERROR(VLOOKUP(E615,'liquidaciones '!$B$2:$I$1048576,8,0),"")</f>
        <v/>
      </c>
      <c r="AP615" s="433"/>
      <c r="AQ615" s="433" t="s">
        <v>390</v>
      </c>
      <c r="AR615" s="177" t="s">
        <v>4254</v>
      </c>
      <c r="AS615" s="433" t="s">
        <v>4876</v>
      </c>
      <c r="AT615" s="966" t="s">
        <v>3895</v>
      </c>
      <c r="AU615" s="301" t="s">
        <v>4875</v>
      </c>
      <c r="AV615" s="301" t="s">
        <v>4683</v>
      </c>
    </row>
    <row r="616" spans="3:48" ht="30" x14ac:dyDescent="0.25">
      <c r="C616" s="867"/>
      <c r="D616" s="867"/>
      <c r="E616" s="868" t="s">
        <v>3899</v>
      </c>
      <c r="F616" s="441" t="s">
        <v>3900</v>
      </c>
      <c r="G616" s="893" t="s">
        <v>3901</v>
      </c>
      <c r="H616" s="1005" t="s">
        <v>3902</v>
      </c>
      <c r="I616" s="93">
        <v>18899730</v>
      </c>
      <c r="J616" s="873" t="s">
        <v>3904</v>
      </c>
      <c r="K616" s="295">
        <v>2018</v>
      </c>
      <c r="L616" s="546">
        <v>43182</v>
      </c>
      <c r="M616" s="546">
        <v>43182</v>
      </c>
      <c r="N616" s="546">
        <v>43193</v>
      </c>
      <c r="O616" s="127">
        <f>COUNTA(Modificaciones!I602,Modificaciones!K602,Modificaciones!M602,Modificaciones!O602)</f>
        <v>0</v>
      </c>
      <c r="P616" s="128">
        <f>VLOOKUP(E616,Modificaciones!$B$7:$Q$819,16,0)</f>
        <v>0</v>
      </c>
      <c r="Q616" s="129">
        <f>COUNTA(Modificaciones!S616,Modificaciones!U616,Modificaciones!W616,Modificaciones!Y616)</f>
        <v>0</v>
      </c>
      <c r="R616" s="130" t="str">
        <f>IF(Modificaciones!Z616=0,"",VLOOKUP(E616,Modificaciones!$B$7:$AA$500,25,0))</f>
        <v/>
      </c>
      <c r="S616" s="131" t="str">
        <f>IF(Modificaciones!AA616=0,"",VLOOKUP(E616,Modificaciones!$B$7:$AA$500,26,0))</f>
        <v/>
      </c>
      <c r="T616" s="855">
        <f t="shared" si="131"/>
        <v>43193</v>
      </c>
      <c r="U616" s="62">
        <f t="shared" si="132"/>
        <v>18899730</v>
      </c>
      <c r="V616" s="172">
        <f>VLOOKUP(E616,Modificaciones!$B$7:$AU$819,46,0)</f>
        <v>18899730</v>
      </c>
      <c r="W616" s="93">
        <f t="shared" si="133"/>
        <v>0</v>
      </c>
      <c r="X616" s="309" t="s">
        <v>1895</v>
      </c>
      <c r="Y616" s="852">
        <f t="shared" si="134"/>
        <v>1</v>
      </c>
      <c r="Z616" s="42">
        <f t="shared" ca="1" si="135"/>
        <v>1</v>
      </c>
      <c r="AA616" s="43">
        <f t="shared" ca="1" si="136"/>
        <v>0</v>
      </c>
      <c r="AB616" s="202" t="str">
        <f t="shared" ca="1" si="137"/>
        <v/>
      </c>
      <c r="AC616" s="44" t="str">
        <f t="shared" si="138"/>
        <v>SI</v>
      </c>
      <c r="AD616" s="868"/>
      <c r="AE616" s="871"/>
      <c r="AF616" s="281" t="s">
        <v>2747</v>
      </c>
      <c r="AG616" s="868"/>
      <c r="AH616" s="868"/>
      <c r="AI616" s="868"/>
      <c r="AJ616" s="305" t="s">
        <v>3880</v>
      </c>
      <c r="AK616" s="181" t="str">
        <f t="shared" ca="1" si="139"/>
        <v>TERMINO</v>
      </c>
      <c r="AL616" s="310" t="s">
        <v>2726</v>
      </c>
      <c r="AM616" s="433"/>
      <c r="AN616" s="848" t="str">
        <f>IFERROR(VLOOKUP(E616,'liquidaciones '!$B$2:$C$1048576,2,0),"NO")</f>
        <v>LIQUIDADO</v>
      </c>
      <c r="AO616" s="944">
        <f>IFERROR(VLOOKUP(E616,'liquidaciones '!$B$2:$I$1048576,8,0),"")</f>
        <v>0</v>
      </c>
      <c r="AP616" s="433"/>
      <c r="AQ616" s="433" t="s">
        <v>390</v>
      </c>
      <c r="AR616" s="975" t="s">
        <v>3518</v>
      </c>
      <c r="AS616" s="433" t="s">
        <v>3785</v>
      </c>
      <c r="AT616" s="966" t="s">
        <v>560</v>
      </c>
      <c r="AU616" s="964"/>
      <c r="AV616" s="964"/>
    </row>
    <row r="617" spans="3:48" ht="45" x14ac:dyDescent="0.25">
      <c r="C617" s="867">
        <v>138</v>
      </c>
      <c r="D617" s="867"/>
      <c r="E617" s="868" t="s">
        <v>3925</v>
      </c>
      <c r="F617" s="441" t="s">
        <v>3926</v>
      </c>
      <c r="G617" s="893">
        <v>800000457</v>
      </c>
      <c r="H617" s="1003" t="s">
        <v>3927</v>
      </c>
      <c r="I617" s="93">
        <v>490000000</v>
      </c>
      <c r="J617" s="873" t="s">
        <v>3929</v>
      </c>
      <c r="K617" s="295">
        <v>2018</v>
      </c>
      <c r="L617" s="546">
        <v>43203</v>
      </c>
      <c r="M617" s="546">
        <v>43213</v>
      </c>
      <c r="N617" s="546">
        <v>43577</v>
      </c>
      <c r="O617" s="127">
        <f>COUNTA(Modificaciones!I603,Modificaciones!K603,Modificaciones!M603,Modificaciones!O603)</f>
        <v>0</v>
      </c>
      <c r="P617" s="128">
        <f>VLOOKUP(E617,Modificaciones!$B$7:$Q$819,16,0)</f>
        <v>122000000</v>
      </c>
      <c r="Q617" s="129">
        <f>COUNTA(Modificaciones!S617,Modificaciones!U617,Modificaciones!W617,Modificaciones!Y617)</f>
        <v>0</v>
      </c>
      <c r="R617" s="130" t="str">
        <f>IF(Modificaciones!Z617=0,"",VLOOKUP(E617,Modificaciones!$B$7:$AA$500,25,0))</f>
        <v/>
      </c>
      <c r="S617" s="131" t="str">
        <f>IF(Modificaciones!AA617=0,"",VLOOKUP(E617,Modificaciones!$B$7:$AA$500,26,0))</f>
        <v/>
      </c>
      <c r="T617" s="855">
        <f t="shared" si="131"/>
        <v>43577</v>
      </c>
      <c r="U617" s="62">
        <f t="shared" si="132"/>
        <v>612000000</v>
      </c>
      <c r="V617" s="172">
        <f>VLOOKUP(E617,Modificaciones!$B$7:$AU$819,46,0)</f>
        <v>587457315</v>
      </c>
      <c r="W617" s="93">
        <f t="shared" si="133"/>
        <v>24542685</v>
      </c>
      <c r="X617" s="309" t="s">
        <v>2841</v>
      </c>
      <c r="Y617" s="852">
        <f t="shared" si="134"/>
        <v>0.95989757352941174</v>
      </c>
      <c r="Z617" s="42">
        <f t="shared" ca="1" si="135"/>
        <v>1</v>
      </c>
      <c r="AA617" s="43">
        <f t="shared" ca="1" si="136"/>
        <v>4.0102426470588259E-2</v>
      </c>
      <c r="AB617" s="202" t="str">
        <f t="shared" ca="1" si="137"/>
        <v/>
      </c>
      <c r="AC617" s="44" t="str">
        <f t="shared" si="138"/>
        <v>NO</v>
      </c>
      <c r="AD617" s="868"/>
      <c r="AE617" s="173" t="s">
        <v>1256</v>
      </c>
      <c r="AF617" s="281" t="s">
        <v>1532</v>
      </c>
      <c r="AG617" s="173" t="s">
        <v>1430</v>
      </c>
      <c r="AH617" s="281" t="s">
        <v>564</v>
      </c>
      <c r="AI617" s="305"/>
      <c r="AJ617" s="305" t="s">
        <v>3805</v>
      </c>
      <c r="AK617" s="181" t="str">
        <f t="shared" ca="1" si="139"/>
        <v>TERMINO</v>
      </c>
      <c r="AL617" s="310" t="s">
        <v>575</v>
      </c>
      <c r="AM617" s="433" t="s">
        <v>390</v>
      </c>
      <c r="AN617" s="848" t="str">
        <f>IFERROR(VLOOKUP(E617,'liquidaciones '!$B$2:$C$1048576,2,0),"NO")</f>
        <v>NO</v>
      </c>
      <c r="AO617" s="944" t="str">
        <f>IFERROR(VLOOKUP(E617,'liquidaciones '!$B$2:$I$1048576,8,0),"")</f>
        <v/>
      </c>
      <c r="AP617" s="433"/>
      <c r="AQ617" s="177" t="s">
        <v>390</v>
      </c>
      <c r="AR617" s="966" t="s">
        <v>4819</v>
      </c>
      <c r="AS617" s="433"/>
      <c r="AT617" s="966" t="s">
        <v>3928</v>
      </c>
      <c r="AU617" s="964"/>
      <c r="AV617" s="301" t="s">
        <v>4670</v>
      </c>
    </row>
    <row r="618" spans="3:48" ht="67.5" x14ac:dyDescent="0.25">
      <c r="C618" s="867"/>
      <c r="D618" s="867"/>
      <c r="E618" s="868" t="s">
        <v>3934</v>
      </c>
      <c r="F618" s="441" t="s">
        <v>2836</v>
      </c>
      <c r="G618" s="893" t="s">
        <v>3935</v>
      </c>
      <c r="H618" s="1005" t="s">
        <v>3936</v>
      </c>
      <c r="I618" s="93">
        <v>69997918</v>
      </c>
      <c r="J618" s="873" t="s">
        <v>3938</v>
      </c>
      <c r="K618" s="295">
        <v>2018</v>
      </c>
      <c r="L618" s="546">
        <v>43201</v>
      </c>
      <c r="M618" s="546">
        <v>43214</v>
      </c>
      <c r="N618" s="546">
        <v>43578</v>
      </c>
      <c r="O618" s="127">
        <f>COUNTA(Modificaciones!I604,Modificaciones!K604,Modificaciones!M604,Modificaciones!O604)</f>
        <v>0</v>
      </c>
      <c r="P618" s="128">
        <f>VLOOKUP(E618,Modificaciones!$B$7:$Q$819,16,0)</f>
        <v>0</v>
      </c>
      <c r="Q618" s="129">
        <f>COUNTA(Modificaciones!S618,Modificaciones!U618,Modificaciones!W618,Modificaciones!Y618)</f>
        <v>0</v>
      </c>
      <c r="R618" s="130" t="str">
        <f>IF(Modificaciones!Z618=0,"",VLOOKUP(E618,Modificaciones!$B$7:$AA$500,25,0))</f>
        <v/>
      </c>
      <c r="S618" s="131" t="str">
        <f>IF(Modificaciones!AA618=0,"",VLOOKUP(E618,Modificaciones!$B$7:$AA$500,26,0))</f>
        <v/>
      </c>
      <c r="T618" s="855">
        <f t="shared" si="131"/>
        <v>43578</v>
      </c>
      <c r="U618" s="62">
        <f t="shared" si="132"/>
        <v>69997918</v>
      </c>
      <c r="V618" s="172">
        <f>VLOOKUP(E618,Modificaciones!$B$7:$AU$819,46,0)</f>
        <v>69997918</v>
      </c>
      <c r="W618" s="93">
        <f t="shared" si="133"/>
        <v>0</v>
      </c>
      <c r="X618" s="313" t="s">
        <v>3937</v>
      </c>
      <c r="Y618" s="852">
        <f t="shared" si="134"/>
        <v>1</v>
      </c>
      <c r="Z618" s="42">
        <f t="shared" ca="1" si="135"/>
        <v>1</v>
      </c>
      <c r="AA618" s="43">
        <f t="shared" ca="1" si="136"/>
        <v>0</v>
      </c>
      <c r="AB618" s="202" t="str">
        <f t="shared" ca="1" si="137"/>
        <v/>
      </c>
      <c r="AC618" s="44" t="str">
        <f t="shared" si="138"/>
        <v>SI</v>
      </c>
      <c r="AD618" s="441" t="s">
        <v>1710</v>
      </c>
      <c r="AE618" s="173" t="s">
        <v>1257</v>
      </c>
      <c r="AF618" s="281" t="s">
        <v>1467</v>
      </c>
      <c r="AG618" s="173" t="s">
        <v>1439</v>
      </c>
      <c r="AH618" s="281" t="s">
        <v>560</v>
      </c>
      <c r="AI618" s="305" t="s">
        <v>1509</v>
      </c>
      <c r="AJ618" s="305" t="s">
        <v>3880</v>
      </c>
      <c r="AK618" s="181" t="str">
        <f t="shared" ca="1" si="139"/>
        <v>TERMINO</v>
      </c>
      <c r="AL618" s="310" t="s">
        <v>576</v>
      </c>
      <c r="AM618" s="176" t="s">
        <v>390</v>
      </c>
      <c r="AN618" s="848" t="str">
        <f>IFERROR(VLOOKUP(E618,'liquidaciones '!$B$2:$C$1048576,2,0),"NO")</f>
        <v>NO</v>
      </c>
      <c r="AO618" s="944" t="str">
        <f>IFERROR(VLOOKUP(E618,'liquidaciones '!$B$2:$I$1048576,8,0),"")</f>
        <v/>
      </c>
      <c r="AP618" s="433"/>
      <c r="AQ618" s="177" t="s">
        <v>390</v>
      </c>
      <c r="AR618" s="433" t="s">
        <v>4219</v>
      </c>
      <c r="AS618" s="433" t="s">
        <v>3785</v>
      </c>
      <c r="AT618" s="966" t="s">
        <v>3895</v>
      </c>
      <c r="AU618" s="964"/>
      <c r="AV618" s="301" t="s">
        <v>4795</v>
      </c>
    </row>
    <row r="619" spans="3:48" ht="30" x14ac:dyDescent="0.25">
      <c r="C619" s="438">
        <v>176</v>
      </c>
      <c r="D619" s="867"/>
      <c r="E619" s="868" t="s">
        <v>3940</v>
      </c>
      <c r="F619" s="441" t="s">
        <v>3939</v>
      </c>
      <c r="G619" s="893">
        <v>830073623</v>
      </c>
      <c r="H619" s="1005" t="s">
        <v>2985</v>
      </c>
      <c r="I619" s="93">
        <v>26614000</v>
      </c>
      <c r="J619" s="873" t="s">
        <v>3941</v>
      </c>
      <c r="K619" s="295">
        <v>2018</v>
      </c>
      <c r="L619" s="546">
        <v>43215</v>
      </c>
      <c r="M619" s="546">
        <v>43227</v>
      </c>
      <c r="N619" s="546">
        <v>43287</v>
      </c>
      <c r="O619" s="127">
        <f>COUNTA(Modificaciones!I605,Modificaciones!K605,Modificaciones!M605,Modificaciones!O605)</f>
        <v>0</v>
      </c>
      <c r="P619" s="128">
        <f>VLOOKUP(E619,Modificaciones!$B$7:$Q$819,16,0)</f>
        <v>0</v>
      </c>
      <c r="Q619" s="129">
        <f>COUNTA(Modificaciones!S619,Modificaciones!U619,Modificaciones!W619,Modificaciones!Y619)</f>
        <v>0</v>
      </c>
      <c r="R619" s="130" t="str">
        <f>IF(Modificaciones!Z619=0,"",VLOOKUP(E619,Modificaciones!$B$7:$AA$500,25,0))</f>
        <v/>
      </c>
      <c r="S619" s="131" t="str">
        <f>IF(Modificaciones!AA619=0,"",VLOOKUP(E619,Modificaciones!$B$7:$AA$500,26,0))</f>
        <v/>
      </c>
      <c r="T619" s="855">
        <f t="shared" si="131"/>
        <v>43287</v>
      </c>
      <c r="U619" s="62">
        <f t="shared" si="132"/>
        <v>26614000</v>
      </c>
      <c r="V619" s="172">
        <f>VLOOKUP(E619,Modificaciones!$B$7:$AU$819,46,0)</f>
        <v>26614000</v>
      </c>
      <c r="W619" s="93">
        <f t="shared" si="133"/>
        <v>0</v>
      </c>
      <c r="X619" s="309" t="s">
        <v>1820</v>
      </c>
      <c r="Y619" s="852">
        <f t="shared" si="134"/>
        <v>1</v>
      </c>
      <c r="Z619" s="42">
        <f t="shared" ca="1" si="135"/>
        <v>1</v>
      </c>
      <c r="AA619" s="43">
        <f t="shared" ca="1" si="136"/>
        <v>0</v>
      </c>
      <c r="AB619" s="202" t="str">
        <f t="shared" ca="1" si="137"/>
        <v/>
      </c>
      <c r="AC619" s="44" t="str">
        <f t="shared" si="138"/>
        <v>SI</v>
      </c>
      <c r="AD619" s="760" t="s">
        <v>1712</v>
      </c>
      <c r="AE619" s="173" t="s">
        <v>1257</v>
      </c>
      <c r="AF619" s="281" t="s">
        <v>1311</v>
      </c>
      <c r="AG619" s="173" t="s">
        <v>1439</v>
      </c>
      <c r="AH619" s="281" t="s">
        <v>560</v>
      </c>
      <c r="AI619" s="305" t="s">
        <v>1509</v>
      </c>
      <c r="AJ619" s="305" t="s">
        <v>3880</v>
      </c>
      <c r="AK619" s="181" t="str">
        <f t="shared" ca="1" si="139"/>
        <v>TERMINO</v>
      </c>
      <c r="AL619" s="310" t="s">
        <v>576</v>
      </c>
      <c r="AM619" s="176" t="s">
        <v>391</v>
      </c>
      <c r="AN619" s="848" t="str">
        <f>IFERROR(VLOOKUP(E619,'liquidaciones '!$B$2:$C$1048576,2,0),"NO")</f>
        <v>EN TRÁMITE</v>
      </c>
      <c r="AO619" s="944" t="str">
        <f>IFERROR(VLOOKUP(E619,'liquidaciones '!$B$2:$I$1048576,8,0),"")</f>
        <v>JUAN DIEGO ESPITIA</v>
      </c>
      <c r="AP619" s="433"/>
      <c r="AQ619" s="433" t="s">
        <v>390</v>
      </c>
      <c r="AR619" s="433" t="s">
        <v>3518</v>
      </c>
      <c r="AS619" s="433" t="s">
        <v>3785</v>
      </c>
      <c r="AT619" s="966" t="s">
        <v>560</v>
      </c>
      <c r="AU619" s="964"/>
      <c r="AV619" s="301" t="s">
        <v>4720</v>
      </c>
    </row>
    <row r="620" spans="3:48" ht="30" x14ac:dyDescent="0.25">
      <c r="C620" s="896">
        <v>30</v>
      </c>
      <c r="D620" s="867"/>
      <c r="E620" s="868" t="s">
        <v>3942</v>
      </c>
      <c r="F620" s="441" t="s">
        <v>3943</v>
      </c>
      <c r="G620" s="893">
        <v>900693270</v>
      </c>
      <c r="H620" s="1005" t="s">
        <v>3944</v>
      </c>
      <c r="I620" s="93">
        <v>35650000</v>
      </c>
      <c r="J620" s="873" t="s">
        <v>3946</v>
      </c>
      <c r="K620" s="295">
        <v>2018</v>
      </c>
      <c r="L620" s="546">
        <v>43194</v>
      </c>
      <c r="M620" s="546">
        <v>43217</v>
      </c>
      <c r="N620" s="546">
        <v>43581</v>
      </c>
      <c r="O620" s="127">
        <f>COUNTA(Modificaciones!I606,Modificaciones!K606,Modificaciones!M606,Modificaciones!O606)</f>
        <v>0</v>
      </c>
      <c r="P620" s="128">
        <f>VLOOKUP(E620,Modificaciones!$B$7:$Q$819,16,0)</f>
        <v>0</v>
      </c>
      <c r="Q620" s="129">
        <f>COUNTA(Modificaciones!S620,Modificaciones!U620,Modificaciones!W620,Modificaciones!Y620)</f>
        <v>0</v>
      </c>
      <c r="R620" s="130" t="str">
        <f>IF(Modificaciones!Z620=0,"",VLOOKUP(E620,Modificaciones!$B$7:$AA$500,25,0))</f>
        <v/>
      </c>
      <c r="S620" s="131" t="str">
        <f>IF(Modificaciones!AA620=0,"",VLOOKUP(E620,Modificaciones!$B$7:$AA$500,26,0))</f>
        <v/>
      </c>
      <c r="T620" s="855">
        <f t="shared" si="131"/>
        <v>43581</v>
      </c>
      <c r="U620" s="62">
        <f t="shared" si="132"/>
        <v>35650000</v>
      </c>
      <c r="V620" s="172">
        <f>VLOOKUP(E620,Modificaciones!$B$7:$AU$819,46,0)</f>
        <v>8434702</v>
      </c>
      <c r="W620" s="93">
        <f t="shared" si="133"/>
        <v>27215298</v>
      </c>
      <c r="X620" s="309" t="s">
        <v>1095</v>
      </c>
      <c r="Y620" s="852">
        <f t="shared" si="134"/>
        <v>0.23659753155680224</v>
      </c>
      <c r="Z620" s="42">
        <f t="shared" ca="1" si="135"/>
        <v>1</v>
      </c>
      <c r="AA620" s="43">
        <f t="shared" ca="1" si="136"/>
        <v>0.7634024684431977</v>
      </c>
      <c r="AB620" s="202" t="str">
        <f t="shared" ca="1" si="137"/>
        <v/>
      </c>
      <c r="AC620" s="44" t="str">
        <f t="shared" si="138"/>
        <v>NO</v>
      </c>
      <c r="AD620" s="760" t="s">
        <v>1710</v>
      </c>
      <c r="AE620" s="173" t="s">
        <v>1256</v>
      </c>
      <c r="AF620" s="281" t="s">
        <v>1126</v>
      </c>
      <c r="AG620" s="173" t="s">
        <v>1442</v>
      </c>
      <c r="AH620" s="281" t="s">
        <v>560</v>
      </c>
      <c r="AI620" s="174" t="s">
        <v>1319</v>
      </c>
      <c r="AJ620" s="305" t="s">
        <v>2834</v>
      </c>
      <c r="AK620" s="181" t="str">
        <f t="shared" ca="1" si="139"/>
        <v>TERMINO</v>
      </c>
      <c r="AL620" s="310" t="s">
        <v>576</v>
      </c>
      <c r="AM620" s="176" t="s">
        <v>390</v>
      </c>
      <c r="AN620" s="848" t="str">
        <f>IFERROR(VLOOKUP(E620,'liquidaciones '!$B$2:$C$1048576,2,0),"NO")</f>
        <v>NO</v>
      </c>
      <c r="AO620" s="944" t="str">
        <f>IFERROR(VLOOKUP(E620,'liquidaciones '!$B$2:$I$1048576,8,0),"")</f>
        <v/>
      </c>
      <c r="AP620" s="433"/>
      <c r="AQ620" s="177" t="s">
        <v>3945</v>
      </c>
      <c r="AR620" s="433" t="s">
        <v>4309</v>
      </c>
      <c r="AS620" s="433" t="s">
        <v>4586</v>
      </c>
      <c r="AT620" s="966" t="s">
        <v>560</v>
      </c>
      <c r="AU620" s="964"/>
      <c r="AV620" s="301" t="s">
        <v>4801</v>
      </c>
    </row>
    <row r="621" spans="3:48" ht="67.5" x14ac:dyDescent="0.25">
      <c r="C621" s="867"/>
      <c r="D621" s="867"/>
      <c r="E621" s="868" t="s">
        <v>3951</v>
      </c>
      <c r="F621" s="441" t="s">
        <v>3952</v>
      </c>
      <c r="G621" s="893">
        <v>900424713</v>
      </c>
      <c r="H621" s="1005" t="s">
        <v>3954</v>
      </c>
      <c r="I621" s="93">
        <v>55000000</v>
      </c>
      <c r="J621" s="873" t="s">
        <v>3953</v>
      </c>
      <c r="K621" s="295">
        <v>2018</v>
      </c>
      <c r="L621" s="546">
        <v>43220</v>
      </c>
      <c r="M621" s="546">
        <v>43227</v>
      </c>
      <c r="N621" s="546">
        <v>43287</v>
      </c>
      <c r="O621" s="127">
        <f>COUNTA(Modificaciones!I607,Modificaciones!K607,Modificaciones!M607,Modificaciones!O607)</f>
        <v>0</v>
      </c>
      <c r="P621" s="128">
        <f>VLOOKUP(E621,Modificaciones!$B$7:$Q$819,16,0)</f>
        <v>0</v>
      </c>
      <c r="Q621" s="129">
        <f>COUNTA(Modificaciones!S621,Modificaciones!U621,Modificaciones!W621,Modificaciones!Y621)</f>
        <v>1</v>
      </c>
      <c r="R621" s="130" t="str">
        <f>IF(Modificaciones!Z621=0,"",VLOOKUP(E621,Modificaciones!$B$7:$AA$1419,25,0))</f>
        <v>1 mes y 4 días</v>
      </c>
      <c r="S621" s="131">
        <f>IF(Modificaciones!AA621=0,"",VLOOKUP(E621,Modificaciones!$B$7:$AA$1419,26,0))</f>
        <v>43322</v>
      </c>
      <c r="T621" s="855">
        <f t="shared" si="131"/>
        <v>43322</v>
      </c>
      <c r="U621" s="62">
        <f t="shared" si="132"/>
        <v>55000000</v>
      </c>
      <c r="V621" s="172">
        <f>VLOOKUP(E621,Modificaciones!$B$7:$AU$819,46,0)</f>
        <v>37200300</v>
      </c>
      <c r="W621" s="93">
        <f t="shared" si="133"/>
        <v>17799700</v>
      </c>
      <c r="X621" s="309" t="s">
        <v>1095</v>
      </c>
      <c r="Y621" s="852">
        <f t="shared" si="134"/>
        <v>0.67636909090909092</v>
      </c>
      <c r="Z621" s="42">
        <f t="shared" ca="1" si="135"/>
        <v>1</v>
      </c>
      <c r="AA621" s="43">
        <f t="shared" ca="1" si="136"/>
        <v>0.32363090909090908</v>
      </c>
      <c r="AB621" s="202" t="str">
        <f t="shared" ca="1" si="137"/>
        <v/>
      </c>
      <c r="AC621" s="44" t="str">
        <f t="shared" si="138"/>
        <v>NO</v>
      </c>
      <c r="AD621" s="760" t="s">
        <v>1710</v>
      </c>
      <c r="AE621" s="173" t="s">
        <v>1256</v>
      </c>
      <c r="AF621" s="281" t="s">
        <v>1301</v>
      </c>
      <c r="AG621" s="173" t="s">
        <v>1435</v>
      </c>
      <c r="AH621" s="281" t="s">
        <v>560</v>
      </c>
      <c r="AI621" s="174" t="s">
        <v>1386</v>
      </c>
      <c r="AJ621" s="305" t="s">
        <v>3880</v>
      </c>
      <c r="AK621" s="181" t="str">
        <f t="shared" ca="1" si="139"/>
        <v>TERMINO</v>
      </c>
      <c r="AL621" s="310" t="s">
        <v>574</v>
      </c>
      <c r="AM621" s="176" t="s">
        <v>390</v>
      </c>
      <c r="AN621" s="848" t="str">
        <f>IFERROR(VLOOKUP(E621,'liquidaciones '!$B$2:$C$1048576,2,0),"NO")</f>
        <v>NO</v>
      </c>
      <c r="AO621" s="944" t="str">
        <f>IFERROR(VLOOKUP(E621,'liquidaciones '!$B$2:$I$1048576,8,0),"")</f>
        <v/>
      </c>
      <c r="AP621" s="433"/>
      <c r="AQ621" s="177" t="s">
        <v>390</v>
      </c>
      <c r="AR621" s="433" t="s">
        <v>3055</v>
      </c>
      <c r="AS621" s="433" t="s">
        <v>3786</v>
      </c>
      <c r="AT621" s="966" t="s">
        <v>3895</v>
      </c>
      <c r="AU621" s="964"/>
      <c r="AV621" s="301" t="s">
        <v>4726</v>
      </c>
    </row>
    <row r="622" spans="3:48" ht="30" x14ac:dyDescent="0.25">
      <c r="C622" s="867"/>
      <c r="D622" s="867"/>
      <c r="E622" s="868" t="s">
        <v>3959</v>
      </c>
      <c r="F622" s="441" t="s">
        <v>3960</v>
      </c>
      <c r="G622" s="893">
        <v>900011339</v>
      </c>
      <c r="H622" s="1005" t="s">
        <v>3961</v>
      </c>
      <c r="I622" s="93">
        <v>19027386</v>
      </c>
      <c r="J622" s="873" t="s">
        <v>3968</v>
      </c>
      <c r="K622" s="295">
        <v>2018</v>
      </c>
      <c r="L622" s="546">
        <v>43217</v>
      </c>
      <c r="M622" s="546">
        <v>43231</v>
      </c>
      <c r="N622" s="546">
        <v>43322</v>
      </c>
      <c r="O622" s="127">
        <f>COUNTA(Modificaciones!I608,Modificaciones!K608,Modificaciones!M608,Modificaciones!O608)</f>
        <v>0</v>
      </c>
      <c r="P622" s="128">
        <f>VLOOKUP(E622,Modificaciones!$B$7:$Q$819,16,0)</f>
        <v>0</v>
      </c>
      <c r="Q622" s="129">
        <f>COUNTA(Modificaciones!S622,Modificaciones!U622,Modificaciones!W622,Modificaciones!Y622)</f>
        <v>0</v>
      </c>
      <c r="R622" s="130" t="str">
        <f>IF(Modificaciones!Z622=0,"",VLOOKUP(E622,Modificaciones!$B$7:$AA$500,25,0))</f>
        <v/>
      </c>
      <c r="S622" s="131" t="str">
        <f>IF(Modificaciones!AA622=0,"",VLOOKUP(E622,Modificaciones!$B$7:$AA$500,26,0))</f>
        <v/>
      </c>
      <c r="T622" s="855">
        <f t="shared" si="131"/>
        <v>43322</v>
      </c>
      <c r="U622" s="62">
        <f t="shared" si="132"/>
        <v>19027386</v>
      </c>
      <c r="V622" s="172">
        <f>VLOOKUP(E622,Modificaciones!$B$7:$AU$819,46,0)</f>
        <v>19027386</v>
      </c>
      <c r="W622" s="93">
        <f t="shared" si="133"/>
        <v>0</v>
      </c>
      <c r="X622" s="309" t="s">
        <v>1895</v>
      </c>
      <c r="Y622" s="852">
        <f t="shared" si="134"/>
        <v>1</v>
      </c>
      <c r="Z622" s="42">
        <f t="shared" ca="1" si="135"/>
        <v>1</v>
      </c>
      <c r="AA622" s="43">
        <f t="shared" ca="1" si="136"/>
        <v>0</v>
      </c>
      <c r="AB622" s="202" t="str">
        <f t="shared" ca="1" si="137"/>
        <v/>
      </c>
      <c r="AC622" s="44" t="str">
        <f t="shared" si="138"/>
        <v>SI</v>
      </c>
      <c r="AD622" s="868" t="s">
        <v>1712</v>
      </c>
      <c r="AE622" s="871" t="s">
        <v>1257</v>
      </c>
      <c r="AF622" s="900" t="s">
        <v>3962</v>
      </c>
      <c r="AG622" s="441" t="s">
        <v>1439</v>
      </c>
      <c r="AH622" s="281" t="s">
        <v>560</v>
      </c>
      <c r="AI622" s="305" t="s">
        <v>1509</v>
      </c>
      <c r="AJ622" s="305" t="s">
        <v>3880</v>
      </c>
      <c r="AK622" s="181" t="str">
        <f t="shared" ca="1" si="139"/>
        <v>TERMINO</v>
      </c>
      <c r="AL622" s="310" t="s">
        <v>576</v>
      </c>
      <c r="AM622" s="433" t="s">
        <v>390</v>
      </c>
      <c r="AN622" s="848" t="str">
        <f>IFERROR(VLOOKUP(E622,'liquidaciones '!$B$2:$C$1048576,2,0),"NO")</f>
        <v>NO</v>
      </c>
      <c r="AO622" s="944" t="str">
        <f>IFERROR(VLOOKUP(E622,'liquidaciones '!$B$2:$I$1048576,8,0),"")</f>
        <v/>
      </c>
      <c r="AP622" s="433"/>
      <c r="AQ622" s="433" t="s">
        <v>390</v>
      </c>
      <c r="AR622" s="433" t="s">
        <v>3518</v>
      </c>
      <c r="AS622" s="433" t="s">
        <v>3785</v>
      </c>
      <c r="AT622" s="966" t="s">
        <v>560</v>
      </c>
      <c r="AU622" s="964"/>
      <c r="AV622" s="964"/>
    </row>
    <row r="623" spans="3:48" ht="90" x14ac:dyDescent="0.25">
      <c r="C623" s="867">
        <v>65</v>
      </c>
      <c r="D623" s="867"/>
      <c r="E623" s="868" t="s">
        <v>3964</v>
      </c>
      <c r="F623" s="441" t="s">
        <v>4024</v>
      </c>
      <c r="G623" s="893" t="s">
        <v>3965</v>
      </c>
      <c r="H623" s="1003" t="s">
        <v>3966</v>
      </c>
      <c r="I623" s="93">
        <v>1083000000</v>
      </c>
      <c r="J623" s="873" t="s">
        <v>3967</v>
      </c>
      <c r="K623" s="295">
        <v>2018</v>
      </c>
      <c r="L623" s="546">
        <v>43230</v>
      </c>
      <c r="M623" s="546">
        <v>43232</v>
      </c>
      <c r="N623" s="546">
        <v>43523</v>
      </c>
      <c r="O623" s="127">
        <f>COUNTA(Modificaciones!I609,Modificaciones!K609,Modificaciones!M609,Modificaciones!O609)</f>
        <v>0</v>
      </c>
      <c r="P623" s="128">
        <f>VLOOKUP(E623,Modificaciones!$B$7:$Q$819,16,0)</f>
        <v>25500000</v>
      </c>
      <c r="Q623" s="129">
        <f>COUNTA(Modificaciones!S623,Modificaciones!U623,Modificaciones!W623,Modificaciones!Y623)</f>
        <v>2</v>
      </c>
      <c r="R623" s="130" t="str">
        <f>IF(Modificaciones!Z623=0,"",VLOOKUP(E623,Modificaciones!$B$7:$AA$1419,25,0))</f>
        <v>3 meses y 3 días</v>
      </c>
      <c r="S623" s="131">
        <f>IF(Modificaciones!AA623=0,"",VLOOKUP(E623,Modificaciones!$B$7:$AA$1419,26,0))</f>
        <v>43615</v>
      </c>
      <c r="T623" s="855">
        <f t="shared" si="131"/>
        <v>43615</v>
      </c>
      <c r="U623" s="62">
        <f t="shared" si="132"/>
        <v>1108500000</v>
      </c>
      <c r="V623" s="172">
        <f>VLOOKUP(E623,Modificaciones!$B$7:$AU$819,46,0)</f>
        <v>1011295363</v>
      </c>
      <c r="W623" s="93">
        <f t="shared" si="133"/>
        <v>97204637</v>
      </c>
      <c r="X623" s="93" t="s">
        <v>1878</v>
      </c>
      <c r="Y623" s="852">
        <f t="shared" si="134"/>
        <v>0.91230975462336494</v>
      </c>
      <c r="Z623" s="42">
        <f t="shared" ca="1" si="135"/>
        <v>1</v>
      </c>
      <c r="AA623" s="43">
        <f t="shared" ca="1" si="136"/>
        <v>8.7690245376635056E-2</v>
      </c>
      <c r="AB623" s="202" t="str">
        <f t="shared" ca="1" si="137"/>
        <v/>
      </c>
      <c r="AC623" s="44" t="str">
        <f t="shared" si="138"/>
        <v>NO</v>
      </c>
      <c r="AD623" s="760" t="s">
        <v>1710</v>
      </c>
      <c r="AE623" s="173" t="s">
        <v>1256</v>
      </c>
      <c r="AF623" s="281" t="s">
        <v>1127</v>
      </c>
      <c r="AG623" s="173"/>
      <c r="AH623" s="281" t="s">
        <v>560</v>
      </c>
      <c r="AI623" s="305"/>
      <c r="AJ623" s="305" t="s">
        <v>3880</v>
      </c>
      <c r="AK623" s="181" t="str">
        <f t="shared" ca="1" si="139"/>
        <v>TERMINO</v>
      </c>
      <c r="AL623" s="310" t="s">
        <v>575</v>
      </c>
      <c r="AM623" s="433" t="s">
        <v>390</v>
      </c>
      <c r="AN623" s="848" t="str">
        <f>IFERROR(VLOOKUP(E623,'liquidaciones '!$B$2:$C$1048576,2,0),"NO")</f>
        <v>NO</v>
      </c>
      <c r="AO623" s="944" t="str">
        <f>IFERROR(VLOOKUP(E623,'liquidaciones '!$B$2:$I$1048576,8,0),"")</f>
        <v/>
      </c>
      <c r="AP623" s="433"/>
      <c r="AQ623" s="433" t="s">
        <v>390</v>
      </c>
      <c r="AR623" s="433" t="s">
        <v>4820</v>
      </c>
      <c r="AS623" s="433" t="s">
        <v>1379</v>
      </c>
      <c r="AT623" s="966" t="s">
        <v>560</v>
      </c>
      <c r="AU623" s="301" t="s">
        <v>4873</v>
      </c>
      <c r="AV623" s="301" t="s">
        <v>4678</v>
      </c>
    </row>
    <row r="624" spans="3:48" ht="30" x14ac:dyDescent="0.25">
      <c r="C624" s="867"/>
      <c r="D624" s="867"/>
      <c r="E624" s="868" t="s">
        <v>3969</v>
      </c>
      <c r="F624" s="864" t="s">
        <v>3392</v>
      </c>
      <c r="G624" s="866" t="s">
        <v>3970</v>
      </c>
      <c r="H624" s="858" t="s">
        <v>3971</v>
      </c>
      <c r="I624" s="983">
        <v>6682215</v>
      </c>
      <c r="J624" s="873" t="s">
        <v>3973</v>
      </c>
      <c r="K624" s="295">
        <v>2018</v>
      </c>
      <c r="L624" s="546">
        <v>43228</v>
      </c>
      <c r="M624" s="546">
        <v>43228</v>
      </c>
      <c r="N624" s="546">
        <v>43236</v>
      </c>
      <c r="O624" s="127">
        <f>COUNTA(Modificaciones!I610,Modificaciones!K610,Modificaciones!M610,Modificaciones!O610)</f>
        <v>0</v>
      </c>
      <c r="P624" s="128">
        <f>VLOOKUP(E624,Modificaciones!$B$7:$Q$819,16,0)</f>
        <v>0</v>
      </c>
      <c r="Q624" s="129">
        <f>COUNTA(Modificaciones!S624,Modificaciones!U624,Modificaciones!W624,Modificaciones!Y624)</f>
        <v>0</v>
      </c>
      <c r="R624" s="130" t="str">
        <f>IF(Modificaciones!Z624=0,"",VLOOKUP(E624,Modificaciones!$B$7:$AA$500,25,0))</f>
        <v/>
      </c>
      <c r="S624" s="131" t="str">
        <f>IF(Modificaciones!AA624=0,"",VLOOKUP(E624,Modificaciones!$B$7:$AA$500,26,0))</f>
        <v/>
      </c>
      <c r="T624" s="855">
        <f t="shared" si="131"/>
        <v>43236</v>
      </c>
      <c r="U624" s="62">
        <f t="shared" si="132"/>
        <v>6682215</v>
      </c>
      <c r="V624" s="172">
        <f>VLOOKUP(E624,Modificaciones!$B$7:$AU$819,46,0)</f>
        <v>6682215</v>
      </c>
      <c r="W624" s="93">
        <f t="shared" si="133"/>
        <v>0</v>
      </c>
      <c r="X624" s="309" t="s">
        <v>1895</v>
      </c>
      <c r="Y624" s="852">
        <f t="shared" si="134"/>
        <v>1</v>
      </c>
      <c r="Z624" s="42">
        <f t="shared" ca="1" si="135"/>
        <v>1</v>
      </c>
      <c r="AA624" s="43">
        <f t="shared" ca="1" si="136"/>
        <v>0</v>
      </c>
      <c r="AB624" s="202" t="str">
        <f t="shared" ca="1" si="137"/>
        <v/>
      </c>
      <c r="AC624" s="44" t="str">
        <f t="shared" si="138"/>
        <v>SI</v>
      </c>
      <c r="AD624" s="868" t="s">
        <v>1712</v>
      </c>
      <c r="AE624" s="871" t="s">
        <v>1257</v>
      </c>
      <c r="AF624" s="900" t="s">
        <v>3972</v>
      </c>
      <c r="AG624" s="441" t="s">
        <v>1439</v>
      </c>
      <c r="AH624" s="281" t="s">
        <v>560</v>
      </c>
      <c r="AI624" s="305" t="s">
        <v>1509</v>
      </c>
      <c r="AJ624" s="305" t="s">
        <v>3880</v>
      </c>
      <c r="AK624" s="181" t="str">
        <f t="shared" ca="1" si="139"/>
        <v>TERMINO</v>
      </c>
      <c r="AL624" s="310" t="s">
        <v>2726</v>
      </c>
      <c r="AM624" s="433"/>
      <c r="AN624" s="848" t="str">
        <f>IFERROR(VLOOKUP(E624,'liquidaciones '!$B$2:$C$1048576,2,0),"NO")</f>
        <v>LIQUIDADO</v>
      </c>
      <c r="AO624" s="944">
        <f>IFERROR(VLOOKUP(E624,'liquidaciones '!$B$2:$I$1048576,8,0),"")</f>
        <v>0</v>
      </c>
      <c r="AP624" s="433"/>
      <c r="AQ624" s="433" t="s">
        <v>390</v>
      </c>
      <c r="AR624" s="433" t="s">
        <v>3518</v>
      </c>
      <c r="AS624" s="433" t="s">
        <v>3785</v>
      </c>
      <c r="AT624" s="966" t="s">
        <v>560</v>
      </c>
      <c r="AU624" s="964"/>
      <c r="AV624" s="964"/>
    </row>
    <row r="625" spans="3:48" ht="101.25" x14ac:dyDescent="0.25">
      <c r="C625" s="867"/>
      <c r="D625" s="867"/>
      <c r="E625" s="868" t="s">
        <v>3974</v>
      </c>
      <c r="F625" s="441" t="s">
        <v>3975</v>
      </c>
      <c r="G625" s="893" t="s">
        <v>3976</v>
      </c>
      <c r="H625" s="1005" t="s">
        <v>3977</v>
      </c>
      <c r="I625" s="93">
        <v>49203666</v>
      </c>
      <c r="J625" s="873" t="s">
        <v>3985</v>
      </c>
      <c r="K625" s="295">
        <v>2018</v>
      </c>
      <c r="L625" s="546">
        <v>43228</v>
      </c>
      <c r="M625" s="546">
        <v>43237</v>
      </c>
      <c r="N625" s="546">
        <v>43328</v>
      </c>
      <c r="O625" s="127">
        <f>COUNTA(Modificaciones!I611,Modificaciones!K611,Modificaciones!M611,Modificaciones!O611)</f>
        <v>0</v>
      </c>
      <c r="P625" s="128">
        <f>VLOOKUP(E625,Modificaciones!$B$7:$Q$819,16,0)</f>
        <v>0</v>
      </c>
      <c r="Q625" s="129">
        <f>COUNTA(Modificaciones!S625,Modificaciones!U625,Modificaciones!W625,Modificaciones!Y625)</f>
        <v>0</v>
      </c>
      <c r="R625" s="130" t="str">
        <f>IF(Modificaciones!Z625=0,"",VLOOKUP(E625,Modificaciones!$B$7:$AA$500,25,0))</f>
        <v/>
      </c>
      <c r="S625" s="131" t="str">
        <f>IF(Modificaciones!AA625=0,"",VLOOKUP(E625,Modificaciones!$B$7:$AA$500,26,0))</f>
        <v/>
      </c>
      <c r="T625" s="855">
        <f t="shared" si="131"/>
        <v>43328</v>
      </c>
      <c r="U625" s="62">
        <f t="shared" si="132"/>
        <v>49203666</v>
      </c>
      <c r="V625" s="172">
        <f>VLOOKUP(E625,Modificaciones!$B$7:$AU$819,46,0)</f>
        <v>49203666</v>
      </c>
      <c r="W625" s="93">
        <f t="shared" si="133"/>
        <v>0</v>
      </c>
      <c r="X625" s="314" t="s">
        <v>3978</v>
      </c>
      <c r="Y625" s="852">
        <f t="shared" si="134"/>
        <v>1</v>
      </c>
      <c r="Z625" s="42">
        <f t="shared" ca="1" si="135"/>
        <v>1</v>
      </c>
      <c r="AA625" s="43">
        <f t="shared" ca="1" si="136"/>
        <v>0</v>
      </c>
      <c r="AB625" s="202" t="str">
        <f t="shared" ca="1" si="137"/>
        <v/>
      </c>
      <c r="AC625" s="44" t="str">
        <f t="shared" si="138"/>
        <v>SI</v>
      </c>
      <c r="AD625" s="868" t="s">
        <v>1712</v>
      </c>
      <c r="AE625" s="871" t="s">
        <v>1257</v>
      </c>
      <c r="AF625" s="871" t="s">
        <v>3979</v>
      </c>
      <c r="AG625" s="441" t="s">
        <v>1439</v>
      </c>
      <c r="AH625" s="281" t="s">
        <v>560</v>
      </c>
      <c r="AI625" s="305" t="s">
        <v>1509</v>
      </c>
      <c r="AJ625" s="305" t="s">
        <v>3880</v>
      </c>
      <c r="AK625" s="181" t="str">
        <f t="shared" ca="1" si="139"/>
        <v>TERMINO</v>
      </c>
      <c r="AL625" s="441" t="s">
        <v>574</v>
      </c>
      <c r="AM625" s="433" t="s">
        <v>390</v>
      </c>
      <c r="AN625" s="848" t="str">
        <f>IFERROR(VLOOKUP(E625,'liquidaciones '!$B$2:$C$1048576,2,0),"NO")</f>
        <v>NO</v>
      </c>
      <c r="AO625" s="944" t="str">
        <f>IFERROR(VLOOKUP(E625,'liquidaciones '!$B$2:$I$1048576,8,0),"")</f>
        <v/>
      </c>
      <c r="AP625" s="433"/>
      <c r="AQ625" s="433" t="s">
        <v>390</v>
      </c>
      <c r="AR625" s="433" t="s">
        <v>3518</v>
      </c>
      <c r="AS625" s="433" t="s">
        <v>3785</v>
      </c>
      <c r="AT625" s="966" t="s">
        <v>560</v>
      </c>
      <c r="AU625" s="964"/>
      <c r="AV625" s="964"/>
    </row>
    <row r="626" spans="3:48" ht="56.25" x14ac:dyDescent="0.25">
      <c r="C626" s="867">
        <v>62</v>
      </c>
      <c r="D626" s="867"/>
      <c r="E626" s="868" t="s">
        <v>3980</v>
      </c>
      <c r="F626" s="441" t="s">
        <v>3981</v>
      </c>
      <c r="G626" s="893" t="s">
        <v>3982</v>
      </c>
      <c r="H626" s="1001" t="s">
        <v>3983</v>
      </c>
      <c r="I626" s="93">
        <v>33190000</v>
      </c>
      <c r="J626" s="873" t="s">
        <v>3984</v>
      </c>
      <c r="K626" s="295">
        <v>2018</v>
      </c>
      <c r="L626" s="546">
        <v>43228</v>
      </c>
      <c r="M626" s="546">
        <v>43241</v>
      </c>
      <c r="N626" s="546">
        <v>43516</v>
      </c>
      <c r="O626" s="127">
        <f>COUNTA(Modificaciones!I612,Modificaciones!K612,Modificaciones!M612,Modificaciones!O612)</f>
        <v>0</v>
      </c>
      <c r="P626" s="128">
        <f>VLOOKUP(E626,Modificaciones!$B$7:$Q$819,16,0)</f>
        <v>0</v>
      </c>
      <c r="Q626" s="129">
        <f>COUNTA(Modificaciones!S626,Modificaciones!U626,Modificaciones!W626,Modificaciones!Y626)</f>
        <v>0</v>
      </c>
      <c r="R626" s="130" t="str">
        <f>IF(Modificaciones!Z626=0,"",VLOOKUP(E626,Modificaciones!$B$7:$AA$500,25,0))</f>
        <v/>
      </c>
      <c r="S626" s="131" t="str">
        <f>IF(Modificaciones!AA626=0,"",VLOOKUP(E626,Modificaciones!$B$7:$AA$500,26,0))</f>
        <v/>
      </c>
      <c r="T626" s="855">
        <f t="shared" si="131"/>
        <v>43516</v>
      </c>
      <c r="U626" s="62">
        <f t="shared" si="132"/>
        <v>33190000</v>
      </c>
      <c r="V626" s="172">
        <f>VLOOKUP(E626,Modificaciones!$B$7:$AU$819,46,0)</f>
        <v>33189925</v>
      </c>
      <c r="W626" s="93">
        <f t="shared" si="133"/>
        <v>75</v>
      </c>
      <c r="X626" s="309" t="s">
        <v>2994</v>
      </c>
      <c r="Y626" s="852">
        <f t="shared" si="134"/>
        <v>0.99999774028321786</v>
      </c>
      <c r="Z626" s="42">
        <f t="shared" ca="1" si="135"/>
        <v>1</v>
      </c>
      <c r="AA626" s="43">
        <f t="shared" ca="1" si="136"/>
        <v>2.2597167821380992E-6</v>
      </c>
      <c r="AB626" s="202" t="str">
        <f t="shared" ca="1" si="137"/>
        <v/>
      </c>
      <c r="AC626" s="44" t="str">
        <f t="shared" si="138"/>
        <v>SI</v>
      </c>
      <c r="AD626" s="760" t="s">
        <v>1710</v>
      </c>
      <c r="AE626" s="173" t="s">
        <v>1256</v>
      </c>
      <c r="AF626" s="281" t="s">
        <v>1298</v>
      </c>
      <c r="AG626" s="173" t="s">
        <v>1442</v>
      </c>
      <c r="AH626" s="281" t="s">
        <v>560</v>
      </c>
      <c r="AI626" s="174" t="s">
        <v>1380</v>
      </c>
      <c r="AJ626" s="305" t="s">
        <v>3880</v>
      </c>
      <c r="AK626" s="181" t="str">
        <f t="shared" ca="1" si="139"/>
        <v>TERMINO</v>
      </c>
      <c r="AL626" s="181" t="s">
        <v>576</v>
      </c>
      <c r="AM626" s="433" t="s">
        <v>390</v>
      </c>
      <c r="AN626" s="848" t="str">
        <f>IFERROR(VLOOKUP(E626,'liquidaciones '!$B$2:$C$1048576,2,0),"NO")</f>
        <v>NO</v>
      </c>
      <c r="AO626" s="944" t="str">
        <f>IFERROR(VLOOKUP(E626,'liquidaciones '!$B$2:$I$1048576,8,0),"")</f>
        <v/>
      </c>
      <c r="AP626" s="433"/>
      <c r="AQ626" s="433" t="s">
        <v>390</v>
      </c>
      <c r="AR626" s="433" t="s">
        <v>4820</v>
      </c>
      <c r="AS626" s="433" t="s">
        <v>3781</v>
      </c>
      <c r="AT626" s="966" t="s">
        <v>560</v>
      </c>
      <c r="AU626" s="964"/>
      <c r="AV626" s="966"/>
    </row>
    <row r="627" spans="3:48" ht="30" x14ac:dyDescent="0.25">
      <c r="C627" s="867">
        <v>133</v>
      </c>
      <c r="D627" s="867"/>
      <c r="E627" s="868" t="s">
        <v>3988</v>
      </c>
      <c r="F627" s="441" t="s">
        <v>3989</v>
      </c>
      <c r="G627" s="893" t="s">
        <v>3990</v>
      </c>
      <c r="H627" s="1005" t="s">
        <v>3991</v>
      </c>
      <c r="I627" s="93">
        <v>46208000</v>
      </c>
      <c r="J627" s="873" t="s">
        <v>3995</v>
      </c>
      <c r="K627" s="295">
        <v>2018</v>
      </c>
      <c r="L627" s="546">
        <v>43236</v>
      </c>
      <c r="M627" s="546">
        <v>43244</v>
      </c>
      <c r="N627" s="546">
        <v>43608</v>
      </c>
      <c r="O627" s="127">
        <f>COUNTA(Modificaciones!I613,Modificaciones!K613,Modificaciones!M613,Modificaciones!O613)</f>
        <v>0</v>
      </c>
      <c r="P627" s="128">
        <f>VLOOKUP(E627,Modificaciones!$B$7:$Q$819,16,0)</f>
        <v>0</v>
      </c>
      <c r="Q627" s="129">
        <f>COUNTA(Modificaciones!S627,Modificaciones!U627,Modificaciones!W627,Modificaciones!Y627)</f>
        <v>0</v>
      </c>
      <c r="R627" s="130" t="str">
        <f>IF(Modificaciones!Z627=0,"",VLOOKUP(E627,Modificaciones!$B$7:$AA$500,25,0))</f>
        <v/>
      </c>
      <c r="S627" s="131" t="str">
        <f>IF(Modificaciones!AA627=0,"",VLOOKUP(E627,Modificaciones!$B$7:$AA$500,26,0))</f>
        <v/>
      </c>
      <c r="T627" s="855">
        <f t="shared" si="131"/>
        <v>43608</v>
      </c>
      <c r="U627" s="62">
        <f t="shared" si="132"/>
        <v>46208000</v>
      </c>
      <c r="V627" s="172">
        <f>VLOOKUP(E627,Modificaciones!$B$7:$AU$819,46,0)</f>
        <v>41923940</v>
      </c>
      <c r="W627" s="93">
        <f t="shared" si="133"/>
        <v>4284060</v>
      </c>
      <c r="X627" s="309" t="s">
        <v>3992</v>
      </c>
      <c r="Y627" s="852">
        <f t="shared" si="134"/>
        <v>0.90728748268698056</v>
      </c>
      <c r="Z627" s="42">
        <f t="shared" ca="1" si="135"/>
        <v>1</v>
      </c>
      <c r="AA627" s="43">
        <f t="shared" ca="1" si="136"/>
        <v>9.2712517313019438E-2</v>
      </c>
      <c r="AB627" s="202" t="str">
        <f t="shared" ca="1" si="137"/>
        <v/>
      </c>
      <c r="AC627" s="44" t="str">
        <f t="shared" si="138"/>
        <v>NO</v>
      </c>
      <c r="AD627" s="760" t="s">
        <v>1713</v>
      </c>
      <c r="AE627" s="173" t="s">
        <v>1256</v>
      </c>
      <c r="AF627" s="281" t="s">
        <v>1135</v>
      </c>
      <c r="AG627" s="173"/>
      <c r="AH627" s="281" t="s">
        <v>562</v>
      </c>
      <c r="AI627" s="305" t="s">
        <v>3791</v>
      </c>
      <c r="AJ627" s="305" t="s">
        <v>3993</v>
      </c>
      <c r="AK627" s="181" t="str">
        <f t="shared" ca="1" si="139"/>
        <v>TERMINO</v>
      </c>
      <c r="AL627" s="181" t="s">
        <v>576</v>
      </c>
      <c r="AM627" s="433" t="s">
        <v>390</v>
      </c>
      <c r="AN627" s="848" t="str">
        <f>IFERROR(VLOOKUP(E627,'liquidaciones '!$B$2:$C$1048576,2,0),"NO")</f>
        <v>NO</v>
      </c>
      <c r="AO627" s="944" t="str">
        <f>IFERROR(VLOOKUP(E627,'liquidaciones '!$B$2:$I$1048576,8,0),"")</f>
        <v/>
      </c>
      <c r="AP627" s="433"/>
      <c r="AQ627" s="433" t="s">
        <v>390</v>
      </c>
      <c r="AR627" s="177" t="s">
        <v>4255</v>
      </c>
      <c r="AS627" s="433" t="s">
        <v>3791</v>
      </c>
      <c r="AT627" s="966" t="s">
        <v>3994</v>
      </c>
      <c r="AU627" s="964"/>
      <c r="AV627" s="301" t="s">
        <v>4892</v>
      </c>
    </row>
    <row r="628" spans="3:48" ht="56.25" x14ac:dyDescent="0.25">
      <c r="C628" s="867">
        <v>1</v>
      </c>
      <c r="D628" s="867"/>
      <c r="E628" s="868" t="s">
        <v>4006</v>
      </c>
      <c r="F628" s="441" t="s">
        <v>4007</v>
      </c>
      <c r="G628" s="893">
        <v>811044253</v>
      </c>
      <c r="H628" s="1005" t="s">
        <v>4008</v>
      </c>
      <c r="I628" s="93">
        <v>314000000</v>
      </c>
      <c r="J628" s="873" t="s">
        <v>4009</v>
      </c>
      <c r="K628" s="295">
        <v>2018</v>
      </c>
      <c r="L628" s="546">
        <v>43250</v>
      </c>
      <c r="M628" s="546">
        <v>43252</v>
      </c>
      <c r="N628" s="546">
        <v>43510</v>
      </c>
      <c r="O628" s="127">
        <f>COUNTA(Modificaciones!I614,Modificaciones!K614,Modificaciones!M614,Modificaciones!O614)</f>
        <v>0</v>
      </c>
      <c r="P628" s="128">
        <f>VLOOKUP(E628,Modificaciones!$B$7:$Q$819,16,0)</f>
        <v>97744384</v>
      </c>
      <c r="Q628" s="129">
        <f>COUNTA(Modificaciones!S628,Modificaciones!U628,Modificaciones!W628,Modificaciones!Y628)</f>
        <v>3</v>
      </c>
      <c r="R628" s="130" t="str">
        <f>IF(Modificaciones!Z628=0,"",VLOOKUP(E628,Modificaciones!$B$7:$AA$1474,25,0))</f>
        <v>4 mes</v>
      </c>
      <c r="S628" s="131">
        <f>IF(Modificaciones!AA628=0,"",VLOOKUP(E628,Modificaciones!$B$7:$AA$1474,26,0))</f>
        <v>43631</v>
      </c>
      <c r="T628" s="855">
        <f t="shared" si="131"/>
        <v>43631</v>
      </c>
      <c r="U628" s="62">
        <f t="shared" si="132"/>
        <v>411744384</v>
      </c>
      <c r="V628" s="172">
        <f>VLOOKUP(E628,Modificaciones!$B$7:$AU$819,46,0)</f>
        <v>324612710</v>
      </c>
      <c r="W628" s="93">
        <f t="shared" si="133"/>
        <v>87131674</v>
      </c>
      <c r="X628" s="309" t="s">
        <v>2760</v>
      </c>
      <c r="Y628" s="852">
        <f t="shared" si="134"/>
        <v>0.78838406208838541</v>
      </c>
      <c r="Z628" s="42">
        <f t="shared" ca="1" si="135"/>
        <v>1</v>
      </c>
      <c r="AA628" s="43">
        <f t="shared" ca="1" si="136"/>
        <v>0.21161593791161459</v>
      </c>
      <c r="AB628" s="202" t="str">
        <f t="shared" ca="1" si="137"/>
        <v/>
      </c>
      <c r="AC628" s="44" t="str">
        <f t="shared" si="138"/>
        <v>NO</v>
      </c>
      <c r="AD628" s="760" t="s">
        <v>1710</v>
      </c>
      <c r="AE628" s="173" t="s">
        <v>1256</v>
      </c>
      <c r="AF628" s="281" t="s">
        <v>1138</v>
      </c>
      <c r="AG628" s="173" t="s">
        <v>1442</v>
      </c>
      <c r="AH628" s="281" t="s">
        <v>560</v>
      </c>
      <c r="AI628" s="174" t="s">
        <v>1379</v>
      </c>
      <c r="AJ628" s="305" t="s">
        <v>3880</v>
      </c>
      <c r="AK628" s="181" t="str">
        <f t="shared" ca="1" si="139"/>
        <v>TERMINO</v>
      </c>
      <c r="AL628" s="441" t="s">
        <v>573</v>
      </c>
      <c r="AM628" s="433" t="s">
        <v>390</v>
      </c>
      <c r="AN628" s="848" t="str">
        <f>IFERROR(VLOOKUP(E628,'liquidaciones '!$B$2:$C$1048576,2,0),"NO")</f>
        <v>NO</v>
      </c>
      <c r="AO628" s="944" t="str">
        <f>IFERROR(VLOOKUP(E628,'liquidaciones '!$B$2:$I$1048576,8,0),"")</f>
        <v/>
      </c>
      <c r="AP628" s="433"/>
      <c r="AQ628" s="433" t="s">
        <v>390</v>
      </c>
      <c r="AR628" s="433" t="s">
        <v>4818</v>
      </c>
      <c r="AS628" s="433" t="s">
        <v>1379</v>
      </c>
      <c r="AT628" s="966" t="s">
        <v>560</v>
      </c>
      <c r="AU628" s="966" t="s">
        <v>4909</v>
      </c>
      <c r="AV628" s="301" t="s">
        <v>4719</v>
      </c>
    </row>
    <row r="629" spans="3:48" ht="90" x14ac:dyDescent="0.25">
      <c r="C629" s="867">
        <v>11</v>
      </c>
      <c r="D629" s="867"/>
      <c r="E629" s="868" t="s">
        <v>4011</v>
      </c>
      <c r="F629" s="441" t="s">
        <v>4012</v>
      </c>
      <c r="G629" s="893">
        <v>900152368</v>
      </c>
      <c r="H629" s="1005" t="s">
        <v>4013</v>
      </c>
      <c r="I629" s="93">
        <v>4600000</v>
      </c>
      <c r="J629" s="873" t="s">
        <v>4014</v>
      </c>
      <c r="K629" s="295">
        <v>2018</v>
      </c>
      <c r="L629" s="546">
        <v>43252</v>
      </c>
      <c r="M629" s="546">
        <v>43272</v>
      </c>
      <c r="N629" s="546">
        <v>43636</v>
      </c>
      <c r="O629" s="127">
        <f>COUNTA(Modificaciones!I615,Modificaciones!K615,Modificaciones!M615,Modificaciones!O615)</f>
        <v>0</v>
      </c>
      <c r="P629" s="128">
        <f>VLOOKUP(E629,Modificaciones!$B$7:$Q$819,16,0)</f>
        <v>0</v>
      </c>
      <c r="Q629" s="129">
        <f>COUNTA(Modificaciones!S629,Modificaciones!U629,Modificaciones!W629,Modificaciones!Y629)</f>
        <v>0</v>
      </c>
      <c r="R629" s="130" t="str">
        <f>IF(Modificaciones!Z629=0,"",VLOOKUP(E629,Modificaciones!$B$7:$AA$500,25,0))</f>
        <v/>
      </c>
      <c r="S629" s="131" t="str">
        <f>IF(Modificaciones!AA629=0,"",VLOOKUP(E629,Modificaciones!$B$7:$AA$500,26,0))</f>
        <v/>
      </c>
      <c r="T629" s="855">
        <f t="shared" si="131"/>
        <v>43636</v>
      </c>
      <c r="U629" s="62">
        <f t="shared" si="132"/>
        <v>4600000</v>
      </c>
      <c r="V629" s="172">
        <f>VLOOKUP(E629,Modificaciones!$B$7:$AU$819,46,0)</f>
        <v>360000</v>
      </c>
      <c r="W629" s="93">
        <f t="shared" si="133"/>
        <v>4240000</v>
      </c>
      <c r="X629" s="309" t="s">
        <v>2989</v>
      </c>
      <c r="Y629" s="852">
        <f t="shared" si="134"/>
        <v>7.8260869565217397E-2</v>
      </c>
      <c r="Z629" s="42">
        <f t="shared" ca="1" si="135"/>
        <v>1</v>
      </c>
      <c r="AA629" s="43">
        <f t="shared" ca="1" si="136"/>
        <v>0.92173913043478262</v>
      </c>
      <c r="AB629" s="202" t="str">
        <f t="shared" ca="1" si="137"/>
        <v/>
      </c>
      <c r="AC629" s="44" t="str">
        <f t="shared" si="138"/>
        <v>NO</v>
      </c>
      <c r="AD629" s="760" t="s">
        <v>1710</v>
      </c>
      <c r="AE629" s="173" t="s">
        <v>1256</v>
      </c>
      <c r="AF629" s="281" t="s">
        <v>1172</v>
      </c>
      <c r="AG629" s="173" t="s">
        <v>1442</v>
      </c>
      <c r="AH629" s="281" t="s">
        <v>560</v>
      </c>
      <c r="AI629" s="868" t="s">
        <v>3603</v>
      </c>
      <c r="AJ629" s="305" t="s">
        <v>3880</v>
      </c>
      <c r="AK629" s="181" t="str">
        <f t="shared" ca="1" si="139"/>
        <v>TERMINO</v>
      </c>
      <c r="AL629" s="181" t="s">
        <v>576</v>
      </c>
      <c r="AM629" s="176" t="s">
        <v>390</v>
      </c>
      <c r="AN629" s="848" t="str">
        <f>IFERROR(VLOOKUP(E629,'liquidaciones '!$B$2:$C$1048576,2,0),"NO")</f>
        <v>NO</v>
      </c>
      <c r="AO629" s="944" t="str">
        <f>IFERROR(VLOOKUP(E629,'liquidaciones '!$B$2:$I$1048576,8,0),"")</f>
        <v/>
      </c>
      <c r="AP629" s="433"/>
      <c r="AQ629" s="433" t="s">
        <v>390</v>
      </c>
      <c r="AR629" s="433" t="s">
        <v>4254</v>
      </c>
      <c r="AS629" s="433" t="s">
        <v>4876</v>
      </c>
      <c r="AT629" s="966" t="s">
        <v>560</v>
      </c>
      <c r="AU629" s="966" t="s">
        <v>5007</v>
      </c>
      <c r="AV629" s="301" t="s">
        <v>5003</v>
      </c>
    </row>
    <row r="630" spans="3:48" ht="45" x14ac:dyDescent="0.25">
      <c r="C630" s="867">
        <v>112</v>
      </c>
      <c r="D630" s="867"/>
      <c r="E630" s="868" t="s">
        <v>4031</v>
      </c>
      <c r="F630" s="441" t="s">
        <v>3728</v>
      </c>
      <c r="G630" s="893" t="s">
        <v>3559</v>
      </c>
      <c r="H630" s="1005" t="s">
        <v>4032</v>
      </c>
      <c r="I630" s="93">
        <v>7663600</v>
      </c>
      <c r="J630" s="873" t="s">
        <v>4036</v>
      </c>
      <c r="K630" s="295">
        <v>2018</v>
      </c>
      <c r="L630" s="546">
        <v>43251</v>
      </c>
      <c r="M630" s="546">
        <v>43263</v>
      </c>
      <c r="N630" s="546">
        <v>43384</v>
      </c>
      <c r="O630" s="127">
        <f>COUNTA(Modificaciones!I616,Modificaciones!K616,Modificaciones!M616,Modificaciones!O616)</f>
        <v>0</v>
      </c>
      <c r="P630" s="128">
        <f>VLOOKUP(E630,Modificaciones!$B$7:$Q$819,16,0)</f>
        <v>0</v>
      </c>
      <c r="Q630" s="129">
        <f>COUNTA(Modificaciones!S630,Modificaciones!U630,Modificaciones!W630,Modificaciones!Y630)</f>
        <v>1</v>
      </c>
      <c r="R630" s="130" t="str">
        <f>IF(Modificaciones!Z630=0,"",VLOOKUP(E630,Modificaciones!$B$7:$AA$1419,25,0))</f>
        <v>2 meses</v>
      </c>
      <c r="S630" s="131">
        <f>IF(Modificaciones!AA630=0,"",VLOOKUP(E630,Modificaciones!$B$7:$AA$1419,26,0))</f>
        <v>43445</v>
      </c>
      <c r="T630" s="855">
        <f t="shared" si="131"/>
        <v>43445</v>
      </c>
      <c r="U630" s="62">
        <f t="shared" si="132"/>
        <v>7663600</v>
      </c>
      <c r="V630" s="172">
        <f>VLOOKUP(E630,Modificaciones!$B$7:$AU$819,46,0)</f>
        <v>7663600</v>
      </c>
      <c r="W630" s="93">
        <f t="shared" si="133"/>
        <v>0</v>
      </c>
      <c r="X630" s="309" t="s">
        <v>4033</v>
      </c>
      <c r="Y630" s="852">
        <f t="shared" si="134"/>
        <v>1</v>
      </c>
      <c r="Z630" s="42">
        <f t="shared" ca="1" si="135"/>
        <v>1</v>
      </c>
      <c r="AA630" s="43">
        <f t="shared" ca="1" si="136"/>
        <v>0</v>
      </c>
      <c r="AB630" s="202" t="str">
        <f t="shared" ca="1" si="137"/>
        <v/>
      </c>
      <c r="AC630" s="44" t="str">
        <f t="shared" si="138"/>
        <v>SI</v>
      </c>
      <c r="AD630" s="868"/>
      <c r="AE630" s="173" t="s">
        <v>1256</v>
      </c>
      <c r="AF630" s="301" t="s">
        <v>1350</v>
      </c>
      <c r="AG630" s="173" t="s">
        <v>1431</v>
      </c>
      <c r="AH630" s="281" t="s">
        <v>563</v>
      </c>
      <c r="AI630" s="174"/>
      <c r="AJ630" s="305" t="s">
        <v>4034</v>
      </c>
      <c r="AK630" s="181" t="str">
        <f t="shared" ca="1" si="139"/>
        <v>TERMINO</v>
      </c>
      <c r="AL630" s="181" t="s">
        <v>576</v>
      </c>
      <c r="AM630" s="433" t="s">
        <v>390</v>
      </c>
      <c r="AN630" s="848" t="str">
        <f>IFERROR(VLOOKUP(E630,'liquidaciones '!$B$2:$C$1048576,2,0),"NO")</f>
        <v>LIQUIDADO</v>
      </c>
      <c r="AO630" s="944" t="str">
        <f>IFERROR(VLOOKUP(E630,'liquidaciones '!$B$2:$I$1048576,8,0),"")</f>
        <v>JUAN DIEGO ESPITIA</v>
      </c>
      <c r="AP630" s="433"/>
      <c r="AQ630" s="433" t="s">
        <v>390</v>
      </c>
      <c r="AR630" s="975" t="s">
        <v>4255</v>
      </c>
      <c r="AS630" s="433" t="s">
        <v>4237</v>
      </c>
      <c r="AT630" s="966" t="s">
        <v>4035</v>
      </c>
      <c r="AU630" s="964"/>
      <c r="AV630" s="301"/>
    </row>
    <row r="631" spans="3:48" ht="33.75" x14ac:dyDescent="0.25">
      <c r="C631" s="867">
        <v>263</v>
      </c>
      <c r="D631" s="867"/>
      <c r="E631" s="868" t="s">
        <v>4058</v>
      </c>
      <c r="F631" s="441" t="s">
        <v>152</v>
      </c>
      <c r="G631" s="893">
        <v>800015583</v>
      </c>
      <c r="H631" s="1005" t="s">
        <v>4059</v>
      </c>
      <c r="I631" s="93">
        <v>13499360</v>
      </c>
      <c r="J631" s="873" t="s">
        <v>4057</v>
      </c>
      <c r="K631" s="295">
        <v>2018</v>
      </c>
      <c r="L631" s="546">
        <v>43224</v>
      </c>
      <c r="M631" s="546">
        <v>43332</v>
      </c>
      <c r="N631" s="546">
        <v>43392</v>
      </c>
      <c r="O631" s="127">
        <f>COUNTA(Modificaciones!I617,Modificaciones!K617,Modificaciones!M617,Modificaciones!O617)</f>
        <v>2</v>
      </c>
      <c r="P631" s="128">
        <f>VLOOKUP(E631,Modificaciones!$B$7:$Q$819,16,0)</f>
        <v>0</v>
      </c>
      <c r="Q631" s="129">
        <f>COUNTA(Modificaciones!S631,Modificaciones!U631,Modificaciones!W631,Modificaciones!Y631)</f>
        <v>0</v>
      </c>
      <c r="R631" s="130" t="str">
        <f>IF(Modificaciones!Z631=0,"",VLOOKUP(E631,Modificaciones!$B$7:$AA$500,25,0))</f>
        <v/>
      </c>
      <c r="S631" s="131" t="str">
        <f>IF(Modificaciones!AA631=0,"",VLOOKUP(E631,Modificaciones!$B$7:$AA$500,26,0))</f>
        <v/>
      </c>
      <c r="T631" s="855">
        <f t="shared" si="131"/>
        <v>43392</v>
      </c>
      <c r="U631" s="62">
        <f t="shared" si="132"/>
        <v>13499360</v>
      </c>
      <c r="V631" s="172">
        <f>VLOOKUP(E631,Modificaciones!$B$7:$AU$819,46,0)</f>
        <v>13499360</v>
      </c>
      <c r="W631" s="93">
        <f t="shared" si="133"/>
        <v>0</v>
      </c>
      <c r="X631" s="309" t="s">
        <v>4060</v>
      </c>
      <c r="Y631" s="852">
        <f t="shared" si="134"/>
        <v>1</v>
      </c>
      <c r="Z631" s="42">
        <f t="shared" ca="1" si="135"/>
        <v>1</v>
      </c>
      <c r="AA631" s="43">
        <f t="shared" ca="1" si="136"/>
        <v>0</v>
      </c>
      <c r="AB631" s="202" t="str">
        <f t="shared" ca="1" si="137"/>
        <v/>
      </c>
      <c r="AC631" s="44" t="str">
        <f t="shared" si="138"/>
        <v>SI</v>
      </c>
      <c r="AD631" s="868"/>
      <c r="AE631" s="871" t="s">
        <v>1257</v>
      </c>
      <c r="AF631" s="871" t="s">
        <v>4061</v>
      </c>
      <c r="AG631" s="441" t="s">
        <v>1439</v>
      </c>
      <c r="AH631" s="281" t="s">
        <v>560</v>
      </c>
      <c r="AI631" s="305" t="s">
        <v>1509</v>
      </c>
      <c r="AJ631" s="305" t="s">
        <v>3880</v>
      </c>
      <c r="AK631" s="181" t="str">
        <f t="shared" ca="1" si="139"/>
        <v>TERMINO</v>
      </c>
      <c r="AL631" s="181" t="s">
        <v>576</v>
      </c>
      <c r="AM631" s="433" t="s">
        <v>391</v>
      </c>
      <c r="AN631" s="848" t="str">
        <f>IFERROR(VLOOKUP(E631,'liquidaciones '!$B$2:$C$1048576,2,0),"NO")</f>
        <v>NO</v>
      </c>
      <c r="AO631" s="944" t="str">
        <f>IFERROR(VLOOKUP(E631,'liquidaciones '!$B$2:$I$1048576,8,0),"")</f>
        <v/>
      </c>
      <c r="AP631" s="433"/>
      <c r="AQ631" s="433" t="s">
        <v>390</v>
      </c>
      <c r="AR631" s="433" t="s">
        <v>4219</v>
      </c>
      <c r="AS631" s="433" t="s">
        <v>3785</v>
      </c>
      <c r="AT631" s="966" t="s">
        <v>560</v>
      </c>
      <c r="AU631" s="964"/>
      <c r="AV631" s="301"/>
    </row>
    <row r="632" spans="3:48" ht="135" x14ac:dyDescent="0.25">
      <c r="C632" s="867">
        <v>193</v>
      </c>
      <c r="D632" s="867"/>
      <c r="E632" s="868" t="s">
        <v>4077</v>
      </c>
      <c r="F632" s="441" t="s">
        <v>2095</v>
      </c>
      <c r="G632" s="893">
        <v>830099766</v>
      </c>
      <c r="H632" s="1005" t="s">
        <v>4078</v>
      </c>
      <c r="I632" s="93">
        <v>57462030</v>
      </c>
      <c r="J632" s="873" t="s">
        <v>4077</v>
      </c>
      <c r="K632" s="295">
        <v>2018</v>
      </c>
      <c r="L632" s="546">
        <v>43280</v>
      </c>
      <c r="M632" s="546">
        <v>43304</v>
      </c>
      <c r="N632" s="546">
        <v>43577</v>
      </c>
      <c r="O632" s="127">
        <f>COUNTA(Modificaciones!I618,Modificaciones!K618,Modificaciones!M618,Modificaciones!O618)</f>
        <v>0</v>
      </c>
      <c r="P632" s="128">
        <f>VLOOKUP(E632,Modificaciones!$B$7:$Q$819,16,0)</f>
        <v>0</v>
      </c>
      <c r="Q632" s="129">
        <f>COUNTA(Modificaciones!S632,Modificaciones!U632,Modificaciones!W632,Modificaciones!Y632)</f>
        <v>0</v>
      </c>
      <c r="R632" s="130" t="str">
        <f>IF(Modificaciones!Z632=0,"",VLOOKUP(E632,Modificaciones!$B$7:$AA$500,25,0))</f>
        <v/>
      </c>
      <c r="S632" s="131" t="str">
        <f>IF(Modificaciones!AA632=0,"",VLOOKUP(E632,Modificaciones!$B$7:$AA$500,26,0))</f>
        <v/>
      </c>
      <c r="T632" s="855">
        <f t="shared" si="131"/>
        <v>43577</v>
      </c>
      <c r="U632" s="62">
        <f t="shared" si="132"/>
        <v>57462030</v>
      </c>
      <c r="V632" s="172">
        <f>VLOOKUP(E632,Modificaciones!$B$7:$AU$819,46,0)</f>
        <v>46206483</v>
      </c>
      <c r="W632" s="93">
        <f t="shared" si="133"/>
        <v>11255547</v>
      </c>
      <c r="X632" s="899" t="s">
        <v>4079</v>
      </c>
      <c r="Y632" s="852">
        <f t="shared" si="134"/>
        <v>0.8041220089161486</v>
      </c>
      <c r="Z632" s="42">
        <f t="shared" ca="1" si="135"/>
        <v>1</v>
      </c>
      <c r="AA632" s="43">
        <f t="shared" ca="1" si="136"/>
        <v>0.1958779910838514</v>
      </c>
      <c r="AB632" s="202" t="str">
        <f t="shared" ca="1" si="137"/>
        <v/>
      </c>
      <c r="AC632" s="44" t="str">
        <f t="shared" si="138"/>
        <v>NO</v>
      </c>
      <c r="AD632" s="760" t="s">
        <v>1710</v>
      </c>
      <c r="AE632" s="173" t="s">
        <v>1257</v>
      </c>
      <c r="AF632" s="281" t="s">
        <v>2098</v>
      </c>
      <c r="AG632" s="173" t="s">
        <v>1439</v>
      </c>
      <c r="AH632" s="281" t="s">
        <v>560</v>
      </c>
      <c r="AI632" s="305" t="s">
        <v>1509</v>
      </c>
      <c r="AJ632" s="305" t="s">
        <v>4034</v>
      </c>
      <c r="AK632" s="181" t="str">
        <f t="shared" ca="1" si="139"/>
        <v>TERMINO</v>
      </c>
      <c r="AL632" s="310" t="s">
        <v>582</v>
      </c>
      <c r="AM632" s="176" t="s">
        <v>390</v>
      </c>
      <c r="AN632" s="848" t="str">
        <f>IFERROR(VLOOKUP(E632,'liquidaciones '!$B$2:$C$1048576,2,0),"NO")</f>
        <v>NO</v>
      </c>
      <c r="AO632" s="944" t="str">
        <f>IFERROR(VLOOKUP(E632,'liquidaciones '!$B$2:$I$1048576,8,0),"")</f>
        <v/>
      </c>
      <c r="AP632" s="433"/>
      <c r="AQ632" s="433" t="s">
        <v>390</v>
      </c>
      <c r="AR632" s="975" t="s">
        <v>4219</v>
      </c>
      <c r="AS632" s="433" t="s">
        <v>3785</v>
      </c>
      <c r="AT632" s="966" t="s">
        <v>560</v>
      </c>
      <c r="AU632" s="964"/>
      <c r="AV632" s="301" t="s">
        <v>4794</v>
      </c>
    </row>
    <row r="633" spans="3:48" ht="45" x14ac:dyDescent="0.25">
      <c r="C633" s="867"/>
      <c r="D633" s="867"/>
      <c r="E633" s="868" t="s">
        <v>4080</v>
      </c>
      <c r="F633" s="441" t="s">
        <v>4081</v>
      </c>
      <c r="G633" s="893">
        <v>19258732</v>
      </c>
      <c r="H633" s="1005" t="s">
        <v>4082</v>
      </c>
      <c r="I633" s="93">
        <v>52348000</v>
      </c>
      <c r="J633" s="873" t="s">
        <v>4091</v>
      </c>
      <c r="K633" s="295">
        <v>2018</v>
      </c>
      <c r="L633" s="546">
        <v>43279</v>
      </c>
      <c r="M633" s="546">
        <v>43297</v>
      </c>
      <c r="N633" s="546">
        <v>43358</v>
      </c>
      <c r="O633" s="127">
        <f>COUNTA(Modificaciones!I619,Modificaciones!K619,Modificaciones!M619,Modificaciones!O619)</f>
        <v>0</v>
      </c>
      <c r="P633" s="128">
        <f>VLOOKUP(E633,Modificaciones!$B$7:$Q$819,16,0)</f>
        <v>0</v>
      </c>
      <c r="Q633" s="129">
        <f>COUNTA(Modificaciones!S633,Modificaciones!U633,Modificaciones!W633,Modificaciones!Y633)</f>
        <v>0</v>
      </c>
      <c r="R633" s="130" t="str">
        <f>IF(Modificaciones!Z633=0,"",VLOOKUP(E633,Modificaciones!$B$7:$AA$500,25,0))</f>
        <v/>
      </c>
      <c r="S633" s="131" t="str">
        <f>IF(Modificaciones!AA633=0,"",VLOOKUP(E633,Modificaciones!$B$7:$AA$500,26,0))</f>
        <v/>
      </c>
      <c r="T633" s="855">
        <f t="shared" si="131"/>
        <v>43358</v>
      </c>
      <c r="U633" s="62">
        <f t="shared" si="132"/>
        <v>52348000</v>
      </c>
      <c r="V633" s="172">
        <f>VLOOKUP(E633,Modificaciones!$B$7:$AU$819,46,0)</f>
        <v>52348000</v>
      </c>
      <c r="W633" s="93">
        <f t="shared" si="133"/>
        <v>0</v>
      </c>
      <c r="X633" s="309" t="s">
        <v>1895</v>
      </c>
      <c r="Y633" s="852">
        <f t="shared" si="134"/>
        <v>1</v>
      </c>
      <c r="Z633" s="42">
        <f t="shared" ca="1" si="135"/>
        <v>1</v>
      </c>
      <c r="AA633" s="43">
        <f t="shared" ca="1" si="136"/>
        <v>0</v>
      </c>
      <c r="AB633" s="202" t="str">
        <f t="shared" ca="1" si="137"/>
        <v/>
      </c>
      <c r="AC633" s="44" t="str">
        <f t="shared" si="138"/>
        <v>SI</v>
      </c>
      <c r="AD633" s="868" t="s">
        <v>1712</v>
      </c>
      <c r="AE633" s="871" t="s">
        <v>1256</v>
      </c>
      <c r="AF633" s="871" t="s">
        <v>2405</v>
      </c>
      <c r="AG633" s="173" t="s">
        <v>1442</v>
      </c>
      <c r="AH633" s="281" t="s">
        <v>559</v>
      </c>
      <c r="AI633" s="868" t="s">
        <v>3603</v>
      </c>
      <c r="AJ633" s="305" t="s">
        <v>4034</v>
      </c>
      <c r="AK633" s="181" t="str">
        <f t="shared" ca="1" si="139"/>
        <v>TERMINO</v>
      </c>
      <c r="AL633" s="181" t="s">
        <v>576</v>
      </c>
      <c r="AM633" s="433" t="s">
        <v>391</v>
      </c>
      <c r="AN633" s="848" t="str">
        <f>IFERROR(VLOOKUP(E633,'liquidaciones '!$B$2:$C$1048576,2,0),"NO")</f>
        <v>NO</v>
      </c>
      <c r="AO633" s="944" t="str">
        <f>IFERROR(VLOOKUP(E633,'liquidaciones '!$B$2:$I$1048576,8,0),"")</f>
        <v/>
      </c>
      <c r="AP633" s="433"/>
      <c r="AQ633" s="433" t="s">
        <v>390</v>
      </c>
      <c r="AR633" s="975" t="s">
        <v>4254</v>
      </c>
      <c r="AS633" s="433" t="s">
        <v>3781</v>
      </c>
      <c r="AT633" s="966" t="s">
        <v>559</v>
      </c>
      <c r="AU633" s="964"/>
      <c r="AV633" s="301"/>
    </row>
    <row r="634" spans="3:48" ht="112.5" x14ac:dyDescent="0.25">
      <c r="C634" s="867">
        <v>180</v>
      </c>
      <c r="D634" s="867"/>
      <c r="E634" s="868" t="s">
        <v>4083</v>
      </c>
      <c r="F634" s="441" t="s">
        <v>4084</v>
      </c>
      <c r="G634" s="1007">
        <v>900220002</v>
      </c>
      <c r="H634" s="1005" t="s">
        <v>4085</v>
      </c>
      <c r="I634" s="93">
        <v>43000000</v>
      </c>
      <c r="J634" s="873" t="s">
        <v>4092</v>
      </c>
      <c r="K634" s="295">
        <v>2018</v>
      </c>
      <c r="L634" s="546">
        <v>43278</v>
      </c>
      <c r="M634" s="546">
        <v>43286</v>
      </c>
      <c r="N634" s="546">
        <v>43650</v>
      </c>
      <c r="O634" s="127">
        <f>COUNTA(Modificaciones!I620,Modificaciones!K620,Modificaciones!M620,Modificaciones!O620)</f>
        <v>0</v>
      </c>
      <c r="P634" s="128">
        <f>VLOOKUP(E634,Modificaciones!$B$7:$Q$819,16,0)</f>
        <v>0</v>
      </c>
      <c r="Q634" s="129">
        <f>COUNTA(Modificaciones!S634,Modificaciones!U634,Modificaciones!W634,Modificaciones!Y634)</f>
        <v>0</v>
      </c>
      <c r="R634" s="130" t="str">
        <f>IF(Modificaciones!Z634=0,"",VLOOKUP(E634,Modificaciones!$B$7:$AA$500,25,0))</f>
        <v/>
      </c>
      <c r="S634" s="131" t="str">
        <f>IF(Modificaciones!AA634=0,"",VLOOKUP(E634,Modificaciones!$B$7:$AA$500,26,0))</f>
        <v/>
      </c>
      <c r="T634" s="855">
        <f t="shared" si="131"/>
        <v>43650</v>
      </c>
      <c r="U634" s="62">
        <f t="shared" si="132"/>
        <v>43000000</v>
      </c>
      <c r="V634" s="172">
        <f>VLOOKUP(E634,Modificaciones!$B$7:$AU$819,46,0)</f>
        <v>42701358</v>
      </c>
      <c r="W634" s="93">
        <f t="shared" si="133"/>
        <v>298642</v>
      </c>
      <c r="X634" s="314" t="s">
        <v>4086</v>
      </c>
      <c r="Y634" s="852">
        <f t="shared" si="134"/>
        <v>0.99305483720930232</v>
      </c>
      <c r="Z634" s="42">
        <f t="shared" ca="1" si="135"/>
        <v>0.98076923076923073</v>
      </c>
      <c r="AA634" s="43">
        <f t="shared" ca="1" si="136"/>
        <v>-1.2285606440071595E-2</v>
      </c>
      <c r="AB634" s="202">
        <f t="shared" ca="1" si="137"/>
        <v>7</v>
      </c>
      <c r="AC634" s="44" t="str">
        <f t="shared" si="138"/>
        <v>NO</v>
      </c>
      <c r="AD634" s="760" t="s">
        <v>1710</v>
      </c>
      <c r="AE634" s="871" t="s">
        <v>1257</v>
      </c>
      <c r="AF634" s="871" t="s">
        <v>2971</v>
      </c>
      <c r="AG634" s="173" t="s">
        <v>1439</v>
      </c>
      <c r="AH634" s="281" t="s">
        <v>560</v>
      </c>
      <c r="AI634" s="868"/>
      <c r="AJ634" s="305" t="s">
        <v>3880</v>
      </c>
      <c r="AK634" s="181" t="str">
        <f t="shared" ca="1" si="139"/>
        <v>EN EJECUCIÓN</v>
      </c>
      <c r="AL634" s="310" t="s">
        <v>576</v>
      </c>
      <c r="AM634" s="433" t="s">
        <v>390</v>
      </c>
      <c r="AN634" s="848" t="str">
        <f>IFERROR(VLOOKUP(E634,'liquidaciones '!$B$2:$C$1048576,2,0),"NO")</f>
        <v>NO</v>
      </c>
      <c r="AO634" s="944" t="str">
        <f>IFERROR(VLOOKUP(E634,'liquidaciones '!$B$2:$I$1048576,8,0),"")</f>
        <v/>
      </c>
      <c r="AP634" s="433"/>
      <c r="AQ634" s="177" t="s">
        <v>390</v>
      </c>
      <c r="AR634" s="975" t="s">
        <v>4219</v>
      </c>
      <c r="AS634" s="433" t="s">
        <v>3785</v>
      </c>
      <c r="AT634" s="966" t="s">
        <v>560</v>
      </c>
      <c r="AU634" s="964"/>
      <c r="AV634" s="301"/>
    </row>
    <row r="635" spans="3:48" ht="56.25" x14ac:dyDescent="0.25">
      <c r="C635" s="867">
        <v>3</v>
      </c>
      <c r="D635" s="867"/>
      <c r="E635" s="868" t="s">
        <v>4087</v>
      </c>
      <c r="F635" s="441" t="s">
        <v>4088</v>
      </c>
      <c r="G635" s="893" t="s">
        <v>4089</v>
      </c>
      <c r="H635" s="1005" t="s">
        <v>4090</v>
      </c>
      <c r="I635" s="93">
        <v>3059584</v>
      </c>
      <c r="J635" s="873" t="s">
        <v>4093</v>
      </c>
      <c r="K635" s="295">
        <v>2018</v>
      </c>
      <c r="L635" s="546">
        <v>43288</v>
      </c>
      <c r="M635" s="546">
        <v>43277</v>
      </c>
      <c r="N635" s="546">
        <v>43459</v>
      </c>
      <c r="O635" s="127">
        <f>COUNTA(Modificaciones!I621,Modificaciones!K621,Modificaciones!M621,Modificaciones!O621)</f>
        <v>0</v>
      </c>
      <c r="P635" s="128">
        <f>VLOOKUP(E635,Modificaciones!$B$7:$Q$819,16,0)</f>
        <v>0</v>
      </c>
      <c r="Q635" s="129">
        <f>COUNTA(Modificaciones!S635,Modificaciones!U635,Modificaciones!W635,Modificaciones!Y635)</f>
        <v>1</v>
      </c>
      <c r="R635" s="130" t="str">
        <f>IF(Modificaciones!Z635=0,"",VLOOKUP(E635,Modificaciones!$B$7:$AA$1419,25,0))</f>
        <v>1 mes</v>
      </c>
      <c r="S635" s="131">
        <f>IF(Modificaciones!AA635=0,"",VLOOKUP(E635,Modificaciones!$B$7:$AA$1419,26,0))</f>
        <v>43490</v>
      </c>
      <c r="T635" s="855">
        <f t="shared" si="131"/>
        <v>43490</v>
      </c>
      <c r="U635" s="62">
        <f t="shared" si="132"/>
        <v>3059584</v>
      </c>
      <c r="V635" s="172">
        <f>VLOOKUP(E635,Modificaciones!$B$7:$AU$819,46,0)</f>
        <v>1096099</v>
      </c>
      <c r="W635" s="93">
        <f t="shared" si="133"/>
        <v>1963485</v>
      </c>
      <c r="X635" s="442" t="s">
        <v>2574</v>
      </c>
      <c r="Y635" s="852">
        <f t="shared" si="134"/>
        <v>0.35825099098439528</v>
      </c>
      <c r="Z635" s="42">
        <f t="shared" ca="1" si="135"/>
        <v>1</v>
      </c>
      <c r="AA635" s="43">
        <f t="shared" ca="1" si="136"/>
        <v>0.64174900901560472</v>
      </c>
      <c r="AB635" s="202" t="str">
        <f t="shared" ca="1" si="137"/>
        <v/>
      </c>
      <c r="AC635" s="44" t="str">
        <f t="shared" si="138"/>
        <v>NO</v>
      </c>
      <c r="AD635" s="760" t="s">
        <v>1710</v>
      </c>
      <c r="AE635" s="173" t="s">
        <v>1256</v>
      </c>
      <c r="AF635" s="281" t="s">
        <v>1168</v>
      </c>
      <c r="AG635" s="173" t="s">
        <v>1442</v>
      </c>
      <c r="AH635" s="281" t="s">
        <v>560</v>
      </c>
      <c r="AI635" s="174" t="s">
        <v>1387</v>
      </c>
      <c r="AJ635" s="305" t="s">
        <v>3880</v>
      </c>
      <c r="AK635" s="181" t="str">
        <f t="shared" ca="1" si="139"/>
        <v>TERMINO</v>
      </c>
      <c r="AL635" s="181" t="s">
        <v>576</v>
      </c>
      <c r="AM635" s="433" t="s">
        <v>390</v>
      </c>
      <c r="AN635" s="848" t="str">
        <f>IFERROR(VLOOKUP(E635,'liquidaciones '!$B$2:$C$1048576,2,0),"NO")</f>
        <v>NO</v>
      </c>
      <c r="AO635" s="944" t="str">
        <f>IFERROR(VLOOKUP(E635,'liquidaciones '!$B$2:$I$1048576,8,0),"")</f>
        <v/>
      </c>
      <c r="AP635" s="433"/>
      <c r="AQ635" s="433" t="s">
        <v>390</v>
      </c>
      <c r="AR635" s="975" t="s">
        <v>4236</v>
      </c>
      <c r="AS635" s="433" t="s">
        <v>3822</v>
      </c>
      <c r="AT635" s="966" t="s">
        <v>560</v>
      </c>
      <c r="AU635" s="964"/>
      <c r="AV635" s="301" t="s">
        <v>4681</v>
      </c>
    </row>
    <row r="636" spans="3:48" ht="56.25" x14ac:dyDescent="0.25">
      <c r="C636" s="867">
        <v>42</v>
      </c>
      <c r="D636" s="867"/>
      <c r="E636" s="868" t="s">
        <v>4112</v>
      </c>
      <c r="F636" s="441" t="s">
        <v>4113</v>
      </c>
      <c r="G636" s="893">
        <v>900332934</v>
      </c>
      <c r="H636" s="1005" t="s">
        <v>3711</v>
      </c>
      <c r="I636" s="93">
        <v>2810000</v>
      </c>
      <c r="J636" s="873" t="s">
        <v>4114</v>
      </c>
      <c r="K636" s="295">
        <v>2018</v>
      </c>
      <c r="L636" s="546">
        <v>43286</v>
      </c>
      <c r="M636" s="546">
        <v>43311</v>
      </c>
      <c r="N636" s="546">
        <v>43494</v>
      </c>
      <c r="O636" s="127">
        <f>COUNTA(Modificaciones!I622,Modificaciones!K622,Modificaciones!M622,Modificaciones!O622)</f>
        <v>0</v>
      </c>
      <c r="P636" s="128">
        <f>VLOOKUP(E636,Modificaciones!$B$7:$Q$819,16,0)</f>
        <v>0</v>
      </c>
      <c r="Q636" s="129">
        <f>COUNTA(Modificaciones!S636,Modificaciones!U636,Modificaciones!W636,Modificaciones!Y636)</f>
        <v>0</v>
      </c>
      <c r="R636" s="130" t="str">
        <f>IF(Modificaciones!Z636=0,"",VLOOKUP(E636,Modificaciones!$B$7:$AA$500,25,0))</f>
        <v/>
      </c>
      <c r="S636" s="131" t="str">
        <f>IF(Modificaciones!AA636=0,"",VLOOKUP(E636,Modificaciones!$B$7:$AA$500,26,0))</f>
        <v/>
      </c>
      <c r="T636" s="855">
        <f t="shared" si="131"/>
        <v>43494</v>
      </c>
      <c r="U636" s="62">
        <f t="shared" si="132"/>
        <v>2810000</v>
      </c>
      <c r="V636" s="172">
        <f>VLOOKUP(E636,Modificaciones!$B$7:$AU$819,46,0)</f>
        <v>2430000</v>
      </c>
      <c r="W636" s="93">
        <f t="shared" si="133"/>
        <v>380000</v>
      </c>
      <c r="X636" s="314" t="s">
        <v>1187</v>
      </c>
      <c r="Y636" s="852">
        <f t="shared" si="134"/>
        <v>0.86476868327402134</v>
      </c>
      <c r="Z636" s="42">
        <f t="shared" ca="1" si="135"/>
        <v>1</v>
      </c>
      <c r="AA636" s="43">
        <f t="shared" ca="1" si="136"/>
        <v>0.13523131672597866</v>
      </c>
      <c r="AB636" s="202" t="str">
        <f t="shared" ca="1" si="137"/>
        <v/>
      </c>
      <c r="AC636" s="44" t="str">
        <f t="shared" si="138"/>
        <v>NO</v>
      </c>
      <c r="AD636" s="868"/>
      <c r="AE636" s="173" t="s">
        <v>1256</v>
      </c>
      <c r="AF636" s="281" t="s">
        <v>1136</v>
      </c>
      <c r="AG636" s="173" t="s">
        <v>1442</v>
      </c>
      <c r="AH636" s="281" t="s">
        <v>560</v>
      </c>
      <c r="AI636" s="174" t="s">
        <v>3603</v>
      </c>
      <c r="AJ636" s="305" t="s">
        <v>3880</v>
      </c>
      <c r="AK636" s="181" t="str">
        <f t="shared" ca="1" si="139"/>
        <v>TERMINO</v>
      </c>
      <c r="AL636" s="181" t="s">
        <v>576</v>
      </c>
      <c r="AM636" s="433" t="s">
        <v>390</v>
      </c>
      <c r="AN636" s="848" t="str">
        <f>IFERROR(VLOOKUP(E636,'liquidaciones '!$B$2:$C$1048576,2,0),"NO")</f>
        <v>NO</v>
      </c>
      <c r="AO636" s="944" t="str">
        <f>IFERROR(VLOOKUP(E636,'liquidaciones '!$B$2:$I$1048576,8,0),"")</f>
        <v/>
      </c>
      <c r="AP636" s="433"/>
      <c r="AQ636" s="433" t="s">
        <v>390</v>
      </c>
      <c r="AR636" s="177" t="s">
        <v>1510</v>
      </c>
      <c r="AS636" s="433" t="s">
        <v>1379</v>
      </c>
      <c r="AT636" s="966" t="s">
        <v>560</v>
      </c>
      <c r="AU636" s="964"/>
      <c r="AV636" s="301" t="s">
        <v>4677</v>
      </c>
    </row>
    <row r="637" spans="3:48" ht="30" x14ac:dyDescent="0.25">
      <c r="C637" s="867"/>
      <c r="D637" s="867"/>
      <c r="E637" s="868" t="s">
        <v>4115</v>
      </c>
      <c r="F637" s="441" t="s">
        <v>4117</v>
      </c>
      <c r="G637" s="893">
        <v>79667596</v>
      </c>
      <c r="H637" s="1005" t="s">
        <v>4116</v>
      </c>
      <c r="I637" s="93">
        <v>55138787</v>
      </c>
      <c r="J637" s="873" t="s">
        <v>4118</v>
      </c>
      <c r="K637" s="295">
        <v>2018</v>
      </c>
      <c r="L637" s="546">
        <v>43293</v>
      </c>
      <c r="M637" s="546">
        <v>43306</v>
      </c>
      <c r="N637" s="546">
        <v>43367</v>
      </c>
      <c r="O637" s="127">
        <f>COUNTA(Modificaciones!I623,Modificaciones!K623,Modificaciones!M623,Modificaciones!O623)</f>
        <v>1</v>
      </c>
      <c r="P637" s="128">
        <f>VLOOKUP(E637,Modificaciones!$B$7:$Q$819,16,0)</f>
        <v>5125473</v>
      </c>
      <c r="Q637" s="129">
        <f>COUNTA(Modificaciones!S637,Modificaciones!U637,Modificaciones!W637,Modificaciones!Y637)</f>
        <v>2</v>
      </c>
      <c r="R637" s="130" t="str">
        <f>IF(Modificaciones!Z637=0,"",VLOOKUP(E637,Modificaciones!$B$7:$AA$1419,25,0))</f>
        <v>30 días calendario</v>
      </c>
      <c r="S637" s="131">
        <f>IF(Modificaciones!AA637=0,"",VLOOKUP(E637,Modificaciones!$B$7:$AA$1419,26,0))</f>
        <v>43398</v>
      </c>
      <c r="T637" s="855">
        <f t="shared" si="131"/>
        <v>43398</v>
      </c>
      <c r="U637" s="62">
        <f t="shared" si="132"/>
        <v>60264260</v>
      </c>
      <c r="V637" s="172">
        <f>VLOOKUP(E637,Modificaciones!$B$7:$AU$819,46,0)</f>
        <v>60179424</v>
      </c>
      <c r="W637" s="93">
        <f t="shared" si="133"/>
        <v>84836</v>
      </c>
      <c r="X637" s="309" t="s">
        <v>1895</v>
      </c>
      <c r="Y637" s="852">
        <f t="shared" si="134"/>
        <v>0.99859226679295487</v>
      </c>
      <c r="Z637" s="42">
        <f t="shared" ca="1" si="135"/>
        <v>1</v>
      </c>
      <c r="AA637" s="43">
        <f t="shared" ca="1" si="136"/>
        <v>1.4077332070451254E-3</v>
      </c>
      <c r="AB637" s="202" t="str">
        <f t="shared" ca="1" si="137"/>
        <v/>
      </c>
      <c r="AC637" s="44" t="str">
        <f t="shared" si="138"/>
        <v>NO</v>
      </c>
      <c r="AD637" s="868" t="s">
        <v>1712</v>
      </c>
      <c r="AE637" s="871" t="s">
        <v>1256</v>
      </c>
      <c r="AF637" s="871" t="s">
        <v>2405</v>
      </c>
      <c r="AG637" s="173" t="s">
        <v>1442</v>
      </c>
      <c r="AH637" s="281" t="s">
        <v>559</v>
      </c>
      <c r="AI637" s="868" t="s">
        <v>3603</v>
      </c>
      <c r="AJ637" s="305" t="s">
        <v>4034</v>
      </c>
      <c r="AK637" s="181" t="str">
        <f t="shared" ca="1" si="139"/>
        <v>TERMINO</v>
      </c>
      <c r="AL637" s="181" t="s">
        <v>576</v>
      </c>
      <c r="AM637" s="433" t="s">
        <v>391</v>
      </c>
      <c r="AN637" s="848" t="str">
        <f>IFERROR(VLOOKUP(E637,'liquidaciones '!$B$2:$C$1048576,2,0),"NO")</f>
        <v>NO</v>
      </c>
      <c r="AO637" s="944" t="str">
        <f>IFERROR(VLOOKUP(E637,'liquidaciones '!$B$2:$I$1048576,8,0),"")</f>
        <v/>
      </c>
      <c r="AP637" s="433"/>
      <c r="AQ637" s="433" t="s">
        <v>390</v>
      </c>
      <c r="AR637" s="1010" t="s">
        <v>4254</v>
      </c>
      <c r="AS637" s="433" t="s">
        <v>3781</v>
      </c>
      <c r="AT637" s="966" t="s">
        <v>559</v>
      </c>
      <c r="AU637" s="964"/>
      <c r="AV637" s="301"/>
    </row>
    <row r="638" spans="3:48" ht="48.75" customHeight="1" x14ac:dyDescent="0.25">
      <c r="C638" s="867"/>
      <c r="D638" s="867"/>
      <c r="E638" s="868" t="s">
        <v>4119</v>
      </c>
      <c r="F638" s="441" t="s">
        <v>4120</v>
      </c>
      <c r="G638" s="893">
        <v>860403052</v>
      </c>
      <c r="H638" s="1005" t="s">
        <v>4121</v>
      </c>
      <c r="I638" s="93">
        <v>32450000</v>
      </c>
      <c r="J638" s="873" t="s">
        <v>4122</v>
      </c>
      <c r="K638" s="295">
        <v>2018</v>
      </c>
      <c r="L638" s="546">
        <v>43299</v>
      </c>
      <c r="M638" s="546">
        <v>43308</v>
      </c>
      <c r="N638" s="546">
        <v>43399</v>
      </c>
      <c r="O638" s="127">
        <f>COUNTA(Modificaciones!I624,Modificaciones!K624,Modificaciones!M624,Modificaciones!O624)</f>
        <v>0</v>
      </c>
      <c r="P638" s="128">
        <f>VLOOKUP(E638,Modificaciones!$B$7:$Q$819,16,0)</f>
        <v>0</v>
      </c>
      <c r="Q638" s="129">
        <f>COUNTA(Modificaciones!S638,Modificaciones!U638,Modificaciones!W638,Modificaciones!Y638)</f>
        <v>1</v>
      </c>
      <c r="R638" s="130" t="str">
        <f>IF(Modificaciones!Z638=0,"",VLOOKUP(E638,Modificaciones!$B$7:$AA$1419,25,0))</f>
        <v>4 meses y 11 días</v>
      </c>
      <c r="S638" s="131">
        <f>IF(Modificaciones!AA638=0,"",VLOOKUP(E638,Modificaciones!$B$7:$AA$1419,26,0))</f>
        <v>43441</v>
      </c>
      <c r="T638" s="855">
        <f t="shared" si="131"/>
        <v>43441</v>
      </c>
      <c r="U638" s="62">
        <f t="shared" si="132"/>
        <v>32450000</v>
      </c>
      <c r="V638" s="172">
        <f>VLOOKUP(E638,Modificaciones!$B$7:$AU$819,46,0)</f>
        <v>32450000</v>
      </c>
      <c r="W638" s="93">
        <f t="shared" si="133"/>
        <v>0</v>
      </c>
      <c r="X638" s="313" t="s">
        <v>4123</v>
      </c>
      <c r="Y638" s="852">
        <f t="shared" si="134"/>
        <v>1</v>
      </c>
      <c r="Z638" s="42">
        <f t="shared" ca="1" si="135"/>
        <v>1</v>
      </c>
      <c r="AA638" s="43">
        <f t="shared" ca="1" si="136"/>
        <v>0</v>
      </c>
      <c r="AB638" s="202" t="str">
        <f t="shared" ca="1" si="137"/>
        <v/>
      </c>
      <c r="AC638" s="44" t="str">
        <f t="shared" si="138"/>
        <v>SI</v>
      </c>
      <c r="AD638" s="868" t="s">
        <v>4125</v>
      </c>
      <c r="AE638" s="871" t="s">
        <v>1256</v>
      </c>
      <c r="AF638" s="871" t="s">
        <v>4124</v>
      </c>
      <c r="AG638" s="173" t="s">
        <v>1439</v>
      </c>
      <c r="AH638" s="281" t="s">
        <v>560</v>
      </c>
      <c r="AI638" s="868" t="s">
        <v>1509</v>
      </c>
      <c r="AJ638" s="305" t="s">
        <v>3880</v>
      </c>
      <c r="AK638" s="181" t="str">
        <f t="shared" ca="1" si="139"/>
        <v>TERMINO</v>
      </c>
      <c r="AL638" s="181" t="s">
        <v>576</v>
      </c>
      <c r="AM638" s="433" t="s">
        <v>390</v>
      </c>
      <c r="AN638" s="848" t="str">
        <f>IFERROR(VLOOKUP(E638,'liquidaciones '!$B$2:$C$1048576,2,0),"NO")</f>
        <v>NO</v>
      </c>
      <c r="AO638" s="944" t="str">
        <f>IFERROR(VLOOKUP(E638,'liquidaciones '!$B$2:$I$1048576,8,0),"")</f>
        <v/>
      </c>
      <c r="AP638" s="433"/>
      <c r="AQ638" s="433" t="s">
        <v>390</v>
      </c>
      <c r="AR638" s="975" t="s">
        <v>4219</v>
      </c>
      <c r="AS638" s="433" t="s">
        <v>3785</v>
      </c>
      <c r="AT638" s="966" t="s">
        <v>560</v>
      </c>
      <c r="AU638" s="964"/>
      <c r="AV638" s="301"/>
    </row>
    <row r="639" spans="3:48" ht="45" x14ac:dyDescent="0.25">
      <c r="C639" s="867"/>
      <c r="D639" s="867"/>
      <c r="E639" s="868" t="s">
        <v>4126</v>
      </c>
      <c r="F639" s="441" t="s">
        <v>4127</v>
      </c>
      <c r="G639" s="893">
        <v>52911222</v>
      </c>
      <c r="H639" s="1003" t="s">
        <v>2888</v>
      </c>
      <c r="I639" s="93">
        <v>41097000</v>
      </c>
      <c r="J639" s="873" t="s">
        <v>4126</v>
      </c>
      <c r="K639" s="295">
        <v>2018</v>
      </c>
      <c r="L639" s="546">
        <v>43280</v>
      </c>
      <c r="M639" s="546">
        <v>43287</v>
      </c>
      <c r="N639" s="546">
        <v>43496</v>
      </c>
      <c r="O639" s="127">
        <f>COUNTA(Modificaciones!I625,Modificaciones!K625,Modificaciones!M625,Modificaciones!O625)</f>
        <v>0</v>
      </c>
      <c r="P639" s="128">
        <f>VLOOKUP(E639,Modificaciones!$B$7:$Q$819,16,0)</f>
        <v>0</v>
      </c>
      <c r="Q639" s="129">
        <f>COUNTA(Modificaciones!S639,Modificaciones!U639,Modificaciones!W639,Modificaciones!Y639)</f>
        <v>0</v>
      </c>
      <c r="R639" s="130" t="str">
        <f>IF(Modificaciones!Z639=0,"",VLOOKUP(E639,Modificaciones!$B$7:$AA$500,25,0))</f>
        <v/>
      </c>
      <c r="S639" s="131" t="str">
        <f>IF(Modificaciones!AA639=0,"",VLOOKUP(E639,Modificaciones!$B$7:$AA$500,26,0))</f>
        <v/>
      </c>
      <c r="T639" s="855">
        <f t="shared" si="131"/>
        <v>43496</v>
      </c>
      <c r="U639" s="62">
        <f t="shared" si="132"/>
        <v>41097000</v>
      </c>
      <c r="V639" s="172">
        <f>VLOOKUP(E639,Modificaciones!$B$7:$AU$819,46,0)</f>
        <v>40118500</v>
      </c>
      <c r="W639" s="93">
        <f t="shared" si="133"/>
        <v>978500</v>
      </c>
      <c r="X639" s="309" t="s">
        <v>1095</v>
      </c>
      <c r="Y639" s="852">
        <f t="shared" si="134"/>
        <v>0.97619047619047616</v>
      </c>
      <c r="Z639" s="42">
        <f t="shared" ca="1" si="135"/>
        <v>1</v>
      </c>
      <c r="AA639" s="43">
        <f t="shared" ca="1" si="136"/>
        <v>2.3809523809523836E-2</v>
      </c>
      <c r="AB639" s="202" t="str">
        <f t="shared" ca="1" si="137"/>
        <v/>
      </c>
      <c r="AC639" s="44" t="str">
        <f t="shared" si="138"/>
        <v>NO</v>
      </c>
      <c r="AD639" s="760" t="s">
        <v>2898</v>
      </c>
      <c r="AE639" s="173" t="s">
        <v>1256</v>
      </c>
      <c r="AF639" s="173" t="s">
        <v>2496</v>
      </c>
      <c r="AG639" s="173" t="s">
        <v>1430</v>
      </c>
      <c r="AH639" s="281" t="s">
        <v>564</v>
      </c>
      <c r="AI639" s="305"/>
      <c r="AJ639" s="305" t="s">
        <v>3805</v>
      </c>
      <c r="AK639" s="181" t="str">
        <f t="shared" ca="1" si="139"/>
        <v>TERMINO</v>
      </c>
      <c r="AL639" s="310" t="s">
        <v>582</v>
      </c>
      <c r="AM639" s="176" t="s">
        <v>391</v>
      </c>
      <c r="AN639" s="848" t="str">
        <f>IFERROR(VLOOKUP(E639,'liquidaciones '!$B$2:$C$1048576,2,0),"NO")</f>
        <v>NO</v>
      </c>
      <c r="AO639" s="944" t="str">
        <f>IFERROR(VLOOKUP(E639,'liquidaciones '!$B$2:$I$1048576,8,0),"")</f>
        <v/>
      </c>
      <c r="AP639" s="433"/>
      <c r="AQ639" s="177" t="str">
        <f ca="1">IF((TODAY()-T639&lt;900),"SI","NO")</f>
        <v>SI</v>
      </c>
      <c r="AR639" s="433" t="s">
        <v>4235</v>
      </c>
      <c r="AS639" s="433"/>
      <c r="AT639" s="966" t="s">
        <v>564</v>
      </c>
      <c r="AU639" s="964"/>
      <c r="AV639" s="301"/>
    </row>
    <row r="640" spans="3:48" ht="33.75" x14ac:dyDescent="0.25">
      <c r="C640" s="867">
        <v>154</v>
      </c>
      <c r="D640" s="867"/>
      <c r="E640" s="868" t="s">
        <v>4129</v>
      </c>
      <c r="F640" s="441" t="s">
        <v>1338</v>
      </c>
      <c r="G640" s="906" t="s">
        <v>2723</v>
      </c>
      <c r="H640" s="1003" t="s">
        <v>3701</v>
      </c>
      <c r="I640" s="93">
        <v>88608961</v>
      </c>
      <c r="J640" s="873" t="s">
        <v>4129</v>
      </c>
      <c r="K640" s="295">
        <v>2018</v>
      </c>
      <c r="L640" s="546">
        <v>43280</v>
      </c>
      <c r="M640" s="546">
        <v>43295</v>
      </c>
      <c r="N640" s="546">
        <v>43537</v>
      </c>
      <c r="O640" s="127">
        <f>COUNTA(Modificaciones!I626,Modificaciones!K626,Modificaciones!M626,Modificaciones!O626)</f>
        <v>0</v>
      </c>
      <c r="P640" s="128">
        <f>VLOOKUP(E640,Modificaciones!$B$7:$Q$819,16,0)</f>
        <v>0</v>
      </c>
      <c r="Q640" s="129">
        <f>COUNTA(Modificaciones!S640,Modificaciones!U640,Modificaciones!W640,Modificaciones!Y640)</f>
        <v>0</v>
      </c>
      <c r="R640" s="130" t="str">
        <f>IF(Modificaciones!Z640=0,"",VLOOKUP(E640,Modificaciones!$B$7:$AA$500,25,0))</f>
        <v/>
      </c>
      <c r="S640" s="131" t="str">
        <f>IF(Modificaciones!AA640=0,"",VLOOKUP(E640,Modificaciones!$B$7:$AA$500,26,0))</f>
        <v/>
      </c>
      <c r="T640" s="855">
        <f t="shared" si="131"/>
        <v>43537</v>
      </c>
      <c r="U640" s="62">
        <f t="shared" si="132"/>
        <v>88608961</v>
      </c>
      <c r="V640" s="172">
        <f>VLOOKUP(E640,Modificaciones!$B$7:$AU$819,46,0)</f>
        <v>88608957</v>
      </c>
      <c r="W640" s="93">
        <f t="shared" si="133"/>
        <v>4</v>
      </c>
      <c r="X640" s="309" t="s">
        <v>2841</v>
      </c>
      <c r="Y640" s="852">
        <f t="shared" si="134"/>
        <v>0.99999995485783877</v>
      </c>
      <c r="Z640" s="42">
        <f t="shared" ca="1" si="135"/>
        <v>1</v>
      </c>
      <c r="AA640" s="43">
        <f t="shared" ca="1" si="136"/>
        <v>4.5142161231304101E-8</v>
      </c>
      <c r="AB640" s="202" t="str">
        <f t="shared" ca="1" si="137"/>
        <v/>
      </c>
      <c r="AC640" s="44" t="str">
        <f t="shared" si="138"/>
        <v>SI</v>
      </c>
      <c r="AD640" s="760" t="s">
        <v>1710</v>
      </c>
      <c r="AE640" s="173" t="s">
        <v>1257</v>
      </c>
      <c r="AF640" s="281" t="s">
        <v>1606</v>
      </c>
      <c r="AG640" s="173" t="s">
        <v>1439</v>
      </c>
      <c r="AH640" s="281" t="s">
        <v>560</v>
      </c>
      <c r="AI640" s="305" t="s">
        <v>1509</v>
      </c>
      <c r="AJ640" s="305" t="s">
        <v>3880</v>
      </c>
      <c r="AK640" s="181" t="str">
        <f t="shared" ca="1" si="139"/>
        <v>TERMINO</v>
      </c>
      <c r="AL640" s="310" t="s">
        <v>582</v>
      </c>
      <c r="AM640" s="176" t="s">
        <v>390</v>
      </c>
      <c r="AN640" s="848" t="str">
        <f>IFERROR(VLOOKUP(E640,'liquidaciones '!$B$2:$C$1048576,2,0),"NO")</f>
        <v>NO</v>
      </c>
      <c r="AO640" s="944" t="str">
        <f>IFERROR(VLOOKUP(E640,'liquidaciones '!$B$2:$I$1048576,8,0),"")</f>
        <v/>
      </c>
      <c r="AP640" s="433"/>
      <c r="AQ640" s="433" t="s">
        <v>390</v>
      </c>
      <c r="AR640" s="975" t="s">
        <v>4219</v>
      </c>
      <c r="AS640" s="433" t="s">
        <v>3785</v>
      </c>
      <c r="AT640" s="966" t="s">
        <v>560</v>
      </c>
      <c r="AU640" s="964"/>
      <c r="AV640" s="301"/>
    </row>
    <row r="641" spans="3:48" ht="112.5" x14ac:dyDescent="0.25">
      <c r="C641" s="867"/>
      <c r="D641" s="867"/>
      <c r="E641" s="868" t="s">
        <v>4131</v>
      </c>
      <c r="F641" s="441" t="s">
        <v>4132</v>
      </c>
      <c r="G641" s="893">
        <v>900254691</v>
      </c>
      <c r="H641" s="1005" t="s">
        <v>4133</v>
      </c>
      <c r="I641" s="93">
        <v>135000000</v>
      </c>
      <c r="J641" s="873" t="s">
        <v>4136</v>
      </c>
      <c r="K641" s="295">
        <v>2018</v>
      </c>
      <c r="L641" s="546">
        <v>43254</v>
      </c>
      <c r="M641" s="546">
        <v>43297</v>
      </c>
      <c r="N641" s="546">
        <v>43419</v>
      </c>
      <c r="O641" s="127">
        <f>COUNTA(Modificaciones!I627,Modificaciones!K627,Modificaciones!M627,Modificaciones!O627)</f>
        <v>0</v>
      </c>
      <c r="P641" s="128">
        <f>VLOOKUP(E641,Modificaciones!$B$7:$Q$819,16,0)</f>
        <v>0</v>
      </c>
      <c r="Q641" s="129">
        <f>COUNTA(Modificaciones!S641,Modificaciones!U641,Modificaciones!W641,Modificaciones!Y641)</f>
        <v>0</v>
      </c>
      <c r="R641" s="130" t="str">
        <f>IF(Modificaciones!Z641=0,"",VLOOKUP(E641,Modificaciones!$B$7:$AA$500,25,0))</f>
        <v/>
      </c>
      <c r="S641" s="131" t="str">
        <f>IF(Modificaciones!AA641=0,"",VLOOKUP(E641,Modificaciones!$B$7:$AA$500,26,0))</f>
        <v/>
      </c>
      <c r="T641" s="855">
        <f t="shared" si="131"/>
        <v>43419</v>
      </c>
      <c r="U641" s="62">
        <f t="shared" si="132"/>
        <v>135000000</v>
      </c>
      <c r="V641" s="172">
        <f>VLOOKUP(E641,Modificaciones!$B$7:$AU$819,46,0)</f>
        <v>135000000</v>
      </c>
      <c r="W641" s="93">
        <f t="shared" si="133"/>
        <v>0</v>
      </c>
      <c r="X641" s="314" t="s">
        <v>4134</v>
      </c>
      <c r="Y641" s="852">
        <f t="shared" si="134"/>
        <v>1</v>
      </c>
      <c r="Z641" s="42">
        <f t="shared" ca="1" si="135"/>
        <v>1</v>
      </c>
      <c r="AA641" s="43">
        <f t="shared" ca="1" si="136"/>
        <v>0</v>
      </c>
      <c r="AB641" s="202" t="str">
        <f t="shared" ca="1" si="137"/>
        <v/>
      </c>
      <c r="AC641" s="44" t="str">
        <f t="shared" si="138"/>
        <v>SI</v>
      </c>
      <c r="AD641" s="868" t="s">
        <v>1712</v>
      </c>
      <c r="AE641" s="871" t="s">
        <v>1257</v>
      </c>
      <c r="AF641" s="871" t="s">
        <v>4135</v>
      </c>
      <c r="AG641" s="173" t="s">
        <v>1439</v>
      </c>
      <c r="AH641" s="281" t="s">
        <v>560</v>
      </c>
      <c r="AI641" s="305" t="s">
        <v>1509</v>
      </c>
      <c r="AJ641" s="305" t="s">
        <v>3880</v>
      </c>
      <c r="AK641" s="181" t="str">
        <f t="shared" ca="1" si="139"/>
        <v>TERMINO</v>
      </c>
      <c r="AL641" s="310" t="s">
        <v>575</v>
      </c>
      <c r="AM641" s="433" t="s">
        <v>391</v>
      </c>
      <c r="AN641" s="848" t="str">
        <f>IFERROR(VLOOKUP(E641,'liquidaciones '!$B$2:$C$1048576,2,0),"NO")</f>
        <v>NO</v>
      </c>
      <c r="AO641" s="944" t="str">
        <f>IFERROR(VLOOKUP(E641,'liquidaciones '!$B$2:$I$1048576,8,0),"")</f>
        <v/>
      </c>
      <c r="AP641" s="433"/>
      <c r="AQ641" s="433" t="s">
        <v>390</v>
      </c>
      <c r="AR641" s="975" t="s">
        <v>4219</v>
      </c>
      <c r="AS641" s="433" t="s">
        <v>3785</v>
      </c>
      <c r="AT641" s="966" t="s">
        <v>560</v>
      </c>
      <c r="AU641" s="964"/>
      <c r="AV641" s="301"/>
    </row>
    <row r="642" spans="3:48" ht="45" x14ac:dyDescent="0.25">
      <c r="C642" s="867"/>
      <c r="D642" s="867"/>
      <c r="E642" s="868" t="s">
        <v>4145</v>
      </c>
      <c r="F642" s="441" t="s">
        <v>2915</v>
      </c>
      <c r="G642" s="906">
        <v>41690000</v>
      </c>
      <c r="H642" s="1003" t="s">
        <v>2916</v>
      </c>
      <c r="I642" s="93">
        <v>27120000</v>
      </c>
      <c r="J642" s="1011" t="s">
        <v>4176</v>
      </c>
      <c r="K642" s="295">
        <v>2018</v>
      </c>
      <c r="L642" s="546">
        <v>43307</v>
      </c>
      <c r="M642" s="546">
        <v>43313</v>
      </c>
      <c r="N642" s="546">
        <v>43496</v>
      </c>
      <c r="O642" s="127">
        <f>COUNTA(Modificaciones!I628,Modificaciones!K628,Modificaciones!M628,Modificaciones!O628)</f>
        <v>2</v>
      </c>
      <c r="P642" s="128">
        <f>VLOOKUP(E642,Modificaciones!$B$7:$Q$819,16,0)</f>
        <v>13560000</v>
      </c>
      <c r="Q642" s="129">
        <f>COUNTA(Modificaciones!S642,Modificaciones!U642,Modificaciones!W642,Modificaciones!Y642)</f>
        <v>1</v>
      </c>
      <c r="R642" s="130" t="str">
        <f>IF(Modificaciones!Z642=0,"",VLOOKUP(E642,Modificaciones!$B$7:$AA$1419,25,0))</f>
        <v>3 meses</v>
      </c>
      <c r="S642" s="131">
        <f>IF(Modificaciones!AA642=0,"",VLOOKUP(E642,Modificaciones!$B$7:$AA$1419,26,0))</f>
        <v>43585</v>
      </c>
      <c r="T642" s="855">
        <f t="shared" si="131"/>
        <v>43585</v>
      </c>
      <c r="U642" s="62">
        <f t="shared" si="132"/>
        <v>40680000</v>
      </c>
      <c r="V642" s="172">
        <f>VLOOKUP(E642,Modificaciones!$B$7:$AU$819,46,0)</f>
        <v>40680000</v>
      </c>
      <c r="W642" s="93">
        <f t="shared" si="133"/>
        <v>0</v>
      </c>
      <c r="X642" s="309" t="s">
        <v>1095</v>
      </c>
      <c r="Y642" s="852">
        <f t="shared" si="134"/>
        <v>1</v>
      </c>
      <c r="Z642" s="42">
        <f t="shared" ca="1" si="135"/>
        <v>1</v>
      </c>
      <c r="AA642" s="43">
        <f t="shared" ca="1" si="136"/>
        <v>0</v>
      </c>
      <c r="AB642" s="202" t="str">
        <f t="shared" ca="1" si="137"/>
        <v/>
      </c>
      <c r="AC642" s="44" t="str">
        <f t="shared" si="138"/>
        <v>SI</v>
      </c>
      <c r="AD642" s="760" t="s">
        <v>2898</v>
      </c>
      <c r="AE642" s="173" t="s">
        <v>1256</v>
      </c>
      <c r="AF642" s="173" t="s">
        <v>4930</v>
      </c>
      <c r="AG642" s="173" t="s">
        <v>1440</v>
      </c>
      <c r="AH642" s="281" t="s">
        <v>562</v>
      </c>
      <c r="AI642" s="868"/>
      <c r="AJ642" s="305" t="s">
        <v>3993</v>
      </c>
      <c r="AK642" s="181" t="str">
        <f t="shared" ca="1" si="139"/>
        <v>TERMINO</v>
      </c>
      <c r="AL642" s="181" t="s">
        <v>582</v>
      </c>
      <c r="AM642" s="433" t="s">
        <v>391</v>
      </c>
      <c r="AN642" s="848" t="str">
        <f>IFERROR(VLOOKUP(E642,'liquidaciones '!$B$2:$C$1048576,2,0),"NO")</f>
        <v>NO</v>
      </c>
      <c r="AO642" s="944" t="str">
        <f>IFERROR(VLOOKUP(E642,'liquidaciones '!$B$2:$I$1048576,8,0),"")</f>
        <v/>
      </c>
      <c r="AP642" s="433"/>
      <c r="AQ642" s="433" t="s">
        <v>390</v>
      </c>
      <c r="AR642" s="975" t="s">
        <v>4255</v>
      </c>
      <c r="AS642" s="433"/>
      <c r="AT642" s="966" t="s">
        <v>3994</v>
      </c>
      <c r="AU642" s="964"/>
      <c r="AV642" s="301" t="s">
        <v>4882</v>
      </c>
    </row>
    <row r="643" spans="3:48" ht="45" x14ac:dyDescent="0.25">
      <c r="C643" s="867">
        <v>73</v>
      </c>
      <c r="D643" s="867"/>
      <c r="E643" s="868" t="s">
        <v>4147</v>
      </c>
      <c r="F643" s="441" t="s">
        <v>4148</v>
      </c>
      <c r="G643" s="893">
        <v>1032424231</v>
      </c>
      <c r="H643" s="1003" t="s">
        <v>2489</v>
      </c>
      <c r="I643" s="93">
        <v>32814000</v>
      </c>
      <c r="J643" s="863" t="s">
        <v>4178</v>
      </c>
      <c r="K643" s="295">
        <v>2018</v>
      </c>
      <c r="L643" s="546">
        <v>43311</v>
      </c>
      <c r="M643" s="546">
        <v>43313</v>
      </c>
      <c r="N643" s="546">
        <v>43496</v>
      </c>
      <c r="O643" s="127">
        <f>COUNTA(Modificaciones!I629,Modificaciones!K629,Modificaciones!M629,Modificaciones!O629)</f>
        <v>0</v>
      </c>
      <c r="P643" s="128">
        <f>VLOOKUP(E643,Modificaciones!$B$7:$Q$819,16,0)</f>
        <v>0</v>
      </c>
      <c r="Q643" s="129">
        <f>COUNTA(Modificaciones!S643,Modificaciones!U643,Modificaciones!W643,Modificaciones!Y643)</f>
        <v>0</v>
      </c>
      <c r="R643" s="130" t="str">
        <f>IF(Modificaciones!Z643=0,"",VLOOKUP(E643,Modificaciones!$B$7:$AA$500,25,0))</f>
        <v/>
      </c>
      <c r="S643" s="131" t="str">
        <f>IF(Modificaciones!AA643=0,"",VLOOKUP(E643,Modificaciones!$B$7:$AA$500,26,0))</f>
        <v/>
      </c>
      <c r="T643" s="855">
        <f t="shared" si="131"/>
        <v>43496</v>
      </c>
      <c r="U643" s="62">
        <f t="shared" si="132"/>
        <v>32814000</v>
      </c>
      <c r="V643" s="172">
        <f>VLOOKUP(E643,Modificaciones!$B$7:$AU$819,46,0)</f>
        <v>32814000</v>
      </c>
      <c r="W643" s="93">
        <f t="shared" si="133"/>
        <v>0</v>
      </c>
      <c r="X643" s="309" t="s">
        <v>1095</v>
      </c>
      <c r="Y643" s="852">
        <f t="shared" si="134"/>
        <v>1</v>
      </c>
      <c r="Z643" s="42">
        <f t="shared" ca="1" si="135"/>
        <v>1</v>
      </c>
      <c r="AA643" s="43">
        <f t="shared" ca="1" si="136"/>
        <v>0</v>
      </c>
      <c r="AB643" s="202" t="str">
        <f t="shared" ca="1" si="137"/>
        <v/>
      </c>
      <c r="AC643" s="44" t="str">
        <f t="shared" si="138"/>
        <v>SI</v>
      </c>
      <c r="AD643" s="760" t="s">
        <v>2898</v>
      </c>
      <c r="AE643" s="173" t="s">
        <v>1256</v>
      </c>
      <c r="AF643" s="173" t="s">
        <v>2490</v>
      </c>
      <c r="AG643" s="173" t="s">
        <v>1430</v>
      </c>
      <c r="AH643" s="281" t="s">
        <v>564</v>
      </c>
      <c r="AI643" s="305"/>
      <c r="AJ643" s="305" t="s">
        <v>3805</v>
      </c>
      <c r="AK643" s="181" t="str">
        <f t="shared" ca="1" si="139"/>
        <v>TERMINO</v>
      </c>
      <c r="AL643" s="181" t="s">
        <v>582</v>
      </c>
      <c r="AM643" s="433" t="s">
        <v>391</v>
      </c>
      <c r="AN643" s="848" t="str">
        <f>IFERROR(VLOOKUP(E643,'liquidaciones '!$B$2:$C$1048576,2,0),"NO")</f>
        <v>NO</v>
      </c>
      <c r="AO643" s="944" t="str">
        <f>IFERROR(VLOOKUP(E643,'liquidaciones '!$B$2:$I$1048576,8,0),"")</f>
        <v/>
      </c>
      <c r="AP643" s="433"/>
      <c r="AQ643" s="433" t="s">
        <v>390</v>
      </c>
      <c r="AR643" s="975" t="s">
        <v>1510</v>
      </c>
      <c r="AS643" s="433"/>
      <c r="AT643" s="966" t="s">
        <v>564</v>
      </c>
      <c r="AU643" s="964"/>
      <c r="AV643" s="301"/>
    </row>
    <row r="644" spans="3:48" ht="180" x14ac:dyDescent="0.25">
      <c r="C644" s="867">
        <v>82</v>
      </c>
      <c r="D644" s="867"/>
      <c r="E644" s="868" t="s">
        <v>4149</v>
      </c>
      <c r="F644" s="441" t="s">
        <v>2435</v>
      </c>
      <c r="G644" s="903">
        <v>900475780</v>
      </c>
      <c r="H644" s="1001" t="s">
        <v>3694</v>
      </c>
      <c r="I644" s="93">
        <v>2414107000</v>
      </c>
      <c r="J644" s="863" t="s">
        <v>4180</v>
      </c>
      <c r="K644" s="295">
        <v>2018</v>
      </c>
      <c r="L644" s="546">
        <v>43312</v>
      </c>
      <c r="M644" s="546">
        <v>43313</v>
      </c>
      <c r="N644" s="546">
        <v>43488</v>
      </c>
      <c r="O644" s="127">
        <f>COUNTA(Modificaciones!I630,Modificaciones!K630,Modificaciones!M630,Modificaciones!O630)</f>
        <v>0</v>
      </c>
      <c r="P644" s="128">
        <f>VLOOKUP(E644,Modificaciones!$B$7:$Q$819,16,0)</f>
        <v>0</v>
      </c>
      <c r="Q644" s="129">
        <f>COUNTA(Modificaciones!S644,Modificaciones!U644,Modificaciones!W644,Modificaciones!Y644)</f>
        <v>0</v>
      </c>
      <c r="R644" s="130" t="str">
        <f>IF(Modificaciones!Z644=0,"",VLOOKUP(E644,Modificaciones!$B$7:$AA$500,25,0))</f>
        <v/>
      </c>
      <c r="S644" s="131" t="str">
        <f>IF(Modificaciones!AA644=0,"",VLOOKUP(E644,Modificaciones!$B$7:$AA$500,26,0))</f>
        <v/>
      </c>
      <c r="T644" s="855">
        <f t="shared" si="131"/>
        <v>43488</v>
      </c>
      <c r="U644" s="62">
        <f t="shared" si="132"/>
        <v>2414107000</v>
      </c>
      <c r="V644" s="172">
        <f>VLOOKUP(E644,Modificaciones!$B$7:$AU$819,46,0)</f>
        <v>2172696300</v>
      </c>
      <c r="W644" s="93">
        <f t="shared" si="133"/>
        <v>241410700</v>
      </c>
      <c r="X644" s="314" t="s">
        <v>4150</v>
      </c>
      <c r="Y644" s="852">
        <f t="shared" si="134"/>
        <v>0.9</v>
      </c>
      <c r="Z644" s="42">
        <f t="shared" ca="1" si="135"/>
        <v>1</v>
      </c>
      <c r="AA644" s="43">
        <f t="shared" ca="1" si="136"/>
        <v>9.9999999999999978E-2</v>
      </c>
      <c r="AB644" s="202" t="str">
        <f t="shared" ca="1" si="137"/>
        <v/>
      </c>
      <c r="AC644" s="44" t="str">
        <f t="shared" si="138"/>
        <v>NO</v>
      </c>
      <c r="AD644" s="760" t="s">
        <v>1719</v>
      </c>
      <c r="AE644" s="173" t="s">
        <v>1256</v>
      </c>
      <c r="AF644" s="281" t="s">
        <v>1508</v>
      </c>
      <c r="AG644" s="173" t="s">
        <v>1442</v>
      </c>
      <c r="AH644" s="868"/>
      <c r="AI644" s="868"/>
      <c r="AJ644" s="305" t="s">
        <v>2834</v>
      </c>
      <c r="AK644" s="181" t="str">
        <f t="shared" ca="1" si="139"/>
        <v>TERMINO</v>
      </c>
      <c r="AL644" s="181" t="s">
        <v>582</v>
      </c>
      <c r="AM644" s="433" t="s">
        <v>390</v>
      </c>
      <c r="AN644" s="848" t="str">
        <f>IFERROR(VLOOKUP(E644,'liquidaciones '!$B$2:$C$1048576,2,0),"NO")</f>
        <v>NO</v>
      </c>
      <c r="AO644" s="944" t="str">
        <f>IFERROR(VLOOKUP(E644,'liquidaciones '!$B$2:$I$1048576,8,0),"")</f>
        <v/>
      </c>
      <c r="AP644" s="433"/>
      <c r="AQ644" s="433" t="s">
        <v>390</v>
      </c>
      <c r="AR644" s="975" t="s">
        <v>4236</v>
      </c>
      <c r="AS644" s="433"/>
      <c r="AT644" s="966" t="s">
        <v>3947</v>
      </c>
      <c r="AU644" s="964"/>
      <c r="AV644" s="301"/>
    </row>
    <row r="645" spans="3:48" ht="78.75" x14ac:dyDescent="0.25">
      <c r="C645" s="867">
        <v>192</v>
      </c>
      <c r="D645" s="867"/>
      <c r="E645" s="868" t="s">
        <v>4151</v>
      </c>
      <c r="F645" s="441" t="s">
        <v>4152</v>
      </c>
      <c r="G645" s="893">
        <v>35510194</v>
      </c>
      <c r="H645" s="1001" t="s">
        <v>4153</v>
      </c>
      <c r="I645" s="93">
        <v>32812164</v>
      </c>
      <c r="J645" s="863" t="s">
        <v>4177</v>
      </c>
      <c r="K645" s="295">
        <v>2018</v>
      </c>
      <c r="L645" s="546">
        <v>43311</v>
      </c>
      <c r="M645" s="546">
        <v>43313</v>
      </c>
      <c r="N645" s="546">
        <v>43496</v>
      </c>
      <c r="O645" s="127">
        <f>COUNTA(Modificaciones!I631,Modificaciones!K631,Modificaciones!M631,Modificaciones!O631)</f>
        <v>0</v>
      </c>
      <c r="P645" s="128">
        <f>VLOOKUP(E645,Modificaciones!$B$7:$Q$819,16,0)</f>
        <v>10937388</v>
      </c>
      <c r="Q645" s="129">
        <f>COUNTA(Modificaciones!S645,Modificaciones!U645,Modificaciones!W645,Modificaciones!Y645)</f>
        <v>1</v>
      </c>
      <c r="R645" s="130" t="str">
        <f>IF(Modificaciones!Z645=0,"",VLOOKUP(E645,Modificaciones!$B$7:$AA$1419,25,0))</f>
        <v>2 meses</v>
      </c>
      <c r="S645" s="131">
        <f>IF(Modificaciones!AA645=0,"",VLOOKUP(E645,Modificaciones!$B$7:$AA$1419,26,0))</f>
        <v>43554</v>
      </c>
      <c r="T645" s="855">
        <f t="shared" si="131"/>
        <v>43554</v>
      </c>
      <c r="U645" s="62">
        <f t="shared" si="132"/>
        <v>43749552</v>
      </c>
      <c r="V645" s="172">
        <f>VLOOKUP(E645,Modificaciones!$B$7:$AU$819,46,0)</f>
        <v>43749552</v>
      </c>
      <c r="W645" s="93">
        <f t="shared" si="133"/>
        <v>0</v>
      </c>
      <c r="X645" s="309" t="s">
        <v>1095</v>
      </c>
      <c r="Y645" s="852">
        <f t="shared" si="134"/>
        <v>1</v>
      </c>
      <c r="Z645" s="42">
        <f t="shared" ca="1" si="135"/>
        <v>1</v>
      </c>
      <c r="AA645" s="43">
        <f t="shared" ca="1" si="136"/>
        <v>0</v>
      </c>
      <c r="AB645" s="202" t="str">
        <f t="shared" ca="1" si="137"/>
        <v/>
      </c>
      <c r="AC645" s="44" t="str">
        <f t="shared" si="138"/>
        <v>SI</v>
      </c>
      <c r="AD645" s="760" t="s">
        <v>2898</v>
      </c>
      <c r="AE645" s="173" t="s">
        <v>1257</v>
      </c>
      <c r="AF645" s="173" t="s">
        <v>2172</v>
      </c>
      <c r="AG645" s="173" t="s">
        <v>1439</v>
      </c>
      <c r="AH645" s="281" t="s">
        <v>560</v>
      </c>
      <c r="AI645" s="305" t="s">
        <v>1509</v>
      </c>
      <c r="AJ645" s="305" t="s">
        <v>3880</v>
      </c>
      <c r="AK645" s="181" t="str">
        <f t="shared" ca="1" si="139"/>
        <v>TERMINO</v>
      </c>
      <c r="AL645" s="181" t="s">
        <v>582</v>
      </c>
      <c r="AM645" s="433" t="s">
        <v>390</v>
      </c>
      <c r="AN645" s="848" t="str">
        <f>IFERROR(VLOOKUP(E645,'liquidaciones '!$B$2:$C$1048576,2,0),"NO")</f>
        <v>NO</v>
      </c>
      <c r="AO645" s="944" t="str">
        <f>IFERROR(VLOOKUP(E645,'liquidaciones '!$B$2:$I$1048576,8,0),"")</f>
        <v/>
      </c>
      <c r="AP645" s="433"/>
      <c r="AQ645" s="433" t="s">
        <v>390</v>
      </c>
      <c r="AR645" s="433" t="s">
        <v>4820</v>
      </c>
      <c r="AS645" s="433" t="s">
        <v>3785</v>
      </c>
      <c r="AT645" s="966" t="s">
        <v>560</v>
      </c>
      <c r="AU645" s="964"/>
      <c r="AV645" s="301" t="s">
        <v>4695</v>
      </c>
    </row>
    <row r="646" spans="3:48" ht="67.5" x14ac:dyDescent="0.25">
      <c r="C646" s="867">
        <v>114</v>
      </c>
      <c r="D646" s="867"/>
      <c r="E646" s="868" t="s">
        <v>4154</v>
      </c>
      <c r="F646" s="441" t="s">
        <v>3728</v>
      </c>
      <c r="G646" s="893">
        <v>860049921</v>
      </c>
      <c r="H646" s="1005" t="s">
        <v>4155</v>
      </c>
      <c r="I646" s="93">
        <v>9055900</v>
      </c>
      <c r="J646" s="873" t="s">
        <v>4181</v>
      </c>
      <c r="K646" s="295">
        <v>2018</v>
      </c>
      <c r="L646" s="546">
        <v>43299</v>
      </c>
      <c r="M646" s="546">
        <v>43315</v>
      </c>
      <c r="N646" s="546">
        <v>43436</v>
      </c>
      <c r="O646" s="127">
        <f>COUNTA(Modificaciones!I632,Modificaciones!K632,Modificaciones!M632,Modificaciones!O632)</f>
        <v>0</v>
      </c>
      <c r="P646" s="128">
        <f>VLOOKUP(E646,Modificaciones!$B$7:$Q$819,16,0)</f>
        <v>0</v>
      </c>
      <c r="Q646" s="129">
        <f>COUNTA(Modificaciones!S646,Modificaciones!U646,Modificaciones!W646,Modificaciones!Y646)</f>
        <v>0</v>
      </c>
      <c r="R646" s="130" t="str">
        <f>IF(Modificaciones!Z646=0,"",VLOOKUP(E646,Modificaciones!$B$7:$AA$500,25,0))</f>
        <v/>
      </c>
      <c r="S646" s="131" t="str">
        <f>IF(Modificaciones!AA646=0,"",VLOOKUP(E646,Modificaciones!$B$7:$AA$500,26,0))</f>
        <v/>
      </c>
      <c r="T646" s="855">
        <f t="shared" ref="T646:T675" si="140">MAX(N646,S646)</f>
        <v>43436</v>
      </c>
      <c r="U646" s="62">
        <f t="shared" ref="U646:U675" si="141">I646+P646</f>
        <v>9055900</v>
      </c>
      <c r="V646" s="172">
        <f>VLOOKUP(E646,Modificaciones!$B$7:$AU$819,46,0)</f>
        <v>9055900</v>
      </c>
      <c r="W646" s="93">
        <f t="shared" ref="W646:W675" si="142">U646-V646</f>
        <v>0</v>
      </c>
      <c r="X646" s="309" t="s">
        <v>3561</v>
      </c>
      <c r="Y646" s="852">
        <f t="shared" ref="Y646:Y675" si="143">(V646*100%)/U646</f>
        <v>1</v>
      </c>
      <c r="Z646" s="42">
        <f t="shared" ref="Z646:Z675" ca="1" si="144">IF((($F$3-M646)*100%/(T646-M646))&gt;100%,100%,(($F$3-M646)*100%/(T646-M646)))</f>
        <v>1</v>
      </c>
      <c r="AA646" s="43">
        <f t="shared" ref="AA646:AA675" ca="1" si="145">Z646-Y646</f>
        <v>0</v>
      </c>
      <c r="AB646" s="202" t="str">
        <f t="shared" ref="AB646:AB675" ca="1" si="146">IF(Z646&lt;100%,T646-$F$3,"")</f>
        <v/>
      </c>
      <c r="AC646" s="44" t="str">
        <f t="shared" ref="AC646:AC675" si="147">IF(Y646&lt;=99.9%,"NO","SI")</f>
        <v>SI</v>
      </c>
      <c r="AD646" s="760" t="s">
        <v>2570</v>
      </c>
      <c r="AE646" s="173" t="s">
        <v>1256</v>
      </c>
      <c r="AF646" s="281" t="s">
        <v>1974</v>
      </c>
      <c r="AG646" s="173"/>
      <c r="AH646" s="281" t="s">
        <v>563</v>
      </c>
      <c r="AI646" s="868"/>
      <c r="AJ646" s="305" t="s">
        <v>4034</v>
      </c>
      <c r="AK646" s="181" t="str">
        <f t="shared" ref="AK646:AK675" ca="1" si="148">IF(T646&gt;=$F$3,"EN EJECUCIÓN","TERMINO")</f>
        <v>TERMINO</v>
      </c>
      <c r="AL646" s="310" t="s">
        <v>582</v>
      </c>
      <c r="AM646" s="433" t="s">
        <v>390</v>
      </c>
      <c r="AN646" s="848" t="str">
        <f>IFERROR(VLOOKUP(E646,'liquidaciones '!$B$2:$C$1048576,2,0),"NO")</f>
        <v>NO</v>
      </c>
      <c r="AO646" s="944" t="str">
        <f>IFERROR(VLOOKUP(E646,'liquidaciones '!$B$2:$I$1048576,8,0),"")</f>
        <v/>
      </c>
      <c r="AP646" s="433"/>
      <c r="AQ646" s="433" t="s">
        <v>390</v>
      </c>
      <c r="AR646" s="987" t="s">
        <v>4255</v>
      </c>
      <c r="AS646" s="433"/>
      <c r="AT646" s="966" t="s">
        <v>4156</v>
      </c>
      <c r="AU646" s="964"/>
      <c r="AV646" s="301" t="s">
        <v>5002</v>
      </c>
    </row>
    <row r="647" spans="3:48" ht="45" x14ac:dyDescent="0.25">
      <c r="C647" s="867"/>
      <c r="D647" s="867"/>
      <c r="E647" s="868" t="s">
        <v>4157</v>
      </c>
      <c r="F647" s="441" t="s">
        <v>4158</v>
      </c>
      <c r="G647" s="893">
        <v>1098792121</v>
      </c>
      <c r="H647" s="1005" t="s">
        <v>4159</v>
      </c>
      <c r="I647" s="93">
        <v>18750000</v>
      </c>
      <c r="J647" s="873" t="s">
        <v>4183</v>
      </c>
      <c r="K647" s="295">
        <v>2018</v>
      </c>
      <c r="L647" s="546">
        <v>43311</v>
      </c>
      <c r="M647" s="546">
        <v>43313</v>
      </c>
      <c r="N647" s="546">
        <v>43496</v>
      </c>
      <c r="O647" s="127">
        <f>COUNTA(Modificaciones!I633,Modificaciones!K633,Modificaciones!M633,Modificaciones!O633)</f>
        <v>0</v>
      </c>
      <c r="P647" s="128">
        <f>VLOOKUP(E647,Modificaciones!$B$7:$Q$819,16,0)</f>
        <v>0</v>
      </c>
      <c r="Q647" s="129">
        <f>COUNTA(Modificaciones!S647,Modificaciones!U647,Modificaciones!W647,Modificaciones!Y647)</f>
        <v>0</v>
      </c>
      <c r="R647" s="130" t="str">
        <f>IF(Modificaciones!Z647=0,"",VLOOKUP(E647,Modificaciones!$B$7:$AA$500,25,0))</f>
        <v/>
      </c>
      <c r="S647" s="131" t="str">
        <f>IF(Modificaciones!AA647=0,"",VLOOKUP(E647,Modificaciones!$B$7:$AA$500,26,0))</f>
        <v/>
      </c>
      <c r="T647" s="855">
        <f t="shared" si="140"/>
        <v>43496</v>
      </c>
      <c r="U647" s="62">
        <f t="shared" si="141"/>
        <v>18750000</v>
      </c>
      <c r="V647" s="172">
        <f>VLOOKUP(E647,Modificaciones!$B$7:$AU$819,46,0)</f>
        <v>18750000</v>
      </c>
      <c r="W647" s="93">
        <f t="shared" si="142"/>
        <v>0</v>
      </c>
      <c r="X647" s="309" t="s">
        <v>1095</v>
      </c>
      <c r="Y647" s="852">
        <f t="shared" si="143"/>
        <v>1</v>
      </c>
      <c r="Z647" s="42">
        <f t="shared" ca="1" si="144"/>
        <v>1</v>
      </c>
      <c r="AA647" s="43">
        <f t="shared" ca="1" si="145"/>
        <v>0</v>
      </c>
      <c r="AB647" s="202" t="str">
        <f t="shared" ca="1" si="146"/>
        <v/>
      </c>
      <c r="AC647" s="44" t="str">
        <f t="shared" si="147"/>
        <v>SI</v>
      </c>
      <c r="AD647" s="760" t="s">
        <v>2898</v>
      </c>
      <c r="AE647" s="173" t="s">
        <v>1256</v>
      </c>
      <c r="AF647" s="173" t="s">
        <v>2490</v>
      </c>
      <c r="AG647" s="173" t="s">
        <v>1177</v>
      </c>
      <c r="AH647" s="281" t="s">
        <v>559</v>
      </c>
      <c r="AI647" s="174"/>
      <c r="AJ647" s="305" t="s">
        <v>4252</v>
      </c>
      <c r="AK647" s="181" t="str">
        <f t="shared" ca="1" si="148"/>
        <v>TERMINO</v>
      </c>
      <c r="AL647" s="310" t="s">
        <v>582</v>
      </c>
      <c r="AM647" s="433" t="s">
        <v>391</v>
      </c>
      <c r="AN647" s="848" t="str">
        <f>IFERROR(VLOOKUP(E647,'liquidaciones '!$B$2:$C$1048576,2,0),"NO")</f>
        <v>NO</v>
      </c>
      <c r="AO647" s="944" t="str">
        <f>IFERROR(VLOOKUP(E647,'liquidaciones '!$B$2:$I$1048576,8,0),"")</f>
        <v/>
      </c>
      <c r="AP647" s="433"/>
      <c r="AQ647" s="433" t="s">
        <v>390</v>
      </c>
      <c r="AR647" s="987" t="s">
        <v>3055</v>
      </c>
      <c r="AS647" s="433"/>
      <c r="AT647" s="966" t="s">
        <v>3947</v>
      </c>
      <c r="AU647" s="964"/>
      <c r="AV647" s="301"/>
    </row>
    <row r="648" spans="3:48" ht="56.25" x14ac:dyDescent="0.25">
      <c r="C648" s="867">
        <v>108</v>
      </c>
      <c r="D648" s="867"/>
      <c r="E648" s="868" t="s">
        <v>4160</v>
      </c>
      <c r="F648" s="441" t="s">
        <v>4161</v>
      </c>
      <c r="G648" s="893">
        <v>39812526</v>
      </c>
      <c r="H648" s="1005" t="s">
        <v>4162</v>
      </c>
      <c r="I648" s="93">
        <v>32814000</v>
      </c>
      <c r="J648" s="873" t="s">
        <v>4599</v>
      </c>
      <c r="K648" s="295">
        <v>2018</v>
      </c>
      <c r="L648" s="546">
        <v>43313</v>
      </c>
      <c r="M648" s="546">
        <v>43315</v>
      </c>
      <c r="N648" s="546">
        <v>43496</v>
      </c>
      <c r="O648" s="127">
        <f>COUNTA(Modificaciones!I634,Modificaciones!K634,Modificaciones!M634,Modificaciones!O634)</f>
        <v>0</v>
      </c>
      <c r="P648" s="128">
        <f>VLOOKUP(E648,Modificaciones!$B$7:$Q$819,16,0)</f>
        <v>16042400</v>
      </c>
      <c r="Q648" s="129">
        <f>COUNTA(Modificaciones!S648,Modificaciones!U648,Modificaciones!W648,Modificaciones!Y648)</f>
        <v>1</v>
      </c>
      <c r="R648" s="130" t="str">
        <f>IF(Modificaciones!Z648=0,"",VLOOKUP(E648,Modificaciones!$B$7:$AA$1419,25,0))</f>
        <v>2 meses y 28 días</v>
      </c>
      <c r="S648" s="131">
        <f>IF(Modificaciones!AA648=0,"",VLOOKUP(E648,Modificaciones!$B$7:$AA$1419,26,0))</f>
        <v>43585</v>
      </c>
      <c r="T648" s="855">
        <f t="shared" si="140"/>
        <v>43585</v>
      </c>
      <c r="U648" s="62">
        <f t="shared" si="141"/>
        <v>48856400</v>
      </c>
      <c r="V648" s="172">
        <f>VLOOKUP(E648,Modificaciones!$B$7:$AU$819,46,0)</f>
        <v>48856000</v>
      </c>
      <c r="W648" s="93">
        <f t="shared" si="142"/>
        <v>400</v>
      </c>
      <c r="X648" s="309" t="s">
        <v>1095</v>
      </c>
      <c r="Y648" s="852">
        <f t="shared" si="143"/>
        <v>0.99999181274101245</v>
      </c>
      <c r="Z648" s="42">
        <f t="shared" ca="1" si="144"/>
        <v>1</v>
      </c>
      <c r="AA648" s="43">
        <f t="shared" ca="1" si="145"/>
        <v>8.1872589875464641E-6</v>
      </c>
      <c r="AB648" s="202" t="str">
        <f t="shared" ca="1" si="146"/>
        <v/>
      </c>
      <c r="AC648" s="44" t="str">
        <f t="shared" si="147"/>
        <v>SI</v>
      </c>
      <c r="AD648" s="760" t="s">
        <v>2898</v>
      </c>
      <c r="AE648" s="173" t="s">
        <v>1256</v>
      </c>
      <c r="AF648" s="173" t="s">
        <v>2487</v>
      </c>
      <c r="AG648" s="173"/>
      <c r="AH648" s="281" t="s">
        <v>562</v>
      </c>
      <c r="AI648" s="305"/>
      <c r="AJ648" s="305" t="s">
        <v>3993</v>
      </c>
      <c r="AK648" s="181" t="str">
        <f t="shared" ca="1" si="148"/>
        <v>TERMINO</v>
      </c>
      <c r="AL648" s="310" t="s">
        <v>582</v>
      </c>
      <c r="AM648" s="176" t="s">
        <v>391</v>
      </c>
      <c r="AN648" s="848" t="str">
        <f>IFERROR(VLOOKUP(E648,'liquidaciones '!$B$2:$C$1048576,2,0),"NO")</f>
        <v>NO</v>
      </c>
      <c r="AO648" s="944" t="str">
        <f>IFERROR(VLOOKUP(E648,'liquidaciones '!$B$2:$I$1048576,8,0),"")</f>
        <v/>
      </c>
      <c r="AP648" s="433"/>
      <c r="AQ648" s="433" t="s">
        <v>390</v>
      </c>
      <c r="AR648" s="433" t="s">
        <v>4820</v>
      </c>
      <c r="AS648" s="433"/>
      <c r="AT648" s="966" t="s">
        <v>3994</v>
      </c>
      <c r="AU648" s="964"/>
      <c r="AV648" s="301" t="s">
        <v>4919</v>
      </c>
    </row>
    <row r="649" spans="3:48" ht="33.75" x14ac:dyDescent="0.25">
      <c r="C649" s="867"/>
      <c r="D649" s="867"/>
      <c r="E649" s="868" t="s">
        <v>4163</v>
      </c>
      <c r="F649" s="441" t="s">
        <v>4164</v>
      </c>
      <c r="G649" s="893">
        <v>92030702</v>
      </c>
      <c r="H649" s="1005" t="s">
        <v>4165</v>
      </c>
      <c r="I649" s="93">
        <v>32814000</v>
      </c>
      <c r="J649" s="873" t="s">
        <v>4182</v>
      </c>
      <c r="K649" s="295">
        <v>2018</v>
      </c>
      <c r="L649" s="546">
        <v>43313</v>
      </c>
      <c r="M649" s="546">
        <v>43315</v>
      </c>
      <c r="N649" s="546">
        <v>43496</v>
      </c>
      <c r="O649" s="127">
        <f>COUNTA(Modificaciones!I635,Modificaciones!K635,Modificaciones!M635,Modificaciones!O635)</f>
        <v>0</v>
      </c>
      <c r="P649" s="128">
        <f>VLOOKUP(E649,Modificaciones!$B$7:$Q$819,16,0)</f>
        <v>16042400</v>
      </c>
      <c r="Q649" s="129">
        <f>COUNTA(Modificaciones!S649,Modificaciones!U649,Modificaciones!W649,Modificaciones!Y649)</f>
        <v>1</v>
      </c>
      <c r="R649" s="130" t="str">
        <f>IF(Modificaciones!Z649=0,"",VLOOKUP(E649,Modificaciones!$B$7:$AA$1419,25,0))</f>
        <v>2 meses y 28 días calendario</v>
      </c>
      <c r="S649" s="131">
        <f>IF(Modificaciones!AA649=0,"",VLOOKUP(E649,Modificaciones!$B$7:$AA$1419,26,0))</f>
        <v>43585</v>
      </c>
      <c r="T649" s="855">
        <f t="shared" si="140"/>
        <v>43585</v>
      </c>
      <c r="U649" s="62">
        <f t="shared" si="141"/>
        <v>48856400</v>
      </c>
      <c r="V649" s="172">
        <f>VLOOKUP(E649,Modificaciones!$B$7:$AU$819,46,0)</f>
        <v>48856400</v>
      </c>
      <c r="W649" s="93">
        <f t="shared" si="142"/>
        <v>0</v>
      </c>
      <c r="X649" s="309" t="s">
        <v>1095</v>
      </c>
      <c r="Y649" s="852">
        <f t="shared" si="143"/>
        <v>1</v>
      </c>
      <c r="Z649" s="42">
        <f t="shared" ca="1" si="144"/>
        <v>1</v>
      </c>
      <c r="AA649" s="43">
        <f t="shared" ca="1" si="145"/>
        <v>0</v>
      </c>
      <c r="AB649" s="202" t="str">
        <f t="shared" ca="1" si="146"/>
        <v/>
      </c>
      <c r="AC649" s="44" t="str">
        <f t="shared" si="147"/>
        <v>SI</v>
      </c>
      <c r="AD649" s="760" t="s">
        <v>2898</v>
      </c>
      <c r="AE649" s="173" t="s">
        <v>1256</v>
      </c>
      <c r="AF649" s="173" t="s">
        <v>2493</v>
      </c>
      <c r="AG649" s="173" t="s">
        <v>2500</v>
      </c>
      <c r="AH649" s="281" t="s">
        <v>4624</v>
      </c>
      <c r="AI649" s="305"/>
      <c r="AJ649" s="305" t="s">
        <v>4034</v>
      </c>
      <c r="AK649" s="181" t="str">
        <f t="shared" ca="1" si="148"/>
        <v>TERMINO</v>
      </c>
      <c r="AL649" s="310" t="s">
        <v>582</v>
      </c>
      <c r="AM649" s="176" t="s">
        <v>391</v>
      </c>
      <c r="AN649" s="848" t="str">
        <f>IFERROR(VLOOKUP(E649,'liquidaciones '!$B$2:$C$1048576,2,0),"NO")</f>
        <v>NO</v>
      </c>
      <c r="AO649" s="944" t="str">
        <f>IFERROR(VLOOKUP(E649,'liquidaciones '!$B$2:$I$1048576,8,0),"")</f>
        <v/>
      </c>
      <c r="AP649" s="433"/>
      <c r="AQ649" s="177" t="s">
        <v>390</v>
      </c>
      <c r="AR649" s="433" t="s">
        <v>4255</v>
      </c>
      <c r="AS649" s="433"/>
      <c r="AT649" s="966" t="s">
        <v>3947</v>
      </c>
      <c r="AU649" s="964"/>
      <c r="AV649" s="301" t="s">
        <v>5001</v>
      </c>
    </row>
    <row r="650" spans="3:48" ht="33.75" x14ac:dyDescent="0.25">
      <c r="C650" s="867"/>
      <c r="D650" s="867"/>
      <c r="E650" s="868" t="s">
        <v>4166</v>
      </c>
      <c r="F650" s="441" t="s">
        <v>4167</v>
      </c>
      <c r="G650" s="893">
        <v>1013610856</v>
      </c>
      <c r="H650" s="1005" t="s">
        <v>4168</v>
      </c>
      <c r="I650" s="93">
        <v>21286909</v>
      </c>
      <c r="J650" s="863" t="s">
        <v>4179</v>
      </c>
      <c r="K650" s="295">
        <v>2018</v>
      </c>
      <c r="L650" s="546">
        <v>43313</v>
      </c>
      <c r="M650" s="546">
        <v>43315</v>
      </c>
      <c r="N650" s="546">
        <v>43496</v>
      </c>
      <c r="O650" s="127">
        <f>COUNTA(Modificaciones!I636,Modificaciones!K636,Modificaciones!M636,Modificaciones!O636)</f>
        <v>0</v>
      </c>
      <c r="P650" s="128">
        <f>VLOOKUP(E650,Modificaciones!$B$7:$Q$819,16,0)</f>
        <v>6740854</v>
      </c>
      <c r="Q650" s="129">
        <f>COUNTA(Modificaciones!S650,Modificaciones!U650,Modificaciones!W650,Modificaciones!Y650)</f>
        <v>1</v>
      </c>
      <c r="R650" s="130" t="str">
        <f>IF(Modificaciones!Z650=0,"",VLOOKUP(E650,Modificaciones!$B$7:$AA$1419,25,0))</f>
        <v>1 mes y 27 días</v>
      </c>
      <c r="S650" s="131">
        <f>IF(Modificaciones!AA650=0,"",VLOOKUP(E650,Modificaciones!$B$7:$AA$1419,26,0))</f>
        <v>43554</v>
      </c>
      <c r="T650" s="855">
        <f t="shared" si="140"/>
        <v>43554</v>
      </c>
      <c r="U650" s="62">
        <f t="shared" si="141"/>
        <v>28027763</v>
      </c>
      <c r="V650" s="172">
        <f>VLOOKUP(E650,Modificaciones!$B$7:$AU$819,46,0)</f>
        <v>28027763</v>
      </c>
      <c r="W650" s="93">
        <f t="shared" si="142"/>
        <v>0</v>
      </c>
      <c r="X650" s="309" t="s">
        <v>1095</v>
      </c>
      <c r="Y650" s="852">
        <f t="shared" si="143"/>
        <v>1</v>
      </c>
      <c r="Z650" s="42">
        <f t="shared" ca="1" si="144"/>
        <v>1</v>
      </c>
      <c r="AA650" s="43">
        <f t="shared" ca="1" si="145"/>
        <v>0</v>
      </c>
      <c r="AB650" s="202" t="str">
        <f t="shared" ca="1" si="146"/>
        <v/>
      </c>
      <c r="AC650" s="44" t="str">
        <f t="shared" si="147"/>
        <v>SI</v>
      </c>
      <c r="AD650" s="760" t="s">
        <v>2898</v>
      </c>
      <c r="AE650" s="173" t="s">
        <v>1256</v>
      </c>
      <c r="AF650" s="173" t="s">
        <v>2178</v>
      </c>
      <c r="AG650" s="173" t="s">
        <v>1439</v>
      </c>
      <c r="AH650" s="281" t="s">
        <v>560</v>
      </c>
      <c r="AI650" s="305" t="s">
        <v>1509</v>
      </c>
      <c r="AJ650" s="305" t="s">
        <v>3880</v>
      </c>
      <c r="AK650" s="181" t="str">
        <f t="shared" ca="1" si="148"/>
        <v>TERMINO</v>
      </c>
      <c r="AL650" s="181" t="s">
        <v>582</v>
      </c>
      <c r="AM650" s="433" t="s">
        <v>391</v>
      </c>
      <c r="AN650" s="848" t="str">
        <f>IFERROR(VLOOKUP(E650,'liquidaciones '!$B$2:$C$1048576,2,0),"NO")</f>
        <v>NO</v>
      </c>
      <c r="AO650" s="944" t="str">
        <f>IFERROR(VLOOKUP(E650,'liquidaciones '!$B$2:$I$1048576,8,0),"")</f>
        <v/>
      </c>
      <c r="AP650" s="433"/>
      <c r="AQ650" s="177" t="s">
        <v>390</v>
      </c>
      <c r="AR650" s="433" t="s">
        <v>4820</v>
      </c>
      <c r="AS650" s="433" t="s">
        <v>3785</v>
      </c>
      <c r="AT650" s="966" t="s">
        <v>560</v>
      </c>
      <c r="AU650" s="964"/>
      <c r="AV650" s="301" t="s">
        <v>4891</v>
      </c>
    </row>
    <row r="651" spans="3:48" ht="56.25" x14ac:dyDescent="0.25">
      <c r="C651" s="867"/>
      <c r="D651" s="867"/>
      <c r="E651" s="868" t="s">
        <v>4169</v>
      </c>
      <c r="F651" s="441" t="s">
        <v>4170</v>
      </c>
      <c r="G651" s="893">
        <v>79629653</v>
      </c>
      <c r="H651" s="1003" t="s">
        <v>1544</v>
      </c>
      <c r="I651" s="93">
        <v>37500000</v>
      </c>
      <c r="J651" s="863" t="s">
        <v>4854</v>
      </c>
      <c r="K651" s="295">
        <v>2018</v>
      </c>
      <c r="L651" s="546">
        <v>43313</v>
      </c>
      <c r="M651" s="546">
        <v>43315</v>
      </c>
      <c r="N651" s="546">
        <v>43496</v>
      </c>
      <c r="O651" s="127">
        <f>COUNTA(Modificaciones!I637,Modificaciones!K637,Modificaciones!M637,Modificaciones!O637)</f>
        <v>1</v>
      </c>
      <c r="P651" s="128">
        <f>VLOOKUP(E651,Modificaciones!$B$7:$Q$819,16,0)</f>
        <v>18333333</v>
      </c>
      <c r="Q651" s="129">
        <f>COUNTA(Modificaciones!S651,Modificaciones!U651,Modificaciones!W651,Modificaciones!Y651)</f>
        <v>1</v>
      </c>
      <c r="R651" s="130" t="str">
        <f>IF(Modificaciones!Z651=0,"",VLOOKUP(E651,Modificaciones!$B$7:$AA$1419,25,0))</f>
        <v>2 meses y 28 días</v>
      </c>
      <c r="S651" s="131">
        <f>IF(Modificaciones!AA651=0,"",VLOOKUP(E651,Modificaciones!$B$7:$AA$1419,26,0))</f>
        <v>43585</v>
      </c>
      <c r="T651" s="855">
        <f t="shared" si="140"/>
        <v>43585</v>
      </c>
      <c r="U651" s="62">
        <f t="shared" si="141"/>
        <v>55833333</v>
      </c>
      <c r="V651" s="172">
        <f>VLOOKUP(E651,Modificaciones!$B$7:$AU$819,46,0)</f>
        <v>55833333</v>
      </c>
      <c r="W651" s="93">
        <f t="shared" si="142"/>
        <v>0</v>
      </c>
      <c r="X651" s="309" t="s">
        <v>1095</v>
      </c>
      <c r="Y651" s="852">
        <f t="shared" si="143"/>
        <v>1</v>
      </c>
      <c r="Z651" s="42">
        <f t="shared" ca="1" si="144"/>
        <v>1</v>
      </c>
      <c r="AA651" s="43">
        <f t="shared" ca="1" si="145"/>
        <v>0</v>
      </c>
      <c r="AB651" s="202" t="str">
        <f t="shared" ca="1" si="146"/>
        <v/>
      </c>
      <c r="AC651" s="44" t="str">
        <f t="shared" si="147"/>
        <v>SI</v>
      </c>
      <c r="AD651" s="760" t="s">
        <v>2898</v>
      </c>
      <c r="AE651" s="173" t="s">
        <v>1256</v>
      </c>
      <c r="AF651" s="173" t="s">
        <v>2170</v>
      </c>
      <c r="AG651" s="173"/>
      <c r="AH651" s="281" t="s">
        <v>560</v>
      </c>
      <c r="AI651" s="868"/>
      <c r="AJ651" s="305" t="s">
        <v>3880</v>
      </c>
      <c r="AK651" s="181" t="str">
        <f t="shared" ca="1" si="148"/>
        <v>TERMINO</v>
      </c>
      <c r="AL651" s="310" t="s">
        <v>582</v>
      </c>
      <c r="AM651" s="176" t="s">
        <v>391</v>
      </c>
      <c r="AN651" s="848" t="str">
        <f>IFERROR(VLOOKUP(E651,'liquidaciones '!$B$2:$C$1048576,2,0),"NO")</f>
        <v>NO</v>
      </c>
      <c r="AO651" s="944" t="str">
        <f>IFERROR(VLOOKUP(E651,'liquidaciones '!$B$2:$I$1048576,8,0),"")</f>
        <v/>
      </c>
      <c r="AP651" s="433"/>
      <c r="AQ651" s="177" t="s">
        <v>390</v>
      </c>
      <c r="AR651" s="433" t="s">
        <v>4820</v>
      </c>
      <c r="AS651" s="433"/>
      <c r="AT651" s="966" t="s">
        <v>560</v>
      </c>
      <c r="AU651" s="964"/>
      <c r="AV651" s="301" t="s">
        <v>4814</v>
      </c>
    </row>
    <row r="652" spans="3:48" ht="45" x14ac:dyDescent="0.25">
      <c r="C652" s="867"/>
      <c r="D652" s="867"/>
      <c r="E652" s="868" t="s">
        <v>4171</v>
      </c>
      <c r="F652" s="441" t="s">
        <v>2948</v>
      </c>
      <c r="G652" s="893">
        <v>79436393</v>
      </c>
      <c r="H652" s="1003" t="s">
        <v>2831</v>
      </c>
      <c r="I652" s="93">
        <v>23819958</v>
      </c>
      <c r="J652" s="873" t="s">
        <v>4853</v>
      </c>
      <c r="K652" s="295">
        <v>2018</v>
      </c>
      <c r="L652" s="546">
        <v>43312</v>
      </c>
      <c r="M652" s="546">
        <v>43315</v>
      </c>
      <c r="N652" s="546">
        <v>43496</v>
      </c>
      <c r="O652" s="127">
        <f>COUNTA(Modificaciones!I638,Modificaciones!K638,Modificaciones!M638,Modificaciones!O638)</f>
        <v>0</v>
      </c>
      <c r="P652" s="128">
        <f>VLOOKUP(E652,Modificaciones!$B$7:$Q$819,16,0)</f>
        <v>11645313</v>
      </c>
      <c r="Q652" s="129">
        <f>COUNTA(Modificaciones!S652,Modificaciones!U652,Modificaciones!W652,Modificaciones!Y652)</f>
        <v>1</v>
      </c>
      <c r="R652" s="130" t="str">
        <f>IF(Modificaciones!Z652=0,"",VLOOKUP(E652,Modificaciones!$B$7:$AA$1419,25,0))</f>
        <v>2 meses y 28 días calendario</v>
      </c>
      <c r="S652" s="131">
        <f>IF(Modificaciones!AA652=0,"",VLOOKUP(E652,Modificaciones!$B$7:$AA$1419,26,0))</f>
        <v>43585</v>
      </c>
      <c r="T652" s="855">
        <f t="shared" si="140"/>
        <v>43585</v>
      </c>
      <c r="U652" s="62">
        <f t="shared" si="141"/>
        <v>35465271</v>
      </c>
      <c r="V652" s="172">
        <f>VLOOKUP(E652,Modificaciones!$B$7:$AU$819,46,0)</f>
        <v>35465271</v>
      </c>
      <c r="W652" s="93">
        <f t="shared" si="142"/>
        <v>0</v>
      </c>
      <c r="X652" s="309" t="s">
        <v>1095</v>
      </c>
      <c r="Y652" s="852">
        <f t="shared" si="143"/>
        <v>1</v>
      </c>
      <c r="Z652" s="42">
        <f t="shared" ca="1" si="144"/>
        <v>1</v>
      </c>
      <c r="AA652" s="43">
        <f t="shared" ca="1" si="145"/>
        <v>0</v>
      </c>
      <c r="AB652" s="202" t="str">
        <f t="shared" ca="1" si="146"/>
        <v/>
      </c>
      <c r="AC652" s="44" t="str">
        <f t="shared" si="147"/>
        <v>SI</v>
      </c>
      <c r="AD652" s="760" t="s">
        <v>2898</v>
      </c>
      <c r="AE652" s="173" t="s">
        <v>1256</v>
      </c>
      <c r="AF652" s="281" t="s">
        <v>2060</v>
      </c>
      <c r="AG652" s="173" t="s">
        <v>1437</v>
      </c>
      <c r="AH652" s="281" t="s">
        <v>561</v>
      </c>
      <c r="AI652" s="305"/>
      <c r="AJ652" s="305" t="s">
        <v>3863</v>
      </c>
      <c r="AK652" s="181" t="str">
        <f t="shared" ca="1" si="148"/>
        <v>TERMINO</v>
      </c>
      <c r="AL652" s="310" t="s">
        <v>582</v>
      </c>
      <c r="AM652" s="433" t="s">
        <v>391</v>
      </c>
      <c r="AN652" s="848" t="str">
        <f>IFERROR(VLOOKUP(E652,'liquidaciones '!$B$2:$C$1048576,2,0),"NO")</f>
        <v>NO</v>
      </c>
      <c r="AO652" s="944" t="str">
        <f>IFERROR(VLOOKUP(E652,'liquidaciones '!$B$2:$I$1048576,8,0),"")</f>
        <v/>
      </c>
      <c r="AP652" s="433"/>
      <c r="AQ652" s="177" t="s">
        <v>390</v>
      </c>
      <c r="AR652" s="433" t="s">
        <v>4309</v>
      </c>
      <c r="AS652" s="433"/>
      <c r="AT652" s="966" t="s">
        <v>4188</v>
      </c>
      <c r="AU652" s="964"/>
      <c r="AV652" s="301"/>
    </row>
    <row r="653" spans="3:48" ht="45" customHeight="1" x14ac:dyDescent="0.25">
      <c r="C653" s="867"/>
      <c r="D653" s="867"/>
      <c r="E653" s="868" t="s">
        <v>4172</v>
      </c>
      <c r="F653" s="441" t="s">
        <v>4173</v>
      </c>
      <c r="G653" s="906">
        <v>1013625644</v>
      </c>
      <c r="H653" s="1001" t="s">
        <v>2484</v>
      </c>
      <c r="I653" s="93">
        <v>15613500</v>
      </c>
      <c r="J653" s="863" t="s">
        <v>4852</v>
      </c>
      <c r="K653" s="295">
        <v>2018</v>
      </c>
      <c r="L653" s="546">
        <v>43313</v>
      </c>
      <c r="M653" s="546">
        <v>43315</v>
      </c>
      <c r="N653" s="546">
        <v>43496</v>
      </c>
      <c r="O653" s="127">
        <f>COUNTA(Modificaciones!I639,Modificaciones!K639,Modificaciones!M639,Modificaciones!O639)</f>
        <v>0</v>
      </c>
      <c r="P653" s="128">
        <f>VLOOKUP(E653,Modificaciones!$B$7:$Q$819,16,0)</f>
        <v>5031017</v>
      </c>
      <c r="Q653" s="129">
        <f>COUNTA(Modificaciones!S653,Modificaciones!U653,Modificaciones!W653,Modificaciones!Y653)</f>
        <v>1</v>
      </c>
      <c r="R653" s="130" t="str">
        <f>IF(Modificaciones!Z653=0,"",VLOOKUP(E653,Modificaciones!$B$7:$AA$1419,25,0))</f>
        <v>1 mes y 28 días</v>
      </c>
      <c r="S653" s="131">
        <f>IF(Modificaciones!AA653=0,"",VLOOKUP(E653,Modificaciones!$B$7:$AA$1419,26,0))</f>
        <v>43554</v>
      </c>
      <c r="T653" s="855">
        <f t="shared" si="140"/>
        <v>43554</v>
      </c>
      <c r="U653" s="62">
        <f t="shared" si="141"/>
        <v>20644517</v>
      </c>
      <c r="V653" s="172">
        <f>VLOOKUP(E653,Modificaciones!$B$7:$AU$819,46,0)</f>
        <v>20644516</v>
      </c>
      <c r="W653" s="93">
        <f t="shared" si="142"/>
        <v>1</v>
      </c>
      <c r="X653" s="309" t="s">
        <v>1095</v>
      </c>
      <c r="Y653" s="852">
        <f t="shared" si="143"/>
        <v>0.99999995156098831</v>
      </c>
      <c r="Z653" s="42">
        <f t="shared" ca="1" si="144"/>
        <v>1</v>
      </c>
      <c r="AA653" s="43">
        <f t="shared" ca="1" si="145"/>
        <v>4.8439011690604161E-8</v>
      </c>
      <c r="AB653" s="202" t="str">
        <f t="shared" ca="1" si="146"/>
        <v/>
      </c>
      <c r="AC653" s="44" t="str">
        <f t="shared" si="147"/>
        <v>SI</v>
      </c>
      <c r="AD653" s="760" t="s">
        <v>2898</v>
      </c>
      <c r="AE653" s="173" t="s">
        <v>1256</v>
      </c>
      <c r="AF653" s="173" t="s">
        <v>2179</v>
      </c>
      <c r="AG653" s="173" t="s">
        <v>1177</v>
      </c>
      <c r="AH653" s="281" t="s">
        <v>559</v>
      </c>
      <c r="AI653" s="868"/>
      <c r="AJ653" s="305" t="s">
        <v>4034</v>
      </c>
      <c r="AK653" s="181" t="str">
        <f t="shared" ca="1" si="148"/>
        <v>TERMINO</v>
      </c>
      <c r="AL653" s="310" t="s">
        <v>582</v>
      </c>
      <c r="AM653" s="176" t="s">
        <v>391</v>
      </c>
      <c r="AN653" s="848" t="str">
        <f>IFERROR(VLOOKUP(E653,'liquidaciones '!$B$2:$C$1048576,2,0),"NO")</f>
        <v>NO</v>
      </c>
      <c r="AO653" s="944" t="str">
        <f>IFERROR(VLOOKUP(E653,'liquidaciones '!$B$2:$I$1048576,8,0),"")</f>
        <v/>
      </c>
      <c r="AP653" s="433"/>
      <c r="AQ653" s="177" t="s">
        <v>390</v>
      </c>
      <c r="AR653" s="433" t="s">
        <v>4820</v>
      </c>
      <c r="AS653" s="433"/>
      <c r="AT653" s="966" t="s">
        <v>3947</v>
      </c>
      <c r="AU653" s="964"/>
      <c r="AV653" s="301" t="s">
        <v>4793</v>
      </c>
    </row>
    <row r="654" spans="3:48" ht="78.75" x14ac:dyDescent="0.25">
      <c r="C654" s="867"/>
      <c r="D654" s="867"/>
      <c r="E654" s="868" t="s">
        <v>4174</v>
      </c>
      <c r="F654" s="441" t="s">
        <v>4348</v>
      </c>
      <c r="G654" s="893">
        <v>79965574</v>
      </c>
      <c r="H654" s="1005" t="s">
        <v>4175</v>
      </c>
      <c r="I654" s="93">
        <v>28122000</v>
      </c>
      <c r="J654" s="873" t="s">
        <v>4851</v>
      </c>
      <c r="K654" s="295">
        <v>2018</v>
      </c>
      <c r="L654" s="546">
        <v>43312</v>
      </c>
      <c r="M654" s="546">
        <v>43315</v>
      </c>
      <c r="N654" s="546">
        <v>43496</v>
      </c>
      <c r="O654" s="127">
        <f>COUNTA(Modificaciones!I640,Modificaciones!K640,Modificaciones!M640,Modificaciones!O640)</f>
        <v>0</v>
      </c>
      <c r="P654" s="128">
        <f>VLOOKUP(E654,Modificaciones!$B$7:$Q$819,16,0)</f>
        <v>9061533</v>
      </c>
      <c r="Q654" s="129">
        <f>COUNTA(Modificaciones!S654,Modificaciones!U654,Modificaciones!W654,Modificaciones!Y654)</f>
        <v>1</v>
      </c>
      <c r="R654" s="130" t="str">
        <f>IF(Modificaciones!Z654=0,"",VLOOKUP(E654,Modificaciones!$B$7:$AA$1419,25,0))</f>
        <v>1 mes y 28 días</v>
      </c>
      <c r="S654" s="131">
        <f>IF(Modificaciones!AA654=0,"",VLOOKUP(E654,Modificaciones!$B$7:$AA$1419,26,0))</f>
        <v>43554</v>
      </c>
      <c r="T654" s="855">
        <f t="shared" si="140"/>
        <v>43554</v>
      </c>
      <c r="U654" s="62">
        <f t="shared" si="141"/>
        <v>37183533</v>
      </c>
      <c r="V654" s="172">
        <f>VLOOKUP(E654,Modificaciones!$B$7:$AU$819,46,0)</f>
        <v>35464966</v>
      </c>
      <c r="W654" s="93">
        <f t="shared" si="142"/>
        <v>1718567</v>
      </c>
      <c r="X654" s="309" t="s">
        <v>1095</v>
      </c>
      <c r="Y654" s="852">
        <f t="shared" si="143"/>
        <v>0.95378150322617272</v>
      </c>
      <c r="Z654" s="42">
        <f t="shared" ca="1" si="144"/>
        <v>1</v>
      </c>
      <c r="AA654" s="43">
        <f t="shared" ca="1" si="145"/>
        <v>4.6218496773827278E-2</v>
      </c>
      <c r="AB654" s="202" t="str">
        <f t="shared" ca="1" si="146"/>
        <v/>
      </c>
      <c r="AC654" s="44" t="str">
        <f t="shared" si="147"/>
        <v>NO</v>
      </c>
      <c r="AD654" s="760" t="s">
        <v>2898</v>
      </c>
      <c r="AE654" s="173" t="s">
        <v>1256</v>
      </c>
      <c r="AF654" s="173" t="s">
        <v>2592</v>
      </c>
      <c r="AG654" s="173" t="s">
        <v>1177</v>
      </c>
      <c r="AH654" s="281" t="s">
        <v>559</v>
      </c>
      <c r="AI654" s="305"/>
      <c r="AJ654" s="305" t="s">
        <v>4034</v>
      </c>
      <c r="AK654" s="181" t="str">
        <f t="shared" ca="1" si="148"/>
        <v>TERMINO</v>
      </c>
      <c r="AL654" s="181" t="s">
        <v>582</v>
      </c>
      <c r="AM654" s="433" t="s">
        <v>391</v>
      </c>
      <c r="AN654" s="848" t="str">
        <f>IFERROR(VLOOKUP(E654,'liquidaciones '!$B$2:$C$1048576,2,0),"NO")</f>
        <v>NO</v>
      </c>
      <c r="AO654" s="944" t="str">
        <f>IFERROR(VLOOKUP(E654,'liquidaciones '!$B$2:$I$1048576,8,0),"")</f>
        <v/>
      </c>
      <c r="AP654" s="433"/>
      <c r="AQ654" s="177" t="s">
        <v>390</v>
      </c>
      <c r="AR654" s="433" t="s">
        <v>4820</v>
      </c>
      <c r="AS654" s="433"/>
      <c r="AT654" s="966" t="s">
        <v>559</v>
      </c>
      <c r="AU654" s="964"/>
      <c r="AV654" s="301" t="s">
        <v>4696</v>
      </c>
    </row>
    <row r="655" spans="3:48" ht="56.25" x14ac:dyDescent="0.25">
      <c r="C655" s="867"/>
      <c r="D655" s="867"/>
      <c r="E655" s="868" t="s">
        <v>4184</v>
      </c>
      <c r="F655" s="441" t="s">
        <v>4185</v>
      </c>
      <c r="G655" s="893">
        <v>1030532647</v>
      </c>
      <c r="H655" s="1005" t="s">
        <v>3600</v>
      </c>
      <c r="I655" s="93">
        <v>9765000</v>
      </c>
      <c r="J655" s="863" t="s">
        <v>4850</v>
      </c>
      <c r="K655" s="295">
        <v>2018</v>
      </c>
      <c r="L655" s="546">
        <v>43314</v>
      </c>
      <c r="M655" s="546">
        <v>43320</v>
      </c>
      <c r="N655" s="546">
        <v>43472</v>
      </c>
      <c r="O655" s="127">
        <f>COUNTA(Modificaciones!I641,Modificaciones!K641,Modificaciones!M641,Modificaciones!O641)</f>
        <v>0</v>
      </c>
      <c r="P655" s="128">
        <f>VLOOKUP(E655,Modificaciones!$B$7:$Q$819,16,0)</f>
        <v>4882500</v>
      </c>
      <c r="Q655" s="129">
        <f>COUNTA(Modificaciones!S655,Modificaciones!U655,Modificaciones!W655,Modificaciones!Y655)</f>
        <v>1</v>
      </c>
      <c r="R655" s="130" t="str">
        <f>IF(Modificaciones!Z655=0,"",VLOOKUP(E655,Modificaciones!$B$7:$AA$1419,25,0))</f>
        <v>2 meses y 15 días</v>
      </c>
      <c r="S655" s="131">
        <f>IF(Modificaciones!AA655=0,"",VLOOKUP(E655,Modificaciones!$B$7:$AA$1419,26,0))</f>
        <v>43553</v>
      </c>
      <c r="T655" s="855">
        <f t="shared" si="140"/>
        <v>43553</v>
      </c>
      <c r="U655" s="62">
        <f t="shared" si="141"/>
        <v>14647500</v>
      </c>
      <c r="V655" s="172">
        <f>VLOOKUP(E655,Modificaciones!$B$7:$AU$819,46,0)</f>
        <v>14647500</v>
      </c>
      <c r="W655" s="93">
        <f t="shared" si="142"/>
        <v>0</v>
      </c>
      <c r="X655" s="309" t="s">
        <v>1095</v>
      </c>
      <c r="Y655" s="852">
        <f t="shared" si="143"/>
        <v>1</v>
      </c>
      <c r="Z655" s="42">
        <f t="shared" ca="1" si="144"/>
        <v>1</v>
      </c>
      <c r="AA655" s="43">
        <f t="shared" ca="1" si="145"/>
        <v>0</v>
      </c>
      <c r="AB655" s="202" t="str">
        <f t="shared" ca="1" si="146"/>
        <v/>
      </c>
      <c r="AC655" s="44" t="str">
        <f t="shared" si="147"/>
        <v>SI</v>
      </c>
      <c r="AD655" s="760" t="s">
        <v>2898</v>
      </c>
      <c r="AE655" s="173" t="s">
        <v>1256</v>
      </c>
      <c r="AF655" s="281" t="s">
        <v>3601</v>
      </c>
      <c r="AG655" s="868" t="s">
        <v>3602</v>
      </c>
      <c r="AH655" s="281" t="s">
        <v>560</v>
      </c>
      <c r="AI655" s="868" t="s">
        <v>3603</v>
      </c>
      <c r="AJ655" s="305" t="s">
        <v>3880</v>
      </c>
      <c r="AK655" s="181" t="str">
        <f t="shared" ca="1" si="148"/>
        <v>TERMINO</v>
      </c>
      <c r="AL655" s="310" t="s">
        <v>582</v>
      </c>
      <c r="AM655" s="433" t="s">
        <v>391</v>
      </c>
      <c r="AN655" s="848" t="str">
        <f>IFERROR(VLOOKUP(E655,'liquidaciones '!$B$2:$C$1048576,2,0),"NO")</f>
        <v>NO</v>
      </c>
      <c r="AO655" s="944" t="str">
        <f>IFERROR(VLOOKUP(E655,'liquidaciones '!$B$2:$I$1048576,8,0),"")</f>
        <v/>
      </c>
      <c r="AP655" s="433"/>
      <c r="AQ655" s="433" t="s">
        <v>390</v>
      </c>
      <c r="AR655" s="177" t="s">
        <v>4255</v>
      </c>
      <c r="AS655" s="433" t="s">
        <v>3781</v>
      </c>
      <c r="AT655" s="966" t="s">
        <v>560</v>
      </c>
      <c r="AU655" s="964"/>
      <c r="AV655" s="301" t="s">
        <v>4687</v>
      </c>
    </row>
    <row r="656" spans="3:48" ht="33.75" x14ac:dyDescent="0.25">
      <c r="C656" s="867"/>
      <c r="D656" s="867"/>
      <c r="E656" s="868" t="s">
        <v>4186</v>
      </c>
      <c r="F656" s="441" t="s">
        <v>4187</v>
      </c>
      <c r="G656" s="893">
        <v>1016064307</v>
      </c>
      <c r="H656" s="1005" t="s">
        <v>3510</v>
      </c>
      <c r="I656" s="93">
        <v>11718000</v>
      </c>
      <c r="J656" s="863" t="s">
        <v>4849</v>
      </c>
      <c r="K656" s="295">
        <v>2018</v>
      </c>
      <c r="L656" s="546">
        <v>43314</v>
      </c>
      <c r="M656" s="546">
        <v>43320</v>
      </c>
      <c r="N656" s="546">
        <v>43496</v>
      </c>
      <c r="O656" s="127">
        <f>COUNTA(Modificaciones!I642,Modificaciones!K642,Modificaciones!M642,Modificaciones!O642)</f>
        <v>1</v>
      </c>
      <c r="P656" s="128">
        <f>VLOOKUP(E656,Modificaciones!$B$7:$Q$819,16,0)</f>
        <v>3450300</v>
      </c>
      <c r="Q656" s="129">
        <f>COUNTA(Modificaciones!S656,Modificaciones!U656,Modificaciones!W656,Modificaciones!Y656)</f>
        <v>1</v>
      </c>
      <c r="R656" s="130" t="str">
        <f>IF(Modificaciones!Z656=0,"",VLOOKUP(E656,Modificaciones!$B$7:$AA$1419,25,0))</f>
        <v>1 mes y 23 días</v>
      </c>
      <c r="S656" s="131">
        <f>IF(Modificaciones!AA656=0,"",VLOOKUP(E656,Modificaciones!$B$7:$AA$1419,26,0))</f>
        <v>43554</v>
      </c>
      <c r="T656" s="855">
        <f t="shared" si="140"/>
        <v>43554</v>
      </c>
      <c r="U656" s="62">
        <f t="shared" si="141"/>
        <v>15168300</v>
      </c>
      <c r="V656" s="172">
        <f>VLOOKUP(E656,Modificaciones!$B$7:$AU$819,46,0)</f>
        <v>15168300</v>
      </c>
      <c r="W656" s="93">
        <f t="shared" si="142"/>
        <v>0</v>
      </c>
      <c r="X656" s="309" t="s">
        <v>1095</v>
      </c>
      <c r="Y656" s="852">
        <f t="shared" si="143"/>
        <v>1</v>
      </c>
      <c r="Z656" s="42">
        <f t="shared" ca="1" si="144"/>
        <v>1</v>
      </c>
      <c r="AA656" s="43">
        <f t="shared" ca="1" si="145"/>
        <v>0</v>
      </c>
      <c r="AB656" s="202" t="str">
        <f t="shared" ca="1" si="146"/>
        <v/>
      </c>
      <c r="AC656" s="44" t="str">
        <f t="shared" si="147"/>
        <v>SI</v>
      </c>
      <c r="AD656" s="760" t="s">
        <v>2898</v>
      </c>
      <c r="AE656" s="871" t="s">
        <v>1256</v>
      </c>
      <c r="AF656" s="281" t="s">
        <v>3068</v>
      </c>
      <c r="AG656" s="173" t="s">
        <v>1437</v>
      </c>
      <c r="AH656" s="281" t="s">
        <v>561</v>
      </c>
      <c r="AI656" s="868"/>
      <c r="AJ656" s="305" t="s">
        <v>3863</v>
      </c>
      <c r="AK656" s="181" t="str">
        <f t="shared" ca="1" si="148"/>
        <v>TERMINO</v>
      </c>
      <c r="AL656" s="310" t="s">
        <v>582</v>
      </c>
      <c r="AM656" s="433" t="s">
        <v>391</v>
      </c>
      <c r="AN656" s="848" t="str">
        <f>IFERROR(VLOOKUP(E656,'liquidaciones '!$B$2:$C$1048576,2,0),"NO")</f>
        <v>NO</v>
      </c>
      <c r="AO656" s="944" t="str">
        <f>IFERROR(VLOOKUP(E656,'liquidaciones '!$B$2:$I$1048576,8,0),"")</f>
        <v/>
      </c>
      <c r="AP656" s="433"/>
      <c r="AQ656" s="433" t="s">
        <v>390</v>
      </c>
      <c r="AR656" s="177" t="s">
        <v>4236</v>
      </c>
      <c r="AS656" s="433"/>
      <c r="AT656" s="966" t="s">
        <v>4188</v>
      </c>
      <c r="AU656" s="964"/>
      <c r="AV656" s="301" t="s">
        <v>4799</v>
      </c>
    </row>
    <row r="657" spans="3:48" ht="33.75" x14ac:dyDescent="0.25">
      <c r="C657" s="867"/>
      <c r="D657" s="867"/>
      <c r="E657" s="868" t="s">
        <v>4189</v>
      </c>
      <c r="F657" s="441" t="s">
        <v>4190</v>
      </c>
      <c r="G657" s="893">
        <v>1032397721</v>
      </c>
      <c r="H657" s="1005" t="s">
        <v>4191</v>
      </c>
      <c r="I657" s="93">
        <v>11718000</v>
      </c>
      <c r="J657" s="873" t="s">
        <v>4848</v>
      </c>
      <c r="K657" s="295">
        <v>2018</v>
      </c>
      <c r="L657" s="546">
        <v>43315</v>
      </c>
      <c r="M657" s="546">
        <v>43326</v>
      </c>
      <c r="N657" s="546">
        <v>43496</v>
      </c>
      <c r="O657" s="127">
        <f>COUNTA(Modificaciones!I643,Modificaciones!K643,Modificaciones!M643,Modificaciones!O643)</f>
        <v>0</v>
      </c>
      <c r="P657" s="128">
        <f>VLOOKUP(E657,Modificaciones!$B$7:$Q$819,16,0)</f>
        <v>3059700</v>
      </c>
      <c r="Q657" s="129">
        <f>COUNTA(Modificaciones!S657,Modificaciones!U657,Modificaciones!W657,Modificaciones!Y657)</f>
        <v>1</v>
      </c>
      <c r="R657" s="130" t="str">
        <f>IF(Modificaciones!Z657=0,"",VLOOKUP(E657,Modificaciones!$B$7:$AA$1419,25,0))</f>
        <v>1 mes y 17 días</v>
      </c>
      <c r="S657" s="131">
        <f>IF(Modificaciones!AA657=0,"",VLOOKUP(E657,Modificaciones!$B$7:$AA$1419,26,0))</f>
        <v>43554</v>
      </c>
      <c r="T657" s="855">
        <f t="shared" si="140"/>
        <v>43554</v>
      </c>
      <c r="U657" s="62">
        <f t="shared" si="141"/>
        <v>14777700</v>
      </c>
      <c r="V657" s="172">
        <f>VLOOKUP(E657,Modificaciones!$B$7:$AU$819,46,0)</f>
        <v>14777700</v>
      </c>
      <c r="W657" s="93">
        <f t="shared" si="142"/>
        <v>0</v>
      </c>
      <c r="X657" s="309" t="s">
        <v>1095</v>
      </c>
      <c r="Y657" s="852">
        <f t="shared" si="143"/>
        <v>1</v>
      </c>
      <c r="Z657" s="42">
        <f t="shared" ca="1" si="144"/>
        <v>1</v>
      </c>
      <c r="AA657" s="43">
        <f t="shared" ca="1" si="145"/>
        <v>0</v>
      </c>
      <c r="AB657" s="202" t="str">
        <f t="shared" ca="1" si="146"/>
        <v/>
      </c>
      <c r="AC657" s="44" t="str">
        <f t="shared" si="147"/>
        <v>SI</v>
      </c>
      <c r="AD657" s="760" t="s">
        <v>2898</v>
      </c>
      <c r="AE657" s="871" t="s">
        <v>1256</v>
      </c>
      <c r="AF657" s="281" t="s">
        <v>4192</v>
      </c>
      <c r="AG657" s="868"/>
      <c r="AH657" s="281" t="s">
        <v>562</v>
      </c>
      <c r="AI657" s="868"/>
      <c r="AJ657" s="305" t="s">
        <v>3993</v>
      </c>
      <c r="AK657" s="181" t="str">
        <f t="shared" ca="1" si="148"/>
        <v>TERMINO</v>
      </c>
      <c r="AL657" s="310" t="s">
        <v>582</v>
      </c>
      <c r="AM657" s="433" t="s">
        <v>391</v>
      </c>
      <c r="AN657" s="848" t="str">
        <f>IFERROR(VLOOKUP(E657,'liquidaciones '!$B$2:$C$1048576,2,0),"NO")</f>
        <v>NO</v>
      </c>
      <c r="AO657" s="944" t="str">
        <f>IFERROR(VLOOKUP(E657,'liquidaciones '!$B$2:$I$1048576,8,0),"")</f>
        <v/>
      </c>
      <c r="AP657" s="433"/>
      <c r="AQ657" s="433" t="s">
        <v>390</v>
      </c>
      <c r="AR657" s="987" t="s">
        <v>4236</v>
      </c>
      <c r="AS657" s="433"/>
      <c r="AT657" s="966" t="s">
        <v>3994</v>
      </c>
      <c r="AU657" s="964"/>
      <c r="AV657" s="301" t="s">
        <v>4802</v>
      </c>
    </row>
    <row r="658" spans="3:48" ht="45" x14ac:dyDescent="0.25">
      <c r="C658" s="867">
        <v>4</v>
      </c>
      <c r="D658" s="867"/>
      <c r="E658" s="868" t="s">
        <v>4193</v>
      </c>
      <c r="F658" s="441" t="s">
        <v>2523</v>
      </c>
      <c r="G658" s="893">
        <v>4831</v>
      </c>
      <c r="H658" s="1001" t="s">
        <v>4194</v>
      </c>
      <c r="I658" s="93">
        <v>8400000</v>
      </c>
      <c r="J658" s="873" t="s">
        <v>4198</v>
      </c>
      <c r="K658" s="295">
        <v>2018</v>
      </c>
      <c r="L658" s="546">
        <v>43300</v>
      </c>
      <c r="M658" s="546">
        <v>43327</v>
      </c>
      <c r="N658" s="546">
        <v>43569</v>
      </c>
      <c r="O658" s="127">
        <f>COUNTA(Modificaciones!I644,Modificaciones!K644,Modificaciones!M644,Modificaciones!O644)</f>
        <v>0</v>
      </c>
      <c r="P658" s="128">
        <f>VLOOKUP(E658,Modificaciones!$B$7:$Q$819,16,0)</f>
        <v>0</v>
      </c>
      <c r="Q658" s="129">
        <f>COUNTA(Modificaciones!S658,Modificaciones!U658,Modificaciones!W658,Modificaciones!Y658)</f>
        <v>0</v>
      </c>
      <c r="R658" s="130" t="str">
        <f>IF(Modificaciones!Z658=0,"",VLOOKUP(E658,Modificaciones!$B$7:$AA$1419,25,0))</f>
        <v/>
      </c>
      <c r="S658" s="131" t="str">
        <f>IF(Modificaciones!AA658=0,"",VLOOKUP(E658,Modificaciones!$B$7:$AA$1419,26,0))</f>
        <v/>
      </c>
      <c r="T658" s="855">
        <f t="shared" si="140"/>
        <v>43569</v>
      </c>
      <c r="U658" s="62">
        <f t="shared" si="141"/>
        <v>8400000</v>
      </c>
      <c r="V658" s="172">
        <f>VLOOKUP(E658,Modificaciones!$B$7:$AU$819,46,0)</f>
        <v>4348636</v>
      </c>
      <c r="W658" s="93">
        <f t="shared" si="142"/>
        <v>4051364</v>
      </c>
      <c r="X658" s="309" t="s">
        <v>1641</v>
      </c>
      <c r="Y658" s="852">
        <f t="shared" si="143"/>
        <v>0.51769476190476194</v>
      </c>
      <c r="Z658" s="42">
        <f t="shared" ca="1" si="144"/>
        <v>1</v>
      </c>
      <c r="AA658" s="43">
        <f t="shared" ca="1" si="145"/>
        <v>0.48230523809523806</v>
      </c>
      <c r="AB658" s="202" t="str">
        <f t="shared" ca="1" si="146"/>
        <v/>
      </c>
      <c r="AC658" s="44" t="str">
        <f t="shared" si="147"/>
        <v>NO</v>
      </c>
      <c r="AD658" s="760" t="s">
        <v>1710</v>
      </c>
      <c r="AE658" s="173" t="s">
        <v>1256</v>
      </c>
      <c r="AF658" s="173" t="s">
        <v>1126</v>
      </c>
      <c r="AG658" s="173" t="s">
        <v>1442</v>
      </c>
      <c r="AH658" s="281" t="s">
        <v>560</v>
      </c>
      <c r="AI658" s="174" t="s">
        <v>4195</v>
      </c>
      <c r="AJ658" s="305" t="s">
        <v>2834</v>
      </c>
      <c r="AK658" s="181" t="str">
        <f t="shared" ca="1" si="148"/>
        <v>TERMINO</v>
      </c>
      <c r="AL658" s="181" t="s">
        <v>576</v>
      </c>
      <c r="AM658" s="176" t="s">
        <v>390</v>
      </c>
      <c r="AN658" s="848" t="str">
        <f>IFERROR(VLOOKUP(E658,'liquidaciones '!$B$2:$C$1048576,2,0),"NO")</f>
        <v>NO</v>
      </c>
      <c r="AO658" s="944" t="str">
        <f>IFERROR(VLOOKUP(E658,'liquidaciones '!$B$2:$I$1048576,8,0),"")</f>
        <v/>
      </c>
      <c r="AP658" s="433"/>
      <c r="AQ658" s="177" t="s">
        <v>390</v>
      </c>
      <c r="AR658" s="177" t="s">
        <v>2965</v>
      </c>
      <c r="AS658" s="433" t="s">
        <v>4586</v>
      </c>
      <c r="AT658" s="966" t="s">
        <v>560</v>
      </c>
      <c r="AU658" s="964"/>
      <c r="AV658" s="301" t="s">
        <v>4680</v>
      </c>
    </row>
    <row r="659" spans="3:48" ht="123.75" x14ac:dyDescent="0.25">
      <c r="C659" s="867">
        <v>140</v>
      </c>
      <c r="D659" s="867"/>
      <c r="E659" s="868" t="s">
        <v>4196</v>
      </c>
      <c r="F659" s="441" t="s">
        <v>73</v>
      </c>
      <c r="G659" s="893" t="s">
        <v>4197</v>
      </c>
      <c r="H659" s="1005" t="s">
        <v>4897</v>
      </c>
      <c r="I659" s="93">
        <v>969949607</v>
      </c>
      <c r="J659" s="1011" t="s">
        <v>4847</v>
      </c>
      <c r="K659" s="295">
        <v>2018</v>
      </c>
      <c r="L659" s="546">
        <v>43308</v>
      </c>
      <c r="M659" s="546">
        <v>43327</v>
      </c>
      <c r="N659" s="546">
        <v>43538</v>
      </c>
      <c r="O659" s="127">
        <f>COUNTA(Modificaciones!I645,Modificaciones!K645,Modificaciones!M645,Modificaciones!O645)</f>
        <v>1</v>
      </c>
      <c r="P659" s="128">
        <f>VLOOKUP(E659,Modificaciones!$B$7:$Q$819,16,0)</f>
        <v>0</v>
      </c>
      <c r="Q659" s="129">
        <f>COUNTA(Modificaciones!S659,Modificaciones!U659,Modificaciones!W659,Modificaciones!Y659)</f>
        <v>2</v>
      </c>
      <c r="R659" s="130" t="str">
        <f>IF(Modificaciones!Z659=0,"",VLOOKUP(E659,Modificaciones!$B$7:$AA$1419,25,0))</f>
        <v>2 meses</v>
      </c>
      <c r="S659" s="131">
        <f>IF(Modificaciones!AA659=0,"",VLOOKUP(E659,Modificaciones!$B$7:$AA$1419,26,0))</f>
        <v>43599</v>
      </c>
      <c r="T659" s="855">
        <f t="shared" si="140"/>
        <v>43599</v>
      </c>
      <c r="U659" s="62">
        <f t="shared" si="141"/>
        <v>969949607</v>
      </c>
      <c r="V659" s="172">
        <f>VLOOKUP(E659,Modificaciones!$B$7:$AU$819,46,0)</f>
        <v>585403976</v>
      </c>
      <c r="W659" s="93">
        <f t="shared" si="142"/>
        <v>384545631</v>
      </c>
      <c r="X659" s="309" t="s">
        <v>1890</v>
      </c>
      <c r="Y659" s="852">
        <f t="shared" si="143"/>
        <v>0.60354060847616797</v>
      </c>
      <c r="Z659" s="42">
        <f t="shared" ca="1" si="144"/>
        <v>1</v>
      </c>
      <c r="AA659" s="43">
        <f t="shared" ca="1" si="145"/>
        <v>0.39645939152383203</v>
      </c>
      <c r="AB659" s="202" t="str">
        <f t="shared" ca="1" si="146"/>
        <v/>
      </c>
      <c r="AC659" s="44" t="str">
        <f t="shared" si="147"/>
        <v>NO</v>
      </c>
      <c r="AD659" s="760" t="s">
        <v>1719</v>
      </c>
      <c r="AE659" s="173" t="s">
        <v>1256</v>
      </c>
      <c r="AF659" s="173" t="s">
        <v>1292</v>
      </c>
      <c r="AG659" s="173" t="s">
        <v>1430</v>
      </c>
      <c r="AH659" s="281" t="s">
        <v>564</v>
      </c>
      <c r="AI659" s="305"/>
      <c r="AJ659" s="305"/>
      <c r="AK659" s="181" t="str">
        <f t="shared" ca="1" si="148"/>
        <v>TERMINO</v>
      </c>
      <c r="AL659" s="310" t="s">
        <v>582</v>
      </c>
      <c r="AM659" s="433" t="s">
        <v>390</v>
      </c>
      <c r="AN659" s="848" t="str">
        <f>IFERROR(VLOOKUP(E659,'liquidaciones '!$B$2:$C$1048576,2,0),"NO")</f>
        <v>NO</v>
      </c>
      <c r="AO659" s="944" t="str">
        <f>IFERROR(VLOOKUP(E659,'liquidaciones '!$B$2:$I$1048576,8,0),"")</f>
        <v/>
      </c>
      <c r="AP659" s="433"/>
      <c r="AQ659" s="433" t="s">
        <v>390</v>
      </c>
      <c r="AR659" s="966" t="s">
        <v>4819</v>
      </c>
      <c r="AS659" s="433"/>
      <c r="AT659" s="966" t="s">
        <v>3928</v>
      </c>
      <c r="AU659" s="301" t="s">
        <v>4874</v>
      </c>
      <c r="AV659" s="301" t="s">
        <v>4996</v>
      </c>
    </row>
    <row r="660" spans="3:48" ht="78.75" x14ac:dyDescent="0.25">
      <c r="C660" s="867">
        <v>132</v>
      </c>
      <c r="D660" s="867"/>
      <c r="E660" s="868" t="s">
        <v>4202</v>
      </c>
      <c r="F660" s="441" t="s">
        <v>3952</v>
      </c>
      <c r="G660" s="893">
        <v>900424713</v>
      </c>
      <c r="H660" s="1005" t="s">
        <v>4203</v>
      </c>
      <c r="I660" s="93">
        <v>91200000</v>
      </c>
      <c r="J660" s="863" t="s">
        <v>4846</v>
      </c>
      <c r="K660" s="295">
        <v>2018</v>
      </c>
      <c r="L660" s="546">
        <v>43313</v>
      </c>
      <c r="M660" s="546">
        <v>43325</v>
      </c>
      <c r="N660" s="546">
        <v>43567</v>
      </c>
      <c r="O660" s="127">
        <f>COUNTA(Modificaciones!I646,Modificaciones!K646,Modificaciones!M646,Modificaciones!O646)</f>
        <v>0</v>
      </c>
      <c r="P660" s="128">
        <f>VLOOKUP(E660,Modificaciones!$B$7:$Q$819,16,0)</f>
        <v>17000000</v>
      </c>
      <c r="Q660" s="129">
        <f>COUNTA(Modificaciones!S660,Modificaciones!U660,Modificaciones!W660,Modificaciones!Y660)</f>
        <v>2</v>
      </c>
      <c r="R660" s="130" t="str">
        <f>IF(Modificaciones!Z660=0,"",VLOOKUP(E660,Modificaciones!$B$7:$AA$1419,25,0))</f>
        <v>1 mes y 20 días</v>
      </c>
      <c r="S660" s="131">
        <f>IF(Modificaciones!AA660=0,"",VLOOKUP(E660,Modificaciones!$B$7:$AA$1419,26,0))</f>
        <v>43617</v>
      </c>
      <c r="T660" s="855">
        <f t="shared" si="140"/>
        <v>43617</v>
      </c>
      <c r="U660" s="62">
        <f t="shared" si="141"/>
        <v>108200000</v>
      </c>
      <c r="V660" s="172">
        <f>VLOOKUP(E660,Modificaciones!$B$7:$AU$819,46,0)</f>
        <v>67851499</v>
      </c>
      <c r="W660" s="93">
        <f t="shared" si="142"/>
        <v>40348501</v>
      </c>
      <c r="X660" s="309" t="s">
        <v>1095</v>
      </c>
      <c r="Y660" s="852">
        <f t="shared" si="143"/>
        <v>0.62709333641404807</v>
      </c>
      <c r="Z660" s="42">
        <f t="shared" ca="1" si="144"/>
        <v>1</v>
      </c>
      <c r="AA660" s="43">
        <f t="shared" ca="1" si="145"/>
        <v>0.37290666358595193</v>
      </c>
      <c r="AB660" s="202" t="str">
        <f t="shared" ca="1" si="146"/>
        <v/>
      </c>
      <c r="AC660" s="44" t="str">
        <f t="shared" si="147"/>
        <v>NO</v>
      </c>
      <c r="AD660" s="760" t="s">
        <v>1710</v>
      </c>
      <c r="AE660" s="173" t="s">
        <v>1256</v>
      </c>
      <c r="AF660" s="281" t="s">
        <v>1301</v>
      </c>
      <c r="AG660" s="173" t="s">
        <v>1435</v>
      </c>
      <c r="AH660" s="281" t="s">
        <v>560</v>
      </c>
      <c r="AI660" s="868" t="s">
        <v>4204</v>
      </c>
      <c r="AJ660" s="305" t="s">
        <v>3880</v>
      </c>
      <c r="AK660" s="181" t="str">
        <f t="shared" ca="1" si="148"/>
        <v>TERMINO</v>
      </c>
      <c r="AL660" s="310" t="s">
        <v>574</v>
      </c>
      <c r="AM660" s="176" t="s">
        <v>390</v>
      </c>
      <c r="AN660" s="848" t="str">
        <f>IFERROR(VLOOKUP(E660,'liquidaciones '!$B$2:$C$1048576,2,0),"NO")</f>
        <v>NO</v>
      </c>
      <c r="AO660" s="944" t="str">
        <f>IFERROR(VLOOKUP(E660,'liquidaciones '!$B$2:$I$1048576,8,0),"")</f>
        <v/>
      </c>
      <c r="AP660" s="433"/>
      <c r="AQ660" s="177" t="s">
        <v>390</v>
      </c>
      <c r="AR660" s="433" t="s">
        <v>4819</v>
      </c>
      <c r="AS660" s="433" t="s">
        <v>4636</v>
      </c>
      <c r="AT660" s="966" t="s">
        <v>3895</v>
      </c>
      <c r="AU660" s="301" t="s">
        <v>4872</v>
      </c>
      <c r="AV660" s="301" t="s">
        <v>4926</v>
      </c>
    </row>
    <row r="661" spans="3:48" ht="33.75" x14ac:dyDescent="0.25">
      <c r="C661" s="867"/>
      <c r="D661" s="867"/>
      <c r="E661" s="868" t="s">
        <v>4205</v>
      </c>
      <c r="F661" s="441" t="s">
        <v>4206</v>
      </c>
      <c r="G661" s="893">
        <v>1077970840</v>
      </c>
      <c r="H661" s="1003" t="s">
        <v>4207</v>
      </c>
      <c r="I661" s="93">
        <v>13200000</v>
      </c>
      <c r="J661" s="873" t="s">
        <v>4619</v>
      </c>
      <c r="K661" s="295">
        <v>2018</v>
      </c>
      <c r="L661" s="546">
        <v>43320</v>
      </c>
      <c r="M661" s="546">
        <v>43326</v>
      </c>
      <c r="N661" s="546">
        <v>43496</v>
      </c>
      <c r="O661" s="127">
        <f>COUNTA(Modificaciones!I647,Modificaciones!K647,Modificaciones!M647,Modificaciones!O647)</f>
        <v>0</v>
      </c>
      <c r="P661" s="128">
        <f>VLOOKUP(E661,Modificaciones!$B$7:$Q$819,16,0)</f>
        <v>5646667</v>
      </c>
      <c r="Q661" s="129">
        <f>COUNTA(Modificaciones!S661,Modificaciones!U661,Modificaciones!W661,Modificaciones!Y661)</f>
        <v>1</v>
      </c>
      <c r="R661" s="130" t="str">
        <f>IF(Modificaciones!Z661=0,"",VLOOKUP(E661,Modificaciones!$B$7:$AA$1419,25,0))</f>
        <v>2 meses y 17 días</v>
      </c>
      <c r="S661" s="131">
        <f>IF(Modificaciones!AA661=0,"",VLOOKUP(E661,Modificaciones!$B$7:$AA$1419,26,0))</f>
        <v>43585</v>
      </c>
      <c r="T661" s="855">
        <f t="shared" si="140"/>
        <v>43585</v>
      </c>
      <c r="U661" s="62">
        <f t="shared" si="141"/>
        <v>18846667</v>
      </c>
      <c r="V661" s="172">
        <f>VLOOKUP(E661,Modificaciones!$B$7:$AU$819,46,0)</f>
        <v>16646667</v>
      </c>
      <c r="W661" s="93">
        <f t="shared" si="142"/>
        <v>2200000</v>
      </c>
      <c r="X661" s="309" t="s">
        <v>1095</v>
      </c>
      <c r="Y661" s="852">
        <f t="shared" si="143"/>
        <v>0.88326848455485529</v>
      </c>
      <c r="Z661" s="42">
        <f t="shared" ca="1" si="144"/>
        <v>1</v>
      </c>
      <c r="AA661" s="43">
        <f t="shared" ca="1" si="145"/>
        <v>0.11673151544514471</v>
      </c>
      <c r="AB661" s="202" t="str">
        <f t="shared" ca="1" si="146"/>
        <v/>
      </c>
      <c r="AC661" s="44" t="str">
        <f t="shared" si="147"/>
        <v>NO</v>
      </c>
      <c r="AD661" s="760" t="s">
        <v>2898</v>
      </c>
      <c r="AE661" s="173" t="s">
        <v>1256</v>
      </c>
      <c r="AF661" s="900" t="s">
        <v>2941</v>
      </c>
      <c r="AG661" s="173" t="s">
        <v>1177</v>
      </c>
      <c r="AH661" s="281" t="s">
        <v>559</v>
      </c>
      <c r="AI661" s="868"/>
      <c r="AJ661" s="305" t="s">
        <v>4034</v>
      </c>
      <c r="AK661" s="181" t="str">
        <f t="shared" ca="1" si="148"/>
        <v>TERMINO</v>
      </c>
      <c r="AL661" s="181" t="s">
        <v>582</v>
      </c>
      <c r="AM661" s="433" t="s">
        <v>391</v>
      </c>
      <c r="AN661" s="848" t="str">
        <f>IFERROR(VLOOKUP(E661,'liquidaciones '!$B$2:$C$1048576,2,0),"NO")</f>
        <v>NO</v>
      </c>
      <c r="AO661" s="944" t="str">
        <f>IFERROR(VLOOKUP(E661,'liquidaciones '!$B$2:$I$1048576,8,0),"")</f>
        <v/>
      </c>
      <c r="AP661" s="433"/>
      <c r="AQ661" s="177" t="s">
        <v>390</v>
      </c>
      <c r="AR661" s="177" t="s">
        <v>4255</v>
      </c>
      <c r="AS661" s="433"/>
      <c r="AT661" s="966" t="s">
        <v>3947</v>
      </c>
      <c r="AU661" s="964"/>
      <c r="AV661" s="301"/>
    </row>
    <row r="662" spans="3:48" ht="45" x14ac:dyDescent="0.25">
      <c r="C662" s="867">
        <v>424</v>
      </c>
      <c r="D662" s="867"/>
      <c r="E662" s="868" t="s">
        <v>4208</v>
      </c>
      <c r="F662" s="441" t="s">
        <v>4209</v>
      </c>
      <c r="G662" s="242">
        <v>1102812271</v>
      </c>
      <c r="H662" s="1005" t="s">
        <v>4214</v>
      </c>
      <c r="I662" s="93">
        <v>37500000</v>
      </c>
      <c r="J662" s="863" t="s">
        <v>4845</v>
      </c>
      <c r="K662" s="295">
        <v>2018</v>
      </c>
      <c r="L662" s="546">
        <v>43315</v>
      </c>
      <c r="M662" s="546">
        <v>43322</v>
      </c>
      <c r="N662" s="546">
        <v>43496</v>
      </c>
      <c r="O662" s="127">
        <f>COUNTA(Modificaciones!I648,Modificaciones!K648,Modificaciones!M648,Modificaciones!O648)</f>
        <v>1</v>
      </c>
      <c r="P662" s="128">
        <f>VLOOKUP(E662,Modificaciones!$B$7:$Q$819,16,0)</f>
        <v>0</v>
      </c>
      <c r="Q662" s="129">
        <f>COUNTA(Modificaciones!S662,Modificaciones!U662,Modificaciones!W662,Modificaciones!Y662)</f>
        <v>0</v>
      </c>
      <c r="R662" s="130" t="str">
        <f>IF(Modificaciones!Z662=0,"",VLOOKUP(E662,Modificaciones!$B$7:$AA$1419,25,0))</f>
        <v/>
      </c>
      <c r="S662" s="131" t="str">
        <f>IF(Modificaciones!AA662=0,"",VLOOKUP(E662,Modificaciones!$B$7:$AA$1419,26,0))</f>
        <v/>
      </c>
      <c r="T662" s="855">
        <f t="shared" si="140"/>
        <v>43496</v>
      </c>
      <c r="U662" s="62">
        <f t="shared" si="141"/>
        <v>37500000</v>
      </c>
      <c r="V662" s="172">
        <f>VLOOKUP(E662,Modificaciones!$B$7:$AU$819,46,0)</f>
        <v>35625000</v>
      </c>
      <c r="W662" s="93">
        <f t="shared" si="142"/>
        <v>1875000</v>
      </c>
      <c r="X662" s="309" t="s">
        <v>1095</v>
      </c>
      <c r="Y662" s="852">
        <f t="shared" si="143"/>
        <v>0.95</v>
      </c>
      <c r="Z662" s="42">
        <f t="shared" ca="1" si="144"/>
        <v>1</v>
      </c>
      <c r="AA662" s="43">
        <f t="shared" ca="1" si="145"/>
        <v>5.0000000000000044E-2</v>
      </c>
      <c r="AB662" s="202" t="str">
        <f t="shared" ca="1" si="146"/>
        <v/>
      </c>
      <c r="AC662" s="44" t="str">
        <f t="shared" si="147"/>
        <v>NO</v>
      </c>
      <c r="AD662" s="760" t="s">
        <v>2898</v>
      </c>
      <c r="AE662" s="173" t="s">
        <v>1256</v>
      </c>
      <c r="AF662" s="900" t="s">
        <v>4213</v>
      </c>
      <c r="AG662" s="868"/>
      <c r="AH662" s="281" t="s">
        <v>560</v>
      </c>
      <c r="AI662" s="868"/>
      <c r="AJ662" s="305" t="s">
        <v>3880</v>
      </c>
      <c r="AK662" s="181" t="str">
        <f t="shared" ca="1" si="148"/>
        <v>TERMINO</v>
      </c>
      <c r="AL662" s="181" t="s">
        <v>582</v>
      </c>
      <c r="AM662" s="433" t="s">
        <v>391</v>
      </c>
      <c r="AN662" s="848" t="str">
        <f>IFERROR(VLOOKUP(E662,'liquidaciones '!$B$2:$C$1048576,2,0),"NO")</f>
        <v>EN TRÁMITE</v>
      </c>
      <c r="AO662" s="944" t="str">
        <f>IFERROR(VLOOKUP(E662,'liquidaciones '!$B$2:$I$1048576,8,0),"")</f>
        <v>JUAN DIEGO ESPITIA</v>
      </c>
      <c r="AP662" s="433"/>
      <c r="AQ662" s="433" t="s">
        <v>390</v>
      </c>
      <c r="AR662" s="987" t="s">
        <v>4236</v>
      </c>
      <c r="AS662" s="433"/>
      <c r="AT662" s="966" t="s">
        <v>3895</v>
      </c>
      <c r="AU662" s="964"/>
      <c r="AV662" s="301"/>
    </row>
    <row r="663" spans="3:48" ht="45" x14ac:dyDescent="0.25">
      <c r="C663" s="867"/>
      <c r="D663" s="867"/>
      <c r="E663" s="868" t="s">
        <v>4210</v>
      </c>
      <c r="F663" s="441" t="s">
        <v>4211</v>
      </c>
      <c r="G663" s="893">
        <v>1065587417</v>
      </c>
      <c r="H663" s="1005" t="s">
        <v>4212</v>
      </c>
      <c r="I663" s="93">
        <v>16404000</v>
      </c>
      <c r="J663" s="863" t="s">
        <v>4844</v>
      </c>
      <c r="K663" s="295">
        <v>2018</v>
      </c>
      <c r="L663" s="546">
        <v>43315</v>
      </c>
      <c r="M663" s="546">
        <v>43322</v>
      </c>
      <c r="N663" s="546">
        <v>43496</v>
      </c>
      <c r="O663" s="127">
        <f>COUNTA(Modificaciones!I649,Modificaciones!K649,Modificaciones!M649,Modificaciones!O649)</f>
        <v>1</v>
      </c>
      <c r="P663" s="128">
        <f>VLOOKUP(E663,Modificaciones!$B$7:$Q$819,16,0)</f>
        <v>0</v>
      </c>
      <c r="Q663" s="129">
        <f>COUNTA(Modificaciones!S663,Modificaciones!U663,Modificaciones!W663,Modificaciones!Y663)</f>
        <v>0</v>
      </c>
      <c r="R663" s="130" t="str">
        <f>IF(Modificaciones!Z663=0,"",VLOOKUP(E663,Modificaciones!$B$7:$AA$1419,25,0))</f>
        <v/>
      </c>
      <c r="S663" s="131" t="str">
        <f>IF(Modificaciones!AA663=0,"",VLOOKUP(E663,Modificaciones!$B$7:$AA$1419,26,0))</f>
        <v/>
      </c>
      <c r="T663" s="855">
        <f t="shared" si="140"/>
        <v>43496</v>
      </c>
      <c r="U663" s="62">
        <f t="shared" si="141"/>
        <v>16404000</v>
      </c>
      <c r="V663" s="172">
        <f>VLOOKUP(E663,Modificaciones!$B$7:$AU$819,46,0)</f>
        <v>15583800</v>
      </c>
      <c r="W663" s="93">
        <f t="shared" si="142"/>
        <v>820200</v>
      </c>
      <c r="X663" s="309" t="s">
        <v>1095</v>
      </c>
      <c r="Y663" s="852">
        <f t="shared" si="143"/>
        <v>0.95</v>
      </c>
      <c r="Z663" s="42">
        <f t="shared" ca="1" si="144"/>
        <v>1</v>
      </c>
      <c r="AA663" s="43">
        <f t="shared" ca="1" si="145"/>
        <v>5.0000000000000044E-2</v>
      </c>
      <c r="AB663" s="202" t="str">
        <f t="shared" ca="1" si="146"/>
        <v/>
      </c>
      <c r="AC663" s="44" t="str">
        <f t="shared" si="147"/>
        <v>NO</v>
      </c>
      <c r="AD663" s="760" t="s">
        <v>2898</v>
      </c>
      <c r="AE663" s="173" t="s">
        <v>1256</v>
      </c>
      <c r="AF663" s="900" t="s">
        <v>4213</v>
      </c>
      <c r="AG663" s="173" t="s">
        <v>1442</v>
      </c>
      <c r="AH663" s="281" t="s">
        <v>560</v>
      </c>
      <c r="AI663" s="868"/>
      <c r="AJ663" s="305" t="s">
        <v>3880</v>
      </c>
      <c r="AK663" s="181" t="str">
        <f t="shared" ca="1" si="148"/>
        <v>TERMINO</v>
      </c>
      <c r="AL663" s="181" t="s">
        <v>582</v>
      </c>
      <c r="AM663" s="433" t="s">
        <v>391</v>
      </c>
      <c r="AN663" s="848" t="str">
        <f>IFERROR(VLOOKUP(E663,'liquidaciones '!$B$2:$C$1048576,2,0),"NO")</f>
        <v>NO</v>
      </c>
      <c r="AO663" s="944" t="str">
        <f>IFERROR(VLOOKUP(E663,'liquidaciones '!$B$2:$I$1048576,8,0),"")</f>
        <v/>
      </c>
      <c r="AP663" s="433"/>
      <c r="AQ663" s="433" t="s">
        <v>390</v>
      </c>
      <c r="AR663" s="987" t="s">
        <v>1510</v>
      </c>
      <c r="AS663" s="433"/>
      <c r="AT663" s="966" t="s">
        <v>3895</v>
      </c>
      <c r="AU663" s="964"/>
      <c r="AV663" s="301"/>
    </row>
    <row r="664" spans="3:48" ht="45" x14ac:dyDescent="0.25">
      <c r="C664" s="867">
        <v>243</v>
      </c>
      <c r="D664" s="867"/>
      <c r="E664" s="868" t="s">
        <v>4215</v>
      </c>
      <c r="F664" s="441" t="s">
        <v>4216</v>
      </c>
      <c r="G664" s="893">
        <v>900534413</v>
      </c>
      <c r="H664" s="1005" t="s">
        <v>4217</v>
      </c>
      <c r="I664" s="93">
        <v>393873426</v>
      </c>
      <c r="J664" s="873" t="s">
        <v>4843</v>
      </c>
      <c r="K664" s="295">
        <v>2018</v>
      </c>
      <c r="L664" s="546">
        <v>43308</v>
      </c>
      <c r="M664" s="546">
        <v>43322</v>
      </c>
      <c r="N664" s="546">
        <v>43366</v>
      </c>
      <c r="O664" s="127">
        <f>COUNTA(Modificaciones!I650,Modificaciones!K650,Modificaciones!M650,Modificaciones!O650)</f>
        <v>1</v>
      </c>
      <c r="P664" s="128">
        <f>VLOOKUP(E664,Modificaciones!$B$7:$Q$819,16,0)</f>
        <v>184923315</v>
      </c>
      <c r="Q664" s="129">
        <f>COUNTA(Modificaciones!S664,Modificaciones!U664,Modificaciones!W664,Modificaciones!Y664)</f>
        <v>1</v>
      </c>
      <c r="R664" s="130" t="str">
        <f>IF(Modificaciones!Z664=0,"",VLOOKUP(E664,Modificaciones!$B$7:$AA$1419,25,0))</f>
        <v xml:space="preserve">40 días </v>
      </c>
      <c r="S664" s="131">
        <f>IF(Modificaciones!AA664=0,"",VLOOKUP(E664,Modificaciones!$B$7:$AA$1419,26,0))</f>
        <v>43408</v>
      </c>
      <c r="T664" s="855">
        <f t="shared" si="140"/>
        <v>43408</v>
      </c>
      <c r="U664" s="62">
        <f t="shared" si="141"/>
        <v>578796741</v>
      </c>
      <c r="V664" s="172">
        <f>VLOOKUP(E664,Modificaciones!$B$7:$AU$819,46,0)</f>
        <v>578796741</v>
      </c>
      <c r="W664" s="93">
        <f t="shared" si="142"/>
        <v>0</v>
      </c>
      <c r="X664" s="309" t="s">
        <v>1895</v>
      </c>
      <c r="Y664" s="852">
        <f t="shared" si="143"/>
        <v>1</v>
      </c>
      <c r="Z664" s="42">
        <f t="shared" ca="1" si="144"/>
        <v>1</v>
      </c>
      <c r="AA664" s="43">
        <f t="shared" ca="1" si="145"/>
        <v>0</v>
      </c>
      <c r="AB664" s="202" t="str">
        <f t="shared" ca="1" si="146"/>
        <v/>
      </c>
      <c r="AC664" s="44" t="str">
        <f t="shared" si="147"/>
        <v>SI</v>
      </c>
      <c r="AD664" s="868" t="s">
        <v>1712</v>
      </c>
      <c r="AE664" s="871" t="s">
        <v>1257</v>
      </c>
      <c r="AF664" s="871" t="s">
        <v>4218</v>
      </c>
      <c r="AG664" s="173" t="s">
        <v>1439</v>
      </c>
      <c r="AH664" s="281" t="s">
        <v>560</v>
      </c>
      <c r="AI664" s="868" t="s">
        <v>1509</v>
      </c>
      <c r="AJ664" s="305" t="s">
        <v>3880</v>
      </c>
      <c r="AK664" s="181" t="str">
        <f t="shared" ca="1" si="148"/>
        <v>TERMINO</v>
      </c>
      <c r="AL664" s="181" t="s">
        <v>995</v>
      </c>
      <c r="AM664" s="433" t="s">
        <v>391</v>
      </c>
      <c r="AN664" s="848" t="str">
        <f>IFERROR(VLOOKUP(E664,'liquidaciones '!$B$2:$C$1048576,2,0),"NO")</f>
        <v>NO</v>
      </c>
      <c r="AO664" s="944" t="str">
        <f>IFERROR(VLOOKUP(E664,'liquidaciones '!$B$2:$I$1048576,8,0),"")</f>
        <v/>
      </c>
      <c r="AP664" s="433"/>
      <c r="AQ664" s="433" t="s">
        <v>390</v>
      </c>
      <c r="AR664" s="987" t="s">
        <v>4219</v>
      </c>
      <c r="AS664" s="433" t="s">
        <v>3785</v>
      </c>
      <c r="AT664" s="966" t="s">
        <v>3895</v>
      </c>
      <c r="AU664" s="964"/>
      <c r="AV664" s="301"/>
    </row>
    <row r="665" spans="3:48" ht="56.25" x14ac:dyDescent="0.25">
      <c r="C665" s="867">
        <v>185</v>
      </c>
      <c r="D665" s="867"/>
      <c r="E665" s="868" t="s">
        <v>4220</v>
      </c>
      <c r="F665" s="441" t="s">
        <v>2125</v>
      </c>
      <c r="G665" s="893">
        <v>830083523</v>
      </c>
      <c r="H665" s="1005" t="s">
        <v>4222</v>
      </c>
      <c r="I665" s="93">
        <v>6735778</v>
      </c>
      <c r="J665" s="1011" t="s">
        <v>4842</v>
      </c>
      <c r="K665" s="295">
        <v>2018</v>
      </c>
      <c r="L665" s="546">
        <v>43320</v>
      </c>
      <c r="M665" s="546">
        <v>43333</v>
      </c>
      <c r="N665" s="546">
        <v>43544</v>
      </c>
      <c r="O665" s="127">
        <f>COUNTA(Modificaciones!I651,Modificaciones!K651,Modificaciones!M651,Modificaciones!O651)</f>
        <v>1</v>
      </c>
      <c r="P665" s="128">
        <f>VLOOKUP(E665,Modificaciones!$B$7:$Q$1819,16,0)</f>
        <v>0</v>
      </c>
      <c r="Q665" s="129">
        <f>COUNTA(Modificaciones!S665,Modificaciones!U665,Modificaciones!W665,Modificaciones!Y665)</f>
        <v>0</v>
      </c>
      <c r="R665" s="130" t="str">
        <f>IF(Modificaciones!Z665=0,"",VLOOKUP(E665,Modificaciones!$B$7:$AA$1419,25,0))</f>
        <v/>
      </c>
      <c r="S665" s="131" t="str">
        <f>IF(Modificaciones!AA665=0,"",VLOOKUP(E665,Modificaciones!$B$7:$AA$1419,26,0))</f>
        <v/>
      </c>
      <c r="T665" s="855">
        <f t="shared" si="140"/>
        <v>43544</v>
      </c>
      <c r="U665" s="62">
        <f t="shared" si="141"/>
        <v>6735778</v>
      </c>
      <c r="V665" s="172">
        <f>VLOOKUP(E665,Modificaciones!$B$7:$AU$819,46,0)</f>
        <v>6735778</v>
      </c>
      <c r="W665" s="93">
        <f t="shared" si="142"/>
        <v>0</v>
      </c>
      <c r="X665" s="313" t="s">
        <v>4223</v>
      </c>
      <c r="Y665" s="852">
        <f t="shared" si="143"/>
        <v>1</v>
      </c>
      <c r="Z665" s="42">
        <f t="shared" ca="1" si="144"/>
        <v>1</v>
      </c>
      <c r="AA665" s="43">
        <f t="shared" ca="1" si="145"/>
        <v>0</v>
      </c>
      <c r="AB665" s="202" t="str">
        <f t="shared" ca="1" si="146"/>
        <v/>
      </c>
      <c r="AC665" s="44" t="str">
        <f t="shared" si="147"/>
        <v>SI</v>
      </c>
      <c r="AD665" s="868"/>
      <c r="AE665" s="173" t="s">
        <v>1257</v>
      </c>
      <c r="AF665" s="281" t="s">
        <v>2109</v>
      </c>
      <c r="AG665" s="173" t="s">
        <v>1439</v>
      </c>
      <c r="AH665" s="281" t="s">
        <v>560</v>
      </c>
      <c r="AI665" s="305" t="s">
        <v>1509</v>
      </c>
      <c r="AJ665" s="305" t="s">
        <v>3880</v>
      </c>
      <c r="AK665" s="181" t="str">
        <f t="shared" ca="1" si="148"/>
        <v>TERMINO</v>
      </c>
      <c r="AL665" s="310" t="s">
        <v>582</v>
      </c>
      <c r="AM665" s="433" t="s">
        <v>390</v>
      </c>
      <c r="AN665" s="848" t="str">
        <f>IFERROR(VLOOKUP(E665,'liquidaciones '!$B$2:$C$1048576,2,0),"NO")</f>
        <v>NO</v>
      </c>
      <c r="AO665" s="944" t="str">
        <f>IFERROR(VLOOKUP(E665,'liquidaciones '!$B$2:$I$1048576,8,0),"")</f>
        <v/>
      </c>
      <c r="AP665" s="433"/>
      <c r="AQ665" s="433" t="s">
        <v>390</v>
      </c>
      <c r="AR665" s="1012" t="s">
        <v>4219</v>
      </c>
      <c r="AS665" s="433" t="s">
        <v>3785</v>
      </c>
      <c r="AT665" s="966" t="s">
        <v>3895</v>
      </c>
      <c r="AU665" s="964"/>
      <c r="AV665" s="301" t="s">
        <v>4676</v>
      </c>
    </row>
    <row r="666" spans="3:48" ht="30" x14ac:dyDescent="0.25">
      <c r="C666" s="867">
        <v>92</v>
      </c>
      <c r="D666" s="867"/>
      <c r="E666" s="868" t="s">
        <v>4221</v>
      </c>
      <c r="F666" s="441" t="s">
        <v>3767</v>
      </c>
      <c r="G666" s="893">
        <v>830006901</v>
      </c>
      <c r="H666" s="1005" t="s">
        <v>4224</v>
      </c>
      <c r="I666" s="93">
        <v>200870570</v>
      </c>
      <c r="J666" s="873" t="s">
        <v>4225</v>
      </c>
      <c r="K666" s="295">
        <v>2018</v>
      </c>
      <c r="L666" s="546">
        <v>43325</v>
      </c>
      <c r="M666" s="546">
        <v>43325</v>
      </c>
      <c r="N666" s="546">
        <v>43385</v>
      </c>
      <c r="O666" s="127">
        <f>COUNTA(Modificaciones!I652,Modificaciones!K652,Modificaciones!M652,Modificaciones!O652)</f>
        <v>1</v>
      </c>
      <c r="P666" s="128">
        <f>VLOOKUP(E666,Modificaciones!$B$7:$Q$1819,16,0)</f>
        <v>0</v>
      </c>
      <c r="Q666" s="129">
        <f>COUNTA(Modificaciones!S666,Modificaciones!U666,Modificaciones!W666,Modificaciones!Y666)</f>
        <v>0</v>
      </c>
      <c r="R666" s="130" t="str">
        <f>IF(Modificaciones!Z666=0,"",VLOOKUP(E666,Modificaciones!$B$7:$AA$1419,25,0))</f>
        <v/>
      </c>
      <c r="S666" s="131" t="str">
        <f>IF(Modificaciones!AA666=0,"",VLOOKUP(E666,Modificaciones!$B$7:$AA$1419,26,0))</f>
        <v/>
      </c>
      <c r="T666" s="855">
        <f t="shared" si="140"/>
        <v>43385</v>
      </c>
      <c r="U666" s="62">
        <f t="shared" si="141"/>
        <v>200870570</v>
      </c>
      <c r="V666" s="172">
        <f>VLOOKUP(E666,Modificaciones!$B$7:$AU$819,46,0)</f>
        <v>200870204</v>
      </c>
      <c r="W666" s="93">
        <f t="shared" si="142"/>
        <v>366</v>
      </c>
      <c r="X666" s="309"/>
      <c r="Y666" s="852">
        <f t="shared" si="143"/>
        <v>0.99999817793119217</v>
      </c>
      <c r="Z666" s="42">
        <f t="shared" ca="1" si="144"/>
        <v>1</v>
      </c>
      <c r="AA666" s="43">
        <f t="shared" ca="1" si="145"/>
        <v>1.8220688078329772E-6</v>
      </c>
      <c r="AB666" s="202" t="str">
        <f t="shared" ca="1" si="146"/>
        <v/>
      </c>
      <c r="AC666" s="44" t="str">
        <f t="shared" si="147"/>
        <v>SI</v>
      </c>
      <c r="AD666" s="760" t="s">
        <v>1712</v>
      </c>
      <c r="AE666" s="173" t="s">
        <v>1256</v>
      </c>
      <c r="AF666" s="281" t="s">
        <v>2781</v>
      </c>
      <c r="AG666" s="868"/>
      <c r="AH666" s="868"/>
      <c r="AI666" s="868"/>
      <c r="AJ666" s="305" t="s">
        <v>3880</v>
      </c>
      <c r="AK666" s="181" t="str">
        <f t="shared" ca="1" si="148"/>
        <v>TERMINO</v>
      </c>
      <c r="AL666" s="310" t="s">
        <v>2726</v>
      </c>
      <c r="AM666" s="433"/>
      <c r="AN666" s="848" t="str">
        <f>IFERROR(VLOOKUP(E666,'liquidaciones '!$B$2:$C$1048576,2,0),"NO")</f>
        <v>EN TRÁMITE</v>
      </c>
      <c r="AO666" s="944" t="str">
        <f>IFERROR(VLOOKUP(E666,'liquidaciones '!$B$2:$I$1048576,8,0),"")</f>
        <v>JUAN DIEGO ESPITIA</v>
      </c>
      <c r="AP666" s="433"/>
      <c r="AQ666" s="433" t="s">
        <v>390</v>
      </c>
      <c r="AR666" s="433" t="s">
        <v>1510</v>
      </c>
      <c r="AS666" s="433"/>
      <c r="AT666" s="966" t="s">
        <v>560</v>
      </c>
      <c r="AU666" s="964"/>
      <c r="AV666" s="301"/>
    </row>
    <row r="667" spans="3:48" ht="45" x14ac:dyDescent="0.25">
      <c r="C667" s="867"/>
      <c r="D667" s="867"/>
      <c r="E667" s="868" t="s">
        <v>4226</v>
      </c>
      <c r="F667" s="441" t="s">
        <v>4227</v>
      </c>
      <c r="G667" s="893">
        <v>40031917</v>
      </c>
      <c r="H667" s="1005" t="s">
        <v>2900</v>
      </c>
      <c r="I667" s="93">
        <v>37500000</v>
      </c>
      <c r="J667" s="863" t="s">
        <v>4841</v>
      </c>
      <c r="K667" s="295">
        <v>2018</v>
      </c>
      <c r="L667" s="546">
        <v>43326</v>
      </c>
      <c r="M667" s="546">
        <v>43328</v>
      </c>
      <c r="N667" s="546">
        <v>43496</v>
      </c>
      <c r="O667" s="127">
        <f>COUNTA(Modificaciones!I653,Modificaciones!K653,Modificaciones!M653,Modificaciones!O653)</f>
        <v>1</v>
      </c>
      <c r="P667" s="128">
        <f>VLOOKUP(E667,Modificaciones!$B$7:$Q$1819,16,0)</f>
        <v>9375000</v>
      </c>
      <c r="Q667" s="129">
        <f>COUNTA(Modificaciones!S667,Modificaciones!U667,Modificaciones!W667,Modificaciones!Y667)</f>
        <v>1</v>
      </c>
      <c r="R667" s="130" t="str">
        <f>IF(Modificaciones!Z667=0,"",VLOOKUP(E667,Modificaciones!$B$7:$AA$1419,25,0))</f>
        <v>1 mes y 15 días</v>
      </c>
      <c r="S667" s="131">
        <f>IF(Modificaciones!AA667=0,"",VLOOKUP(E667,Modificaciones!$B$7:$AA$1419,26,0))</f>
        <v>43554</v>
      </c>
      <c r="T667" s="855">
        <f t="shared" si="140"/>
        <v>43554</v>
      </c>
      <c r="U667" s="62">
        <f t="shared" si="141"/>
        <v>46875000</v>
      </c>
      <c r="V667" s="172">
        <f>VLOOKUP(E667,Modificaciones!$B$7:$AU$819,46,0)</f>
        <v>46875000</v>
      </c>
      <c r="W667" s="93">
        <f t="shared" si="142"/>
        <v>0</v>
      </c>
      <c r="X667" s="309" t="s">
        <v>1095</v>
      </c>
      <c r="Y667" s="852">
        <f t="shared" si="143"/>
        <v>1</v>
      </c>
      <c r="Z667" s="42">
        <f t="shared" ca="1" si="144"/>
        <v>1</v>
      </c>
      <c r="AA667" s="43">
        <f t="shared" ca="1" si="145"/>
        <v>0</v>
      </c>
      <c r="AB667" s="202" t="str">
        <f t="shared" ca="1" si="146"/>
        <v/>
      </c>
      <c r="AC667" s="44" t="str">
        <f t="shared" si="147"/>
        <v>SI</v>
      </c>
      <c r="AD667" s="760" t="s">
        <v>2898</v>
      </c>
      <c r="AE667" s="173" t="s">
        <v>1256</v>
      </c>
      <c r="AF667" s="173" t="s">
        <v>2592</v>
      </c>
      <c r="AG667" s="173" t="s">
        <v>1177</v>
      </c>
      <c r="AH667" s="281" t="s">
        <v>559</v>
      </c>
      <c r="AI667" s="305"/>
      <c r="AJ667" s="305" t="s">
        <v>4034</v>
      </c>
      <c r="AK667" s="181" t="str">
        <f t="shared" ca="1" si="148"/>
        <v>TERMINO</v>
      </c>
      <c r="AL667" s="310" t="s">
        <v>582</v>
      </c>
      <c r="AM667" s="176" t="s">
        <v>391</v>
      </c>
      <c r="AN667" s="848" t="str">
        <f>IFERROR(VLOOKUP(E667,'liquidaciones '!$B$2:$C$1048576,2,0),"NO")</f>
        <v>NO</v>
      </c>
      <c r="AO667" s="944" t="str">
        <f>IFERROR(VLOOKUP(E667,'liquidaciones '!$B$2:$I$1048576,8,0),"")</f>
        <v/>
      </c>
      <c r="AP667" s="433"/>
      <c r="AQ667" s="177" t="s">
        <v>390</v>
      </c>
      <c r="AR667" s="433" t="s">
        <v>4820</v>
      </c>
      <c r="AS667" s="433"/>
      <c r="AT667" s="966" t="s">
        <v>3947</v>
      </c>
      <c r="AU667" s="964"/>
      <c r="AV667" s="301"/>
    </row>
    <row r="668" spans="3:48" ht="33.75" x14ac:dyDescent="0.25">
      <c r="C668" s="867"/>
      <c r="D668" s="867"/>
      <c r="E668" s="868" t="s">
        <v>4228</v>
      </c>
      <c r="F668" s="441" t="s">
        <v>2924</v>
      </c>
      <c r="G668" s="906">
        <v>1030565608</v>
      </c>
      <c r="H668" s="1001" t="s">
        <v>3038</v>
      </c>
      <c r="I668" s="93">
        <v>23819958</v>
      </c>
      <c r="J668" s="863" t="s">
        <v>4840</v>
      </c>
      <c r="K668" s="295">
        <v>2018</v>
      </c>
      <c r="L668" s="546">
        <v>43325</v>
      </c>
      <c r="M668" s="546">
        <v>43327</v>
      </c>
      <c r="N668" s="546">
        <v>43496</v>
      </c>
      <c r="O668" s="127">
        <f>COUNTA(Modificaciones!I654,Modificaciones!K654,Modificaciones!M654,Modificaciones!O654)</f>
        <v>1</v>
      </c>
      <c r="P668" s="128">
        <f>VLOOKUP(E668,Modificaciones!$B$7:$Q$1819,16,0)</f>
        <v>0</v>
      </c>
      <c r="Q668" s="129">
        <f>COUNTA(Modificaciones!S668,Modificaciones!U668,Modificaciones!W668,Modificaciones!Y668)</f>
        <v>0</v>
      </c>
      <c r="R668" s="130" t="str">
        <f>IF(Modificaciones!Z668=0,"",VLOOKUP(E668,Modificaciones!$B$7:$AA$1419,25,0))</f>
        <v/>
      </c>
      <c r="S668" s="131" t="str">
        <f>IF(Modificaciones!AA668=0,"",VLOOKUP(E668,Modificaciones!$B$7:$AA$1419,26,0))</f>
        <v/>
      </c>
      <c r="T668" s="855">
        <f t="shared" si="140"/>
        <v>43496</v>
      </c>
      <c r="U668" s="62">
        <f t="shared" si="141"/>
        <v>23819958</v>
      </c>
      <c r="V668" s="172">
        <f>VLOOKUP(E668,Modificaciones!$B$7:$AU$819,46,0)</f>
        <v>21967295</v>
      </c>
      <c r="W668" s="93">
        <f t="shared" si="142"/>
        <v>1852663</v>
      </c>
      <c r="X668" s="309" t="s">
        <v>1095</v>
      </c>
      <c r="Y668" s="852">
        <f t="shared" si="143"/>
        <v>0.92222223901486311</v>
      </c>
      <c r="Z668" s="42">
        <f t="shared" ca="1" si="144"/>
        <v>1</v>
      </c>
      <c r="AA668" s="43">
        <f t="shared" ca="1" si="145"/>
        <v>7.777776098513689E-2</v>
      </c>
      <c r="AB668" s="202" t="str">
        <f t="shared" ca="1" si="146"/>
        <v/>
      </c>
      <c r="AC668" s="44" t="str">
        <f t="shared" si="147"/>
        <v>NO</v>
      </c>
      <c r="AD668" s="760" t="s">
        <v>2898</v>
      </c>
      <c r="AE668" s="173" t="s">
        <v>1257</v>
      </c>
      <c r="AF668" s="173" t="s">
        <v>2172</v>
      </c>
      <c r="AG668" s="173" t="s">
        <v>1177</v>
      </c>
      <c r="AH668" s="281" t="s">
        <v>560</v>
      </c>
      <c r="AI668" s="305" t="s">
        <v>1509</v>
      </c>
      <c r="AJ668" s="305" t="s">
        <v>3880</v>
      </c>
      <c r="AK668" s="181" t="str">
        <f t="shared" ca="1" si="148"/>
        <v>TERMINO</v>
      </c>
      <c r="AL668" s="181" t="s">
        <v>582</v>
      </c>
      <c r="AM668" s="433" t="s">
        <v>391</v>
      </c>
      <c r="AN668" s="848" t="str">
        <f>IFERROR(VLOOKUP(E668,'liquidaciones '!$B$2:$C$1048576,2,0),"NO")</f>
        <v>NO</v>
      </c>
      <c r="AO668" s="944" t="str">
        <f>IFERROR(VLOOKUP(E668,'liquidaciones '!$B$2:$I$1048576,8,0),"")</f>
        <v/>
      </c>
      <c r="AP668" s="433"/>
      <c r="AQ668" s="177" t="s">
        <v>390</v>
      </c>
      <c r="AR668" s="177" t="s">
        <v>1510</v>
      </c>
      <c r="AS668" s="433" t="s">
        <v>3785</v>
      </c>
      <c r="AT668" s="966" t="s">
        <v>3895</v>
      </c>
      <c r="AU668" s="964"/>
      <c r="AV668" s="301"/>
    </row>
    <row r="669" spans="3:48" ht="45" x14ac:dyDescent="0.25">
      <c r="C669" s="867">
        <v>136</v>
      </c>
      <c r="D669" s="867"/>
      <c r="E669" s="868" t="s">
        <v>4229</v>
      </c>
      <c r="F669" s="441" t="s">
        <v>2960</v>
      </c>
      <c r="G669" s="906">
        <v>900170405</v>
      </c>
      <c r="H669" s="1003" t="s">
        <v>2961</v>
      </c>
      <c r="I669" s="93">
        <v>52412300</v>
      </c>
      <c r="J669" s="863" t="s">
        <v>4839</v>
      </c>
      <c r="K669" s="295">
        <v>2018</v>
      </c>
      <c r="L669" s="546">
        <v>43326</v>
      </c>
      <c r="M669" s="546">
        <v>43335</v>
      </c>
      <c r="N669" s="546">
        <v>43577</v>
      </c>
      <c r="O669" s="127">
        <f>COUNTA(Modificaciones!I655,Modificaciones!K655,Modificaciones!M655,Modificaciones!O655)</f>
        <v>1</v>
      </c>
      <c r="P669" s="128">
        <f>VLOOKUP(E669,Modificaciones!$B$7:$Q$1819,16,0)</f>
        <v>0</v>
      </c>
      <c r="Q669" s="129">
        <f>COUNTA(Modificaciones!S669,Modificaciones!U669,Modificaciones!W669,Modificaciones!Y669)</f>
        <v>1</v>
      </c>
      <c r="R669" s="130" t="str">
        <f>IF(Modificaciones!Z669=0,"",VLOOKUP(E669,Modificaciones!$B$7:$AA$1419,25,0))</f>
        <v>2 meses</v>
      </c>
      <c r="S669" s="131">
        <f>IF(Modificaciones!AA669=0,"",VLOOKUP(E669,Modificaciones!$B$7:$AA$1419,26,0))</f>
        <v>43638</v>
      </c>
      <c r="T669" s="855">
        <f t="shared" si="140"/>
        <v>43638</v>
      </c>
      <c r="U669" s="62">
        <f t="shared" si="141"/>
        <v>52412300</v>
      </c>
      <c r="V669" s="172">
        <f>VLOOKUP(E669,Modificaciones!$B$7:$AU$819,46,0)</f>
        <v>26227500</v>
      </c>
      <c r="W669" s="93">
        <f t="shared" si="142"/>
        <v>26184800</v>
      </c>
      <c r="X669" s="314" t="s">
        <v>2521</v>
      </c>
      <c r="Y669" s="852">
        <f t="shared" si="143"/>
        <v>0.50040734713034918</v>
      </c>
      <c r="Z669" s="42">
        <f t="shared" ca="1" si="144"/>
        <v>1</v>
      </c>
      <c r="AA669" s="43">
        <f t="shared" ca="1" si="145"/>
        <v>0.49959265286965082</v>
      </c>
      <c r="AB669" s="202" t="str">
        <f t="shared" ca="1" si="146"/>
        <v/>
      </c>
      <c r="AC669" s="44" t="str">
        <f t="shared" si="147"/>
        <v>NO</v>
      </c>
      <c r="AD669" s="760" t="s">
        <v>1710</v>
      </c>
      <c r="AE669" s="173" t="s">
        <v>1256</v>
      </c>
      <c r="AF669" s="301" t="s">
        <v>1175</v>
      </c>
      <c r="AG669" s="173" t="s">
        <v>1435</v>
      </c>
      <c r="AH669" s="281" t="s">
        <v>560</v>
      </c>
      <c r="AI669" s="174" t="s">
        <v>1389</v>
      </c>
      <c r="AJ669" s="305" t="s">
        <v>3880</v>
      </c>
      <c r="AK669" s="181" t="str">
        <f t="shared" ca="1" si="148"/>
        <v>TERMINO</v>
      </c>
      <c r="AL669" s="173" t="s">
        <v>577</v>
      </c>
      <c r="AM669" s="176" t="s">
        <v>390</v>
      </c>
      <c r="AN669" s="848" t="str">
        <f>IFERROR(VLOOKUP(E669,'liquidaciones '!$B$2:$C$1048576,2,0),"NO")</f>
        <v>NO</v>
      </c>
      <c r="AO669" s="944" t="str">
        <f>IFERROR(VLOOKUP(E669,'liquidaciones '!$B$2:$I$1048576,8,0),"")</f>
        <v/>
      </c>
      <c r="AP669" s="433"/>
      <c r="AQ669" s="433" t="s">
        <v>390</v>
      </c>
      <c r="AR669" s="433" t="s">
        <v>4309</v>
      </c>
      <c r="AS669" s="433" t="s">
        <v>3790</v>
      </c>
      <c r="AT669" s="966" t="s">
        <v>560</v>
      </c>
      <c r="AU669" s="964"/>
      <c r="AV669" s="301" t="s">
        <v>4809</v>
      </c>
    </row>
    <row r="670" spans="3:48" ht="33.75" x14ac:dyDescent="0.25">
      <c r="C670" s="867"/>
      <c r="D670" s="867"/>
      <c r="E670" s="868" t="s">
        <v>4230</v>
      </c>
      <c r="F670" s="441" t="s">
        <v>4231</v>
      </c>
      <c r="G670" s="893">
        <v>1018414677</v>
      </c>
      <c r="H670" s="1005" t="s">
        <v>4232</v>
      </c>
      <c r="I670" s="93">
        <v>32814000</v>
      </c>
      <c r="J670" s="1011" t="s">
        <v>4838</v>
      </c>
      <c r="K670" s="295">
        <v>2018</v>
      </c>
      <c r="L670" s="546">
        <v>43333</v>
      </c>
      <c r="M670" s="546">
        <v>43335</v>
      </c>
      <c r="N670" s="546">
        <v>43496</v>
      </c>
      <c r="O670" s="127">
        <f>COUNTA(Modificaciones!I656,Modificaciones!K656,Modificaciones!M656,Modificaciones!O656)</f>
        <v>1</v>
      </c>
      <c r="P670" s="128">
        <f>VLOOKUP(E670,Modificaciones!$B$7:$Q$1819,16,0)</f>
        <v>0</v>
      </c>
      <c r="Q670" s="129">
        <f>COUNTA(Modificaciones!S670,Modificaciones!U670,Modificaciones!W670,Modificaciones!Y670)</f>
        <v>0</v>
      </c>
      <c r="R670" s="130" t="str">
        <f>IF(Modificaciones!Z670=0,"",VLOOKUP(E670,Modificaciones!$B$7:$AA$1419,25,0))</f>
        <v/>
      </c>
      <c r="S670" s="131" t="str">
        <f>IF(Modificaciones!AA670=0,"",VLOOKUP(E670,Modificaciones!$B$7:$AA$1419,26,0))</f>
        <v/>
      </c>
      <c r="T670" s="855">
        <f t="shared" si="140"/>
        <v>43496</v>
      </c>
      <c r="U670" s="62">
        <f t="shared" si="141"/>
        <v>32814000</v>
      </c>
      <c r="V670" s="172">
        <f>VLOOKUP(E670,Modificaciones!$B$7:$AU$819,46,0)</f>
        <v>28803400</v>
      </c>
      <c r="W670" s="93">
        <f t="shared" si="142"/>
        <v>4010600</v>
      </c>
      <c r="X670" s="309" t="s">
        <v>1095</v>
      </c>
      <c r="Y670" s="852">
        <f t="shared" si="143"/>
        <v>0.87777777777777777</v>
      </c>
      <c r="Z670" s="42">
        <f t="shared" ca="1" si="144"/>
        <v>1</v>
      </c>
      <c r="AA670" s="43">
        <f t="shared" ca="1" si="145"/>
        <v>0.12222222222222223</v>
      </c>
      <c r="AB670" s="202" t="str">
        <f t="shared" ca="1" si="146"/>
        <v/>
      </c>
      <c r="AC670" s="44" t="str">
        <f t="shared" si="147"/>
        <v>NO</v>
      </c>
      <c r="AD670" s="760" t="s">
        <v>2898</v>
      </c>
      <c r="AE670" s="173" t="s">
        <v>1256</v>
      </c>
      <c r="AF670" s="173" t="s">
        <v>4233</v>
      </c>
      <c r="AG670" s="173"/>
      <c r="AH670" s="281" t="s">
        <v>560</v>
      </c>
      <c r="AI670" s="305" t="s">
        <v>4204</v>
      </c>
      <c r="AJ670" s="305" t="s">
        <v>3880</v>
      </c>
      <c r="AK670" s="181" t="str">
        <f t="shared" ca="1" si="148"/>
        <v>TERMINO</v>
      </c>
      <c r="AL670" s="181" t="s">
        <v>582</v>
      </c>
      <c r="AM670" s="433" t="s">
        <v>391</v>
      </c>
      <c r="AN670" s="848" t="str">
        <f>IFERROR(VLOOKUP(E670,'liquidaciones '!$B$2:$C$1048576,2,0),"NO")</f>
        <v>NO</v>
      </c>
      <c r="AO670" s="944" t="str">
        <f>IFERROR(VLOOKUP(E670,'liquidaciones '!$B$2:$I$1048576,8,0),"")</f>
        <v/>
      </c>
      <c r="AP670" s="433"/>
      <c r="AQ670" s="433" t="s">
        <v>390</v>
      </c>
      <c r="AR670" s="987" t="s">
        <v>4236</v>
      </c>
      <c r="AS670" s="433" t="s">
        <v>4204</v>
      </c>
      <c r="AT670" s="966" t="s">
        <v>560</v>
      </c>
      <c r="AU670" s="964"/>
      <c r="AV670" s="301"/>
    </row>
    <row r="671" spans="3:48" ht="48" customHeight="1" x14ac:dyDescent="0.25">
      <c r="C671" s="867">
        <v>45</v>
      </c>
      <c r="D671" s="867"/>
      <c r="E671" s="868" t="s">
        <v>4238</v>
      </c>
      <c r="F671" s="441" t="s">
        <v>2964</v>
      </c>
      <c r="G671" s="906">
        <v>900062917</v>
      </c>
      <c r="H671" s="1003" t="s">
        <v>3051</v>
      </c>
      <c r="I671" s="93">
        <v>40935600</v>
      </c>
      <c r="J671" s="873" t="s">
        <v>4837</v>
      </c>
      <c r="K671" s="295">
        <v>2018</v>
      </c>
      <c r="L671" s="546">
        <v>43312</v>
      </c>
      <c r="M671" s="546">
        <v>43322</v>
      </c>
      <c r="N671" s="546">
        <v>43505</v>
      </c>
      <c r="O671" s="127">
        <f>COUNTA(Modificaciones!I657,Modificaciones!K657,Modificaciones!M657,Modificaciones!O657)</f>
        <v>1</v>
      </c>
      <c r="P671" s="128">
        <f>VLOOKUP(E671,Modificaciones!$B$7:$Q$1819,16,0)</f>
        <v>0</v>
      </c>
      <c r="Q671" s="129">
        <f>COUNTA(Modificaciones!S671,Modificaciones!U671,Modificaciones!W671,Modificaciones!Y671)</f>
        <v>1</v>
      </c>
      <c r="R671" s="130" t="str">
        <f>IF(Modificaciones!Z671=0,"",VLOOKUP(E671,Modificaciones!$B$7:$AA$1419,25,0))</f>
        <v>15 días calendario</v>
      </c>
      <c r="S671" s="131">
        <f>IF(Modificaciones!AA671=0,"",VLOOKUP(E671,Modificaciones!$B$7:$AA$1419,26,0))</f>
        <v>43521</v>
      </c>
      <c r="T671" s="855">
        <f t="shared" si="140"/>
        <v>43521</v>
      </c>
      <c r="U671" s="62">
        <f t="shared" si="141"/>
        <v>40935600</v>
      </c>
      <c r="V671" s="172">
        <f>VLOOKUP(E671,Modificaciones!$B$7:$AU$819,46,0)</f>
        <v>32590494</v>
      </c>
      <c r="W671" s="93">
        <f t="shared" si="142"/>
        <v>8345106</v>
      </c>
      <c r="X671" s="309" t="s">
        <v>1865</v>
      </c>
      <c r="Y671" s="852">
        <f t="shared" si="143"/>
        <v>0.79614062087767123</v>
      </c>
      <c r="Z671" s="42">
        <f t="shared" ca="1" si="144"/>
        <v>1</v>
      </c>
      <c r="AA671" s="43">
        <f t="shared" ca="1" si="145"/>
        <v>0.20385937912232877</v>
      </c>
      <c r="AB671" s="202" t="str">
        <f t="shared" ca="1" si="146"/>
        <v/>
      </c>
      <c r="AC671" s="44" t="str">
        <f t="shared" si="147"/>
        <v>NO</v>
      </c>
      <c r="AD671" s="760" t="s">
        <v>1710</v>
      </c>
      <c r="AE671" s="173" t="s">
        <v>1256</v>
      </c>
      <c r="AF671" s="281" t="s">
        <v>1137</v>
      </c>
      <c r="AG671" s="173" t="s">
        <v>1436</v>
      </c>
      <c r="AH671" s="281" t="s">
        <v>562</v>
      </c>
      <c r="AI671" s="174"/>
      <c r="AJ671" s="305" t="s">
        <v>2834</v>
      </c>
      <c r="AK671" s="181" t="str">
        <f t="shared" ca="1" si="148"/>
        <v>TERMINO</v>
      </c>
      <c r="AL671" s="310" t="s">
        <v>575</v>
      </c>
      <c r="AM671" s="176" t="s">
        <v>390</v>
      </c>
      <c r="AN671" s="848" t="str">
        <f>IFERROR(VLOOKUP(E671,'liquidaciones '!$B$2:$C$1048576,2,0),"NO")</f>
        <v>NO</v>
      </c>
      <c r="AO671" s="944" t="str">
        <f>IFERROR(VLOOKUP(E671,'liquidaciones '!$B$2:$I$1048576,8,0),"")</f>
        <v/>
      </c>
      <c r="AP671" s="433"/>
      <c r="AQ671" s="177" t="s">
        <v>390</v>
      </c>
      <c r="AR671" s="177" t="s">
        <v>2965</v>
      </c>
      <c r="AS671" s="433"/>
      <c r="AT671" s="966" t="s">
        <v>560</v>
      </c>
      <c r="AU671" s="301" t="s">
        <v>4618</v>
      </c>
      <c r="AV671" s="301" t="s">
        <v>4679</v>
      </c>
    </row>
    <row r="672" spans="3:48" ht="33.75" x14ac:dyDescent="0.25">
      <c r="C672" s="867"/>
      <c r="D672" s="867"/>
      <c r="E672" s="868" t="s">
        <v>4239</v>
      </c>
      <c r="F672" s="441" t="s">
        <v>4240</v>
      </c>
      <c r="G672" s="893">
        <v>79569100</v>
      </c>
      <c r="H672" s="1005" t="s">
        <v>4241</v>
      </c>
      <c r="I672" s="93">
        <v>34375000</v>
      </c>
      <c r="J672" s="873" t="s">
        <v>4836</v>
      </c>
      <c r="K672" s="295">
        <v>2018</v>
      </c>
      <c r="L672" s="546">
        <v>43335</v>
      </c>
      <c r="M672" s="546">
        <v>43340</v>
      </c>
      <c r="N672" s="546">
        <v>43496</v>
      </c>
      <c r="O672" s="127">
        <f>COUNTA(Modificaciones!I658,Modificaciones!K658,Modificaciones!M658,Modificaciones!O658)</f>
        <v>0</v>
      </c>
      <c r="P672" s="128">
        <f>VLOOKUP(E672,Modificaciones!$B$7:$Q$1819,16,0)</f>
        <v>0</v>
      </c>
      <c r="Q672" s="129">
        <f>COUNTA(Modificaciones!S672,Modificaciones!U672,Modificaciones!W672,Modificaciones!Y672)</f>
        <v>0</v>
      </c>
      <c r="R672" s="130" t="str">
        <f>IF(Modificaciones!Z672=0,"",VLOOKUP(E672,Modificaciones!$B$7:$AA$1419,25,0))</f>
        <v/>
      </c>
      <c r="S672" s="131" t="str">
        <f>IF(Modificaciones!AA672=0,"",VLOOKUP(E672,Modificaciones!$B$7:$AA$1419,26,0))</f>
        <v/>
      </c>
      <c r="T672" s="855">
        <f t="shared" si="140"/>
        <v>43496</v>
      </c>
      <c r="U672" s="62">
        <f t="shared" si="141"/>
        <v>34375000</v>
      </c>
      <c r="V672" s="172">
        <f>VLOOKUP(E672,Modificaciones!$B$7:$AU$819,46,0)</f>
        <v>32083333</v>
      </c>
      <c r="W672" s="93">
        <f t="shared" si="142"/>
        <v>2291667</v>
      </c>
      <c r="X672" s="309" t="s">
        <v>1095</v>
      </c>
      <c r="Y672" s="852">
        <f t="shared" si="143"/>
        <v>0.93333332363636368</v>
      </c>
      <c r="Z672" s="42">
        <f t="shared" ca="1" si="144"/>
        <v>1</v>
      </c>
      <c r="AA672" s="43">
        <f t="shared" ca="1" si="145"/>
        <v>6.6666676363636324E-2</v>
      </c>
      <c r="AB672" s="202" t="str">
        <f t="shared" ca="1" si="146"/>
        <v/>
      </c>
      <c r="AC672" s="44" t="str">
        <f t="shared" si="147"/>
        <v>NO</v>
      </c>
      <c r="AD672" s="760" t="s">
        <v>2898</v>
      </c>
      <c r="AE672" s="173" t="s">
        <v>1257</v>
      </c>
      <c r="AF672" s="173" t="s">
        <v>4242</v>
      </c>
      <c r="AG672" s="173" t="s">
        <v>1177</v>
      </c>
      <c r="AH672" s="281" t="s">
        <v>560</v>
      </c>
      <c r="AI672" s="305" t="s">
        <v>1509</v>
      </c>
      <c r="AJ672" s="305" t="s">
        <v>3880</v>
      </c>
      <c r="AK672" s="181" t="str">
        <f t="shared" ca="1" si="148"/>
        <v>TERMINO</v>
      </c>
      <c r="AL672" s="181" t="s">
        <v>582</v>
      </c>
      <c r="AM672" s="433" t="s">
        <v>391</v>
      </c>
      <c r="AN672" s="848" t="str">
        <f>IFERROR(VLOOKUP(E672,'liquidaciones '!$B$2:$C$1048576,2,0),"NO")</f>
        <v>NO</v>
      </c>
      <c r="AO672" s="944" t="str">
        <f>IFERROR(VLOOKUP(E672,'liquidaciones '!$B$2:$I$1048576,8,0),"")</f>
        <v/>
      </c>
      <c r="AP672" s="433"/>
      <c r="AQ672" s="177" t="s">
        <v>390</v>
      </c>
      <c r="AR672" s="177" t="s">
        <v>4219</v>
      </c>
      <c r="AS672" s="433" t="s">
        <v>3785</v>
      </c>
      <c r="AT672" s="966" t="s">
        <v>3895</v>
      </c>
      <c r="AU672" s="964"/>
      <c r="AV672" s="301"/>
    </row>
    <row r="673" spans="3:48" ht="30" x14ac:dyDescent="0.25">
      <c r="C673" s="867"/>
      <c r="D673" s="867"/>
      <c r="E673" s="868" t="s">
        <v>4243</v>
      </c>
      <c r="F673" s="441" t="s">
        <v>4244</v>
      </c>
      <c r="G673" s="893" t="s">
        <v>4245</v>
      </c>
      <c r="H673" s="1005" t="s">
        <v>4246</v>
      </c>
      <c r="I673" s="93">
        <v>966456</v>
      </c>
      <c r="J673" s="873" t="s">
        <v>4247</v>
      </c>
      <c r="K673" s="295">
        <v>2018</v>
      </c>
      <c r="L673" s="546">
        <v>43340</v>
      </c>
      <c r="M673" s="546">
        <v>43340</v>
      </c>
      <c r="N673" s="546">
        <v>43349</v>
      </c>
      <c r="O673" s="127">
        <f>COUNTA(Modificaciones!I659,Modificaciones!K659,Modificaciones!M659,Modificaciones!O659)</f>
        <v>0</v>
      </c>
      <c r="P673" s="128">
        <f>VLOOKUP(E673,Modificaciones!$B$7:$Q$1819,16,0)</f>
        <v>0</v>
      </c>
      <c r="Q673" s="129">
        <f>COUNTA(Modificaciones!S673,Modificaciones!U673,Modificaciones!W673,Modificaciones!Y673)</f>
        <v>0</v>
      </c>
      <c r="R673" s="130" t="str">
        <f>IF(Modificaciones!Z673=0,"",VLOOKUP(E673,Modificaciones!$B$7:$AA$1419,25,0))</f>
        <v/>
      </c>
      <c r="S673" s="131" t="str">
        <f>IF(Modificaciones!AA673=0,"",VLOOKUP(E673,Modificaciones!$B$7:$AA$1419,26,0))</f>
        <v/>
      </c>
      <c r="T673" s="855">
        <f t="shared" si="140"/>
        <v>43349</v>
      </c>
      <c r="U673" s="62">
        <f t="shared" si="141"/>
        <v>966456</v>
      </c>
      <c r="V673" s="172">
        <f>VLOOKUP(E673,Modificaciones!$B$7:$AU$819,46,0)</f>
        <v>966456</v>
      </c>
      <c r="W673" s="93">
        <f t="shared" si="142"/>
        <v>0</v>
      </c>
      <c r="X673" s="309"/>
      <c r="Y673" s="852">
        <f t="shared" si="143"/>
        <v>1</v>
      </c>
      <c r="Z673" s="42">
        <f t="shared" ca="1" si="144"/>
        <v>1</v>
      </c>
      <c r="AA673" s="43">
        <f t="shared" ca="1" si="145"/>
        <v>0</v>
      </c>
      <c r="AB673" s="202" t="str">
        <f t="shared" ca="1" si="146"/>
        <v/>
      </c>
      <c r="AC673" s="44" t="str">
        <f t="shared" si="147"/>
        <v>SI</v>
      </c>
      <c r="AD673" s="868" t="s">
        <v>1712</v>
      </c>
      <c r="AE673" s="871" t="s">
        <v>1256</v>
      </c>
      <c r="AF673" s="871" t="s">
        <v>4248</v>
      </c>
      <c r="AG673" s="868"/>
      <c r="AH673" s="281" t="s">
        <v>560</v>
      </c>
      <c r="AI673" s="868" t="s">
        <v>1389</v>
      </c>
      <c r="AJ673" s="305" t="s">
        <v>3880</v>
      </c>
      <c r="AK673" s="181" t="str">
        <f t="shared" ca="1" si="148"/>
        <v>TERMINO</v>
      </c>
      <c r="AL673" s="310" t="s">
        <v>2726</v>
      </c>
      <c r="AM673" s="433"/>
      <c r="AN673" s="848" t="str">
        <f>IFERROR(VLOOKUP(E673,'liquidaciones '!$B$2:$C$1048576,2,0),"NO")</f>
        <v>EN TRÁMITE</v>
      </c>
      <c r="AO673" s="944" t="str">
        <f>IFERROR(VLOOKUP(E673,'liquidaciones '!$B$2:$I$1048576,8,0),"")</f>
        <v>JUAN DIEGO ESPITIA</v>
      </c>
      <c r="AP673" s="433"/>
      <c r="AQ673" s="433" t="s">
        <v>390</v>
      </c>
      <c r="AR673" s="987" t="s">
        <v>1510</v>
      </c>
      <c r="AS673" s="433" t="s">
        <v>4249</v>
      </c>
      <c r="AT673" s="966" t="s">
        <v>3895</v>
      </c>
      <c r="AU673" s="964"/>
      <c r="AV673" s="301"/>
    </row>
    <row r="674" spans="3:48" ht="56.25" x14ac:dyDescent="0.25">
      <c r="C674" s="867">
        <v>2</v>
      </c>
      <c r="D674" s="867"/>
      <c r="E674" s="868" t="s">
        <v>4250</v>
      </c>
      <c r="F674" s="441" t="s">
        <v>38</v>
      </c>
      <c r="G674" s="893">
        <v>830053669</v>
      </c>
      <c r="H674" s="1005" t="s">
        <v>4251</v>
      </c>
      <c r="I674" s="93">
        <v>17287703</v>
      </c>
      <c r="J674" s="873" t="s">
        <v>4253</v>
      </c>
      <c r="K674" s="295">
        <v>2018</v>
      </c>
      <c r="L674" s="546">
        <v>43343</v>
      </c>
      <c r="M674" s="546">
        <v>43346</v>
      </c>
      <c r="N674" s="546">
        <v>43557</v>
      </c>
      <c r="O674" s="127">
        <f>COUNTA(Modificaciones!I660,Modificaciones!K660,Modificaciones!M660,Modificaciones!O660)</f>
        <v>1</v>
      </c>
      <c r="P674" s="128">
        <f>VLOOKUP(E674,Modificaciones!$B$7:$Q$1819,16,0)</f>
        <v>0</v>
      </c>
      <c r="Q674" s="129">
        <f>COUNTA(Modificaciones!S674,Modificaciones!U674,Modificaciones!W674,Modificaciones!Y674)</f>
        <v>1</v>
      </c>
      <c r="R674" s="130" t="str">
        <f>IF(Modificaciones!Z674=0,"",VLOOKUP(E674,Modificaciones!$B$7:$AA$1419,25,0))</f>
        <v>1 MES</v>
      </c>
      <c r="S674" s="131">
        <f>IF(Modificaciones!AA674=0,"",VLOOKUP(E674,Modificaciones!$B$7:$AA$1419,26,0))</f>
        <v>43587</v>
      </c>
      <c r="T674" s="855">
        <f t="shared" si="140"/>
        <v>43587</v>
      </c>
      <c r="U674" s="62">
        <f t="shared" si="141"/>
        <v>17287703</v>
      </c>
      <c r="V674" s="172">
        <f>VLOOKUP(E674,Modificaciones!$B$7:$AU$819,46,0)</f>
        <v>17032821</v>
      </c>
      <c r="W674" s="93">
        <f t="shared" si="142"/>
        <v>254882</v>
      </c>
      <c r="X674" s="309" t="s">
        <v>1963</v>
      </c>
      <c r="Y674" s="852">
        <f t="shared" si="143"/>
        <v>0.98525645656915783</v>
      </c>
      <c r="Z674" s="42">
        <f t="shared" ca="1" si="144"/>
        <v>1</v>
      </c>
      <c r="AA674" s="43">
        <f t="shared" ca="1" si="145"/>
        <v>1.4743543430842165E-2</v>
      </c>
      <c r="AB674" s="202" t="str">
        <f t="shared" ca="1" si="146"/>
        <v/>
      </c>
      <c r="AC674" s="44" t="str">
        <f t="shared" si="147"/>
        <v>NO</v>
      </c>
      <c r="AD674" s="760" t="s">
        <v>1710</v>
      </c>
      <c r="AE674" s="173" t="s">
        <v>1256</v>
      </c>
      <c r="AF674" s="281" t="s">
        <v>1140</v>
      </c>
      <c r="AG674" s="173" t="s">
        <v>1442</v>
      </c>
      <c r="AH674" s="281" t="s">
        <v>559</v>
      </c>
      <c r="AI674" s="868"/>
      <c r="AJ674" s="305" t="s">
        <v>4252</v>
      </c>
      <c r="AK674" s="181" t="str">
        <f t="shared" ca="1" si="148"/>
        <v>TERMINO</v>
      </c>
      <c r="AL674" s="310" t="s">
        <v>575</v>
      </c>
      <c r="AM674" s="433" t="s">
        <v>390</v>
      </c>
      <c r="AN674" s="848" t="str">
        <f>IFERROR(VLOOKUP(E674,'liquidaciones '!$B$2:$C$1048576,2,0),"NO")</f>
        <v>NO</v>
      </c>
      <c r="AO674" s="944" t="str">
        <f>IFERROR(VLOOKUP(E674,'liquidaciones '!$B$2:$I$1048576,8,0),"")</f>
        <v/>
      </c>
      <c r="AP674" s="433"/>
      <c r="AQ674" s="433" t="s">
        <v>390</v>
      </c>
      <c r="AR674" s="433" t="s">
        <v>4820</v>
      </c>
      <c r="AS674" s="433"/>
      <c r="AT674" s="966" t="s">
        <v>559</v>
      </c>
      <c r="AU674" s="964"/>
      <c r="AV674" s="304" t="s">
        <v>4728</v>
      </c>
    </row>
    <row r="675" spans="3:48" ht="30" x14ac:dyDescent="0.25">
      <c r="C675" s="867">
        <v>55</v>
      </c>
      <c r="D675" s="867"/>
      <c r="E675" s="868" t="s">
        <v>4256</v>
      </c>
      <c r="F675" s="441" t="s">
        <v>2116</v>
      </c>
      <c r="G675" s="903">
        <v>860007590</v>
      </c>
      <c r="H675" s="1001" t="s">
        <v>2648</v>
      </c>
      <c r="I675" s="93">
        <v>1029000</v>
      </c>
      <c r="J675" s="873" t="s">
        <v>4835</v>
      </c>
      <c r="K675" s="295">
        <v>2018</v>
      </c>
      <c r="L675" s="546">
        <v>43346</v>
      </c>
      <c r="M675" s="546">
        <v>43376</v>
      </c>
      <c r="N675" s="546">
        <v>43740</v>
      </c>
      <c r="O675" s="127">
        <f>COUNTA(Modificaciones!I661,Modificaciones!K661,Modificaciones!M661,Modificaciones!O661)</f>
        <v>1</v>
      </c>
      <c r="P675" s="128">
        <f>VLOOKUP(E675,Modificaciones!$B$7:$Q$1819,16,0)</f>
        <v>0</v>
      </c>
      <c r="Q675" s="129">
        <f>COUNTA(Modificaciones!S675,Modificaciones!U675,Modificaciones!W675,Modificaciones!Y675)</f>
        <v>0</v>
      </c>
      <c r="R675" s="130" t="str">
        <f>IF(Modificaciones!Z675=0,"",VLOOKUP(E675,Modificaciones!$B$7:$AA$1419,25,0))</f>
        <v/>
      </c>
      <c r="S675" s="131" t="str">
        <f>IF(Modificaciones!AA675=0,"",VLOOKUP(E675,Modificaciones!$B$7:$AA$1419,26,0))</f>
        <v/>
      </c>
      <c r="T675" s="855">
        <f t="shared" si="140"/>
        <v>43740</v>
      </c>
      <c r="U675" s="62">
        <f t="shared" si="141"/>
        <v>1029000</v>
      </c>
      <c r="V675" s="172">
        <f>VLOOKUP(E675,Modificaciones!$B$7:$AU$819,46,0)</f>
        <v>1029000</v>
      </c>
      <c r="W675" s="93">
        <f t="shared" si="142"/>
        <v>0</v>
      </c>
      <c r="X675" s="309" t="s">
        <v>1895</v>
      </c>
      <c r="Y675" s="852">
        <f t="shared" si="143"/>
        <v>1</v>
      </c>
      <c r="Z675" s="42">
        <f t="shared" ca="1" si="144"/>
        <v>0.73351648351648346</v>
      </c>
      <c r="AA675" s="43">
        <f t="shared" ca="1" si="145"/>
        <v>-0.26648351648351654</v>
      </c>
      <c r="AB675" s="202">
        <f t="shared" ca="1" si="146"/>
        <v>97</v>
      </c>
      <c r="AC675" s="44" t="str">
        <f t="shared" si="147"/>
        <v>SI</v>
      </c>
      <c r="AD675" s="760" t="s">
        <v>1714</v>
      </c>
      <c r="AE675" s="173" t="s">
        <v>1256</v>
      </c>
      <c r="AF675" s="281" t="s">
        <v>1125</v>
      </c>
      <c r="AG675" s="173" t="s">
        <v>1430</v>
      </c>
      <c r="AH675" s="281" t="s">
        <v>564</v>
      </c>
      <c r="AI675" s="305"/>
      <c r="AJ675" s="305" t="s">
        <v>4257</v>
      </c>
      <c r="AK675" s="181" t="str">
        <f t="shared" ca="1" si="148"/>
        <v>EN EJECUCIÓN</v>
      </c>
      <c r="AL675" s="310" t="s">
        <v>582</v>
      </c>
      <c r="AM675" s="176" t="s">
        <v>390</v>
      </c>
      <c r="AN675" s="848" t="str">
        <f>IFERROR(VLOOKUP(E675,'liquidaciones '!$B$2:$C$1048576,2,0),"NO")</f>
        <v>NO</v>
      </c>
      <c r="AO675" s="944" t="str">
        <f>IFERROR(VLOOKUP(E675,'liquidaciones '!$B$2:$I$1048576,8,0),"")</f>
        <v/>
      </c>
      <c r="AP675" s="433"/>
      <c r="AQ675" s="177" t="s">
        <v>390</v>
      </c>
      <c r="AR675" s="433" t="s">
        <v>4820</v>
      </c>
      <c r="AS675" s="433"/>
      <c r="AT675" s="966" t="s">
        <v>3928</v>
      </c>
      <c r="AU675" s="964"/>
      <c r="AV675" s="301"/>
    </row>
    <row r="676" spans="3:48" ht="33.75" x14ac:dyDescent="0.25">
      <c r="C676" s="867">
        <v>61</v>
      </c>
      <c r="D676" s="867"/>
      <c r="E676" s="868" t="s">
        <v>4258</v>
      </c>
      <c r="F676" s="441" t="s">
        <v>1906</v>
      </c>
      <c r="G676" s="905">
        <v>860019063</v>
      </c>
      <c r="H676" s="1003" t="s">
        <v>2845</v>
      </c>
      <c r="I676" s="93">
        <v>18450000</v>
      </c>
      <c r="J676" s="873" t="s">
        <v>4258</v>
      </c>
      <c r="K676" s="295">
        <v>2018</v>
      </c>
      <c r="L676" s="546">
        <v>43280</v>
      </c>
      <c r="M676" s="546">
        <v>43357</v>
      </c>
      <c r="N676" s="546">
        <v>43721</v>
      </c>
      <c r="O676" s="127">
        <f>COUNTA(Modificaciones!I662,Modificaciones!K662,Modificaciones!M662,Modificaciones!O662)</f>
        <v>0</v>
      </c>
      <c r="P676" s="128">
        <f>VLOOKUP(E676,Modificaciones!$B$7:$Q$1819,16,0)</f>
        <v>0</v>
      </c>
      <c r="Q676" s="129">
        <f>COUNTA(Modificaciones!S676,Modificaciones!U676,Modificaciones!W676,Modificaciones!Y676)</f>
        <v>0</v>
      </c>
      <c r="R676" s="130" t="str">
        <f>IF(Modificaciones!Z676=0,"",VLOOKUP(E676,Modificaciones!$B$7:$AA$1419,25,0))</f>
        <v/>
      </c>
      <c r="S676" s="131" t="str">
        <f>IF(Modificaciones!AA676=0,"",VLOOKUP(E676,Modificaciones!$B$7:$AA$1419,26,0))</f>
        <v/>
      </c>
      <c r="T676" s="855">
        <f t="shared" ref="T676:T691" si="149">MAX(N676,S676)</f>
        <v>43721</v>
      </c>
      <c r="U676" s="62">
        <f t="shared" ref="U676:U691" si="150">I676+P676</f>
        <v>18450000</v>
      </c>
      <c r="V676" s="172">
        <f>VLOOKUP(E676,Modificaciones!$B$7:$AU$819,46,0)</f>
        <v>5909550</v>
      </c>
      <c r="W676" s="93">
        <f t="shared" ref="W676:W691" si="151">U676-V676</f>
        <v>12540450</v>
      </c>
      <c r="X676" s="309" t="s">
        <v>1909</v>
      </c>
      <c r="Y676" s="852">
        <f t="shared" ref="Y676:Y691" si="152">(V676*100%)/U676</f>
        <v>0.32030081300813007</v>
      </c>
      <c r="Z676" s="42">
        <f t="shared" ref="Z676:Z691" ca="1" si="153">IF((($F$3-M676)*100%/(T676-M676))&gt;100%,100%,(($F$3-M676)*100%/(T676-M676)))</f>
        <v>0.7857142857142857</v>
      </c>
      <c r="AA676" s="43">
        <f t="shared" ref="AA676:AA691" ca="1" si="154">Z676-Y676</f>
        <v>0.46541347270615563</v>
      </c>
      <c r="AB676" s="202">
        <f t="shared" ref="AB676:AB691" ca="1" si="155">IF(Z676&lt;100%,T676-$F$3,"")</f>
        <v>78</v>
      </c>
      <c r="AC676" s="44" t="str">
        <f t="shared" ref="AC676:AC691" si="156">IF(Y676&lt;=99.9%,"NO","SI")</f>
        <v>NO</v>
      </c>
      <c r="AD676" s="433" t="s">
        <v>1710</v>
      </c>
      <c r="AE676" s="871" t="s">
        <v>1256</v>
      </c>
      <c r="AF676" s="173" t="s">
        <v>2518</v>
      </c>
      <c r="AG676" s="173" t="s">
        <v>1442</v>
      </c>
      <c r="AH676" s="281" t="s">
        <v>560</v>
      </c>
      <c r="AI676" s="868" t="s">
        <v>4195</v>
      </c>
      <c r="AJ676" s="305" t="s">
        <v>3880</v>
      </c>
      <c r="AK676" s="181" t="str">
        <f t="shared" ref="AK676:AK691" ca="1" si="157">IF(T676&gt;=$F$3,"EN EJECUCIÓN","TERMINO")</f>
        <v>EN EJECUCIÓN</v>
      </c>
      <c r="AL676" s="310" t="s">
        <v>582</v>
      </c>
      <c r="AM676" s="433" t="s">
        <v>390</v>
      </c>
      <c r="AN676" s="848" t="str">
        <f>IFERROR(VLOOKUP(E676,'liquidaciones '!$B$2:$C$1048576,2,0),"NO")</f>
        <v>NO</v>
      </c>
      <c r="AO676" s="944" t="str">
        <f>IFERROR(VLOOKUP(E676,'liquidaciones '!$B$2:$I$1048576,8,0),"")</f>
        <v/>
      </c>
      <c r="AP676" s="433"/>
      <c r="AQ676" s="177" t="s">
        <v>390</v>
      </c>
      <c r="AR676" s="177" t="s">
        <v>4309</v>
      </c>
      <c r="AS676" s="433" t="s">
        <v>4586</v>
      </c>
      <c r="AT676" s="966" t="s">
        <v>560</v>
      </c>
      <c r="AU676" s="964"/>
      <c r="AV676" s="301" t="s">
        <v>4994</v>
      </c>
    </row>
    <row r="677" spans="3:48" ht="56.25" x14ac:dyDescent="0.25">
      <c r="C677" s="867"/>
      <c r="D677" s="867"/>
      <c r="E677" s="868" t="s">
        <v>4259</v>
      </c>
      <c r="F677" s="441" t="s">
        <v>4260</v>
      </c>
      <c r="G677" s="893">
        <v>79352706</v>
      </c>
      <c r="H677" s="1005" t="s">
        <v>4261</v>
      </c>
      <c r="I677" s="93">
        <v>27345000</v>
      </c>
      <c r="J677" s="873" t="s">
        <v>4834</v>
      </c>
      <c r="K677" s="295">
        <v>2018</v>
      </c>
      <c r="L677" s="546">
        <v>43346</v>
      </c>
      <c r="M677" s="546">
        <v>43349</v>
      </c>
      <c r="N677" s="546">
        <v>43496</v>
      </c>
      <c r="O677" s="127">
        <f>COUNTA(Modificaciones!I663,Modificaciones!K663,Modificaciones!M663,Modificaciones!O663)</f>
        <v>0</v>
      </c>
      <c r="P677" s="128">
        <f>VLOOKUP(E677,Modificaciones!$B$7:$Q$1819,16,0)</f>
        <v>0</v>
      </c>
      <c r="Q677" s="129">
        <f>COUNTA(Modificaciones!S677,Modificaciones!U677,Modificaciones!W677,Modificaciones!Y677)</f>
        <v>0</v>
      </c>
      <c r="R677" s="130" t="str">
        <f>IF(Modificaciones!Z677=0,"",VLOOKUP(E677,Modificaciones!$B$7:$AA$1419,25,0))</f>
        <v/>
      </c>
      <c r="S677" s="131" t="str">
        <f>IF(Modificaciones!AA677=0,"",VLOOKUP(E677,Modificaciones!$B$7:$AA$1419,26,0))</f>
        <v/>
      </c>
      <c r="T677" s="855">
        <f t="shared" si="149"/>
        <v>43496</v>
      </c>
      <c r="U677" s="62">
        <f t="shared" si="150"/>
        <v>27345000</v>
      </c>
      <c r="V677" s="172">
        <f>VLOOKUP(E677,Modificaciones!$B$7:$AU$819,46,0)</f>
        <v>20964500</v>
      </c>
      <c r="W677" s="93">
        <f t="shared" si="151"/>
        <v>6380500</v>
      </c>
      <c r="X677" s="309" t="s">
        <v>1095</v>
      </c>
      <c r="Y677" s="852">
        <f t="shared" si="152"/>
        <v>0.76666666666666672</v>
      </c>
      <c r="Z677" s="42">
        <f t="shared" ca="1" si="153"/>
        <v>1</v>
      </c>
      <c r="AA677" s="43">
        <f t="shared" ca="1" si="154"/>
        <v>0.23333333333333328</v>
      </c>
      <c r="AB677" s="202" t="str">
        <f t="shared" ca="1" si="155"/>
        <v/>
      </c>
      <c r="AC677" s="44" t="str">
        <f t="shared" si="156"/>
        <v>NO</v>
      </c>
      <c r="AD677" s="760" t="s">
        <v>2898</v>
      </c>
      <c r="AE677" s="173" t="s">
        <v>1256</v>
      </c>
      <c r="AF677" s="281" t="s">
        <v>2171</v>
      </c>
      <c r="AG677" s="173"/>
      <c r="AH677" s="281" t="s">
        <v>559</v>
      </c>
      <c r="AI677" s="305"/>
      <c r="AJ677" s="305" t="s">
        <v>4252</v>
      </c>
      <c r="AK677" s="181" t="str">
        <f t="shared" ca="1" si="157"/>
        <v>TERMINO</v>
      </c>
      <c r="AL677" s="310" t="s">
        <v>582</v>
      </c>
      <c r="AM677" s="433" t="s">
        <v>391</v>
      </c>
      <c r="AN677" s="848" t="str">
        <f>IFERROR(VLOOKUP(E677,'liquidaciones '!$B$2:$C$1048576,2,0),"NO")</f>
        <v>NO</v>
      </c>
      <c r="AO677" s="944" t="str">
        <f>IFERROR(VLOOKUP(E677,'liquidaciones '!$B$2:$I$1048576,8,0),"")</f>
        <v/>
      </c>
      <c r="AP677" s="433"/>
      <c r="AQ677" s="433" t="s">
        <v>390</v>
      </c>
      <c r="AR677" s="1013" t="s">
        <v>3055</v>
      </c>
      <c r="AS677" s="433"/>
      <c r="AT677" s="966" t="s">
        <v>3947</v>
      </c>
      <c r="AU677" s="964"/>
      <c r="AV677" s="301" t="s">
        <v>4813</v>
      </c>
    </row>
    <row r="678" spans="3:48" ht="56.25" x14ac:dyDescent="0.25">
      <c r="C678" s="867">
        <v>175</v>
      </c>
      <c r="D678" s="867"/>
      <c r="E678" s="868" t="s">
        <v>4262</v>
      </c>
      <c r="F678" s="441" t="s">
        <v>184</v>
      </c>
      <c r="G678" s="893" t="s">
        <v>4263</v>
      </c>
      <c r="H678" s="1005" t="s">
        <v>4264</v>
      </c>
      <c r="I678" s="93">
        <v>30000000</v>
      </c>
      <c r="J678" s="873" t="s">
        <v>4265</v>
      </c>
      <c r="K678" s="295">
        <v>2018</v>
      </c>
      <c r="L678" s="546">
        <v>43340</v>
      </c>
      <c r="M678" s="546">
        <v>43355</v>
      </c>
      <c r="N678" s="546">
        <v>43535</v>
      </c>
      <c r="O678" s="127">
        <f>COUNTA(Modificaciones!I664,Modificaciones!K664,Modificaciones!M664,Modificaciones!O664)</f>
        <v>1</v>
      </c>
      <c r="P678" s="128">
        <f>VLOOKUP(E678,Modificaciones!$B$7:$Q$1819,16,0)</f>
        <v>15000000</v>
      </c>
      <c r="Q678" s="129">
        <f>COUNTA(Modificaciones!S678,Modificaciones!U678,Modificaciones!W678,Modificaciones!Y678)</f>
        <v>1</v>
      </c>
      <c r="R678" s="130" t="str">
        <f>IF(Modificaciones!Z678=0,"",VLOOKUP(E678,Modificaciones!$B$7:$AA$1419,25,0))</f>
        <v>3 meses</v>
      </c>
      <c r="S678" s="131">
        <f>IF(Modificaciones!AA678=0,"",VLOOKUP(E678,Modificaciones!$B$7:$AA$1419,26,0))</f>
        <v>43626</v>
      </c>
      <c r="T678" s="855">
        <f t="shared" si="149"/>
        <v>43626</v>
      </c>
      <c r="U678" s="62">
        <f t="shared" si="150"/>
        <v>45000000</v>
      </c>
      <c r="V678" s="172">
        <f>VLOOKUP(E678,Modificaciones!$B$7:$AU$819,46,0)</f>
        <v>37557260</v>
      </c>
      <c r="W678" s="93">
        <f t="shared" si="151"/>
        <v>7442740</v>
      </c>
      <c r="X678" s="309" t="s">
        <v>1864</v>
      </c>
      <c r="Y678" s="852">
        <f t="shared" si="152"/>
        <v>0.83460577777777778</v>
      </c>
      <c r="Z678" s="42">
        <f t="shared" ca="1" si="153"/>
        <v>1</v>
      </c>
      <c r="AA678" s="43">
        <f t="shared" ca="1" si="154"/>
        <v>0.16539422222222222</v>
      </c>
      <c r="AB678" s="202" t="str">
        <f t="shared" ca="1" si="155"/>
        <v/>
      </c>
      <c r="AC678" s="44" t="str">
        <f t="shared" si="156"/>
        <v>NO</v>
      </c>
      <c r="AD678" s="760" t="s">
        <v>1710</v>
      </c>
      <c r="AE678" s="173" t="s">
        <v>1257</v>
      </c>
      <c r="AF678" s="301" t="s">
        <v>1166</v>
      </c>
      <c r="AG678" s="173" t="s">
        <v>1439</v>
      </c>
      <c r="AH678" s="281" t="s">
        <v>560</v>
      </c>
      <c r="AI678" s="305" t="s">
        <v>1509</v>
      </c>
      <c r="AJ678" s="305" t="s">
        <v>3880</v>
      </c>
      <c r="AK678" s="181" t="str">
        <f t="shared" ca="1" si="157"/>
        <v>TERMINO</v>
      </c>
      <c r="AL678" s="310" t="s">
        <v>576</v>
      </c>
      <c r="AM678" s="433" t="s">
        <v>390</v>
      </c>
      <c r="AN678" s="848" t="str">
        <f>IFERROR(VLOOKUP(E678,'liquidaciones '!$B$2:$C$1048576,2,0),"NO")</f>
        <v>NO</v>
      </c>
      <c r="AO678" s="944" t="str">
        <f>IFERROR(VLOOKUP(E678,'liquidaciones '!$B$2:$I$1048576,8,0),"")</f>
        <v/>
      </c>
      <c r="AP678" s="433"/>
      <c r="AQ678" s="433" t="s">
        <v>390</v>
      </c>
      <c r="AR678" s="1013" t="s">
        <v>4219</v>
      </c>
      <c r="AS678" s="433" t="s">
        <v>3785</v>
      </c>
      <c r="AT678" s="966" t="s">
        <v>560</v>
      </c>
      <c r="AU678" s="301" t="s">
        <v>4717</v>
      </c>
      <c r="AV678" s="301" t="s">
        <v>4706</v>
      </c>
    </row>
    <row r="679" spans="3:48" ht="33.75" x14ac:dyDescent="0.25">
      <c r="C679" s="867">
        <v>9</v>
      </c>
      <c r="D679" s="867"/>
      <c r="E679" s="868" t="s">
        <v>4266</v>
      </c>
      <c r="F679" s="441" t="s">
        <v>1857</v>
      </c>
      <c r="G679" s="893">
        <v>860025639</v>
      </c>
      <c r="H679" s="1005" t="s">
        <v>3054</v>
      </c>
      <c r="I679" s="93">
        <v>15450000</v>
      </c>
      <c r="J679" s="873" t="s">
        <v>4266</v>
      </c>
      <c r="K679" s="295">
        <v>2018</v>
      </c>
      <c r="L679" s="546">
        <v>43280</v>
      </c>
      <c r="M679" s="546">
        <v>43360</v>
      </c>
      <c r="N679" s="546">
        <v>43632</v>
      </c>
      <c r="O679" s="127">
        <f>COUNTA(Modificaciones!I665,Modificaciones!K665,Modificaciones!M665,Modificaciones!O665)</f>
        <v>0</v>
      </c>
      <c r="P679" s="128">
        <f>VLOOKUP(E679,Modificaciones!$B$7:$Q$1819,16,0)</f>
        <v>0</v>
      </c>
      <c r="Q679" s="129">
        <f>COUNTA(Modificaciones!S679,Modificaciones!U679,Modificaciones!W679,Modificaciones!Y679)</f>
        <v>0</v>
      </c>
      <c r="R679" s="130" t="str">
        <f>IF(Modificaciones!Z679=0,"",VLOOKUP(E679,Modificaciones!$B$7:$AA$1419,25,0))</f>
        <v/>
      </c>
      <c r="S679" s="131" t="str">
        <f>IF(Modificaciones!AA679=0,"",VLOOKUP(E679,Modificaciones!$B$7:$AA$1419,26,0))</f>
        <v/>
      </c>
      <c r="T679" s="855">
        <f t="shared" si="149"/>
        <v>43632</v>
      </c>
      <c r="U679" s="62">
        <f t="shared" si="150"/>
        <v>15450000</v>
      </c>
      <c r="V679" s="172">
        <f>VLOOKUP(E679,Modificaciones!$B$7:$AU$819,46,0)</f>
        <v>4858392</v>
      </c>
      <c r="W679" s="93">
        <f t="shared" si="151"/>
        <v>10591608</v>
      </c>
      <c r="X679" s="309" t="s">
        <v>2994</v>
      </c>
      <c r="Y679" s="852">
        <f t="shared" si="152"/>
        <v>0.3144590291262136</v>
      </c>
      <c r="Z679" s="42">
        <f t="shared" ca="1" si="153"/>
        <v>1</v>
      </c>
      <c r="AA679" s="43">
        <f t="shared" ca="1" si="154"/>
        <v>0.6855409708737864</v>
      </c>
      <c r="AB679" s="202" t="str">
        <f t="shared" ca="1" si="155"/>
        <v/>
      </c>
      <c r="AC679" s="44" t="str">
        <f t="shared" si="156"/>
        <v>NO</v>
      </c>
      <c r="AD679" s="760" t="s">
        <v>1710</v>
      </c>
      <c r="AE679" s="173" t="s">
        <v>1256</v>
      </c>
      <c r="AF679" s="281" t="s">
        <v>1170</v>
      </c>
      <c r="AG679" s="173" t="s">
        <v>1442</v>
      </c>
      <c r="AH679" s="281" t="s">
        <v>560</v>
      </c>
      <c r="AI679" s="868"/>
      <c r="AJ679" s="305" t="s">
        <v>3880</v>
      </c>
      <c r="AK679" s="181" t="str">
        <f t="shared" ca="1" si="157"/>
        <v>TERMINO</v>
      </c>
      <c r="AL679" s="181" t="s">
        <v>582</v>
      </c>
      <c r="AM679" s="433" t="s">
        <v>390</v>
      </c>
      <c r="AN679" s="848" t="str">
        <f>IFERROR(VLOOKUP(E679,'liquidaciones '!$B$2:$C$1048576,2,0),"NO")</f>
        <v>NO</v>
      </c>
      <c r="AO679" s="944" t="str">
        <f>IFERROR(VLOOKUP(E679,'liquidaciones '!$B$2:$I$1048576,8,0),"")</f>
        <v/>
      </c>
      <c r="AP679" s="433"/>
      <c r="AQ679" s="433" t="s">
        <v>390</v>
      </c>
      <c r="AR679" s="177" t="s">
        <v>4254</v>
      </c>
      <c r="AS679" s="433" t="s">
        <v>3781</v>
      </c>
      <c r="AT679" s="316" t="s">
        <v>560</v>
      </c>
      <c r="AU679" s="964"/>
      <c r="AV679" s="301" t="s">
        <v>4727</v>
      </c>
    </row>
    <row r="680" spans="3:48" ht="45" x14ac:dyDescent="0.25">
      <c r="C680" s="867"/>
      <c r="D680" s="867"/>
      <c r="E680" s="868" t="s">
        <v>4267</v>
      </c>
      <c r="F680" s="441" t="s">
        <v>4268</v>
      </c>
      <c r="G680" s="893">
        <v>51964728</v>
      </c>
      <c r="H680" s="1005" t="s">
        <v>4269</v>
      </c>
      <c r="I680" s="93">
        <v>17139090</v>
      </c>
      <c r="J680" s="873" t="s">
        <v>4833</v>
      </c>
      <c r="K680" s="295">
        <v>2018</v>
      </c>
      <c r="L680" s="546">
        <v>43353</v>
      </c>
      <c r="M680" s="546">
        <v>43355</v>
      </c>
      <c r="N680" s="546">
        <v>43496</v>
      </c>
      <c r="O680" s="127">
        <f>COUNTA(Modificaciones!I666,Modificaciones!K666,Modificaciones!M666,Modificaciones!O666)</f>
        <v>0</v>
      </c>
      <c r="P680" s="128">
        <f>VLOOKUP(E680,Modificaciones!$B$7:$Q$1819,16,0)</f>
        <v>0</v>
      </c>
      <c r="Q680" s="129">
        <f>COUNTA(Modificaciones!S680,Modificaciones!U680,Modificaciones!W680,Modificaciones!Y680)</f>
        <v>0</v>
      </c>
      <c r="R680" s="130" t="str">
        <f>IF(Modificaciones!Z680=0,"",VLOOKUP(E680,Modificaciones!$B$7:$AA$1419,25,0))</f>
        <v/>
      </c>
      <c r="S680" s="131" t="str">
        <f>IF(Modificaciones!AA680=0,"",VLOOKUP(E680,Modificaciones!$B$7:$AA$1419,26,0))</f>
        <v/>
      </c>
      <c r="T680" s="855">
        <f t="shared" si="149"/>
        <v>43496</v>
      </c>
      <c r="U680" s="62">
        <f t="shared" si="150"/>
        <v>17139090</v>
      </c>
      <c r="V680" s="172">
        <f>VLOOKUP(E680,Modificaciones!$B$7:$AU$819,46,0)</f>
        <v>16438223</v>
      </c>
      <c r="W680" s="93">
        <f t="shared" si="151"/>
        <v>700867</v>
      </c>
      <c r="X680" s="309" t="s">
        <v>1095</v>
      </c>
      <c r="Y680" s="852">
        <f t="shared" si="152"/>
        <v>0.95910710545308997</v>
      </c>
      <c r="Z680" s="42">
        <f t="shared" ca="1" si="153"/>
        <v>1</v>
      </c>
      <c r="AA680" s="43">
        <f t="shared" ca="1" si="154"/>
        <v>4.089289454691003E-2</v>
      </c>
      <c r="AB680" s="202" t="str">
        <f t="shared" ca="1" si="155"/>
        <v/>
      </c>
      <c r="AC680" s="44" t="str">
        <f t="shared" si="156"/>
        <v>NO</v>
      </c>
      <c r="AD680" s="760" t="s">
        <v>2898</v>
      </c>
      <c r="AE680" s="173" t="s">
        <v>1256</v>
      </c>
      <c r="AF680" s="173" t="s">
        <v>4270</v>
      </c>
      <c r="AG680" s="173" t="s">
        <v>1430</v>
      </c>
      <c r="AH680" s="281" t="s">
        <v>564</v>
      </c>
      <c r="AI680" s="305"/>
      <c r="AJ680" s="305" t="s">
        <v>4257</v>
      </c>
      <c r="AK680" s="181" t="str">
        <f t="shared" ca="1" si="157"/>
        <v>TERMINO</v>
      </c>
      <c r="AL680" s="181" t="s">
        <v>582</v>
      </c>
      <c r="AM680" s="176" t="s">
        <v>391</v>
      </c>
      <c r="AN680" s="848" t="str">
        <f>IFERROR(VLOOKUP(E680,'liquidaciones '!$B$2:$C$1048576,2,0),"NO")</f>
        <v>NO</v>
      </c>
      <c r="AO680" s="944" t="str">
        <f>IFERROR(VLOOKUP(E680,'liquidaciones '!$B$2:$I$1048576,8,0),"")</f>
        <v/>
      </c>
      <c r="AP680" s="433"/>
      <c r="AQ680" s="177" t="s">
        <v>390</v>
      </c>
      <c r="AR680" s="433" t="s">
        <v>3055</v>
      </c>
      <c r="AS680" s="433"/>
      <c r="AT680" s="966" t="s">
        <v>3928</v>
      </c>
      <c r="AU680" s="964"/>
      <c r="AV680" s="301"/>
    </row>
    <row r="681" spans="3:48" ht="56.25" x14ac:dyDescent="0.25">
      <c r="C681" s="867">
        <v>188</v>
      </c>
      <c r="D681" s="867"/>
      <c r="E681" s="868" t="s">
        <v>4271</v>
      </c>
      <c r="F681" s="441" t="s">
        <v>4272</v>
      </c>
      <c r="G681" s="893">
        <v>900105979</v>
      </c>
      <c r="H681" s="1005" t="s">
        <v>4273</v>
      </c>
      <c r="I681" s="93">
        <v>61010740</v>
      </c>
      <c r="J681" s="873" t="s">
        <v>4832</v>
      </c>
      <c r="K681" s="295">
        <v>2018</v>
      </c>
      <c r="L681" s="546">
        <v>43353</v>
      </c>
      <c r="M681" s="546">
        <v>43361</v>
      </c>
      <c r="N681" s="546">
        <v>43513</v>
      </c>
      <c r="O681" s="127">
        <f>COUNTA(Modificaciones!I667,Modificaciones!K667,Modificaciones!M667,Modificaciones!O667)</f>
        <v>1</v>
      </c>
      <c r="P681" s="128">
        <f>VLOOKUP(E681,Modificaciones!$B$7:$Q$1819,16,0)</f>
        <v>24404296</v>
      </c>
      <c r="Q681" s="129">
        <f>COUNTA(Modificaciones!S681,Modificaciones!U681,Modificaciones!W681,Modificaciones!Y681)</f>
        <v>1</v>
      </c>
      <c r="R681" s="130" t="str">
        <f>IF(Modificaciones!Z681=0,"",VLOOKUP(E681,Modificaciones!$B$7:$AA$1419,25,0))</f>
        <v>2 meses</v>
      </c>
      <c r="S681" s="131">
        <f>IF(Modificaciones!AA681=0,"",VLOOKUP(E681,Modificaciones!$B$7:$AA$1419,26,0))</f>
        <v>43572</v>
      </c>
      <c r="T681" s="855">
        <f t="shared" si="149"/>
        <v>43572</v>
      </c>
      <c r="U681" s="62">
        <f t="shared" si="150"/>
        <v>85415036</v>
      </c>
      <c r="V681" s="172">
        <f>VLOOKUP(E681,Modificaciones!$B$7:$AU$819,46,0)</f>
        <v>85415036</v>
      </c>
      <c r="W681" s="93">
        <f t="shared" si="151"/>
        <v>0</v>
      </c>
      <c r="X681" s="314" t="s">
        <v>2521</v>
      </c>
      <c r="Y681" s="852">
        <f t="shared" si="152"/>
        <v>1</v>
      </c>
      <c r="Z681" s="42">
        <f t="shared" ca="1" si="153"/>
        <v>1</v>
      </c>
      <c r="AA681" s="43">
        <f t="shared" ca="1" si="154"/>
        <v>0</v>
      </c>
      <c r="AB681" s="202" t="str">
        <f t="shared" ca="1" si="155"/>
        <v/>
      </c>
      <c r="AC681" s="44" t="str">
        <f t="shared" si="156"/>
        <v>SI</v>
      </c>
      <c r="AD681" s="760" t="s">
        <v>1710</v>
      </c>
      <c r="AE681" s="871" t="s">
        <v>1257</v>
      </c>
      <c r="AF681" s="871" t="s">
        <v>2971</v>
      </c>
      <c r="AG681" s="173" t="s">
        <v>1439</v>
      </c>
      <c r="AH681" s="281" t="s">
        <v>560</v>
      </c>
      <c r="AI681" s="868"/>
      <c r="AJ681" s="305" t="s">
        <v>3880</v>
      </c>
      <c r="AK681" s="181" t="str">
        <f t="shared" ca="1" si="157"/>
        <v>TERMINO</v>
      </c>
      <c r="AL681" s="441" t="s">
        <v>2975</v>
      </c>
      <c r="AM681" s="433" t="s">
        <v>390</v>
      </c>
      <c r="AN681" s="848" t="str">
        <f>IFERROR(VLOOKUP(E681,'liquidaciones '!$B$2:$C$1048576,2,0),"NO")</f>
        <v>NO</v>
      </c>
      <c r="AO681" s="944" t="str">
        <f>IFERROR(VLOOKUP(E681,'liquidaciones '!$B$2:$I$1048576,8,0),"")</f>
        <v/>
      </c>
      <c r="AP681" s="433"/>
      <c r="AQ681" s="433" t="s">
        <v>390</v>
      </c>
      <c r="AR681" s="1013" t="s">
        <v>4219</v>
      </c>
      <c r="AS681" s="433" t="s">
        <v>3785</v>
      </c>
      <c r="AT681" s="966" t="s">
        <v>560</v>
      </c>
      <c r="AU681" s="301" t="s">
        <v>4701</v>
      </c>
      <c r="AV681" s="301"/>
    </row>
    <row r="682" spans="3:48" ht="33.75" x14ac:dyDescent="0.25">
      <c r="C682" s="867"/>
      <c r="D682" s="867"/>
      <c r="E682" s="868" t="s">
        <v>4274</v>
      </c>
      <c r="F682" s="441" t="s">
        <v>4275</v>
      </c>
      <c r="G682" s="893">
        <v>52888971</v>
      </c>
      <c r="H682" s="1005" t="s">
        <v>4279</v>
      </c>
      <c r="I682" s="93">
        <v>18748000</v>
      </c>
      <c r="J682" s="1016" t="s">
        <v>4831</v>
      </c>
      <c r="K682" s="295">
        <v>2018</v>
      </c>
      <c r="L682" s="546">
        <v>43360</v>
      </c>
      <c r="M682" s="546">
        <v>43367</v>
      </c>
      <c r="N682" s="546">
        <v>43488</v>
      </c>
      <c r="O682" s="127">
        <f>COUNTA(Modificaciones!I668,Modificaciones!K668,Modificaciones!M668,Modificaciones!O668)</f>
        <v>0</v>
      </c>
      <c r="P682" s="128">
        <f>VLOOKUP(E682,Modificaciones!$B$7:$Q$1819,16,0)</f>
        <v>0</v>
      </c>
      <c r="Q682" s="129">
        <f>COUNTA(Modificaciones!S682,Modificaciones!U682,Modificaciones!W682,Modificaciones!Y682)</f>
        <v>0</v>
      </c>
      <c r="R682" s="130" t="str">
        <f>IF(Modificaciones!Z682=0,"",VLOOKUP(E682,Modificaciones!$B$7:$AA$1419,25,0))</f>
        <v/>
      </c>
      <c r="S682" s="131" t="str">
        <f>IF(Modificaciones!AA682=0,"",VLOOKUP(E682,Modificaciones!$B$7:$AA$1419,26,0))</f>
        <v/>
      </c>
      <c r="T682" s="855">
        <f t="shared" si="149"/>
        <v>43488</v>
      </c>
      <c r="U682" s="62">
        <f t="shared" si="150"/>
        <v>18748000</v>
      </c>
      <c r="V682" s="172">
        <f>VLOOKUP(E682,Modificaciones!$B$7:$AU$819,46,0)</f>
        <v>18748000</v>
      </c>
      <c r="W682" s="93">
        <f t="shared" si="151"/>
        <v>0</v>
      </c>
      <c r="X682" s="309" t="s">
        <v>1095</v>
      </c>
      <c r="Y682" s="852">
        <f t="shared" si="152"/>
        <v>1</v>
      </c>
      <c r="Z682" s="42">
        <f t="shared" ca="1" si="153"/>
        <v>1</v>
      </c>
      <c r="AA682" s="43">
        <f t="shared" ca="1" si="154"/>
        <v>0</v>
      </c>
      <c r="AB682" s="202" t="str">
        <f t="shared" ca="1" si="155"/>
        <v/>
      </c>
      <c r="AC682" s="44" t="str">
        <f t="shared" si="156"/>
        <v>SI</v>
      </c>
      <c r="AD682" s="760" t="s">
        <v>2898</v>
      </c>
      <c r="AE682" s="871" t="s">
        <v>1256</v>
      </c>
      <c r="AF682" s="900" t="s">
        <v>4276</v>
      </c>
      <c r="AG682" s="868"/>
      <c r="AH682" s="281" t="s">
        <v>560</v>
      </c>
      <c r="AI682" s="868"/>
      <c r="AJ682" s="305" t="s">
        <v>3880</v>
      </c>
      <c r="AK682" s="181" t="str">
        <f t="shared" ca="1" si="157"/>
        <v>TERMINO</v>
      </c>
      <c r="AL682" s="181" t="s">
        <v>582</v>
      </c>
      <c r="AM682" s="176" t="s">
        <v>391</v>
      </c>
      <c r="AN682" s="848" t="str">
        <f>IFERROR(VLOOKUP(E682,'liquidaciones '!$B$2:$C$1048576,2,0),"NO")</f>
        <v>NO</v>
      </c>
      <c r="AO682" s="944" t="str">
        <f>IFERROR(VLOOKUP(E682,'liquidaciones '!$B$2:$I$1048576,8,0),"")</f>
        <v/>
      </c>
      <c r="AP682" s="433"/>
      <c r="AQ682" s="433" t="s">
        <v>390</v>
      </c>
      <c r="AR682" s="433" t="s">
        <v>4820</v>
      </c>
      <c r="AS682" s="433" t="s">
        <v>3790</v>
      </c>
      <c r="AT682" s="966" t="s">
        <v>560</v>
      </c>
      <c r="AU682" s="964"/>
      <c r="AV682" s="301"/>
    </row>
    <row r="683" spans="3:48" ht="33.75" x14ac:dyDescent="0.25">
      <c r="C683" s="867"/>
      <c r="D683" s="867"/>
      <c r="E683" s="868" t="s">
        <v>4277</v>
      </c>
      <c r="F683" s="441" t="s">
        <v>4278</v>
      </c>
      <c r="G683" s="893">
        <v>52959805</v>
      </c>
      <c r="H683" s="1005" t="s">
        <v>4279</v>
      </c>
      <c r="I683" s="93">
        <v>18748000</v>
      </c>
      <c r="J683" s="1014" t="s">
        <v>4831</v>
      </c>
      <c r="K683" s="295">
        <v>2018</v>
      </c>
      <c r="L683" s="546">
        <v>43360</v>
      </c>
      <c r="M683" s="546">
        <v>43367</v>
      </c>
      <c r="N683" s="546">
        <v>43488</v>
      </c>
      <c r="O683" s="127">
        <f>COUNTA(Modificaciones!I669,Modificaciones!K669,Modificaciones!M669,Modificaciones!O669)</f>
        <v>0</v>
      </c>
      <c r="P683" s="128">
        <f>VLOOKUP(E683,Modificaciones!$B$7:$Q$1819,16,0)</f>
        <v>0</v>
      </c>
      <c r="Q683" s="129">
        <f>COUNTA(Modificaciones!S683,Modificaciones!U683,Modificaciones!W683,Modificaciones!Y683)</f>
        <v>0</v>
      </c>
      <c r="R683" s="130" t="str">
        <f>IF(Modificaciones!Z683=0,"",VLOOKUP(E683,Modificaciones!$B$7:$AA$1419,25,0))</f>
        <v/>
      </c>
      <c r="S683" s="131" t="str">
        <f>IF(Modificaciones!AA683=0,"",VLOOKUP(E683,Modificaciones!$B$7:$AA$1419,26,0))</f>
        <v/>
      </c>
      <c r="T683" s="855">
        <f t="shared" si="149"/>
        <v>43488</v>
      </c>
      <c r="U683" s="62">
        <f t="shared" si="150"/>
        <v>18748000</v>
      </c>
      <c r="V683" s="172">
        <f>VLOOKUP(E683,Modificaciones!$B$7:$AU$819,46,0)</f>
        <v>18748000</v>
      </c>
      <c r="W683" s="93">
        <f t="shared" si="151"/>
        <v>0</v>
      </c>
      <c r="X683" s="309" t="s">
        <v>1095</v>
      </c>
      <c r="Y683" s="852">
        <f t="shared" si="152"/>
        <v>1</v>
      </c>
      <c r="Z683" s="42">
        <f t="shared" ca="1" si="153"/>
        <v>1</v>
      </c>
      <c r="AA683" s="43">
        <f t="shared" ca="1" si="154"/>
        <v>0</v>
      </c>
      <c r="AB683" s="202" t="str">
        <f t="shared" ca="1" si="155"/>
        <v/>
      </c>
      <c r="AC683" s="44" t="str">
        <f t="shared" si="156"/>
        <v>SI</v>
      </c>
      <c r="AD683" s="760" t="s">
        <v>2898</v>
      </c>
      <c r="AE683" s="871" t="s">
        <v>1256</v>
      </c>
      <c r="AF683" s="900" t="s">
        <v>4276</v>
      </c>
      <c r="AG683" s="868"/>
      <c r="AH683" s="281" t="s">
        <v>560</v>
      </c>
      <c r="AI683" s="868"/>
      <c r="AJ683" s="305" t="s">
        <v>3880</v>
      </c>
      <c r="AK683" s="181" t="str">
        <f t="shared" ca="1" si="157"/>
        <v>TERMINO</v>
      </c>
      <c r="AL683" s="181" t="s">
        <v>582</v>
      </c>
      <c r="AM683" s="176" t="s">
        <v>391</v>
      </c>
      <c r="AN683" s="848" t="str">
        <f>IFERROR(VLOOKUP(E683,'liquidaciones '!$B$2:$C$1048576,2,0),"NO")</f>
        <v>NO</v>
      </c>
      <c r="AO683" s="944" t="str">
        <f>IFERROR(VLOOKUP(E683,'liquidaciones '!$B$2:$I$1048576,8,0),"")</f>
        <v/>
      </c>
      <c r="AP683" s="433"/>
      <c r="AQ683" s="433" t="s">
        <v>390</v>
      </c>
      <c r="AR683" s="433" t="s">
        <v>4820</v>
      </c>
      <c r="AS683" s="433" t="s">
        <v>3790</v>
      </c>
      <c r="AT683" s="966" t="s">
        <v>560</v>
      </c>
      <c r="AU683" s="964"/>
      <c r="AV683" s="301"/>
    </row>
    <row r="684" spans="3:48" ht="30" x14ac:dyDescent="0.25">
      <c r="C684" s="867"/>
      <c r="D684" s="867"/>
      <c r="E684" s="868" t="s">
        <v>4307</v>
      </c>
      <c r="F684" s="441" t="s">
        <v>3374</v>
      </c>
      <c r="G684" s="893">
        <v>830095213</v>
      </c>
      <c r="H684" s="1001" t="s">
        <v>4308</v>
      </c>
      <c r="I684" s="93">
        <v>144000000</v>
      </c>
      <c r="J684" s="873" t="s">
        <v>4310</v>
      </c>
      <c r="K684" s="295">
        <v>2018</v>
      </c>
      <c r="L684" s="546">
        <v>43378</v>
      </c>
      <c r="M684" s="546">
        <v>43379</v>
      </c>
      <c r="N684" s="546">
        <v>43491</v>
      </c>
      <c r="O684" s="127">
        <f>COUNTA(Modificaciones!I670,Modificaciones!K670,Modificaciones!M670,Modificaciones!O670)</f>
        <v>0</v>
      </c>
      <c r="P684" s="128">
        <f>VLOOKUP(E684,Modificaciones!$B$7:$Q$1819,16,0)</f>
        <v>0</v>
      </c>
      <c r="Q684" s="129">
        <f>COUNTA(Modificaciones!S684,Modificaciones!U684,Modificaciones!W684,Modificaciones!Y684)</f>
        <v>0</v>
      </c>
      <c r="R684" s="130" t="str">
        <f>IF(Modificaciones!Z684=0,"",VLOOKUP(E684,Modificaciones!$B$7:$AA$1419,25,0))</f>
        <v/>
      </c>
      <c r="S684" s="131" t="str">
        <f>IF(Modificaciones!AA684=0,"",VLOOKUP(E684,Modificaciones!$B$7:$AA$1419,26,0))</f>
        <v/>
      </c>
      <c r="T684" s="855">
        <f t="shared" si="149"/>
        <v>43491</v>
      </c>
      <c r="U684" s="62">
        <f t="shared" si="150"/>
        <v>144000000</v>
      </c>
      <c r="V684" s="172">
        <f>VLOOKUP(E684,Modificaciones!$B$7:$AU$819,46,0)</f>
        <v>144000000</v>
      </c>
      <c r="W684" s="93">
        <f t="shared" si="151"/>
        <v>0</v>
      </c>
      <c r="X684" s="309"/>
      <c r="Y684" s="852">
        <f t="shared" si="152"/>
        <v>1</v>
      </c>
      <c r="Z684" s="42">
        <f t="shared" ca="1" si="153"/>
        <v>1</v>
      </c>
      <c r="AA684" s="43">
        <f t="shared" ca="1" si="154"/>
        <v>0</v>
      </c>
      <c r="AB684" s="202" t="str">
        <f t="shared" ca="1" si="155"/>
        <v/>
      </c>
      <c r="AC684" s="44" t="str">
        <f t="shared" si="156"/>
        <v>SI</v>
      </c>
      <c r="AD684" s="868"/>
      <c r="AE684" s="173" t="s">
        <v>1256</v>
      </c>
      <c r="AF684" s="281" t="s">
        <v>1139</v>
      </c>
      <c r="AG684" s="868"/>
      <c r="AH684" s="281" t="s">
        <v>560</v>
      </c>
      <c r="AI684" s="305" t="s">
        <v>4195</v>
      </c>
      <c r="AJ684" s="305" t="s">
        <v>2834</v>
      </c>
      <c r="AK684" s="181" t="str">
        <f t="shared" ca="1" si="157"/>
        <v>TERMINO</v>
      </c>
      <c r="AL684" s="441"/>
      <c r="AM684" s="433"/>
      <c r="AN684" s="848" t="str">
        <f>IFERROR(VLOOKUP(E684,'liquidaciones '!$B$2:$C$1048576,2,0),"NO")</f>
        <v>NO</v>
      </c>
      <c r="AO684" s="944" t="str">
        <f>IFERROR(VLOOKUP(E684,'liquidaciones '!$B$2:$I$1048576,8,0),"")</f>
        <v/>
      </c>
      <c r="AP684" s="433"/>
      <c r="AQ684" s="177" t="s">
        <v>390</v>
      </c>
      <c r="AR684" s="433" t="s">
        <v>4309</v>
      </c>
      <c r="AS684" s="433"/>
      <c r="AT684" s="966" t="s">
        <v>3947</v>
      </c>
      <c r="AU684" s="964"/>
      <c r="AV684" s="301"/>
    </row>
    <row r="685" spans="3:48" ht="22.5" x14ac:dyDescent="0.25">
      <c r="C685" s="867">
        <v>54</v>
      </c>
      <c r="D685" s="867"/>
      <c r="E685" s="868" t="s">
        <v>4317</v>
      </c>
      <c r="F685" s="441" t="s">
        <v>33</v>
      </c>
      <c r="G685" s="903">
        <v>860509265</v>
      </c>
      <c r="H685" s="1001" t="s">
        <v>3670</v>
      </c>
      <c r="I685" s="93">
        <v>885000</v>
      </c>
      <c r="J685" s="1014" t="s">
        <v>4830</v>
      </c>
      <c r="K685" s="295">
        <v>2018</v>
      </c>
      <c r="L685" s="546">
        <v>43374</v>
      </c>
      <c r="M685" s="546">
        <v>43406</v>
      </c>
      <c r="N685" s="546">
        <v>43770</v>
      </c>
      <c r="O685" s="127">
        <f>COUNTA(Modificaciones!I671,Modificaciones!K671,Modificaciones!M671,Modificaciones!O671)</f>
        <v>0</v>
      </c>
      <c r="P685" s="128">
        <f>VLOOKUP(E685,Modificaciones!$B$7:$Q$1819,16,0)</f>
        <v>0</v>
      </c>
      <c r="Q685" s="129">
        <f>COUNTA(Modificaciones!S685,Modificaciones!U685,Modificaciones!W685,Modificaciones!Y685)</f>
        <v>0</v>
      </c>
      <c r="R685" s="130" t="str">
        <f>IF(Modificaciones!Z685=0,"",VLOOKUP(E685,Modificaciones!$B$7:$AA$1419,25,0))</f>
        <v/>
      </c>
      <c r="S685" s="131" t="str">
        <f>IF(Modificaciones!AA685=0,"",VLOOKUP(E685,Modificaciones!$B$7:$AA$1419,26,0))</f>
        <v/>
      </c>
      <c r="T685" s="855">
        <f t="shared" si="149"/>
        <v>43770</v>
      </c>
      <c r="U685" s="62">
        <f t="shared" si="150"/>
        <v>885000</v>
      </c>
      <c r="V685" s="172">
        <f>VLOOKUP(E685,Modificaciones!$B$7:$AU$819,46,0)</f>
        <v>885000</v>
      </c>
      <c r="W685" s="93">
        <f t="shared" si="151"/>
        <v>0</v>
      </c>
      <c r="X685" s="309" t="s">
        <v>1895</v>
      </c>
      <c r="Y685" s="852">
        <f t="shared" si="152"/>
        <v>1</v>
      </c>
      <c r="Z685" s="42">
        <f t="shared" ca="1" si="153"/>
        <v>0.65109890109890112</v>
      </c>
      <c r="AA685" s="43">
        <f t="shared" ca="1" si="154"/>
        <v>-0.34890109890109888</v>
      </c>
      <c r="AB685" s="202">
        <f t="shared" ca="1" si="155"/>
        <v>127</v>
      </c>
      <c r="AC685" s="44" t="str">
        <f t="shared" si="156"/>
        <v>SI</v>
      </c>
      <c r="AD685" s="760" t="s">
        <v>1714</v>
      </c>
      <c r="AE685" s="173" t="s">
        <v>1256</v>
      </c>
      <c r="AF685" s="301" t="s">
        <v>1469</v>
      </c>
      <c r="AG685" s="173" t="s">
        <v>1430</v>
      </c>
      <c r="AH685" s="281" t="s">
        <v>564</v>
      </c>
      <c r="AI685" s="868"/>
      <c r="AJ685" s="305" t="s">
        <v>4257</v>
      </c>
      <c r="AK685" s="181" t="str">
        <f t="shared" ca="1" si="157"/>
        <v>EN EJECUCIÓN</v>
      </c>
      <c r="AL685" s="181" t="s">
        <v>582</v>
      </c>
      <c r="AM685" s="433" t="s">
        <v>391</v>
      </c>
      <c r="AN685" s="848" t="str">
        <f>IFERROR(VLOOKUP(E685,'liquidaciones '!$B$2:$C$1048576,2,0),"NO")</f>
        <v>NO</v>
      </c>
      <c r="AO685" s="944" t="str">
        <f>IFERROR(VLOOKUP(E685,'liquidaciones '!$B$2:$I$1048576,8,0),"")</f>
        <v/>
      </c>
      <c r="AP685" s="433"/>
      <c r="AQ685" s="433" t="s">
        <v>390</v>
      </c>
      <c r="AR685" s="433" t="s">
        <v>4820</v>
      </c>
      <c r="AS685" s="433"/>
      <c r="AT685" s="966" t="s">
        <v>3928</v>
      </c>
      <c r="AU685" s="964"/>
      <c r="AV685" s="301"/>
    </row>
    <row r="686" spans="3:48" ht="30" x14ac:dyDescent="0.25">
      <c r="C686" s="867">
        <v>137</v>
      </c>
      <c r="D686" s="867"/>
      <c r="E686" s="868" t="s">
        <v>4320</v>
      </c>
      <c r="F686" s="441" t="s">
        <v>4321</v>
      </c>
      <c r="G686" s="893" t="s">
        <v>4322</v>
      </c>
      <c r="H686" s="1005" t="s">
        <v>3649</v>
      </c>
      <c r="I686" s="93">
        <v>11297490</v>
      </c>
      <c r="J686" s="873" t="s">
        <v>4829</v>
      </c>
      <c r="K686" s="295">
        <v>2018</v>
      </c>
      <c r="L686" s="546">
        <v>43371</v>
      </c>
      <c r="M686" s="546">
        <v>43384</v>
      </c>
      <c r="N686" s="546">
        <v>43506</v>
      </c>
      <c r="O686" s="127">
        <f>COUNTA(Modificaciones!I672,Modificaciones!K672,Modificaciones!M672,Modificaciones!O672)</f>
        <v>0</v>
      </c>
      <c r="P686" s="128">
        <f>VLOOKUP(E686,Modificaciones!$B$7:$Q$1819,16,0)</f>
        <v>0</v>
      </c>
      <c r="Q686" s="129">
        <f>COUNTA(Modificaciones!S686,Modificaciones!U686,Modificaciones!W686,Modificaciones!Y686)</f>
        <v>0</v>
      </c>
      <c r="R686" s="130" t="str">
        <f>IF(Modificaciones!Z686=0,"",VLOOKUP(E686,Modificaciones!$B$7:$AA$1419,25,0))</f>
        <v/>
      </c>
      <c r="S686" s="131" t="str">
        <f>IF(Modificaciones!AA686=0,"",VLOOKUP(E686,Modificaciones!$B$7:$AA$1419,26,0))</f>
        <v/>
      </c>
      <c r="T686" s="855">
        <f t="shared" si="149"/>
        <v>43506</v>
      </c>
      <c r="U686" s="62">
        <f t="shared" si="150"/>
        <v>11297490</v>
      </c>
      <c r="V686" s="172">
        <f>VLOOKUP(E686,Modificaciones!$B$7:$AU$819,46,0)</f>
        <v>0</v>
      </c>
      <c r="W686" s="93">
        <f t="shared" si="151"/>
        <v>11297490</v>
      </c>
      <c r="X686" s="309" t="s">
        <v>2196</v>
      </c>
      <c r="Y686" s="852">
        <f t="shared" si="152"/>
        <v>0</v>
      </c>
      <c r="Z686" s="42">
        <f t="shared" ca="1" si="153"/>
        <v>1</v>
      </c>
      <c r="AA686" s="43">
        <f t="shared" ca="1" si="154"/>
        <v>1</v>
      </c>
      <c r="AB686" s="202" t="str">
        <f t="shared" ca="1" si="155"/>
        <v/>
      </c>
      <c r="AC686" s="44" t="str">
        <f t="shared" si="156"/>
        <v>NO</v>
      </c>
      <c r="AD686" s="760" t="s">
        <v>1712</v>
      </c>
      <c r="AE686" s="173" t="s">
        <v>1256</v>
      </c>
      <c r="AF686" s="281" t="s">
        <v>1304</v>
      </c>
      <c r="AG686" s="173" t="s">
        <v>1435</v>
      </c>
      <c r="AH686" s="281" t="s">
        <v>560</v>
      </c>
      <c r="AI686" s="868"/>
      <c r="AJ686" s="305" t="s">
        <v>3880</v>
      </c>
      <c r="AK686" s="181" t="str">
        <f t="shared" ca="1" si="157"/>
        <v>TERMINO</v>
      </c>
      <c r="AL686" s="310" t="s">
        <v>576</v>
      </c>
      <c r="AM686" s="433" t="s">
        <v>390</v>
      </c>
      <c r="AN686" s="848" t="str">
        <f>IFERROR(VLOOKUP(E686,'liquidaciones '!$B$2:$C$1048576,2,0),"NO")</f>
        <v>NO</v>
      </c>
      <c r="AO686" s="944" t="str">
        <f>IFERROR(VLOOKUP(E686,'liquidaciones '!$B$2:$I$1048576,8,0),"")</f>
        <v/>
      </c>
      <c r="AP686" s="433"/>
      <c r="AQ686" s="1018" t="s">
        <v>390</v>
      </c>
      <c r="AR686" s="1013" t="s">
        <v>4309</v>
      </c>
      <c r="AS686" s="433" t="s">
        <v>4343</v>
      </c>
      <c r="AT686" s="966" t="s">
        <v>560</v>
      </c>
      <c r="AU686" s="964"/>
      <c r="AV686" s="301" t="s">
        <v>4979</v>
      </c>
    </row>
    <row r="687" spans="3:48" ht="67.5" x14ac:dyDescent="0.25">
      <c r="C687" s="867"/>
      <c r="D687" s="867"/>
      <c r="E687" s="868" t="s">
        <v>4328</v>
      </c>
      <c r="F687" s="441" t="s">
        <v>4324</v>
      </c>
      <c r="G687" s="893">
        <v>52196310</v>
      </c>
      <c r="H687" s="1005" t="s">
        <v>4325</v>
      </c>
      <c r="I687" s="93">
        <v>31200000</v>
      </c>
      <c r="J687" s="873" t="s">
        <v>4828</v>
      </c>
      <c r="K687" s="295">
        <v>2018</v>
      </c>
      <c r="L687" s="546">
        <v>43378</v>
      </c>
      <c r="M687" s="546">
        <v>43383</v>
      </c>
      <c r="N687" s="546">
        <v>43496</v>
      </c>
      <c r="O687" s="127">
        <f>COUNTA(Modificaciones!I673,Modificaciones!K673,Modificaciones!M673,Modificaciones!O673)</f>
        <v>0</v>
      </c>
      <c r="P687" s="128">
        <f>VLOOKUP(E687,Modificaciones!$B$7:$Q$1819,16,0)</f>
        <v>0</v>
      </c>
      <c r="Q687" s="129">
        <f>COUNTA(Modificaciones!S687,Modificaciones!U687,Modificaciones!W687,Modificaciones!Y687)</f>
        <v>0</v>
      </c>
      <c r="R687" s="130" t="str">
        <f>IF(Modificaciones!Z687=0,"",VLOOKUP(E687,Modificaciones!$B$7:$AA$1419,25,0))</f>
        <v/>
      </c>
      <c r="S687" s="131" t="str">
        <f>IF(Modificaciones!AA687=0,"",VLOOKUP(E687,Modificaciones!$B$7:$AA$1419,26,0))</f>
        <v/>
      </c>
      <c r="T687" s="855">
        <f t="shared" si="149"/>
        <v>43496</v>
      </c>
      <c r="U687" s="62">
        <f t="shared" si="150"/>
        <v>31200000</v>
      </c>
      <c r="V687" s="172">
        <f>VLOOKUP(E687,Modificaciones!$B$7:$AU$819,46,0)</f>
        <v>28860000</v>
      </c>
      <c r="W687" s="93">
        <f t="shared" si="151"/>
        <v>2340000</v>
      </c>
      <c r="X687" s="309" t="s">
        <v>1095</v>
      </c>
      <c r="Y687" s="852">
        <f t="shared" si="152"/>
        <v>0.92500000000000004</v>
      </c>
      <c r="Z687" s="42">
        <f t="shared" ca="1" si="153"/>
        <v>1</v>
      </c>
      <c r="AA687" s="43">
        <f t="shared" ca="1" si="154"/>
        <v>7.4999999999999956E-2</v>
      </c>
      <c r="AB687" s="202" t="str">
        <f t="shared" ca="1" si="155"/>
        <v/>
      </c>
      <c r="AC687" s="44" t="str">
        <f t="shared" si="156"/>
        <v>NO</v>
      </c>
      <c r="AD687" s="760" t="s">
        <v>2898</v>
      </c>
      <c r="AE687" s="871" t="s">
        <v>1256</v>
      </c>
      <c r="AF687" s="900" t="s">
        <v>4326</v>
      </c>
      <c r="AG687" s="868" t="s">
        <v>4327</v>
      </c>
      <c r="AH687" s="281" t="s">
        <v>559</v>
      </c>
      <c r="AI687" s="868"/>
      <c r="AJ687" s="305" t="s">
        <v>4252</v>
      </c>
      <c r="AK687" s="181" t="str">
        <f t="shared" ca="1" si="157"/>
        <v>TERMINO</v>
      </c>
      <c r="AL687" s="181" t="s">
        <v>582</v>
      </c>
      <c r="AM687" s="176" t="s">
        <v>391</v>
      </c>
      <c r="AN687" s="848" t="str">
        <f>IFERROR(VLOOKUP(E687,'liquidaciones '!$B$2:$C$1048576,2,0),"NO")</f>
        <v>NO</v>
      </c>
      <c r="AO687" s="944" t="str">
        <f>IFERROR(VLOOKUP(E687,'liquidaciones '!$B$2:$I$1048576,8,0),"")</f>
        <v/>
      </c>
      <c r="AP687" s="433"/>
      <c r="AQ687" s="433" t="s">
        <v>390</v>
      </c>
      <c r="AR687" s="433" t="s">
        <v>4820</v>
      </c>
      <c r="AS687" s="433"/>
      <c r="AT687" s="966" t="s">
        <v>3947</v>
      </c>
      <c r="AU687" s="964"/>
      <c r="AV687" s="301"/>
    </row>
    <row r="688" spans="3:48" ht="45" x14ac:dyDescent="0.25">
      <c r="C688" s="867"/>
      <c r="D688" s="867"/>
      <c r="E688" s="868" t="s">
        <v>4323</v>
      </c>
      <c r="F688" s="441" t="s">
        <v>4329</v>
      </c>
      <c r="G688" s="893">
        <v>80830146</v>
      </c>
      <c r="H688" s="1005" t="s">
        <v>3044</v>
      </c>
      <c r="I688" s="93">
        <v>21876000</v>
      </c>
      <c r="J688" s="873" t="s">
        <v>4332</v>
      </c>
      <c r="K688" s="295">
        <v>2018</v>
      </c>
      <c r="L688" s="546">
        <v>43378</v>
      </c>
      <c r="M688" s="546">
        <v>43383</v>
      </c>
      <c r="N688" s="546">
        <v>43496</v>
      </c>
      <c r="O688" s="127">
        <f>COUNTA(Modificaciones!I674,Modificaciones!K674,Modificaciones!M674,Modificaciones!O674)</f>
        <v>0</v>
      </c>
      <c r="P688" s="128">
        <f>VLOOKUP(E688,Modificaciones!$B$7:$Q$1819,16,0)</f>
        <v>0</v>
      </c>
      <c r="Q688" s="129">
        <f>COUNTA(Modificaciones!S688,Modificaciones!U688,Modificaciones!W688,Modificaciones!Y688)</f>
        <v>0</v>
      </c>
      <c r="R688" s="130" t="str">
        <f>IF(Modificaciones!Z688=0,"",VLOOKUP(E688,Modificaciones!$B$7:$AA$1419,25,0))</f>
        <v/>
      </c>
      <c r="S688" s="131" t="str">
        <f>IF(Modificaciones!AA688=0,"",VLOOKUP(E688,Modificaciones!$B$7:$AA$1419,26,0))</f>
        <v/>
      </c>
      <c r="T688" s="855">
        <f t="shared" si="149"/>
        <v>43496</v>
      </c>
      <c r="U688" s="62">
        <f t="shared" si="150"/>
        <v>21876000</v>
      </c>
      <c r="V688" s="172">
        <f>VLOOKUP(E688,Modificaciones!$B$7:$AU$819,46,0)</f>
        <v>20235300</v>
      </c>
      <c r="W688" s="93">
        <f t="shared" si="151"/>
        <v>1640700</v>
      </c>
      <c r="X688" s="309" t="s">
        <v>1095</v>
      </c>
      <c r="Y688" s="852">
        <f t="shared" si="152"/>
        <v>0.92500000000000004</v>
      </c>
      <c r="Z688" s="42">
        <f t="shared" ca="1" si="153"/>
        <v>1</v>
      </c>
      <c r="AA688" s="43">
        <f t="shared" ca="1" si="154"/>
        <v>7.4999999999999956E-2</v>
      </c>
      <c r="AB688" s="202" t="str">
        <f t="shared" ca="1" si="155"/>
        <v/>
      </c>
      <c r="AC688" s="44" t="str">
        <f t="shared" si="156"/>
        <v>NO</v>
      </c>
      <c r="AD688" s="760" t="s">
        <v>2898</v>
      </c>
      <c r="AE688" s="871" t="s">
        <v>1256</v>
      </c>
      <c r="AF688" s="900" t="s">
        <v>4330</v>
      </c>
      <c r="AG688" s="868" t="s">
        <v>4331</v>
      </c>
      <c r="AH688" s="281" t="s">
        <v>561</v>
      </c>
      <c r="AI688" s="868"/>
      <c r="AJ688" s="305" t="s">
        <v>3863</v>
      </c>
      <c r="AK688" s="181" t="str">
        <f t="shared" ca="1" si="157"/>
        <v>TERMINO</v>
      </c>
      <c r="AL688" s="181" t="s">
        <v>582</v>
      </c>
      <c r="AM688" s="176" t="s">
        <v>391</v>
      </c>
      <c r="AN688" s="848" t="str">
        <f>IFERROR(VLOOKUP(E688,'liquidaciones '!$B$2:$C$1048576,2,0),"NO")</f>
        <v>NO</v>
      </c>
      <c r="AO688" s="944" t="str">
        <f>IFERROR(VLOOKUP(E688,'liquidaciones '!$B$2:$I$1048576,8,0),"")</f>
        <v/>
      </c>
      <c r="AP688" s="433"/>
      <c r="AQ688" s="433" t="s">
        <v>390</v>
      </c>
      <c r="AR688" s="1013" t="s">
        <v>4255</v>
      </c>
      <c r="AS688" s="433"/>
      <c r="AT688" s="966" t="s">
        <v>4188</v>
      </c>
      <c r="AU688" s="964"/>
      <c r="AV688" s="301"/>
    </row>
    <row r="689" spans="3:48" ht="33.75" x14ac:dyDescent="0.25">
      <c r="C689" s="867">
        <v>64</v>
      </c>
      <c r="D689" s="867"/>
      <c r="E689" s="868" t="s">
        <v>4333</v>
      </c>
      <c r="F689" s="441" t="s">
        <v>4334</v>
      </c>
      <c r="G689" s="893" t="s">
        <v>4335</v>
      </c>
      <c r="H689" s="1005" t="s">
        <v>2852</v>
      </c>
      <c r="I689" s="93">
        <v>2200000</v>
      </c>
      <c r="J689" s="873" t="s">
        <v>4342</v>
      </c>
      <c r="K689" s="295">
        <v>2018</v>
      </c>
      <c r="L689" s="546">
        <v>43376</v>
      </c>
      <c r="M689" s="546">
        <v>43389</v>
      </c>
      <c r="N689" s="546">
        <v>43511</v>
      </c>
      <c r="O689" s="127">
        <f>COUNTA(Modificaciones!I675,Modificaciones!K675,Modificaciones!M675,Modificaciones!O675)</f>
        <v>0</v>
      </c>
      <c r="P689" s="128">
        <f>VLOOKUP(E689,Modificaciones!$B$7:$Q$1819,16,0)</f>
        <v>0</v>
      </c>
      <c r="Q689" s="129">
        <f>COUNTA(Modificaciones!S689,Modificaciones!U689,Modificaciones!W689,Modificaciones!Y689)</f>
        <v>0</v>
      </c>
      <c r="R689" s="130" t="str">
        <f>IF(Modificaciones!Z689=0,"",VLOOKUP(E689,Modificaciones!$B$7:$AA$1419,25,0))</f>
        <v/>
      </c>
      <c r="S689" s="131" t="str">
        <f>IF(Modificaciones!AA689=0,"",VLOOKUP(E689,Modificaciones!$B$7:$AA$1419,26,0))</f>
        <v/>
      </c>
      <c r="T689" s="855">
        <f t="shared" si="149"/>
        <v>43511</v>
      </c>
      <c r="U689" s="62">
        <f t="shared" si="150"/>
        <v>2200000</v>
      </c>
      <c r="V689" s="172">
        <f>VLOOKUP(E689,Modificaciones!$B$7:$AU$819,46,0)</f>
        <v>1447247</v>
      </c>
      <c r="W689" s="93">
        <f t="shared" si="151"/>
        <v>752753</v>
      </c>
      <c r="X689" s="309" t="s">
        <v>1613</v>
      </c>
      <c r="Y689" s="852">
        <f t="shared" si="152"/>
        <v>0.65783954545454548</v>
      </c>
      <c r="Z689" s="42">
        <f t="shared" ca="1" si="153"/>
        <v>1</v>
      </c>
      <c r="AA689" s="43">
        <f t="shared" ca="1" si="154"/>
        <v>0.34216045454545452</v>
      </c>
      <c r="AB689" s="202" t="str">
        <f t="shared" ca="1" si="155"/>
        <v/>
      </c>
      <c r="AC689" s="44" t="str">
        <f t="shared" si="156"/>
        <v>NO</v>
      </c>
      <c r="AD689" s="760" t="s">
        <v>1710</v>
      </c>
      <c r="AE689" s="173" t="s">
        <v>1256</v>
      </c>
      <c r="AF689" s="281" t="s">
        <v>1383</v>
      </c>
      <c r="AG689" s="173" t="s">
        <v>1442</v>
      </c>
      <c r="AH689" s="281" t="s">
        <v>560</v>
      </c>
      <c r="AI689" s="868" t="s">
        <v>3603</v>
      </c>
      <c r="AJ689" s="305" t="s">
        <v>3880</v>
      </c>
      <c r="AK689" s="181" t="str">
        <f t="shared" ca="1" si="157"/>
        <v>TERMINO</v>
      </c>
      <c r="AL689" s="181" t="s">
        <v>576</v>
      </c>
      <c r="AM689" s="176" t="s">
        <v>390</v>
      </c>
      <c r="AN689" s="848" t="str">
        <f>IFERROR(VLOOKUP(E689,'liquidaciones '!$B$2:$C$1048576,2,0),"NO")</f>
        <v>NO</v>
      </c>
      <c r="AO689" s="944" t="str">
        <f>IFERROR(VLOOKUP(E689,'liquidaciones '!$B$2:$I$1048576,8,0),"")</f>
        <v/>
      </c>
      <c r="AP689" s="433"/>
      <c r="AQ689" s="234" t="s">
        <v>390</v>
      </c>
      <c r="AR689" s="433" t="s">
        <v>4818</v>
      </c>
      <c r="AS689" s="433" t="s">
        <v>3781</v>
      </c>
      <c r="AT689" s="966" t="s">
        <v>560</v>
      </c>
      <c r="AU689" s="964"/>
      <c r="AV689" s="301"/>
    </row>
    <row r="690" spans="3:48" ht="67.5" x14ac:dyDescent="0.25">
      <c r="C690" s="867"/>
      <c r="D690" s="867"/>
      <c r="E690" s="868" t="s">
        <v>4336</v>
      </c>
      <c r="F690" s="441" t="s">
        <v>4337</v>
      </c>
      <c r="G690" s="893">
        <v>91206998</v>
      </c>
      <c r="H690" s="1005" t="s">
        <v>4338</v>
      </c>
      <c r="I690" s="93">
        <v>31200000</v>
      </c>
      <c r="J690" s="873" t="s">
        <v>4827</v>
      </c>
      <c r="K690" s="295">
        <v>2018</v>
      </c>
      <c r="L690" s="546">
        <v>43384</v>
      </c>
      <c r="M690" s="546">
        <v>43385</v>
      </c>
      <c r="N690" s="546">
        <v>43496</v>
      </c>
      <c r="O690" s="127">
        <f>COUNTA(Modificaciones!I676,Modificaciones!K676,Modificaciones!M676,Modificaciones!O676)</f>
        <v>0</v>
      </c>
      <c r="P690" s="128">
        <f>VLOOKUP(E690,Modificaciones!$B$7:$Q$1819,16,0)</f>
        <v>12480000</v>
      </c>
      <c r="Q690" s="129">
        <f>COUNTA(Modificaciones!S690,Modificaciones!U690,Modificaciones!W690,Modificaciones!Y690)</f>
        <v>1</v>
      </c>
      <c r="R690" s="130" t="str">
        <f>IF(Modificaciones!Z690=0,"",VLOOKUP(E690,Modificaciones!$B$7:$AA$1419,25,0))</f>
        <v>1 mes y 18 días</v>
      </c>
      <c r="S690" s="131">
        <f>IF(Modificaciones!AA690=0,"",VLOOKUP(E690,Modificaciones!$B$7:$AA$1419,26,0))</f>
        <v>43554</v>
      </c>
      <c r="T690" s="855">
        <f t="shared" si="149"/>
        <v>43554</v>
      </c>
      <c r="U690" s="62">
        <f t="shared" si="150"/>
        <v>43680000</v>
      </c>
      <c r="V690" s="172">
        <f>VLOOKUP(E690,Modificaciones!$B$7:$AU$819,46,0)</f>
        <v>43680000</v>
      </c>
      <c r="W690" s="93">
        <f t="shared" si="151"/>
        <v>0</v>
      </c>
      <c r="X690" s="309" t="s">
        <v>1095</v>
      </c>
      <c r="Y690" s="852">
        <f t="shared" si="152"/>
        <v>1</v>
      </c>
      <c r="Z690" s="42">
        <f t="shared" ca="1" si="153"/>
        <v>1</v>
      </c>
      <c r="AA690" s="43">
        <f t="shared" ca="1" si="154"/>
        <v>0</v>
      </c>
      <c r="AB690" s="202" t="str">
        <f t="shared" ca="1" si="155"/>
        <v/>
      </c>
      <c r="AC690" s="44" t="str">
        <f t="shared" si="156"/>
        <v>SI</v>
      </c>
      <c r="AD690" s="760" t="s">
        <v>2898</v>
      </c>
      <c r="AE690" s="173" t="s">
        <v>1256</v>
      </c>
      <c r="AF690" s="173" t="s">
        <v>2490</v>
      </c>
      <c r="AG690" s="173" t="s">
        <v>1430</v>
      </c>
      <c r="AH690" s="281" t="s">
        <v>564</v>
      </c>
      <c r="AI690" s="305"/>
      <c r="AJ690" s="305" t="s">
        <v>4257</v>
      </c>
      <c r="AK690" s="181" t="str">
        <f t="shared" ca="1" si="157"/>
        <v>TERMINO</v>
      </c>
      <c r="AL690" s="181" t="s">
        <v>582</v>
      </c>
      <c r="AM690" s="176" t="s">
        <v>391</v>
      </c>
      <c r="AN690" s="848" t="str">
        <f>IFERROR(VLOOKUP(E690,'liquidaciones '!$B$2:$C$1048576,2,0),"NO")</f>
        <v>NO</v>
      </c>
      <c r="AO690" s="944" t="str">
        <f>IFERROR(VLOOKUP(E690,'liquidaciones '!$B$2:$I$1048576,8,0),"")</f>
        <v/>
      </c>
      <c r="AP690" s="433"/>
      <c r="AQ690" s="234" t="s">
        <v>390</v>
      </c>
      <c r="AR690" s="966" t="s">
        <v>4819</v>
      </c>
      <c r="AS690" s="433"/>
      <c r="AT690" s="966" t="s">
        <v>564</v>
      </c>
      <c r="AU690" s="964"/>
      <c r="AV690" s="301"/>
    </row>
    <row r="691" spans="3:48" ht="45" x14ac:dyDescent="0.25">
      <c r="C691" s="867">
        <v>94</v>
      </c>
      <c r="D691" s="867"/>
      <c r="E691" s="868" t="s">
        <v>4339</v>
      </c>
      <c r="F691" s="441" t="s">
        <v>4340</v>
      </c>
      <c r="G691" s="893">
        <v>1014264880</v>
      </c>
      <c r="H691" s="1005" t="s">
        <v>4341</v>
      </c>
      <c r="I691" s="93">
        <v>7486640</v>
      </c>
      <c r="J691" s="873" t="s">
        <v>4826</v>
      </c>
      <c r="K691" s="295">
        <v>2018</v>
      </c>
      <c r="L691" s="546">
        <v>43381</v>
      </c>
      <c r="M691" s="546">
        <v>43385</v>
      </c>
      <c r="N691" s="546">
        <v>43496</v>
      </c>
      <c r="O691" s="127">
        <f>COUNTA(Modificaciones!I677,Modificaciones!K677,Modificaciones!M677,Modificaciones!O677)</f>
        <v>0</v>
      </c>
      <c r="P691" s="128">
        <f>VLOOKUP(E691,Modificaciones!$B$7:$Q$1819,16,0)</f>
        <v>0</v>
      </c>
      <c r="Q691" s="129">
        <f>COUNTA(Modificaciones!S691,Modificaciones!U691,Modificaciones!W691,Modificaciones!Y691)</f>
        <v>0</v>
      </c>
      <c r="R691" s="130" t="str">
        <f>IF(Modificaciones!Z691=0,"",VLOOKUP(E691,Modificaciones!$B$7:$AA$1419,25,0))</f>
        <v/>
      </c>
      <c r="S691" s="131" t="str">
        <f>IF(Modificaciones!AA691=0,"",VLOOKUP(E691,Modificaciones!$B$7:$AA$1419,26,0))</f>
        <v/>
      </c>
      <c r="T691" s="855">
        <f t="shared" si="149"/>
        <v>43496</v>
      </c>
      <c r="U691" s="62">
        <f t="shared" si="150"/>
        <v>7486640</v>
      </c>
      <c r="V691" s="172">
        <f>VLOOKUP(E691,Modificaciones!$B$7:$AU$819,46,0)</f>
        <v>6800365</v>
      </c>
      <c r="W691" s="93">
        <f t="shared" si="151"/>
        <v>686275</v>
      </c>
      <c r="X691" s="309" t="s">
        <v>1095</v>
      </c>
      <c r="Y691" s="852">
        <f t="shared" si="152"/>
        <v>0.90833337785708945</v>
      </c>
      <c r="Z691" s="42">
        <f t="shared" ca="1" si="153"/>
        <v>1</v>
      </c>
      <c r="AA691" s="43">
        <f t="shared" ca="1" si="154"/>
        <v>9.1666622142910548E-2</v>
      </c>
      <c r="AB691" s="202" t="str">
        <f t="shared" ca="1" si="155"/>
        <v/>
      </c>
      <c r="AC691" s="44" t="str">
        <f t="shared" si="156"/>
        <v>NO</v>
      </c>
      <c r="AD691" s="760" t="s">
        <v>2898</v>
      </c>
      <c r="AE691" s="173" t="s">
        <v>1256</v>
      </c>
      <c r="AF691" s="281" t="s">
        <v>2640</v>
      </c>
      <c r="AG691" s="173" t="s">
        <v>1177</v>
      </c>
      <c r="AH691" s="281" t="s">
        <v>559</v>
      </c>
      <c r="AI691" s="305"/>
      <c r="AJ691" s="305" t="s">
        <v>4252</v>
      </c>
      <c r="AK691" s="181" t="str">
        <f t="shared" ca="1" si="157"/>
        <v>TERMINO</v>
      </c>
      <c r="AL691" s="181" t="s">
        <v>582</v>
      </c>
      <c r="AM691" s="176" t="s">
        <v>391</v>
      </c>
      <c r="AN691" s="848" t="str">
        <f>IFERROR(VLOOKUP(E691,'liquidaciones '!$B$2:$C$1048576,2,0),"NO")</f>
        <v>NO</v>
      </c>
      <c r="AO691" s="944" t="str">
        <f>IFERROR(VLOOKUP(E691,'liquidaciones '!$B$2:$I$1048576,8,0),"")</f>
        <v/>
      </c>
      <c r="AP691" s="433"/>
      <c r="AQ691" s="234" t="s">
        <v>390</v>
      </c>
      <c r="AR691" s="433" t="s">
        <v>4820</v>
      </c>
      <c r="AS691" s="433"/>
      <c r="AT691" s="966" t="s">
        <v>3947</v>
      </c>
      <c r="AU691" s="964"/>
      <c r="AV691" s="301"/>
    </row>
    <row r="692" spans="3:48" ht="45" x14ac:dyDescent="0.25">
      <c r="C692" s="867">
        <v>203</v>
      </c>
      <c r="D692" s="867"/>
      <c r="E692" s="868" t="s">
        <v>4344</v>
      </c>
      <c r="F692" s="441" t="s">
        <v>4345</v>
      </c>
      <c r="G692" s="893">
        <v>52095685</v>
      </c>
      <c r="H692" s="1005" t="s">
        <v>3010</v>
      </c>
      <c r="I692" s="93">
        <v>24273392</v>
      </c>
      <c r="J692" s="873" t="s">
        <v>4825</v>
      </c>
      <c r="K692" s="295">
        <v>2018</v>
      </c>
      <c r="L692" s="546">
        <v>43381</v>
      </c>
      <c r="M692" s="546">
        <v>43389</v>
      </c>
      <c r="N692" s="546">
        <v>43496</v>
      </c>
      <c r="O692" s="127">
        <f>COUNTA(Modificaciones!I678,Modificaciones!K678,Modificaciones!M678,Modificaciones!O678)</f>
        <v>1</v>
      </c>
      <c r="P692" s="128">
        <f>VLOOKUP(E692,Modificaciones!$B$7:$Q$1819,16,0)</f>
        <v>12136696</v>
      </c>
      <c r="Q692" s="129">
        <f>COUNTA(Modificaciones!S692,Modificaciones!U692,Modificaciones!W692,Modificaciones!Y692)</f>
        <v>1</v>
      </c>
      <c r="R692" s="130" t="str">
        <f>IF(Modificaciones!Z692=0,"",VLOOKUP(E692,Modificaciones!$B$7:$AA$1419,25,0))</f>
        <v>2 meses</v>
      </c>
      <c r="S692" s="131">
        <f>IF(Modificaciones!AA692=0,"",VLOOKUP(E692,Modificaciones!$B$7:$AA$1419,26,0))</f>
        <v>43570</v>
      </c>
      <c r="T692" s="855">
        <f t="shared" ref="T692:T715" si="158">MAX(N692,S692)</f>
        <v>43570</v>
      </c>
      <c r="U692" s="62">
        <f t="shared" ref="U692:U715" si="159">I692+P692</f>
        <v>36410088</v>
      </c>
      <c r="V692" s="172">
        <f>VLOOKUP(E692,Modificaciones!$B$7:$AU$819,46,0)</f>
        <v>36410088</v>
      </c>
      <c r="W692" s="93">
        <f t="shared" ref="W692:W715" si="160">U692-V692</f>
        <v>0</v>
      </c>
      <c r="X692" s="309" t="s">
        <v>1095</v>
      </c>
      <c r="Y692" s="852">
        <f t="shared" ref="Y692:Y715" si="161">(V692*100%)/U692</f>
        <v>1</v>
      </c>
      <c r="Z692" s="42">
        <f t="shared" ref="Z692:Z715" ca="1" si="162">IF((($F$3-M692)*100%/(T692-M692))&gt;100%,100%,(($F$3-M692)*100%/(T692-M692)))</f>
        <v>1</v>
      </c>
      <c r="AA692" s="43">
        <f t="shared" ref="AA692:AA715" ca="1" si="163">Z692-Y692</f>
        <v>0</v>
      </c>
      <c r="AB692" s="202" t="str">
        <f t="shared" ref="AB692:AB715" ca="1" si="164">IF(Z692&lt;100%,T692-$F$3,"")</f>
        <v/>
      </c>
      <c r="AC692" s="44" t="str">
        <f t="shared" ref="AC692:AC715" si="165">IF(Y692&lt;=99.9%,"NO","SI")</f>
        <v>SI</v>
      </c>
      <c r="AD692" s="760" t="s">
        <v>2898</v>
      </c>
      <c r="AE692" s="173" t="s">
        <v>1256</v>
      </c>
      <c r="AF692" s="281" t="s">
        <v>2190</v>
      </c>
      <c r="AG692" s="868"/>
      <c r="AH692" s="281" t="s">
        <v>559</v>
      </c>
      <c r="AI692" s="868"/>
      <c r="AJ692" s="305" t="s">
        <v>4252</v>
      </c>
      <c r="AK692" s="181" t="str">
        <f t="shared" ref="AK692:AK715" ca="1" si="166">IF(T692&gt;=$F$3,"EN EJECUCIÓN","TERMINO")</f>
        <v>TERMINO</v>
      </c>
      <c r="AL692" s="310" t="s">
        <v>582</v>
      </c>
      <c r="AM692" s="433" t="s">
        <v>391</v>
      </c>
      <c r="AN692" s="848" t="str">
        <f>IFERROR(VLOOKUP(E692,'liquidaciones '!$B$2:$C$1048576,2,0),"NO")</f>
        <v>NO</v>
      </c>
      <c r="AO692" s="944" t="str">
        <f>IFERROR(VLOOKUP(E692,'liquidaciones '!$B$2:$I$1048576,8,0),"")</f>
        <v/>
      </c>
      <c r="AP692" s="433"/>
      <c r="AQ692" s="433" t="s">
        <v>390</v>
      </c>
      <c r="AR692" s="433" t="s">
        <v>4818</v>
      </c>
      <c r="AS692" s="433"/>
      <c r="AT692" s="966" t="s">
        <v>559</v>
      </c>
      <c r="AU692" s="964"/>
      <c r="AV692" s="301" t="s">
        <v>4800</v>
      </c>
    </row>
    <row r="693" spans="3:48" ht="33.75" x14ac:dyDescent="0.25">
      <c r="C693" s="867">
        <v>56</v>
      </c>
      <c r="D693" s="867"/>
      <c r="E693" s="868" t="s">
        <v>4346</v>
      </c>
      <c r="F693" s="441" t="s">
        <v>2146</v>
      </c>
      <c r="G693" s="893">
        <v>860536029</v>
      </c>
      <c r="H693" s="1005" t="s">
        <v>2665</v>
      </c>
      <c r="I693" s="93">
        <v>990000</v>
      </c>
      <c r="J693" s="873" t="s">
        <v>4824</v>
      </c>
      <c r="K693" s="295">
        <v>2018</v>
      </c>
      <c r="L693" s="546">
        <v>43381</v>
      </c>
      <c r="M693" s="546">
        <v>43384</v>
      </c>
      <c r="N693" s="546">
        <v>43748</v>
      </c>
      <c r="O693" s="127">
        <f>COUNTA(Modificaciones!I679,Modificaciones!K679,Modificaciones!M679,Modificaciones!O679)</f>
        <v>0</v>
      </c>
      <c r="P693" s="128">
        <f>VLOOKUP(E693,Modificaciones!$B$7:$Q$1819,16,0)</f>
        <v>0</v>
      </c>
      <c r="Q693" s="129">
        <f>COUNTA(Modificaciones!S693,Modificaciones!U693,Modificaciones!W693,Modificaciones!Y693)</f>
        <v>0</v>
      </c>
      <c r="R693" s="130" t="str">
        <f>IF(Modificaciones!Z693=0,"",VLOOKUP(E693,Modificaciones!$B$7:$AA$1419,25,0))</f>
        <v/>
      </c>
      <c r="S693" s="131" t="str">
        <f>IF(Modificaciones!AA693=0,"",VLOOKUP(E693,Modificaciones!$B$7:$AA$1419,26,0))</f>
        <v/>
      </c>
      <c r="T693" s="855">
        <f t="shared" si="158"/>
        <v>43748</v>
      </c>
      <c r="U693" s="62">
        <f t="shared" si="159"/>
        <v>990000</v>
      </c>
      <c r="V693" s="172">
        <f>VLOOKUP(E693,Modificaciones!$B$7:$AU$819,46,0)</f>
        <v>0</v>
      </c>
      <c r="W693" s="93">
        <f t="shared" si="160"/>
        <v>990000</v>
      </c>
      <c r="X693" s="309" t="s">
        <v>1895</v>
      </c>
      <c r="Y693" s="852">
        <f t="shared" si="161"/>
        <v>0</v>
      </c>
      <c r="Z693" s="42">
        <f t="shared" ca="1" si="162"/>
        <v>0.71153846153846156</v>
      </c>
      <c r="AA693" s="43">
        <f t="shared" ca="1" si="163"/>
        <v>0.71153846153846156</v>
      </c>
      <c r="AB693" s="202">
        <f t="shared" ca="1" si="164"/>
        <v>105</v>
      </c>
      <c r="AC693" s="44" t="str">
        <f t="shared" si="165"/>
        <v>NO</v>
      </c>
      <c r="AD693" s="760" t="s">
        <v>1710</v>
      </c>
      <c r="AE693" s="173" t="s">
        <v>1256</v>
      </c>
      <c r="AF693" s="281" t="s">
        <v>1125</v>
      </c>
      <c r="AG693" s="173" t="s">
        <v>1430</v>
      </c>
      <c r="AH693" s="281" t="s">
        <v>564</v>
      </c>
      <c r="AI693" s="868"/>
      <c r="AJ693" s="305" t="s">
        <v>4257</v>
      </c>
      <c r="AK693" s="181" t="str">
        <f t="shared" ca="1" si="166"/>
        <v>EN EJECUCIÓN</v>
      </c>
      <c r="AL693" s="310" t="s">
        <v>582</v>
      </c>
      <c r="AM693" s="433" t="s">
        <v>391</v>
      </c>
      <c r="AN693" s="848" t="str">
        <f>IFERROR(VLOOKUP(E693,'liquidaciones '!$B$2:$C$1048576,2,0),"NO")</f>
        <v>NO</v>
      </c>
      <c r="AO693" s="944" t="str">
        <f>IFERROR(VLOOKUP(E693,'liquidaciones '!$B$2:$I$1048576,8,0),"")</f>
        <v/>
      </c>
      <c r="AP693" s="433"/>
      <c r="AQ693" s="433" t="s">
        <v>390</v>
      </c>
      <c r="AR693" s="1015" t="s">
        <v>4309</v>
      </c>
      <c r="AS693" s="433"/>
      <c r="AT693" s="966" t="s">
        <v>3928</v>
      </c>
      <c r="AU693" s="964"/>
      <c r="AV693" s="301"/>
    </row>
    <row r="694" spans="3:48" ht="30" x14ac:dyDescent="0.25">
      <c r="C694" s="867">
        <v>57</v>
      </c>
      <c r="D694" s="867"/>
      <c r="E694" s="868" t="s">
        <v>4347</v>
      </c>
      <c r="F694" s="441" t="s">
        <v>3573</v>
      </c>
      <c r="G694" s="893">
        <v>901017183</v>
      </c>
      <c r="H694" s="1005" t="s">
        <v>3574</v>
      </c>
      <c r="I694" s="93">
        <v>870000</v>
      </c>
      <c r="J694" s="873" t="s">
        <v>4823</v>
      </c>
      <c r="K694" s="295">
        <v>2018</v>
      </c>
      <c r="L694" s="546">
        <v>43381</v>
      </c>
      <c r="M694" s="546">
        <v>43437</v>
      </c>
      <c r="N694" s="546">
        <v>43801</v>
      </c>
      <c r="O694" s="127">
        <f>COUNTA(Modificaciones!I680,Modificaciones!K680,Modificaciones!M680,Modificaciones!O680)</f>
        <v>0</v>
      </c>
      <c r="P694" s="128">
        <f>VLOOKUP(E694,Modificaciones!$B$7:$Q$1819,16,0)</f>
        <v>0</v>
      </c>
      <c r="Q694" s="129">
        <f>COUNTA(Modificaciones!S694,Modificaciones!U694,Modificaciones!W694,Modificaciones!Y694)</f>
        <v>0</v>
      </c>
      <c r="R694" s="130" t="str">
        <f>IF(Modificaciones!Z694=0,"",VLOOKUP(E694,Modificaciones!$B$7:$AA$1419,25,0))</f>
        <v/>
      </c>
      <c r="S694" s="131" t="str">
        <f>IF(Modificaciones!AA694=0,"",VLOOKUP(E694,Modificaciones!$B$7:$AA$1419,26,0))</f>
        <v/>
      </c>
      <c r="T694" s="855">
        <f t="shared" si="158"/>
        <v>43801</v>
      </c>
      <c r="U694" s="62">
        <f t="shared" si="159"/>
        <v>870000</v>
      </c>
      <c r="V694" s="172">
        <f>VLOOKUP(E694,Modificaciones!$B$7:$AU$819,46,0)</f>
        <v>870000</v>
      </c>
      <c r="W694" s="93">
        <f t="shared" si="160"/>
        <v>0</v>
      </c>
      <c r="X694" s="309" t="s">
        <v>2114</v>
      </c>
      <c r="Y694" s="852">
        <f t="shared" si="161"/>
        <v>1</v>
      </c>
      <c r="Z694" s="42">
        <f t="shared" ca="1" si="162"/>
        <v>0.56593406593406592</v>
      </c>
      <c r="AA694" s="43">
        <f t="shared" ca="1" si="163"/>
        <v>-0.43406593406593408</v>
      </c>
      <c r="AB694" s="202">
        <f t="shared" ca="1" si="164"/>
        <v>158</v>
      </c>
      <c r="AC694" s="44" t="str">
        <f t="shared" si="165"/>
        <v>SI</v>
      </c>
      <c r="AD694" s="760" t="s">
        <v>1714</v>
      </c>
      <c r="AE694" s="173" t="s">
        <v>1256</v>
      </c>
      <c r="AF694" s="281" t="s">
        <v>1125</v>
      </c>
      <c r="AG694" s="173" t="s">
        <v>1430</v>
      </c>
      <c r="AH694" s="281" t="s">
        <v>564</v>
      </c>
      <c r="AI694" s="868"/>
      <c r="AJ694" s="305" t="s">
        <v>2834</v>
      </c>
      <c r="AK694" s="181" t="str">
        <f t="shared" ca="1" si="166"/>
        <v>EN EJECUCIÓN</v>
      </c>
      <c r="AL694" s="310" t="s">
        <v>582</v>
      </c>
      <c r="AM694" s="433" t="s">
        <v>391</v>
      </c>
      <c r="AN694" s="848" t="str">
        <f>IFERROR(VLOOKUP(E694,'liquidaciones '!$B$2:$C$1048576,2,0),"NO")</f>
        <v>NO</v>
      </c>
      <c r="AO694" s="944" t="str">
        <f>IFERROR(VLOOKUP(E694,'liquidaciones '!$B$2:$I$1048576,8,0),"")</f>
        <v/>
      </c>
      <c r="AP694" s="433"/>
      <c r="AQ694" s="433" t="s">
        <v>390</v>
      </c>
      <c r="AR694" s="433" t="s">
        <v>4820</v>
      </c>
      <c r="AS694" s="433"/>
      <c r="AT694" s="966" t="s">
        <v>3928</v>
      </c>
      <c r="AU694" s="964"/>
      <c r="AV694" s="301"/>
    </row>
    <row r="695" spans="3:48" ht="45" x14ac:dyDescent="0.25">
      <c r="C695" s="867"/>
      <c r="D695" s="867"/>
      <c r="E695" s="868" t="s">
        <v>4350</v>
      </c>
      <c r="F695" s="441" t="s">
        <v>3728</v>
      </c>
      <c r="G695" s="893">
        <v>860049921</v>
      </c>
      <c r="H695" s="1005" t="s">
        <v>4351</v>
      </c>
      <c r="I695" s="93">
        <v>11305000</v>
      </c>
      <c r="J695" s="873" t="s">
        <v>4354</v>
      </c>
      <c r="K695" s="295">
        <v>2018</v>
      </c>
      <c r="L695" s="546">
        <v>43362</v>
      </c>
      <c r="M695" s="546">
        <v>43391</v>
      </c>
      <c r="N695" s="546">
        <v>43513</v>
      </c>
      <c r="O695" s="127">
        <f>COUNTA(Modificaciones!I681,Modificaciones!K681,Modificaciones!M681,Modificaciones!O681)</f>
        <v>1</v>
      </c>
      <c r="P695" s="128">
        <f>VLOOKUP(E695,Modificaciones!$B$7:$Q$1819,16,0)</f>
        <v>0</v>
      </c>
      <c r="Q695" s="129">
        <f>COUNTA(Modificaciones!S695,Modificaciones!U695,Modificaciones!W695,Modificaciones!Y695)</f>
        <v>0</v>
      </c>
      <c r="R695" s="130" t="str">
        <f>IF(Modificaciones!Z695=0,"",VLOOKUP(E695,Modificaciones!$B$7:$AA$1419,25,0))</f>
        <v/>
      </c>
      <c r="S695" s="131" t="str">
        <f>IF(Modificaciones!AA695=0,"",VLOOKUP(E695,Modificaciones!$B$7:$AA$1419,26,0))</f>
        <v/>
      </c>
      <c r="T695" s="855">
        <f t="shared" si="158"/>
        <v>43513</v>
      </c>
      <c r="U695" s="62">
        <f t="shared" si="159"/>
        <v>11305000</v>
      </c>
      <c r="V695" s="172">
        <f>VLOOKUP(E695,Modificaciones!$B$7:$AU$819,46,0)</f>
        <v>0</v>
      </c>
      <c r="W695" s="93">
        <f t="shared" si="160"/>
        <v>11305000</v>
      </c>
      <c r="X695" s="309" t="s">
        <v>4352</v>
      </c>
      <c r="Y695" s="852">
        <f t="shared" si="161"/>
        <v>0</v>
      </c>
      <c r="Z695" s="42">
        <f t="shared" ca="1" si="162"/>
        <v>1</v>
      </c>
      <c r="AA695" s="43">
        <f t="shared" ca="1" si="163"/>
        <v>1</v>
      </c>
      <c r="AB695" s="202" t="str">
        <f t="shared" ca="1" si="164"/>
        <v/>
      </c>
      <c r="AC695" s="44" t="str">
        <f t="shared" si="165"/>
        <v>NO</v>
      </c>
      <c r="AD695" s="760" t="s">
        <v>1710</v>
      </c>
      <c r="AE695" s="173" t="s">
        <v>1257</v>
      </c>
      <c r="AF695" s="281" t="s">
        <v>1602</v>
      </c>
      <c r="AG695" s="173" t="s">
        <v>1439</v>
      </c>
      <c r="AH695" s="281" t="s">
        <v>560</v>
      </c>
      <c r="AI695" s="305" t="s">
        <v>1509</v>
      </c>
      <c r="AJ695" s="305" t="s">
        <v>3880</v>
      </c>
      <c r="AK695" s="181" t="str">
        <f t="shared" ca="1" si="166"/>
        <v>TERMINO</v>
      </c>
      <c r="AL695" s="181" t="s">
        <v>576</v>
      </c>
      <c r="AM695" s="433" t="s">
        <v>390</v>
      </c>
      <c r="AN695" s="848" t="str">
        <f>IFERROR(VLOOKUP(E695,'liquidaciones '!$B$2:$C$1048576,2,0),"NO")</f>
        <v>NO</v>
      </c>
      <c r="AO695" s="944" t="str">
        <f>IFERROR(VLOOKUP(E695,'liquidaciones '!$B$2:$I$1048576,8,0),"")</f>
        <v/>
      </c>
      <c r="AP695" s="433"/>
      <c r="AQ695" s="433" t="s">
        <v>390</v>
      </c>
      <c r="AR695" s="1015" t="s">
        <v>4219</v>
      </c>
      <c r="AS695" s="433" t="s">
        <v>3785</v>
      </c>
      <c r="AT695" s="966" t="s">
        <v>560</v>
      </c>
      <c r="AU695" s="964"/>
      <c r="AV695" s="301"/>
    </row>
    <row r="696" spans="3:48" ht="202.5" x14ac:dyDescent="0.25">
      <c r="C696" s="867">
        <v>183</v>
      </c>
      <c r="D696" s="867"/>
      <c r="E696" s="868" t="s">
        <v>4355</v>
      </c>
      <c r="F696" s="441" t="s">
        <v>4356</v>
      </c>
      <c r="G696" s="893" t="s">
        <v>4357</v>
      </c>
      <c r="H696" s="1005" t="s">
        <v>4358</v>
      </c>
      <c r="I696" s="93">
        <v>455925360</v>
      </c>
      <c r="J696" s="873" t="s">
        <v>4578</v>
      </c>
      <c r="K696" s="295">
        <v>2018</v>
      </c>
      <c r="L696" s="546">
        <v>43390</v>
      </c>
      <c r="M696" s="546">
        <v>43396</v>
      </c>
      <c r="N696" s="546">
        <v>43607</v>
      </c>
      <c r="O696" s="127">
        <f>COUNTA(Modificaciones!I682,Modificaciones!K682,Modificaciones!M682,Modificaciones!O682)</f>
        <v>0</v>
      </c>
      <c r="P696" s="128">
        <f>VLOOKUP(E696,Modificaciones!$B$7:$Q$1819,16,0)</f>
        <v>0</v>
      </c>
      <c r="Q696" s="129">
        <f>COUNTA(Modificaciones!S696,Modificaciones!U696,Modificaciones!W696,Modificaciones!Y696)</f>
        <v>1</v>
      </c>
      <c r="R696" s="130" t="str">
        <f>IF(Modificaciones!Z696=0,"",VLOOKUP(E696,Modificaciones!$B$7:$AA$1419,25,0))</f>
        <v>20 días</v>
      </c>
      <c r="S696" s="131">
        <f>IF(Modificaciones!AA696=0,"",VLOOKUP(E696,Modificaciones!$B$7:$AA$1419,26,0))</f>
        <v>43627</v>
      </c>
      <c r="T696" s="855">
        <f t="shared" si="158"/>
        <v>43627</v>
      </c>
      <c r="U696" s="62">
        <f t="shared" si="159"/>
        <v>455925360</v>
      </c>
      <c r="V696" s="172">
        <f>VLOOKUP(E696,Modificaciones!$B$7:$AU$819,46,0)</f>
        <v>330887989</v>
      </c>
      <c r="W696" s="93">
        <f t="shared" si="160"/>
        <v>125037371</v>
      </c>
      <c r="X696" s="899" t="s">
        <v>4669</v>
      </c>
      <c r="Y696" s="852">
        <f t="shared" si="161"/>
        <v>0.72575034869742716</v>
      </c>
      <c r="Z696" s="42">
        <f t="shared" ca="1" si="162"/>
        <v>1</v>
      </c>
      <c r="AA696" s="43">
        <f t="shared" ca="1" si="163"/>
        <v>0.27424965130257284</v>
      </c>
      <c r="AB696" s="202" t="str">
        <f t="shared" ca="1" si="164"/>
        <v/>
      </c>
      <c r="AC696" s="44" t="str">
        <f t="shared" si="165"/>
        <v>NO</v>
      </c>
      <c r="AD696" s="760" t="s">
        <v>1710</v>
      </c>
      <c r="AE696" s="173" t="s">
        <v>1257</v>
      </c>
      <c r="AF696" s="281" t="s">
        <v>2184</v>
      </c>
      <c r="AG696" s="173" t="s">
        <v>1439</v>
      </c>
      <c r="AH696" s="281" t="s">
        <v>560</v>
      </c>
      <c r="AI696" s="305" t="s">
        <v>1509</v>
      </c>
      <c r="AJ696" s="305" t="s">
        <v>3880</v>
      </c>
      <c r="AK696" s="181" t="str">
        <f t="shared" ca="1" si="166"/>
        <v>TERMINO</v>
      </c>
      <c r="AL696" s="441"/>
      <c r="AM696" s="433" t="s">
        <v>390</v>
      </c>
      <c r="AN696" s="848" t="str">
        <f>IFERROR(VLOOKUP(E696,'liquidaciones '!$B$2:$C$1048576,2,0),"NO")</f>
        <v>NO</v>
      </c>
      <c r="AO696" s="944" t="str">
        <f>IFERROR(VLOOKUP(E696,'liquidaciones '!$B$2:$I$1048576,8,0),"")</f>
        <v/>
      </c>
      <c r="AP696" s="433"/>
      <c r="AQ696" s="433" t="s">
        <v>390</v>
      </c>
      <c r="AR696" s="177" t="s">
        <v>4219</v>
      </c>
      <c r="AS696" s="433" t="s">
        <v>3785</v>
      </c>
      <c r="AT696" s="966" t="s">
        <v>560</v>
      </c>
      <c r="AU696" s="964"/>
      <c r="AV696" s="301" t="s">
        <v>4796</v>
      </c>
    </row>
    <row r="697" spans="3:48" ht="30" x14ac:dyDescent="0.25">
      <c r="C697" s="867"/>
      <c r="D697" s="867"/>
      <c r="E697" s="868" t="s">
        <v>4359</v>
      </c>
      <c r="F697" s="441" t="s">
        <v>2244</v>
      </c>
      <c r="G697" s="893" t="s">
        <v>4360</v>
      </c>
      <c r="H697" s="1005" t="s">
        <v>4361</v>
      </c>
      <c r="I697" s="93">
        <v>77878170</v>
      </c>
      <c r="J697" s="873" t="s">
        <v>4365</v>
      </c>
      <c r="K697" s="295">
        <v>2018</v>
      </c>
      <c r="L697" s="546">
        <v>43389</v>
      </c>
      <c r="M697" s="546">
        <v>43396</v>
      </c>
      <c r="N697" s="546">
        <v>43760</v>
      </c>
      <c r="O697" s="127">
        <f>COUNTA(Modificaciones!I683,Modificaciones!K683,Modificaciones!M683,Modificaciones!O683)</f>
        <v>0</v>
      </c>
      <c r="P697" s="128">
        <f>VLOOKUP(E697,Modificaciones!$B$7:$Q$1819,16,0)</f>
        <v>0</v>
      </c>
      <c r="Q697" s="129">
        <f>COUNTA(Modificaciones!S697,Modificaciones!U697,Modificaciones!W697,Modificaciones!Y697)</f>
        <v>0</v>
      </c>
      <c r="R697" s="130" t="str">
        <f>IF(Modificaciones!Z697=0,"",VLOOKUP(E697,Modificaciones!$B$7:$AA$1419,25,0))</f>
        <v/>
      </c>
      <c r="S697" s="131" t="str">
        <f>IF(Modificaciones!AA697=0,"",VLOOKUP(E697,Modificaciones!$B$7:$AA$1419,26,0))</f>
        <v/>
      </c>
      <c r="T697" s="855">
        <f t="shared" si="158"/>
        <v>43760</v>
      </c>
      <c r="U697" s="62">
        <f t="shared" si="159"/>
        <v>77878170</v>
      </c>
      <c r="V697" s="172">
        <f>VLOOKUP(E697,Modificaciones!$B$7:$AU$819,46,0)</f>
        <v>77878170</v>
      </c>
      <c r="W697" s="93">
        <f t="shared" si="160"/>
        <v>0</v>
      </c>
      <c r="X697" s="309" t="s">
        <v>4362</v>
      </c>
      <c r="Y697" s="852">
        <f t="shared" si="161"/>
        <v>1</v>
      </c>
      <c r="Z697" s="42">
        <f t="shared" ca="1" si="162"/>
        <v>0.6785714285714286</v>
      </c>
      <c r="AA697" s="43">
        <f t="shared" ca="1" si="163"/>
        <v>-0.3214285714285714</v>
      </c>
      <c r="AB697" s="202">
        <f t="shared" ca="1" si="164"/>
        <v>117</v>
      </c>
      <c r="AC697" s="44" t="str">
        <f t="shared" si="165"/>
        <v>SI</v>
      </c>
      <c r="AD697" s="760" t="s">
        <v>1710</v>
      </c>
      <c r="AE697" s="173" t="s">
        <v>1257</v>
      </c>
      <c r="AF697" s="281" t="s">
        <v>4363</v>
      </c>
      <c r="AG697" s="173" t="s">
        <v>1439</v>
      </c>
      <c r="AH697" s="281" t="s">
        <v>560</v>
      </c>
      <c r="AI697" s="305" t="s">
        <v>1509</v>
      </c>
      <c r="AJ697" s="305" t="s">
        <v>3880</v>
      </c>
      <c r="AK697" s="181" t="str">
        <f t="shared" ca="1" si="166"/>
        <v>EN EJECUCIÓN</v>
      </c>
      <c r="AL697" s="181" t="s">
        <v>576</v>
      </c>
      <c r="AM697" s="433" t="s">
        <v>390</v>
      </c>
      <c r="AN697" s="848" t="str">
        <f>IFERROR(VLOOKUP(E697,'liquidaciones '!$B$2:$C$1048576,2,0),"NO")</f>
        <v>NO</v>
      </c>
      <c r="AO697" s="944" t="str">
        <f>IFERROR(VLOOKUP(E697,'liquidaciones '!$B$2:$I$1048576,8,0),"")</f>
        <v/>
      </c>
      <c r="AP697" s="433"/>
      <c r="AQ697" s="433" t="s">
        <v>390</v>
      </c>
      <c r="AR697" s="177" t="s">
        <v>4219</v>
      </c>
      <c r="AS697" s="433" t="s">
        <v>3785</v>
      </c>
      <c r="AT697" s="966" t="s">
        <v>560</v>
      </c>
      <c r="AU697" s="964"/>
      <c r="AV697" s="301"/>
    </row>
    <row r="698" spans="3:48" ht="112.5" x14ac:dyDescent="0.25">
      <c r="C698" s="867">
        <v>199</v>
      </c>
      <c r="D698" s="867"/>
      <c r="E698" s="868" t="s">
        <v>4364</v>
      </c>
      <c r="F698" s="441" t="s">
        <v>22</v>
      </c>
      <c r="G698" s="893">
        <v>830112518</v>
      </c>
      <c r="H698" s="1019" t="s">
        <v>2950</v>
      </c>
      <c r="I698" s="93">
        <v>32011000</v>
      </c>
      <c r="J698" s="873" t="s">
        <v>4561</v>
      </c>
      <c r="K698" s="295">
        <v>2018</v>
      </c>
      <c r="L698" s="546">
        <v>43385</v>
      </c>
      <c r="M698" s="546">
        <v>43396</v>
      </c>
      <c r="N698" s="546">
        <v>43607</v>
      </c>
      <c r="O698" s="127">
        <f>COUNTA(Modificaciones!I684,Modificaciones!K684,Modificaciones!M684,Modificaciones!O684)</f>
        <v>0</v>
      </c>
      <c r="P698" s="128">
        <f>VLOOKUP(E698,Modificaciones!$B$7:$Q$1819,16,0)</f>
        <v>0</v>
      </c>
      <c r="Q698" s="129">
        <f>COUNTA(Modificaciones!S698,Modificaciones!U698,Modificaciones!W698,Modificaciones!Y698)</f>
        <v>0</v>
      </c>
      <c r="R698" s="130" t="str">
        <f>IF(Modificaciones!Z698=0,"",VLOOKUP(E698,Modificaciones!$B$7:$AA$1419,25,0))</f>
        <v/>
      </c>
      <c r="S698" s="131" t="str">
        <f>IF(Modificaciones!AA698=0,"",VLOOKUP(E698,Modificaciones!$B$7:$AA$1419,26,0))</f>
        <v/>
      </c>
      <c r="T698" s="855">
        <f t="shared" si="158"/>
        <v>43607</v>
      </c>
      <c r="U698" s="62">
        <f t="shared" si="159"/>
        <v>32011000</v>
      </c>
      <c r="V698" s="172">
        <f>VLOOKUP(E698,Modificaciones!$B$7:$AU$819,46,0)</f>
        <v>32011000</v>
      </c>
      <c r="W698" s="93">
        <f t="shared" si="160"/>
        <v>0</v>
      </c>
      <c r="X698" s="314" t="s">
        <v>2951</v>
      </c>
      <c r="Y698" s="852">
        <f t="shared" si="161"/>
        <v>1</v>
      </c>
      <c r="Z698" s="42">
        <f t="shared" ca="1" si="162"/>
        <v>1</v>
      </c>
      <c r="AA698" s="43">
        <f t="shared" ca="1" si="163"/>
        <v>0</v>
      </c>
      <c r="AB698" s="202" t="str">
        <f t="shared" ca="1" si="164"/>
        <v/>
      </c>
      <c r="AC698" s="44" t="str">
        <f t="shared" si="165"/>
        <v>SI</v>
      </c>
      <c r="AD698" s="868"/>
      <c r="AE698" s="173" t="s">
        <v>1257</v>
      </c>
      <c r="AF698" s="173" t="s">
        <v>1174</v>
      </c>
      <c r="AG698" s="173" t="s">
        <v>1439</v>
      </c>
      <c r="AH698" s="281" t="s">
        <v>560</v>
      </c>
      <c r="AI698" s="174" t="s">
        <v>1509</v>
      </c>
      <c r="AJ698" s="305" t="s">
        <v>3880</v>
      </c>
      <c r="AK698" s="181" t="str">
        <f t="shared" ca="1" si="166"/>
        <v>TERMINO</v>
      </c>
      <c r="AL698" s="181" t="s">
        <v>582</v>
      </c>
      <c r="AM698" s="176" t="s">
        <v>390</v>
      </c>
      <c r="AN698" s="848" t="str">
        <f>IFERROR(VLOOKUP(E698,'liquidaciones '!$B$2:$C$1048576,2,0),"NO")</f>
        <v>NO</v>
      </c>
      <c r="AO698" s="944" t="str">
        <f>IFERROR(VLOOKUP(E698,'liquidaciones '!$B$2:$I$1048576,8,0),"")</f>
        <v/>
      </c>
      <c r="AP698" s="433"/>
      <c r="AQ698" s="177" t="s">
        <v>390</v>
      </c>
      <c r="AR698" s="433" t="s">
        <v>4219</v>
      </c>
      <c r="AS698" s="433" t="s">
        <v>3785</v>
      </c>
      <c r="AT698" s="966" t="s">
        <v>560</v>
      </c>
      <c r="AU698" s="964"/>
      <c r="AV698" s="301" t="s">
        <v>4877</v>
      </c>
    </row>
    <row r="699" spans="3:48" ht="45" x14ac:dyDescent="0.25">
      <c r="C699" s="867">
        <v>63</v>
      </c>
      <c r="D699" s="867"/>
      <c r="E699" s="868" t="s">
        <v>4366</v>
      </c>
      <c r="F699" s="441" t="s">
        <v>4367</v>
      </c>
      <c r="G699" s="893" t="s">
        <v>1627</v>
      </c>
      <c r="H699" s="1003" t="s">
        <v>4368</v>
      </c>
      <c r="I699" s="93">
        <v>1800000</v>
      </c>
      <c r="J699" s="873" t="s">
        <v>4369</v>
      </c>
      <c r="K699" s="295">
        <v>2018</v>
      </c>
      <c r="L699" s="546">
        <v>43390</v>
      </c>
      <c r="M699" s="546">
        <v>43397</v>
      </c>
      <c r="N699" s="546">
        <v>43761</v>
      </c>
      <c r="O699" s="127">
        <f>COUNTA(Modificaciones!I685,Modificaciones!K685,Modificaciones!M685,Modificaciones!O685)</f>
        <v>0</v>
      </c>
      <c r="P699" s="128">
        <f>VLOOKUP(E699,Modificaciones!$B$7:$Q$1819,16,0)</f>
        <v>0</v>
      </c>
      <c r="Q699" s="129">
        <f>COUNTA(Modificaciones!S699,Modificaciones!U699,Modificaciones!W699,Modificaciones!Y699)</f>
        <v>0</v>
      </c>
      <c r="R699" s="130" t="str">
        <f>IF(Modificaciones!Z699=0,"",VLOOKUP(E699,Modificaciones!$B$7:$AA$1419,25,0))</f>
        <v/>
      </c>
      <c r="S699" s="131" t="str">
        <f>IF(Modificaciones!AA699=0,"",VLOOKUP(E699,Modificaciones!$B$7:$AA$1419,26,0))</f>
        <v/>
      </c>
      <c r="T699" s="855">
        <f t="shared" si="158"/>
        <v>43761</v>
      </c>
      <c r="U699" s="62">
        <f t="shared" si="159"/>
        <v>1800000</v>
      </c>
      <c r="V699" s="172">
        <f>VLOOKUP(E699,Modificaciones!$B$7:$AU$819,46,0)</f>
        <v>0</v>
      </c>
      <c r="W699" s="93">
        <f t="shared" si="160"/>
        <v>1800000</v>
      </c>
      <c r="X699" s="309" t="s">
        <v>1629</v>
      </c>
      <c r="Y699" s="852">
        <f t="shared" si="161"/>
        <v>0</v>
      </c>
      <c r="Z699" s="42">
        <f t="shared" ca="1" si="162"/>
        <v>0.67582417582417587</v>
      </c>
      <c r="AA699" s="43">
        <f t="shared" ca="1" si="163"/>
        <v>0.67582417582417587</v>
      </c>
      <c r="AB699" s="202">
        <f t="shared" ca="1" si="164"/>
        <v>118</v>
      </c>
      <c r="AC699" s="44" t="str">
        <f t="shared" si="165"/>
        <v>NO</v>
      </c>
      <c r="AD699" s="868"/>
      <c r="AE699" s="173" t="s">
        <v>1256</v>
      </c>
      <c r="AF699" s="281" t="s">
        <v>1282</v>
      </c>
      <c r="AG699" s="173"/>
      <c r="AH699" s="281" t="s">
        <v>560</v>
      </c>
      <c r="AI699" s="305"/>
      <c r="AJ699" s="305" t="s">
        <v>3993</v>
      </c>
      <c r="AK699" s="181" t="str">
        <f t="shared" ca="1" si="166"/>
        <v>EN EJECUCIÓN</v>
      </c>
      <c r="AL699" s="310" t="s">
        <v>576</v>
      </c>
      <c r="AM699" s="433" t="s">
        <v>390</v>
      </c>
      <c r="AN699" s="848" t="str">
        <f>IFERROR(VLOOKUP(E699,'liquidaciones '!$B$2:$C$1048576,2,0),"NO")</f>
        <v>NO</v>
      </c>
      <c r="AO699" s="944" t="str">
        <f>IFERROR(VLOOKUP(E699,'liquidaciones '!$B$2:$I$1048576,8,0),"")</f>
        <v/>
      </c>
      <c r="AP699" s="433"/>
      <c r="AQ699" s="433" t="s">
        <v>390</v>
      </c>
      <c r="AR699" s="177" t="s">
        <v>4818</v>
      </c>
      <c r="AS699" s="433"/>
      <c r="AT699" s="966" t="s">
        <v>3994</v>
      </c>
      <c r="AU699" s="964"/>
      <c r="AV699" s="301"/>
    </row>
    <row r="700" spans="3:48" ht="42.75" customHeight="1" x14ac:dyDescent="0.25">
      <c r="C700" s="867">
        <v>135</v>
      </c>
      <c r="D700" s="867"/>
      <c r="E700" s="868" t="s">
        <v>4370</v>
      </c>
      <c r="F700" s="441" t="s">
        <v>4371</v>
      </c>
      <c r="G700" s="893">
        <v>900349363</v>
      </c>
      <c r="H700" s="1005" t="s">
        <v>4372</v>
      </c>
      <c r="I700" s="93">
        <v>13629367</v>
      </c>
      <c r="J700" s="873" t="s">
        <v>4373</v>
      </c>
      <c r="K700" s="295">
        <v>2018</v>
      </c>
      <c r="L700" s="546">
        <v>43385</v>
      </c>
      <c r="M700" s="546">
        <v>43399</v>
      </c>
      <c r="N700" s="546">
        <v>43490</v>
      </c>
      <c r="O700" s="127">
        <f>COUNTA(Modificaciones!I686,Modificaciones!K686,Modificaciones!M686,Modificaciones!O686)</f>
        <v>0</v>
      </c>
      <c r="P700" s="128">
        <f>VLOOKUP(E700,Modificaciones!$B$7:$Q$1819,16,0)</f>
        <v>0</v>
      </c>
      <c r="Q700" s="129">
        <f>COUNTA(Modificaciones!S700,Modificaciones!U700,Modificaciones!W700,Modificaciones!Y700)</f>
        <v>0</v>
      </c>
      <c r="R700" s="130" t="str">
        <f>IF(Modificaciones!Z700=0,"",VLOOKUP(E700,Modificaciones!$B$7:$AA$1419,25,0))</f>
        <v/>
      </c>
      <c r="S700" s="131" t="str">
        <f>IF(Modificaciones!AA700=0,"",VLOOKUP(E700,Modificaciones!$B$7:$AA$1419,26,0))</f>
        <v/>
      </c>
      <c r="T700" s="855">
        <f t="shared" si="158"/>
        <v>43490</v>
      </c>
      <c r="U700" s="62">
        <f t="shared" si="159"/>
        <v>13629367</v>
      </c>
      <c r="V700" s="172">
        <f>VLOOKUP(E700,Modificaciones!$B$7:$AU$819,46,0)</f>
        <v>10989707</v>
      </c>
      <c r="W700" s="93">
        <f t="shared" si="160"/>
        <v>2639660</v>
      </c>
      <c r="X700" s="309" t="s">
        <v>1895</v>
      </c>
      <c r="Y700" s="852">
        <f t="shared" si="161"/>
        <v>0.80632556156129631</v>
      </c>
      <c r="Z700" s="42">
        <f t="shared" ca="1" si="162"/>
        <v>1</v>
      </c>
      <c r="AA700" s="43">
        <f t="shared" ca="1" si="163"/>
        <v>0.19367443843870369</v>
      </c>
      <c r="AB700" s="202" t="str">
        <f t="shared" ca="1" si="164"/>
        <v/>
      </c>
      <c r="AC700" s="44" t="str">
        <f t="shared" si="165"/>
        <v>NO</v>
      </c>
      <c r="AD700" s="760" t="s">
        <v>1712</v>
      </c>
      <c r="AE700" s="173" t="s">
        <v>1256</v>
      </c>
      <c r="AF700" s="281" t="s">
        <v>1302</v>
      </c>
      <c r="AG700" s="173" t="s">
        <v>1435</v>
      </c>
      <c r="AH700" s="281" t="s">
        <v>560</v>
      </c>
      <c r="AI700" s="433" t="s">
        <v>4343</v>
      </c>
      <c r="AJ700" s="305" t="s">
        <v>3880</v>
      </c>
      <c r="AK700" s="181" t="str">
        <f t="shared" ca="1" si="166"/>
        <v>TERMINO</v>
      </c>
      <c r="AL700" s="310" t="s">
        <v>576</v>
      </c>
      <c r="AM700" s="433" t="s">
        <v>391</v>
      </c>
      <c r="AN700" s="848" t="str">
        <f>IFERROR(VLOOKUP(E700,'liquidaciones '!$B$2:$C$1048576,2,0),"NO")</f>
        <v>NO</v>
      </c>
      <c r="AO700" s="944" t="str">
        <f>IFERROR(VLOOKUP(E700,'liquidaciones '!$B$2:$I$1048576,8,0),"")</f>
        <v/>
      </c>
      <c r="AP700" s="433"/>
      <c r="AQ700" s="433" t="s">
        <v>390</v>
      </c>
      <c r="AR700" s="433" t="s">
        <v>4820</v>
      </c>
      <c r="AS700" s="433" t="s">
        <v>4343</v>
      </c>
      <c r="AT700" s="966" t="s">
        <v>560</v>
      </c>
      <c r="AU700" s="964"/>
      <c r="AV700" s="301" t="s">
        <v>4934</v>
      </c>
    </row>
    <row r="701" spans="3:48" ht="45.75" customHeight="1" x14ac:dyDescent="0.25">
      <c r="C701" s="867"/>
      <c r="D701" s="867"/>
      <c r="E701" s="868" t="s">
        <v>4374</v>
      </c>
      <c r="F701" s="441" t="s">
        <v>4375</v>
      </c>
      <c r="G701" s="893" t="s">
        <v>4376</v>
      </c>
      <c r="H701" s="1005" t="s">
        <v>4377</v>
      </c>
      <c r="I701" s="93">
        <v>14648124</v>
      </c>
      <c r="J701" s="873" t="s">
        <v>4385</v>
      </c>
      <c r="K701" s="295">
        <v>2018</v>
      </c>
      <c r="L701" s="546">
        <v>43397</v>
      </c>
      <c r="M701" s="546">
        <v>43397</v>
      </c>
      <c r="N701" s="546">
        <v>43404</v>
      </c>
      <c r="O701" s="127">
        <f>COUNTA(Modificaciones!I687,Modificaciones!K687,Modificaciones!M687,Modificaciones!O687)</f>
        <v>0</v>
      </c>
      <c r="P701" s="128">
        <f>VLOOKUP(E701,Modificaciones!$B$7:$Q$1819,16,0)</f>
        <v>0</v>
      </c>
      <c r="Q701" s="129">
        <f>COUNTA(Modificaciones!S701,Modificaciones!U701,Modificaciones!W701,Modificaciones!Y701)</f>
        <v>0</v>
      </c>
      <c r="R701" s="130" t="str">
        <f>IF(Modificaciones!Z701=0,"",VLOOKUP(E701,Modificaciones!$B$7:$AA$1419,25,0))</f>
        <v/>
      </c>
      <c r="S701" s="131" t="str">
        <f>IF(Modificaciones!AA701=0,"",VLOOKUP(E701,Modificaciones!$B$7:$AA$1419,26,0))</f>
        <v/>
      </c>
      <c r="T701" s="855">
        <f t="shared" si="158"/>
        <v>43404</v>
      </c>
      <c r="U701" s="62">
        <f t="shared" si="159"/>
        <v>14648124</v>
      </c>
      <c r="V701" s="172">
        <f>VLOOKUP(E701,Modificaciones!$B$7:$AU$819,46,0)</f>
        <v>14648124</v>
      </c>
      <c r="W701" s="93">
        <f t="shared" si="160"/>
        <v>0</v>
      </c>
      <c r="X701" s="309" t="s">
        <v>1895</v>
      </c>
      <c r="Y701" s="852">
        <f t="shared" si="161"/>
        <v>1</v>
      </c>
      <c r="Z701" s="42">
        <f t="shared" ca="1" si="162"/>
        <v>1</v>
      </c>
      <c r="AA701" s="43">
        <f t="shared" ca="1" si="163"/>
        <v>0</v>
      </c>
      <c r="AB701" s="202" t="str">
        <f t="shared" ca="1" si="164"/>
        <v/>
      </c>
      <c r="AC701" s="44" t="str">
        <f t="shared" si="165"/>
        <v>SI</v>
      </c>
      <c r="AD701" s="868" t="s">
        <v>1712</v>
      </c>
      <c r="AE701" s="871" t="s">
        <v>1257</v>
      </c>
      <c r="AF701" s="871" t="s">
        <v>4218</v>
      </c>
      <c r="AG701" s="173" t="s">
        <v>1439</v>
      </c>
      <c r="AH701" s="281" t="s">
        <v>560</v>
      </c>
      <c r="AI701" s="868" t="s">
        <v>1509</v>
      </c>
      <c r="AJ701" s="305" t="s">
        <v>3880</v>
      </c>
      <c r="AK701" s="181" t="str">
        <f t="shared" ca="1" si="166"/>
        <v>TERMINO</v>
      </c>
      <c r="AL701" s="310" t="s">
        <v>2726</v>
      </c>
      <c r="AM701" s="433"/>
      <c r="AN701" s="848" t="str">
        <f>IFERROR(VLOOKUP(E701,'liquidaciones '!$B$2:$C$1048576,2,0),"NO")</f>
        <v>NO</v>
      </c>
      <c r="AO701" s="944" t="str">
        <f>IFERROR(VLOOKUP(E701,'liquidaciones '!$B$2:$I$1048576,8,0),"")</f>
        <v/>
      </c>
      <c r="AP701" s="433"/>
      <c r="AQ701" s="433" t="s">
        <v>390</v>
      </c>
      <c r="AR701" s="1015" t="s">
        <v>4219</v>
      </c>
      <c r="AS701" s="433" t="s">
        <v>3785</v>
      </c>
      <c r="AT701" s="966" t="s">
        <v>560</v>
      </c>
      <c r="AU701" s="964"/>
      <c r="AV701" s="301"/>
    </row>
    <row r="702" spans="3:48" ht="33.75" x14ac:dyDescent="0.25">
      <c r="C702" s="867"/>
      <c r="D702" s="867"/>
      <c r="E702" s="868" t="s">
        <v>4378</v>
      </c>
      <c r="F702" s="441" t="s">
        <v>3900</v>
      </c>
      <c r="G702" s="893" t="s">
        <v>3901</v>
      </c>
      <c r="H702" s="1005" t="s">
        <v>4379</v>
      </c>
      <c r="I702" s="93">
        <v>16025870</v>
      </c>
      <c r="J702" s="873" t="s">
        <v>4384</v>
      </c>
      <c r="K702" s="295">
        <v>2018</v>
      </c>
      <c r="L702" s="546">
        <v>43397</v>
      </c>
      <c r="M702" s="546">
        <v>43397</v>
      </c>
      <c r="N702" s="546">
        <v>43404</v>
      </c>
      <c r="O702" s="127">
        <f>COUNTA(Modificaciones!I688,Modificaciones!K688,Modificaciones!M688,Modificaciones!O688)</f>
        <v>0</v>
      </c>
      <c r="P702" s="128">
        <f>VLOOKUP(E702,Modificaciones!$B$7:$Q$1819,16,0)</f>
        <v>0</v>
      </c>
      <c r="Q702" s="129">
        <f>COUNTA(Modificaciones!S702,Modificaciones!U702,Modificaciones!W702,Modificaciones!Y702)</f>
        <v>0</v>
      </c>
      <c r="R702" s="130" t="str">
        <f>IF(Modificaciones!Z702=0,"",VLOOKUP(E702,Modificaciones!$B$7:$AA$1419,25,0))</f>
        <v/>
      </c>
      <c r="S702" s="131" t="str">
        <f>IF(Modificaciones!AA702=0,"",VLOOKUP(E702,Modificaciones!$B$7:$AA$1419,26,0))</f>
        <v/>
      </c>
      <c r="T702" s="855">
        <f t="shared" si="158"/>
        <v>43404</v>
      </c>
      <c r="U702" s="62">
        <f t="shared" si="159"/>
        <v>16025870</v>
      </c>
      <c r="V702" s="172">
        <f>VLOOKUP(E702,Modificaciones!$B$7:$AU$819,46,0)</f>
        <v>16025870</v>
      </c>
      <c r="W702" s="93">
        <f t="shared" si="160"/>
        <v>0</v>
      </c>
      <c r="X702" s="309" t="s">
        <v>1895</v>
      </c>
      <c r="Y702" s="852">
        <f t="shared" si="161"/>
        <v>1</v>
      </c>
      <c r="Z702" s="42">
        <f t="shared" ca="1" si="162"/>
        <v>1</v>
      </c>
      <c r="AA702" s="43">
        <f t="shared" ca="1" si="163"/>
        <v>0</v>
      </c>
      <c r="AB702" s="202" t="str">
        <f t="shared" ca="1" si="164"/>
        <v/>
      </c>
      <c r="AC702" s="44" t="str">
        <f t="shared" si="165"/>
        <v>SI</v>
      </c>
      <c r="AD702" s="868"/>
      <c r="AE702" s="871"/>
      <c r="AF702" s="281" t="s">
        <v>2747</v>
      </c>
      <c r="AG702" s="868"/>
      <c r="AH702" s="868"/>
      <c r="AI702" s="868"/>
      <c r="AJ702" s="305" t="s">
        <v>3880</v>
      </c>
      <c r="AK702" s="181" t="str">
        <f t="shared" ca="1" si="166"/>
        <v>TERMINO</v>
      </c>
      <c r="AL702" s="310" t="s">
        <v>2726</v>
      </c>
      <c r="AM702" s="433"/>
      <c r="AN702" s="848" t="str">
        <f>IFERROR(VLOOKUP(E702,'liquidaciones '!$B$2:$C$1048576,2,0),"NO")</f>
        <v>NO</v>
      </c>
      <c r="AO702" s="944" t="str">
        <f>IFERROR(VLOOKUP(E702,'liquidaciones '!$B$2:$I$1048576,8,0),"")</f>
        <v/>
      </c>
      <c r="AP702" s="433"/>
      <c r="AQ702" s="433"/>
      <c r="AR702" s="1015" t="s">
        <v>4219</v>
      </c>
      <c r="AS702" s="433"/>
      <c r="AT702" s="966" t="s">
        <v>560</v>
      </c>
      <c r="AU702" s="964"/>
      <c r="AV702" s="301"/>
    </row>
    <row r="703" spans="3:48" ht="101.25" x14ac:dyDescent="0.25">
      <c r="C703" s="867">
        <v>134</v>
      </c>
      <c r="D703" s="867"/>
      <c r="E703" s="868" t="s">
        <v>4386</v>
      </c>
      <c r="F703" s="441" t="s">
        <v>4380</v>
      </c>
      <c r="G703" s="893" t="s">
        <v>4381</v>
      </c>
      <c r="H703" s="1005" t="s">
        <v>4393</v>
      </c>
      <c r="I703" s="93">
        <v>8830300</v>
      </c>
      <c r="J703" s="873" t="s">
        <v>4383</v>
      </c>
      <c r="K703" s="295">
        <v>2018</v>
      </c>
      <c r="L703" s="546">
        <v>43383</v>
      </c>
      <c r="M703" s="546">
        <v>43402</v>
      </c>
      <c r="N703" s="546">
        <v>43524</v>
      </c>
      <c r="O703" s="127">
        <f>COUNTA(Modificaciones!I689,Modificaciones!K689,Modificaciones!M689,Modificaciones!O689)</f>
        <v>0</v>
      </c>
      <c r="P703" s="128">
        <f>VLOOKUP(E703,Modificaciones!$B$7:$Q$1819,16,0)</f>
        <v>0</v>
      </c>
      <c r="Q703" s="129">
        <f>COUNTA(Modificaciones!S703,Modificaciones!U703,Modificaciones!W703,Modificaciones!Y703)</f>
        <v>1</v>
      </c>
      <c r="R703" s="130" t="str">
        <f>IF(Modificaciones!Z703=0,"",VLOOKUP(E703,Modificaciones!$B$7:$AA$1419,25,0))</f>
        <v>15 días</v>
      </c>
      <c r="S703" s="131">
        <f>IF(Modificaciones!AA703=0,"",VLOOKUP(E703,Modificaciones!$B$7:$AA$1419,26,0))</f>
        <v>43539</v>
      </c>
      <c r="T703" s="855">
        <f t="shared" si="158"/>
        <v>43539</v>
      </c>
      <c r="U703" s="62">
        <f t="shared" si="159"/>
        <v>8830300</v>
      </c>
      <c r="V703" s="172">
        <f>VLOOKUP(E703,Modificaciones!$B$7:$AU$819,46,0)</f>
        <v>0</v>
      </c>
      <c r="W703" s="93">
        <f t="shared" si="160"/>
        <v>8830300</v>
      </c>
      <c r="X703" s="313" t="s">
        <v>4382</v>
      </c>
      <c r="Y703" s="852">
        <f t="shared" si="161"/>
        <v>0</v>
      </c>
      <c r="Z703" s="42">
        <f t="shared" ca="1" si="162"/>
        <v>1</v>
      </c>
      <c r="AA703" s="43">
        <f t="shared" ca="1" si="163"/>
        <v>1</v>
      </c>
      <c r="AB703" s="202" t="str">
        <f t="shared" ca="1" si="164"/>
        <v/>
      </c>
      <c r="AC703" s="44" t="str">
        <f t="shared" si="165"/>
        <v>NO</v>
      </c>
      <c r="AD703" s="760" t="s">
        <v>1710</v>
      </c>
      <c r="AE703" s="173" t="s">
        <v>1256</v>
      </c>
      <c r="AF703" s="173" t="s">
        <v>1300</v>
      </c>
      <c r="AG703" s="173" t="s">
        <v>1442</v>
      </c>
      <c r="AH703" s="281" t="s">
        <v>560</v>
      </c>
      <c r="AI703" s="174"/>
      <c r="AJ703" s="305" t="s">
        <v>3880</v>
      </c>
      <c r="AK703" s="181" t="str">
        <f t="shared" ca="1" si="166"/>
        <v>TERMINO</v>
      </c>
      <c r="AL703" s="310" t="s">
        <v>576</v>
      </c>
      <c r="AM703" s="433" t="s">
        <v>390</v>
      </c>
      <c r="AN703" s="848" t="str">
        <f>IFERROR(VLOOKUP(E703,'liquidaciones '!$B$2:$C$1048576,2,0),"NO")</f>
        <v>NO</v>
      </c>
      <c r="AO703" s="944" t="str">
        <f>IFERROR(VLOOKUP(E703,'liquidaciones '!$B$2:$I$1048576,8,0),"")</f>
        <v/>
      </c>
      <c r="AP703" s="433"/>
      <c r="AQ703" s="433" t="s">
        <v>390</v>
      </c>
      <c r="AR703" s="177" t="s">
        <v>4309</v>
      </c>
      <c r="AS703" s="433" t="s">
        <v>4343</v>
      </c>
      <c r="AT703" s="966" t="s">
        <v>560</v>
      </c>
      <c r="AU703" s="964"/>
      <c r="AV703" s="301" t="s">
        <v>4674</v>
      </c>
    </row>
    <row r="704" spans="3:48" ht="135" x14ac:dyDescent="0.25">
      <c r="C704" s="867"/>
      <c r="D704" s="867"/>
      <c r="E704" s="868" t="s">
        <v>4387</v>
      </c>
      <c r="F704" s="441" t="s">
        <v>4388</v>
      </c>
      <c r="G704" s="893" t="s">
        <v>4389</v>
      </c>
      <c r="H704" s="1005" t="s">
        <v>4390</v>
      </c>
      <c r="I704" s="93">
        <v>424000000</v>
      </c>
      <c r="J704" s="873" t="s">
        <v>4822</v>
      </c>
      <c r="K704" s="295">
        <v>2018</v>
      </c>
      <c r="L704" s="546">
        <v>43399</v>
      </c>
      <c r="M704" s="546">
        <v>43403</v>
      </c>
      <c r="N704" s="546">
        <v>43857</v>
      </c>
      <c r="O704" s="127">
        <f>COUNTA(Modificaciones!I690,Modificaciones!K690,Modificaciones!M690,Modificaciones!O690)</f>
        <v>1</v>
      </c>
      <c r="P704" s="128">
        <f>VLOOKUP(E704,Modificaciones!$B$7:$Q$1819,16,0)</f>
        <v>0</v>
      </c>
      <c r="Q704" s="129">
        <f>COUNTA(Modificaciones!S704,Modificaciones!U704,Modificaciones!W704,Modificaciones!Y704)</f>
        <v>0</v>
      </c>
      <c r="R704" s="130" t="str">
        <f>IF(Modificaciones!Z704=0,"",VLOOKUP(E704,Modificaciones!$B$7:$AA$1419,25,0))</f>
        <v/>
      </c>
      <c r="S704" s="131" t="str">
        <f>IF(Modificaciones!AA704=0,"",VLOOKUP(E704,Modificaciones!$B$7:$AA$1419,26,0))</f>
        <v/>
      </c>
      <c r="T704" s="855">
        <f t="shared" si="158"/>
        <v>43857</v>
      </c>
      <c r="U704" s="62">
        <f t="shared" si="159"/>
        <v>424000000</v>
      </c>
      <c r="V704" s="172">
        <f>VLOOKUP(E704,Modificaciones!$B$7:$AU$819,46,0)</f>
        <v>420033530</v>
      </c>
      <c r="W704" s="93">
        <f t="shared" si="160"/>
        <v>3966470</v>
      </c>
      <c r="X704" s="313" t="s">
        <v>4392</v>
      </c>
      <c r="Y704" s="852">
        <f t="shared" si="161"/>
        <v>0.99064511792452825</v>
      </c>
      <c r="Z704" s="42">
        <f t="shared" ca="1" si="162"/>
        <v>0.52863436123348018</v>
      </c>
      <c r="AA704" s="43">
        <f t="shared" ca="1" si="163"/>
        <v>-0.46201075669104807</v>
      </c>
      <c r="AB704" s="202">
        <f t="shared" ca="1" si="164"/>
        <v>214</v>
      </c>
      <c r="AC704" s="44" t="str">
        <f t="shared" si="165"/>
        <v>NO</v>
      </c>
      <c r="AD704" s="760" t="s">
        <v>1710</v>
      </c>
      <c r="AE704" s="173" t="s">
        <v>1256</v>
      </c>
      <c r="AF704" s="281" t="s">
        <v>4391</v>
      </c>
      <c r="AG704" s="868"/>
      <c r="AH704" s="281" t="s">
        <v>559</v>
      </c>
      <c r="AI704" s="868"/>
      <c r="AJ704" s="305" t="s">
        <v>4252</v>
      </c>
      <c r="AK704" s="181" t="str">
        <f t="shared" ca="1" si="166"/>
        <v>EN EJECUCIÓN</v>
      </c>
      <c r="AL704" s="310" t="s">
        <v>574</v>
      </c>
      <c r="AM704" s="433" t="s">
        <v>390</v>
      </c>
      <c r="AN704" s="848" t="str">
        <f>IFERROR(VLOOKUP(E704,'liquidaciones '!$B$2:$C$1048576,2,0),"NO")</f>
        <v>NO</v>
      </c>
      <c r="AO704" s="944" t="str">
        <f>IFERROR(VLOOKUP(E704,'liquidaciones '!$B$2:$I$1048576,8,0),"")</f>
        <v/>
      </c>
      <c r="AP704" s="433"/>
      <c r="AQ704" s="433" t="s">
        <v>390</v>
      </c>
      <c r="AR704" s="433" t="s">
        <v>4820</v>
      </c>
      <c r="AS704" s="433"/>
      <c r="AT704" s="966" t="s">
        <v>3947</v>
      </c>
      <c r="AU704" s="964"/>
      <c r="AV704" s="301"/>
    </row>
    <row r="705" spans="3:48" ht="56.25" x14ac:dyDescent="0.25">
      <c r="C705" s="867">
        <v>107</v>
      </c>
      <c r="D705" s="867"/>
      <c r="E705" s="868" t="s">
        <v>4394</v>
      </c>
      <c r="F705" s="441" t="s">
        <v>2008</v>
      </c>
      <c r="G705" s="893">
        <v>8600669427</v>
      </c>
      <c r="H705" s="1005" t="s">
        <v>4395</v>
      </c>
      <c r="I705" s="93">
        <v>1283380716</v>
      </c>
      <c r="J705" s="873" t="s">
        <v>4600</v>
      </c>
      <c r="K705" s="295">
        <v>2018</v>
      </c>
      <c r="L705" s="546">
        <v>43391</v>
      </c>
      <c r="M705" s="546">
        <v>43404</v>
      </c>
      <c r="N705" s="546">
        <v>43768</v>
      </c>
      <c r="O705" s="127">
        <f>COUNTA(Modificaciones!I691,Modificaciones!K691,Modificaciones!M691,Modificaciones!O691)</f>
        <v>0</v>
      </c>
      <c r="P705" s="128">
        <f>VLOOKUP(E705,Modificaciones!$B$7:$Q$1819,16,0)</f>
        <v>0</v>
      </c>
      <c r="Q705" s="129">
        <f>COUNTA(Modificaciones!S705,Modificaciones!U705,Modificaciones!W705,Modificaciones!Y705)</f>
        <v>0</v>
      </c>
      <c r="R705" s="130" t="str">
        <f>IF(Modificaciones!Z705=0,"",VLOOKUP(E705,Modificaciones!$B$7:$AA$1419,25,0))</f>
        <v/>
      </c>
      <c r="S705" s="131" t="str">
        <f>IF(Modificaciones!AA705=0,"",VLOOKUP(E705,Modificaciones!$B$7:$AA$1419,26,0))</f>
        <v/>
      </c>
      <c r="T705" s="855">
        <f t="shared" si="158"/>
        <v>43768</v>
      </c>
      <c r="U705" s="62">
        <f t="shared" si="159"/>
        <v>1283380716</v>
      </c>
      <c r="V705" s="172">
        <f>VLOOKUP(E705,Modificaciones!$B$7:$AU$819,46,0)</f>
        <v>11894250</v>
      </c>
      <c r="W705" s="93">
        <f t="shared" si="160"/>
        <v>1271486466</v>
      </c>
      <c r="X705" s="309" t="s">
        <v>2663</v>
      </c>
      <c r="Y705" s="852">
        <f t="shared" si="161"/>
        <v>9.2679045677666241E-3</v>
      </c>
      <c r="Z705" s="42">
        <f t="shared" ca="1" si="162"/>
        <v>0.65659340659340659</v>
      </c>
      <c r="AA705" s="43">
        <f t="shared" ca="1" si="163"/>
        <v>0.64732550202563999</v>
      </c>
      <c r="AB705" s="202">
        <f t="shared" ca="1" si="164"/>
        <v>125</v>
      </c>
      <c r="AC705" s="44" t="str">
        <f t="shared" si="165"/>
        <v>NO</v>
      </c>
      <c r="AD705" s="760" t="s">
        <v>1710</v>
      </c>
      <c r="AE705" s="173" t="s">
        <v>1256</v>
      </c>
      <c r="AF705" s="281" t="s">
        <v>1280</v>
      </c>
      <c r="AG705" s="173" t="s">
        <v>1435</v>
      </c>
      <c r="AH705" s="281" t="s">
        <v>560</v>
      </c>
      <c r="AI705" s="305" t="s">
        <v>4204</v>
      </c>
      <c r="AJ705" s="305" t="s">
        <v>3880</v>
      </c>
      <c r="AK705" s="181" t="str">
        <f t="shared" ca="1" si="166"/>
        <v>EN EJECUCIÓN</v>
      </c>
      <c r="AL705" s="310" t="s">
        <v>573</v>
      </c>
      <c r="AM705" s="433" t="s">
        <v>390</v>
      </c>
      <c r="AN705" s="848" t="str">
        <f>IFERROR(VLOOKUP(E705,'liquidaciones '!$B$2:$C$1048576,2,0),"NO")</f>
        <v>NO</v>
      </c>
      <c r="AO705" s="944" t="str">
        <f>IFERROR(VLOOKUP(E705,'liquidaciones '!$B$2:$I$1048576,8,0),"")</f>
        <v/>
      </c>
      <c r="AP705" s="433"/>
      <c r="AQ705" s="433" t="s">
        <v>390</v>
      </c>
      <c r="AR705" s="177" t="s">
        <v>4309</v>
      </c>
      <c r="AS705" s="433" t="s">
        <v>4636</v>
      </c>
      <c r="AT705" s="966" t="s">
        <v>560</v>
      </c>
      <c r="AU705" s="964"/>
      <c r="AV705" s="301"/>
    </row>
    <row r="706" spans="3:48" ht="36.75" customHeight="1" x14ac:dyDescent="0.25">
      <c r="C706" s="867"/>
      <c r="D706" s="867"/>
      <c r="E706" s="868" t="s">
        <v>4397</v>
      </c>
      <c r="F706" s="441" t="s">
        <v>3392</v>
      </c>
      <c r="G706" s="893" t="s">
        <v>2508</v>
      </c>
      <c r="H706" s="1005" t="s">
        <v>4377</v>
      </c>
      <c r="I706" s="93">
        <v>956795</v>
      </c>
      <c r="J706" s="873" t="s">
        <v>4399</v>
      </c>
      <c r="K706" s="295">
        <v>2018</v>
      </c>
      <c r="L706" s="546">
        <v>43403</v>
      </c>
      <c r="M706" s="546">
        <v>43403</v>
      </c>
      <c r="N706" s="546">
        <v>43411</v>
      </c>
      <c r="O706" s="127">
        <f>COUNTA(Modificaciones!I692,Modificaciones!K692,Modificaciones!M692,Modificaciones!O692)</f>
        <v>1</v>
      </c>
      <c r="P706" s="128">
        <f>VLOOKUP(E706,Modificaciones!$B$7:$Q$1819,16,0)</f>
        <v>0</v>
      </c>
      <c r="Q706" s="129">
        <f>COUNTA(Modificaciones!S706,Modificaciones!U706,Modificaciones!W706,Modificaciones!Y706)</f>
        <v>0</v>
      </c>
      <c r="R706" s="130" t="str">
        <f>IF(Modificaciones!Z706=0,"",VLOOKUP(E706,Modificaciones!$B$7:$AA$1419,25,0))</f>
        <v/>
      </c>
      <c r="S706" s="131" t="str">
        <f>IF(Modificaciones!AA706=0,"",VLOOKUP(E706,Modificaciones!$B$7:$AA$1419,26,0))</f>
        <v/>
      </c>
      <c r="T706" s="855">
        <f t="shared" si="158"/>
        <v>43411</v>
      </c>
      <c r="U706" s="62">
        <f t="shared" si="159"/>
        <v>956795</v>
      </c>
      <c r="V706" s="172">
        <f>VLOOKUP(E706,Modificaciones!$B$7:$AU$819,46,0)</f>
        <v>956795</v>
      </c>
      <c r="W706" s="93">
        <f t="shared" si="160"/>
        <v>0</v>
      </c>
      <c r="X706" s="309" t="s">
        <v>1895</v>
      </c>
      <c r="Y706" s="852">
        <f t="shared" si="161"/>
        <v>1</v>
      </c>
      <c r="Z706" s="42">
        <f t="shared" ca="1" si="162"/>
        <v>1</v>
      </c>
      <c r="AA706" s="43">
        <f t="shared" ca="1" si="163"/>
        <v>0</v>
      </c>
      <c r="AB706" s="202" t="str">
        <f t="shared" ca="1" si="164"/>
        <v/>
      </c>
      <c r="AC706" s="44" t="str">
        <f t="shared" si="165"/>
        <v>SI</v>
      </c>
      <c r="AD706" s="868" t="s">
        <v>1712</v>
      </c>
      <c r="AE706" s="871" t="s">
        <v>1257</v>
      </c>
      <c r="AF706" s="871" t="s">
        <v>4218</v>
      </c>
      <c r="AG706" s="173" t="s">
        <v>1439</v>
      </c>
      <c r="AH706" s="281" t="s">
        <v>560</v>
      </c>
      <c r="AI706" s="868" t="s">
        <v>1509</v>
      </c>
      <c r="AJ706" s="305" t="s">
        <v>3880</v>
      </c>
      <c r="AK706" s="181" t="str">
        <f t="shared" ca="1" si="166"/>
        <v>TERMINO</v>
      </c>
      <c r="AL706" s="310" t="s">
        <v>2726</v>
      </c>
      <c r="AM706" s="433"/>
      <c r="AN706" s="848" t="str">
        <f>IFERROR(VLOOKUP(E706,'liquidaciones '!$B$2:$C$1048576,2,0),"NO")</f>
        <v>NO</v>
      </c>
      <c r="AO706" s="944" t="str">
        <f>IFERROR(VLOOKUP(E706,'liquidaciones '!$B$2:$I$1048576,8,0),"")</f>
        <v/>
      </c>
      <c r="AP706" s="433"/>
      <c r="AQ706" s="433" t="s">
        <v>390</v>
      </c>
      <c r="AR706" s="1021" t="s">
        <v>4219</v>
      </c>
      <c r="AS706" s="433" t="s">
        <v>3785</v>
      </c>
      <c r="AT706" s="966" t="s">
        <v>560</v>
      </c>
      <c r="AU706" s="964"/>
      <c r="AV706" s="301"/>
    </row>
    <row r="707" spans="3:48" ht="40.5" customHeight="1" x14ac:dyDescent="0.25">
      <c r="C707" s="867"/>
      <c r="D707" s="867"/>
      <c r="E707" s="868" t="s">
        <v>4398</v>
      </c>
      <c r="F707" s="441" t="s">
        <v>4244</v>
      </c>
      <c r="G707" s="893" t="s">
        <v>4245</v>
      </c>
      <c r="H707" s="1005" t="s">
        <v>4377</v>
      </c>
      <c r="I707" s="93">
        <v>2890908</v>
      </c>
      <c r="J707" s="873" t="s">
        <v>4400</v>
      </c>
      <c r="K707" s="295">
        <v>2018</v>
      </c>
      <c r="L707" s="546">
        <v>43403</v>
      </c>
      <c r="M707" s="546">
        <v>43403</v>
      </c>
      <c r="N707" s="546">
        <v>43419</v>
      </c>
      <c r="O707" s="127">
        <f>COUNTA(Modificaciones!I693,Modificaciones!K693,Modificaciones!M693,Modificaciones!O693)</f>
        <v>0</v>
      </c>
      <c r="P707" s="128">
        <f>VLOOKUP(E707,Modificaciones!$B$7:$Q$1819,16,0)</f>
        <v>0</v>
      </c>
      <c r="Q707" s="129">
        <f>COUNTA(Modificaciones!S707,Modificaciones!U707,Modificaciones!W707,Modificaciones!Y707)</f>
        <v>1</v>
      </c>
      <c r="R707" s="130" t="str">
        <f>IF(Modificaciones!Z707=0,"",VLOOKUP(E707,Modificaciones!$B$7:$AA$1419,25,0))</f>
        <v>8 días</v>
      </c>
      <c r="S707" s="131">
        <f>IF(Modificaciones!AA707=0,"",VLOOKUP(E707,Modificaciones!$B$7:$AA$1419,26,0))</f>
        <v>43427</v>
      </c>
      <c r="T707" s="855">
        <f t="shared" si="158"/>
        <v>43427</v>
      </c>
      <c r="U707" s="62">
        <f t="shared" si="159"/>
        <v>2890908</v>
      </c>
      <c r="V707" s="172">
        <f>VLOOKUP(E707,Modificaciones!$B$7:$AU$819,46,0)</f>
        <v>2890908</v>
      </c>
      <c r="W707" s="93">
        <f t="shared" si="160"/>
        <v>0</v>
      </c>
      <c r="X707" s="309" t="s">
        <v>1895</v>
      </c>
      <c r="Y707" s="852">
        <f t="shared" si="161"/>
        <v>1</v>
      </c>
      <c r="Z707" s="42">
        <f t="shared" ca="1" si="162"/>
        <v>1</v>
      </c>
      <c r="AA707" s="43">
        <f t="shared" ca="1" si="163"/>
        <v>0</v>
      </c>
      <c r="AB707" s="202" t="str">
        <f t="shared" ca="1" si="164"/>
        <v/>
      </c>
      <c r="AC707" s="44" t="str">
        <f t="shared" si="165"/>
        <v>SI</v>
      </c>
      <c r="AD707" s="868" t="s">
        <v>1712</v>
      </c>
      <c r="AE707" s="871" t="s">
        <v>1257</v>
      </c>
      <c r="AF707" s="871" t="s">
        <v>4218</v>
      </c>
      <c r="AG707" s="173" t="s">
        <v>1439</v>
      </c>
      <c r="AH707" s="281" t="s">
        <v>560</v>
      </c>
      <c r="AI707" s="868" t="s">
        <v>1509</v>
      </c>
      <c r="AJ707" s="305" t="s">
        <v>3880</v>
      </c>
      <c r="AK707" s="181" t="str">
        <f t="shared" ca="1" si="166"/>
        <v>TERMINO</v>
      </c>
      <c r="AL707" s="310" t="s">
        <v>2726</v>
      </c>
      <c r="AM707" s="433"/>
      <c r="AN707" s="848" t="str">
        <f>IFERROR(VLOOKUP(E707,'liquidaciones '!$B$2:$C$1048576,2,0),"NO")</f>
        <v>LIQUIDADO</v>
      </c>
      <c r="AO707" s="944" t="str">
        <f>IFERROR(VLOOKUP(E707,'liquidaciones '!$B$2:$I$1048576,8,0),"")</f>
        <v>JUAN DIEGO ESPITIA</v>
      </c>
      <c r="AP707" s="433"/>
      <c r="AQ707" s="433" t="s">
        <v>390</v>
      </c>
      <c r="AR707" s="1021" t="s">
        <v>4219</v>
      </c>
      <c r="AS707" s="433" t="s">
        <v>3785</v>
      </c>
      <c r="AT707" s="966" t="s">
        <v>560</v>
      </c>
      <c r="AU707" s="964"/>
      <c r="AV707" s="301"/>
    </row>
    <row r="708" spans="3:48" ht="22.5" x14ac:dyDescent="0.25">
      <c r="C708" s="867">
        <v>242</v>
      </c>
      <c r="D708" s="867"/>
      <c r="E708" s="868" t="s">
        <v>4402</v>
      </c>
      <c r="F708" s="441" t="s">
        <v>186</v>
      </c>
      <c r="G708" s="893">
        <v>800039398</v>
      </c>
      <c r="H708" s="1005" t="s">
        <v>4403</v>
      </c>
      <c r="I708" s="93">
        <v>170000000</v>
      </c>
      <c r="J708" s="873" t="s">
        <v>4821</v>
      </c>
      <c r="K708" s="295">
        <v>2018</v>
      </c>
      <c r="L708" s="546">
        <v>43399</v>
      </c>
      <c r="M708" s="546">
        <v>43411</v>
      </c>
      <c r="N708" s="546">
        <v>43530</v>
      </c>
      <c r="O708" s="127">
        <f>COUNTA(Modificaciones!I694,Modificaciones!K694,Modificaciones!M694,Modificaciones!O694)</f>
        <v>0</v>
      </c>
      <c r="P708" s="128">
        <f>VLOOKUP(E708,Modificaciones!$B$7:$Q$1819,16,0)</f>
        <v>0</v>
      </c>
      <c r="Q708" s="129">
        <f>COUNTA(Modificaciones!S708,Modificaciones!U708,Modificaciones!W708,Modificaciones!Y708)</f>
        <v>0</v>
      </c>
      <c r="R708" s="130" t="str">
        <f>IF(Modificaciones!Z708=0,"",VLOOKUP(E708,Modificaciones!$B$7:$AA$1419,25,0))</f>
        <v/>
      </c>
      <c r="S708" s="131" t="str">
        <f>IF(Modificaciones!AA708=0,"",VLOOKUP(E708,Modificaciones!$B$7:$AA$1419,26,0))</f>
        <v/>
      </c>
      <c r="T708" s="855">
        <f t="shared" si="158"/>
        <v>43530</v>
      </c>
      <c r="U708" s="62">
        <f t="shared" si="159"/>
        <v>170000000</v>
      </c>
      <c r="V708" s="172">
        <f>VLOOKUP(E708,Modificaciones!$B$7:$AU$819,46,0)</f>
        <v>170000000</v>
      </c>
      <c r="W708" s="93">
        <f t="shared" si="160"/>
        <v>0</v>
      </c>
      <c r="X708" s="309" t="s">
        <v>4404</v>
      </c>
      <c r="Y708" s="852">
        <f t="shared" si="161"/>
        <v>1</v>
      </c>
      <c r="Z708" s="42">
        <f t="shared" ca="1" si="162"/>
        <v>1</v>
      </c>
      <c r="AA708" s="43">
        <f t="shared" ca="1" si="163"/>
        <v>0</v>
      </c>
      <c r="AB708" s="202" t="str">
        <f t="shared" ca="1" si="164"/>
        <v/>
      </c>
      <c r="AC708" s="44" t="str">
        <f t="shared" si="165"/>
        <v>SI</v>
      </c>
      <c r="AD708" s="868" t="s">
        <v>1712</v>
      </c>
      <c r="AE708" s="871" t="s">
        <v>1257</v>
      </c>
      <c r="AF708" s="900" t="s">
        <v>4405</v>
      </c>
      <c r="AG708" s="173" t="s">
        <v>1439</v>
      </c>
      <c r="AH708" s="281" t="s">
        <v>560</v>
      </c>
      <c r="AI708" s="868" t="s">
        <v>1509</v>
      </c>
      <c r="AJ708" s="305" t="s">
        <v>3880</v>
      </c>
      <c r="AK708" s="181" t="str">
        <f t="shared" ca="1" si="166"/>
        <v>TERMINO</v>
      </c>
      <c r="AL708" s="181" t="s">
        <v>921</v>
      </c>
      <c r="AM708" s="433" t="s">
        <v>390</v>
      </c>
      <c r="AN708" s="848" t="str">
        <f>IFERROR(VLOOKUP(E708,'liquidaciones '!$B$2:$C$1048576,2,0),"NO")</f>
        <v>NO</v>
      </c>
      <c r="AO708" s="944" t="str">
        <f>IFERROR(VLOOKUP(E708,'liquidaciones '!$B$2:$I$1048576,8,0),"")</f>
        <v/>
      </c>
      <c r="AP708" s="433"/>
      <c r="AQ708" s="433" t="s">
        <v>390</v>
      </c>
      <c r="AR708" s="1023" t="s">
        <v>4219</v>
      </c>
      <c r="AS708" s="433" t="s">
        <v>3785</v>
      </c>
      <c r="AT708" s="966" t="s">
        <v>560</v>
      </c>
      <c r="AU708" s="964"/>
      <c r="AV708" s="301"/>
    </row>
    <row r="709" spans="3:48" ht="30" x14ac:dyDescent="0.25">
      <c r="C709" s="867"/>
      <c r="D709" s="867"/>
      <c r="E709" s="868" t="s">
        <v>4406</v>
      </c>
      <c r="F709" s="441" t="s">
        <v>4407</v>
      </c>
      <c r="G709" s="893" t="s">
        <v>4408</v>
      </c>
      <c r="H709" s="1005" t="s">
        <v>4426</v>
      </c>
      <c r="I709" s="93">
        <v>4141200</v>
      </c>
      <c r="J709" s="873" t="s">
        <v>4410</v>
      </c>
      <c r="K709" s="295">
        <v>2018</v>
      </c>
      <c r="L709" s="546">
        <v>43395</v>
      </c>
      <c r="M709" s="546">
        <v>43413</v>
      </c>
      <c r="N709" s="546">
        <v>43473</v>
      </c>
      <c r="O709" s="127">
        <f>COUNTA(Modificaciones!I695,Modificaciones!K695,Modificaciones!M695,Modificaciones!O695)</f>
        <v>0</v>
      </c>
      <c r="P709" s="128">
        <f>VLOOKUP(E709,Modificaciones!$B$7:$Q$1819,16,0)</f>
        <v>0</v>
      </c>
      <c r="Q709" s="129">
        <f>COUNTA(Modificaciones!S709,Modificaciones!U709,Modificaciones!W709,Modificaciones!Y709)</f>
        <v>0</v>
      </c>
      <c r="R709" s="130" t="str">
        <f>IF(Modificaciones!Z709=0,"",VLOOKUP(E709,Modificaciones!$B$7:$AA$1419,25,0))</f>
        <v/>
      </c>
      <c r="S709" s="131" t="str">
        <f>IF(Modificaciones!AA709=0,"",VLOOKUP(E709,Modificaciones!$B$7:$AA$1419,26,0))</f>
        <v/>
      </c>
      <c r="T709" s="855">
        <f t="shared" si="158"/>
        <v>43473</v>
      </c>
      <c r="U709" s="62">
        <f t="shared" si="159"/>
        <v>4141200</v>
      </c>
      <c r="V709" s="172">
        <f>VLOOKUP(E709,Modificaciones!$B$7:$AU$819,46,0)</f>
        <v>4141200</v>
      </c>
      <c r="W709" s="93">
        <f t="shared" si="160"/>
        <v>0</v>
      </c>
      <c r="X709" s="309" t="s">
        <v>1895</v>
      </c>
      <c r="Y709" s="852">
        <f t="shared" si="161"/>
        <v>1</v>
      </c>
      <c r="Z709" s="42">
        <f t="shared" ca="1" si="162"/>
        <v>1</v>
      </c>
      <c r="AA709" s="43">
        <f t="shared" ca="1" si="163"/>
        <v>0</v>
      </c>
      <c r="AB709" s="202" t="str">
        <f t="shared" ca="1" si="164"/>
        <v/>
      </c>
      <c r="AC709" s="44" t="str">
        <f t="shared" si="165"/>
        <v>SI</v>
      </c>
      <c r="AD709" s="868" t="s">
        <v>1712</v>
      </c>
      <c r="AE709" s="871" t="s">
        <v>1256</v>
      </c>
      <c r="AF709" s="900" t="s">
        <v>4409</v>
      </c>
      <c r="AG709" s="173" t="s">
        <v>1435</v>
      </c>
      <c r="AH709" s="281" t="s">
        <v>560</v>
      </c>
      <c r="AI709" s="433" t="s">
        <v>4343</v>
      </c>
      <c r="AJ709" s="305" t="s">
        <v>3880</v>
      </c>
      <c r="AK709" s="181" t="str">
        <f t="shared" ca="1" si="166"/>
        <v>TERMINO</v>
      </c>
      <c r="AL709" s="310" t="s">
        <v>576</v>
      </c>
      <c r="AM709" s="433" t="s">
        <v>390</v>
      </c>
      <c r="AN709" s="848" t="str">
        <f>IFERROR(VLOOKUP(E709,'liquidaciones '!$B$2:$C$1048576,2,0),"NO")</f>
        <v>NO</v>
      </c>
      <c r="AO709" s="944" t="str">
        <f>IFERROR(VLOOKUP(E709,'liquidaciones '!$B$2:$I$1048576,8,0),"")</f>
        <v/>
      </c>
      <c r="AP709" s="433"/>
      <c r="AQ709" s="433" t="s">
        <v>390</v>
      </c>
      <c r="AR709" s="433" t="s">
        <v>4820</v>
      </c>
      <c r="AS709" s="433" t="s">
        <v>4343</v>
      </c>
      <c r="AT709" s="966" t="s">
        <v>560</v>
      </c>
      <c r="AU709" s="964"/>
      <c r="AV709" s="301"/>
    </row>
    <row r="710" spans="3:48" ht="30" x14ac:dyDescent="0.25">
      <c r="C710" s="867"/>
      <c r="D710" s="867"/>
      <c r="E710" s="868" t="s">
        <v>4415</v>
      </c>
      <c r="F710" s="441" t="s">
        <v>4244</v>
      </c>
      <c r="G710" s="893" t="s">
        <v>4245</v>
      </c>
      <c r="H710" s="1005" t="s">
        <v>4416</v>
      </c>
      <c r="I710" s="93">
        <v>9127570</v>
      </c>
      <c r="J710" s="873" t="s">
        <v>4417</v>
      </c>
      <c r="K710" s="295">
        <v>2018</v>
      </c>
      <c r="L710" s="546">
        <v>43406</v>
      </c>
      <c r="M710" s="546">
        <v>43406</v>
      </c>
      <c r="N710" s="546">
        <v>43417</v>
      </c>
      <c r="O710" s="127">
        <f>COUNTA(Modificaciones!I696,Modificaciones!K696,Modificaciones!M696,Modificaciones!O696)</f>
        <v>0</v>
      </c>
      <c r="P710" s="128">
        <f>VLOOKUP(E710,Modificaciones!$B$7:$Q$1819,16,0)</f>
        <v>188804</v>
      </c>
      <c r="Q710" s="129">
        <f>COUNTA(Modificaciones!S710,Modificaciones!U710,Modificaciones!W710,Modificaciones!Y710)</f>
        <v>1</v>
      </c>
      <c r="R710" s="130" t="str">
        <f>IF(Modificaciones!Z710=0,"",VLOOKUP(E710,Modificaciones!$B$7:$AA$1419,25,0))</f>
        <v>8 días</v>
      </c>
      <c r="S710" s="131">
        <f>IF(Modificaciones!AA710=0,"",VLOOKUP(E710,Modificaciones!$B$7:$AA$1419,26,0))</f>
        <v>43427</v>
      </c>
      <c r="T710" s="855">
        <f t="shared" si="158"/>
        <v>43427</v>
      </c>
      <c r="U710" s="62">
        <f t="shared" si="159"/>
        <v>9316374</v>
      </c>
      <c r="V710" s="172">
        <f>VLOOKUP(E710,Modificaciones!$B$7:$AU$819,46,0)</f>
        <v>9316374</v>
      </c>
      <c r="W710" s="93">
        <f t="shared" si="160"/>
        <v>0</v>
      </c>
      <c r="X710" s="309" t="s">
        <v>1895</v>
      </c>
      <c r="Y710" s="852">
        <f t="shared" si="161"/>
        <v>1</v>
      </c>
      <c r="Z710" s="42">
        <f t="shared" ca="1" si="162"/>
        <v>1</v>
      </c>
      <c r="AA710" s="43">
        <f t="shared" ca="1" si="163"/>
        <v>0</v>
      </c>
      <c r="AB710" s="202" t="str">
        <f t="shared" ca="1" si="164"/>
        <v/>
      </c>
      <c r="AC710" s="44" t="str">
        <f t="shared" si="165"/>
        <v>SI</v>
      </c>
      <c r="AD710" s="868" t="s">
        <v>1712</v>
      </c>
      <c r="AE710" s="871" t="s">
        <v>1257</v>
      </c>
      <c r="AF710" s="900" t="s">
        <v>4418</v>
      </c>
      <c r="AG710" s="173"/>
      <c r="AH710" s="281"/>
      <c r="AI710" s="868"/>
      <c r="AJ710" s="305" t="s">
        <v>3880</v>
      </c>
      <c r="AK710" s="181" t="str">
        <f t="shared" ca="1" si="166"/>
        <v>TERMINO</v>
      </c>
      <c r="AL710" s="310" t="s">
        <v>2726</v>
      </c>
      <c r="AM710" s="433"/>
      <c r="AN710" s="848" t="str">
        <f>IFERROR(VLOOKUP(E710,'liquidaciones '!$B$2:$C$1048576,2,0),"NO")</f>
        <v>NO</v>
      </c>
      <c r="AO710" s="944" t="str">
        <f>IFERROR(VLOOKUP(E710,'liquidaciones '!$B$2:$I$1048576,8,0),"")</f>
        <v/>
      </c>
      <c r="AP710" s="433"/>
      <c r="AQ710" s="433" t="s">
        <v>390</v>
      </c>
      <c r="AR710" s="1015" t="s">
        <v>4219</v>
      </c>
      <c r="AS710" s="433"/>
      <c r="AT710" s="966" t="s">
        <v>560</v>
      </c>
      <c r="AU710" s="964"/>
      <c r="AV710" s="301"/>
    </row>
    <row r="711" spans="3:48" ht="30" x14ac:dyDescent="0.25">
      <c r="C711" s="867"/>
      <c r="D711" s="867"/>
      <c r="E711" s="868" t="s">
        <v>4431</v>
      </c>
      <c r="F711" s="441" t="s">
        <v>3642</v>
      </c>
      <c r="G711" s="893">
        <v>805006014</v>
      </c>
      <c r="H711" s="1005" t="s">
        <v>4432</v>
      </c>
      <c r="I711" s="93">
        <v>2166888</v>
      </c>
      <c r="J711" s="873" t="s">
        <v>4433</v>
      </c>
      <c r="K711" s="295">
        <v>2018</v>
      </c>
      <c r="L711" s="546">
        <v>43362</v>
      </c>
      <c r="M711" s="546">
        <v>43419</v>
      </c>
      <c r="N711" s="546">
        <v>43783</v>
      </c>
      <c r="O711" s="127">
        <f>COUNTA(Modificaciones!I697,Modificaciones!K697,Modificaciones!M697,Modificaciones!O697)</f>
        <v>0</v>
      </c>
      <c r="P711" s="128">
        <f>VLOOKUP(E711,Modificaciones!$B$7:$Q$1819,16,0)</f>
        <v>0</v>
      </c>
      <c r="Q711" s="129">
        <f>COUNTA(Modificaciones!S711,Modificaciones!U711,Modificaciones!W711,Modificaciones!Y711)</f>
        <v>0</v>
      </c>
      <c r="R711" s="130" t="str">
        <f>IF(Modificaciones!Z711=0,"",VLOOKUP(E711,Modificaciones!$B$7:$AA$1419,25,0))</f>
        <v/>
      </c>
      <c r="S711" s="131" t="str">
        <f>IF(Modificaciones!AA711=0,"",VLOOKUP(E711,Modificaciones!$B$7:$AA$1419,26,0))</f>
        <v/>
      </c>
      <c r="T711" s="855">
        <f t="shared" si="158"/>
        <v>43783</v>
      </c>
      <c r="U711" s="62">
        <f t="shared" si="159"/>
        <v>2166888</v>
      </c>
      <c r="V711" s="172">
        <f>VLOOKUP(E711,Modificaciones!$B$7:$AU$819,46,0)</f>
        <v>2150577</v>
      </c>
      <c r="W711" s="93">
        <f t="shared" si="160"/>
        <v>16311</v>
      </c>
      <c r="X711" s="309" t="s">
        <v>1895</v>
      </c>
      <c r="Y711" s="852">
        <f t="shared" si="161"/>
        <v>0.9924726151051646</v>
      </c>
      <c r="Z711" s="42">
        <f t="shared" ca="1" si="162"/>
        <v>0.61538461538461542</v>
      </c>
      <c r="AA711" s="43">
        <f t="shared" ca="1" si="163"/>
        <v>-0.37708799972054918</v>
      </c>
      <c r="AB711" s="202">
        <f t="shared" ca="1" si="164"/>
        <v>140</v>
      </c>
      <c r="AC711" s="44" t="str">
        <f t="shared" si="165"/>
        <v>NO</v>
      </c>
      <c r="AD711" s="760" t="s">
        <v>1714</v>
      </c>
      <c r="AE711" s="173" t="s">
        <v>1256</v>
      </c>
      <c r="AF711" s="173" t="s">
        <v>1133</v>
      </c>
      <c r="AG711" s="173" t="s">
        <v>1442</v>
      </c>
      <c r="AH711" s="281" t="s">
        <v>559</v>
      </c>
      <c r="AI711" s="868"/>
      <c r="AJ711" s="305" t="s">
        <v>4252</v>
      </c>
      <c r="AK711" s="181" t="str">
        <f t="shared" ca="1" si="166"/>
        <v>EN EJECUCIÓN</v>
      </c>
      <c r="AL711" s="181" t="s">
        <v>576</v>
      </c>
      <c r="AM711" s="176" t="s">
        <v>390</v>
      </c>
      <c r="AN711" s="848" t="str">
        <f>IFERROR(VLOOKUP(E711,'liquidaciones '!$B$2:$C$1048576,2,0),"NO")</f>
        <v>NO</v>
      </c>
      <c r="AO711" s="944" t="str">
        <f>IFERROR(VLOOKUP(E711,'liquidaciones '!$B$2:$I$1048576,8,0),"")</f>
        <v/>
      </c>
      <c r="AP711" s="433"/>
      <c r="AQ711" s="433" t="s">
        <v>390</v>
      </c>
      <c r="AR711" s="1015" t="s">
        <v>4309</v>
      </c>
      <c r="AS711" s="433"/>
      <c r="AT711" s="316" t="s">
        <v>560</v>
      </c>
      <c r="AU711" s="964"/>
      <c r="AV711" s="301"/>
    </row>
    <row r="712" spans="3:48" ht="33.75" x14ac:dyDescent="0.25">
      <c r="C712" s="867"/>
      <c r="D712" s="867"/>
      <c r="E712" s="868" t="s">
        <v>4434</v>
      </c>
      <c r="F712" s="441" t="s">
        <v>4435</v>
      </c>
      <c r="G712" s="893">
        <v>36454156</v>
      </c>
      <c r="H712" s="1005" t="s">
        <v>4438</v>
      </c>
      <c r="I712" s="93">
        <v>23436000</v>
      </c>
      <c r="J712" s="873" t="s">
        <v>4436</v>
      </c>
      <c r="K712" s="295">
        <v>2018</v>
      </c>
      <c r="L712" s="546">
        <v>43413</v>
      </c>
      <c r="M712" s="546">
        <v>43419</v>
      </c>
      <c r="N712" s="546">
        <v>43496</v>
      </c>
      <c r="O712" s="127">
        <f>COUNTA(Modificaciones!I698,Modificaciones!K698,Modificaciones!M698,Modificaciones!O698)</f>
        <v>0</v>
      </c>
      <c r="P712" s="128">
        <f>VLOOKUP(E712,Modificaciones!$B$7:$Q$1819,16,0)</f>
        <v>11718000</v>
      </c>
      <c r="Q712" s="129">
        <f>COUNTA(Modificaciones!S712,Modificaciones!U712,Modificaciones!W712,Modificaciones!Y712)</f>
        <v>1</v>
      </c>
      <c r="R712" s="130" t="str">
        <f>IF(Modificaciones!Z712=0,"",VLOOKUP(E712,Modificaciones!$B$7:$AA$1419,25,0))</f>
        <v>4 meses y 15 días</v>
      </c>
      <c r="S712" s="131">
        <f>IF(Modificaciones!AA712=0,"",VLOOKUP(E712,Modificaciones!$B$7:$AA$1419,26,0))</f>
        <v>43554</v>
      </c>
      <c r="T712" s="855">
        <f t="shared" si="158"/>
        <v>43554</v>
      </c>
      <c r="U712" s="62">
        <f t="shared" si="159"/>
        <v>35154000</v>
      </c>
      <c r="V712" s="172">
        <f>VLOOKUP(E712,Modificaciones!$B$7:$AU$819,46,0)</f>
        <v>35154000</v>
      </c>
      <c r="W712" s="93">
        <f t="shared" si="160"/>
        <v>0</v>
      </c>
      <c r="X712" s="309" t="s">
        <v>1095</v>
      </c>
      <c r="Y712" s="852">
        <f t="shared" si="161"/>
        <v>1</v>
      </c>
      <c r="Z712" s="42">
        <f t="shared" ca="1" si="162"/>
        <v>1</v>
      </c>
      <c r="AA712" s="43">
        <f t="shared" ca="1" si="163"/>
        <v>0</v>
      </c>
      <c r="AB712" s="202" t="str">
        <f t="shared" ca="1" si="164"/>
        <v/>
      </c>
      <c r="AC712" s="44" t="str">
        <f t="shared" si="165"/>
        <v>SI</v>
      </c>
      <c r="AD712" s="760" t="s">
        <v>2898</v>
      </c>
      <c r="AE712" s="173" t="s">
        <v>1256</v>
      </c>
      <c r="AF712" s="281" t="s">
        <v>4437</v>
      </c>
      <c r="AG712" s="868"/>
      <c r="AH712" s="281" t="s">
        <v>559</v>
      </c>
      <c r="AI712" s="868"/>
      <c r="AJ712" s="305" t="s">
        <v>4252</v>
      </c>
      <c r="AK712" s="181" t="str">
        <f t="shared" ca="1" si="166"/>
        <v>TERMINO</v>
      </c>
      <c r="AL712" s="310" t="s">
        <v>582</v>
      </c>
      <c r="AM712" s="433" t="s">
        <v>391</v>
      </c>
      <c r="AN712" s="848" t="str">
        <f>IFERROR(VLOOKUP(E712,'liquidaciones '!$B$2:$C$1048576,2,0),"NO")</f>
        <v>NO</v>
      </c>
      <c r="AO712" s="944" t="str">
        <f>IFERROR(VLOOKUP(E712,'liquidaciones '!$B$2:$I$1048576,8,0),"")</f>
        <v/>
      </c>
      <c r="AP712" s="433"/>
      <c r="AQ712" s="433" t="s">
        <v>390</v>
      </c>
      <c r="AR712" s="177" t="s">
        <v>4255</v>
      </c>
      <c r="AS712" s="433"/>
      <c r="AT712" s="966" t="s">
        <v>3947</v>
      </c>
      <c r="AU712" s="964"/>
      <c r="AV712" s="301"/>
    </row>
    <row r="713" spans="3:48" ht="56.25" x14ac:dyDescent="0.25">
      <c r="C713" s="867"/>
      <c r="D713" s="867"/>
      <c r="E713" s="868" t="s">
        <v>4441</v>
      </c>
      <c r="F713" s="441" t="s">
        <v>4442</v>
      </c>
      <c r="G713" s="893">
        <v>800200439</v>
      </c>
      <c r="H713" s="1005" t="s">
        <v>4443</v>
      </c>
      <c r="I713" s="93">
        <v>7176890</v>
      </c>
      <c r="J713" s="873" t="s">
        <v>4444</v>
      </c>
      <c r="K713" s="295">
        <v>2018</v>
      </c>
      <c r="L713" s="546">
        <v>43412</v>
      </c>
      <c r="M713" s="546">
        <v>43424</v>
      </c>
      <c r="N713" s="546">
        <v>43515</v>
      </c>
      <c r="O713" s="127">
        <f>COUNTA(Modificaciones!I699,Modificaciones!K699,Modificaciones!M699,Modificaciones!O699)</f>
        <v>0</v>
      </c>
      <c r="P713" s="128">
        <f>VLOOKUP(E713,Modificaciones!$B$7:$Q$1819,16,0)</f>
        <v>0</v>
      </c>
      <c r="Q713" s="129">
        <f>COUNTA(Modificaciones!S713,Modificaciones!U713,Modificaciones!W713,Modificaciones!Y713)</f>
        <v>0</v>
      </c>
      <c r="R713" s="130" t="str">
        <f>IF(Modificaciones!Z713=0,"",VLOOKUP(E713,Modificaciones!$B$7:$AA$1419,25,0))</f>
        <v/>
      </c>
      <c r="S713" s="131" t="str">
        <f>IF(Modificaciones!AA713=0,"",VLOOKUP(E713,Modificaciones!$B$7:$AA$1419,26,0))</f>
        <v/>
      </c>
      <c r="T713" s="855">
        <f t="shared" si="158"/>
        <v>43515</v>
      </c>
      <c r="U713" s="62">
        <f t="shared" si="159"/>
        <v>7176890</v>
      </c>
      <c r="V713" s="172">
        <f>VLOOKUP(E713,Modificaciones!$B$7:$AU$819,46,0)</f>
        <v>0</v>
      </c>
      <c r="W713" s="93">
        <f t="shared" si="160"/>
        <v>7176890</v>
      </c>
      <c r="X713" s="313" t="s">
        <v>4445</v>
      </c>
      <c r="Y713" s="852">
        <f t="shared" si="161"/>
        <v>0</v>
      </c>
      <c r="Z713" s="42">
        <f t="shared" ca="1" si="162"/>
        <v>1</v>
      </c>
      <c r="AA713" s="43">
        <f t="shared" ca="1" si="163"/>
        <v>1</v>
      </c>
      <c r="AB713" s="202" t="str">
        <f t="shared" ca="1" si="164"/>
        <v/>
      </c>
      <c r="AC713" s="44" t="str">
        <f t="shared" si="165"/>
        <v>NO</v>
      </c>
      <c r="AD713" s="868" t="s">
        <v>1712</v>
      </c>
      <c r="AE713" s="871" t="s">
        <v>1257</v>
      </c>
      <c r="AF713" s="900" t="s">
        <v>4446</v>
      </c>
      <c r="AG713" s="173" t="s">
        <v>1439</v>
      </c>
      <c r="AH713" s="281" t="s">
        <v>560</v>
      </c>
      <c r="AI713" s="868" t="s">
        <v>1509</v>
      </c>
      <c r="AJ713" s="305" t="s">
        <v>3880</v>
      </c>
      <c r="AK713" s="181" t="str">
        <f t="shared" ca="1" si="166"/>
        <v>TERMINO</v>
      </c>
      <c r="AL713" s="181" t="s">
        <v>576</v>
      </c>
      <c r="AM713" s="433" t="s">
        <v>390</v>
      </c>
      <c r="AN713" s="848" t="str">
        <f>IFERROR(VLOOKUP(E713,'liquidaciones '!$B$2:$C$1048576,2,0),"NO")</f>
        <v>NO</v>
      </c>
      <c r="AO713" s="944" t="str">
        <f>IFERROR(VLOOKUP(E713,'liquidaciones '!$B$2:$I$1048576,8,0),"")</f>
        <v/>
      </c>
      <c r="AP713" s="433"/>
      <c r="AQ713" s="433" t="s">
        <v>390</v>
      </c>
      <c r="AR713" s="1015" t="s">
        <v>4219</v>
      </c>
      <c r="AS713" s="433" t="s">
        <v>3785</v>
      </c>
      <c r="AT713" s="966" t="s">
        <v>560</v>
      </c>
      <c r="AU713" s="964"/>
      <c r="AV713" s="301"/>
    </row>
    <row r="714" spans="3:48" ht="101.25" x14ac:dyDescent="0.25">
      <c r="C714" s="867"/>
      <c r="D714" s="867"/>
      <c r="E714" s="868" t="s">
        <v>4447</v>
      </c>
      <c r="F714" s="441" t="s">
        <v>4448</v>
      </c>
      <c r="G714" s="893">
        <v>901227876</v>
      </c>
      <c r="H714" s="1005" t="s">
        <v>4449</v>
      </c>
      <c r="I714" s="93">
        <v>375000000</v>
      </c>
      <c r="J714" s="873" t="s">
        <v>4450</v>
      </c>
      <c r="K714" s="295">
        <v>2018</v>
      </c>
      <c r="L714" s="546">
        <v>43413</v>
      </c>
      <c r="M714" s="546">
        <v>43425</v>
      </c>
      <c r="N714" s="546">
        <v>43516</v>
      </c>
      <c r="O714" s="127">
        <f>COUNTA(Modificaciones!I700,Modificaciones!K700,Modificaciones!M700,Modificaciones!O700)</f>
        <v>0</v>
      </c>
      <c r="P714" s="128">
        <f>VLOOKUP(E714,Modificaciones!$B$7:$Q$1819,16,0)</f>
        <v>0</v>
      </c>
      <c r="Q714" s="129">
        <f>COUNTA(Modificaciones!S714,Modificaciones!U714,Modificaciones!W714,Modificaciones!Y714)</f>
        <v>0</v>
      </c>
      <c r="R714" s="130" t="str">
        <f>IF(Modificaciones!Z714=0,"",VLOOKUP(E714,Modificaciones!$B$7:$AA$1419,25,0))</f>
        <v/>
      </c>
      <c r="S714" s="131" t="str">
        <f>IF(Modificaciones!AA714=0,"",VLOOKUP(E714,Modificaciones!$B$7:$AA$1419,26,0))</f>
        <v/>
      </c>
      <c r="T714" s="855">
        <f t="shared" si="158"/>
        <v>43516</v>
      </c>
      <c r="U714" s="62">
        <f t="shared" si="159"/>
        <v>375000000</v>
      </c>
      <c r="V714" s="172">
        <f>VLOOKUP(E714,Modificaciones!$B$7:$AU$819,46,0)</f>
        <v>358800000</v>
      </c>
      <c r="W714" s="93">
        <f t="shared" si="160"/>
        <v>16200000</v>
      </c>
      <c r="X714" s="899" t="s">
        <v>4452</v>
      </c>
      <c r="Y714" s="852">
        <f t="shared" si="161"/>
        <v>0.95679999999999998</v>
      </c>
      <c r="Z714" s="42">
        <f t="shared" ca="1" si="162"/>
        <v>1</v>
      </c>
      <c r="AA714" s="43">
        <f t="shared" ca="1" si="163"/>
        <v>4.3200000000000016E-2</v>
      </c>
      <c r="AB714" s="202" t="str">
        <f t="shared" ca="1" si="164"/>
        <v/>
      </c>
      <c r="AC714" s="44" t="str">
        <f t="shared" si="165"/>
        <v>NO</v>
      </c>
      <c r="AD714" s="868" t="s">
        <v>1712</v>
      </c>
      <c r="AE714" s="871" t="s">
        <v>1257</v>
      </c>
      <c r="AF714" s="900" t="s">
        <v>4451</v>
      </c>
      <c r="AG714" s="173" t="s">
        <v>1439</v>
      </c>
      <c r="AH714" s="281" t="s">
        <v>560</v>
      </c>
      <c r="AI714" s="868" t="s">
        <v>1509</v>
      </c>
      <c r="AJ714" s="305" t="s">
        <v>3880</v>
      </c>
      <c r="AK714" s="181" t="str">
        <f t="shared" ca="1" si="166"/>
        <v>TERMINO</v>
      </c>
      <c r="AL714" s="181" t="s">
        <v>921</v>
      </c>
      <c r="AM714" s="433" t="s">
        <v>391</v>
      </c>
      <c r="AN714" s="848" t="str">
        <f>IFERROR(VLOOKUP(E714,'liquidaciones '!$B$2:$C$1048576,2,0),"NO")</f>
        <v>NO</v>
      </c>
      <c r="AO714" s="944" t="str">
        <f>IFERROR(VLOOKUP(E714,'liquidaciones '!$B$2:$I$1048576,8,0),"")</f>
        <v/>
      </c>
      <c r="AP714" s="433"/>
      <c r="AQ714" s="433" t="s">
        <v>390</v>
      </c>
      <c r="AR714" s="1015" t="s">
        <v>4219</v>
      </c>
      <c r="AS714" s="433" t="s">
        <v>3785</v>
      </c>
      <c r="AT714" s="966" t="s">
        <v>560</v>
      </c>
      <c r="AU714" s="964"/>
      <c r="AV714" s="301"/>
    </row>
    <row r="715" spans="3:48" ht="30" x14ac:dyDescent="0.25">
      <c r="C715" s="867"/>
      <c r="D715" s="867"/>
      <c r="E715" s="868" t="s">
        <v>4453</v>
      </c>
      <c r="F715" s="441" t="s">
        <v>4244</v>
      </c>
      <c r="G715" s="893" t="s">
        <v>4245</v>
      </c>
      <c r="H715" s="1005" t="s">
        <v>4454</v>
      </c>
      <c r="I715" s="93">
        <v>17713692</v>
      </c>
      <c r="J715" s="873" t="s">
        <v>4455</v>
      </c>
      <c r="K715" s="295">
        <v>2018</v>
      </c>
      <c r="L715" s="546">
        <v>43417</v>
      </c>
      <c r="M715" s="546">
        <v>43417</v>
      </c>
      <c r="N715" s="546">
        <v>43424</v>
      </c>
      <c r="O715" s="127">
        <f>COUNTA(Modificaciones!I701,Modificaciones!K701,Modificaciones!M701,Modificaciones!O701)</f>
        <v>0</v>
      </c>
      <c r="P715" s="128">
        <f>VLOOKUP(E715,Modificaciones!$B$7:$Q$1819,16,0)</f>
        <v>0</v>
      </c>
      <c r="Q715" s="129">
        <f>COUNTA(Modificaciones!S715,Modificaciones!U715,Modificaciones!W715,Modificaciones!Y715)</f>
        <v>0</v>
      </c>
      <c r="R715" s="130" t="str">
        <f>IF(Modificaciones!Z715=0,"",VLOOKUP(E715,Modificaciones!$B$7:$AA$1419,25,0))</f>
        <v/>
      </c>
      <c r="S715" s="131" t="str">
        <f>IF(Modificaciones!AA715=0,"",VLOOKUP(E715,Modificaciones!$B$7:$AA$1419,26,0))</f>
        <v/>
      </c>
      <c r="T715" s="855">
        <f t="shared" si="158"/>
        <v>43424</v>
      </c>
      <c r="U715" s="62">
        <f t="shared" si="159"/>
        <v>17713692</v>
      </c>
      <c r="V715" s="172">
        <f>VLOOKUP(E715,Modificaciones!$B$7:$AU$819,46,0)</f>
        <v>17615413</v>
      </c>
      <c r="W715" s="93">
        <f t="shared" si="160"/>
        <v>98279</v>
      </c>
      <c r="X715" s="309" t="s">
        <v>1895</v>
      </c>
      <c r="Y715" s="852">
        <f t="shared" si="161"/>
        <v>0.99445180598149729</v>
      </c>
      <c r="Z715" s="42">
        <f t="shared" ca="1" si="162"/>
        <v>1</v>
      </c>
      <c r="AA715" s="43">
        <f t="shared" ca="1" si="163"/>
        <v>5.5481940185027057E-3</v>
      </c>
      <c r="AB715" s="202" t="str">
        <f t="shared" ca="1" si="164"/>
        <v/>
      </c>
      <c r="AC715" s="44" t="str">
        <f t="shared" si="165"/>
        <v>NO</v>
      </c>
      <c r="AD715" s="868" t="s">
        <v>1712</v>
      </c>
      <c r="AE715" s="871" t="s">
        <v>1256</v>
      </c>
      <c r="AF715" s="900" t="s">
        <v>4456</v>
      </c>
      <c r="AG715" s="173" t="s">
        <v>1442</v>
      </c>
      <c r="AH715" s="281" t="s">
        <v>559</v>
      </c>
      <c r="AI715" s="868"/>
      <c r="AJ715" s="305" t="s">
        <v>4252</v>
      </c>
      <c r="AK715" s="181" t="str">
        <f t="shared" ca="1" si="166"/>
        <v>TERMINO</v>
      </c>
      <c r="AL715" s="310" t="s">
        <v>2726</v>
      </c>
      <c r="AM715" s="433"/>
      <c r="AN715" s="848" t="str">
        <f>IFERROR(VLOOKUP(E715,'liquidaciones '!$B$2:$C$1048576,2,0),"NO")</f>
        <v>NO</v>
      </c>
      <c r="AO715" s="944" t="str">
        <f>IFERROR(VLOOKUP(E715,'liquidaciones '!$B$2:$I$1048576,8,0),"")</f>
        <v/>
      </c>
      <c r="AP715" s="433"/>
      <c r="AQ715" s="433" t="s">
        <v>390</v>
      </c>
      <c r="AR715" s="1015" t="s">
        <v>4309</v>
      </c>
      <c r="AS715" s="433"/>
      <c r="AT715" s="966" t="s">
        <v>3947</v>
      </c>
      <c r="AU715" s="964"/>
      <c r="AV715" s="301"/>
    </row>
    <row r="716" spans="3:48" ht="45" x14ac:dyDescent="0.25">
      <c r="C716" s="867">
        <v>181</v>
      </c>
      <c r="D716" s="867"/>
      <c r="E716" s="868" t="s">
        <v>4457</v>
      </c>
      <c r="F716" s="441" t="s">
        <v>152</v>
      </c>
      <c r="G716" s="893">
        <v>800015583</v>
      </c>
      <c r="H716" s="1005" t="s">
        <v>4458</v>
      </c>
      <c r="I716" s="93">
        <v>147499998</v>
      </c>
      <c r="J716" s="873" t="s">
        <v>4459</v>
      </c>
      <c r="K716" s="295">
        <v>2018</v>
      </c>
      <c r="L716" s="546">
        <v>43411</v>
      </c>
      <c r="M716" s="546">
        <v>43425</v>
      </c>
      <c r="N716" s="546">
        <v>43605</v>
      </c>
      <c r="O716" s="127">
        <f>COUNTA(Modificaciones!I702,Modificaciones!K702,Modificaciones!M702,Modificaciones!O702)</f>
        <v>0</v>
      </c>
      <c r="P716" s="128">
        <f>VLOOKUP(E716,Modificaciones!$B$7:$Q$1819,16,0)</f>
        <v>49166666</v>
      </c>
      <c r="Q716" s="129">
        <f>COUNTA(Modificaciones!S716,Modificaciones!U716,Modificaciones!W716,Modificaciones!Y716)</f>
        <v>1</v>
      </c>
      <c r="R716" s="130" t="str">
        <f>IF(Modificaciones!Z716=0,"",VLOOKUP(E716,Modificaciones!$B$7:$AA$1419,25,0))</f>
        <v>2 meses</v>
      </c>
      <c r="S716" s="131">
        <f>IF(Modificaciones!AA716=0,"",VLOOKUP(E716,Modificaciones!$B$7:$AA$1419,26,0))</f>
        <v>43666</v>
      </c>
      <c r="T716" s="855">
        <f t="shared" ref="T716:T779" si="167">MAX(N716,S716)</f>
        <v>43666</v>
      </c>
      <c r="U716" s="62">
        <f t="shared" ref="U716:U779" si="168">I716+P716</f>
        <v>196666664</v>
      </c>
      <c r="V716" s="172">
        <f>VLOOKUP(E716,Modificaciones!$B$7:$AU$819,46,0)</f>
        <v>73749999</v>
      </c>
      <c r="W716" s="93">
        <f t="shared" ref="W716:W779" si="169">U716-V716</f>
        <v>122916665</v>
      </c>
      <c r="X716" s="309" t="s">
        <v>4460</v>
      </c>
      <c r="Y716" s="852">
        <f t="shared" ref="Y716:Y779" si="170">(V716*100%)/U716</f>
        <v>0.375</v>
      </c>
      <c r="Z716" s="42">
        <f t="shared" ref="Z716:Z779" ca="1" si="171">IF((($F$3-M716)*100%/(T716-M716))&gt;100%,100%,(($F$3-M716)*100%/(T716-M716)))</f>
        <v>0.9045643153526971</v>
      </c>
      <c r="AA716" s="43">
        <f t="shared" ref="AA716:AA779" ca="1" si="172">Z716-Y716</f>
        <v>0.5295643153526971</v>
      </c>
      <c r="AB716" s="202">
        <f t="shared" ref="AB716:AB779" ca="1" si="173">IF(Z716&lt;100%,T716-$F$3,"")</f>
        <v>23</v>
      </c>
      <c r="AC716" s="44" t="str">
        <f t="shared" ref="AC716:AC779" si="174">IF(Y716&lt;=99.9%,"NO","SI")</f>
        <v>NO</v>
      </c>
      <c r="AD716" s="760" t="s">
        <v>3059</v>
      </c>
      <c r="AE716" s="173" t="s">
        <v>1257</v>
      </c>
      <c r="AF716" s="281" t="s">
        <v>1936</v>
      </c>
      <c r="AG716" s="173" t="s">
        <v>1439</v>
      </c>
      <c r="AH716" s="281" t="s">
        <v>560</v>
      </c>
      <c r="AI716" s="305" t="s">
        <v>1509</v>
      </c>
      <c r="AJ716" s="305" t="s">
        <v>3880</v>
      </c>
      <c r="AK716" s="181" t="str">
        <f t="shared" ref="AK716:AK779" ca="1" si="175">IF(T716&gt;=$F$3,"EN EJECUCIÓN","TERMINO")</f>
        <v>EN EJECUCIÓN</v>
      </c>
      <c r="AL716" s="310" t="s">
        <v>575</v>
      </c>
      <c r="AM716" s="433" t="s">
        <v>390</v>
      </c>
      <c r="AN716" s="848" t="str">
        <f>IFERROR(VLOOKUP(E716,'liquidaciones '!$B$2:$C$1048576,2,0),"NO")</f>
        <v>NO</v>
      </c>
      <c r="AO716" s="944" t="str">
        <f>IFERROR(VLOOKUP(E716,'liquidaciones '!$B$2:$I$1048576,8,0),"")</f>
        <v/>
      </c>
      <c r="AP716" s="433"/>
      <c r="AQ716" s="433" t="s">
        <v>390</v>
      </c>
      <c r="AR716" s="1020" t="s">
        <v>4219</v>
      </c>
      <c r="AS716" s="433" t="s">
        <v>3785</v>
      </c>
      <c r="AT716" s="966" t="s">
        <v>560</v>
      </c>
      <c r="AU716" s="966" t="s">
        <v>4922</v>
      </c>
      <c r="AV716" s="301" t="s">
        <v>4923</v>
      </c>
    </row>
    <row r="717" spans="3:48" ht="33.75" x14ac:dyDescent="0.25">
      <c r="C717" s="867"/>
      <c r="D717" s="867"/>
      <c r="E717" s="868" t="s">
        <v>4461</v>
      </c>
      <c r="F717" s="441" t="s">
        <v>2716</v>
      </c>
      <c r="G717" s="893">
        <v>830135234</v>
      </c>
      <c r="H717" s="1005" t="s">
        <v>4462</v>
      </c>
      <c r="I717" s="93">
        <v>7000000</v>
      </c>
      <c r="J717" s="873" t="s">
        <v>4463</v>
      </c>
      <c r="K717" s="295">
        <v>2018</v>
      </c>
      <c r="L717" s="546">
        <v>43411</v>
      </c>
      <c r="M717" s="546">
        <v>43427</v>
      </c>
      <c r="N717" s="546">
        <v>43518</v>
      </c>
      <c r="O717" s="127">
        <f>COUNTA(Modificaciones!I703,Modificaciones!K703,Modificaciones!M703,Modificaciones!O703)</f>
        <v>0</v>
      </c>
      <c r="P717" s="128">
        <f>VLOOKUP(E717,Modificaciones!$B$7:$Q$1819,16,0)</f>
        <v>0</v>
      </c>
      <c r="Q717" s="129">
        <f>COUNTA(Modificaciones!S717,Modificaciones!U717,Modificaciones!W717,Modificaciones!Y717)</f>
        <v>0</v>
      </c>
      <c r="R717" s="130" t="str">
        <f>IF(Modificaciones!Z717=0,"",VLOOKUP(E717,Modificaciones!$B$7:$AA$1419,25,0))</f>
        <v/>
      </c>
      <c r="S717" s="131" t="str">
        <f>IF(Modificaciones!AA717=0,"",VLOOKUP(E717,Modificaciones!$B$7:$AA$1419,26,0))</f>
        <v/>
      </c>
      <c r="T717" s="855">
        <f t="shared" si="167"/>
        <v>43518</v>
      </c>
      <c r="U717" s="62">
        <f t="shared" si="168"/>
        <v>7000000</v>
      </c>
      <c r="V717" s="172">
        <f>VLOOKUP(E717,Modificaciones!$B$7:$AU$819,46,0)</f>
        <v>6994400</v>
      </c>
      <c r="W717" s="93">
        <f t="shared" si="169"/>
        <v>5600</v>
      </c>
      <c r="X717" s="309" t="s">
        <v>1895</v>
      </c>
      <c r="Y717" s="852">
        <f t="shared" si="170"/>
        <v>0.99919999999999998</v>
      </c>
      <c r="Z717" s="42">
        <f t="shared" ca="1" si="171"/>
        <v>1</v>
      </c>
      <c r="AA717" s="43">
        <f t="shared" ca="1" si="172"/>
        <v>8.0000000000002292E-4</v>
      </c>
      <c r="AB717" s="202" t="str">
        <f t="shared" ca="1" si="173"/>
        <v/>
      </c>
      <c r="AC717" s="44" t="str">
        <f t="shared" si="174"/>
        <v>SI</v>
      </c>
      <c r="AD717" s="760" t="s">
        <v>1712</v>
      </c>
      <c r="AE717" s="173" t="s">
        <v>1256</v>
      </c>
      <c r="AF717" s="281" t="s">
        <v>2720</v>
      </c>
      <c r="AG717" s="173" t="s">
        <v>1435</v>
      </c>
      <c r="AH717" s="281" t="s">
        <v>560</v>
      </c>
      <c r="AI717" s="868" t="s">
        <v>4343</v>
      </c>
      <c r="AJ717" s="305" t="s">
        <v>3880</v>
      </c>
      <c r="AK717" s="181" t="str">
        <f t="shared" ca="1" si="175"/>
        <v>TERMINO</v>
      </c>
      <c r="AL717" s="310" t="s">
        <v>576</v>
      </c>
      <c r="AM717" s="433" t="s">
        <v>391</v>
      </c>
      <c r="AN717" s="848" t="str">
        <f>IFERROR(VLOOKUP(E717,'liquidaciones '!$B$2:$C$1048576,2,0),"NO")</f>
        <v>NO</v>
      </c>
      <c r="AO717" s="944" t="str">
        <f>IFERROR(VLOOKUP(E717,'liquidaciones '!$B$2:$I$1048576,8,0),"")</f>
        <v/>
      </c>
      <c r="AP717" s="433"/>
      <c r="AQ717" s="433" t="s">
        <v>390</v>
      </c>
      <c r="AR717" s="433" t="s">
        <v>4820</v>
      </c>
      <c r="AS717" s="433" t="s">
        <v>4343</v>
      </c>
      <c r="AT717" s="966" t="s">
        <v>560</v>
      </c>
      <c r="AU717" s="964"/>
      <c r="AV717" s="301" t="s">
        <v>4971</v>
      </c>
    </row>
    <row r="718" spans="3:48" ht="165.75" customHeight="1" x14ac:dyDescent="0.25">
      <c r="C718" s="867"/>
      <c r="D718" s="867"/>
      <c r="E718" s="868" t="s">
        <v>4464</v>
      </c>
      <c r="F718" s="441" t="s">
        <v>3622</v>
      </c>
      <c r="G718" s="893" t="s">
        <v>3623</v>
      </c>
      <c r="H718" s="1005" t="s">
        <v>4465</v>
      </c>
      <c r="I718" s="93">
        <v>112600000</v>
      </c>
      <c r="J718" s="873" t="s">
        <v>4475</v>
      </c>
      <c r="K718" s="295">
        <v>2018</v>
      </c>
      <c r="L718" s="546">
        <v>43419</v>
      </c>
      <c r="M718" s="546">
        <v>43430</v>
      </c>
      <c r="N718" s="546">
        <v>43794</v>
      </c>
      <c r="O718" s="127">
        <f>COUNTA(Modificaciones!I704,Modificaciones!K704,Modificaciones!M704,Modificaciones!O704)</f>
        <v>0</v>
      </c>
      <c r="P718" s="128">
        <f>VLOOKUP(E718,Modificaciones!$B$7:$Q$1819,16,0)</f>
        <v>0</v>
      </c>
      <c r="Q718" s="129">
        <f>COUNTA(Modificaciones!S718,Modificaciones!U718,Modificaciones!W718,Modificaciones!Y718)</f>
        <v>0</v>
      </c>
      <c r="R718" s="130" t="str">
        <f>IF(Modificaciones!Z718=0,"",VLOOKUP(E718,Modificaciones!$B$7:$AA$1419,25,0))</f>
        <v/>
      </c>
      <c r="S718" s="131" t="str">
        <f>IF(Modificaciones!AA718=0,"",VLOOKUP(E718,Modificaciones!$B$7:$AA$1419,26,0))</f>
        <v/>
      </c>
      <c r="T718" s="855">
        <f t="shared" si="167"/>
        <v>43794</v>
      </c>
      <c r="U718" s="62">
        <f t="shared" si="168"/>
        <v>112600000</v>
      </c>
      <c r="V718" s="172">
        <f>VLOOKUP(E718,Modificaciones!$B$7:$AU$819,46,0)</f>
        <v>25828673</v>
      </c>
      <c r="W718" s="93">
        <f t="shared" si="169"/>
        <v>86771327</v>
      </c>
      <c r="X718" s="899" t="s">
        <v>4466</v>
      </c>
      <c r="Y718" s="852"/>
      <c r="Z718" s="42">
        <f t="shared" ca="1" si="171"/>
        <v>0.5851648351648352</v>
      </c>
      <c r="AA718" s="43">
        <f t="shared" ca="1" si="172"/>
        <v>0.5851648351648352</v>
      </c>
      <c r="AB718" s="202">
        <f t="shared" ca="1" si="173"/>
        <v>151</v>
      </c>
      <c r="AC718" s="44" t="str">
        <f t="shared" si="174"/>
        <v>NO</v>
      </c>
      <c r="AD718" s="760" t="s">
        <v>1710</v>
      </c>
      <c r="AE718" s="871" t="s">
        <v>1257</v>
      </c>
      <c r="AF718" s="900" t="s">
        <v>4467</v>
      </c>
      <c r="AG718" s="173" t="s">
        <v>1439</v>
      </c>
      <c r="AH718" s="281" t="s">
        <v>560</v>
      </c>
      <c r="AI718" s="868" t="s">
        <v>1509</v>
      </c>
      <c r="AJ718" s="305" t="s">
        <v>3880</v>
      </c>
      <c r="AK718" s="181" t="str">
        <f t="shared" ca="1" si="175"/>
        <v>EN EJECUCIÓN</v>
      </c>
      <c r="AL718" s="441"/>
      <c r="AM718" s="433" t="s">
        <v>390</v>
      </c>
      <c r="AN718" s="848" t="str">
        <f>IFERROR(VLOOKUP(E718,'liquidaciones '!$B$2:$C$1048576,2,0),"NO")</f>
        <v>NO</v>
      </c>
      <c r="AO718" s="944" t="str">
        <f>IFERROR(VLOOKUP(E718,'liquidaciones '!$B$2:$I$1048576,8,0),"")</f>
        <v/>
      </c>
      <c r="AP718" s="433"/>
      <c r="AQ718" s="433"/>
      <c r="AR718" s="1020" t="s">
        <v>4219</v>
      </c>
      <c r="AS718" s="433" t="s">
        <v>3785</v>
      </c>
      <c r="AT718" s="966" t="s">
        <v>560</v>
      </c>
      <c r="AU718" s="964"/>
      <c r="AV718" s="301"/>
    </row>
    <row r="719" spans="3:48" ht="67.5" x14ac:dyDescent="0.25">
      <c r="C719" s="867"/>
      <c r="D719" s="867"/>
      <c r="E719" s="868" t="s">
        <v>4468</v>
      </c>
      <c r="F719" s="441" t="s">
        <v>4469</v>
      </c>
      <c r="G719" s="893">
        <v>79883661</v>
      </c>
      <c r="H719" s="1005" t="s">
        <v>4470</v>
      </c>
      <c r="I719" s="93">
        <v>21093000</v>
      </c>
      <c r="J719" s="873" t="s">
        <v>4471</v>
      </c>
      <c r="K719" s="295">
        <v>2018</v>
      </c>
      <c r="L719" s="546">
        <v>43427</v>
      </c>
      <c r="M719" s="546">
        <v>43430</v>
      </c>
      <c r="N719" s="546">
        <v>43496</v>
      </c>
      <c r="O719" s="127">
        <f>COUNTA(Modificaciones!I705,Modificaciones!K705,Modificaciones!M705,Modificaciones!O705)</f>
        <v>0</v>
      </c>
      <c r="P719" s="128">
        <f>VLOOKUP(E719,Modificaciones!$B$7:$Q$1819,16,0)</f>
        <v>0</v>
      </c>
      <c r="Q719" s="129">
        <f>COUNTA(Modificaciones!S719,Modificaciones!U719,Modificaciones!W719,Modificaciones!Y719)</f>
        <v>0</v>
      </c>
      <c r="R719" s="130" t="str">
        <f>IF(Modificaciones!Z719=0,"",VLOOKUP(E719,Modificaciones!$B$7:$AA$1419,25,0))</f>
        <v/>
      </c>
      <c r="S719" s="131" t="str">
        <f>IF(Modificaciones!AA719=0,"",VLOOKUP(E719,Modificaciones!$B$7:$AA$1419,26,0))</f>
        <v/>
      </c>
      <c r="T719" s="855">
        <f t="shared" si="167"/>
        <v>43496</v>
      </c>
      <c r="U719" s="62">
        <f t="shared" si="168"/>
        <v>21093000</v>
      </c>
      <c r="V719" s="172">
        <f>VLOOKUP(E719,Modificaciones!$B$7:$AU$819,46,0)</f>
        <v>15233833</v>
      </c>
      <c r="W719" s="93">
        <f t="shared" si="169"/>
        <v>5859167</v>
      </c>
      <c r="X719" s="309" t="s">
        <v>1095</v>
      </c>
      <c r="Y719" s="852">
        <f t="shared" si="170"/>
        <v>0.72222220641919121</v>
      </c>
      <c r="Z719" s="42">
        <f t="shared" ca="1" si="171"/>
        <v>1</v>
      </c>
      <c r="AA719" s="43">
        <f t="shared" ca="1" si="172"/>
        <v>0.27777779358080879</v>
      </c>
      <c r="AB719" s="202" t="str">
        <f t="shared" ca="1" si="173"/>
        <v/>
      </c>
      <c r="AC719" s="44" t="str">
        <f t="shared" si="174"/>
        <v>NO</v>
      </c>
      <c r="AD719" s="760" t="s">
        <v>2898</v>
      </c>
      <c r="AE719" s="173" t="s">
        <v>1256</v>
      </c>
      <c r="AF719" s="281" t="s">
        <v>4472</v>
      </c>
      <c r="AG719" s="868"/>
      <c r="AH719" s="281" t="s">
        <v>562</v>
      </c>
      <c r="AI719" s="868"/>
      <c r="AJ719" s="305" t="s">
        <v>3993</v>
      </c>
      <c r="AK719" s="181" t="str">
        <f t="shared" ca="1" si="175"/>
        <v>TERMINO</v>
      </c>
      <c r="AL719" s="441"/>
      <c r="AM719" s="433" t="s">
        <v>391</v>
      </c>
      <c r="AN719" s="848" t="str">
        <f>IFERROR(VLOOKUP(E719,'liquidaciones '!$B$2:$C$1048576,2,0),"NO")</f>
        <v>NO</v>
      </c>
      <c r="AO719" s="944" t="str">
        <f>IFERROR(VLOOKUP(E719,'liquidaciones '!$B$2:$I$1048576,8,0),"")</f>
        <v/>
      </c>
      <c r="AP719" s="433"/>
      <c r="AQ719" s="433"/>
      <c r="AR719" s="433" t="s">
        <v>4818</v>
      </c>
      <c r="AS719" s="433"/>
      <c r="AT719" s="966" t="s">
        <v>3994</v>
      </c>
      <c r="AU719" s="964"/>
      <c r="AV719" s="301"/>
    </row>
    <row r="720" spans="3:48" ht="112.5" x14ac:dyDescent="0.25">
      <c r="C720" s="867"/>
      <c r="D720" s="867"/>
      <c r="E720" s="868" t="s">
        <v>4473</v>
      </c>
      <c r="F720" s="441" t="s">
        <v>2628</v>
      </c>
      <c r="G720" s="893" t="s">
        <v>2851</v>
      </c>
      <c r="H720" s="1005" t="s">
        <v>2730</v>
      </c>
      <c r="I720" s="93">
        <v>17440000</v>
      </c>
      <c r="J720" s="873" t="s">
        <v>4474</v>
      </c>
      <c r="K720" s="295">
        <v>2018</v>
      </c>
      <c r="L720" s="546">
        <v>43127</v>
      </c>
      <c r="M720" s="546">
        <v>43441</v>
      </c>
      <c r="N720" s="546">
        <v>43502</v>
      </c>
      <c r="O720" s="127">
        <f>COUNTA(Modificaciones!I706,Modificaciones!K706,Modificaciones!M706,Modificaciones!O706)</f>
        <v>0</v>
      </c>
      <c r="P720" s="128">
        <f>VLOOKUP(E720,Modificaciones!$B$7:$Q$1819,16,0)</f>
        <v>0</v>
      </c>
      <c r="Q720" s="129">
        <f>COUNTA(Modificaciones!S720,Modificaciones!U720,Modificaciones!W720,Modificaciones!Y720)</f>
        <v>0</v>
      </c>
      <c r="R720" s="130" t="str">
        <f>IF(Modificaciones!Z720=0,"",VLOOKUP(E720,Modificaciones!$B$7:$AA$1419,25,0))</f>
        <v/>
      </c>
      <c r="S720" s="131" t="str">
        <f>IF(Modificaciones!AA720=0,"",VLOOKUP(E720,Modificaciones!$B$7:$AA$1419,26,0))</f>
        <v/>
      </c>
      <c r="T720" s="855">
        <f t="shared" si="167"/>
        <v>43502</v>
      </c>
      <c r="U720" s="62">
        <f t="shared" si="168"/>
        <v>17440000</v>
      </c>
      <c r="V720" s="172">
        <f>VLOOKUP(E720,Modificaciones!$B$7:$AU$819,46,0)</f>
        <v>17440000</v>
      </c>
      <c r="W720" s="93">
        <f t="shared" si="169"/>
        <v>0</v>
      </c>
      <c r="X720" s="314" t="s">
        <v>4714</v>
      </c>
      <c r="Y720" s="852">
        <f t="shared" si="170"/>
        <v>1</v>
      </c>
      <c r="Z720" s="42">
        <f t="shared" ca="1" si="171"/>
        <v>1</v>
      </c>
      <c r="AA720" s="43">
        <f t="shared" ca="1" si="172"/>
        <v>0</v>
      </c>
      <c r="AB720" s="202" t="str">
        <f t="shared" ca="1" si="173"/>
        <v/>
      </c>
      <c r="AC720" s="44" t="str">
        <f t="shared" si="174"/>
        <v>SI</v>
      </c>
      <c r="AD720" s="868"/>
      <c r="AE720" s="173" t="s">
        <v>1256</v>
      </c>
      <c r="AF720" s="281" t="s">
        <v>1488</v>
      </c>
      <c r="AG720" s="173" t="s">
        <v>1442</v>
      </c>
      <c r="AH720" s="281" t="s">
        <v>559</v>
      </c>
      <c r="AI720" s="305" t="s">
        <v>3603</v>
      </c>
      <c r="AJ720" s="305" t="s">
        <v>4252</v>
      </c>
      <c r="AK720" s="181" t="str">
        <f t="shared" ca="1" si="175"/>
        <v>TERMINO</v>
      </c>
      <c r="AL720" s="310" t="s">
        <v>576</v>
      </c>
      <c r="AM720" s="433" t="s">
        <v>390</v>
      </c>
      <c r="AN720" s="848" t="str">
        <f>IFERROR(VLOOKUP(E720,'liquidaciones '!$B$2:$C$1048576,2,0),"NO")</f>
        <v>NO</v>
      </c>
      <c r="AO720" s="944" t="str">
        <f>IFERROR(VLOOKUP(E720,'liquidaciones '!$B$2:$I$1048576,8,0),"")</f>
        <v/>
      </c>
      <c r="AP720" s="433"/>
      <c r="AQ720" s="433" t="s">
        <v>390</v>
      </c>
      <c r="AR720" s="177" t="s">
        <v>4255</v>
      </c>
      <c r="AS720" s="433"/>
      <c r="AT720" s="966" t="s">
        <v>3947</v>
      </c>
      <c r="AU720" s="964"/>
      <c r="AV720" s="301"/>
    </row>
    <row r="721" spans="3:48" ht="33.75" x14ac:dyDescent="0.25">
      <c r="C721" s="867"/>
      <c r="D721" s="867"/>
      <c r="E721" s="868" t="s">
        <v>4476</v>
      </c>
      <c r="F721" s="441" t="s">
        <v>4477</v>
      </c>
      <c r="G721" s="893" t="s">
        <v>4478</v>
      </c>
      <c r="H721" s="1005" t="s">
        <v>3756</v>
      </c>
      <c r="I721" s="93">
        <v>39062000</v>
      </c>
      <c r="J721" s="873" t="s">
        <v>4479</v>
      </c>
      <c r="K721" s="295">
        <v>2018</v>
      </c>
      <c r="L721" s="546">
        <v>43440</v>
      </c>
      <c r="M721" s="546">
        <v>43448</v>
      </c>
      <c r="N721" s="546">
        <v>43568</v>
      </c>
      <c r="O721" s="127">
        <f>COUNTA(Modificaciones!I707,Modificaciones!K707,Modificaciones!M707,Modificaciones!O707)</f>
        <v>0</v>
      </c>
      <c r="P721" s="128">
        <f>VLOOKUP(E721,Modificaciones!$B$7:$Q$1819,16,0)</f>
        <v>0</v>
      </c>
      <c r="Q721" s="129">
        <f>COUNTA(Modificaciones!S721,Modificaciones!U721,Modificaciones!W721,Modificaciones!Y721)</f>
        <v>0</v>
      </c>
      <c r="R721" s="130" t="str">
        <f>IF(Modificaciones!Z721=0,"",VLOOKUP(E721,Modificaciones!$B$7:$AA$1419,25,0))</f>
        <v/>
      </c>
      <c r="S721" s="131" t="str">
        <f>IF(Modificaciones!AA721=0,"",VLOOKUP(E721,Modificaciones!$B$7:$AA$1419,26,0))</f>
        <v/>
      </c>
      <c r="T721" s="855">
        <f t="shared" si="167"/>
        <v>43568</v>
      </c>
      <c r="U721" s="62">
        <f t="shared" si="168"/>
        <v>39062000</v>
      </c>
      <c r="V721" s="172">
        <f>VLOOKUP(E721,Modificaciones!$B$7:$AU$819,46,0)</f>
        <v>30778194</v>
      </c>
      <c r="W721" s="93">
        <f t="shared" si="169"/>
        <v>8283806</v>
      </c>
      <c r="X721" s="309" t="s">
        <v>4480</v>
      </c>
      <c r="Y721" s="852">
        <f t="shared" si="170"/>
        <v>0.78793185192770465</v>
      </c>
      <c r="Z721" s="42">
        <f t="shared" ca="1" si="171"/>
        <v>1</v>
      </c>
      <c r="AA721" s="43">
        <f t="shared" ca="1" si="172"/>
        <v>0.21206814807229535</v>
      </c>
      <c r="AB721" s="202" t="str">
        <f t="shared" ca="1" si="173"/>
        <v/>
      </c>
      <c r="AC721" s="44" t="str">
        <f t="shared" si="174"/>
        <v>NO</v>
      </c>
      <c r="AD721" s="760" t="s">
        <v>1712</v>
      </c>
      <c r="AE721" s="173" t="s">
        <v>1256</v>
      </c>
      <c r="AF721" s="281" t="s">
        <v>1484</v>
      </c>
      <c r="AG721" s="173" t="s">
        <v>1435</v>
      </c>
      <c r="AH721" s="281" t="s">
        <v>560</v>
      </c>
      <c r="AI721" s="305" t="s">
        <v>4204</v>
      </c>
      <c r="AJ721" s="305" t="s">
        <v>4252</v>
      </c>
      <c r="AK721" s="181" t="str">
        <f t="shared" ca="1" si="175"/>
        <v>TERMINO</v>
      </c>
      <c r="AL721" s="310" t="s">
        <v>574</v>
      </c>
      <c r="AM721" s="433" t="s">
        <v>390</v>
      </c>
      <c r="AN721" s="848" t="str">
        <f>IFERROR(VLOOKUP(E721,'liquidaciones '!$B$2:$C$1048576,2,0),"NO")</f>
        <v>NO</v>
      </c>
      <c r="AO721" s="944" t="str">
        <f>IFERROR(VLOOKUP(E721,'liquidaciones '!$B$2:$I$1048576,8,0),"")</f>
        <v/>
      </c>
      <c r="AP721" s="433"/>
      <c r="AQ721" s="433" t="s">
        <v>390</v>
      </c>
      <c r="AR721" s="1025" t="s">
        <v>4309</v>
      </c>
      <c r="AS721" s="433"/>
      <c r="AT721" s="966" t="s">
        <v>3947</v>
      </c>
      <c r="AU721" s="964"/>
      <c r="AV721" s="301"/>
    </row>
    <row r="722" spans="3:48" ht="30" x14ac:dyDescent="0.25">
      <c r="C722" s="867"/>
      <c r="D722" s="867"/>
      <c r="E722" s="868" t="s">
        <v>4481</v>
      </c>
      <c r="F722" s="441" t="s">
        <v>2507</v>
      </c>
      <c r="G722" s="893" t="s">
        <v>2508</v>
      </c>
      <c r="H722" s="1005" t="s">
        <v>4482</v>
      </c>
      <c r="I722" s="93">
        <v>9323897</v>
      </c>
      <c r="J722" s="873" t="s">
        <v>4506</v>
      </c>
      <c r="K722" s="295">
        <v>2018</v>
      </c>
      <c r="L722" s="546">
        <v>43446</v>
      </c>
      <c r="M722" s="546">
        <v>43446</v>
      </c>
      <c r="N722" s="546">
        <v>43452</v>
      </c>
      <c r="O722" s="127">
        <f>COUNTA(Modificaciones!I708,Modificaciones!K708,Modificaciones!M708,Modificaciones!O708)</f>
        <v>0</v>
      </c>
      <c r="P722" s="128">
        <f>VLOOKUP(E722,Modificaciones!$B$7:$Q$1819,16,0)</f>
        <v>0</v>
      </c>
      <c r="Q722" s="129">
        <f>COUNTA(Modificaciones!S722,Modificaciones!U722,Modificaciones!W722,Modificaciones!Y722)</f>
        <v>0</v>
      </c>
      <c r="R722" s="130" t="str">
        <f>IF(Modificaciones!Z722=0,"",VLOOKUP(E722,Modificaciones!$B$7:$AA$1419,25,0))</f>
        <v/>
      </c>
      <c r="S722" s="131" t="str">
        <f>IF(Modificaciones!AA722=0,"",VLOOKUP(E722,Modificaciones!$B$7:$AA$1419,26,0))</f>
        <v/>
      </c>
      <c r="T722" s="855">
        <f t="shared" si="167"/>
        <v>43452</v>
      </c>
      <c r="U722" s="62">
        <f t="shared" si="168"/>
        <v>9323897</v>
      </c>
      <c r="V722" s="172">
        <f>VLOOKUP(E722,Modificaciones!$B$7:$AU$819,46,0)</f>
        <v>9323897</v>
      </c>
      <c r="W722" s="93">
        <f t="shared" si="169"/>
        <v>0</v>
      </c>
      <c r="X722" s="309" t="s">
        <v>1895</v>
      </c>
      <c r="Y722" s="852">
        <f t="shared" si="170"/>
        <v>1</v>
      </c>
      <c r="Z722" s="42">
        <f t="shared" ca="1" si="171"/>
        <v>1</v>
      </c>
      <c r="AA722" s="43">
        <f t="shared" ca="1" si="172"/>
        <v>0</v>
      </c>
      <c r="AB722" s="202" t="str">
        <f t="shared" ca="1" si="173"/>
        <v/>
      </c>
      <c r="AC722" s="44" t="str">
        <f t="shared" si="174"/>
        <v>SI</v>
      </c>
      <c r="AD722" s="868" t="s">
        <v>1712</v>
      </c>
      <c r="AE722" s="871" t="s">
        <v>1257</v>
      </c>
      <c r="AF722" s="871" t="s">
        <v>4218</v>
      </c>
      <c r="AG722" s="173" t="s">
        <v>1439</v>
      </c>
      <c r="AH722" s="281" t="s">
        <v>560</v>
      </c>
      <c r="AI722" s="868" t="s">
        <v>1509</v>
      </c>
      <c r="AJ722" s="305" t="s">
        <v>4252</v>
      </c>
      <c r="AK722" s="181" t="str">
        <f t="shared" ca="1" si="175"/>
        <v>TERMINO</v>
      </c>
      <c r="AL722" s="310" t="s">
        <v>2726</v>
      </c>
      <c r="AM722" s="433"/>
      <c r="AN722" s="848" t="str">
        <f>IFERROR(VLOOKUP(E722,'liquidaciones '!$B$2:$C$1048576,2,0),"NO")</f>
        <v>NO</v>
      </c>
      <c r="AO722" s="944" t="str">
        <f>IFERROR(VLOOKUP(E722,'liquidaciones '!$B$2:$I$1048576,8,0),"")</f>
        <v/>
      </c>
      <c r="AP722" s="433"/>
      <c r="AQ722" s="433" t="s">
        <v>390</v>
      </c>
      <c r="AR722" s="1026" t="s">
        <v>4219</v>
      </c>
      <c r="AS722" s="433" t="s">
        <v>3785</v>
      </c>
      <c r="AT722" s="966" t="s">
        <v>560</v>
      </c>
      <c r="AU722" s="964"/>
      <c r="AV722" s="301"/>
    </row>
    <row r="723" spans="3:48" ht="33.75" x14ac:dyDescent="0.25">
      <c r="C723" s="867"/>
      <c r="D723" s="867"/>
      <c r="E723" s="868" t="s">
        <v>4483</v>
      </c>
      <c r="F723" s="441" t="s">
        <v>4244</v>
      </c>
      <c r="G723" s="893" t="s">
        <v>4245</v>
      </c>
      <c r="H723" s="1005" t="s">
        <v>4484</v>
      </c>
      <c r="I723" s="93">
        <v>12599060</v>
      </c>
      <c r="J723" s="873" t="s">
        <v>4505</v>
      </c>
      <c r="K723" s="295">
        <v>2018</v>
      </c>
      <c r="L723" s="546">
        <v>43446</v>
      </c>
      <c r="M723" s="546">
        <v>43446</v>
      </c>
      <c r="N723" s="546">
        <v>43456</v>
      </c>
      <c r="O723" s="127">
        <f>COUNTA(Modificaciones!I709,Modificaciones!K709,Modificaciones!M709,Modificaciones!O709)</f>
        <v>0</v>
      </c>
      <c r="P723" s="128">
        <f>VLOOKUP(E723,Modificaciones!$B$7:$Q$1819,16,0)</f>
        <v>0</v>
      </c>
      <c r="Q723" s="129">
        <f>COUNTA(Modificaciones!S723,Modificaciones!U723,Modificaciones!W723,Modificaciones!Y723)</f>
        <v>0</v>
      </c>
      <c r="R723" s="130" t="str">
        <f>IF(Modificaciones!Z723=0,"",VLOOKUP(E723,Modificaciones!$B$7:$AA$1419,25,0))</f>
        <v/>
      </c>
      <c r="S723" s="131" t="str">
        <f>IF(Modificaciones!AA723=0,"",VLOOKUP(E723,Modificaciones!$B$7:$AA$1419,26,0))</f>
        <v/>
      </c>
      <c r="T723" s="855">
        <f t="shared" si="167"/>
        <v>43456</v>
      </c>
      <c r="U723" s="62">
        <f t="shared" si="168"/>
        <v>12599060</v>
      </c>
      <c r="V723" s="172">
        <f>VLOOKUP(E723,Modificaciones!$B$7:$AU$819,46,0)</f>
        <v>12599060</v>
      </c>
      <c r="W723" s="93">
        <f t="shared" si="169"/>
        <v>0</v>
      </c>
      <c r="X723" s="309" t="s">
        <v>1895</v>
      </c>
      <c r="Y723" s="852">
        <f t="shared" si="170"/>
        <v>1</v>
      </c>
      <c r="Z723" s="42">
        <f t="shared" ca="1" si="171"/>
        <v>1</v>
      </c>
      <c r="AA723" s="43">
        <f t="shared" ca="1" si="172"/>
        <v>0</v>
      </c>
      <c r="AB723" s="202" t="str">
        <f t="shared" ca="1" si="173"/>
        <v/>
      </c>
      <c r="AC723" s="44" t="str">
        <f t="shared" si="174"/>
        <v>SI</v>
      </c>
      <c r="AD723" s="868" t="s">
        <v>1712</v>
      </c>
      <c r="AE723" s="871" t="s">
        <v>1257</v>
      </c>
      <c r="AF723" s="871" t="s">
        <v>4218</v>
      </c>
      <c r="AG723" s="173" t="s">
        <v>1439</v>
      </c>
      <c r="AH723" s="281" t="s">
        <v>560</v>
      </c>
      <c r="AI723" s="868" t="s">
        <v>1509</v>
      </c>
      <c r="AJ723" s="305" t="s">
        <v>4252</v>
      </c>
      <c r="AK723" s="181" t="str">
        <f t="shared" ca="1" si="175"/>
        <v>TERMINO</v>
      </c>
      <c r="AL723" s="310" t="s">
        <v>2726</v>
      </c>
      <c r="AM723" s="433"/>
      <c r="AN723" s="848" t="str">
        <f>IFERROR(VLOOKUP(E723,'liquidaciones '!$B$2:$C$1048576,2,0),"NO")</f>
        <v>NO</v>
      </c>
      <c r="AO723" s="944" t="str">
        <f>IFERROR(VLOOKUP(E723,'liquidaciones '!$B$2:$I$1048576,8,0),"")</f>
        <v/>
      </c>
      <c r="AP723" s="433"/>
      <c r="AQ723" s="433" t="s">
        <v>390</v>
      </c>
      <c r="AR723" s="1027" t="s">
        <v>4219</v>
      </c>
      <c r="AS723" s="433" t="s">
        <v>3785</v>
      </c>
      <c r="AT723" s="966" t="s">
        <v>560</v>
      </c>
      <c r="AU723" s="964"/>
      <c r="AV723" s="301"/>
    </row>
    <row r="724" spans="3:48" ht="30" x14ac:dyDescent="0.25">
      <c r="C724" s="867"/>
      <c r="D724" s="867"/>
      <c r="E724" s="868" t="s">
        <v>4485</v>
      </c>
      <c r="F724" s="441" t="s">
        <v>1117</v>
      </c>
      <c r="G724" s="893" t="s">
        <v>4486</v>
      </c>
      <c r="H724" s="1005" t="s">
        <v>4487</v>
      </c>
      <c r="I724" s="93">
        <v>284999697</v>
      </c>
      <c r="J724" s="873" t="s">
        <v>4504</v>
      </c>
      <c r="K724" s="295">
        <v>2018</v>
      </c>
      <c r="L724" s="546">
        <v>43448</v>
      </c>
      <c r="M724" s="546">
        <v>43446</v>
      </c>
      <c r="N724" s="546">
        <v>43784</v>
      </c>
      <c r="O724" s="127">
        <f>COUNTA(Modificaciones!I710,Modificaciones!K710,Modificaciones!M710,Modificaciones!O710)</f>
        <v>1</v>
      </c>
      <c r="P724" s="128">
        <f>VLOOKUP(E724,Modificaciones!$B$7:$Q$1819,16,0)</f>
        <v>0</v>
      </c>
      <c r="Q724" s="129">
        <f>COUNTA(Modificaciones!S724,Modificaciones!U724,Modificaciones!W724,Modificaciones!Y724)</f>
        <v>0</v>
      </c>
      <c r="R724" s="130" t="str">
        <f>IF(Modificaciones!Z724=0,"",VLOOKUP(E724,Modificaciones!$B$7:$AA$1419,25,0))</f>
        <v/>
      </c>
      <c r="S724" s="131" t="str">
        <f>IF(Modificaciones!AA724=0,"",VLOOKUP(E724,Modificaciones!$B$7:$AA$1419,26,0))</f>
        <v/>
      </c>
      <c r="T724" s="855">
        <f t="shared" si="167"/>
        <v>43784</v>
      </c>
      <c r="U724" s="62">
        <f t="shared" si="168"/>
        <v>284999697</v>
      </c>
      <c r="V724" s="172">
        <f>VLOOKUP(E724,Modificaciones!$B$7:$AU$819,46,0)</f>
        <v>0</v>
      </c>
      <c r="W724" s="93">
        <f t="shared" si="169"/>
        <v>284999697</v>
      </c>
      <c r="X724" s="309"/>
      <c r="Y724" s="852">
        <f t="shared" si="170"/>
        <v>0</v>
      </c>
      <c r="Z724" s="42">
        <f t="shared" ca="1" si="171"/>
        <v>0.58284023668639051</v>
      </c>
      <c r="AA724" s="43">
        <f t="shared" ca="1" si="172"/>
        <v>0.58284023668639051</v>
      </c>
      <c r="AB724" s="202">
        <f t="shared" ca="1" si="173"/>
        <v>141</v>
      </c>
      <c r="AC724" s="44" t="str">
        <f t="shared" si="174"/>
        <v>NO</v>
      </c>
      <c r="AD724" s="868" t="s">
        <v>1712</v>
      </c>
      <c r="AE724" s="871" t="s">
        <v>1257</v>
      </c>
      <c r="AF724" s="871" t="s">
        <v>4488</v>
      </c>
      <c r="AG724" s="173" t="s">
        <v>1439</v>
      </c>
      <c r="AH724" s="281" t="s">
        <v>560</v>
      </c>
      <c r="AI724" s="868" t="s">
        <v>1509</v>
      </c>
      <c r="AJ724" s="305" t="s">
        <v>4252</v>
      </c>
      <c r="AK724" s="181" t="str">
        <f t="shared" ca="1" si="175"/>
        <v>EN EJECUCIÓN</v>
      </c>
      <c r="AL724" s="310" t="s">
        <v>2726</v>
      </c>
      <c r="AM724" s="433"/>
      <c r="AN724" s="848" t="str">
        <f>IFERROR(VLOOKUP(E724,'liquidaciones '!$B$2:$C$1048576,2,0),"NO")</f>
        <v>NO</v>
      </c>
      <c r="AO724" s="944" t="str">
        <f>IFERROR(VLOOKUP(E724,'liquidaciones '!$B$2:$I$1048576,8,0),"")</f>
        <v/>
      </c>
      <c r="AP724" s="433"/>
      <c r="AQ724" s="433" t="s">
        <v>390</v>
      </c>
      <c r="AR724" s="1027" t="s">
        <v>4219</v>
      </c>
      <c r="AS724" s="433" t="s">
        <v>3785</v>
      </c>
      <c r="AT724" s="966" t="s">
        <v>560</v>
      </c>
      <c r="AU724" s="964"/>
      <c r="AV724" s="301"/>
    </row>
    <row r="725" spans="3:48" ht="33.75" x14ac:dyDescent="0.25">
      <c r="C725" s="867">
        <v>41</v>
      </c>
      <c r="D725" s="867"/>
      <c r="E725" s="868" t="s">
        <v>4489</v>
      </c>
      <c r="F725" s="441" t="s">
        <v>4490</v>
      </c>
      <c r="G725" s="893">
        <v>800216724</v>
      </c>
      <c r="H725" s="1005" t="s">
        <v>4491</v>
      </c>
      <c r="I725" s="93">
        <v>8315000</v>
      </c>
      <c r="J725" s="873" t="s">
        <v>4492</v>
      </c>
      <c r="K725" s="295">
        <v>2018</v>
      </c>
      <c r="L725" s="546">
        <v>43437</v>
      </c>
      <c r="M725" s="546">
        <v>43455</v>
      </c>
      <c r="N725" s="546">
        <v>43636</v>
      </c>
      <c r="O725" s="127">
        <f>COUNTA(Modificaciones!I711,Modificaciones!K711,Modificaciones!M711,Modificaciones!O711)</f>
        <v>0</v>
      </c>
      <c r="P725" s="128">
        <f>VLOOKUP(E725,Modificaciones!$B$7:$Q$1819,16,0)</f>
        <v>0</v>
      </c>
      <c r="Q725" s="129">
        <f>COUNTA(Modificaciones!S725,Modificaciones!U725,Modificaciones!W725,Modificaciones!Y725)</f>
        <v>0</v>
      </c>
      <c r="R725" s="130" t="str">
        <f>IF(Modificaciones!Z725=0,"",VLOOKUP(E725,Modificaciones!$B$7:$AA$1419,25,0))</f>
        <v/>
      </c>
      <c r="S725" s="131" t="str">
        <f>IF(Modificaciones!AA725=0,"",VLOOKUP(E725,Modificaciones!$B$7:$AA$1419,26,0))</f>
        <v/>
      </c>
      <c r="T725" s="855">
        <f t="shared" si="167"/>
        <v>43636</v>
      </c>
      <c r="U725" s="62">
        <f t="shared" si="168"/>
        <v>8315000</v>
      </c>
      <c r="V725" s="172">
        <f>VLOOKUP(E725,Modificaciones!$B$7:$AU$819,46,0)</f>
        <v>0</v>
      </c>
      <c r="W725" s="93">
        <f t="shared" si="169"/>
        <v>8315000</v>
      </c>
      <c r="X725" s="309" t="s">
        <v>1958</v>
      </c>
      <c r="Y725" s="852">
        <f t="shared" si="170"/>
        <v>0</v>
      </c>
      <c r="Z725" s="42">
        <f t="shared" ca="1" si="171"/>
        <v>1</v>
      </c>
      <c r="AA725" s="43">
        <f t="shared" ca="1" si="172"/>
        <v>1</v>
      </c>
      <c r="AB725" s="202" t="str">
        <f t="shared" ca="1" si="173"/>
        <v/>
      </c>
      <c r="AC725" s="44" t="str">
        <f t="shared" si="174"/>
        <v>NO</v>
      </c>
      <c r="AD725" s="760" t="s">
        <v>1713</v>
      </c>
      <c r="AE725" s="173" t="s">
        <v>1256</v>
      </c>
      <c r="AF725" s="281" t="s">
        <v>1959</v>
      </c>
      <c r="AG725" s="173" t="s">
        <v>1442</v>
      </c>
      <c r="AH725" s="281" t="s">
        <v>560</v>
      </c>
      <c r="AI725" s="868"/>
      <c r="AJ725" s="305" t="s">
        <v>4252</v>
      </c>
      <c r="AK725" s="181" t="str">
        <f t="shared" ca="1" si="175"/>
        <v>TERMINO</v>
      </c>
      <c r="AL725" s="310" t="s">
        <v>576</v>
      </c>
      <c r="AM725" s="433" t="s">
        <v>390</v>
      </c>
      <c r="AN725" s="848" t="str">
        <f>IFERROR(VLOOKUP(E725,'liquidaciones '!$B$2:$C$1048576,2,0),"NO")</f>
        <v>NO</v>
      </c>
      <c r="AO725" s="944" t="str">
        <f>IFERROR(VLOOKUP(E725,'liquidaciones '!$B$2:$I$1048576,8,0),"")</f>
        <v/>
      </c>
      <c r="AP725" s="433"/>
      <c r="AQ725" s="433" t="s">
        <v>390</v>
      </c>
      <c r="AR725" s="177" t="s">
        <v>4309</v>
      </c>
      <c r="AS725" s="433" t="s">
        <v>1379</v>
      </c>
      <c r="AT725" s="966" t="s">
        <v>560</v>
      </c>
      <c r="AU725" s="964"/>
      <c r="AV725" s="301"/>
    </row>
    <row r="726" spans="3:48" ht="30" x14ac:dyDescent="0.25">
      <c r="C726" s="867"/>
      <c r="D726" s="867"/>
      <c r="E726" s="868" t="s">
        <v>4493</v>
      </c>
      <c r="F726" s="441" t="s">
        <v>2507</v>
      </c>
      <c r="G726" s="893" t="s">
        <v>2508</v>
      </c>
      <c r="H726" s="1005" t="s">
        <v>4494</v>
      </c>
      <c r="I726" s="93">
        <v>54468000</v>
      </c>
      <c r="J726" s="873" t="s">
        <v>4507</v>
      </c>
      <c r="K726" s="295">
        <v>2018</v>
      </c>
      <c r="L726" s="546">
        <v>43451</v>
      </c>
      <c r="M726" s="546">
        <v>43451</v>
      </c>
      <c r="N726" s="546">
        <v>43462</v>
      </c>
      <c r="O726" s="127">
        <f>COUNTA(Modificaciones!I712,Modificaciones!K712,Modificaciones!M712,Modificaciones!O712)</f>
        <v>1</v>
      </c>
      <c r="P726" s="128">
        <f>VLOOKUP(E726,Modificaciones!$B$7:$Q$1819,16,0)</f>
        <v>0</v>
      </c>
      <c r="Q726" s="129">
        <f>COUNTA(Modificaciones!S726,Modificaciones!U726,Modificaciones!W726,Modificaciones!Y726)</f>
        <v>0</v>
      </c>
      <c r="R726" s="130" t="str">
        <f>IF(Modificaciones!Z726=0,"",VLOOKUP(E726,Modificaciones!$B$7:$AA$1419,25,0))</f>
        <v/>
      </c>
      <c r="S726" s="131" t="str">
        <f>IF(Modificaciones!AA726=0,"",VLOOKUP(E726,Modificaciones!$B$7:$AA$1419,26,0))</f>
        <v/>
      </c>
      <c r="T726" s="855">
        <f t="shared" si="167"/>
        <v>43462</v>
      </c>
      <c r="U726" s="62">
        <f t="shared" si="168"/>
        <v>54468000</v>
      </c>
      <c r="V726" s="172">
        <f>VLOOKUP(E726,Modificaciones!$B$7:$AU$819,46,0)</f>
        <v>54468000</v>
      </c>
      <c r="W726" s="93">
        <f t="shared" si="169"/>
        <v>0</v>
      </c>
      <c r="X726" s="309" t="s">
        <v>1895</v>
      </c>
      <c r="Y726" s="852">
        <f t="shared" si="170"/>
        <v>1</v>
      </c>
      <c r="Z726" s="42">
        <f t="shared" ca="1" si="171"/>
        <v>1</v>
      </c>
      <c r="AA726" s="43">
        <f t="shared" ca="1" si="172"/>
        <v>0</v>
      </c>
      <c r="AB726" s="202" t="str">
        <f t="shared" ca="1" si="173"/>
        <v/>
      </c>
      <c r="AC726" s="44" t="str">
        <f t="shared" si="174"/>
        <v>SI</v>
      </c>
      <c r="AD726" s="868" t="s">
        <v>1712</v>
      </c>
      <c r="AE726" s="871" t="s">
        <v>1257</v>
      </c>
      <c r="AF726" s="900" t="s">
        <v>4495</v>
      </c>
      <c r="AG726" s="173" t="s">
        <v>1439</v>
      </c>
      <c r="AH726" s="281" t="s">
        <v>560</v>
      </c>
      <c r="AI726" s="868" t="s">
        <v>1509</v>
      </c>
      <c r="AJ726" s="305" t="s">
        <v>4252</v>
      </c>
      <c r="AK726" s="181" t="str">
        <f t="shared" ca="1" si="175"/>
        <v>TERMINO</v>
      </c>
      <c r="AL726" s="310" t="s">
        <v>2726</v>
      </c>
      <c r="AM726" s="433"/>
      <c r="AN726" s="848" t="str">
        <f>IFERROR(VLOOKUP(E726,'liquidaciones '!$B$2:$C$1048576,2,0),"NO")</f>
        <v>NO</v>
      </c>
      <c r="AO726" s="944" t="str">
        <f>IFERROR(VLOOKUP(E726,'liquidaciones '!$B$2:$I$1048576,8,0),"")</f>
        <v/>
      </c>
      <c r="AP726" s="433"/>
      <c r="AQ726" s="433" t="s">
        <v>390</v>
      </c>
      <c r="AR726" s="1028" t="s">
        <v>4219</v>
      </c>
      <c r="AS726" s="433" t="s">
        <v>3785</v>
      </c>
      <c r="AT726" s="966" t="s">
        <v>560</v>
      </c>
      <c r="AU726" s="964"/>
      <c r="AV726" s="301"/>
    </row>
    <row r="727" spans="3:48" ht="33.75" x14ac:dyDescent="0.25">
      <c r="C727" s="867"/>
      <c r="D727" s="867"/>
      <c r="E727" s="868" t="s">
        <v>4496</v>
      </c>
      <c r="F727" s="441" t="s">
        <v>4497</v>
      </c>
      <c r="G727" s="893" t="s">
        <v>4498</v>
      </c>
      <c r="H727" s="1005" t="s">
        <v>4499</v>
      </c>
      <c r="I727" s="93">
        <v>11942000</v>
      </c>
      <c r="J727" s="873" t="s">
        <v>4501</v>
      </c>
      <c r="K727" s="295">
        <v>2018</v>
      </c>
      <c r="L727" s="546">
        <v>43444</v>
      </c>
      <c r="M727" s="546">
        <v>43460</v>
      </c>
      <c r="N727" s="546">
        <v>43824</v>
      </c>
      <c r="O727" s="127">
        <f>COUNTA(Modificaciones!I713,Modificaciones!K713,Modificaciones!M713,Modificaciones!O713)</f>
        <v>0</v>
      </c>
      <c r="P727" s="128">
        <f>VLOOKUP(E727,Modificaciones!$B$7:$Q$1819,16,0)</f>
        <v>0</v>
      </c>
      <c r="Q727" s="129">
        <f>COUNTA(Modificaciones!S727,Modificaciones!U727,Modificaciones!W727,Modificaciones!Y727)</f>
        <v>0</v>
      </c>
      <c r="R727" s="130" t="str">
        <f>IF(Modificaciones!Z727=0,"",VLOOKUP(E727,Modificaciones!$B$7:$AA$1419,25,0))</f>
        <v/>
      </c>
      <c r="S727" s="131" t="str">
        <f>IF(Modificaciones!AA727=0,"",VLOOKUP(E727,Modificaciones!$B$7:$AA$1419,26,0))</f>
        <v/>
      </c>
      <c r="T727" s="855">
        <f t="shared" si="167"/>
        <v>43824</v>
      </c>
      <c r="U727" s="62">
        <f t="shared" si="168"/>
        <v>11942000</v>
      </c>
      <c r="V727" s="172">
        <f>VLOOKUP(E727,Modificaciones!$B$7:$AU$819,46,0)</f>
        <v>0</v>
      </c>
      <c r="W727" s="93">
        <f t="shared" si="169"/>
        <v>11942000</v>
      </c>
      <c r="X727" s="309" t="s">
        <v>1895</v>
      </c>
      <c r="Y727" s="852">
        <f t="shared" si="170"/>
        <v>0</v>
      </c>
      <c r="Z727" s="42">
        <f t="shared" ca="1" si="171"/>
        <v>0.50274725274725274</v>
      </c>
      <c r="AA727" s="43">
        <f t="shared" ca="1" si="172"/>
        <v>0.50274725274725274</v>
      </c>
      <c r="AB727" s="202">
        <f t="shared" ca="1" si="173"/>
        <v>181</v>
      </c>
      <c r="AC727" s="44" t="str">
        <f t="shared" si="174"/>
        <v>NO</v>
      </c>
      <c r="AD727" s="760" t="s">
        <v>1712</v>
      </c>
      <c r="AE727" s="173" t="s">
        <v>1257</v>
      </c>
      <c r="AF727" s="281" t="s">
        <v>1991</v>
      </c>
      <c r="AG727" s="173" t="s">
        <v>1439</v>
      </c>
      <c r="AH727" s="281" t="s">
        <v>560</v>
      </c>
      <c r="AI727" s="305" t="s">
        <v>1509</v>
      </c>
      <c r="AJ727" s="305" t="s">
        <v>4252</v>
      </c>
      <c r="AK727" s="181" t="str">
        <f t="shared" ca="1" si="175"/>
        <v>EN EJECUCIÓN</v>
      </c>
      <c r="AL727" s="441" t="s">
        <v>4500</v>
      </c>
      <c r="AM727" s="433" t="s">
        <v>390</v>
      </c>
      <c r="AN727" s="848" t="str">
        <f>IFERROR(VLOOKUP(E727,'liquidaciones '!$B$2:$C$1048576,2,0),"NO")</f>
        <v>NO</v>
      </c>
      <c r="AO727" s="944" t="str">
        <f>IFERROR(VLOOKUP(E727,'liquidaciones '!$B$2:$I$1048576,8,0),"")</f>
        <v/>
      </c>
      <c r="AP727" s="433"/>
      <c r="AQ727" s="433" t="s">
        <v>390</v>
      </c>
      <c r="AR727" s="1020" t="s">
        <v>4219</v>
      </c>
      <c r="AS727" s="433" t="s">
        <v>3785</v>
      </c>
      <c r="AT727" s="966" t="s">
        <v>560</v>
      </c>
      <c r="AU727" s="964"/>
      <c r="AV727" s="301"/>
    </row>
    <row r="728" spans="3:48" ht="45" x14ac:dyDescent="0.25">
      <c r="C728" s="867"/>
      <c r="D728" s="867"/>
      <c r="E728" s="868" t="s">
        <v>4508</v>
      </c>
      <c r="F728" s="441" t="s">
        <v>4509</v>
      </c>
      <c r="G728" s="893">
        <v>830067814</v>
      </c>
      <c r="H728" s="1005" t="s">
        <v>4510</v>
      </c>
      <c r="I728" s="93">
        <v>68580000</v>
      </c>
      <c r="J728" s="873" t="s">
        <v>4513</v>
      </c>
      <c r="K728" s="295">
        <v>2018</v>
      </c>
      <c r="L728" s="546">
        <v>43452</v>
      </c>
      <c r="M728" s="546">
        <v>43462</v>
      </c>
      <c r="N728" s="546">
        <v>43643</v>
      </c>
      <c r="O728" s="127">
        <f>COUNTA(Modificaciones!I714,Modificaciones!K714,Modificaciones!M714,Modificaciones!O714)</f>
        <v>0</v>
      </c>
      <c r="P728" s="128">
        <f>VLOOKUP(E728,Modificaciones!$B$7:$Q$1819,16,0)</f>
        <v>0</v>
      </c>
      <c r="Q728" s="129">
        <f>COUNTA(Modificaciones!S728,Modificaciones!U728,Modificaciones!W728,Modificaciones!Y728)</f>
        <v>0</v>
      </c>
      <c r="R728" s="130" t="str">
        <f>IF(Modificaciones!Z728=0,"",VLOOKUP(E728,Modificaciones!$B$7:$AA$1419,25,0))</f>
        <v/>
      </c>
      <c r="S728" s="131" t="str">
        <f>IF(Modificaciones!AA728=0,"",VLOOKUP(E728,Modificaciones!$B$7:$AA$1419,26,0))</f>
        <v/>
      </c>
      <c r="T728" s="855">
        <f t="shared" si="167"/>
        <v>43643</v>
      </c>
      <c r="U728" s="62">
        <f t="shared" si="168"/>
        <v>68580000</v>
      </c>
      <c r="V728" s="172">
        <f>VLOOKUP(E728,Modificaciones!$B$7:$AU$819,46,0)</f>
        <v>45674280</v>
      </c>
      <c r="W728" s="93">
        <f t="shared" si="169"/>
        <v>22905720</v>
      </c>
      <c r="X728" s="309" t="s">
        <v>4511</v>
      </c>
      <c r="Y728" s="852">
        <f t="shared" si="170"/>
        <v>0.66600000000000004</v>
      </c>
      <c r="Z728" s="42">
        <f t="shared" ca="1" si="171"/>
        <v>1</v>
      </c>
      <c r="AA728" s="43">
        <f t="shared" ca="1" si="172"/>
        <v>0.33399999999999996</v>
      </c>
      <c r="AB728" s="202" t="str">
        <f t="shared" ca="1" si="173"/>
        <v/>
      </c>
      <c r="AC728" s="44" t="str">
        <f t="shared" si="174"/>
        <v>NO</v>
      </c>
      <c r="AD728" s="441" t="s">
        <v>1710</v>
      </c>
      <c r="AE728" s="871" t="s">
        <v>1257</v>
      </c>
      <c r="AF728" s="871" t="s">
        <v>4512</v>
      </c>
      <c r="AG728" s="173" t="s">
        <v>1439</v>
      </c>
      <c r="AH728" s="281" t="s">
        <v>560</v>
      </c>
      <c r="AI728" s="305" t="s">
        <v>1509</v>
      </c>
      <c r="AJ728" s="305" t="s">
        <v>4252</v>
      </c>
      <c r="AK728" s="181" t="str">
        <f t="shared" ca="1" si="175"/>
        <v>EN EJECUCIÓN</v>
      </c>
      <c r="AL728" s="441" t="s">
        <v>4500</v>
      </c>
      <c r="AM728" s="433" t="s">
        <v>390</v>
      </c>
      <c r="AN728" s="848" t="str">
        <f>IFERROR(VLOOKUP(E728,'liquidaciones '!$B$2:$C$1048576,2,0),"NO")</f>
        <v>NO</v>
      </c>
      <c r="AO728" s="944" t="str">
        <f>IFERROR(VLOOKUP(E728,'liquidaciones '!$B$2:$I$1048576,8,0),"")</f>
        <v/>
      </c>
      <c r="AP728" s="433"/>
      <c r="AQ728" s="433" t="s">
        <v>390</v>
      </c>
      <c r="AR728" s="1029" t="s">
        <v>4219</v>
      </c>
      <c r="AS728" s="433" t="s">
        <v>3785</v>
      </c>
      <c r="AT728" s="966" t="s">
        <v>560</v>
      </c>
      <c r="AU728" s="964"/>
      <c r="AV728" s="301"/>
    </row>
    <row r="729" spans="3:48" ht="90" x14ac:dyDescent="0.25">
      <c r="C729" s="867"/>
      <c r="D729" s="867"/>
      <c r="E729" s="868" t="s">
        <v>4514</v>
      </c>
      <c r="F729" s="441" t="s">
        <v>4515</v>
      </c>
      <c r="G729" s="893" t="s">
        <v>4516</v>
      </c>
      <c r="H729" s="1005" t="s">
        <v>4517</v>
      </c>
      <c r="I729" s="93">
        <v>45787937</v>
      </c>
      <c r="J729" s="873" t="s">
        <v>4518</v>
      </c>
      <c r="K729" s="295">
        <v>2018</v>
      </c>
      <c r="L729" s="546">
        <v>43462</v>
      </c>
      <c r="M729" s="546">
        <v>43507</v>
      </c>
      <c r="N729" s="546">
        <v>43871</v>
      </c>
      <c r="O729" s="127">
        <f>COUNTA(Modificaciones!I715,Modificaciones!K715,Modificaciones!M715,Modificaciones!O715)</f>
        <v>0</v>
      </c>
      <c r="P729" s="128">
        <f>VLOOKUP(E729,Modificaciones!$B$7:$Q$1819,16,0)</f>
        <v>0</v>
      </c>
      <c r="Q729" s="129">
        <f>COUNTA(Modificaciones!S729,Modificaciones!U729,Modificaciones!W729,Modificaciones!Y729)</f>
        <v>0</v>
      </c>
      <c r="R729" s="130" t="str">
        <f>IF(Modificaciones!Z729=0,"",VLOOKUP(E729,Modificaciones!$B$7:$AA$1419,25,0))</f>
        <v/>
      </c>
      <c r="S729" s="131" t="str">
        <f>IF(Modificaciones!AA729=0,"",VLOOKUP(E729,Modificaciones!$B$7:$AA$1419,26,0))</f>
        <v/>
      </c>
      <c r="T729" s="855">
        <f t="shared" si="167"/>
        <v>43871</v>
      </c>
      <c r="U729" s="62">
        <f t="shared" si="168"/>
        <v>45787937</v>
      </c>
      <c r="V729" s="172">
        <f>VLOOKUP(E729,Modificaciones!$B$7:$AU$819,46,0)</f>
        <v>45787937</v>
      </c>
      <c r="W729" s="93">
        <f t="shared" si="169"/>
        <v>0</v>
      </c>
      <c r="X729" s="309" t="s">
        <v>1895</v>
      </c>
      <c r="Y729" s="852">
        <f t="shared" si="170"/>
        <v>1</v>
      </c>
      <c r="Z729" s="42">
        <f t="shared" ca="1" si="171"/>
        <v>0.37362637362637363</v>
      </c>
      <c r="AA729" s="43">
        <f t="shared" ca="1" si="172"/>
        <v>-0.62637362637362637</v>
      </c>
      <c r="AB729" s="202">
        <f t="shared" ca="1" si="173"/>
        <v>228</v>
      </c>
      <c r="AC729" s="44" t="str">
        <f t="shared" si="174"/>
        <v>SI</v>
      </c>
      <c r="AD729" s="441" t="s">
        <v>1718</v>
      </c>
      <c r="AE729" s="173" t="s">
        <v>1256</v>
      </c>
      <c r="AF729" s="871"/>
      <c r="AG729" s="868"/>
      <c r="AH729" s="281" t="s">
        <v>559</v>
      </c>
      <c r="AI729" s="868" t="s">
        <v>4876</v>
      </c>
      <c r="AJ729" s="305" t="s">
        <v>4252</v>
      </c>
      <c r="AK729" s="181" t="str">
        <f t="shared" ca="1" si="175"/>
        <v>EN EJECUCIÓN</v>
      </c>
      <c r="AL729" s="441" t="s">
        <v>4519</v>
      </c>
      <c r="AM729" s="433" t="s">
        <v>390</v>
      </c>
      <c r="AN729" s="848" t="str">
        <f>IFERROR(VLOOKUP(E729,'liquidaciones '!$B$2:$C$1048576,2,0),"NO")</f>
        <v>NO</v>
      </c>
      <c r="AO729" s="944" t="str">
        <f>IFERROR(VLOOKUP(E729,'liquidaciones '!$B$2:$I$1048576,8,0),"")</f>
        <v/>
      </c>
      <c r="AP729" s="433"/>
      <c r="AQ729" s="433" t="s">
        <v>390</v>
      </c>
      <c r="AR729" s="245" t="s">
        <v>4254</v>
      </c>
      <c r="AS729" s="433" t="s">
        <v>4876</v>
      </c>
      <c r="AT729" s="316" t="s">
        <v>560</v>
      </c>
      <c r="AU729" s="964"/>
      <c r="AV729" s="301"/>
    </row>
    <row r="730" spans="3:48" ht="112.5" x14ac:dyDescent="0.25">
      <c r="C730" s="867"/>
      <c r="D730" s="867"/>
      <c r="E730" s="868" t="s">
        <v>4520</v>
      </c>
      <c r="F730" s="441" t="s">
        <v>4521</v>
      </c>
      <c r="G730" s="893">
        <v>90241452</v>
      </c>
      <c r="H730" s="1005" t="s">
        <v>4522</v>
      </c>
      <c r="I730" s="93">
        <v>2559764239</v>
      </c>
      <c r="J730" s="873" t="s">
        <v>4541</v>
      </c>
      <c r="K730" s="295">
        <v>2018</v>
      </c>
      <c r="L730" s="546">
        <v>43462</v>
      </c>
      <c r="M730" s="546">
        <v>43476</v>
      </c>
      <c r="N730" s="546">
        <v>43656</v>
      </c>
      <c r="O730" s="127">
        <f>COUNTA(Modificaciones!I716,Modificaciones!K716,Modificaciones!M716,Modificaciones!O716)</f>
        <v>1</v>
      </c>
      <c r="P730" s="128">
        <f>VLOOKUP(E730,Modificaciones!$B$7:$Q$1819,16,0)</f>
        <v>343030709</v>
      </c>
      <c r="Q730" s="129">
        <f>COUNTA(Modificaciones!S730,Modificaciones!U730,Modificaciones!W730,Modificaciones!Y730)</f>
        <v>0</v>
      </c>
      <c r="R730" s="130" t="str">
        <f>IF(Modificaciones!Z730=0,"",VLOOKUP(E730,Modificaciones!$B$7:$AA$1419,25,0))</f>
        <v/>
      </c>
      <c r="S730" s="131" t="str">
        <f>IF(Modificaciones!AA730=0,"",VLOOKUP(E730,Modificaciones!$B$7:$AA$1419,26,0))</f>
        <v/>
      </c>
      <c r="T730" s="855">
        <f t="shared" si="167"/>
        <v>43656</v>
      </c>
      <c r="U730" s="62">
        <f t="shared" si="168"/>
        <v>2902794948</v>
      </c>
      <c r="V730" s="172">
        <f>VLOOKUP(E730,Modificaciones!$B$7:$AU$819,46,0)</f>
        <v>1257326460</v>
      </c>
      <c r="W730" s="93">
        <f t="shared" si="169"/>
        <v>1645468488</v>
      </c>
      <c r="X730" s="314" t="s">
        <v>4523</v>
      </c>
      <c r="Y730" s="852">
        <f t="shared" si="170"/>
        <v>0.43314339542525621</v>
      </c>
      <c r="Z730" s="42">
        <f t="shared" ca="1" si="171"/>
        <v>0.92777777777777781</v>
      </c>
      <c r="AA730" s="43">
        <f t="shared" ca="1" si="172"/>
        <v>0.49463438235252161</v>
      </c>
      <c r="AB730" s="202">
        <f t="shared" ca="1" si="173"/>
        <v>13</v>
      </c>
      <c r="AC730" s="44" t="str">
        <f t="shared" si="174"/>
        <v>NO</v>
      </c>
      <c r="AD730" s="868" t="s">
        <v>1712</v>
      </c>
      <c r="AE730" s="871" t="s">
        <v>1257</v>
      </c>
      <c r="AF730" s="900" t="s">
        <v>4524</v>
      </c>
      <c r="AG730" s="173" t="s">
        <v>1439</v>
      </c>
      <c r="AH730" s="281" t="s">
        <v>560</v>
      </c>
      <c r="AI730" s="868" t="s">
        <v>1509</v>
      </c>
      <c r="AJ730" s="305" t="s">
        <v>4252</v>
      </c>
      <c r="AK730" s="181" t="str">
        <f t="shared" ca="1" si="175"/>
        <v>EN EJECUCIÓN</v>
      </c>
      <c r="AL730" s="441" t="s">
        <v>573</v>
      </c>
      <c r="AM730" s="433" t="s">
        <v>390</v>
      </c>
      <c r="AN730" s="848" t="str">
        <f>IFERROR(VLOOKUP(E730,'liquidaciones '!$B$2:$C$1048576,2,0),"NO")</f>
        <v>NO</v>
      </c>
      <c r="AO730" s="944" t="str">
        <f>IFERROR(VLOOKUP(E730,'liquidaciones '!$B$2:$I$1048576,8,0),"")</f>
        <v/>
      </c>
      <c r="AP730" s="433"/>
      <c r="AQ730" s="433" t="s">
        <v>390</v>
      </c>
      <c r="AR730" s="433" t="s">
        <v>4910</v>
      </c>
      <c r="AS730" s="433" t="s">
        <v>3785</v>
      </c>
      <c r="AT730" s="966" t="s">
        <v>559</v>
      </c>
      <c r="AU730" s="966" t="s">
        <v>4921</v>
      </c>
      <c r="AV730" s="301"/>
    </row>
    <row r="731" spans="3:48" ht="90" x14ac:dyDescent="0.25">
      <c r="C731" s="867"/>
      <c r="D731" s="867"/>
      <c r="E731" s="868" t="s">
        <v>4525</v>
      </c>
      <c r="F731" s="441" t="s">
        <v>4526</v>
      </c>
      <c r="G731" s="893">
        <v>900038614</v>
      </c>
      <c r="H731" s="1005" t="s">
        <v>4527</v>
      </c>
      <c r="I731" s="93">
        <v>201000000</v>
      </c>
      <c r="J731" s="873" t="s">
        <v>4540</v>
      </c>
      <c r="K731" s="295">
        <v>2018</v>
      </c>
      <c r="L731" s="546">
        <v>43458</v>
      </c>
      <c r="M731" s="546">
        <v>43476</v>
      </c>
      <c r="N731" s="546">
        <v>43565</v>
      </c>
      <c r="O731" s="127">
        <f>COUNTA(Modificaciones!I717,Modificaciones!K717,Modificaciones!M717,Modificaciones!O717)</f>
        <v>0</v>
      </c>
      <c r="P731" s="128">
        <f>VLOOKUP(E731,Modificaciones!$B$7:$Q$1819,16,0)</f>
        <v>0</v>
      </c>
      <c r="Q731" s="129">
        <f>COUNTA(Modificaciones!S731,Modificaciones!U731,Modificaciones!W731,Modificaciones!Y731)</f>
        <v>0</v>
      </c>
      <c r="R731" s="130" t="str">
        <f>IF(Modificaciones!Z731=0,"",VLOOKUP(E731,Modificaciones!$B$7:$AA$1419,25,0))</f>
        <v/>
      </c>
      <c r="S731" s="131" t="str">
        <f>IF(Modificaciones!AA731=0,"",VLOOKUP(E731,Modificaciones!$B$7:$AA$1419,26,0))</f>
        <v/>
      </c>
      <c r="T731" s="855">
        <f t="shared" si="167"/>
        <v>43565</v>
      </c>
      <c r="U731" s="62">
        <f t="shared" si="168"/>
        <v>201000000</v>
      </c>
      <c r="V731" s="172">
        <f>VLOOKUP(E731,Modificaciones!$B$7:$AU$819,46,0)</f>
        <v>0</v>
      </c>
      <c r="W731" s="93">
        <f t="shared" si="169"/>
        <v>201000000</v>
      </c>
      <c r="X731" s="313" t="s">
        <v>4528</v>
      </c>
      <c r="Y731" s="852">
        <f t="shared" si="170"/>
        <v>0</v>
      </c>
      <c r="Z731" s="42">
        <f t="shared" ca="1" si="171"/>
        <v>1</v>
      </c>
      <c r="AA731" s="43">
        <f t="shared" ca="1" si="172"/>
        <v>1</v>
      </c>
      <c r="AB731" s="202" t="str">
        <f t="shared" ca="1" si="173"/>
        <v/>
      </c>
      <c r="AC731" s="44" t="str">
        <f t="shared" si="174"/>
        <v>NO</v>
      </c>
      <c r="AD731" s="868" t="s">
        <v>1712</v>
      </c>
      <c r="AE731" s="871" t="s">
        <v>1257</v>
      </c>
      <c r="AF731" s="900" t="s">
        <v>4529</v>
      </c>
      <c r="AG731" s="173" t="s">
        <v>1439</v>
      </c>
      <c r="AH731" s="281" t="s">
        <v>560</v>
      </c>
      <c r="AI731" s="868" t="s">
        <v>1509</v>
      </c>
      <c r="AJ731" s="305" t="s">
        <v>4252</v>
      </c>
      <c r="AK731" s="181" t="str">
        <f t="shared" ca="1" si="175"/>
        <v>TERMINO</v>
      </c>
      <c r="AL731" s="441" t="s">
        <v>995</v>
      </c>
      <c r="AM731" s="433" t="s">
        <v>390</v>
      </c>
      <c r="AN731" s="848" t="str">
        <f>IFERROR(VLOOKUP(E731,'liquidaciones '!$B$2:$C$1048576,2,0),"NO")</f>
        <v>NO</v>
      </c>
      <c r="AO731" s="944" t="str">
        <f>IFERROR(VLOOKUP(E731,'liquidaciones '!$B$2:$I$1048576,8,0),"")</f>
        <v/>
      </c>
      <c r="AP731" s="433"/>
      <c r="AQ731" s="433" t="s">
        <v>390</v>
      </c>
      <c r="AR731" s="1030" t="s">
        <v>4219</v>
      </c>
      <c r="AS731" s="433" t="s">
        <v>3785</v>
      </c>
      <c r="AT731" s="966" t="s">
        <v>560</v>
      </c>
      <c r="AU731" s="964"/>
      <c r="AV731" s="301"/>
    </row>
    <row r="732" spans="3:48" ht="45" x14ac:dyDescent="0.25">
      <c r="C732" s="867"/>
      <c r="D732" s="867"/>
      <c r="E732" s="868" t="s">
        <v>4530</v>
      </c>
      <c r="F732" s="441" t="s">
        <v>4531</v>
      </c>
      <c r="G732" s="893" t="s">
        <v>4532</v>
      </c>
      <c r="H732" s="1005" t="s">
        <v>4533</v>
      </c>
      <c r="I732" s="93">
        <v>1235000000</v>
      </c>
      <c r="J732" s="873" t="s">
        <v>4542</v>
      </c>
      <c r="K732" s="295">
        <v>2018</v>
      </c>
      <c r="L732" s="546">
        <v>43461</v>
      </c>
      <c r="M732" s="546">
        <v>43462</v>
      </c>
      <c r="N732" s="546">
        <v>44557</v>
      </c>
      <c r="O732" s="127">
        <f>COUNTA(Modificaciones!I718,Modificaciones!K718,Modificaciones!M718,Modificaciones!O718)</f>
        <v>0</v>
      </c>
      <c r="P732" s="128">
        <f>VLOOKUP(E732,Modificaciones!$B$7:$Q$1819,16,0)</f>
        <v>0</v>
      </c>
      <c r="Q732" s="129">
        <f>COUNTA(Modificaciones!S732,Modificaciones!U732,Modificaciones!W732,Modificaciones!Y732)</f>
        <v>0</v>
      </c>
      <c r="R732" s="130" t="str">
        <f>IF(Modificaciones!Z732=0,"",VLOOKUP(E732,Modificaciones!$B$7:$AA$1419,25,0))</f>
        <v/>
      </c>
      <c r="S732" s="131" t="str">
        <f>IF(Modificaciones!AA732=0,"",VLOOKUP(E732,Modificaciones!$B$7:$AA$1419,26,0))</f>
        <v/>
      </c>
      <c r="T732" s="855">
        <f t="shared" si="167"/>
        <v>44557</v>
      </c>
      <c r="U732" s="62">
        <f t="shared" si="168"/>
        <v>1235000000</v>
      </c>
      <c r="V732" s="172">
        <f>VLOOKUP(E732,Modificaciones!$B$7:$AU$819,46,0)</f>
        <v>1235000000</v>
      </c>
      <c r="W732" s="93">
        <f t="shared" si="169"/>
        <v>0</v>
      </c>
      <c r="X732" s="309" t="s">
        <v>4534</v>
      </c>
      <c r="Y732" s="852">
        <f t="shared" si="170"/>
        <v>1</v>
      </c>
      <c r="Z732" s="42">
        <f t="shared" ca="1" si="171"/>
        <v>0.16529680365296803</v>
      </c>
      <c r="AA732" s="43">
        <f t="shared" ca="1" si="172"/>
        <v>-0.83470319634703194</v>
      </c>
      <c r="AB732" s="202">
        <f t="shared" ca="1" si="173"/>
        <v>914</v>
      </c>
      <c r="AC732" s="44" t="str">
        <f t="shared" si="174"/>
        <v>SI</v>
      </c>
      <c r="AD732" s="441" t="s">
        <v>1718</v>
      </c>
      <c r="AE732" s="173" t="s">
        <v>1256</v>
      </c>
      <c r="AF732" s="871"/>
      <c r="AG732" s="868"/>
      <c r="AH732" s="281" t="s">
        <v>559</v>
      </c>
      <c r="AI732" s="868"/>
      <c r="AJ732" s="305" t="s">
        <v>4252</v>
      </c>
      <c r="AK732" s="181" t="str">
        <f t="shared" ca="1" si="175"/>
        <v>EN EJECUCIÓN</v>
      </c>
      <c r="AL732" s="441" t="s">
        <v>4519</v>
      </c>
      <c r="AM732" s="433" t="s">
        <v>390</v>
      </c>
      <c r="AN732" s="848" t="str">
        <f>IFERROR(VLOOKUP(E732,'liquidaciones '!$B$2:$C$1048576,2,0),"NO")</f>
        <v>NO</v>
      </c>
      <c r="AO732" s="944" t="str">
        <f>IFERROR(VLOOKUP(E732,'liquidaciones '!$B$2:$I$1048576,8,0),"")</f>
        <v/>
      </c>
      <c r="AP732" s="433"/>
      <c r="AQ732" s="433" t="s">
        <v>390</v>
      </c>
      <c r="AR732" s="1020" t="s">
        <v>4254</v>
      </c>
      <c r="AS732" s="433"/>
      <c r="AT732" s="966" t="s">
        <v>3947</v>
      </c>
      <c r="AU732" s="964"/>
      <c r="AV732" s="301"/>
    </row>
    <row r="733" spans="3:48" ht="45" x14ac:dyDescent="0.25">
      <c r="C733" s="867"/>
      <c r="D733" s="867"/>
      <c r="E733" s="868" t="s">
        <v>4535</v>
      </c>
      <c r="F733" s="441" t="s">
        <v>4536</v>
      </c>
      <c r="G733" s="893">
        <v>79391917</v>
      </c>
      <c r="H733" s="1005" t="s">
        <v>4537</v>
      </c>
      <c r="I733" s="93">
        <v>15767500</v>
      </c>
      <c r="J733" s="873" t="s">
        <v>4539</v>
      </c>
      <c r="K733" s="295">
        <v>2018</v>
      </c>
      <c r="L733" s="546">
        <v>43426</v>
      </c>
      <c r="M733" s="546">
        <v>43441</v>
      </c>
      <c r="N733" s="546">
        <v>43502</v>
      </c>
      <c r="O733" s="127">
        <f>COUNTA(Modificaciones!I719,Modificaciones!K719,Modificaciones!M719,Modificaciones!O719)</f>
        <v>0</v>
      </c>
      <c r="P733" s="128">
        <f>VLOOKUP(E733,Modificaciones!$B$7:$Q$1819,16,0)</f>
        <v>0</v>
      </c>
      <c r="Q733" s="129">
        <f>COUNTA(Modificaciones!S733,Modificaciones!U733,Modificaciones!W733,Modificaciones!Y733)</f>
        <v>0</v>
      </c>
      <c r="R733" s="130" t="str">
        <f>IF(Modificaciones!Z733=0,"",VLOOKUP(E733,Modificaciones!$B$7:$AA$1419,25,0))</f>
        <v/>
      </c>
      <c r="S733" s="131" t="str">
        <f>IF(Modificaciones!AA733=0,"",VLOOKUP(E733,Modificaciones!$B$7:$AA$1419,26,0))</f>
        <v/>
      </c>
      <c r="T733" s="855">
        <f t="shared" si="167"/>
        <v>43502</v>
      </c>
      <c r="U733" s="62">
        <f t="shared" si="168"/>
        <v>15767500</v>
      </c>
      <c r="V733" s="172">
        <f>VLOOKUP(E733,Modificaciones!$B$7:$AU$819,46,0)</f>
        <v>15767500</v>
      </c>
      <c r="W733" s="93">
        <f t="shared" si="169"/>
        <v>0</v>
      </c>
      <c r="X733" s="309" t="s">
        <v>1895</v>
      </c>
      <c r="Y733" s="852">
        <f t="shared" si="170"/>
        <v>1</v>
      </c>
      <c r="Z733" s="42">
        <f t="shared" ca="1" si="171"/>
        <v>1</v>
      </c>
      <c r="AA733" s="43">
        <f t="shared" ca="1" si="172"/>
        <v>0</v>
      </c>
      <c r="AB733" s="202" t="str">
        <f t="shared" ca="1" si="173"/>
        <v/>
      </c>
      <c r="AC733" s="44" t="str">
        <f t="shared" si="174"/>
        <v>SI</v>
      </c>
      <c r="AD733" s="868" t="s">
        <v>1712</v>
      </c>
      <c r="AE733" s="173" t="s">
        <v>1257</v>
      </c>
      <c r="AF733" s="871" t="s">
        <v>4538</v>
      </c>
      <c r="AG733" s="173" t="s">
        <v>1439</v>
      </c>
      <c r="AH733" s="281" t="s">
        <v>560</v>
      </c>
      <c r="AI733" s="868" t="s">
        <v>1509</v>
      </c>
      <c r="AJ733" s="305" t="s">
        <v>4252</v>
      </c>
      <c r="AK733" s="181" t="str">
        <f t="shared" ca="1" si="175"/>
        <v>TERMINO</v>
      </c>
      <c r="AL733" s="441" t="s">
        <v>4500</v>
      </c>
      <c r="AM733" s="433" t="s">
        <v>390</v>
      </c>
      <c r="AN733" s="848" t="str">
        <f>IFERROR(VLOOKUP(E733,'liquidaciones '!$B$2:$C$1048576,2,0),"NO")</f>
        <v>NO</v>
      </c>
      <c r="AO733" s="944" t="str">
        <f>IFERROR(VLOOKUP(E733,'liquidaciones '!$B$2:$I$1048576,8,0),"")</f>
        <v/>
      </c>
      <c r="AP733" s="433"/>
      <c r="AQ733" s="433" t="s">
        <v>390</v>
      </c>
      <c r="AR733" s="1031" t="s">
        <v>4219</v>
      </c>
      <c r="AS733" s="433" t="s">
        <v>3785</v>
      </c>
      <c r="AT733" s="966" t="s">
        <v>560</v>
      </c>
      <c r="AU733" s="964"/>
      <c r="AV733" s="301"/>
    </row>
    <row r="734" spans="3:48" ht="146.25" x14ac:dyDescent="0.25">
      <c r="C734" s="867"/>
      <c r="D734" s="867"/>
      <c r="E734" s="868" t="s">
        <v>4553</v>
      </c>
      <c r="F734" s="441" t="s">
        <v>3614</v>
      </c>
      <c r="G734" s="893">
        <v>900749719</v>
      </c>
      <c r="H734" s="1005" t="s">
        <v>4554</v>
      </c>
      <c r="I734" s="93">
        <v>165591151.30000001</v>
      </c>
      <c r="J734" s="873" t="s">
        <v>4560</v>
      </c>
      <c r="K734" s="295">
        <v>2018</v>
      </c>
      <c r="L734" s="546">
        <v>43455</v>
      </c>
      <c r="M734" s="546">
        <v>43474</v>
      </c>
      <c r="N734" s="546">
        <v>43593</v>
      </c>
      <c r="O734" s="127">
        <f>COUNTA(Modificaciones!I720,Modificaciones!K720,Modificaciones!M720,Modificaciones!O720)</f>
        <v>0</v>
      </c>
      <c r="P734" s="128">
        <f>VLOOKUP(E734,Modificaciones!$B$7:$Q$1819,16,0)</f>
        <v>0</v>
      </c>
      <c r="Q734" s="129">
        <f>COUNTA(Modificaciones!S734,Modificaciones!U734,Modificaciones!W734,Modificaciones!Y734)</f>
        <v>1</v>
      </c>
      <c r="R734" s="130" t="str">
        <f>IF(Modificaciones!Z734=0,"",VLOOKUP(E734,Modificaciones!$B$7:$AA$1419,25,0))</f>
        <v>15 días calendario</v>
      </c>
      <c r="S734" s="131">
        <f>IF(Modificaciones!AA734=0,"",VLOOKUP(E734,Modificaciones!$B$7:$AA$1419,26,0))</f>
        <v>43608</v>
      </c>
      <c r="T734" s="855">
        <f t="shared" si="167"/>
        <v>43608</v>
      </c>
      <c r="U734" s="62">
        <f t="shared" si="168"/>
        <v>165591151.30000001</v>
      </c>
      <c r="V734" s="172">
        <f>VLOOKUP(E734,Modificaciones!$B$7:$AU$819,46,0)</f>
        <v>115913805</v>
      </c>
      <c r="W734" s="93">
        <f t="shared" si="169"/>
        <v>49677346.300000012</v>
      </c>
      <c r="X734" s="314" t="s">
        <v>4555</v>
      </c>
      <c r="Y734" s="852">
        <f t="shared" si="170"/>
        <v>0.6999999945045372</v>
      </c>
      <c r="Z734" s="42">
        <f t="shared" ca="1" si="171"/>
        <v>1</v>
      </c>
      <c r="AA734" s="43">
        <f t="shared" ca="1" si="172"/>
        <v>0.3000000054954628</v>
      </c>
      <c r="AB734" s="202" t="str">
        <f t="shared" ca="1" si="173"/>
        <v/>
      </c>
      <c r="AC734" s="44" t="str">
        <f t="shared" si="174"/>
        <v>NO</v>
      </c>
      <c r="AD734" s="868" t="s">
        <v>1717</v>
      </c>
      <c r="AE734" s="871" t="s">
        <v>1256</v>
      </c>
      <c r="AF734" s="871" t="s">
        <v>3795</v>
      </c>
      <c r="AG734" s="868"/>
      <c r="AH734" s="281" t="s">
        <v>559</v>
      </c>
      <c r="AI734" s="868"/>
      <c r="AJ734" s="305" t="s">
        <v>4252</v>
      </c>
      <c r="AK734" s="181" t="str">
        <f t="shared" ca="1" si="175"/>
        <v>TERMINO</v>
      </c>
      <c r="AL734" s="310" t="s">
        <v>574</v>
      </c>
      <c r="AM734" s="433" t="s">
        <v>390</v>
      </c>
      <c r="AN734" s="848" t="str">
        <f>IFERROR(VLOOKUP(E734,'liquidaciones '!$B$2:$C$1048576,2,0),"NO")</f>
        <v>NO</v>
      </c>
      <c r="AO734" s="944" t="str">
        <f>IFERROR(VLOOKUP(E734,'liquidaciones '!$B$2:$I$1048576,8,0),"")</f>
        <v/>
      </c>
      <c r="AP734" s="433"/>
      <c r="AQ734" s="433" t="s">
        <v>390</v>
      </c>
      <c r="AR734" s="1033" t="s">
        <v>4254</v>
      </c>
      <c r="AS734" s="433"/>
      <c r="AT734" s="966" t="s">
        <v>3947</v>
      </c>
      <c r="AU734" s="966" t="s">
        <v>4917</v>
      </c>
      <c r="AV734" s="301"/>
    </row>
    <row r="735" spans="3:48" ht="56.25" x14ac:dyDescent="0.25">
      <c r="C735" s="867"/>
      <c r="D735" s="867"/>
      <c r="E735" s="868" t="s">
        <v>4556</v>
      </c>
      <c r="F735" s="441" t="s">
        <v>4557</v>
      </c>
      <c r="G735" s="893">
        <v>80751229</v>
      </c>
      <c r="H735" s="1005" t="s">
        <v>4558</v>
      </c>
      <c r="I735" s="93">
        <v>8203500</v>
      </c>
      <c r="J735" s="873" t="s">
        <v>4562</v>
      </c>
      <c r="K735" s="295">
        <v>2018</v>
      </c>
      <c r="L735" s="546">
        <v>43462</v>
      </c>
      <c r="M735" s="546">
        <v>43473</v>
      </c>
      <c r="N735" s="546">
        <v>43518</v>
      </c>
      <c r="O735" s="127">
        <f>COUNTA(Modificaciones!I721,Modificaciones!K721,Modificaciones!M721,Modificaciones!O721)</f>
        <v>0</v>
      </c>
      <c r="P735" s="128">
        <f>VLOOKUP(E735,Modificaciones!$B$7:$Q$1819,16,0)</f>
        <v>0</v>
      </c>
      <c r="Q735" s="129">
        <f>COUNTA(Modificaciones!S735,Modificaciones!U735,Modificaciones!W735,Modificaciones!Y735)</f>
        <v>0</v>
      </c>
      <c r="R735" s="130" t="str">
        <f>IF(Modificaciones!Z735=0,"",VLOOKUP(E735,Modificaciones!$B$7:$AA$1419,25,0))</f>
        <v/>
      </c>
      <c r="S735" s="131" t="str">
        <f>IF(Modificaciones!AA735=0,"",VLOOKUP(E735,Modificaciones!$B$7:$AA$1419,26,0))</f>
        <v/>
      </c>
      <c r="T735" s="855">
        <f t="shared" si="167"/>
        <v>43518</v>
      </c>
      <c r="U735" s="62">
        <f t="shared" si="168"/>
        <v>8203500</v>
      </c>
      <c r="V735" s="172">
        <f>VLOOKUP(E735,Modificaciones!$B$7:$AU$819,46,0)</f>
        <v>8203500</v>
      </c>
      <c r="W735" s="93">
        <f t="shared" si="169"/>
        <v>0</v>
      </c>
      <c r="X735" s="309" t="s">
        <v>1095</v>
      </c>
      <c r="Y735" s="852">
        <f t="shared" si="170"/>
        <v>1</v>
      </c>
      <c r="Z735" s="42">
        <f t="shared" ca="1" si="171"/>
        <v>1</v>
      </c>
      <c r="AA735" s="43">
        <f t="shared" ca="1" si="172"/>
        <v>0</v>
      </c>
      <c r="AB735" s="202" t="str">
        <f t="shared" ca="1" si="173"/>
        <v/>
      </c>
      <c r="AC735" s="44" t="str">
        <f t="shared" si="174"/>
        <v>SI</v>
      </c>
      <c r="AD735" s="760" t="s">
        <v>2898</v>
      </c>
      <c r="AE735" s="871" t="s">
        <v>1256</v>
      </c>
      <c r="AF735" s="900" t="s">
        <v>4559</v>
      </c>
      <c r="AG735" s="868"/>
      <c r="AH735" s="281" t="s">
        <v>559</v>
      </c>
      <c r="AI735" s="868"/>
      <c r="AJ735" s="305" t="s">
        <v>4252</v>
      </c>
      <c r="AK735" s="181" t="str">
        <f t="shared" ca="1" si="175"/>
        <v>TERMINO</v>
      </c>
      <c r="AL735" s="441" t="s">
        <v>4519</v>
      </c>
      <c r="AM735" s="433" t="s">
        <v>390</v>
      </c>
      <c r="AN735" s="848" t="str">
        <f>IFERROR(VLOOKUP(E735,'liquidaciones '!$B$2:$C$1048576,2,0),"NO")</f>
        <v>NO</v>
      </c>
      <c r="AO735" s="944" t="str">
        <f>IFERROR(VLOOKUP(E735,'liquidaciones '!$B$2:$I$1048576,8,0),"")</f>
        <v/>
      </c>
      <c r="AP735" s="433"/>
      <c r="AQ735" s="433" t="s">
        <v>390</v>
      </c>
      <c r="AR735" s="1033" t="s">
        <v>4608</v>
      </c>
      <c r="AS735" s="433"/>
      <c r="AT735" s="966" t="s">
        <v>3947</v>
      </c>
      <c r="AU735" s="964"/>
      <c r="AV735" s="301" t="s">
        <v>4688</v>
      </c>
    </row>
    <row r="736" spans="3:48" ht="90" x14ac:dyDescent="0.25">
      <c r="C736" s="867">
        <v>37</v>
      </c>
      <c r="D736" s="867"/>
      <c r="E736" s="868" t="s">
        <v>4579</v>
      </c>
      <c r="F736" s="441" t="s">
        <v>3614</v>
      </c>
      <c r="G736" s="893">
        <v>900749719</v>
      </c>
      <c r="H736" s="1005" t="s">
        <v>4587</v>
      </c>
      <c r="I736" s="93">
        <v>300000000</v>
      </c>
      <c r="J736" s="873" t="s">
        <v>4582</v>
      </c>
      <c r="K736" s="295">
        <v>2019</v>
      </c>
      <c r="L736" s="546">
        <v>43488</v>
      </c>
      <c r="M736" s="546">
        <v>43490</v>
      </c>
      <c r="N736" s="546">
        <v>43854</v>
      </c>
      <c r="O736" s="127">
        <f>COUNTA(Modificaciones!I722,Modificaciones!K722,Modificaciones!M722,Modificaciones!O722)</f>
        <v>0</v>
      </c>
      <c r="P736" s="128">
        <f>VLOOKUP(E736,Modificaciones!$B$7:$Q$1819,16,0)</f>
        <v>0</v>
      </c>
      <c r="Q736" s="129">
        <f>COUNTA(Modificaciones!S736,Modificaciones!U736,Modificaciones!W736,Modificaciones!Y736)</f>
        <v>0</v>
      </c>
      <c r="R736" s="130" t="str">
        <f>IF(Modificaciones!Z736=0,"",VLOOKUP(E736,Modificaciones!$B$7:$AA$1419,25,0))</f>
        <v/>
      </c>
      <c r="S736" s="131" t="str">
        <f>IF(Modificaciones!AA736=0,"",VLOOKUP(E736,Modificaciones!$B$7:$AA$1419,26,0))</f>
        <v/>
      </c>
      <c r="T736" s="855">
        <f t="shared" si="167"/>
        <v>43854</v>
      </c>
      <c r="U736" s="62">
        <f t="shared" si="168"/>
        <v>300000000</v>
      </c>
      <c r="V736" s="172">
        <f>VLOOKUP(E736,Modificaciones!$B$7:$AU$819,46,0)</f>
        <v>111979253</v>
      </c>
      <c r="W736" s="93">
        <f t="shared" si="169"/>
        <v>188020747</v>
      </c>
      <c r="X736" s="309" t="s">
        <v>5004</v>
      </c>
      <c r="Y736" s="852">
        <f t="shared" si="170"/>
        <v>0.37326417666666667</v>
      </c>
      <c r="Z736" s="42">
        <f t="shared" ca="1" si="171"/>
        <v>0.42032967032967034</v>
      </c>
      <c r="AA736" s="43">
        <f t="shared" ca="1" si="172"/>
        <v>4.7065493663003666E-2</v>
      </c>
      <c r="AB736" s="202">
        <f t="shared" ca="1" si="173"/>
        <v>211</v>
      </c>
      <c r="AC736" s="44" t="str">
        <f t="shared" si="174"/>
        <v>NO</v>
      </c>
      <c r="AD736" s="760" t="s">
        <v>1717</v>
      </c>
      <c r="AE736" s="173" t="s">
        <v>1256</v>
      </c>
      <c r="AF736" s="281" t="s">
        <v>2556</v>
      </c>
      <c r="AG736" s="868"/>
      <c r="AH736" s="304" t="s">
        <v>560</v>
      </c>
      <c r="AI736" s="868" t="s">
        <v>3603</v>
      </c>
      <c r="AJ736" s="305" t="s">
        <v>4252</v>
      </c>
      <c r="AK736" s="181" t="str">
        <f t="shared" ca="1" si="175"/>
        <v>EN EJECUCIÓN</v>
      </c>
      <c r="AL736" s="310" t="s">
        <v>574</v>
      </c>
      <c r="AM736" s="176" t="s">
        <v>390</v>
      </c>
      <c r="AN736" s="848" t="str">
        <f>IFERROR(VLOOKUP(E736,'liquidaciones '!$B$2:$C$1048576,2,0),"NO")</f>
        <v>NO</v>
      </c>
      <c r="AO736" s="944" t="str">
        <f>IFERROR(VLOOKUP(E736,'liquidaciones '!$B$2:$I$1048576,8,0),"")</f>
        <v/>
      </c>
      <c r="AP736" s="433"/>
      <c r="AQ736" s="177" t="s">
        <v>390</v>
      </c>
      <c r="AR736" s="177" t="s">
        <v>4254</v>
      </c>
      <c r="AS736" s="433"/>
      <c r="AT736" s="316" t="s">
        <v>560</v>
      </c>
      <c r="AU736" s="964"/>
      <c r="AV736" s="301"/>
    </row>
    <row r="737" spans="3:48" ht="180" x14ac:dyDescent="0.25">
      <c r="C737" s="867">
        <v>308</v>
      </c>
      <c r="D737" s="867"/>
      <c r="E737" s="868" t="s">
        <v>4580</v>
      </c>
      <c r="F737" s="441" t="s">
        <v>2435</v>
      </c>
      <c r="G737" s="903">
        <v>900475780</v>
      </c>
      <c r="H737" s="1001" t="s">
        <v>3694</v>
      </c>
      <c r="I737" s="93">
        <v>5429000000</v>
      </c>
      <c r="J737" s="873" t="s">
        <v>4583</v>
      </c>
      <c r="K737" s="295">
        <v>2019</v>
      </c>
      <c r="L737" s="546">
        <v>43488</v>
      </c>
      <c r="M737" s="546">
        <v>43489</v>
      </c>
      <c r="N737" s="546">
        <v>43822</v>
      </c>
      <c r="O737" s="127">
        <f>COUNTA(Modificaciones!I723,Modificaciones!K723,Modificaciones!M723,Modificaciones!O723)</f>
        <v>0</v>
      </c>
      <c r="P737" s="128">
        <f>VLOOKUP(E737,Modificaciones!$B$7:$Q$1819,16,0)</f>
        <v>0</v>
      </c>
      <c r="Q737" s="129">
        <f>COUNTA(Modificaciones!S737,Modificaciones!U737,Modificaciones!W737,Modificaciones!Y737)</f>
        <v>0</v>
      </c>
      <c r="R737" s="130" t="str">
        <f>IF(Modificaciones!Z737=0,"",VLOOKUP(E737,Modificaciones!$B$7:$AA$1419,25,0))</f>
        <v/>
      </c>
      <c r="S737" s="131" t="str">
        <f>IF(Modificaciones!AA737=0,"",VLOOKUP(E737,Modificaciones!$B$7:$AA$1419,26,0))</f>
        <v/>
      </c>
      <c r="T737" s="855">
        <f t="shared" si="167"/>
        <v>43822</v>
      </c>
      <c r="U737" s="62">
        <f t="shared" si="168"/>
        <v>5429000000</v>
      </c>
      <c r="V737" s="172">
        <f>VLOOKUP(E737,Modificaciones!$B$7:$AU$819,46,0)</f>
        <v>0</v>
      </c>
      <c r="W737" s="93">
        <f t="shared" si="169"/>
        <v>5429000000</v>
      </c>
      <c r="X737" s="314" t="s">
        <v>4581</v>
      </c>
      <c r="Y737" s="852">
        <f t="shared" si="170"/>
        <v>0</v>
      </c>
      <c r="Z737" s="42">
        <f t="shared" ca="1" si="171"/>
        <v>0.46246246246246248</v>
      </c>
      <c r="AA737" s="43">
        <f t="shared" ca="1" si="172"/>
        <v>0.46246246246246248</v>
      </c>
      <c r="AB737" s="202">
        <f t="shared" ca="1" si="173"/>
        <v>179</v>
      </c>
      <c r="AC737" s="44" t="str">
        <f t="shared" si="174"/>
        <v>NO</v>
      </c>
      <c r="AD737" s="760" t="s">
        <v>1719</v>
      </c>
      <c r="AE737" s="173" t="s">
        <v>1256</v>
      </c>
      <c r="AF737" s="281" t="s">
        <v>1508</v>
      </c>
      <c r="AG737" s="173" t="s">
        <v>1442</v>
      </c>
      <c r="AH737" s="301" t="s">
        <v>3947</v>
      </c>
      <c r="AJ737" s="305" t="s">
        <v>4252</v>
      </c>
      <c r="AK737" s="181" t="str">
        <f t="shared" ca="1" si="175"/>
        <v>EN EJECUCIÓN</v>
      </c>
      <c r="AL737" s="181" t="s">
        <v>582</v>
      </c>
      <c r="AM737" s="433" t="s">
        <v>390</v>
      </c>
      <c r="AN737" s="848" t="str">
        <f>IFERROR(VLOOKUP(E737,'liquidaciones '!$B$2:$C$1048576,2,0),"NO")</f>
        <v>NO</v>
      </c>
      <c r="AO737" s="944" t="str">
        <f>IFERROR(VLOOKUP(E737,'liquidaciones '!$B$2:$I$1048576,8,0),"")</f>
        <v/>
      </c>
      <c r="AP737" s="433"/>
      <c r="AQ737" s="433" t="s">
        <v>390</v>
      </c>
      <c r="AR737" s="1035" t="s">
        <v>4309</v>
      </c>
      <c r="AS737" s="433"/>
      <c r="AT737" s="966" t="s">
        <v>3947</v>
      </c>
      <c r="AU737" s="964"/>
      <c r="AV737" s="301"/>
    </row>
    <row r="738" spans="3:48" ht="30" x14ac:dyDescent="0.25">
      <c r="C738" s="867">
        <v>212</v>
      </c>
      <c r="D738" s="867"/>
      <c r="E738" s="868" t="s">
        <v>4584</v>
      </c>
      <c r="F738" s="441" t="s">
        <v>3374</v>
      </c>
      <c r="G738" s="893">
        <v>830095213</v>
      </c>
      <c r="H738" s="1001" t="s">
        <v>4308</v>
      </c>
      <c r="I738" s="93">
        <v>480000000</v>
      </c>
      <c r="J738" s="873" t="s">
        <v>4585</v>
      </c>
      <c r="K738" s="295">
        <v>2019</v>
      </c>
      <c r="L738" s="546">
        <v>43490</v>
      </c>
      <c r="M738" s="546">
        <v>43492</v>
      </c>
      <c r="N738" s="546">
        <v>43822</v>
      </c>
      <c r="O738" s="127">
        <f>COUNTA(Modificaciones!I724,Modificaciones!K724,Modificaciones!M724,Modificaciones!O724)</f>
        <v>0</v>
      </c>
      <c r="P738" s="128">
        <f>VLOOKUP(E738,Modificaciones!$B$7:$Q$1819,16,0)</f>
        <v>0</v>
      </c>
      <c r="Q738" s="129">
        <f>COUNTA(Modificaciones!S738,Modificaciones!U738,Modificaciones!W738,Modificaciones!Y738)</f>
        <v>0</v>
      </c>
      <c r="R738" s="130" t="str">
        <f>IF(Modificaciones!Z738=0,"",VLOOKUP(E738,Modificaciones!$B$7:$AA$1419,25,0))</f>
        <v/>
      </c>
      <c r="S738" s="131" t="str">
        <f>IF(Modificaciones!AA738=0,"",VLOOKUP(E738,Modificaciones!$B$7:$AA$1419,26,0))</f>
        <v/>
      </c>
      <c r="T738" s="855">
        <f t="shared" si="167"/>
        <v>43822</v>
      </c>
      <c r="U738" s="62">
        <f t="shared" si="168"/>
        <v>480000000</v>
      </c>
      <c r="V738" s="172">
        <f>VLOOKUP(E738,Modificaciones!$B$7:$AU$819,46,0)</f>
        <v>170307787</v>
      </c>
      <c r="W738" s="93">
        <f t="shared" si="169"/>
        <v>309692213</v>
      </c>
      <c r="X738" s="309"/>
      <c r="Y738" s="852">
        <f t="shared" si="170"/>
        <v>0.35480788958333331</v>
      </c>
      <c r="Z738" s="42">
        <f t="shared" ca="1" si="171"/>
        <v>0.45757575757575758</v>
      </c>
      <c r="AA738" s="43">
        <f t="shared" ca="1" si="172"/>
        <v>0.10276786799242427</v>
      </c>
      <c r="AB738" s="202">
        <f t="shared" ca="1" si="173"/>
        <v>179</v>
      </c>
      <c r="AC738" s="44" t="str">
        <f t="shared" si="174"/>
        <v>NO</v>
      </c>
      <c r="AD738" s="868"/>
      <c r="AE738" s="173" t="s">
        <v>1256</v>
      </c>
      <c r="AF738" s="281" t="s">
        <v>1139</v>
      </c>
      <c r="AG738" s="868"/>
      <c r="AH738" s="281" t="s">
        <v>559</v>
      </c>
      <c r="AI738" s="868" t="s">
        <v>4586</v>
      </c>
      <c r="AJ738" s="305" t="s">
        <v>4252</v>
      </c>
      <c r="AK738" s="181" t="str">
        <f t="shared" ca="1" si="175"/>
        <v>EN EJECUCIÓN</v>
      </c>
      <c r="AL738" s="441"/>
      <c r="AM738" s="433"/>
      <c r="AN738" s="848" t="str">
        <f>IFERROR(VLOOKUP(E738,'liquidaciones '!$B$2:$C$1048576,2,0),"NO")</f>
        <v>NO</v>
      </c>
      <c r="AO738" s="944" t="str">
        <f>IFERROR(VLOOKUP(E738,'liquidaciones '!$B$2:$I$1048576,8,0),"")</f>
        <v/>
      </c>
      <c r="AP738" s="433"/>
      <c r="AQ738" s="177" t="s">
        <v>390</v>
      </c>
      <c r="AR738" s="433" t="s">
        <v>4309</v>
      </c>
      <c r="AS738" s="433"/>
      <c r="AT738" s="966" t="s">
        <v>3947</v>
      </c>
      <c r="AU738" s="964"/>
      <c r="AV738" s="301"/>
    </row>
    <row r="739" spans="3:48" ht="67.5" x14ac:dyDescent="0.25">
      <c r="C739" s="867">
        <v>155</v>
      </c>
      <c r="D739" s="867"/>
      <c r="E739" s="868" t="s">
        <v>4603</v>
      </c>
      <c r="F739" s="441" t="s">
        <v>4324</v>
      </c>
      <c r="G739" s="893">
        <v>52196310</v>
      </c>
      <c r="H739" s="1005" t="s">
        <v>4325</v>
      </c>
      <c r="I739" s="93">
        <v>48180000</v>
      </c>
      <c r="J739" s="873" t="s">
        <v>4604</v>
      </c>
      <c r="K739" s="295">
        <v>2019</v>
      </c>
      <c r="L739" s="546">
        <v>43500</v>
      </c>
      <c r="M739" s="546">
        <v>43500</v>
      </c>
      <c r="N739" s="546">
        <v>43641</v>
      </c>
      <c r="O739" s="127">
        <f>COUNTA(Modificaciones!I725,Modificaciones!K725,Modificaciones!M725,Modificaciones!O725)</f>
        <v>0</v>
      </c>
      <c r="P739" s="128">
        <f>VLOOKUP(E739,Modificaciones!$B$7:$Q$1819,16,0)</f>
        <v>0</v>
      </c>
      <c r="Q739" s="129">
        <f>COUNTA(Modificaciones!S739,Modificaciones!U739,Modificaciones!W739,Modificaciones!Y739)</f>
        <v>0</v>
      </c>
      <c r="R739" s="130" t="str">
        <f>IF(Modificaciones!Z739=0,"",VLOOKUP(E739,Modificaciones!$B$7:$AA$1419,25,0))</f>
        <v/>
      </c>
      <c r="S739" s="131" t="str">
        <f>IF(Modificaciones!AA739=0,"",VLOOKUP(E739,Modificaciones!$B$7:$AA$1419,26,0))</f>
        <v/>
      </c>
      <c r="T739" s="855">
        <f t="shared" si="167"/>
        <v>43641</v>
      </c>
      <c r="U739" s="62">
        <f t="shared" si="168"/>
        <v>48180000</v>
      </c>
      <c r="V739" s="172">
        <f>VLOOKUP(E739,Modificaciones!$B$7:$AU$819,46,0)</f>
        <v>31317000</v>
      </c>
      <c r="W739" s="93">
        <f t="shared" si="169"/>
        <v>16863000</v>
      </c>
      <c r="X739" s="309" t="s">
        <v>1095</v>
      </c>
      <c r="Y739" s="852">
        <f t="shared" si="170"/>
        <v>0.65</v>
      </c>
      <c r="Z739" s="42">
        <f t="shared" ca="1" si="171"/>
        <v>1</v>
      </c>
      <c r="AA739" s="43">
        <f t="shared" ca="1" si="172"/>
        <v>0.35</v>
      </c>
      <c r="AB739" s="202" t="str">
        <f t="shared" ca="1" si="173"/>
        <v/>
      </c>
      <c r="AC739" s="44" t="str">
        <f t="shared" si="174"/>
        <v>NO</v>
      </c>
      <c r="AD739" s="760" t="s">
        <v>2898</v>
      </c>
      <c r="AE739" s="871" t="s">
        <v>1256</v>
      </c>
      <c r="AF739" s="900" t="s">
        <v>4326</v>
      </c>
      <c r="AG739" s="868" t="s">
        <v>4327</v>
      </c>
      <c r="AH739" s="281" t="s">
        <v>559</v>
      </c>
      <c r="AI739" s="868"/>
      <c r="AJ739" s="305" t="s">
        <v>4252</v>
      </c>
      <c r="AK739" s="181" t="str">
        <f t="shared" ca="1" si="175"/>
        <v>TERMINO</v>
      </c>
      <c r="AL739" s="181" t="s">
        <v>582</v>
      </c>
      <c r="AM739" s="176" t="s">
        <v>391</v>
      </c>
      <c r="AN739" s="848" t="str">
        <f>IFERROR(VLOOKUP(E739,'liquidaciones '!$B$2:$C$1048576,2,0),"NO")</f>
        <v>NO</v>
      </c>
      <c r="AO739" s="944" t="str">
        <f>IFERROR(VLOOKUP(E739,'liquidaciones '!$B$2:$I$1048576,8,0),"")</f>
        <v/>
      </c>
      <c r="AP739" s="433"/>
      <c r="AQ739" s="433" t="s">
        <v>390</v>
      </c>
      <c r="AR739" s="433" t="s">
        <v>4820</v>
      </c>
      <c r="AS739" s="433"/>
      <c r="AT739" s="966" t="s">
        <v>3947</v>
      </c>
      <c r="AU739" s="964"/>
      <c r="AV739" s="301"/>
    </row>
    <row r="740" spans="3:48" ht="45" x14ac:dyDescent="0.25">
      <c r="C740" s="867">
        <v>158</v>
      </c>
      <c r="D740" s="867"/>
      <c r="E740" s="868" t="s">
        <v>4605</v>
      </c>
      <c r="F740" s="441" t="s">
        <v>4329</v>
      </c>
      <c r="G740" s="893">
        <v>80830146</v>
      </c>
      <c r="H740" s="1005" t="s">
        <v>3044</v>
      </c>
      <c r="I740" s="93">
        <v>33622600</v>
      </c>
      <c r="J740" s="873" t="s">
        <v>4606</v>
      </c>
      <c r="K740" s="295">
        <v>2019</v>
      </c>
      <c r="L740" s="546">
        <v>43497</v>
      </c>
      <c r="M740" s="546">
        <v>43500</v>
      </c>
      <c r="N740" s="546">
        <v>43641</v>
      </c>
      <c r="O740" s="127">
        <f>COUNTA(Modificaciones!I726,Modificaciones!K726,Modificaciones!M726,Modificaciones!O726)</f>
        <v>0</v>
      </c>
      <c r="P740" s="128">
        <f>VLOOKUP(E740,Modificaciones!$B$7:$Q$1819,16,0)</f>
        <v>0</v>
      </c>
      <c r="Q740" s="129">
        <f>COUNTA(Modificaciones!S740,Modificaciones!U740,Modificaciones!W740,Modificaciones!Y740)</f>
        <v>0</v>
      </c>
      <c r="R740" s="130" t="str">
        <f>IF(Modificaciones!Z740=0,"",VLOOKUP(E740,Modificaciones!$B$7:$AA$1419,25,0))</f>
        <v/>
      </c>
      <c r="S740" s="131" t="str">
        <f>IF(Modificaciones!AA740=0,"",VLOOKUP(E740,Modificaciones!$B$7:$AA$1419,26,0))</f>
        <v/>
      </c>
      <c r="T740" s="855">
        <f t="shared" si="167"/>
        <v>43641</v>
      </c>
      <c r="U740" s="62">
        <f t="shared" si="168"/>
        <v>33622600</v>
      </c>
      <c r="V740" s="172">
        <f>VLOOKUP(E740,Modificaciones!$B$7:$AU$819,46,0)</f>
        <v>22608300</v>
      </c>
      <c r="W740" s="93">
        <f t="shared" si="169"/>
        <v>11014300</v>
      </c>
      <c r="X740" s="309" t="s">
        <v>1095</v>
      </c>
      <c r="Y740" s="852">
        <f t="shared" si="170"/>
        <v>0.67241379310344829</v>
      </c>
      <c r="Z740" s="42">
        <f t="shared" ca="1" si="171"/>
        <v>1</v>
      </c>
      <c r="AA740" s="43">
        <f t="shared" ca="1" si="172"/>
        <v>0.32758620689655171</v>
      </c>
      <c r="AB740" s="202" t="str">
        <f t="shared" ca="1" si="173"/>
        <v/>
      </c>
      <c r="AC740" s="44" t="str">
        <f t="shared" si="174"/>
        <v>NO</v>
      </c>
      <c r="AD740" s="760" t="s">
        <v>2898</v>
      </c>
      <c r="AE740" s="871" t="s">
        <v>1256</v>
      </c>
      <c r="AF740" s="900" t="s">
        <v>4330</v>
      </c>
      <c r="AG740" s="868" t="s">
        <v>4331</v>
      </c>
      <c r="AH740" s="281" t="s">
        <v>561</v>
      </c>
      <c r="AI740" s="868"/>
      <c r="AJ740" s="305" t="s">
        <v>3863</v>
      </c>
      <c r="AK740" s="181" t="str">
        <f t="shared" ca="1" si="175"/>
        <v>TERMINO</v>
      </c>
      <c r="AL740" s="181" t="s">
        <v>582</v>
      </c>
      <c r="AM740" s="176" t="s">
        <v>391</v>
      </c>
      <c r="AN740" s="848" t="str">
        <f>IFERROR(VLOOKUP(E740,'liquidaciones '!$B$2:$C$1048576,2,0),"NO")</f>
        <v>NO</v>
      </c>
      <c r="AO740" s="944" t="str">
        <f>IFERROR(VLOOKUP(E740,'liquidaciones '!$B$2:$I$1048576,8,0),"")</f>
        <v/>
      </c>
      <c r="AP740" s="433"/>
      <c r="AQ740" s="433" t="s">
        <v>390</v>
      </c>
      <c r="AR740" s="177" t="s">
        <v>4255</v>
      </c>
      <c r="AS740" s="433"/>
      <c r="AT740" s="966" t="s">
        <v>4188</v>
      </c>
      <c r="AU740" s="964"/>
      <c r="AV740" s="301"/>
    </row>
    <row r="741" spans="3:48" ht="33.75" x14ac:dyDescent="0.25">
      <c r="C741" s="867">
        <v>220</v>
      </c>
      <c r="D741" s="867"/>
      <c r="E741" s="868" t="s">
        <v>4609</v>
      </c>
      <c r="F741" s="441" t="s">
        <v>4211</v>
      </c>
      <c r="G741" s="893">
        <v>1065587417</v>
      </c>
      <c r="H741" s="1005" t="s">
        <v>4610</v>
      </c>
      <c r="I741" s="93">
        <v>35117800</v>
      </c>
      <c r="J741" s="873" t="s">
        <v>4612</v>
      </c>
      <c r="K741" s="295">
        <v>2019</v>
      </c>
      <c r="L741" s="546">
        <v>43500</v>
      </c>
      <c r="M741" s="546">
        <v>43502</v>
      </c>
      <c r="N741" s="546">
        <v>43823</v>
      </c>
      <c r="O741" s="127">
        <f>COUNTA(Modificaciones!I727,Modificaciones!K727,Modificaciones!M727,Modificaciones!O727)</f>
        <v>0</v>
      </c>
      <c r="P741" s="128">
        <f>VLOOKUP(E741,Modificaciones!$B$7:$Q$1819,16,0)</f>
        <v>0</v>
      </c>
      <c r="Q741" s="129">
        <f>COUNTA(Modificaciones!S741,Modificaciones!U741,Modificaciones!W741,Modificaciones!Y741)</f>
        <v>0</v>
      </c>
      <c r="R741" s="130" t="str">
        <f>IF(Modificaciones!Z741=0,"",VLOOKUP(E741,Modificaciones!$B$7:$AA$1419,25,0))</f>
        <v/>
      </c>
      <c r="S741" s="131" t="str">
        <f>IF(Modificaciones!AA741=0,"",VLOOKUP(E741,Modificaciones!$B$7:$AA$1419,26,0))</f>
        <v/>
      </c>
      <c r="T741" s="855">
        <f t="shared" si="167"/>
        <v>43823</v>
      </c>
      <c r="U741" s="62">
        <f t="shared" si="168"/>
        <v>35117800</v>
      </c>
      <c r="V741" s="172">
        <f>VLOOKUP(E741,Modificaciones!$B$7:$AU$819,46,0)</f>
        <v>12699833</v>
      </c>
      <c r="W741" s="93">
        <f t="shared" si="169"/>
        <v>22417967</v>
      </c>
      <c r="X741" s="309" t="s">
        <v>1095</v>
      </c>
      <c r="Y741" s="852">
        <f t="shared" si="170"/>
        <v>0.36163521063392357</v>
      </c>
      <c r="Z741" s="42">
        <f t="shared" ca="1" si="171"/>
        <v>0.43925233644859812</v>
      </c>
      <c r="AA741" s="43">
        <f t="shared" ca="1" si="172"/>
        <v>7.7617125814674559E-2</v>
      </c>
      <c r="AB741" s="202">
        <f t="shared" ca="1" si="173"/>
        <v>180</v>
      </c>
      <c r="AC741" s="44" t="str">
        <f t="shared" si="174"/>
        <v>NO</v>
      </c>
      <c r="AD741" s="760" t="s">
        <v>2898</v>
      </c>
      <c r="AE741" s="173" t="s">
        <v>1256</v>
      </c>
      <c r="AF741" s="900" t="s">
        <v>4213</v>
      </c>
      <c r="AG741" s="173" t="s">
        <v>1442</v>
      </c>
      <c r="AH741" s="281" t="s">
        <v>559</v>
      </c>
      <c r="AI741" s="868"/>
      <c r="AJ741" s="305" t="s">
        <v>4252</v>
      </c>
      <c r="AK741" s="181" t="str">
        <f t="shared" ca="1" si="175"/>
        <v>EN EJECUCIÓN</v>
      </c>
      <c r="AL741" s="181" t="s">
        <v>582</v>
      </c>
      <c r="AM741" s="433" t="s">
        <v>391</v>
      </c>
      <c r="AN741" s="848" t="str">
        <f>IFERROR(VLOOKUP(E741,'liquidaciones '!$B$2:$C$1048576,2,0),"NO")</f>
        <v>NO</v>
      </c>
      <c r="AO741" s="944" t="str">
        <f>IFERROR(VLOOKUP(E741,'liquidaciones '!$B$2:$I$1048576,8,0),"")</f>
        <v/>
      </c>
      <c r="AP741" s="433"/>
      <c r="AQ741" s="433" t="s">
        <v>390</v>
      </c>
      <c r="AR741" s="1020" t="s">
        <v>4611</v>
      </c>
      <c r="AS741" s="433"/>
      <c r="AT741" s="966" t="s">
        <v>559</v>
      </c>
      <c r="AU741" s="964"/>
      <c r="AV741" s="301"/>
    </row>
    <row r="742" spans="3:48" ht="45" x14ac:dyDescent="0.25">
      <c r="C742" s="867">
        <v>202</v>
      </c>
      <c r="D742" s="867"/>
      <c r="E742" s="868" t="s">
        <v>4613</v>
      </c>
      <c r="F742" s="441" t="s">
        <v>4158</v>
      </c>
      <c r="G742" s="893">
        <v>1098792121</v>
      </c>
      <c r="H742" s="1005" t="s">
        <v>4159</v>
      </c>
      <c r="I742" s="93">
        <v>35340000</v>
      </c>
      <c r="J742" s="873" t="s">
        <v>4614</v>
      </c>
      <c r="K742" s="295">
        <v>2019</v>
      </c>
      <c r="L742" s="546">
        <v>43500</v>
      </c>
      <c r="M742" s="546">
        <v>43502</v>
      </c>
      <c r="N742" s="546">
        <v>43825</v>
      </c>
      <c r="O742" s="127">
        <f>COUNTA(Modificaciones!I728,Modificaciones!K728,Modificaciones!M728,Modificaciones!O728)</f>
        <v>0</v>
      </c>
      <c r="P742" s="128">
        <f>VLOOKUP(E742,Modificaciones!$B$7:$Q$1819,16,0)</f>
        <v>0</v>
      </c>
      <c r="Q742" s="129">
        <f>COUNTA(Modificaciones!S742,Modificaciones!U742,Modificaciones!W742,Modificaciones!Y742)</f>
        <v>0</v>
      </c>
      <c r="R742" s="130" t="str">
        <f>IF(Modificaciones!Z742=0,"",VLOOKUP(E742,Modificaciones!$B$7:$AA$1419,25,0))</f>
        <v/>
      </c>
      <c r="S742" s="131" t="str">
        <f>IF(Modificaciones!AA742=0,"",VLOOKUP(E742,Modificaciones!$B$7:$AA$1419,26,0))</f>
        <v/>
      </c>
      <c r="T742" s="855">
        <f t="shared" si="167"/>
        <v>43825</v>
      </c>
      <c r="U742" s="62">
        <f t="shared" si="168"/>
        <v>35340000</v>
      </c>
      <c r="V742" s="172">
        <f>VLOOKUP(E742,Modificaciones!$B$7:$AU$819,46,0)</f>
        <v>9386833</v>
      </c>
      <c r="W742" s="93">
        <f t="shared" si="169"/>
        <v>25953167</v>
      </c>
      <c r="X742" s="309" t="s">
        <v>1095</v>
      </c>
      <c r="Y742" s="852">
        <f t="shared" si="170"/>
        <v>0.26561496887379737</v>
      </c>
      <c r="Z742" s="42">
        <f t="shared" ca="1" si="171"/>
        <v>0.43653250773993807</v>
      </c>
      <c r="AA742" s="43">
        <f t="shared" ca="1" si="172"/>
        <v>0.17091753886614069</v>
      </c>
      <c r="AB742" s="202">
        <f t="shared" ca="1" si="173"/>
        <v>182</v>
      </c>
      <c r="AC742" s="44" t="str">
        <f t="shared" si="174"/>
        <v>NO</v>
      </c>
      <c r="AD742" s="760" t="s">
        <v>2898</v>
      </c>
      <c r="AE742" s="173" t="s">
        <v>1256</v>
      </c>
      <c r="AF742" s="173" t="s">
        <v>2490</v>
      </c>
      <c r="AG742" s="173" t="s">
        <v>1177</v>
      </c>
      <c r="AH742" s="281" t="s">
        <v>559</v>
      </c>
      <c r="AI742" s="174"/>
      <c r="AJ742" s="305" t="s">
        <v>4252</v>
      </c>
      <c r="AK742" s="181" t="str">
        <f t="shared" ca="1" si="175"/>
        <v>EN EJECUCIÓN</v>
      </c>
      <c r="AL742" s="310" t="s">
        <v>582</v>
      </c>
      <c r="AM742" s="433" t="s">
        <v>391</v>
      </c>
      <c r="AN742" s="848" t="str">
        <f>IFERROR(VLOOKUP(E742,'liquidaciones '!$B$2:$C$1048576,2,0),"NO")</f>
        <v>NO</v>
      </c>
      <c r="AO742" s="944" t="str">
        <f>IFERROR(VLOOKUP(E742,'liquidaciones '!$B$2:$I$1048576,8,0),"")</f>
        <v/>
      </c>
      <c r="AP742" s="433"/>
      <c r="AQ742" s="433" t="s">
        <v>390</v>
      </c>
      <c r="AR742" s="433" t="s">
        <v>4820</v>
      </c>
      <c r="AS742" s="433"/>
      <c r="AT742" s="966" t="s">
        <v>3947</v>
      </c>
      <c r="AU742" s="964"/>
      <c r="AV742" s="301"/>
    </row>
    <row r="743" spans="3:48" ht="33.75" x14ac:dyDescent="0.25">
      <c r="C743" s="867">
        <v>204</v>
      </c>
      <c r="D743" s="867"/>
      <c r="E743" s="868" t="s">
        <v>4620</v>
      </c>
      <c r="F743" s="441" t="s">
        <v>4621</v>
      </c>
      <c r="G743" s="893">
        <v>1102812271</v>
      </c>
      <c r="H743" s="1005" t="s">
        <v>4622</v>
      </c>
      <c r="I743" s="93">
        <v>38508000</v>
      </c>
      <c r="J743" s="873" t="s">
        <v>4643</v>
      </c>
      <c r="K743" s="295">
        <v>2019</v>
      </c>
      <c r="L743" s="546">
        <v>43500</v>
      </c>
      <c r="M743" s="546">
        <v>43504</v>
      </c>
      <c r="N743" s="546">
        <v>43641</v>
      </c>
      <c r="O743" s="127">
        <f>COUNTA(Modificaciones!I729,Modificaciones!K729,Modificaciones!M729,Modificaciones!O729)</f>
        <v>0</v>
      </c>
      <c r="P743" s="128">
        <f>VLOOKUP(E743,Modificaciones!$B$7:$Q$1819,16,0)</f>
        <v>0</v>
      </c>
      <c r="Q743" s="129">
        <f>COUNTA(Modificaciones!S743,Modificaciones!U743,Modificaciones!W743,Modificaciones!Y743)</f>
        <v>0</v>
      </c>
      <c r="R743" s="130" t="str">
        <f>IF(Modificaciones!Z743=0,"",VLOOKUP(E743,Modificaciones!$B$7:$AA$1419,25,0))</f>
        <v/>
      </c>
      <c r="S743" s="131" t="str">
        <f>IF(Modificaciones!AA743=0,"",VLOOKUP(E743,Modificaciones!$B$7:$AA$1419,26,0))</f>
        <v/>
      </c>
      <c r="T743" s="855">
        <f t="shared" si="167"/>
        <v>43641</v>
      </c>
      <c r="U743" s="62">
        <f t="shared" si="168"/>
        <v>38508000</v>
      </c>
      <c r="V743" s="172">
        <f>VLOOKUP(E743,Modificaciones!$B$7:$AU$819,46,0)</f>
        <v>24174467</v>
      </c>
      <c r="W743" s="93">
        <f t="shared" si="169"/>
        <v>14333533</v>
      </c>
      <c r="X743" s="309" t="s">
        <v>1095</v>
      </c>
      <c r="Y743" s="852">
        <f t="shared" si="170"/>
        <v>0.62777778643398774</v>
      </c>
      <c r="Z743" s="42">
        <f t="shared" ca="1" si="171"/>
        <v>1</v>
      </c>
      <c r="AA743" s="43">
        <f t="shared" ca="1" si="172"/>
        <v>0.37222221356601226</v>
      </c>
      <c r="AB743" s="202" t="str">
        <f t="shared" ca="1" si="173"/>
        <v/>
      </c>
      <c r="AC743" s="44" t="str">
        <f t="shared" si="174"/>
        <v>NO</v>
      </c>
      <c r="AD743" s="760" t="s">
        <v>2898</v>
      </c>
      <c r="AE743" s="173" t="s">
        <v>1256</v>
      </c>
      <c r="AF743" s="173" t="s">
        <v>4623</v>
      </c>
      <c r="AG743" s="173" t="s">
        <v>2500</v>
      </c>
      <c r="AH743" s="281" t="s">
        <v>4624</v>
      </c>
      <c r="AI743" s="174"/>
      <c r="AJ743" s="305" t="s">
        <v>4252</v>
      </c>
      <c r="AK743" s="181" t="str">
        <f t="shared" ca="1" si="175"/>
        <v>TERMINO</v>
      </c>
      <c r="AL743" s="310" t="s">
        <v>582</v>
      </c>
      <c r="AM743" s="433" t="s">
        <v>391</v>
      </c>
      <c r="AN743" s="848" t="str">
        <f>IFERROR(VLOOKUP(E743,'liquidaciones '!$B$2:$C$1048576,2,0),"NO")</f>
        <v>NO</v>
      </c>
      <c r="AO743" s="944" t="str">
        <f>IFERROR(VLOOKUP(E743,'liquidaciones '!$B$2:$I$1048576,8,0),"")</f>
        <v/>
      </c>
      <c r="AP743" s="433"/>
      <c r="AQ743" s="433" t="s">
        <v>390</v>
      </c>
      <c r="AR743" s="1020" t="s">
        <v>4255</v>
      </c>
      <c r="AS743" s="433"/>
      <c r="AT743" s="966" t="s">
        <v>3947</v>
      </c>
      <c r="AU743" s="964"/>
      <c r="AV743" s="301"/>
    </row>
    <row r="744" spans="3:48" ht="33.75" x14ac:dyDescent="0.25">
      <c r="C744" s="867">
        <v>51</v>
      </c>
      <c r="D744" s="867"/>
      <c r="E744" s="868" t="s">
        <v>4625</v>
      </c>
      <c r="F744" s="441" t="s">
        <v>4626</v>
      </c>
      <c r="G744" s="893">
        <v>79328194</v>
      </c>
      <c r="H744" s="1005" t="s">
        <v>3832</v>
      </c>
      <c r="I744" s="93">
        <v>2833530</v>
      </c>
      <c r="J744" s="873" t="s">
        <v>4644</v>
      </c>
      <c r="K744" s="295">
        <v>2019</v>
      </c>
      <c r="L744" s="546">
        <v>43500</v>
      </c>
      <c r="M744" s="546">
        <v>43504</v>
      </c>
      <c r="N744" s="546">
        <v>43562</v>
      </c>
      <c r="O744" s="127">
        <f>COUNTA(Modificaciones!I730,Modificaciones!K730,Modificaciones!M730,Modificaciones!O730)</f>
        <v>1</v>
      </c>
      <c r="P744" s="128">
        <f>VLOOKUP(E744,Modificaciones!$B$7:$Q$1819,16,0)</f>
        <v>0</v>
      </c>
      <c r="Q744" s="129">
        <f>COUNTA(Modificaciones!S744,Modificaciones!U744,Modificaciones!W744,Modificaciones!Y744)</f>
        <v>0</v>
      </c>
      <c r="R744" s="130" t="str">
        <f>IF(Modificaciones!Z744=0,"",VLOOKUP(E744,Modificaciones!$B$7:$AA$1419,25,0))</f>
        <v/>
      </c>
      <c r="S744" s="131" t="str">
        <f>IF(Modificaciones!AA744=0,"",VLOOKUP(E744,Modificaciones!$B$7:$AA$1419,26,0))</f>
        <v/>
      </c>
      <c r="T744" s="855">
        <f t="shared" si="167"/>
        <v>43562</v>
      </c>
      <c r="U744" s="62">
        <f t="shared" si="168"/>
        <v>2833530</v>
      </c>
      <c r="V744" s="172">
        <f>VLOOKUP(E744,Modificaciones!$B$7:$AU$819,46,0)</f>
        <v>2833530</v>
      </c>
      <c r="W744" s="93">
        <f t="shared" si="169"/>
        <v>0</v>
      </c>
      <c r="X744" s="309" t="s">
        <v>1895</v>
      </c>
      <c r="Y744" s="852">
        <f t="shared" si="170"/>
        <v>1</v>
      </c>
      <c r="Z744" s="42">
        <f t="shared" ca="1" si="171"/>
        <v>1</v>
      </c>
      <c r="AA744" s="43">
        <f t="shared" ca="1" si="172"/>
        <v>0</v>
      </c>
      <c r="AB744" s="202" t="str">
        <f t="shared" ca="1" si="173"/>
        <v/>
      </c>
      <c r="AC744" s="44" t="str">
        <f t="shared" si="174"/>
        <v>SI</v>
      </c>
      <c r="AD744" s="760" t="s">
        <v>1710</v>
      </c>
      <c r="AE744" s="173" t="s">
        <v>1256</v>
      </c>
      <c r="AF744" s="281" t="s">
        <v>1307</v>
      </c>
      <c r="AG744" s="868"/>
      <c r="AH744" s="868"/>
      <c r="AI744" s="868"/>
      <c r="AJ744" s="305" t="s">
        <v>4252</v>
      </c>
      <c r="AK744" s="181" t="str">
        <f t="shared" ca="1" si="175"/>
        <v>TERMINO</v>
      </c>
      <c r="AL744" s="310" t="s">
        <v>582</v>
      </c>
      <c r="AM744" s="176" t="s">
        <v>391</v>
      </c>
      <c r="AN744" s="848" t="str">
        <f>IFERROR(VLOOKUP(E744,'liquidaciones '!$B$2:$C$1048576,2,0),"NO")</f>
        <v>NO</v>
      </c>
      <c r="AO744" s="944" t="str">
        <f>IFERROR(VLOOKUP(E744,'liquidaciones '!$B$2:$I$1048576,8,0),"")</f>
        <v/>
      </c>
      <c r="AP744" s="433"/>
      <c r="AQ744" s="433" t="s">
        <v>390</v>
      </c>
      <c r="AR744" s="177" t="s">
        <v>4255</v>
      </c>
      <c r="AS744" s="433"/>
      <c r="AT744" s="966" t="s">
        <v>3947</v>
      </c>
      <c r="AU744" s="964"/>
      <c r="AV744" s="301"/>
    </row>
    <row r="745" spans="3:48" ht="45" x14ac:dyDescent="0.25">
      <c r="C745" s="867">
        <v>164</v>
      </c>
      <c r="D745" s="867"/>
      <c r="E745" s="868" t="s">
        <v>4627</v>
      </c>
      <c r="F745" s="441" t="s">
        <v>4340</v>
      </c>
      <c r="G745" s="893">
        <v>1014264880</v>
      </c>
      <c r="H745" s="1005" t="s">
        <v>4341</v>
      </c>
      <c r="I745" s="93">
        <v>17007466</v>
      </c>
      <c r="J745" s="873" t="s">
        <v>4645</v>
      </c>
      <c r="K745" s="295">
        <v>2019</v>
      </c>
      <c r="L745" s="546">
        <v>43501</v>
      </c>
      <c r="M745" s="546">
        <v>43504</v>
      </c>
      <c r="N745" s="546">
        <v>43641</v>
      </c>
      <c r="O745" s="127">
        <f>COUNTA(Modificaciones!I731,Modificaciones!K731,Modificaciones!M731,Modificaciones!O731)</f>
        <v>0</v>
      </c>
      <c r="P745" s="128">
        <f>VLOOKUP(E745,Modificaciones!$B$7:$Q$1819,16,0)</f>
        <v>0</v>
      </c>
      <c r="Q745" s="129">
        <f>COUNTA(Modificaciones!S745,Modificaciones!U745,Modificaciones!W745,Modificaciones!Y745)</f>
        <v>0</v>
      </c>
      <c r="R745" s="130" t="str">
        <f>IF(Modificaciones!Z745=0,"",VLOOKUP(E745,Modificaciones!$B$7:$AA$1419,25,0))</f>
        <v/>
      </c>
      <c r="S745" s="131" t="str">
        <f>IF(Modificaciones!AA745=0,"",VLOOKUP(E745,Modificaciones!$B$7:$AA$1419,26,0))</f>
        <v/>
      </c>
      <c r="T745" s="855">
        <f t="shared" si="167"/>
        <v>43641</v>
      </c>
      <c r="U745" s="62">
        <f t="shared" si="168"/>
        <v>17007466</v>
      </c>
      <c r="V745" s="172">
        <f>VLOOKUP(E745,Modificaciones!$B$7:$AU$819,46,0)</f>
        <v>10919567</v>
      </c>
      <c r="W745" s="93">
        <f t="shared" si="169"/>
        <v>6087899</v>
      </c>
      <c r="X745" s="309" t="s">
        <v>1095</v>
      </c>
      <c r="Y745" s="852">
        <f t="shared" si="170"/>
        <v>0.64204549931189048</v>
      </c>
      <c r="Z745" s="42">
        <f t="shared" ca="1" si="171"/>
        <v>1</v>
      </c>
      <c r="AA745" s="43">
        <f t="shared" ca="1" si="172"/>
        <v>0.35795450068810952</v>
      </c>
      <c r="AB745" s="202" t="str">
        <f t="shared" ca="1" si="173"/>
        <v/>
      </c>
      <c r="AC745" s="44" t="str">
        <f t="shared" si="174"/>
        <v>NO</v>
      </c>
      <c r="AD745" s="760" t="s">
        <v>2898</v>
      </c>
      <c r="AE745" s="173" t="s">
        <v>1256</v>
      </c>
      <c r="AF745" s="281" t="s">
        <v>2640</v>
      </c>
      <c r="AG745" s="173" t="s">
        <v>1177</v>
      </c>
      <c r="AH745" s="281" t="s">
        <v>559</v>
      </c>
      <c r="AI745" s="305"/>
      <c r="AJ745" s="305" t="s">
        <v>4252</v>
      </c>
      <c r="AK745" s="181" t="str">
        <f t="shared" ca="1" si="175"/>
        <v>TERMINO</v>
      </c>
      <c r="AL745" s="181" t="s">
        <v>582</v>
      </c>
      <c r="AM745" s="176" t="s">
        <v>391</v>
      </c>
      <c r="AN745" s="848" t="str">
        <f>IFERROR(VLOOKUP(E745,'liquidaciones '!$B$2:$C$1048576,2,0),"NO")</f>
        <v>NO</v>
      </c>
      <c r="AO745" s="944" t="str">
        <f>IFERROR(VLOOKUP(E745,'liquidaciones '!$B$2:$I$1048576,8,0),"")</f>
        <v/>
      </c>
      <c r="AP745" s="433"/>
      <c r="AQ745" s="234" t="s">
        <v>390</v>
      </c>
      <c r="AR745" s="433" t="s">
        <v>4820</v>
      </c>
      <c r="AS745" s="433"/>
      <c r="AT745" s="966" t="s">
        <v>3947</v>
      </c>
      <c r="AU745" s="964"/>
      <c r="AV745" s="301"/>
    </row>
    <row r="746" spans="3:48" ht="33.75" x14ac:dyDescent="0.25">
      <c r="C746" s="867">
        <v>14</v>
      </c>
      <c r="D746" s="867"/>
      <c r="E746" s="868" t="s">
        <v>4628</v>
      </c>
      <c r="F746" s="441" t="s">
        <v>4629</v>
      </c>
      <c r="G746" s="893">
        <v>79730476</v>
      </c>
      <c r="H746" s="1003" t="s">
        <v>2908</v>
      </c>
      <c r="I746" s="93">
        <v>36438000</v>
      </c>
      <c r="J746" s="873" t="s">
        <v>4646</v>
      </c>
      <c r="K746" s="295">
        <v>2019</v>
      </c>
      <c r="L746" s="546">
        <v>43502</v>
      </c>
      <c r="M746" s="546">
        <v>43504</v>
      </c>
      <c r="N746" s="546">
        <v>43641</v>
      </c>
      <c r="O746" s="127">
        <f>COUNTA(Modificaciones!I732,Modificaciones!K732,Modificaciones!M732,Modificaciones!O732)</f>
        <v>0</v>
      </c>
      <c r="P746" s="128">
        <f>VLOOKUP(E746,Modificaciones!$B$7:$Q$1819,16,0)</f>
        <v>0</v>
      </c>
      <c r="Q746" s="129">
        <f>COUNTA(Modificaciones!S746,Modificaciones!U746,Modificaciones!W746,Modificaciones!Y746)</f>
        <v>0</v>
      </c>
      <c r="R746" s="130" t="str">
        <f>IF(Modificaciones!Z746=0,"",VLOOKUP(E746,Modificaciones!$B$7:$AA$1419,25,0))</f>
        <v/>
      </c>
      <c r="S746" s="131" t="str">
        <f>IF(Modificaciones!AA746=0,"",VLOOKUP(E746,Modificaciones!$B$7:$AA$1419,26,0))</f>
        <v/>
      </c>
      <c r="T746" s="855">
        <f t="shared" si="167"/>
        <v>43641</v>
      </c>
      <c r="U746" s="62">
        <f t="shared" si="168"/>
        <v>36438000</v>
      </c>
      <c r="V746" s="172">
        <f>VLOOKUP(E746,Modificaciones!$B$7:$AU$819,46,0)</f>
        <v>22874967</v>
      </c>
      <c r="W746" s="93">
        <f t="shared" si="169"/>
        <v>13563033</v>
      </c>
      <c r="X746" s="309" t="s">
        <v>1095</v>
      </c>
      <c r="Y746" s="852">
        <f t="shared" si="170"/>
        <v>0.62777778692573682</v>
      </c>
      <c r="Z746" s="42">
        <f t="shared" ca="1" si="171"/>
        <v>1</v>
      </c>
      <c r="AA746" s="43">
        <f t="shared" ca="1" si="172"/>
        <v>0.37222221307426318</v>
      </c>
      <c r="AB746" s="202" t="str">
        <f t="shared" ca="1" si="173"/>
        <v/>
      </c>
      <c r="AC746" s="44" t="str">
        <f t="shared" si="174"/>
        <v>NO</v>
      </c>
      <c r="AD746" s="760" t="s">
        <v>2898</v>
      </c>
      <c r="AE746" s="173" t="s">
        <v>1256</v>
      </c>
      <c r="AF746" s="173" t="s">
        <v>2174</v>
      </c>
      <c r="AG746" s="173" t="s">
        <v>1177</v>
      </c>
      <c r="AH746" s="281" t="s">
        <v>559</v>
      </c>
      <c r="AI746" s="174"/>
      <c r="AJ746" s="305" t="s">
        <v>4252</v>
      </c>
      <c r="AK746" s="181" t="str">
        <f t="shared" ca="1" si="175"/>
        <v>TERMINO</v>
      </c>
      <c r="AL746" s="181" t="s">
        <v>582</v>
      </c>
      <c r="AM746" s="176" t="s">
        <v>391</v>
      </c>
      <c r="AN746" s="848" t="str">
        <f>IFERROR(VLOOKUP(E746,'liquidaciones '!$B$2:$C$1048576,2,0),"NO")</f>
        <v>NO</v>
      </c>
      <c r="AO746" s="944" t="str">
        <f>IFERROR(VLOOKUP(E746,'liquidaciones '!$B$2:$I$1048576,8,0),"")</f>
        <v/>
      </c>
      <c r="AP746" s="433"/>
      <c r="AQ746" s="177" t="s">
        <v>390</v>
      </c>
      <c r="AR746" s="433" t="s">
        <v>4309</v>
      </c>
      <c r="AS746" s="433"/>
      <c r="AT746" s="966" t="s">
        <v>3947</v>
      </c>
      <c r="AU746" s="964"/>
      <c r="AV746" s="301"/>
    </row>
    <row r="747" spans="3:48" ht="45" x14ac:dyDescent="0.25">
      <c r="C747" s="867">
        <v>229</v>
      </c>
      <c r="D747" s="867"/>
      <c r="E747" s="868" t="s">
        <v>4630</v>
      </c>
      <c r="F747" s="441" t="s">
        <v>4631</v>
      </c>
      <c r="G747" s="893">
        <v>1032424231</v>
      </c>
      <c r="H747" s="1003" t="s">
        <v>2489</v>
      </c>
      <c r="I747" s="93">
        <v>33702000</v>
      </c>
      <c r="J747" s="873" t="s">
        <v>4647</v>
      </c>
      <c r="K747" s="295">
        <v>2019</v>
      </c>
      <c r="L747" s="546">
        <v>43501</v>
      </c>
      <c r="M747" s="546">
        <v>43504</v>
      </c>
      <c r="N747" s="546">
        <v>43641</v>
      </c>
      <c r="O747" s="127">
        <f>COUNTA(Modificaciones!I733,Modificaciones!K733,Modificaciones!M733,Modificaciones!O733)</f>
        <v>0</v>
      </c>
      <c r="P747" s="128">
        <f>VLOOKUP(E747,Modificaciones!$B$7:$Q$1819,16,0)</f>
        <v>0</v>
      </c>
      <c r="Q747" s="129">
        <f>COUNTA(Modificaciones!S747,Modificaciones!U747,Modificaciones!W747,Modificaciones!Y747)</f>
        <v>0</v>
      </c>
      <c r="R747" s="130" t="str">
        <f>IF(Modificaciones!Z747=0,"",VLOOKUP(E747,Modificaciones!$B$7:$AA$1419,25,0))</f>
        <v/>
      </c>
      <c r="S747" s="131" t="str">
        <f>IF(Modificaciones!AA747=0,"",VLOOKUP(E747,Modificaciones!$B$7:$AA$1419,26,0))</f>
        <v/>
      </c>
      <c r="T747" s="855">
        <f t="shared" si="167"/>
        <v>43641</v>
      </c>
      <c r="U747" s="62">
        <f t="shared" si="168"/>
        <v>33702000</v>
      </c>
      <c r="V747" s="172">
        <f>VLOOKUP(E747,Modificaciones!$B$7:$AU$819,46,0)</f>
        <v>21157367</v>
      </c>
      <c r="W747" s="93">
        <f t="shared" si="169"/>
        <v>12544633</v>
      </c>
      <c r="X747" s="309" t="s">
        <v>1095</v>
      </c>
      <c r="Y747" s="852">
        <f t="shared" si="170"/>
        <v>0.62777778766838765</v>
      </c>
      <c r="Z747" s="42">
        <f t="shared" ca="1" si="171"/>
        <v>1</v>
      </c>
      <c r="AA747" s="43">
        <f t="shared" ca="1" si="172"/>
        <v>0.37222221233161235</v>
      </c>
      <c r="AB747" s="202" t="str">
        <f t="shared" ca="1" si="173"/>
        <v/>
      </c>
      <c r="AC747" s="44" t="str">
        <f t="shared" si="174"/>
        <v>NO</v>
      </c>
      <c r="AD747" s="760" t="s">
        <v>2898</v>
      </c>
      <c r="AE747" s="173" t="s">
        <v>1256</v>
      </c>
      <c r="AF747" s="173" t="s">
        <v>2490</v>
      </c>
      <c r="AG747" s="173" t="s">
        <v>1430</v>
      </c>
      <c r="AH747" s="281" t="s">
        <v>564</v>
      </c>
      <c r="AI747" s="305"/>
      <c r="AJ747" s="305" t="s">
        <v>4632</v>
      </c>
      <c r="AK747" s="181" t="str">
        <f t="shared" ca="1" si="175"/>
        <v>TERMINO</v>
      </c>
      <c r="AL747" s="181" t="s">
        <v>582</v>
      </c>
      <c r="AM747" s="433" t="s">
        <v>391</v>
      </c>
      <c r="AN747" s="848" t="str">
        <f>IFERROR(VLOOKUP(E747,'liquidaciones '!$B$2:$C$1048576,2,0),"NO")</f>
        <v>NO</v>
      </c>
      <c r="AO747" s="944" t="str">
        <f>IFERROR(VLOOKUP(E747,'liquidaciones '!$B$2:$I$1048576,8,0),"")</f>
        <v/>
      </c>
      <c r="AP747" s="433"/>
      <c r="AQ747" s="433" t="s">
        <v>390</v>
      </c>
      <c r="AR747" s="1038" t="s">
        <v>4309</v>
      </c>
      <c r="AS747" s="433"/>
      <c r="AT747" s="966" t="s">
        <v>564</v>
      </c>
      <c r="AU747" s="964"/>
      <c r="AV747" s="301"/>
    </row>
    <row r="748" spans="3:48" ht="45" x14ac:dyDescent="0.25">
      <c r="C748" s="867">
        <v>23</v>
      </c>
      <c r="D748" s="867"/>
      <c r="E748" s="868" t="s">
        <v>4633</v>
      </c>
      <c r="F748" s="441" t="s">
        <v>4634</v>
      </c>
      <c r="G748" s="893">
        <v>52911222</v>
      </c>
      <c r="H748" s="1003" t="s">
        <v>2888</v>
      </c>
      <c r="I748" s="93">
        <v>36438000</v>
      </c>
      <c r="J748" s="873" t="s">
        <v>4648</v>
      </c>
      <c r="K748" s="295">
        <v>2019</v>
      </c>
      <c r="L748" s="546">
        <v>43500</v>
      </c>
      <c r="M748" s="546">
        <v>43504</v>
      </c>
      <c r="N748" s="546">
        <v>43641</v>
      </c>
      <c r="O748" s="127">
        <f>COUNTA(Modificaciones!I734,Modificaciones!K734,Modificaciones!M734,Modificaciones!O734)</f>
        <v>0</v>
      </c>
      <c r="P748" s="128">
        <f>VLOOKUP(E748,Modificaciones!$B$7:$Q$1819,16,0)</f>
        <v>0</v>
      </c>
      <c r="Q748" s="129">
        <f>COUNTA(Modificaciones!S748,Modificaciones!U748,Modificaciones!W748,Modificaciones!Y748)</f>
        <v>0</v>
      </c>
      <c r="R748" s="130" t="str">
        <f>IF(Modificaciones!Z748=0,"",VLOOKUP(E748,Modificaciones!$B$7:$AA$1419,25,0))</f>
        <v/>
      </c>
      <c r="S748" s="131" t="str">
        <f>IF(Modificaciones!AA748=0,"",VLOOKUP(E748,Modificaciones!$B$7:$AA$1419,26,0))</f>
        <v/>
      </c>
      <c r="T748" s="855">
        <f t="shared" si="167"/>
        <v>43641</v>
      </c>
      <c r="U748" s="62">
        <f t="shared" si="168"/>
        <v>36438000</v>
      </c>
      <c r="V748" s="172">
        <f>VLOOKUP(E748,Modificaciones!$B$7:$AU$819,46,0)</f>
        <v>22874967</v>
      </c>
      <c r="W748" s="93">
        <f t="shared" si="169"/>
        <v>13563033</v>
      </c>
      <c r="X748" s="309" t="s">
        <v>1095</v>
      </c>
      <c r="Y748" s="852">
        <f t="shared" si="170"/>
        <v>0.62777778692573682</v>
      </c>
      <c r="Z748" s="42">
        <f t="shared" ca="1" si="171"/>
        <v>1</v>
      </c>
      <c r="AA748" s="43">
        <f t="shared" ca="1" si="172"/>
        <v>0.37222221307426318</v>
      </c>
      <c r="AB748" s="202" t="str">
        <f t="shared" ca="1" si="173"/>
        <v/>
      </c>
      <c r="AC748" s="44" t="str">
        <f t="shared" si="174"/>
        <v>NO</v>
      </c>
      <c r="AD748" s="760" t="s">
        <v>2898</v>
      </c>
      <c r="AE748" s="173" t="s">
        <v>1256</v>
      </c>
      <c r="AF748" s="173" t="s">
        <v>2496</v>
      </c>
      <c r="AG748" s="173" t="s">
        <v>1430</v>
      </c>
      <c r="AH748" s="281" t="s">
        <v>564</v>
      </c>
      <c r="AI748" s="305"/>
      <c r="AJ748" s="305" t="s">
        <v>4632</v>
      </c>
      <c r="AK748" s="181" t="str">
        <f t="shared" ca="1" si="175"/>
        <v>TERMINO</v>
      </c>
      <c r="AL748" s="310" t="s">
        <v>582</v>
      </c>
      <c r="AM748" s="176" t="s">
        <v>391</v>
      </c>
      <c r="AN748" s="848" t="str">
        <f>IFERROR(VLOOKUP(E748,'liquidaciones '!$B$2:$C$1048576,2,0),"NO")</f>
        <v>NO</v>
      </c>
      <c r="AO748" s="944" t="str">
        <f>IFERROR(VLOOKUP(E748,'liquidaciones '!$B$2:$I$1048576,8,0),"")</f>
        <v/>
      </c>
      <c r="AP748" s="433"/>
      <c r="AQ748" s="177" t="str">
        <f ca="1">IF((TODAY()-T748&lt;900),"SI","NO")</f>
        <v>SI</v>
      </c>
      <c r="AR748" s="966" t="s">
        <v>4819</v>
      </c>
      <c r="AS748" s="433"/>
      <c r="AT748" s="966" t="s">
        <v>564</v>
      </c>
      <c r="AU748" s="964"/>
      <c r="AV748" s="301"/>
    </row>
    <row r="749" spans="3:48" ht="45" x14ac:dyDescent="0.25">
      <c r="C749" s="867">
        <v>205</v>
      </c>
      <c r="D749" s="867"/>
      <c r="E749" s="868" t="s">
        <v>4635</v>
      </c>
      <c r="F749" s="441" t="s">
        <v>4807</v>
      </c>
      <c r="G749" s="893">
        <v>1023898067</v>
      </c>
      <c r="H749" s="1005" t="s">
        <v>4232</v>
      </c>
      <c r="I749" s="93">
        <v>33666233</v>
      </c>
      <c r="J749" s="873" t="s">
        <v>4649</v>
      </c>
      <c r="K749" s="295">
        <v>2019</v>
      </c>
      <c r="L749" s="546">
        <v>43501</v>
      </c>
      <c r="M749" s="546">
        <v>43504</v>
      </c>
      <c r="N749" s="546">
        <v>43641</v>
      </c>
      <c r="O749" s="127">
        <f>COUNTA(Modificaciones!I735,Modificaciones!K735,Modificaciones!M735,Modificaciones!O735)</f>
        <v>0</v>
      </c>
      <c r="P749" s="128">
        <f>VLOOKUP(E749,Modificaciones!$B$7:$Q$1819,16,0)</f>
        <v>0</v>
      </c>
      <c r="Q749" s="129">
        <f>COUNTA(Modificaciones!S749,Modificaciones!U749,Modificaciones!W749,Modificaciones!Y749)</f>
        <v>0</v>
      </c>
      <c r="R749" s="130" t="str">
        <f>IF(Modificaciones!Z749=0,"",VLOOKUP(E749,Modificaciones!$B$7:$AA$1419,25,0))</f>
        <v/>
      </c>
      <c r="S749" s="131" t="str">
        <f>IF(Modificaciones!AA749=0,"",VLOOKUP(E749,Modificaciones!$B$7:$AA$1419,26,0))</f>
        <v/>
      </c>
      <c r="T749" s="855">
        <f t="shared" si="167"/>
        <v>43641</v>
      </c>
      <c r="U749" s="62">
        <f t="shared" si="168"/>
        <v>33666233</v>
      </c>
      <c r="V749" s="172">
        <f>VLOOKUP(E749,Modificaciones!$B$7:$AU$819,46,0)</f>
        <v>20163733</v>
      </c>
      <c r="W749" s="93">
        <f t="shared" si="169"/>
        <v>13502500</v>
      </c>
      <c r="X749" s="309" t="s">
        <v>1095</v>
      </c>
      <c r="Y749" s="852">
        <f t="shared" si="170"/>
        <v>0.59893047731238602</v>
      </c>
      <c r="Z749" s="42">
        <f t="shared" ca="1" si="171"/>
        <v>1</v>
      </c>
      <c r="AA749" s="43">
        <f t="shared" ca="1" si="172"/>
        <v>0.40106952268761398</v>
      </c>
      <c r="AB749" s="202" t="str">
        <f t="shared" ca="1" si="173"/>
        <v/>
      </c>
      <c r="AC749" s="44" t="str">
        <f t="shared" si="174"/>
        <v>NO</v>
      </c>
      <c r="AD749" s="760" t="s">
        <v>2898</v>
      </c>
      <c r="AE749" s="173" t="s">
        <v>1256</v>
      </c>
      <c r="AF749" s="173" t="s">
        <v>4233</v>
      </c>
      <c r="AG749" s="173"/>
      <c r="AH749" s="281" t="s">
        <v>560</v>
      </c>
      <c r="AI749" s="868" t="s">
        <v>4636</v>
      </c>
      <c r="AJ749" s="305" t="s">
        <v>4252</v>
      </c>
      <c r="AK749" s="181" t="str">
        <f t="shared" ca="1" si="175"/>
        <v>TERMINO</v>
      </c>
      <c r="AL749" s="181" t="s">
        <v>582</v>
      </c>
      <c r="AM749" s="433" t="s">
        <v>391</v>
      </c>
      <c r="AN749" s="848" t="str">
        <f>IFERROR(VLOOKUP(E749,'liquidaciones '!$B$2:$C$1048576,2,0),"NO")</f>
        <v>NO</v>
      </c>
      <c r="AO749" s="944" t="str">
        <f>IFERROR(VLOOKUP(E749,'liquidaciones '!$B$2:$I$1048576,8,0),"")</f>
        <v/>
      </c>
      <c r="AP749" s="433"/>
      <c r="AQ749" s="433" t="s">
        <v>390</v>
      </c>
      <c r="AR749" s="1038" t="s">
        <v>4819</v>
      </c>
      <c r="AS749" s="433" t="s">
        <v>4636</v>
      </c>
      <c r="AT749" s="966" t="s">
        <v>560</v>
      </c>
      <c r="AU749" s="964"/>
      <c r="AV749" s="301"/>
    </row>
    <row r="750" spans="3:48" ht="56.25" x14ac:dyDescent="0.25">
      <c r="C750" s="867">
        <v>316</v>
      </c>
      <c r="D750" s="867"/>
      <c r="E750" s="868" t="s">
        <v>4637</v>
      </c>
      <c r="F750" s="441" t="s">
        <v>4855</v>
      </c>
      <c r="G750" s="893">
        <v>52379113</v>
      </c>
      <c r="H750" s="1005" t="s">
        <v>4638</v>
      </c>
      <c r="I750" s="93">
        <v>17394000</v>
      </c>
      <c r="J750" s="873" t="s">
        <v>4650</v>
      </c>
      <c r="K750" s="295">
        <v>2019</v>
      </c>
      <c r="L750" s="546">
        <v>43501</v>
      </c>
      <c r="M750" s="546">
        <v>43504</v>
      </c>
      <c r="N750" s="546">
        <v>43641</v>
      </c>
      <c r="O750" s="127">
        <f>COUNTA(Modificaciones!I736,Modificaciones!K736,Modificaciones!M736,Modificaciones!O736)</f>
        <v>0</v>
      </c>
      <c r="P750" s="128">
        <f>VLOOKUP(E750,Modificaciones!$B$7:$Q$1819,16,0)</f>
        <v>0</v>
      </c>
      <c r="Q750" s="129">
        <f>COUNTA(Modificaciones!S750,Modificaciones!U750,Modificaciones!W750,Modificaciones!Y750)</f>
        <v>0</v>
      </c>
      <c r="R750" s="130" t="str">
        <f>IF(Modificaciones!Z750=0,"",VLOOKUP(E750,Modificaciones!$B$7:$AA$1419,25,0))</f>
        <v/>
      </c>
      <c r="S750" s="131" t="str">
        <f>IF(Modificaciones!AA750=0,"",VLOOKUP(E750,Modificaciones!$B$7:$AA$1419,26,0))</f>
        <v/>
      </c>
      <c r="T750" s="855">
        <f t="shared" si="167"/>
        <v>43641</v>
      </c>
      <c r="U750" s="62">
        <f t="shared" si="168"/>
        <v>17394000</v>
      </c>
      <c r="V750" s="172">
        <f>VLOOKUP(E750,Modificaciones!$B$7:$AU$819,46,0)</f>
        <v>10436401</v>
      </c>
      <c r="W750" s="93">
        <f t="shared" si="169"/>
        <v>6957599</v>
      </c>
      <c r="X750" s="309" t="s">
        <v>1095</v>
      </c>
      <c r="Y750" s="852">
        <f t="shared" si="170"/>
        <v>0.60000005749108887</v>
      </c>
      <c r="Z750" s="42">
        <f t="shared" ca="1" si="171"/>
        <v>1</v>
      </c>
      <c r="AA750" s="43">
        <f t="shared" ca="1" si="172"/>
        <v>0.39999994250891113</v>
      </c>
      <c r="AB750" s="202" t="str">
        <f t="shared" ca="1" si="173"/>
        <v/>
      </c>
      <c r="AC750" s="44" t="str">
        <f t="shared" si="174"/>
        <v>NO</v>
      </c>
      <c r="AD750" s="760" t="s">
        <v>2898</v>
      </c>
      <c r="AE750" s="173" t="s">
        <v>1256</v>
      </c>
      <c r="AF750" s="173" t="s">
        <v>4639</v>
      </c>
      <c r="AG750" s="173" t="s">
        <v>1439</v>
      </c>
      <c r="AH750" s="281" t="s">
        <v>560</v>
      </c>
      <c r="AI750" s="868" t="s">
        <v>1509</v>
      </c>
      <c r="AJ750" s="305" t="s">
        <v>2834</v>
      </c>
      <c r="AK750" s="181" t="str">
        <f t="shared" ca="1" si="175"/>
        <v>TERMINO</v>
      </c>
      <c r="AL750" s="181" t="s">
        <v>582</v>
      </c>
      <c r="AM750" s="433" t="s">
        <v>391</v>
      </c>
      <c r="AN750" s="848" t="str">
        <f>IFERROR(VLOOKUP(E750,'liquidaciones '!$B$2:$C$1048576,2,0),"NO")</f>
        <v>NO</v>
      </c>
      <c r="AO750" s="944" t="str">
        <f>IFERROR(VLOOKUP(E750,'liquidaciones '!$B$2:$I$1048576,8,0),"")</f>
        <v/>
      </c>
      <c r="AP750" s="433"/>
      <c r="AQ750" s="433" t="s">
        <v>390</v>
      </c>
      <c r="AR750" s="177" t="s">
        <v>4820</v>
      </c>
      <c r="AS750" s="433" t="s">
        <v>3785</v>
      </c>
      <c r="AT750" s="966" t="s">
        <v>560</v>
      </c>
      <c r="AU750" s="964"/>
      <c r="AV750" s="301"/>
    </row>
    <row r="751" spans="3:48" ht="45" x14ac:dyDescent="0.25">
      <c r="C751" s="867">
        <v>325</v>
      </c>
      <c r="D751" s="867"/>
      <c r="E751" s="868" t="s">
        <v>4640</v>
      </c>
      <c r="F751" s="441" t="s">
        <v>4240</v>
      </c>
      <c r="G751" s="893">
        <v>79569100</v>
      </c>
      <c r="H751" s="1005" t="s">
        <v>4641</v>
      </c>
      <c r="I751" s="93">
        <v>74800000</v>
      </c>
      <c r="J751" s="873" t="s">
        <v>4651</v>
      </c>
      <c r="K751" s="295">
        <v>2019</v>
      </c>
      <c r="L751" s="546">
        <v>43501</v>
      </c>
      <c r="M751" s="546">
        <v>43504</v>
      </c>
      <c r="N751" s="546">
        <v>43830</v>
      </c>
      <c r="O751" s="127">
        <f>COUNTA(Modificaciones!I737,Modificaciones!K737,Modificaciones!M737,Modificaciones!O737)</f>
        <v>0</v>
      </c>
      <c r="P751" s="128">
        <f>VLOOKUP(E751,Modificaciones!$B$7:$Q$1819,16,0)</f>
        <v>0</v>
      </c>
      <c r="Q751" s="129">
        <f>COUNTA(Modificaciones!S751,Modificaciones!U751,Modificaciones!W751,Modificaciones!Y751)</f>
        <v>0</v>
      </c>
      <c r="R751" s="130" t="str">
        <f>IF(Modificaciones!Z751=0,"",VLOOKUP(E751,Modificaciones!$B$7:$AA$1419,25,0))</f>
        <v/>
      </c>
      <c r="S751" s="131" t="str">
        <f>IF(Modificaciones!AA751=0,"",VLOOKUP(E751,Modificaciones!$B$7:$AA$1419,26,0))</f>
        <v/>
      </c>
      <c r="T751" s="855">
        <f t="shared" si="167"/>
        <v>43830</v>
      </c>
      <c r="U751" s="62">
        <f t="shared" si="168"/>
        <v>74800000</v>
      </c>
      <c r="V751" s="172">
        <f>VLOOKUP(E751,Modificaciones!$B$7:$AU$819,46,0)</f>
        <v>5213333</v>
      </c>
      <c r="W751" s="93">
        <f t="shared" si="169"/>
        <v>69586667</v>
      </c>
      <c r="X751" s="309" t="s">
        <v>1095</v>
      </c>
      <c r="Y751" s="852">
        <f t="shared" si="170"/>
        <v>6.9696965240641715E-2</v>
      </c>
      <c r="Z751" s="42">
        <f t="shared" ca="1" si="171"/>
        <v>0.42638036809815949</v>
      </c>
      <c r="AA751" s="43">
        <f t="shared" ca="1" si="172"/>
        <v>0.35668340285751776</v>
      </c>
      <c r="AB751" s="202">
        <f t="shared" ca="1" si="173"/>
        <v>187</v>
      </c>
      <c r="AC751" s="44" t="str">
        <f t="shared" si="174"/>
        <v>NO</v>
      </c>
      <c r="AD751" s="760" t="s">
        <v>2898</v>
      </c>
      <c r="AE751" s="173" t="s">
        <v>1257</v>
      </c>
      <c r="AF751" s="173" t="s">
        <v>4242</v>
      </c>
      <c r="AG751" s="173" t="s">
        <v>1177</v>
      </c>
      <c r="AH751" s="281" t="s">
        <v>560</v>
      </c>
      <c r="AI751" s="305" t="s">
        <v>1509</v>
      </c>
      <c r="AJ751" s="305" t="s">
        <v>4252</v>
      </c>
      <c r="AK751" s="181" t="str">
        <f t="shared" ca="1" si="175"/>
        <v>EN EJECUCIÓN</v>
      </c>
      <c r="AL751" s="181" t="s">
        <v>582</v>
      </c>
      <c r="AM751" s="433" t="s">
        <v>391</v>
      </c>
      <c r="AN751" s="848" t="str">
        <f>IFERROR(VLOOKUP(E751,'liquidaciones '!$B$2:$C$1048576,2,0),"NO")</f>
        <v>NO</v>
      </c>
      <c r="AO751" s="944" t="str">
        <f>IFERROR(VLOOKUP(E751,'liquidaciones '!$B$2:$I$1048576,8,0),"")</f>
        <v/>
      </c>
      <c r="AP751" s="433"/>
      <c r="AQ751" s="177" t="s">
        <v>390</v>
      </c>
      <c r="AR751" s="433" t="s">
        <v>4820</v>
      </c>
      <c r="AS751" s="433" t="s">
        <v>3785</v>
      </c>
      <c r="AT751" s="966" t="s">
        <v>3895</v>
      </c>
      <c r="AU751" s="964"/>
      <c r="AV751" s="301"/>
    </row>
    <row r="752" spans="3:48" ht="67.5" x14ac:dyDescent="0.25">
      <c r="C752" s="867">
        <v>300</v>
      </c>
      <c r="D752" s="867"/>
      <c r="E752" s="868" t="s">
        <v>4642</v>
      </c>
      <c r="F752" s="441" t="s">
        <v>4469</v>
      </c>
      <c r="G752" s="893">
        <v>79883661</v>
      </c>
      <c r="H752" s="1005" t="s">
        <v>4470</v>
      </c>
      <c r="I752" s="93">
        <v>79618000</v>
      </c>
      <c r="J752" s="873" t="s">
        <v>4652</v>
      </c>
      <c r="K752" s="295">
        <v>2019</v>
      </c>
      <c r="L752" s="546">
        <v>43503</v>
      </c>
      <c r="M752" s="546">
        <v>43504</v>
      </c>
      <c r="N752" s="546">
        <v>43837</v>
      </c>
      <c r="O752" s="127">
        <f>COUNTA(Modificaciones!I738,Modificaciones!K738,Modificaciones!M738,Modificaciones!O738)</f>
        <v>0</v>
      </c>
      <c r="P752" s="128">
        <f>VLOOKUP(E752,Modificaciones!$B$7:$Q$1819,16,0)</f>
        <v>0</v>
      </c>
      <c r="Q752" s="129">
        <f>COUNTA(Modificaciones!S752,Modificaciones!U752,Modificaciones!W752,Modificaciones!Y752)</f>
        <v>0</v>
      </c>
      <c r="R752" s="130" t="str">
        <f>IF(Modificaciones!Z752=0,"",VLOOKUP(E752,Modificaciones!$B$7:$AA$1419,25,0))</f>
        <v/>
      </c>
      <c r="S752" s="131" t="str">
        <f>IF(Modificaciones!AA752=0,"",VLOOKUP(E752,Modificaciones!$B$7:$AA$1419,26,0))</f>
        <v/>
      </c>
      <c r="T752" s="855">
        <f t="shared" si="167"/>
        <v>43837</v>
      </c>
      <c r="U752" s="62">
        <f t="shared" si="168"/>
        <v>79618000</v>
      </c>
      <c r="V752" s="172">
        <f>VLOOKUP(E752,Modificaciones!$B$7:$AU$819,46,0)</f>
        <v>27263133</v>
      </c>
      <c r="W752" s="93">
        <f t="shared" si="169"/>
        <v>52354867</v>
      </c>
      <c r="X752" s="309" t="s">
        <v>1095</v>
      </c>
      <c r="Y752" s="852">
        <f t="shared" si="170"/>
        <v>0.34242423823758444</v>
      </c>
      <c r="Z752" s="42">
        <f t="shared" ca="1" si="171"/>
        <v>0.41741741741741739</v>
      </c>
      <c r="AA752" s="43">
        <f t="shared" ca="1" si="172"/>
        <v>7.4993179179832947E-2</v>
      </c>
      <c r="AB752" s="202">
        <f t="shared" ca="1" si="173"/>
        <v>194</v>
      </c>
      <c r="AC752" s="44" t="str">
        <f t="shared" si="174"/>
        <v>NO</v>
      </c>
      <c r="AD752" s="760" t="s">
        <v>2898</v>
      </c>
      <c r="AE752" s="173" t="s">
        <v>1256</v>
      </c>
      <c r="AF752" s="281" t="s">
        <v>4472</v>
      </c>
      <c r="AG752" s="868"/>
      <c r="AH752" s="281" t="s">
        <v>562</v>
      </c>
      <c r="AI752" s="868"/>
      <c r="AJ752" s="305" t="s">
        <v>3993</v>
      </c>
      <c r="AK752" s="181" t="str">
        <f t="shared" ca="1" si="175"/>
        <v>EN EJECUCIÓN</v>
      </c>
      <c r="AL752" s="441"/>
      <c r="AM752" s="433" t="s">
        <v>391</v>
      </c>
      <c r="AN752" s="848" t="str">
        <f>IFERROR(VLOOKUP(E752,'liquidaciones '!$B$2:$C$1048576,2,0),"NO")</f>
        <v>NO</v>
      </c>
      <c r="AO752" s="944" t="str">
        <f>IFERROR(VLOOKUP(E752,'liquidaciones '!$B$2:$I$1048576,8,0),"")</f>
        <v/>
      </c>
      <c r="AP752" s="433"/>
      <c r="AQ752" s="433" t="s">
        <v>390</v>
      </c>
      <c r="AR752" s="177" t="s">
        <v>4255</v>
      </c>
      <c r="AS752" s="433"/>
      <c r="AT752" s="966" t="s">
        <v>3994</v>
      </c>
      <c r="AU752" s="966" t="s">
        <v>4961</v>
      </c>
      <c r="AV752" s="301"/>
    </row>
    <row r="753" spans="3:48" ht="78.75" x14ac:dyDescent="0.25">
      <c r="C753" s="867">
        <v>41</v>
      </c>
      <c r="D753" s="867"/>
      <c r="E753" s="868" t="s">
        <v>4654</v>
      </c>
      <c r="F753" s="441" t="s">
        <v>3491</v>
      </c>
      <c r="G753" s="893">
        <v>860047657</v>
      </c>
      <c r="H753" s="1005" t="s">
        <v>4655</v>
      </c>
      <c r="I753" s="93">
        <v>4906000</v>
      </c>
      <c r="J753" s="873" t="s">
        <v>4663</v>
      </c>
      <c r="K753" s="295">
        <v>2018</v>
      </c>
      <c r="L753" s="546">
        <v>43462</v>
      </c>
      <c r="M753" s="546">
        <v>43508</v>
      </c>
      <c r="N753" s="546">
        <v>43596</v>
      </c>
      <c r="O753" s="127">
        <f>COUNTA(Modificaciones!I739,Modificaciones!K739,Modificaciones!M739,Modificaciones!O739)</f>
        <v>0</v>
      </c>
      <c r="P753" s="128">
        <f>VLOOKUP(E753,Modificaciones!$B$7:$Q$1819,16,0)</f>
        <v>0</v>
      </c>
      <c r="Q753" s="129">
        <f>COUNTA(Modificaciones!S753,Modificaciones!U753,Modificaciones!W753,Modificaciones!Y753)</f>
        <v>1</v>
      </c>
      <c r="R753" s="130" t="str">
        <f>IF(Modificaciones!Z753=0,"",VLOOKUP(E753,Modificaciones!$B$7:$AA$1419,25,0))</f>
        <v>1 mes y 15 días</v>
      </c>
      <c r="S753" s="131">
        <f>IF(Modificaciones!AA753=0,"",VLOOKUP(E753,Modificaciones!$B$7:$AA$1419,26,0))</f>
        <v>43642</v>
      </c>
      <c r="T753" s="855">
        <f t="shared" si="167"/>
        <v>43642</v>
      </c>
      <c r="U753" s="62">
        <f t="shared" si="168"/>
        <v>4906000</v>
      </c>
      <c r="V753" s="172">
        <f>VLOOKUP(E753,Modificaciones!$B$7:$AU$819,46,0)</f>
        <v>0</v>
      </c>
      <c r="W753" s="93">
        <f t="shared" si="169"/>
        <v>4906000</v>
      </c>
      <c r="X753" s="309" t="s">
        <v>4656</v>
      </c>
      <c r="Y753" s="852">
        <f t="shared" si="170"/>
        <v>0</v>
      </c>
      <c r="Z753" s="42">
        <f t="shared" ca="1" si="171"/>
        <v>1</v>
      </c>
      <c r="AA753" s="43">
        <f t="shared" ca="1" si="172"/>
        <v>1</v>
      </c>
      <c r="AB753" s="202" t="str">
        <f t="shared" ca="1" si="173"/>
        <v/>
      </c>
      <c r="AC753" s="44" t="str">
        <f t="shared" si="174"/>
        <v>NO</v>
      </c>
      <c r="AD753" s="760" t="s">
        <v>1710</v>
      </c>
      <c r="AE753" s="173" t="s">
        <v>1256</v>
      </c>
      <c r="AF753" s="173" t="s">
        <v>1126</v>
      </c>
      <c r="AG753" s="173" t="s">
        <v>1442</v>
      </c>
      <c r="AH753" s="281" t="s">
        <v>560</v>
      </c>
      <c r="AI753" s="868" t="s">
        <v>4586</v>
      </c>
      <c r="AJ753" s="305" t="s">
        <v>4252</v>
      </c>
      <c r="AK753" s="181" t="str">
        <f t="shared" ca="1" si="175"/>
        <v>TERMINO</v>
      </c>
      <c r="AL753" s="310" t="s">
        <v>582</v>
      </c>
      <c r="AM753" s="433" t="s">
        <v>390</v>
      </c>
      <c r="AN753" s="848" t="str">
        <f>IFERROR(VLOOKUP(E753,'liquidaciones '!$B$2:$C$1048576,2,0),"NO")</f>
        <v>NO</v>
      </c>
      <c r="AO753" s="944" t="str">
        <f>IFERROR(VLOOKUP(E753,'liquidaciones '!$B$2:$I$1048576,8,0),"")</f>
        <v/>
      </c>
      <c r="AP753" s="433"/>
      <c r="AQ753" s="177" t="str">
        <f t="shared" ref="AQ753:AQ755" ca="1" si="176">IF((TODAY()-T753&lt;900),"SI","NO")</f>
        <v>SI</v>
      </c>
      <c r="AR753" s="433" t="s">
        <v>4309</v>
      </c>
      <c r="AS753" s="433" t="s">
        <v>4586</v>
      </c>
      <c r="AT753" s="966" t="s">
        <v>560</v>
      </c>
      <c r="AU753" s="964"/>
      <c r="AV753" s="301" t="s">
        <v>5005</v>
      </c>
    </row>
    <row r="754" spans="3:48" ht="30" x14ac:dyDescent="0.25">
      <c r="C754" s="867">
        <v>272</v>
      </c>
      <c r="D754" s="867"/>
      <c r="E754" s="868" t="s">
        <v>4657</v>
      </c>
      <c r="F754" s="441" t="s">
        <v>2362</v>
      </c>
      <c r="G754" s="893" t="s">
        <v>4658</v>
      </c>
      <c r="H754" s="1005" t="s">
        <v>3878</v>
      </c>
      <c r="I754" s="93">
        <v>211862734</v>
      </c>
      <c r="J754" s="873" t="s">
        <v>4664</v>
      </c>
      <c r="K754" s="295">
        <v>2019</v>
      </c>
      <c r="L754" s="546">
        <v>43507</v>
      </c>
      <c r="M754" s="546">
        <v>43507</v>
      </c>
      <c r="N754" s="546">
        <v>43830</v>
      </c>
      <c r="O754" s="127">
        <f>COUNTA(Modificaciones!I740,Modificaciones!K740,Modificaciones!M740,Modificaciones!O740)</f>
        <v>0</v>
      </c>
      <c r="P754" s="128">
        <f>VLOOKUP(E754,Modificaciones!$B$7:$Q$1819,16,0)</f>
        <v>0</v>
      </c>
      <c r="Q754" s="129">
        <f>COUNTA(Modificaciones!S754,Modificaciones!U754,Modificaciones!W754,Modificaciones!Y754)</f>
        <v>0</v>
      </c>
      <c r="R754" s="130" t="str">
        <f>IF(Modificaciones!Z754=0,"",VLOOKUP(E754,Modificaciones!$B$7:$AA$1419,25,0))</f>
        <v/>
      </c>
      <c r="S754" s="131" t="str">
        <f>IF(Modificaciones!AA754=0,"",VLOOKUP(E754,Modificaciones!$B$7:$AA$1419,26,0))</f>
        <v/>
      </c>
      <c r="T754" s="855">
        <f t="shared" si="167"/>
        <v>43830</v>
      </c>
      <c r="U754" s="62">
        <f t="shared" si="168"/>
        <v>211862734</v>
      </c>
      <c r="V754" s="172">
        <f>VLOOKUP(E754,Modificaciones!$B$7:$AU$819,46,0)</f>
        <v>0</v>
      </c>
      <c r="W754" s="93">
        <f t="shared" si="169"/>
        <v>211862734</v>
      </c>
      <c r="X754" s="309"/>
      <c r="Y754" s="852">
        <f t="shared" si="170"/>
        <v>0</v>
      </c>
      <c r="Z754" s="42">
        <f t="shared" ca="1" si="171"/>
        <v>0.42105263157894735</v>
      </c>
      <c r="AA754" s="43">
        <f t="shared" ca="1" si="172"/>
        <v>0.42105263157894735</v>
      </c>
      <c r="AB754" s="202">
        <f t="shared" ca="1" si="173"/>
        <v>187</v>
      </c>
      <c r="AC754" s="44" t="str">
        <f t="shared" si="174"/>
        <v>NO</v>
      </c>
      <c r="AD754" s="760" t="s">
        <v>1710</v>
      </c>
      <c r="AE754" s="173" t="s">
        <v>1257</v>
      </c>
      <c r="AF754" s="281" t="s">
        <v>2262</v>
      </c>
      <c r="AG754" s="173" t="s">
        <v>1439</v>
      </c>
      <c r="AH754" s="281" t="s">
        <v>560</v>
      </c>
      <c r="AI754" s="305" t="s">
        <v>1509</v>
      </c>
      <c r="AJ754" s="305" t="s">
        <v>4252</v>
      </c>
      <c r="AK754" s="181" t="str">
        <f t="shared" ca="1" si="175"/>
        <v>EN EJECUCIÓN</v>
      </c>
      <c r="AL754" s="441" t="s">
        <v>2911</v>
      </c>
      <c r="AM754" s="433"/>
      <c r="AN754" s="848" t="str">
        <f>IFERROR(VLOOKUP(E754,'liquidaciones '!$B$2:$C$1048576,2,0),"NO")</f>
        <v>NO</v>
      </c>
      <c r="AO754" s="944" t="str">
        <f>IFERROR(VLOOKUP(E754,'liquidaciones '!$B$2:$I$1048576,8,0),"")</f>
        <v/>
      </c>
      <c r="AP754" s="433"/>
      <c r="AQ754" s="177" t="str">
        <f t="shared" ca="1" si="176"/>
        <v>SI</v>
      </c>
      <c r="AR754" s="177" t="s">
        <v>4219</v>
      </c>
      <c r="AS754" s="433" t="s">
        <v>3785</v>
      </c>
      <c r="AT754" s="966" t="s">
        <v>560</v>
      </c>
      <c r="AU754" s="964"/>
      <c r="AV754" s="301"/>
    </row>
    <row r="755" spans="3:48" ht="33.75" x14ac:dyDescent="0.25">
      <c r="C755" s="867">
        <v>430</v>
      </c>
      <c r="D755" s="867"/>
      <c r="E755" s="868" t="s">
        <v>4659</v>
      </c>
      <c r="F755" s="441" t="s">
        <v>4660</v>
      </c>
      <c r="G755" s="893">
        <v>79411495</v>
      </c>
      <c r="H755" s="1005" t="s">
        <v>4661</v>
      </c>
      <c r="I755" s="93">
        <v>3934000</v>
      </c>
      <c r="J755" s="873" t="s">
        <v>4665</v>
      </c>
      <c r="K755" s="295">
        <v>2019</v>
      </c>
      <c r="L755" s="546">
        <v>43509</v>
      </c>
      <c r="M755" s="546">
        <v>43511</v>
      </c>
      <c r="N755" s="546">
        <v>43569</v>
      </c>
      <c r="O755" s="127">
        <f>COUNTA(Modificaciones!I741,Modificaciones!K741,Modificaciones!M741,Modificaciones!O741)</f>
        <v>0</v>
      </c>
      <c r="P755" s="128">
        <f>VLOOKUP(E755,Modificaciones!$B$7:$Q$1819,16,0)</f>
        <v>0</v>
      </c>
      <c r="Q755" s="129">
        <f>COUNTA(Modificaciones!S755,Modificaciones!U755,Modificaciones!W755,Modificaciones!Y755)</f>
        <v>0</v>
      </c>
      <c r="R755" s="130" t="str">
        <f>IF(Modificaciones!Z755=0,"",VLOOKUP(E755,Modificaciones!$B$7:$AA$1419,25,0))</f>
        <v/>
      </c>
      <c r="S755" s="131" t="str">
        <f>IF(Modificaciones!AA755=0,"",VLOOKUP(E755,Modificaciones!$B$7:$AA$1419,26,0))</f>
        <v/>
      </c>
      <c r="T755" s="855">
        <f t="shared" si="167"/>
        <v>43569</v>
      </c>
      <c r="U755" s="62">
        <f t="shared" si="168"/>
        <v>3934000</v>
      </c>
      <c r="V755" s="172">
        <f>VLOOKUP(E755,Modificaciones!$B$7:$AU$819,46,0)</f>
        <v>3934000</v>
      </c>
      <c r="W755" s="93">
        <f t="shared" si="169"/>
        <v>0</v>
      </c>
      <c r="X755" s="309" t="s">
        <v>1095</v>
      </c>
      <c r="Y755" s="852">
        <f t="shared" si="170"/>
        <v>1</v>
      </c>
      <c r="Z755" s="42">
        <f t="shared" ca="1" si="171"/>
        <v>1</v>
      </c>
      <c r="AA755" s="43">
        <f t="shared" ca="1" si="172"/>
        <v>0</v>
      </c>
      <c r="AB755" s="202" t="str">
        <f t="shared" ca="1" si="173"/>
        <v/>
      </c>
      <c r="AC755" s="44" t="str">
        <f t="shared" si="174"/>
        <v>SI</v>
      </c>
      <c r="AD755" s="760" t="s">
        <v>2898</v>
      </c>
      <c r="AE755" s="173" t="s">
        <v>1257</v>
      </c>
      <c r="AF755" s="173" t="s">
        <v>4662</v>
      </c>
      <c r="AG755" s="173" t="s">
        <v>1439</v>
      </c>
      <c r="AH755" s="281" t="s">
        <v>560</v>
      </c>
      <c r="AI755" s="868"/>
      <c r="AJ755" s="305" t="s">
        <v>4252</v>
      </c>
      <c r="AK755" s="181" t="str">
        <f t="shared" ca="1" si="175"/>
        <v>TERMINO</v>
      </c>
      <c r="AL755" s="181" t="s">
        <v>582</v>
      </c>
      <c r="AM755" s="433" t="s">
        <v>391</v>
      </c>
      <c r="AN755" s="848" t="str">
        <f>IFERROR(VLOOKUP(E755,'liquidaciones '!$B$2:$C$1048576,2,0),"NO")</f>
        <v>NO</v>
      </c>
      <c r="AO755" s="944" t="str">
        <f>IFERROR(VLOOKUP(E755,'liquidaciones '!$B$2:$I$1048576,8,0),"")</f>
        <v/>
      </c>
      <c r="AP755" s="433"/>
      <c r="AQ755" s="177" t="str">
        <f t="shared" ca="1" si="176"/>
        <v>SI</v>
      </c>
      <c r="AR755" s="177" t="s">
        <v>4219</v>
      </c>
      <c r="AS755" s="433" t="s">
        <v>3785</v>
      </c>
      <c r="AT755" s="966" t="s">
        <v>560</v>
      </c>
      <c r="AU755" s="964"/>
      <c r="AV755" s="301"/>
    </row>
    <row r="756" spans="3:48" ht="30" x14ac:dyDescent="0.25">
      <c r="C756" s="867">
        <v>217</v>
      </c>
      <c r="D756" s="867"/>
      <c r="E756" s="868" t="s">
        <v>4697</v>
      </c>
      <c r="F756" s="441" t="s">
        <v>2964</v>
      </c>
      <c r="G756" s="893" t="s">
        <v>4698</v>
      </c>
      <c r="H756" s="1005" t="s">
        <v>3051</v>
      </c>
      <c r="I756" s="93">
        <v>108816948</v>
      </c>
      <c r="J756" s="873" t="s">
        <v>4699</v>
      </c>
      <c r="K756" s="295">
        <v>2019</v>
      </c>
      <c r="L756" s="546">
        <v>43515</v>
      </c>
      <c r="M756" s="546">
        <v>43524</v>
      </c>
      <c r="N756" s="546">
        <v>43888</v>
      </c>
      <c r="O756" s="127">
        <f>COUNTA(Modificaciones!I756,Modificaciones!K756,Modificaciones!M756,Modificaciones!O756)</f>
        <v>0</v>
      </c>
      <c r="P756" s="128">
        <f>VLOOKUP(E756,Modificaciones!$B$7:$Q$1819,16,0)</f>
        <v>0</v>
      </c>
      <c r="Q756" s="129">
        <f>COUNTA(Modificaciones!S756,Modificaciones!U756,Modificaciones!W756,Modificaciones!Y756)</f>
        <v>0</v>
      </c>
      <c r="R756" s="130" t="str">
        <f>IF(Modificaciones!Z756=0,"",VLOOKUP(E756,Modificaciones!$B$7:$AA$1419,25,0))</f>
        <v/>
      </c>
      <c r="S756" s="131" t="str">
        <f>IF(Modificaciones!AA756=0,"",VLOOKUP(E756,Modificaciones!$B$7:$AA$1419,26,0))</f>
        <v/>
      </c>
      <c r="T756" s="855">
        <f t="shared" si="167"/>
        <v>43888</v>
      </c>
      <c r="U756" s="62">
        <f t="shared" si="168"/>
        <v>108816948</v>
      </c>
      <c r="V756" s="172"/>
      <c r="W756" s="93">
        <f t="shared" si="169"/>
        <v>108816948</v>
      </c>
      <c r="X756" s="309" t="s">
        <v>1865</v>
      </c>
      <c r="Y756" s="852">
        <f t="shared" si="170"/>
        <v>0</v>
      </c>
      <c r="Z756" s="42">
        <f t="shared" ca="1" si="171"/>
        <v>0.32692307692307693</v>
      </c>
      <c r="AA756" s="43">
        <f t="shared" ca="1" si="172"/>
        <v>0.32692307692307693</v>
      </c>
      <c r="AB756" s="202">
        <f t="shared" ca="1" si="173"/>
        <v>245</v>
      </c>
      <c r="AC756" s="44" t="str">
        <f t="shared" si="174"/>
        <v>NO</v>
      </c>
      <c r="AD756" s="760" t="s">
        <v>1710</v>
      </c>
      <c r="AE756" s="173" t="s">
        <v>1256</v>
      </c>
      <c r="AF756" s="281" t="s">
        <v>1137</v>
      </c>
      <c r="AG756" s="173"/>
      <c r="AH756" s="281" t="s">
        <v>559</v>
      </c>
      <c r="AI756" s="868"/>
      <c r="AJ756" s="305" t="s">
        <v>4252</v>
      </c>
      <c r="AK756" s="181" t="str">
        <f t="shared" ca="1" si="175"/>
        <v>EN EJECUCIÓN</v>
      </c>
      <c r="AL756" s="441" t="s">
        <v>4519</v>
      </c>
      <c r="AM756" s="433" t="s">
        <v>390</v>
      </c>
      <c r="AN756" s="848" t="str">
        <f>IFERROR(VLOOKUP(#REF!,'liquidaciones '!$B$2:$C$1048576,2,0),"NO")</f>
        <v>NO</v>
      </c>
      <c r="AO756" s="944" t="str">
        <f>IFERROR(VLOOKUP(#REF!,'liquidaciones '!$B$2:$I$1048576,8,0),"")</f>
        <v/>
      </c>
      <c r="AP756" s="433"/>
      <c r="AQ756" s="177" t="s">
        <v>390</v>
      </c>
      <c r="AR756" s="177" t="s">
        <v>4819</v>
      </c>
      <c r="AS756" s="433"/>
      <c r="AT756" s="316" t="s">
        <v>560</v>
      </c>
      <c r="AU756" s="964"/>
      <c r="AV756" s="301"/>
    </row>
    <row r="757" spans="3:48" ht="78.75" x14ac:dyDescent="0.25">
      <c r="C757" s="867"/>
      <c r="D757" s="867"/>
      <c r="E757" s="868" t="s">
        <v>4702</v>
      </c>
      <c r="F757" s="441" t="s">
        <v>3522</v>
      </c>
      <c r="G757" s="893">
        <v>800039398</v>
      </c>
      <c r="H757" s="1005" t="s">
        <v>4703</v>
      </c>
      <c r="I757" s="93">
        <v>200000000</v>
      </c>
      <c r="J757" s="873" t="s">
        <v>4704</v>
      </c>
      <c r="K757" s="295">
        <v>2019</v>
      </c>
      <c r="L757" s="546">
        <v>43516</v>
      </c>
      <c r="M757" s="546">
        <v>43529</v>
      </c>
      <c r="N757" s="546">
        <v>43894</v>
      </c>
      <c r="O757" s="127">
        <f>COUNTA(Modificaciones!I757,Modificaciones!K757,Modificaciones!M757,Modificaciones!O757)</f>
        <v>0</v>
      </c>
      <c r="P757" s="128">
        <f>VLOOKUP(E757,Modificaciones!$B$7:$Q$1819,16,0)</f>
        <v>0</v>
      </c>
      <c r="Q757" s="129">
        <f>COUNTA(Modificaciones!S757,Modificaciones!U757,Modificaciones!W757,Modificaciones!Y757)</f>
        <v>0</v>
      </c>
      <c r="R757" s="130" t="str">
        <f>IF(Modificaciones!Z757=0,"",VLOOKUP(E757,Modificaciones!$B$7:$AA$1419,25,0))</f>
        <v/>
      </c>
      <c r="S757" s="131" t="str">
        <f>IF(Modificaciones!AA757=0,"",VLOOKUP(E757,Modificaciones!$B$7:$AA$1419,26,0))</f>
        <v/>
      </c>
      <c r="T757" s="855">
        <f t="shared" si="167"/>
        <v>43894</v>
      </c>
      <c r="U757" s="62">
        <f t="shared" si="168"/>
        <v>200000000</v>
      </c>
      <c r="V757" s="172">
        <f>VLOOKUP(E757,Modificaciones!$B$7:$AU$819,46,0)</f>
        <v>5978560</v>
      </c>
      <c r="W757" s="93">
        <f t="shared" si="169"/>
        <v>194021440</v>
      </c>
      <c r="X757" s="309" t="s">
        <v>4705</v>
      </c>
      <c r="Y757" s="852">
        <f t="shared" si="170"/>
        <v>2.9892800000000001E-2</v>
      </c>
      <c r="Z757" s="42">
        <f t="shared" ca="1" si="171"/>
        <v>0.31232876712328766</v>
      </c>
      <c r="AA757" s="43">
        <f t="shared" ca="1" si="172"/>
        <v>0.28243596712328767</v>
      </c>
      <c r="AB757" s="202">
        <f t="shared" ca="1" si="173"/>
        <v>251</v>
      </c>
      <c r="AC757" s="44" t="str">
        <f t="shared" si="174"/>
        <v>NO</v>
      </c>
      <c r="AD757" s="760" t="s">
        <v>1710</v>
      </c>
      <c r="AE757" s="173" t="s">
        <v>1257</v>
      </c>
      <c r="AF757" s="281" t="s">
        <v>2080</v>
      </c>
      <c r="AG757" s="173" t="s">
        <v>1439</v>
      </c>
      <c r="AH757" s="281" t="s">
        <v>560</v>
      </c>
      <c r="AI757" s="305" t="s">
        <v>1509</v>
      </c>
      <c r="AJ757" s="305" t="s">
        <v>4252</v>
      </c>
      <c r="AK757" s="181" t="str">
        <f t="shared" ca="1" si="175"/>
        <v>EN EJECUCIÓN</v>
      </c>
      <c r="AL757" s="441" t="s">
        <v>995</v>
      </c>
      <c r="AM757" s="433" t="s">
        <v>390</v>
      </c>
      <c r="AN757" s="848" t="str">
        <f>IFERROR(VLOOKUP(E757,'liquidaciones '!$B$2:$C$1048576,2,0),"NO")</f>
        <v>NO</v>
      </c>
      <c r="AO757" s="944" t="str">
        <f>IFERROR(VLOOKUP(E757,'liquidaciones '!$B$2:$I$1048576,8,0),"")</f>
        <v/>
      </c>
      <c r="AP757" s="433"/>
      <c r="AQ757" s="177" t="s">
        <v>390</v>
      </c>
      <c r="AR757" s="177" t="s">
        <v>4219</v>
      </c>
      <c r="AS757" s="433" t="s">
        <v>3785</v>
      </c>
      <c r="AT757" s="966" t="s">
        <v>560</v>
      </c>
      <c r="AU757" s="964"/>
      <c r="AV757" s="301"/>
    </row>
    <row r="758" spans="3:48" ht="112.5" x14ac:dyDescent="0.25">
      <c r="C758" s="867">
        <v>342</v>
      </c>
      <c r="E758" s="868" t="s">
        <v>4707</v>
      </c>
      <c r="F758" s="441" t="s">
        <v>4708</v>
      </c>
      <c r="G758" s="893" t="s">
        <v>4709</v>
      </c>
      <c r="H758" s="1005" t="s">
        <v>4710</v>
      </c>
      <c r="I758" s="93">
        <v>144262517</v>
      </c>
      <c r="J758" s="873" t="s">
        <v>4713</v>
      </c>
      <c r="K758" s="295">
        <v>2019</v>
      </c>
      <c r="L758" s="546">
        <v>43528</v>
      </c>
      <c r="M758" s="546">
        <v>43535</v>
      </c>
      <c r="N758" s="546">
        <v>43595</v>
      </c>
      <c r="O758" s="127">
        <f>COUNTA(Modificaciones!I758,Modificaciones!K758,Modificaciones!M758,Modificaciones!O758)</f>
        <v>0</v>
      </c>
      <c r="P758" s="128">
        <f>VLOOKUP(E758,Modificaciones!$B$7:$Q$1819,16,0)</f>
        <v>0</v>
      </c>
      <c r="Q758" s="129">
        <f>COUNTA(Modificaciones!S758,Modificaciones!U758,Modificaciones!W758,Modificaciones!Y758)</f>
        <v>1</v>
      </c>
      <c r="R758" s="130" t="str">
        <f>IF(Modificaciones!Z758=0,"",VLOOKUP(E758,Modificaciones!$B$7:$AA$1419,25,0))</f>
        <v>1 mes</v>
      </c>
      <c r="S758" s="131">
        <f>IF(Modificaciones!AA758=0,"",VLOOKUP(E758,Modificaciones!$B$7:$AA$1419,26,0))</f>
        <v>43626</v>
      </c>
      <c r="T758" s="855">
        <f t="shared" si="167"/>
        <v>43626</v>
      </c>
      <c r="U758" s="62">
        <f t="shared" si="168"/>
        <v>144262517</v>
      </c>
      <c r="V758" s="172">
        <f>VLOOKUP(E758,Modificaciones!$B$7:$AU$819,46,0)</f>
        <v>57705006</v>
      </c>
      <c r="W758" s="93">
        <f t="shared" si="169"/>
        <v>86557511</v>
      </c>
      <c r="X758" s="1041" t="s">
        <v>4711</v>
      </c>
      <c r="Y758" s="852">
        <f t="shared" si="170"/>
        <v>0.39999999445455398</v>
      </c>
      <c r="Z758" s="42">
        <f t="shared" ca="1" si="171"/>
        <v>1</v>
      </c>
      <c r="AA758" s="43">
        <f t="shared" ca="1" si="172"/>
        <v>0.60000000554544597</v>
      </c>
      <c r="AB758" s="202" t="str">
        <f t="shared" ca="1" si="173"/>
        <v/>
      </c>
      <c r="AC758" s="44" t="str">
        <f t="shared" si="174"/>
        <v>NO</v>
      </c>
      <c r="AD758" s="441" t="s">
        <v>1718</v>
      </c>
      <c r="AE758" s="871" t="s">
        <v>1256</v>
      </c>
      <c r="AF758" s="871"/>
      <c r="AG758" s="868" t="s">
        <v>1177</v>
      </c>
      <c r="AH758" s="281" t="s">
        <v>559</v>
      </c>
      <c r="AI758" s="868"/>
      <c r="AJ758" s="868" t="s">
        <v>4252</v>
      </c>
      <c r="AK758" s="181" t="str">
        <f t="shared" ca="1" si="175"/>
        <v>TERMINO</v>
      </c>
      <c r="AL758" s="441" t="s">
        <v>4712</v>
      </c>
      <c r="AM758" s="433" t="s">
        <v>390</v>
      </c>
      <c r="AN758" s="848" t="str">
        <f>IFERROR(VLOOKUP(E758,'liquidaciones '!$B$2:$C$1048576,2,0),"NO")</f>
        <v>NO</v>
      </c>
      <c r="AO758" s="944" t="str">
        <f>IFERROR(VLOOKUP(E758,'liquidaciones '!$B$2:$I$1048576,8,0),"")</f>
        <v/>
      </c>
      <c r="AP758" s="433"/>
      <c r="AQ758" s="177" t="s">
        <v>390</v>
      </c>
      <c r="AR758" s="177" t="s">
        <v>4255</v>
      </c>
      <c r="AS758" s="1042"/>
      <c r="AT758" s="966" t="s">
        <v>559</v>
      </c>
      <c r="AU758" s="966" t="s">
        <v>4797</v>
      </c>
      <c r="AV758" s="301"/>
    </row>
    <row r="759" spans="3:48" ht="38.25" customHeight="1" x14ac:dyDescent="0.25">
      <c r="C759" s="867">
        <v>61</v>
      </c>
      <c r="E759" s="868" t="s">
        <v>4715</v>
      </c>
      <c r="F759" s="441" t="s">
        <v>3840</v>
      </c>
      <c r="G759" s="868">
        <v>860001022</v>
      </c>
      <c r="H759" s="1003" t="s">
        <v>2849</v>
      </c>
      <c r="I759" s="93">
        <v>1487700</v>
      </c>
      <c r="J759" s="873" t="s">
        <v>4716</v>
      </c>
      <c r="K759" s="295">
        <v>2019</v>
      </c>
      <c r="L759" s="546">
        <v>43531</v>
      </c>
      <c r="M759" s="546">
        <v>43550</v>
      </c>
      <c r="N759" s="546">
        <v>43915</v>
      </c>
      <c r="O759" s="127">
        <f>COUNTA(Modificaciones!I759,Modificaciones!K759,Modificaciones!M759,Modificaciones!O759)</f>
        <v>0</v>
      </c>
      <c r="P759" s="128">
        <f>VLOOKUP(E759,Modificaciones!$B$7:$Q$1819,16,0)</f>
        <v>0</v>
      </c>
      <c r="Q759" s="129">
        <f>COUNTA(Modificaciones!S759,Modificaciones!U759,Modificaciones!W759,Modificaciones!Y759)</f>
        <v>0</v>
      </c>
      <c r="R759" s="130" t="str">
        <f>IF(Modificaciones!Z759=0,"",VLOOKUP(E759,Modificaciones!$B$7:$AA$1419,25,0))</f>
        <v/>
      </c>
      <c r="S759" s="131" t="str">
        <f>IF(Modificaciones!AA759=0,"",VLOOKUP(E759,Modificaciones!$B$7:$AA$1419,26,0))</f>
        <v/>
      </c>
      <c r="T759" s="855">
        <f t="shared" si="167"/>
        <v>43915</v>
      </c>
      <c r="U759" s="62">
        <f t="shared" si="168"/>
        <v>1487700</v>
      </c>
      <c r="V759" s="172">
        <f>VLOOKUP(E759,Modificaciones!$B$7:$AU$819,46,0)</f>
        <v>1487700</v>
      </c>
      <c r="W759" s="93">
        <f t="shared" si="169"/>
        <v>0</v>
      </c>
      <c r="X759" s="309" t="s">
        <v>1895</v>
      </c>
      <c r="Y759" s="852">
        <f t="shared" si="170"/>
        <v>1</v>
      </c>
      <c r="Z759" s="42">
        <f t="shared" ca="1" si="171"/>
        <v>0.25479452054794521</v>
      </c>
      <c r="AA759" s="43">
        <f t="shared" ca="1" si="172"/>
        <v>-0.74520547945205484</v>
      </c>
      <c r="AB759" s="202">
        <f t="shared" ca="1" si="173"/>
        <v>272</v>
      </c>
      <c r="AC759" s="44" t="str">
        <f t="shared" si="174"/>
        <v>SI</v>
      </c>
      <c r="AD759" s="433" t="s">
        <v>1710</v>
      </c>
      <c r="AE759" s="871" t="s">
        <v>1256</v>
      </c>
      <c r="AF759" s="871" t="s">
        <v>1125</v>
      </c>
      <c r="AG759" s="868"/>
      <c r="AH759" s="578" t="s">
        <v>564</v>
      </c>
      <c r="AI759" s="868"/>
      <c r="AJ759" s="868" t="s">
        <v>4817</v>
      </c>
      <c r="AK759" s="181" t="str">
        <f t="shared" ca="1" si="175"/>
        <v>EN EJECUCIÓN</v>
      </c>
      <c r="AL759" s="441"/>
      <c r="AM759" s="433" t="s">
        <v>391</v>
      </c>
      <c r="AN759" s="848" t="str">
        <f>IFERROR(VLOOKUP(E759,'liquidaciones '!$B$2:$C$1048576,2,0),"NO")</f>
        <v>NO</v>
      </c>
      <c r="AO759" s="944" t="str">
        <f>IFERROR(VLOOKUP(E759,'liquidaciones '!$B$2:$I$1048576,8,0),"")</f>
        <v/>
      </c>
      <c r="AP759" s="433"/>
      <c r="AQ759" s="177" t="s">
        <v>390</v>
      </c>
      <c r="AR759" s="177" t="s">
        <v>4818</v>
      </c>
      <c r="AS759" s="433"/>
      <c r="AT759" s="966" t="s">
        <v>3928</v>
      </c>
      <c r="AU759" s="964"/>
      <c r="AV759" s="301"/>
    </row>
    <row r="760" spans="3:48" ht="44.25" customHeight="1" x14ac:dyDescent="0.25">
      <c r="C760" s="867">
        <v>125</v>
      </c>
      <c r="E760" s="868" t="s">
        <v>4722</v>
      </c>
      <c r="F760" s="441" t="s">
        <v>2125</v>
      </c>
      <c r="G760" s="893">
        <v>830083523</v>
      </c>
      <c r="H760" s="1005" t="s">
        <v>4222</v>
      </c>
      <c r="I760" s="93">
        <v>10921394</v>
      </c>
      <c r="J760" s="873" t="s">
        <v>4725</v>
      </c>
      <c r="K760" s="295">
        <v>2019</v>
      </c>
      <c r="L760" s="546">
        <v>43536</v>
      </c>
      <c r="M760" s="546">
        <v>43545</v>
      </c>
      <c r="N760" s="546">
        <v>43881</v>
      </c>
      <c r="O760" s="127">
        <f>COUNTA(Modificaciones!I760,Modificaciones!K760,Modificaciones!M760,Modificaciones!O760)</f>
        <v>0</v>
      </c>
      <c r="P760" s="128">
        <f>VLOOKUP(E760,Modificaciones!$B$7:$Q$1819,16,0)</f>
        <v>0</v>
      </c>
      <c r="Q760" s="129">
        <f>COUNTA(Modificaciones!S760,Modificaciones!U760,Modificaciones!W760,Modificaciones!Y760)</f>
        <v>0</v>
      </c>
      <c r="R760" s="130" t="str">
        <f>IF(Modificaciones!Z760=0,"",VLOOKUP(E760,Modificaciones!$B$7:$AA$1419,25,0))</f>
        <v/>
      </c>
      <c r="S760" s="131" t="str">
        <f>IF(Modificaciones!AA760=0,"",VLOOKUP(E760,Modificaciones!$B$7:$AA$1419,26,0))</f>
        <v/>
      </c>
      <c r="T760" s="855">
        <f t="shared" si="167"/>
        <v>43881</v>
      </c>
      <c r="U760" s="62">
        <f t="shared" si="168"/>
        <v>10921394</v>
      </c>
      <c r="V760" s="172">
        <f>VLOOKUP(E760,Modificaciones!$B$7:$AU$819,46,0)</f>
        <v>0</v>
      </c>
      <c r="W760" s="93">
        <f t="shared" si="169"/>
        <v>10921394</v>
      </c>
      <c r="X760" s="1041" t="s">
        <v>4723</v>
      </c>
      <c r="Y760" s="852">
        <f t="shared" si="170"/>
        <v>0</v>
      </c>
      <c r="Z760" s="42">
        <f t="shared" ca="1" si="171"/>
        <v>0.29166666666666669</v>
      </c>
      <c r="AA760" s="43">
        <f t="shared" ca="1" si="172"/>
        <v>0.29166666666666669</v>
      </c>
      <c r="AB760" s="202">
        <f t="shared" ca="1" si="173"/>
        <v>238</v>
      </c>
      <c r="AC760" s="44" t="str">
        <f t="shared" si="174"/>
        <v>NO</v>
      </c>
      <c r="AD760" s="433" t="s">
        <v>1710</v>
      </c>
      <c r="AE760" s="173" t="s">
        <v>1257</v>
      </c>
      <c r="AF760" s="281" t="s">
        <v>2109</v>
      </c>
      <c r="AG760" s="173" t="s">
        <v>1439</v>
      </c>
      <c r="AH760" s="281" t="s">
        <v>560</v>
      </c>
      <c r="AI760" s="305" t="s">
        <v>1509</v>
      </c>
      <c r="AJ760" s="868" t="s">
        <v>4724</v>
      </c>
      <c r="AK760" s="181" t="str">
        <f t="shared" ca="1" si="175"/>
        <v>EN EJECUCIÓN</v>
      </c>
      <c r="AL760" s="310" t="s">
        <v>582</v>
      </c>
      <c r="AM760" s="433" t="s">
        <v>390</v>
      </c>
      <c r="AN760" s="848" t="str">
        <f>IFERROR(VLOOKUP(E760,'liquidaciones '!$B$2:$C$1048576,2,0),"NO")</f>
        <v>NO</v>
      </c>
      <c r="AO760" s="944" t="str">
        <f>IFERROR(VLOOKUP(E760,'liquidaciones '!$B$2:$I$1048576,8,0),"")</f>
        <v/>
      </c>
      <c r="AP760" s="433"/>
      <c r="AQ760" s="433" t="s">
        <v>390</v>
      </c>
      <c r="AR760" s="1048" t="s">
        <v>4219</v>
      </c>
      <c r="AS760" s="433" t="s">
        <v>3785</v>
      </c>
      <c r="AT760" s="966" t="s">
        <v>3895</v>
      </c>
      <c r="AU760" s="964"/>
      <c r="AV760" s="301"/>
    </row>
    <row r="761" spans="3:48" ht="33.75" x14ac:dyDescent="0.25">
      <c r="C761" s="867">
        <v>276</v>
      </c>
      <c r="E761" s="868" t="s">
        <v>4798</v>
      </c>
      <c r="F761" s="441" t="s">
        <v>433</v>
      </c>
      <c r="G761" s="868">
        <v>899999115</v>
      </c>
      <c r="H761" s="1005" t="s">
        <v>3701</v>
      </c>
      <c r="I761" s="93">
        <v>136841527</v>
      </c>
      <c r="J761" s="873" t="s">
        <v>4798</v>
      </c>
      <c r="K761" s="295">
        <v>2019</v>
      </c>
      <c r="L761" s="546">
        <v>43543</v>
      </c>
      <c r="M761" s="546">
        <v>43546</v>
      </c>
      <c r="N761" s="546">
        <v>43911</v>
      </c>
      <c r="O761" s="127">
        <f>COUNTA(Modificaciones!I761,Modificaciones!K761,Modificaciones!M761,Modificaciones!O761)</f>
        <v>0</v>
      </c>
      <c r="P761" s="128">
        <f>VLOOKUP(E761,Modificaciones!$B$7:$Q$1819,16,0)</f>
        <v>0</v>
      </c>
      <c r="Q761" s="129">
        <f>COUNTA(Modificaciones!S761,Modificaciones!U761,Modificaciones!W761,Modificaciones!Y761)</f>
        <v>0</v>
      </c>
      <c r="R761" s="130" t="str">
        <f>IF(Modificaciones!Z761=0,"",VLOOKUP(E761,Modificaciones!$B$7:$AA$1419,25,0))</f>
        <v/>
      </c>
      <c r="S761" s="131" t="str">
        <f>IF(Modificaciones!AA761=0,"",VLOOKUP(E761,Modificaciones!$B$7:$AA$1419,26,0))</f>
        <v/>
      </c>
      <c r="T761" s="855">
        <f t="shared" si="167"/>
        <v>43911</v>
      </c>
      <c r="U761" s="62">
        <f t="shared" si="168"/>
        <v>136841527</v>
      </c>
      <c r="V761" s="172">
        <f>VLOOKUP(E761,Modificaciones!$B$7:$AU$819,46,0)</f>
        <v>11403460</v>
      </c>
      <c r="W761" s="93">
        <f t="shared" si="169"/>
        <v>125438067</v>
      </c>
      <c r="X761" s="309" t="s">
        <v>2841</v>
      </c>
      <c r="Y761" s="852">
        <f t="shared" si="170"/>
        <v>8.3333329070494802E-2</v>
      </c>
      <c r="Z761" s="42">
        <f t="shared" ca="1" si="171"/>
        <v>0.26575342465753427</v>
      </c>
      <c r="AA761" s="43">
        <f t="shared" ca="1" si="172"/>
        <v>0.18242009558703948</v>
      </c>
      <c r="AB761" s="202">
        <f t="shared" ca="1" si="173"/>
        <v>268</v>
      </c>
      <c r="AC761" s="44" t="str">
        <f t="shared" si="174"/>
        <v>NO</v>
      </c>
      <c r="AD761" s="760" t="s">
        <v>1710</v>
      </c>
      <c r="AE761" s="173" t="s">
        <v>1257</v>
      </c>
      <c r="AF761" s="281" t="s">
        <v>1606</v>
      </c>
      <c r="AG761" s="173" t="s">
        <v>1439</v>
      </c>
      <c r="AH761" s="281" t="s">
        <v>560</v>
      </c>
      <c r="AI761" s="305" t="s">
        <v>1509</v>
      </c>
      <c r="AJ761" s="868" t="s">
        <v>4724</v>
      </c>
      <c r="AK761" s="181" t="str">
        <f t="shared" ca="1" si="175"/>
        <v>EN EJECUCIÓN</v>
      </c>
      <c r="AL761" s="310" t="s">
        <v>582</v>
      </c>
      <c r="AM761" s="176" t="s">
        <v>390</v>
      </c>
      <c r="AN761" s="848" t="str">
        <f>IFERROR(VLOOKUP(E761,'liquidaciones '!$B$2:$C$1048576,2,0),"NO")</f>
        <v>NO</v>
      </c>
      <c r="AO761" s="944" t="str">
        <f>IFERROR(VLOOKUP(E761,'liquidaciones '!$B$2:$I$1048576,8,0),"")</f>
        <v/>
      </c>
      <c r="AP761" s="433"/>
      <c r="AQ761" s="433" t="s">
        <v>390</v>
      </c>
      <c r="AR761" s="1049" t="s">
        <v>4219</v>
      </c>
      <c r="AS761" s="433" t="s">
        <v>3785</v>
      </c>
      <c r="AT761" s="966" t="s">
        <v>560</v>
      </c>
      <c r="AU761" s="964"/>
      <c r="AV761" s="301"/>
    </row>
    <row r="762" spans="3:48" ht="101.25" x14ac:dyDescent="0.25">
      <c r="C762" s="867">
        <v>62</v>
      </c>
      <c r="E762" s="868" t="s">
        <v>4804</v>
      </c>
      <c r="F762" s="441" t="s">
        <v>90</v>
      </c>
      <c r="G762" s="893" t="s">
        <v>2607</v>
      </c>
      <c r="H762" s="1001" t="s">
        <v>3037</v>
      </c>
      <c r="I762" s="93">
        <v>2088604</v>
      </c>
      <c r="J762" s="873" t="s">
        <v>4808</v>
      </c>
      <c r="K762" s="295">
        <v>2019</v>
      </c>
      <c r="L762" s="1051">
        <v>43550</v>
      </c>
      <c r="M762" s="546">
        <v>43552</v>
      </c>
      <c r="N762" s="546">
        <v>43917</v>
      </c>
      <c r="O762" s="127">
        <f>COUNTA(Modificaciones!I762,Modificaciones!K762,Modificaciones!M762,Modificaciones!O762)</f>
        <v>0</v>
      </c>
      <c r="P762" s="128">
        <f>VLOOKUP(E762,Modificaciones!$B$7:$Q$1819,16,0)</f>
        <v>0</v>
      </c>
      <c r="Q762" s="129">
        <f>COUNTA(Modificaciones!S762,Modificaciones!U762,Modificaciones!W762,Modificaciones!Y762)</f>
        <v>0</v>
      </c>
      <c r="R762" s="130" t="str">
        <f>IF(Modificaciones!Z762=0,"",VLOOKUP(E762,Modificaciones!$B$7:$AA$1419,25,0))</f>
        <v/>
      </c>
      <c r="S762" s="131" t="str">
        <f>IF(Modificaciones!AA762=0,"",VLOOKUP(E762,Modificaciones!$B$7:$AA$1419,26,0))</f>
        <v/>
      </c>
      <c r="T762" s="855">
        <f t="shared" si="167"/>
        <v>43917</v>
      </c>
      <c r="U762" s="62">
        <f t="shared" si="168"/>
        <v>2088604</v>
      </c>
      <c r="V762" s="172">
        <f>VLOOKUP(E762,Modificaciones!$B$7:$AU$819,46,0)</f>
        <v>0</v>
      </c>
      <c r="W762" s="93">
        <f t="shared" si="169"/>
        <v>2088604</v>
      </c>
      <c r="X762" s="314" t="s">
        <v>1231</v>
      </c>
      <c r="Y762" s="852">
        <f t="shared" si="170"/>
        <v>0</v>
      </c>
      <c r="Z762" s="42">
        <f t="shared" ca="1" si="171"/>
        <v>0.24931506849315069</v>
      </c>
      <c r="AA762" s="43">
        <f t="shared" ca="1" si="172"/>
        <v>0.24931506849315069</v>
      </c>
      <c r="AB762" s="202">
        <f t="shared" ca="1" si="173"/>
        <v>274</v>
      </c>
      <c r="AC762" s="44" t="str">
        <f t="shared" si="174"/>
        <v>NO</v>
      </c>
      <c r="AD762" s="433" t="s">
        <v>1710</v>
      </c>
      <c r="AE762" s="871" t="s">
        <v>4806</v>
      </c>
      <c r="AF762" s="301" t="s">
        <v>1142</v>
      </c>
      <c r="AG762" s="173" t="s">
        <v>1430</v>
      </c>
      <c r="AH762" s="281" t="s">
        <v>564</v>
      </c>
      <c r="AI762" s="868"/>
      <c r="AJ762" s="868" t="s">
        <v>4817</v>
      </c>
      <c r="AK762" s="181" t="str">
        <f t="shared" ca="1" si="175"/>
        <v>EN EJECUCIÓN</v>
      </c>
      <c r="AL762" s="181" t="s">
        <v>576</v>
      </c>
      <c r="AM762" s="433" t="s">
        <v>390</v>
      </c>
      <c r="AN762" s="848" t="str">
        <f>IFERROR(VLOOKUP(E762,'liquidaciones '!$B$2:$C$1048576,2,0),"NO")</f>
        <v>NO</v>
      </c>
      <c r="AO762" s="944" t="str">
        <f>IFERROR(VLOOKUP(E762,'liquidaciones '!$B$2:$I$1048576,8,0),"")</f>
        <v/>
      </c>
      <c r="AP762" s="433"/>
      <c r="AQ762" s="433" t="s">
        <v>390</v>
      </c>
      <c r="AR762" s="966" t="s">
        <v>4819</v>
      </c>
      <c r="AS762" s="1042"/>
      <c r="AT762" s="966" t="s">
        <v>3928</v>
      </c>
      <c r="AU762" s="964"/>
      <c r="AV762" s="301"/>
    </row>
    <row r="763" spans="3:48" ht="78.75" x14ac:dyDescent="0.25">
      <c r="C763" s="867">
        <v>121</v>
      </c>
      <c r="E763" s="868" t="s">
        <v>4805</v>
      </c>
      <c r="F763" s="441" t="s">
        <v>4152</v>
      </c>
      <c r="G763" s="893">
        <v>35510194</v>
      </c>
      <c r="H763" s="1001" t="s">
        <v>4153</v>
      </c>
      <c r="I763" s="93">
        <v>44072000</v>
      </c>
      <c r="J763" s="873" t="s">
        <v>4805</v>
      </c>
      <c r="K763" s="295">
        <v>2019</v>
      </c>
      <c r="L763" s="546">
        <v>43551</v>
      </c>
      <c r="M763" s="546">
        <v>43556</v>
      </c>
      <c r="N763" s="546">
        <v>43799</v>
      </c>
      <c r="O763" s="127">
        <f>COUNTA(Modificaciones!I763,Modificaciones!K763,Modificaciones!M763,Modificaciones!O763)</f>
        <v>0</v>
      </c>
      <c r="P763" s="128">
        <f>VLOOKUP(E763,Modificaciones!$B$7:$Q$1819,16,0)</f>
        <v>0</v>
      </c>
      <c r="Q763" s="129">
        <f>COUNTA(Modificaciones!S763,Modificaciones!U763,Modificaciones!W763,Modificaciones!Y763)</f>
        <v>0</v>
      </c>
      <c r="R763" s="130" t="str">
        <f>IF(Modificaciones!Z763=0,"",VLOOKUP(E763,Modificaciones!$B$7:$AA$1419,25,0))</f>
        <v/>
      </c>
      <c r="S763" s="131" t="str">
        <f>IF(Modificaciones!AA763=0,"",VLOOKUP(E763,Modificaciones!$B$7:$AA$1419,26,0))</f>
        <v/>
      </c>
      <c r="T763" s="855">
        <f t="shared" si="167"/>
        <v>43799</v>
      </c>
      <c r="U763" s="62">
        <f t="shared" si="168"/>
        <v>44072000</v>
      </c>
      <c r="V763" s="172">
        <f>VLOOKUP(E763,Modificaciones!$B$7:$AU$819,46,0)</f>
        <v>11018000</v>
      </c>
      <c r="W763" s="93">
        <f t="shared" si="169"/>
        <v>33054000</v>
      </c>
      <c r="X763" s="309" t="s">
        <v>1095</v>
      </c>
      <c r="Y763" s="852">
        <f t="shared" si="170"/>
        <v>0.25</v>
      </c>
      <c r="Z763" s="42">
        <f t="shared" ca="1" si="171"/>
        <v>0.35802469135802467</v>
      </c>
      <c r="AA763" s="43">
        <f t="shared" ca="1" si="172"/>
        <v>0.10802469135802467</v>
      </c>
      <c r="AB763" s="202">
        <f t="shared" ca="1" si="173"/>
        <v>156</v>
      </c>
      <c r="AC763" s="44" t="str">
        <f t="shared" si="174"/>
        <v>NO</v>
      </c>
      <c r="AD763" s="760" t="s">
        <v>2898</v>
      </c>
      <c r="AE763" s="173" t="s">
        <v>1257</v>
      </c>
      <c r="AF763" s="173" t="s">
        <v>2172</v>
      </c>
      <c r="AG763" s="173" t="s">
        <v>1439</v>
      </c>
      <c r="AH763" s="281" t="s">
        <v>560</v>
      </c>
      <c r="AI763" s="305" t="s">
        <v>1509</v>
      </c>
      <c r="AJ763" s="868" t="s">
        <v>4724</v>
      </c>
      <c r="AK763" s="181" t="str">
        <f t="shared" ca="1" si="175"/>
        <v>EN EJECUCIÓN</v>
      </c>
      <c r="AL763" s="181" t="s">
        <v>582</v>
      </c>
      <c r="AM763" s="433" t="s">
        <v>391</v>
      </c>
      <c r="AN763" s="848" t="str">
        <f>IFERROR(VLOOKUP(E763,'liquidaciones '!$B$2:$C$1048576,2,0),"NO")</f>
        <v>NO</v>
      </c>
      <c r="AO763" s="944" t="str">
        <f>IFERROR(VLOOKUP(E763,'liquidaciones '!$B$2:$I$1048576,8,0),"")</f>
        <v/>
      </c>
      <c r="AP763" s="433"/>
      <c r="AQ763" s="433" t="s">
        <v>390</v>
      </c>
      <c r="AR763" s="433" t="s">
        <v>4820</v>
      </c>
      <c r="AS763" s="433" t="s">
        <v>3785</v>
      </c>
      <c r="AT763" s="966" t="s">
        <v>560</v>
      </c>
      <c r="AU763" s="964"/>
      <c r="AV763" s="301"/>
    </row>
    <row r="764" spans="3:48" ht="56.25" x14ac:dyDescent="0.25">
      <c r="C764" s="867">
        <v>209</v>
      </c>
      <c r="E764" s="868" t="s">
        <v>4810</v>
      </c>
      <c r="F764" s="441" t="s">
        <v>4185</v>
      </c>
      <c r="G764" s="893">
        <v>1030532647</v>
      </c>
      <c r="H764" s="1005" t="s">
        <v>3600</v>
      </c>
      <c r="I764" s="93">
        <v>17672000</v>
      </c>
      <c r="J764" s="873" t="s">
        <v>4810</v>
      </c>
      <c r="K764" s="295">
        <v>2019</v>
      </c>
      <c r="L764" s="546">
        <v>43553</v>
      </c>
      <c r="M764" s="546">
        <v>43557</v>
      </c>
      <c r="N764" s="546">
        <v>43800</v>
      </c>
      <c r="O764" s="127">
        <f>COUNTA(Modificaciones!I764,Modificaciones!K764,Modificaciones!M764,Modificaciones!O764)</f>
        <v>0</v>
      </c>
      <c r="P764" s="128">
        <f>VLOOKUP(E764,Modificaciones!$B$7:$Q$1819,16,0)</f>
        <v>0</v>
      </c>
      <c r="Q764" s="129">
        <f>COUNTA(Modificaciones!S764,Modificaciones!U764,Modificaciones!W764,Modificaciones!Y764)</f>
        <v>0</v>
      </c>
      <c r="R764" s="130" t="str">
        <f>IF(Modificaciones!Z764=0,"",VLOOKUP(E764,Modificaciones!$B$7:$AA$1419,25,0))</f>
        <v/>
      </c>
      <c r="S764" s="131" t="str">
        <f>IF(Modificaciones!AA764=0,"",VLOOKUP(E764,Modificaciones!$B$7:$AA$1419,26,0))</f>
        <v/>
      </c>
      <c r="T764" s="855">
        <f t="shared" si="167"/>
        <v>43800</v>
      </c>
      <c r="U764" s="62">
        <f t="shared" si="168"/>
        <v>17672000</v>
      </c>
      <c r="V764" s="172">
        <f>VLOOKUP(E764,Modificaciones!$B$7:$AU$819,46,0)</f>
        <v>2135367</v>
      </c>
      <c r="W764" s="93">
        <f t="shared" si="169"/>
        <v>15536633</v>
      </c>
      <c r="X764" s="309" t="s">
        <v>1095</v>
      </c>
      <c r="Y764" s="852">
        <f t="shared" si="170"/>
        <v>0.1208333521955636</v>
      </c>
      <c r="Z764" s="42">
        <f t="shared" ca="1" si="171"/>
        <v>0.35390946502057613</v>
      </c>
      <c r="AA764" s="43">
        <f t="shared" ca="1" si="172"/>
        <v>0.23307611282501253</v>
      </c>
      <c r="AB764" s="202">
        <f t="shared" ca="1" si="173"/>
        <v>157</v>
      </c>
      <c r="AC764" s="44" t="str">
        <f t="shared" si="174"/>
        <v>NO</v>
      </c>
      <c r="AD764" s="760" t="s">
        <v>2898</v>
      </c>
      <c r="AE764" s="173" t="s">
        <v>1256</v>
      </c>
      <c r="AF764" s="281" t="s">
        <v>3601</v>
      </c>
      <c r="AG764" s="868" t="s">
        <v>3602</v>
      </c>
      <c r="AH764" s="281" t="s">
        <v>560</v>
      </c>
      <c r="AI764" s="868" t="s">
        <v>3603</v>
      </c>
      <c r="AJ764" s="868" t="s">
        <v>4724</v>
      </c>
      <c r="AK764" s="181" t="str">
        <f t="shared" ca="1" si="175"/>
        <v>EN EJECUCIÓN</v>
      </c>
      <c r="AL764" s="310" t="s">
        <v>582</v>
      </c>
      <c r="AM764" s="433" t="s">
        <v>391</v>
      </c>
      <c r="AN764" s="848" t="str">
        <f>IFERROR(VLOOKUP(E764,'liquidaciones '!$B$2:$C$1048576,2,0),"NO")</f>
        <v>NO</v>
      </c>
      <c r="AO764" s="944" t="str">
        <f>IFERROR(VLOOKUP(E764,'liquidaciones '!$B$2:$I$1048576,8,0),"")</f>
        <v/>
      </c>
      <c r="AP764" s="433"/>
      <c r="AQ764" s="433" t="s">
        <v>390</v>
      </c>
      <c r="AR764" s="177" t="s">
        <v>4255</v>
      </c>
      <c r="AS764" s="433" t="s">
        <v>3781</v>
      </c>
      <c r="AT764" s="966" t="s">
        <v>560</v>
      </c>
      <c r="AU764" s="964"/>
      <c r="AV764" s="301"/>
    </row>
    <row r="765" spans="3:48" ht="56.25" x14ac:dyDescent="0.25">
      <c r="C765" s="867">
        <v>344</v>
      </c>
      <c r="E765" s="868" t="s">
        <v>4811</v>
      </c>
      <c r="F765" s="441" t="s">
        <v>4557</v>
      </c>
      <c r="G765" s="893">
        <v>80751229</v>
      </c>
      <c r="H765" s="1005" t="s">
        <v>4558</v>
      </c>
      <c r="I765" s="93">
        <v>52173000</v>
      </c>
      <c r="J765" s="873" t="s">
        <v>4811</v>
      </c>
      <c r="K765" s="295">
        <v>2019</v>
      </c>
      <c r="L765" s="546">
        <v>43553</v>
      </c>
      <c r="M765" s="546">
        <v>43557</v>
      </c>
      <c r="N765" s="546">
        <v>43831</v>
      </c>
      <c r="O765" s="127">
        <f>COUNTA(Modificaciones!I765,Modificaciones!K765,Modificaciones!M765,Modificaciones!O765)</f>
        <v>0</v>
      </c>
      <c r="P765" s="128">
        <f>VLOOKUP(E765,Modificaciones!$B$7:$Q$1819,16,0)</f>
        <v>0</v>
      </c>
      <c r="Q765" s="129">
        <f>COUNTA(Modificaciones!S765,Modificaciones!U765,Modificaciones!W765,Modificaciones!Y765)</f>
        <v>0</v>
      </c>
      <c r="R765" s="130" t="str">
        <f>IF(Modificaciones!Z765=0,"",VLOOKUP(E765,Modificaciones!$B$7:$AA$1419,25,0))</f>
        <v/>
      </c>
      <c r="S765" s="131" t="str">
        <f>IF(Modificaciones!AA765=0,"",VLOOKUP(E765,Modificaciones!$B$7:$AA$1419,26,0))</f>
        <v/>
      </c>
      <c r="T765" s="855">
        <f t="shared" si="167"/>
        <v>43831</v>
      </c>
      <c r="U765" s="62">
        <f t="shared" si="168"/>
        <v>52173000</v>
      </c>
      <c r="V765" s="172">
        <f>VLOOKUP(E765,Modificaciones!$B$7:$AU$819,46,0)</f>
        <v>11594000</v>
      </c>
      <c r="W765" s="93">
        <f t="shared" si="169"/>
        <v>40579000</v>
      </c>
      <c r="X765" s="309" t="s">
        <v>1095</v>
      </c>
      <c r="Y765" s="852">
        <f t="shared" si="170"/>
        <v>0.22222222222222221</v>
      </c>
      <c r="Z765" s="42">
        <f t="shared" ca="1" si="171"/>
        <v>0.31386861313868614</v>
      </c>
      <c r="AA765" s="43">
        <f t="shared" ca="1" si="172"/>
        <v>9.1646390916463927E-2</v>
      </c>
      <c r="AB765" s="202">
        <f t="shared" ca="1" si="173"/>
        <v>188</v>
      </c>
      <c r="AC765" s="44" t="str">
        <f t="shared" si="174"/>
        <v>NO</v>
      </c>
      <c r="AD765" s="760" t="s">
        <v>2898</v>
      </c>
      <c r="AE765" s="871" t="s">
        <v>1256</v>
      </c>
      <c r="AF765" s="900" t="s">
        <v>4559</v>
      </c>
      <c r="AG765" s="868"/>
      <c r="AH765" s="281" t="s">
        <v>559</v>
      </c>
      <c r="AI765" s="868"/>
      <c r="AJ765" s="868" t="s">
        <v>4252</v>
      </c>
      <c r="AK765" s="181" t="str">
        <f t="shared" ca="1" si="175"/>
        <v>EN EJECUCIÓN</v>
      </c>
      <c r="AL765" s="441" t="s">
        <v>4519</v>
      </c>
      <c r="AM765" s="433" t="s">
        <v>391</v>
      </c>
      <c r="AN765" s="848" t="str">
        <f>IFERROR(VLOOKUP(E765,'liquidaciones '!$B$2:$C$1048576,2,0),"NO")</f>
        <v>NO</v>
      </c>
      <c r="AO765" s="944" t="str">
        <f>IFERROR(VLOOKUP(E765,'liquidaciones '!$B$2:$I$1048576,8,0),"")</f>
        <v/>
      </c>
      <c r="AP765" s="433"/>
      <c r="AQ765" s="433" t="s">
        <v>390</v>
      </c>
      <c r="AR765" s="433" t="s">
        <v>4818</v>
      </c>
      <c r="AS765" s="433"/>
      <c r="AT765" s="966" t="s">
        <v>3947</v>
      </c>
      <c r="AU765" s="964"/>
      <c r="AV765" s="301"/>
    </row>
    <row r="766" spans="3:48" ht="33.75" x14ac:dyDescent="0.25">
      <c r="C766" s="867">
        <v>358</v>
      </c>
      <c r="E766" s="868" t="s">
        <v>4812</v>
      </c>
      <c r="F766" s="441" t="s">
        <v>4435</v>
      </c>
      <c r="G766" s="893">
        <v>36454156</v>
      </c>
      <c r="H766" s="1005" t="s">
        <v>4438</v>
      </c>
      <c r="I766" s="93">
        <v>62800000</v>
      </c>
      <c r="J766" s="873" t="s">
        <v>4812</v>
      </c>
      <c r="K766" s="295">
        <v>2019</v>
      </c>
      <c r="L766" s="546">
        <v>43556</v>
      </c>
      <c r="M766" s="546">
        <v>43556</v>
      </c>
      <c r="N766" s="546">
        <v>43799</v>
      </c>
      <c r="O766" s="127">
        <f>COUNTA(Modificaciones!I766,Modificaciones!K766,Modificaciones!M766,Modificaciones!O766)</f>
        <v>0</v>
      </c>
      <c r="P766" s="128">
        <f>VLOOKUP(E766,Modificaciones!$B$7:$Q$1819,16,0)</f>
        <v>0</v>
      </c>
      <c r="Q766" s="129">
        <f>COUNTA(Modificaciones!S766,Modificaciones!U766,Modificaciones!W766,Modificaciones!Y766)</f>
        <v>0</v>
      </c>
      <c r="R766" s="130" t="str">
        <f>IF(Modificaciones!Z766=0,"",VLOOKUP(E766,Modificaciones!$B$7:$AA$1419,25,0))</f>
        <v/>
      </c>
      <c r="S766" s="131" t="str">
        <f>IF(Modificaciones!AA766=0,"",VLOOKUP(E766,Modificaciones!$B$7:$AA$1419,26,0))</f>
        <v/>
      </c>
      <c r="T766" s="855">
        <f t="shared" si="167"/>
        <v>43799</v>
      </c>
      <c r="U766" s="62">
        <f t="shared" si="168"/>
        <v>62800000</v>
      </c>
      <c r="V766" s="172">
        <f>VLOOKUP(E766,Modificaciones!$B$7:$AU$819,46,0)</f>
        <v>15700000</v>
      </c>
      <c r="W766" s="93">
        <f t="shared" si="169"/>
        <v>47100000</v>
      </c>
      <c r="X766" s="309" t="s">
        <v>1095</v>
      </c>
      <c r="Y766" s="852">
        <f t="shared" si="170"/>
        <v>0.25</v>
      </c>
      <c r="Z766" s="42">
        <f t="shared" ca="1" si="171"/>
        <v>0.35802469135802467</v>
      </c>
      <c r="AA766" s="43">
        <f t="shared" ca="1" si="172"/>
        <v>0.10802469135802467</v>
      </c>
      <c r="AB766" s="202">
        <f t="shared" ca="1" si="173"/>
        <v>156</v>
      </c>
      <c r="AC766" s="44" t="str">
        <f t="shared" si="174"/>
        <v>NO</v>
      </c>
      <c r="AD766" s="760" t="s">
        <v>2898</v>
      </c>
      <c r="AE766" s="173" t="s">
        <v>1256</v>
      </c>
      <c r="AF766" s="281" t="s">
        <v>4437</v>
      </c>
      <c r="AG766" s="868"/>
      <c r="AH766" s="281" t="s">
        <v>559</v>
      </c>
      <c r="AI766" s="868"/>
      <c r="AJ766" s="868" t="s">
        <v>4817</v>
      </c>
      <c r="AK766" s="181" t="str">
        <f t="shared" ca="1" si="175"/>
        <v>EN EJECUCIÓN</v>
      </c>
      <c r="AL766" s="310" t="s">
        <v>582</v>
      </c>
      <c r="AM766" s="433" t="s">
        <v>391</v>
      </c>
      <c r="AN766" s="848" t="str">
        <f>IFERROR(VLOOKUP(E766,'liquidaciones '!$B$2:$C$1048576,2,0),"NO")</f>
        <v>NO</v>
      </c>
      <c r="AO766" s="944" t="str">
        <f>IFERROR(VLOOKUP(E766,'liquidaciones '!$B$2:$I$1048576,8,0),"")</f>
        <v/>
      </c>
      <c r="AP766" s="433"/>
      <c r="AQ766" s="433" t="s">
        <v>390</v>
      </c>
      <c r="AR766" s="177" t="s">
        <v>4255</v>
      </c>
      <c r="AS766" s="433"/>
      <c r="AT766" s="966" t="s">
        <v>3947</v>
      </c>
      <c r="AU766" s="964"/>
      <c r="AV766" s="301"/>
    </row>
    <row r="767" spans="3:48" ht="78.75" x14ac:dyDescent="0.25">
      <c r="C767" s="867">
        <v>11</v>
      </c>
      <c r="E767" s="868" t="s">
        <v>4815</v>
      </c>
      <c r="F767" s="441" t="s">
        <v>4816</v>
      </c>
      <c r="G767" s="893">
        <v>79965574</v>
      </c>
      <c r="H767" s="1005" t="s">
        <v>4175</v>
      </c>
      <c r="I767" s="93">
        <v>39752000</v>
      </c>
      <c r="J767" s="873" t="s">
        <v>4815</v>
      </c>
      <c r="K767" s="295">
        <v>2019</v>
      </c>
      <c r="L767" s="546">
        <v>43558</v>
      </c>
      <c r="M767" s="546">
        <v>43563</v>
      </c>
      <c r="N767" s="546">
        <v>43806</v>
      </c>
      <c r="O767" s="127">
        <f>COUNTA(Modificaciones!I767,Modificaciones!K767,Modificaciones!M767,Modificaciones!O767)</f>
        <v>0</v>
      </c>
      <c r="P767" s="128">
        <f>VLOOKUP(E767,Modificaciones!$B$7:$Q$1819,16,0)</f>
        <v>0</v>
      </c>
      <c r="Q767" s="129">
        <f>COUNTA(Modificaciones!S767,Modificaciones!U767,Modificaciones!W767,Modificaciones!Y767)</f>
        <v>0</v>
      </c>
      <c r="R767" s="130" t="str">
        <f>IF(Modificaciones!Z767=0,"",VLOOKUP(E767,Modificaciones!$B$7:$AA$1419,25,0))</f>
        <v/>
      </c>
      <c r="S767" s="131" t="str">
        <f>IF(Modificaciones!AA767=0,"",VLOOKUP(E767,Modificaciones!$B$7:$AA$1419,26,0))</f>
        <v/>
      </c>
      <c r="T767" s="855">
        <f t="shared" si="167"/>
        <v>43806</v>
      </c>
      <c r="U767" s="62">
        <f t="shared" si="168"/>
        <v>39752000</v>
      </c>
      <c r="V767" s="172">
        <f>VLOOKUP(E767,Modificaciones!$B$7:$AU$819,46,0)</f>
        <v>8778567</v>
      </c>
      <c r="W767" s="93">
        <f t="shared" si="169"/>
        <v>30973433</v>
      </c>
      <c r="X767" s="309" t="s">
        <v>1095</v>
      </c>
      <c r="Y767" s="852">
        <f t="shared" si="170"/>
        <v>0.22083334171865565</v>
      </c>
      <c r="Z767" s="42">
        <f t="shared" ca="1" si="171"/>
        <v>0.32921810699588477</v>
      </c>
      <c r="AA767" s="43">
        <f t="shared" ca="1" si="172"/>
        <v>0.10838476527722912</v>
      </c>
      <c r="AB767" s="202">
        <f t="shared" ca="1" si="173"/>
        <v>163</v>
      </c>
      <c r="AC767" s="44" t="str">
        <f t="shared" si="174"/>
        <v>NO</v>
      </c>
      <c r="AD767" s="760" t="s">
        <v>2898</v>
      </c>
      <c r="AE767" s="173" t="s">
        <v>1256</v>
      </c>
      <c r="AF767" s="173" t="s">
        <v>2592</v>
      </c>
      <c r="AG767" s="173" t="s">
        <v>1177</v>
      </c>
      <c r="AH767" s="281" t="s">
        <v>559</v>
      </c>
      <c r="AI767" s="868"/>
      <c r="AJ767" s="868" t="s">
        <v>4817</v>
      </c>
      <c r="AK767" s="181" t="str">
        <f t="shared" ca="1" si="175"/>
        <v>EN EJECUCIÓN</v>
      </c>
      <c r="AL767" s="181" t="s">
        <v>582</v>
      </c>
      <c r="AM767" s="433" t="s">
        <v>391</v>
      </c>
      <c r="AN767" s="848" t="str">
        <f>IFERROR(VLOOKUP(E767,'liquidaciones '!$B$2:$C$1048576,2,0),"NO")</f>
        <v>NO</v>
      </c>
      <c r="AO767" s="944" t="str">
        <f>IFERROR(VLOOKUP(E767,'liquidaciones '!$B$2:$I$1048576,8,0),"")</f>
        <v/>
      </c>
      <c r="AP767" s="433"/>
      <c r="AQ767" s="177" t="s">
        <v>390</v>
      </c>
      <c r="AR767" s="433" t="s">
        <v>4820</v>
      </c>
      <c r="AS767" s="433"/>
      <c r="AT767" s="966" t="s">
        <v>559</v>
      </c>
      <c r="AU767" s="964"/>
      <c r="AV767" s="301"/>
    </row>
    <row r="768" spans="3:48" ht="45" x14ac:dyDescent="0.25">
      <c r="C768" s="867">
        <v>227</v>
      </c>
      <c r="E768" s="868" t="s">
        <v>4856</v>
      </c>
      <c r="F768" s="441" t="s">
        <v>4857</v>
      </c>
      <c r="G768" s="868">
        <v>1032474202</v>
      </c>
      <c r="H768" s="1005" t="s">
        <v>4858</v>
      </c>
      <c r="I768" s="93">
        <v>23192000</v>
      </c>
      <c r="J768" s="873" t="s">
        <v>4856</v>
      </c>
      <c r="K768" s="295">
        <v>2019</v>
      </c>
      <c r="L768" s="546">
        <v>43565</v>
      </c>
      <c r="M768" s="546">
        <v>43566</v>
      </c>
      <c r="N768" s="546">
        <v>43809</v>
      </c>
      <c r="O768" s="127">
        <f>COUNTA(Modificaciones!I768,Modificaciones!K768,Modificaciones!M768,Modificaciones!O768)</f>
        <v>0</v>
      </c>
      <c r="P768" s="128">
        <f>VLOOKUP(E768,Modificaciones!$B$7:$Q$1819,16,0)</f>
        <v>0</v>
      </c>
      <c r="Q768" s="129">
        <f>COUNTA(Modificaciones!S768,Modificaciones!U768,Modificaciones!W768,Modificaciones!Y768)</f>
        <v>0</v>
      </c>
      <c r="R768" s="130" t="str">
        <f>IF(Modificaciones!Z768=0,"",VLOOKUP(E768,Modificaciones!$B$7:$AA$1419,25,0))</f>
        <v/>
      </c>
      <c r="S768" s="131" t="str">
        <f>IF(Modificaciones!AA768=0,"",VLOOKUP(E768,Modificaciones!$B$7:$AA$1419,26,0))</f>
        <v/>
      </c>
      <c r="T768" s="855">
        <f t="shared" si="167"/>
        <v>43809</v>
      </c>
      <c r="U768" s="62">
        <f t="shared" si="168"/>
        <v>23192000</v>
      </c>
      <c r="V768" s="172">
        <f>VLOOKUP(E768,Modificaciones!$B$7:$AU$819,46,0)</f>
        <v>4831667</v>
      </c>
      <c r="W768" s="93">
        <f t="shared" si="169"/>
        <v>18360333</v>
      </c>
      <c r="X768" s="309" t="s">
        <v>1095</v>
      </c>
      <c r="Y768" s="852">
        <f t="shared" si="170"/>
        <v>0.20833334770610556</v>
      </c>
      <c r="Z768" s="42">
        <f t="shared" ca="1" si="171"/>
        <v>0.3168724279835391</v>
      </c>
      <c r="AA768" s="43">
        <f t="shared" ca="1" si="172"/>
        <v>0.10853908027743353</v>
      </c>
      <c r="AB768" s="202">
        <f t="shared" ca="1" si="173"/>
        <v>166</v>
      </c>
      <c r="AC768" s="44" t="str">
        <f t="shared" si="174"/>
        <v>NO</v>
      </c>
      <c r="AD768" s="760" t="s">
        <v>2898</v>
      </c>
      <c r="AE768" s="173" t="s">
        <v>1256</v>
      </c>
      <c r="AF768" s="173" t="s">
        <v>4859</v>
      </c>
      <c r="AG768" s="868" t="s">
        <v>4871</v>
      </c>
      <c r="AH768" s="281" t="s">
        <v>564</v>
      </c>
      <c r="AI768" s="868"/>
      <c r="AJ768" s="868" t="s">
        <v>4817</v>
      </c>
      <c r="AK768" s="181" t="str">
        <f t="shared" ca="1" si="175"/>
        <v>EN EJECUCIÓN</v>
      </c>
      <c r="AL768" s="181" t="s">
        <v>582</v>
      </c>
      <c r="AM768" s="433" t="s">
        <v>391</v>
      </c>
      <c r="AN768" s="848" t="str">
        <f>IFERROR(VLOOKUP(E768,'liquidaciones '!$B$2:$C$1048576,2,0),"NO")</f>
        <v>NO</v>
      </c>
      <c r="AO768" s="944" t="str">
        <f>IFERROR(VLOOKUP(E768,'liquidaciones '!$B$2:$I$1048576,8,0),"")</f>
        <v/>
      </c>
      <c r="AP768" s="433"/>
      <c r="AQ768" s="177" t="s">
        <v>390</v>
      </c>
      <c r="AR768" s="433" t="s">
        <v>4820</v>
      </c>
      <c r="AS768" s="433"/>
      <c r="AT768" s="966" t="s">
        <v>3928</v>
      </c>
      <c r="AU768" s="964"/>
      <c r="AV768" s="301"/>
    </row>
    <row r="769" spans="3:48" ht="36.75" customHeight="1" x14ac:dyDescent="0.25">
      <c r="C769" s="867">
        <v>338</v>
      </c>
      <c r="E769" s="868" t="s">
        <v>4861</v>
      </c>
      <c r="F769" s="441" t="s">
        <v>4862</v>
      </c>
      <c r="G769" s="868">
        <v>901193330</v>
      </c>
      <c r="H769" s="1005" t="s">
        <v>4863</v>
      </c>
      <c r="I769" s="93">
        <v>10792500</v>
      </c>
      <c r="J769" s="873" t="s">
        <v>4879</v>
      </c>
      <c r="K769" s="295">
        <v>2019</v>
      </c>
      <c r="L769" s="546">
        <v>43552</v>
      </c>
      <c r="M769" s="546">
        <v>43567</v>
      </c>
      <c r="N769" s="546">
        <v>43611</v>
      </c>
      <c r="O769" s="127">
        <f>COUNTA(Modificaciones!I769,Modificaciones!K769,Modificaciones!M769,Modificaciones!O769)</f>
        <v>0</v>
      </c>
      <c r="P769" s="128">
        <f>VLOOKUP(E769,Modificaciones!$B$7:$Q$1819,16,0)</f>
        <v>0</v>
      </c>
      <c r="Q769" s="129">
        <f>COUNTA(Modificaciones!S769,Modificaciones!U769,Modificaciones!W769,Modificaciones!Y769)</f>
        <v>0</v>
      </c>
      <c r="R769" s="130" t="str">
        <f>IF(Modificaciones!Z769=0,"",VLOOKUP(E769,Modificaciones!$B$7:$AA$1419,25,0))</f>
        <v/>
      </c>
      <c r="S769" s="131" t="str">
        <f>IF(Modificaciones!AA769=0,"",VLOOKUP(E769,Modificaciones!$B$7:$AA$1419,26,0))</f>
        <v/>
      </c>
      <c r="T769" s="855">
        <f t="shared" si="167"/>
        <v>43611</v>
      </c>
      <c r="U769" s="62">
        <f t="shared" si="168"/>
        <v>10792500</v>
      </c>
      <c r="V769" s="172">
        <f>VLOOKUP(E769,Modificaciones!$B$7:$AU$819,46,0)</f>
        <v>0</v>
      </c>
      <c r="W769" s="93">
        <f t="shared" si="169"/>
        <v>10792500</v>
      </c>
      <c r="X769" s="309" t="s">
        <v>1895</v>
      </c>
      <c r="Y769" s="852">
        <f t="shared" si="170"/>
        <v>0</v>
      </c>
      <c r="Z769" s="42">
        <f t="shared" ca="1" si="171"/>
        <v>1</v>
      </c>
      <c r="AA769" s="43">
        <f t="shared" ca="1" si="172"/>
        <v>1</v>
      </c>
      <c r="AB769" s="202" t="str">
        <f t="shared" ca="1" si="173"/>
        <v/>
      </c>
      <c r="AC769" s="44" t="str">
        <f t="shared" si="174"/>
        <v>NO</v>
      </c>
      <c r="AD769" s="760" t="s">
        <v>1712</v>
      </c>
      <c r="AE769" s="173" t="s">
        <v>1257</v>
      </c>
      <c r="AF769" s="871" t="s">
        <v>4864</v>
      </c>
      <c r="AG769" s="173" t="s">
        <v>1439</v>
      </c>
      <c r="AH769" s="281" t="s">
        <v>560</v>
      </c>
      <c r="AI769" s="868" t="s">
        <v>4865</v>
      </c>
      <c r="AJ769" s="868" t="s">
        <v>4866</v>
      </c>
      <c r="AK769" s="181" t="str">
        <f t="shared" ca="1" si="175"/>
        <v>TERMINO</v>
      </c>
      <c r="AL769" s="181" t="s">
        <v>576</v>
      </c>
      <c r="AM769" s="433" t="s">
        <v>391</v>
      </c>
      <c r="AN769" s="848" t="str">
        <f>IFERROR(VLOOKUP(E769,'liquidaciones '!$B$2:$C$1048576,2,0),"NO")</f>
        <v>NO</v>
      </c>
      <c r="AO769" s="944" t="str">
        <f>IFERROR(VLOOKUP(E769,'liquidaciones '!$B$2:$I$1048576,8,0),"")</f>
        <v/>
      </c>
      <c r="AP769" s="433"/>
      <c r="AQ769" s="433" t="s">
        <v>390</v>
      </c>
      <c r="AR769" s="1040" t="s">
        <v>4219</v>
      </c>
      <c r="AS769" s="1065" t="s">
        <v>4867</v>
      </c>
      <c r="AT769" s="966" t="s">
        <v>560</v>
      </c>
      <c r="AU769" s="964"/>
      <c r="AV769" s="301"/>
    </row>
    <row r="770" spans="3:48" ht="90" x14ac:dyDescent="0.25">
      <c r="C770" s="867">
        <v>224</v>
      </c>
      <c r="E770" s="868" t="s">
        <v>4868</v>
      </c>
      <c r="F770" s="441" t="s">
        <v>4869</v>
      </c>
      <c r="G770" s="868">
        <v>1125228618</v>
      </c>
      <c r="H770" s="1005" t="s">
        <v>4870</v>
      </c>
      <c r="I770" s="93">
        <v>25278000</v>
      </c>
      <c r="J770" s="873" t="s">
        <v>4878</v>
      </c>
      <c r="K770" s="295">
        <v>2019</v>
      </c>
      <c r="L770" s="546">
        <v>43567</v>
      </c>
      <c r="M770" s="546">
        <v>43571</v>
      </c>
      <c r="N770" s="546">
        <v>43753</v>
      </c>
      <c r="O770" s="127">
        <f>COUNTA(Modificaciones!I770,Modificaciones!K770,Modificaciones!M770,Modificaciones!O770)</f>
        <v>0</v>
      </c>
      <c r="P770" s="128">
        <f>VLOOKUP(E770,Modificaciones!$B$7:$Q$1819,16,0)</f>
        <v>0</v>
      </c>
      <c r="Q770" s="129">
        <f>COUNTA(Modificaciones!S770,Modificaciones!U770,Modificaciones!W770,Modificaciones!Y770)</f>
        <v>0</v>
      </c>
      <c r="R770" s="130" t="str">
        <f>IF(Modificaciones!Z770=0,"",VLOOKUP(E770,Modificaciones!$B$7:$AA$1419,25,0))</f>
        <v/>
      </c>
      <c r="S770" s="131" t="str">
        <f>IF(Modificaciones!AA770=0,"",VLOOKUP(E770,Modificaciones!$B$7:$AA$1419,26,0))</f>
        <v/>
      </c>
      <c r="T770" s="855">
        <f t="shared" si="167"/>
        <v>43753</v>
      </c>
      <c r="U770" s="62">
        <f t="shared" si="168"/>
        <v>25278000</v>
      </c>
      <c r="V770" s="172">
        <f>VLOOKUP(E770,Modificaciones!$B$7:$AU$819,46,0)</f>
        <v>6319500</v>
      </c>
      <c r="W770" s="93">
        <f t="shared" si="169"/>
        <v>18958500</v>
      </c>
      <c r="X770" s="309" t="s">
        <v>1095</v>
      </c>
      <c r="Y770" s="852">
        <f t="shared" si="170"/>
        <v>0.25</v>
      </c>
      <c r="Z770" s="42">
        <f t="shared" ca="1" si="171"/>
        <v>0.39560439560439559</v>
      </c>
      <c r="AA770" s="43">
        <f t="shared" ca="1" si="172"/>
        <v>0.14560439560439559</v>
      </c>
      <c r="AB770" s="202">
        <f t="shared" ca="1" si="173"/>
        <v>110</v>
      </c>
      <c r="AC770" s="44" t="str">
        <f t="shared" si="174"/>
        <v>NO</v>
      </c>
      <c r="AD770" s="760" t="s">
        <v>2898</v>
      </c>
      <c r="AE770" s="871" t="s">
        <v>1256</v>
      </c>
      <c r="AF770" s="173" t="s">
        <v>4859</v>
      </c>
      <c r="AG770" s="868" t="s">
        <v>4871</v>
      </c>
      <c r="AH770" s="281" t="s">
        <v>564</v>
      </c>
      <c r="AI770" s="868"/>
      <c r="AJ770" s="868" t="s">
        <v>4817</v>
      </c>
      <c r="AK770" s="181" t="str">
        <f t="shared" ca="1" si="175"/>
        <v>EN EJECUCIÓN</v>
      </c>
      <c r="AL770" s="181" t="s">
        <v>582</v>
      </c>
      <c r="AM770" s="433" t="s">
        <v>391</v>
      </c>
      <c r="AN770" s="848" t="str">
        <f>IFERROR(VLOOKUP(E770,'liquidaciones '!$B$2:$C$1048576,2,0),"NO")</f>
        <v>NO</v>
      </c>
      <c r="AO770" s="944" t="str">
        <f>IFERROR(VLOOKUP(E770,'liquidaciones '!$B$2:$I$1048576,8,0),"")</f>
        <v/>
      </c>
      <c r="AP770" s="433"/>
      <c r="AQ770" s="433" t="s">
        <v>390</v>
      </c>
      <c r="AR770" s="966" t="s">
        <v>4819</v>
      </c>
      <c r="AS770" s="1042"/>
      <c r="AT770" s="966" t="s">
        <v>3928</v>
      </c>
      <c r="AU770" s="964"/>
      <c r="AV770" s="301"/>
    </row>
    <row r="771" spans="3:48" ht="33.75" x14ac:dyDescent="0.25">
      <c r="C771" s="867">
        <v>210</v>
      </c>
      <c r="E771" s="868" t="s">
        <v>4880</v>
      </c>
      <c r="F771" s="441" t="s">
        <v>4190</v>
      </c>
      <c r="G771" s="868">
        <v>1032397721</v>
      </c>
      <c r="H771" s="1005" t="s">
        <v>4191</v>
      </c>
      <c r="I771" s="93">
        <v>12426000</v>
      </c>
      <c r="J771" s="873" t="s">
        <v>4880</v>
      </c>
      <c r="K771" s="295">
        <v>2019</v>
      </c>
      <c r="L771" s="546">
        <v>43570</v>
      </c>
      <c r="M771" s="546">
        <v>43577</v>
      </c>
      <c r="N771" s="546">
        <v>43759</v>
      </c>
      <c r="O771" s="127">
        <f>COUNTA(Modificaciones!I771,Modificaciones!K771,Modificaciones!M771,Modificaciones!O771)</f>
        <v>0</v>
      </c>
      <c r="P771" s="128">
        <f>VLOOKUP(E771,Modificaciones!$B$7:$Q$1819,16,0)</f>
        <v>0</v>
      </c>
      <c r="Q771" s="129">
        <f>COUNTA(Modificaciones!S771,Modificaciones!U771,Modificaciones!W771,Modificaciones!Y771)</f>
        <v>0</v>
      </c>
      <c r="R771" s="130" t="str">
        <f>IF(Modificaciones!Z771=0,"",VLOOKUP(E771,Modificaciones!$B$7:$AA$1419,25,0))</f>
        <v/>
      </c>
      <c r="S771" s="131" t="str">
        <f>IF(Modificaciones!AA771=0,"",VLOOKUP(E771,Modificaciones!$B$7:$AA$1419,26,0))</f>
        <v/>
      </c>
      <c r="T771" s="855">
        <f t="shared" si="167"/>
        <v>43759</v>
      </c>
      <c r="U771" s="62">
        <f t="shared" si="168"/>
        <v>12426000</v>
      </c>
      <c r="V771" s="172">
        <f>VLOOKUP(E771,Modificaciones!$B$7:$AU$819,46,0)</f>
        <v>2692300</v>
      </c>
      <c r="W771" s="93">
        <f t="shared" si="169"/>
        <v>9733700</v>
      </c>
      <c r="X771" s="309" t="s">
        <v>1095</v>
      </c>
      <c r="Y771" s="852">
        <f t="shared" si="170"/>
        <v>0.21666666666666667</v>
      </c>
      <c r="Z771" s="42">
        <f t="shared" ca="1" si="171"/>
        <v>0.36263736263736263</v>
      </c>
      <c r="AA771" s="43">
        <f t="shared" ca="1" si="172"/>
        <v>0.14597069597069595</v>
      </c>
      <c r="AB771" s="202">
        <f t="shared" ca="1" si="173"/>
        <v>116</v>
      </c>
      <c r="AC771" s="44" t="str">
        <f t="shared" si="174"/>
        <v>NO</v>
      </c>
      <c r="AD771" s="760" t="s">
        <v>2898</v>
      </c>
      <c r="AE771" s="871" t="s">
        <v>1256</v>
      </c>
      <c r="AF771" s="173" t="s">
        <v>4881</v>
      </c>
      <c r="AG771" s="868"/>
      <c r="AH771" s="281" t="s">
        <v>562</v>
      </c>
      <c r="AI771" s="868"/>
      <c r="AJ771" s="868" t="s">
        <v>3993</v>
      </c>
      <c r="AK771" s="181" t="str">
        <f t="shared" ca="1" si="175"/>
        <v>EN EJECUCIÓN</v>
      </c>
      <c r="AL771" s="181" t="s">
        <v>582</v>
      </c>
      <c r="AM771" s="433" t="s">
        <v>391</v>
      </c>
      <c r="AN771" s="848" t="str">
        <f>IFERROR(VLOOKUP(E771,'liquidaciones '!$B$2:$C$1048576,2,0),"NO")</f>
        <v>NO</v>
      </c>
      <c r="AO771" s="944" t="str">
        <f>IFERROR(VLOOKUP(E771,'liquidaciones '!$B$2:$I$1048576,8,0),"")</f>
        <v/>
      </c>
      <c r="AP771" s="433"/>
      <c r="AQ771" s="433" t="s">
        <v>390</v>
      </c>
      <c r="AR771" s="1040" t="s">
        <v>4818</v>
      </c>
      <c r="AS771" s="1042"/>
      <c r="AT771" s="966" t="s">
        <v>3994</v>
      </c>
      <c r="AU771" s="964"/>
      <c r="AV771" s="301"/>
    </row>
    <row r="772" spans="3:48" ht="45" x14ac:dyDescent="0.25">
      <c r="C772" s="867">
        <v>56</v>
      </c>
      <c r="E772" s="868" t="s">
        <v>4883</v>
      </c>
      <c r="F772" s="441" t="s">
        <v>4884</v>
      </c>
      <c r="G772" s="868">
        <v>830023178</v>
      </c>
      <c r="H772" s="1005" t="s">
        <v>4885</v>
      </c>
      <c r="I772" s="93">
        <v>30000000</v>
      </c>
      <c r="J772" s="873" t="s">
        <v>4890</v>
      </c>
      <c r="K772" s="295">
        <v>2019</v>
      </c>
      <c r="L772" s="546">
        <v>43567</v>
      </c>
      <c r="M772" s="546">
        <v>43588</v>
      </c>
      <c r="N772" s="546">
        <v>43831</v>
      </c>
      <c r="O772" s="127">
        <f>COUNTA(Modificaciones!I772,Modificaciones!K772,Modificaciones!M772,Modificaciones!O772)</f>
        <v>0</v>
      </c>
      <c r="P772" s="128">
        <f>VLOOKUP(E772,Modificaciones!$B$7:$Q$1819,16,0)</f>
        <v>0</v>
      </c>
      <c r="Q772" s="129">
        <f>COUNTA(Modificaciones!S772,Modificaciones!U772,Modificaciones!W772,Modificaciones!Y772)</f>
        <v>0</v>
      </c>
      <c r="R772" s="130" t="str">
        <f>IF(Modificaciones!Z772=0,"",VLOOKUP(E772,Modificaciones!$B$7:$AA$1419,25,0))</f>
        <v/>
      </c>
      <c r="S772" s="131" t="str">
        <f>IF(Modificaciones!AA772=0,"",VLOOKUP(E772,Modificaciones!$B$7:$AA$1419,26,0))</f>
        <v/>
      </c>
      <c r="T772" s="855">
        <f t="shared" si="167"/>
        <v>43831</v>
      </c>
      <c r="U772" s="62">
        <f t="shared" si="168"/>
        <v>30000000</v>
      </c>
      <c r="V772" s="172">
        <f>VLOOKUP(E772,Modificaciones!$B$7:$AU$819,46,0)</f>
        <v>0</v>
      </c>
      <c r="W772" s="93">
        <f t="shared" si="169"/>
        <v>30000000</v>
      </c>
      <c r="X772" s="309" t="s">
        <v>1963</v>
      </c>
      <c r="Y772" s="852">
        <f t="shared" si="170"/>
        <v>0</v>
      </c>
      <c r="Z772" s="42">
        <f t="shared" ca="1" si="171"/>
        <v>0.22633744855967078</v>
      </c>
      <c r="AA772" s="43">
        <f t="shared" ca="1" si="172"/>
        <v>0.22633744855967078</v>
      </c>
      <c r="AB772" s="202">
        <f t="shared" ca="1" si="173"/>
        <v>188</v>
      </c>
      <c r="AC772" s="44" t="str">
        <f t="shared" si="174"/>
        <v>NO</v>
      </c>
      <c r="AD772" s="760" t="s">
        <v>1710</v>
      </c>
      <c r="AE772" s="173" t="s">
        <v>1256</v>
      </c>
      <c r="AF772" s="281" t="s">
        <v>1140</v>
      </c>
      <c r="AG772" s="173" t="s">
        <v>1442</v>
      </c>
      <c r="AH772" s="281" t="s">
        <v>559</v>
      </c>
      <c r="AI772" s="868"/>
      <c r="AJ772" s="868" t="s">
        <v>4817</v>
      </c>
      <c r="AK772" s="181" t="str">
        <f t="shared" ca="1" si="175"/>
        <v>EN EJECUCIÓN</v>
      </c>
      <c r="AL772" s="310" t="s">
        <v>576</v>
      </c>
      <c r="AM772" s="433" t="s">
        <v>390</v>
      </c>
      <c r="AN772" s="848" t="str">
        <f>IFERROR(VLOOKUP(E772,'liquidaciones '!$B$2:$C$1048576,2,0),"NO")</f>
        <v>NO</v>
      </c>
      <c r="AO772" s="944" t="str">
        <f>IFERROR(VLOOKUP(E772,'liquidaciones '!$B$2:$I$1048576,8,0),"")</f>
        <v/>
      </c>
      <c r="AP772" s="433"/>
      <c r="AQ772" s="433" t="s">
        <v>390</v>
      </c>
      <c r="AR772" s="433" t="s">
        <v>4820</v>
      </c>
      <c r="AS772" s="433"/>
      <c r="AT772" s="966" t="s">
        <v>559</v>
      </c>
      <c r="AU772" s="964"/>
      <c r="AV772" s="301"/>
    </row>
    <row r="773" spans="3:48" ht="33.75" x14ac:dyDescent="0.25">
      <c r="C773" s="867">
        <v>221</v>
      </c>
      <c r="E773" s="868" t="s">
        <v>4886</v>
      </c>
      <c r="F773" s="441" t="s">
        <v>4173</v>
      </c>
      <c r="G773" s="868">
        <v>1013625644</v>
      </c>
      <c r="H773" s="1005" t="s">
        <v>4887</v>
      </c>
      <c r="I773" s="93">
        <v>19878000</v>
      </c>
      <c r="J773" s="873" t="s">
        <v>4886</v>
      </c>
      <c r="K773" s="295">
        <v>2019</v>
      </c>
      <c r="L773" s="546">
        <v>43579</v>
      </c>
      <c r="M773" s="546">
        <v>43587</v>
      </c>
      <c r="N773" s="546">
        <v>43770</v>
      </c>
      <c r="O773" s="127">
        <f>COUNTA(Modificaciones!I773,Modificaciones!K773,Modificaciones!M773,Modificaciones!O773)</f>
        <v>0</v>
      </c>
      <c r="P773" s="128">
        <f>VLOOKUP(E773,Modificaciones!$B$7:$Q$1819,16,0)</f>
        <v>0</v>
      </c>
      <c r="Q773" s="129">
        <f>COUNTA(Modificaciones!S773,Modificaciones!U773,Modificaciones!W773,Modificaciones!Y773)</f>
        <v>0</v>
      </c>
      <c r="R773" s="130" t="str">
        <f>IF(Modificaciones!Z773=0,"",VLOOKUP(E773,Modificaciones!$B$7:$AA$1419,25,0))</f>
        <v/>
      </c>
      <c r="S773" s="131" t="str">
        <f>IF(Modificaciones!AA773=0,"",VLOOKUP(E773,Modificaciones!$B$7:$AA$1419,26,0))</f>
        <v/>
      </c>
      <c r="T773" s="855">
        <f t="shared" si="167"/>
        <v>43770</v>
      </c>
      <c r="U773" s="62">
        <f t="shared" si="168"/>
        <v>19878000</v>
      </c>
      <c r="V773" s="172">
        <f>VLOOKUP(E773,Modificaciones!$B$7:$AU$819,46,0)</f>
        <v>3202567</v>
      </c>
      <c r="W773" s="93">
        <f t="shared" si="169"/>
        <v>16675433</v>
      </c>
      <c r="X773" s="309" t="s">
        <v>1095</v>
      </c>
      <c r="Y773" s="852">
        <f t="shared" si="170"/>
        <v>0.16111112788006843</v>
      </c>
      <c r="Z773" s="42">
        <f t="shared" ca="1" si="171"/>
        <v>0.30601092896174864</v>
      </c>
      <c r="AA773" s="43">
        <f t="shared" ca="1" si="172"/>
        <v>0.14489980108168021</v>
      </c>
      <c r="AB773" s="202">
        <f t="shared" ca="1" si="173"/>
        <v>127</v>
      </c>
      <c r="AC773" s="44" t="str">
        <f t="shared" si="174"/>
        <v>NO</v>
      </c>
      <c r="AD773" s="760" t="s">
        <v>2898</v>
      </c>
      <c r="AE773" s="871" t="s">
        <v>1256</v>
      </c>
      <c r="AF773" s="173" t="s">
        <v>4888</v>
      </c>
      <c r="AG773" s="868" t="s">
        <v>4889</v>
      </c>
      <c r="AH773" s="281" t="s">
        <v>560</v>
      </c>
      <c r="AI773" s="868"/>
      <c r="AJ773" s="868" t="s">
        <v>4866</v>
      </c>
      <c r="AK773" s="181" t="str">
        <f t="shared" ca="1" si="175"/>
        <v>EN EJECUCIÓN</v>
      </c>
      <c r="AL773" s="181" t="s">
        <v>582</v>
      </c>
      <c r="AM773" s="433" t="s">
        <v>391</v>
      </c>
      <c r="AN773" s="848" t="str">
        <f>IFERROR(VLOOKUP(E773,'liquidaciones '!$B$2:$C$1048576,2,0),"NO")</f>
        <v>NO</v>
      </c>
      <c r="AO773" s="944" t="str">
        <f>IFERROR(VLOOKUP(E773,'liquidaciones '!$B$2:$I$1048576,8,0),"")</f>
        <v/>
      </c>
      <c r="AP773" s="433"/>
      <c r="AQ773" s="433" t="s">
        <v>390</v>
      </c>
      <c r="AR773" s="433" t="s">
        <v>4820</v>
      </c>
      <c r="AS773" s="1042"/>
      <c r="AT773" s="966" t="s">
        <v>560</v>
      </c>
      <c r="AU773" s="964"/>
      <c r="AV773" s="301"/>
    </row>
    <row r="774" spans="3:48" ht="22.5" x14ac:dyDescent="0.25">
      <c r="C774" s="867">
        <v>357</v>
      </c>
      <c r="E774" s="868" t="s">
        <v>4893</v>
      </c>
      <c r="F774" s="441" t="s">
        <v>4187</v>
      </c>
      <c r="G774" s="868">
        <v>1016064307</v>
      </c>
      <c r="H774" s="1005" t="s">
        <v>3067</v>
      </c>
      <c r="I774" s="93">
        <v>14497000</v>
      </c>
      <c r="J774" s="873" t="s">
        <v>4893</v>
      </c>
      <c r="K774" s="295">
        <v>2019</v>
      </c>
      <c r="L774" s="546">
        <v>43581</v>
      </c>
      <c r="M774" s="546">
        <v>43587</v>
      </c>
      <c r="N774" s="546">
        <v>43800</v>
      </c>
      <c r="O774" s="127">
        <f>COUNTA(Modificaciones!I774,Modificaciones!K774,Modificaciones!M774,Modificaciones!O774)</f>
        <v>0</v>
      </c>
      <c r="P774" s="128">
        <f>VLOOKUP(E774,Modificaciones!$B$7:$Q$1819,16,0)</f>
        <v>0</v>
      </c>
      <c r="Q774" s="129">
        <f>COUNTA(Modificaciones!S774,Modificaciones!U774,Modificaciones!W774,Modificaciones!Y774)</f>
        <v>0</v>
      </c>
      <c r="R774" s="130" t="str">
        <f>IF(Modificaciones!Z774=0,"",VLOOKUP(E774,Modificaciones!$B$7:$AA$1419,25,0))</f>
        <v/>
      </c>
      <c r="S774" s="131" t="str">
        <f>IF(Modificaciones!AA774=0,"",VLOOKUP(E774,Modificaciones!$B$7:$AA$1419,26,0))</f>
        <v/>
      </c>
      <c r="T774" s="855">
        <f t="shared" si="167"/>
        <v>43800</v>
      </c>
      <c r="U774" s="62">
        <f t="shared" si="168"/>
        <v>14497000</v>
      </c>
      <c r="V774" s="172">
        <f>VLOOKUP(E774,Modificaciones!$B$7:$AU$819,46,0)</f>
        <v>2001967</v>
      </c>
      <c r="W774" s="93">
        <f t="shared" si="169"/>
        <v>12495033</v>
      </c>
      <c r="X774" s="309" t="s">
        <v>1095</v>
      </c>
      <c r="Y774" s="852">
        <f t="shared" si="170"/>
        <v>0.13809526108850106</v>
      </c>
      <c r="Z774" s="42">
        <f t="shared" ca="1" si="171"/>
        <v>0.26291079812206575</v>
      </c>
      <c r="AA774" s="43">
        <f t="shared" ca="1" si="172"/>
        <v>0.12481553703356468</v>
      </c>
      <c r="AB774" s="202">
        <f t="shared" ca="1" si="173"/>
        <v>157</v>
      </c>
      <c r="AC774" s="44" t="str">
        <f t="shared" si="174"/>
        <v>NO</v>
      </c>
      <c r="AD774" s="760" t="s">
        <v>2898</v>
      </c>
      <c r="AE774" s="871" t="s">
        <v>1256</v>
      </c>
      <c r="AF774" s="173" t="s">
        <v>4894</v>
      </c>
      <c r="AG774" s="868" t="s">
        <v>4895</v>
      </c>
      <c r="AH774" s="868" t="s">
        <v>561</v>
      </c>
      <c r="AI774" s="868"/>
      <c r="AJ774" s="441" t="s">
        <v>4936</v>
      </c>
      <c r="AK774" s="181" t="str">
        <f t="shared" ca="1" si="175"/>
        <v>EN EJECUCIÓN</v>
      </c>
      <c r="AL774" s="181" t="s">
        <v>582</v>
      </c>
      <c r="AM774" s="433" t="s">
        <v>391</v>
      </c>
      <c r="AN774" s="848" t="str">
        <f>IFERROR(VLOOKUP(E774,'liquidaciones '!$B$2:$C$1048576,2,0),"NO")</f>
        <v>NO</v>
      </c>
      <c r="AO774" s="944" t="str">
        <f>IFERROR(VLOOKUP(E774,'liquidaciones '!$B$2:$I$1048576,8,0),"")</f>
        <v/>
      </c>
      <c r="AP774" s="433"/>
      <c r="AQ774" s="433" t="s">
        <v>390</v>
      </c>
      <c r="AR774" s="1040" t="s">
        <v>4818</v>
      </c>
      <c r="AS774" s="1042"/>
      <c r="AT774" s="966" t="s">
        <v>4188</v>
      </c>
      <c r="AU774" s="964"/>
      <c r="AV774" s="301"/>
    </row>
    <row r="775" spans="3:48" ht="45" x14ac:dyDescent="0.25">
      <c r="C775" s="867">
        <v>355</v>
      </c>
      <c r="E775" s="868" t="s">
        <v>4898</v>
      </c>
      <c r="F775" s="441" t="s">
        <v>4345</v>
      </c>
      <c r="G775" s="868">
        <v>52095685</v>
      </c>
      <c r="H775" s="1005" t="s">
        <v>3010</v>
      </c>
      <c r="I775" s="93">
        <v>37266000</v>
      </c>
      <c r="J775" s="873" t="s">
        <v>4898</v>
      </c>
      <c r="K775" s="295">
        <v>2019</v>
      </c>
      <c r="L775" s="546">
        <v>43581</v>
      </c>
      <c r="M775" s="546">
        <v>43620</v>
      </c>
      <c r="N775" s="546">
        <v>43802</v>
      </c>
      <c r="O775" s="127">
        <f>COUNTA(Modificaciones!I775,Modificaciones!K775,Modificaciones!M775,Modificaciones!O775)</f>
        <v>0</v>
      </c>
      <c r="P775" s="128">
        <f>VLOOKUP(E775,Modificaciones!$B$7:$Q$1819,16,0)</f>
        <v>0</v>
      </c>
      <c r="Q775" s="129">
        <f>COUNTA(Modificaciones!S775,Modificaciones!U775,Modificaciones!W775,Modificaciones!Y775)</f>
        <v>0</v>
      </c>
      <c r="R775" s="130" t="str">
        <f>IF(Modificaciones!Z775=0,"",VLOOKUP(E775,Modificaciones!$B$7:$AA$1419,25,0))</f>
        <v/>
      </c>
      <c r="S775" s="131" t="str">
        <f>IF(Modificaciones!AA775=0,"",VLOOKUP(E775,Modificaciones!$B$7:$AA$1419,26,0))</f>
        <v/>
      </c>
      <c r="T775" s="855">
        <f t="shared" si="167"/>
        <v>43802</v>
      </c>
      <c r="U775" s="62">
        <f t="shared" si="168"/>
        <v>37266000</v>
      </c>
      <c r="V775" s="172">
        <f>VLOOKUP(E775,Modificaciones!$B$7:$AU$819,46,0)</f>
        <v>0</v>
      </c>
      <c r="W775" s="93">
        <f t="shared" si="169"/>
        <v>37266000</v>
      </c>
      <c r="X775" s="309" t="s">
        <v>1095</v>
      </c>
      <c r="Y775" s="852">
        <f t="shared" si="170"/>
        <v>0</v>
      </c>
      <c r="Z775" s="42">
        <f t="shared" ca="1" si="171"/>
        <v>0.12637362637362637</v>
      </c>
      <c r="AA775" s="43">
        <f t="shared" ca="1" si="172"/>
        <v>0.12637362637362637</v>
      </c>
      <c r="AB775" s="202">
        <f t="shared" ca="1" si="173"/>
        <v>159</v>
      </c>
      <c r="AC775" s="44" t="str">
        <f t="shared" si="174"/>
        <v>NO</v>
      </c>
      <c r="AD775" s="760" t="s">
        <v>2898</v>
      </c>
      <c r="AE775" s="871" t="s">
        <v>1256</v>
      </c>
      <c r="AF775" s="173" t="s">
        <v>4899</v>
      </c>
      <c r="AG775" s="173" t="s">
        <v>1177</v>
      </c>
      <c r="AH775" s="281" t="s">
        <v>559</v>
      </c>
      <c r="AI775" s="868"/>
      <c r="AJ775" s="868" t="s">
        <v>4817</v>
      </c>
      <c r="AK775" s="181" t="str">
        <f t="shared" ca="1" si="175"/>
        <v>EN EJECUCIÓN</v>
      </c>
      <c r="AL775" s="181" t="s">
        <v>582</v>
      </c>
      <c r="AM775" s="433" t="s">
        <v>390</v>
      </c>
      <c r="AN775" s="848" t="str">
        <f>IFERROR(VLOOKUP(E775,'liquidaciones '!$B$2:$C$1048576,2,0),"NO")</f>
        <v>NO</v>
      </c>
      <c r="AO775" s="944" t="str">
        <f>IFERROR(VLOOKUP(E775,'liquidaciones '!$B$2:$I$1048576,8,0),"")</f>
        <v/>
      </c>
      <c r="AP775" s="433"/>
      <c r="AQ775" s="433" t="s">
        <v>390</v>
      </c>
      <c r="AR775" s="433" t="s">
        <v>4818</v>
      </c>
      <c r="AS775" s="1042"/>
      <c r="AT775" s="966" t="s">
        <v>559</v>
      </c>
      <c r="AU775" s="964"/>
      <c r="AV775" s="301"/>
    </row>
    <row r="776" spans="3:48" ht="56.25" x14ac:dyDescent="0.25">
      <c r="C776" s="867">
        <v>372</v>
      </c>
      <c r="E776" s="868" t="s">
        <v>4900</v>
      </c>
      <c r="F776" s="441" t="s">
        <v>4901</v>
      </c>
      <c r="G776" s="893" t="s">
        <v>4908</v>
      </c>
      <c r="H776" s="1005" t="s">
        <v>4902</v>
      </c>
      <c r="I776" s="93">
        <v>7649412</v>
      </c>
      <c r="J776" s="873" t="s">
        <v>4900</v>
      </c>
      <c r="K776" s="295">
        <v>2019</v>
      </c>
      <c r="L776" s="546">
        <v>43587</v>
      </c>
      <c r="M776" s="546">
        <v>43587</v>
      </c>
      <c r="N776" s="546">
        <v>43623</v>
      </c>
      <c r="O776" s="127">
        <f>COUNTA(Modificaciones!I776,Modificaciones!K776,Modificaciones!M776,Modificaciones!O776)</f>
        <v>0</v>
      </c>
      <c r="P776" s="128">
        <f>VLOOKUP(E776,Modificaciones!$B$7:$Q$1819,16,0)</f>
        <v>0</v>
      </c>
      <c r="Q776" s="129">
        <f>COUNTA(Modificaciones!S776,Modificaciones!U776,Modificaciones!W776,Modificaciones!Y776)</f>
        <v>0</v>
      </c>
      <c r="R776" s="130" t="str">
        <f>IF(Modificaciones!Z776=0,"",VLOOKUP(E776,Modificaciones!$B$7:$AA$1419,25,0))</f>
        <v/>
      </c>
      <c r="S776" s="131" t="str">
        <f>IF(Modificaciones!AA776=0,"",VLOOKUP(E776,Modificaciones!$B$7:$AA$1419,26,0))</f>
        <v/>
      </c>
      <c r="T776" s="855">
        <f t="shared" si="167"/>
        <v>43623</v>
      </c>
      <c r="U776" s="62">
        <f t="shared" si="168"/>
        <v>7649412</v>
      </c>
      <c r="V776" s="172">
        <f>VLOOKUP(E776,Modificaciones!$B$7:$AU$819,46,0)</f>
        <v>7649412</v>
      </c>
      <c r="W776" s="93">
        <f t="shared" si="169"/>
        <v>0</v>
      </c>
      <c r="X776" s="1041" t="s">
        <v>4903</v>
      </c>
      <c r="Y776" s="852">
        <f t="shared" si="170"/>
        <v>1</v>
      </c>
      <c r="Z776" s="42">
        <f t="shared" ca="1" si="171"/>
        <v>1</v>
      </c>
      <c r="AA776" s="43">
        <f t="shared" ca="1" si="172"/>
        <v>0</v>
      </c>
      <c r="AB776" s="202" t="str">
        <f t="shared" ca="1" si="173"/>
        <v/>
      </c>
      <c r="AC776" s="44" t="str">
        <f t="shared" si="174"/>
        <v>SI</v>
      </c>
      <c r="AD776" s="1066" t="s">
        <v>4904</v>
      </c>
      <c r="AE776" s="871" t="s">
        <v>1256</v>
      </c>
      <c r="AF776" s="871"/>
      <c r="AG776" s="868" t="s">
        <v>4889</v>
      </c>
      <c r="AH776" s="281" t="s">
        <v>560</v>
      </c>
      <c r="AI776" s="868"/>
      <c r="AJ776" s="868" t="s">
        <v>4866</v>
      </c>
      <c r="AK776" s="181" t="str">
        <f t="shared" ca="1" si="175"/>
        <v>TERMINO</v>
      </c>
      <c r="AL776" s="441" t="s">
        <v>4905</v>
      </c>
      <c r="AM776" s="433" t="s">
        <v>390</v>
      </c>
      <c r="AN776" s="848" t="str">
        <f>IFERROR(VLOOKUP(E776,'liquidaciones '!$B$2:$C$1048576,2,0),"NO")</f>
        <v>NO</v>
      </c>
      <c r="AO776" s="944" t="str">
        <f>IFERROR(VLOOKUP(E776,'liquidaciones '!$B$2:$I$1048576,8,0),"")</f>
        <v/>
      </c>
      <c r="AP776" s="433"/>
      <c r="AQ776" s="433" t="s">
        <v>390</v>
      </c>
      <c r="AR776" s="1040" t="s">
        <v>4309</v>
      </c>
      <c r="AS776" s="1042"/>
      <c r="AT776" s="966" t="s">
        <v>560</v>
      </c>
      <c r="AU776" s="964"/>
      <c r="AV776" s="301"/>
    </row>
    <row r="777" spans="3:48" ht="56.25" x14ac:dyDescent="0.25">
      <c r="C777" s="867">
        <v>228</v>
      </c>
      <c r="E777" s="868" t="s">
        <v>4906</v>
      </c>
      <c r="F777" s="441" t="s">
        <v>4170</v>
      </c>
      <c r="G777" s="868">
        <v>79629653</v>
      </c>
      <c r="H777" s="1005" t="s">
        <v>1544</v>
      </c>
      <c r="I777" s="93">
        <v>49147000</v>
      </c>
      <c r="J777" s="873" t="s">
        <v>4906</v>
      </c>
      <c r="K777" s="295">
        <v>2019</v>
      </c>
      <c r="L777" s="546">
        <v>43585</v>
      </c>
      <c r="M777" s="546">
        <v>43587</v>
      </c>
      <c r="N777" s="546">
        <v>43800</v>
      </c>
      <c r="O777" s="127">
        <f>COUNTA(Modificaciones!I777,Modificaciones!K777,Modificaciones!M777,Modificaciones!O777)</f>
        <v>0</v>
      </c>
      <c r="P777" s="128">
        <f>VLOOKUP(E777,Modificaciones!$B$7:$Q$1819,16,0)</f>
        <v>0</v>
      </c>
      <c r="Q777" s="129">
        <f>COUNTA(Modificaciones!S777,Modificaciones!U777,Modificaciones!W777,Modificaciones!Y777)</f>
        <v>0</v>
      </c>
      <c r="R777" s="130" t="str">
        <f>IF(Modificaciones!Z777=0,"",VLOOKUP(E777,Modificaciones!$B$7:$AA$1419,25,0))</f>
        <v/>
      </c>
      <c r="S777" s="131" t="str">
        <f>IF(Modificaciones!AA777=0,"",VLOOKUP(E777,Modificaciones!$B$7:$AA$1419,26,0))</f>
        <v/>
      </c>
      <c r="T777" s="855">
        <f t="shared" si="167"/>
        <v>43800</v>
      </c>
      <c r="U777" s="62">
        <f t="shared" si="168"/>
        <v>49147000</v>
      </c>
      <c r="V777" s="172">
        <f>VLOOKUP(E777,Modificaciones!$B$7:$AU$819,46,0)</f>
        <v>6786967</v>
      </c>
      <c r="W777" s="93">
        <f t="shared" si="169"/>
        <v>42360033</v>
      </c>
      <c r="X777" s="309" t="s">
        <v>1095</v>
      </c>
      <c r="Y777" s="852">
        <f t="shared" si="170"/>
        <v>0.13809524487761207</v>
      </c>
      <c r="Z777" s="42">
        <f t="shared" ca="1" si="171"/>
        <v>0.26291079812206575</v>
      </c>
      <c r="AA777" s="43">
        <f t="shared" ca="1" si="172"/>
        <v>0.12481555324445368</v>
      </c>
      <c r="AB777" s="202">
        <f t="shared" ca="1" si="173"/>
        <v>157</v>
      </c>
      <c r="AC777" s="44" t="str">
        <f t="shared" si="174"/>
        <v>NO</v>
      </c>
      <c r="AD777" s="760" t="s">
        <v>2898</v>
      </c>
      <c r="AE777" s="871" t="s">
        <v>1256</v>
      </c>
      <c r="AF777" s="173" t="s">
        <v>4907</v>
      </c>
      <c r="AG777" s="868" t="s">
        <v>4889</v>
      </c>
      <c r="AH777" s="281" t="s">
        <v>560</v>
      </c>
      <c r="AI777" s="868"/>
      <c r="AJ777" s="868" t="s">
        <v>4866</v>
      </c>
      <c r="AK777" s="181" t="str">
        <f t="shared" ca="1" si="175"/>
        <v>EN EJECUCIÓN</v>
      </c>
      <c r="AL777" s="181" t="s">
        <v>582</v>
      </c>
      <c r="AM777" s="433" t="s">
        <v>391</v>
      </c>
      <c r="AN777" s="848" t="str">
        <f>IFERROR(VLOOKUP(E777,'liquidaciones '!$B$2:$C$1048576,2,0),"NO")</f>
        <v>NO</v>
      </c>
      <c r="AO777" s="944" t="str">
        <f>IFERROR(VLOOKUP(E777,'liquidaciones '!$B$2:$I$1048576,8,0),"")</f>
        <v/>
      </c>
      <c r="AP777" s="433"/>
      <c r="AQ777" s="433" t="s">
        <v>390</v>
      </c>
      <c r="AR777" s="433" t="s">
        <v>4820</v>
      </c>
      <c r="AS777" s="1042"/>
      <c r="AT777" s="966" t="s">
        <v>560</v>
      </c>
      <c r="AU777" s="964"/>
      <c r="AV777" s="301"/>
    </row>
    <row r="778" spans="3:48" ht="33.75" x14ac:dyDescent="0.25">
      <c r="C778" s="867">
        <v>239</v>
      </c>
      <c r="E778" s="868" t="s">
        <v>4911</v>
      </c>
      <c r="F778" s="441" t="s">
        <v>4912</v>
      </c>
      <c r="G778" s="893" t="s">
        <v>4913</v>
      </c>
      <c r="H778" s="1005" t="s">
        <v>4914</v>
      </c>
      <c r="I778" s="93">
        <v>482700000</v>
      </c>
      <c r="J778" s="873" t="s">
        <v>4918</v>
      </c>
      <c r="K778" s="295">
        <v>2019</v>
      </c>
      <c r="L778" s="546">
        <v>43591</v>
      </c>
      <c r="M778" s="546">
        <v>43591</v>
      </c>
      <c r="N778" s="546">
        <v>43774</v>
      </c>
      <c r="O778" s="127">
        <f>COUNTA(Modificaciones!I778,Modificaciones!K778,Modificaciones!M778,Modificaciones!O778)</f>
        <v>0</v>
      </c>
      <c r="P778" s="128">
        <f>VLOOKUP(E778,Modificaciones!$B$7:$Q$1819,16,0)</f>
        <v>0</v>
      </c>
      <c r="Q778" s="129">
        <f>COUNTA(Modificaciones!S778,Modificaciones!U778,Modificaciones!W778,Modificaciones!Y778)</f>
        <v>0</v>
      </c>
      <c r="R778" s="130" t="str">
        <f>IF(Modificaciones!Z778=0,"",VLOOKUP(E778,Modificaciones!$B$7:$AA$1419,25,0))</f>
        <v/>
      </c>
      <c r="S778" s="131" t="str">
        <f>IF(Modificaciones!AA778=0,"",VLOOKUP(E778,Modificaciones!$B$7:$AA$1419,26,0))</f>
        <v/>
      </c>
      <c r="T778" s="855">
        <f t="shared" si="167"/>
        <v>43774</v>
      </c>
      <c r="U778" s="62">
        <f t="shared" si="168"/>
        <v>482700000</v>
      </c>
      <c r="V778" s="172">
        <f>VLOOKUP(E778,Modificaciones!$B$7:$AU$819,46,0)</f>
        <v>0</v>
      </c>
      <c r="W778" s="93">
        <f t="shared" si="169"/>
        <v>482700000</v>
      </c>
      <c r="X778" s="1041" t="s">
        <v>4915</v>
      </c>
      <c r="Y778" s="852">
        <f t="shared" si="170"/>
        <v>0</v>
      </c>
      <c r="Z778" s="42">
        <f t="shared" ca="1" si="171"/>
        <v>0.28415300546448086</v>
      </c>
      <c r="AA778" s="43">
        <f t="shared" ca="1" si="172"/>
        <v>0.28415300546448086</v>
      </c>
      <c r="AB778" s="202">
        <f t="shared" ca="1" si="173"/>
        <v>131</v>
      </c>
      <c r="AC778" s="44" t="str">
        <f t="shared" si="174"/>
        <v>NO</v>
      </c>
      <c r="AD778" s="433" t="s">
        <v>1710</v>
      </c>
      <c r="AE778" s="173" t="s">
        <v>1256</v>
      </c>
      <c r="AF778" s="281" t="s">
        <v>1532</v>
      </c>
      <c r="AG778" s="173" t="s">
        <v>1430</v>
      </c>
      <c r="AH778" s="281" t="s">
        <v>564</v>
      </c>
      <c r="AI778" s="868"/>
      <c r="AJ778" s="868" t="s">
        <v>4817</v>
      </c>
      <c r="AK778" s="181" t="str">
        <f t="shared" ca="1" si="175"/>
        <v>EN EJECUCIÓN</v>
      </c>
      <c r="AL778" s="441" t="s">
        <v>4916</v>
      </c>
      <c r="AM778" s="433" t="s">
        <v>390</v>
      </c>
      <c r="AN778" s="848" t="str">
        <f>IFERROR(VLOOKUP(E778,'liquidaciones '!$B$2:$C$1048576,2,0),"NO")</f>
        <v>NO</v>
      </c>
      <c r="AO778" s="944" t="str">
        <f>IFERROR(VLOOKUP(E778,'liquidaciones '!$B$2:$I$1048576,8,0),"")</f>
        <v/>
      </c>
      <c r="AP778" s="433"/>
      <c r="AQ778" s="433" t="s">
        <v>390</v>
      </c>
      <c r="AR778" s="1040" t="s">
        <v>4819</v>
      </c>
      <c r="AS778" s="1042"/>
      <c r="AT778" s="966" t="s">
        <v>3928</v>
      </c>
      <c r="AU778" s="964"/>
      <c r="AV778" s="301"/>
    </row>
    <row r="779" spans="3:48" ht="135" x14ac:dyDescent="0.25">
      <c r="C779" s="867">
        <v>131</v>
      </c>
      <c r="E779" s="868" t="s">
        <v>4924</v>
      </c>
      <c r="F779" s="441" t="s">
        <v>2095</v>
      </c>
      <c r="G779" s="868">
        <v>830099766</v>
      </c>
      <c r="H779" s="1005" t="s">
        <v>4078</v>
      </c>
      <c r="I779" s="93">
        <v>70231374</v>
      </c>
      <c r="J779" s="873" t="s">
        <v>4924</v>
      </c>
      <c r="K779" s="295">
        <v>2019</v>
      </c>
      <c r="L779" s="546">
        <v>43588</v>
      </c>
      <c r="M779" s="546">
        <v>43598</v>
      </c>
      <c r="N779" s="546">
        <v>43933</v>
      </c>
      <c r="O779" s="127">
        <f>COUNTA(Modificaciones!I779,Modificaciones!K779,Modificaciones!M779,Modificaciones!O779)</f>
        <v>0</v>
      </c>
      <c r="P779" s="128">
        <f>VLOOKUP(E779,Modificaciones!$B$7:$Q$1819,16,0)</f>
        <v>0</v>
      </c>
      <c r="Q779" s="129">
        <f>COUNTA(Modificaciones!S779,Modificaciones!U779,Modificaciones!W779,Modificaciones!Y779)</f>
        <v>0</v>
      </c>
      <c r="R779" s="130" t="str">
        <f>IF(Modificaciones!Z779=0,"",VLOOKUP(E779,Modificaciones!$B$7:$AA$1419,25,0))</f>
        <v/>
      </c>
      <c r="S779" s="131" t="str">
        <f>IF(Modificaciones!AA779=0,"",VLOOKUP(E779,Modificaciones!$B$7:$AA$1419,26,0))</f>
        <v/>
      </c>
      <c r="T779" s="855">
        <f t="shared" si="167"/>
        <v>43933</v>
      </c>
      <c r="U779" s="62">
        <f t="shared" si="168"/>
        <v>70231374</v>
      </c>
      <c r="V779" s="172">
        <f>VLOOKUP(E779,Modificaciones!$B$7:$AU$819,46,0)</f>
        <v>0</v>
      </c>
      <c r="W779" s="93">
        <f t="shared" si="169"/>
        <v>70231374</v>
      </c>
      <c r="X779" s="899" t="s">
        <v>4925</v>
      </c>
      <c r="Y779" s="852">
        <f t="shared" si="170"/>
        <v>0</v>
      </c>
      <c r="Z779" s="42">
        <f t="shared" ca="1" si="171"/>
        <v>0.13432835820895522</v>
      </c>
      <c r="AA779" s="43">
        <f t="shared" ca="1" si="172"/>
        <v>0.13432835820895522</v>
      </c>
      <c r="AB779" s="202">
        <f t="shared" ca="1" si="173"/>
        <v>290</v>
      </c>
      <c r="AC779" s="44" t="str">
        <f t="shared" si="174"/>
        <v>NO</v>
      </c>
      <c r="AD779" s="433" t="s">
        <v>1710</v>
      </c>
      <c r="AE779" s="173" t="s">
        <v>1256</v>
      </c>
      <c r="AF779" s="281" t="s">
        <v>2098</v>
      </c>
      <c r="AG779" s="173" t="s">
        <v>1439</v>
      </c>
      <c r="AH779" s="281" t="s">
        <v>560</v>
      </c>
      <c r="AI779" s="868" t="s">
        <v>4865</v>
      </c>
      <c r="AJ779" s="868" t="s">
        <v>4866</v>
      </c>
      <c r="AK779" s="181" t="str">
        <f t="shared" ca="1" si="175"/>
        <v>EN EJECUCIÓN</v>
      </c>
      <c r="AL779" s="181" t="s">
        <v>582</v>
      </c>
      <c r="AM779" s="433" t="s">
        <v>390</v>
      </c>
      <c r="AN779" s="848" t="str">
        <f>IFERROR(VLOOKUP(E779,'liquidaciones '!$B$2:$C$1048576,2,0),"NO")</f>
        <v>NO</v>
      </c>
      <c r="AO779" s="944" t="str">
        <f>IFERROR(VLOOKUP(E779,'liquidaciones '!$B$2:$I$1048576,8,0),"")</f>
        <v/>
      </c>
      <c r="AP779" s="433"/>
      <c r="AQ779" s="433" t="s">
        <v>390</v>
      </c>
      <c r="AR779" s="1040" t="s">
        <v>4927</v>
      </c>
      <c r="AS779" s="1042"/>
      <c r="AT779" s="966" t="s">
        <v>560</v>
      </c>
      <c r="AU779" s="964"/>
      <c r="AV779" s="301"/>
    </row>
    <row r="780" spans="3:48" ht="45" x14ac:dyDescent="0.25">
      <c r="C780" s="867">
        <v>24</v>
      </c>
      <c r="E780" s="868" t="s">
        <v>4928</v>
      </c>
      <c r="F780" s="441" t="s">
        <v>2915</v>
      </c>
      <c r="G780" s="868">
        <v>41690000</v>
      </c>
      <c r="H780" s="1005" t="s">
        <v>4929</v>
      </c>
      <c r="I780" s="93">
        <v>27222000</v>
      </c>
      <c r="J780" s="873" t="s">
        <v>4928</v>
      </c>
      <c r="K780" s="295">
        <v>2019</v>
      </c>
      <c r="L780" s="546">
        <v>43593</v>
      </c>
      <c r="M780" s="546">
        <v>43594</v>
      </c>
      <c r="N780" s="546">
        <v>43777</v>
      </c>
      <c r="O780" s="127">
        <f>COUNTA(Modificaciones!I780,Modificaciones!K780,Modificaciones!M780,Modificaciones!O780)</f>
        <v>0</v>
      </c>
      <c r="P780" s="128">
        <f>VLOOKUP(E780,Modificaciones!$B$7:$Q$1819,16,0)</f>
        <v>0</v>
      </c>
      <c r="Q780" s="129">
        <f>COUNTA(Modificaciones!S780,Modificaciones!U780,Modificaciones!W780,Modificaciones!Y780)</f>
        <v>0</v>
      </c>
      <c r="R780" s="130" t="str">
        <f>IF(Modificaciones!Z780=0,"",VLOOKUP(E780,Modificaciones!$B$7:$AA$1419,25,0))</f>
        <v/>
      </c>
      <c r="S780" s="131" t="str">
        <f>IF(Modificaciones!AA780=0,"",VLOOKUP(E780,Modificaciones!$B$7:$AA$1419,26,0))</f>
        <v/>
      </c>
      <c r="T780" s="855">
        <f t="shared" ref="T780:T790" si="177">MAX(N780,S780)</f>
        <v>43777</v>
      </c>
      <c r="U780" s="62">
        <f t="shared" ref="U780:U790" si="178">I780+P780</f>
        <v>27222000</v>
      </c>
      <c r="V780" s="172">
        <f>VLOOKUP(E780,Modificaciones!$B$7:$AU$819,46,0)</f>
        <v>3175900</v>
      </c>
      <c r="W780" s="93">
        <f t="shared" ref="W780:W790" si="179">U780-V780</f>
        <v>24046100</v>
      </c>
      <c r="X780" s="309" t="s">
        <v>1095</v>
      </c>
      <c r="Y780" s="852">
        <f t="shared" ref="Y780:Y790" si="180">(V780*100%)/U780</f>
        <v>0.11666666666666667</v>
      </c>
      <c r="Z780" s="42">
        <f t="shared" ref="Z780:Z790" ca="1" si="181">IF((($F$3-M780)*100%/(T780-M780))&gt;100%,100%,(($F$3-M780)*100%/(T780-M780)))</f>
        <v>0.26775956284153007</v>
      </c>
      <c r="AA780" s="43">
        <f t="shared" ref="AA780:AA790" ca="1" si="182">Z780-Y780</f>
        <v>0.15109289617486341</v>
      </c>
      <c r="AB780" s="202">
        <f t="shared" ref="AB780:AB790" ca="1" si="183">IF(Z780&lt;100%,T780-$F$3,"")</f>
        <v>134</v>
      </c>
      <c r="AC780" s="44" t="str">
        <f t="shared" ref="AC780:AC790" si="184">IF(Y780&lt;=99.9%,"NO","SI")</f>
        <v>NO</v>
      </c>
      <c r="AD780" s="760" t="s">
        <v>2898</v>
      </c>
      <c r="AE780" s="871" t="s">
        <v>1256</v>
      </c>
      <c r="AF780" s="173" t="s">
        <v>4930</v>
      </c>
      <c r="AG780" s="173" t="s">
        <v>1440</v>
      </c>
      <c r="AH780" s="281" t="s">
        <v>562</v>
      </c>
      <c r="AI780" s="868"/>
      <c r="AJ780" s="868" t="s">
        <v>4931</v>
      </c>
      <c r="AK780" s="181" t="str">
        <f t="shared" ref="AK780:AK790" ca="1" si="185">IF(T780&gt;=$F$3,"EN EJECUCIÓN","TERMINO")</f>
        <v>EN EJECUCIÓN</v>
      </c>
      <c r="AL780" s="181" t="s">
        <v>582</v>
      </c>
      <c r="AM780" s="433" t="s">
        <v>391</v>
      </c>
      <c r="AN780" s="848" t="str">
        <f>IFERROR(VLOOKUP(E780,'liquidaciones '!$B$2:$C$1048576,2,0),"NO")</f>
        <v>NO</v>
      </c>
      <c r="AO780" s="944" t="str">
        <f>IFERROR(VLOOKUP(E780,'liquidaciones '!$B$2:$I$1048576,8,0),"")</f>
        <v/>
      </c>
      <c r="AP780" s="433"/>
      <c r="AQ780" s="433" t="s">
        <v>390</v>
      </c>
      <c r="AR780" s="1067" t="s">
        <v>4255</v>
      </c>
      <c r="AS780" s="433"/>
      <c r="AT780" s="966" t="s">
        <v>3994</v>
      </c>
      <c r="AU780" s="964"/>
      <c r="AV780" s="301"/>
    </row>
    <row r="781" spans="3:48" ht="33.75" x14ac:dyDescent="0.25">
      <c r="C781" s="867">
        <v>356</v>
      </c>
      <c r="E781" s="868" t="s">
        <v>4932</v>
      </c>
      <c r="F781" s="441" t="s">
        <v>4167</v>
      </c>
      <c r="G781" s="868">
        <v>1013610856</v>
      </c>
      <c r="H781" s="1005" t="s">
        <v>4933</v>
      </c>
      <c r="I781" s="93">
        <v>24846000</v>
      </c>
      <c r="J781" s="873" t="s">
        <v>4932</v>
      </c>
      <c r="K781" s="295">
        <v>2019</v>
      </c>
      <c r="L781" s="546">
        <v>43593</v>
      </c>
      <c r="M781" s="546">
        <v>43595</v>
      </c>
      <c r="N781" s="546">
        <v>43778</v>
      </c>
      <c r="O781" s="127">
        <f>COUNTA(Modificaciones!I781,Modificaciones!K781,Modificaciones!M781,Modificaciones!O781)</f>
        <v>0</v>
      </c>
      <c r="P781" s="128">
        <f>VLOOKUP(E781,Modificaciones!$B$7:$Q$1819,16,0)</f>
        <v>0</v>
      </c>
      <c r="Q781" s="129">
        <f>COUNTA(Modificaciones!S781,Modificaciones!U781,Modificaciones!W781,Modificaciones!Y781)</f>
        <v>0</v>
      </c>
      <c r="R781" s="130" t="str">
        <f>IF(Modificaciones!Z781=0,"",VLOOKUP(E781,Modificaciones!$B$7:$AA$1419,25,0))</f>
        <v/>
      </c>
      <c r="S781" s="131" t="str">
        <f>IF(Modificaciones!AA781=0,"",VLOOKUP(E781,Modificaciones!$B$7:$AA$1419,26,0))</f>
        <v/>
      </c>
      <c r="T781" s="855">
        <f t="shared" si="177"/>
        <v>43778</v>
      </c>
      <c r="U781" s="62">
        <f t="shared" si="178"/>
        <v>24846000</v>
      </c>
      <c r="V781" s="172">
        <f>VLOOKUP(E781,Modificaciones!$B$7:$AU$819,46,0)</f>
        <v>2898700</v>
      </c>
      <c r="W781" s="93">
        <f t="shared" si="179"/>
        <v>21947300</v>
      </c>
      <c r="X781" s="309" t="s">
        <v>1095</v>
      </c>
      <c r="Y781" s="852">
        <f t="shared" si="180"/>
        <v>0.11666666666666667</v>
      </c>
      <c r="Z781" s="42">
        <f t="shared" ca="1" si="181"/>
        <v>0.26229508196721313</v>
      </c>
      <c r="AA781" s="43">
        <f t="shared" ca="1" si="182"/>
        <v>0.14562841530054646</v>
      </c>
      <c r="AB781" s="202">
        <f t="shared" ca="1" si="183"/>
        <v>135</v>
      </c>
      <c r="AC781" s="44" t="str">
        <f t="shared" si="184"/>
        <v>NO</v>
      </c>
      <c r="AD781" s="760" t="s">
        <v>2898</v>
      </c>
      <c r="AE781" s="871" t="s">
        <v>1256</v>
      </c>
      <c r="AF781" s="173" t="s">
        <v>2178</v>
      </c>
      <c r="AG781" s="173" t="s">
        <v>1439</v>
      </c>
      <c r="AH781" s="281" t="s">
        <v>560</v>
      </c>
      <c r="AI781" s="305" t="s">
        <v>4865</v>
      </c>
      <c r="AJ781" s="868" t="s">
        <v>4866</v>
      </c>
      <c r="AK781" s="181" t="str">
        <f t="shared" ca="1" si="185"/>
        <v>EN EJECUCIÓN</v>
      </c>
      <c r="AL781" s="181" t="s">
        <v>582</v>
      </c>
      <c r="AM781" s="433" t="s">
        <v>391</v>
      </c>
      <c r="AN781" s="848" t="str">
        <f>IFERROR(VLOOKUP(E781,'liquidaciones '!$B$2:$C$1048576,2,0),"NO")</f>
        <v>NO</v>
      </c>
      <c r="AO781" s="944" t="str">
        <f>IFERROR(VLOOKUP(E781,'liquidaciones '!$B$2:$I$1048576,8,0),"")</f>
        <v/>
      </c>
      <c r="AP781" s="433"/>
      <c r="AQ781" s="433" t="s">
        <v>390</v>
      </c>
      <c r="AR781" s="433" t="s">
        <v>4820</v>
      </c>
      <c r="AS781" s="433" t="s">
        <v>4867</v>
      </c>
      <c r="AT781" s="966" t="s">
        <v>560</v>
      </c>
      <c r="AU781" s="964"/>
      <c r="AV781" s="301"/>
    </row>
    <row r="782" spans="3:48" ht="101.25" x14ac:dyDescent="0.25">
      <c r="C782" s="867">
        <v>313</v>
      </c>
      <c r="E782" s="868" t="s">
        <v>4940</v>
      </c>
      <c r="F782" s="441" t="s">
        <v>22</v>
      </c>
      <c r="G782" s="868">
        <v>830112518</v>
      </c>
      <c r="H782" s="1005" t="s">
        <v>4972</v>
      </c>
      <c r="I782" s="93">
        <v>73645000</v>
      </c>
      <c r="J782" s="873" t="s">
        <v>4945</v>
      </c>
      <c r="K782" s="295">
        <v>2019</v>
      </c>
      <c r="L782" s="546">
        <v>43600</v>
      </c>
      <c r="M782" s="546">
        <v>43608</v>
      </c>
      <c r="N782" s="546">
        <v>43973</v>
      </c>
      <c r="O782" s="127">
        <f>COUNTA(Modificaciones!I782,Modificaciones!K782,Modificaciones!M782,Modificaciones!O782)</f>
        <v>0</v>
      </c>
      <c r="P782" s="128">
        <f>VLOOKUP(E782,Modificaciones!$B$7:$Q$1819,16,0)</f>
        <v>0</v>
      </c>
      <c r="Q782" s="129">
        <f>COUNTA(Modificaciones!S782,Modificaciones!U782,Modificaciones!W782,Modificaciones!Y782)</f>
        <v>0</v>
      </c>
      <c r="R782" s="130" t="str">
        <f>IF(Modificaciones!Z782=0,"",VLOOKUP(E782,Modificaciones!$B$7:$AA$1419,25,0))</f>
        <v/>
      </c>
      <c r="S782" s="131" t="str">
        <f>IF(Modificaciones!AA782=0,"",VLOOKUP(E782,Modificaciones!$B$7:$AA$1419,26,0))</f>
        <v/>
      </c>
      <c r="T782" s="855">
        <f t="shared" si="177"/>
        <v>43973</v>
      </c>
      <c r="U782" s="62">
        <f t="shared" si="178"/>
        <v>73645000</v>
      </c>
      <c r="V782" s="172">
        <f>VLOOKUP(E782,Modificaciones!$B$7:$AU$819,46,0)</f>
        <v>0</v>
      </c>
      <c r="W782" s="93">
        <f t="shared" si="179"/>
        <v>73645000</v>
      </c>
      <c r="X782" s="1041" t="s">
        <v>4941</v>
      </c>
      <c r="Y782" s="852">
        <f t="shared" si="180"/>
        <v>0</v>
      </c>
      <c r="Z782" s="42">
        <f t="shared" ca="1" si="181"/>
        <v>9.5890410958904104E-2</v>
      </c>
      <c r="AA782" s="43">
        <f t="shared" ca="1" si="182"/>
        <v>9.5890410958904104E-2</v>
      </c>
      <c r="AB782" s="202">
        <f t="shared" ca="1" si="183"/>
        <v>330</v>
      </c>
      <c r="AC782" s="44" t="str">
        <f t="shared" si="184"/>
        <v>NO</v>
      </c>
      <c r="AD782" s="760" t="s">
        <v>4942</v>
      </c>
      <c r="AE782" s="871" t="s">
        <v>1777</v>
      </c>
      <c r="AF782" s="871" t="s">
        <v>4943</v>
      </c>
      <c r="AG782" s="173" t="s">
        <v>1439</v>
      </c>
      <c r="AH782" s="281" t="s">
        <v>560</v>
      </c>
      <c r="AI782" s="305" t="s">
        <v>4865</v>
      </c>
      <c r="AJ782" s="868" t="s">
        <v>4866</v>
      </c>
      <c r="AK782" s="181" t="str">
        <f t="shared" ca="1" si="185"/>
        <v>EN EJECUCIÓN</v>
      </c>
      <c r="AL782" s="181" t="s">
        <v>582</v>
      </c>
      <c r="AM782" s="433" t="s">
        <v>390</v>
      </c>
      <c r="AN782" s="848" t="str">
        <f>IFERROR(VLOOKUP(E782,'liquidaciones '!$B$2:$C$1048576,2,0),"NO")</f>
        <v>NO</v>
      </c>
      <c r="AO782" s="944" t="str">
        <f>IFERROR(VLOOKUP(E782,'liquidaciones '!$B$2:$I$1048576,8,0),"")</f>
        <v/>
      </c>
      <c r="AP782" s="433"/>
      <c r="AQ782" s="433" t="s">
        <v>390</v>
      </c>
      <c r="AR782" s="1040" t="s">
        <v>4944</v>
      </c>
      <c r="AS782" s="1042" t="s">
        <v>4867</v>
      </c>
      <c r="AT782" s="966" t="s">
        <v>560</v>
      </c>
      <c r="AU782" s="964"/>
      <c r="AV782" s="301"/>
    </row>
    <row r="783" spans="3:48" ht="56.25" x14ac:dyDescent="0.25">
      <c r="C783" s="867">
        <v>133</v>
      </c>
      <c r="E783" s="868" t="s">
        <v>4949</v>
      </c>
      <c r="F783" s="441" t="s">
        <v>2836</v>
      </c>
      <c r="G783" s="868">
        <v>900891247</v>
      </c>
      <c r="H783" s="1005" t="s">
        <v>3936</v>
      </c>
      <c r="I783" s="93">
        <v>71639850</v>
      </c>
      <c r="J783" s="873" t="s">
        <v>4950</v>
      </c>
      <c r="K783" s="295">
        <v>2019</v>
      </c>
      <c r="L783" s="546">
        <v>43601</v>
      </c>
      <c r="M783" s="546">
        <v>43612</v>
      </c>
      <c r="N783" s="546">
        <v>43977</v>
      </c>
      <c r="O783" s="127">
        <f>COUNTA(Modificaciones!I783,Modificaciones!K783,Modificaciones!M783,Modificaciones!O783)</f>
        <v>0</v>
      </c>
      <c r="P783" s="128">
        <f>VLOOKUP(E783,Modificaciones!$B$7:$Q$1819,16,0)</f>
        <v>0</v>
      </c>
      <c r="Q783" s="129">
        <f>COUNTA(Modificaciones!S783,Modificaciones!U783,Modificaciones!W783,Modificaciones!Y783)</f>
        <v>0</v>
      </c>
      <c r="R783" s="130" t="str">
        <f>IF(Modificaciones!Z783=0,"",VLOOKUP(E783,Modificaciones!$B$7:$AA$1419,25,0))</f>
        <v/>
      </c>
      <c r="S783" s="131" t="str">
        <f>IF(Modificaciones!AA783=0,"",VLOOKUP(E783,Modificaciones!$B$7:$AA$1419,26,0))</f>
        <v/>
      </c>
      <c r="T783" s="855">
        <f t="shared" si="177"/>
        <v>43977</v>
      </c>
      <c r="U783" s="62">
        <f t="shared" si="178"/>
        <v>71639850</v>
      </c>
      <c r="V783" s="172">
        <f>VLOOKUP(E783,Modificaciones!$B$7:$AU$819,46,0)</f>
        <v>0</v>
      </c>
      <c r="W783" s="93">
        <f t="shared" si="179"/>
        <v>71639850</v>
      </c>
      <c r="X783" s="1041" t="s">
        <v>4951</v>
      </c>
      <c r="Y783" s="852">
        <f t="shared" si="180"/>
        <v>0</v>
      </c>
      <c r="Z783" s="42">
        <f t="shared" ca="1" si="181"/>
        <v>8.4931506849315067E-2</v>
      </c>
      <c r="AA783" s="43">
        <f t="shared" ca="1" si="182"/>
        <v>8.4931506849315067E-2</v>
      </c>
      <c r="AB783" s="202">
        <f t="shared" ca="1" si="183"/>
        <v>334</v>
      </c>
      <c r="AC783" s="44" t="str">
        <f t="shared" si="184"/>
        <v>NO</v>
      </c>
      <c r="AD783" s="433" t="s">
        <v>1710</v>
      </c>
      <c r="AE783" s="871" t="s">
        <v>1257</v>
      </c>
      <c r="AF783" s="900" t="s">
        <v>4952</v>
      </c>
      <c r="AG783" s="173" t="s">
        <v>1439</v>
      </c>
      <c r="AH783" s="281" t="s">
        <v>560</v>
      </c>
      <c r="AI783" s="305" t="s">
        <v>4865</v>
      </c>
      <c r="AJ783" s="868" t="s">
        <v>4866</v>
      </c>
      <c r="AK783" s="181" t="str">
        <f t="shared" ca="1" si="185"/>
        <v>EN EJECUCIÓN</v>
      </c>
      <c r="AL783" s="310" t="s">
        <v>576</v>
      </c>
      <c r="AM783" s="433" t="s">
        <v>390</v>
      </c>
      <c r="AN783" s="848" t="str">
        <f>IFERROR(VLOOKUP(E783,'liquidaciones '!$B$2:$C$1048576,2,0),"NO")</f>
        <v>NO</v>
      </c>
      <c r="AO783" s="944" t="str">
        <f>IFERROR(VLOOKUP(E783,'liquidaciones '!$B$2:$I$1048576,8,0),"")</f>
        <v/>
      </c>
      <c r="AP783" s="433"/>
      <c r="AQ783" s="433" t="s">
        <v>390</v>
      </c>
      <c r="AR783" s="1068" t="s">
        <v>4944</v>
      </c>
      <c r="AS783" s="1042" t="s">
        <v>4867</v>
      </c>
      <c r="AT783" s="966" t="s">
        <v>560</v>
      </c>
      <c r="AU783" s="964"/>
      <c r="AV783" s="301"/>
    </row>
    <row r="784" spans="3:48" ht="56.25" x14ac:dyDescent="0.25">
      <c r="C784" s="867">
        <v>40</v>
      </c>
      <c r="E784" s="868" t="s">
        <v>4962</v>
      </c>
      <c r="F784" s="441" t="s">
        <v>4963</v>
      </c>
      <c r="G784" s="868">
        <v>890312749</v>
      </c>
      <c r="H784" s="1003" t="s">
        <v>4964</v>
      </c>
      <c r="I784" s="93">
        <v>1474500000</v>
      </c>
      <c r="J784" s="873" t="s">
        <v>4965</v>
      </c>
      <c r="K784" s="295">
        <v>2019</v>
      </c>
      <c r="L784" s="546">
        <v>43608</v>
      </c>
      <c r="M784" s="546">
        <v>43616</v>
      </c>
      <c r="N784" s="546">
        <v>43981</v>
      </c>
      <c r="O784" s="127">
        <f>COUNTA(Modificaciones!I784,Modificaciones!K784,Modificaciones!M784,Modificaciones!O784)</f>
        <v>0</v>
      </c>
      <c r="P784" s="128">
        <f>VLOOKUP(E784,Modificaciones!$B$7:$Q$1819,16,0)</f>
        <v>0</v>
      </c>
      <c r="Q784" s="129">
        <f>COUNTA(Modificaciones!S784,Modificaciones!U784,Modificaciones!W784,Modificaciones!Y784)</f>
        <v>0</v>
      </c>
      <c r="R784" s="130" t="str">
        <f>IF(Modificaciones!Z784=0,"",VLOOKUP(E784,Modificaciones!$B$7:$AA$1419,25,0))</f>
        <v/>
      </c>
      <c r="S784" s="131" t="str">
        <f>IF(Modificaciones!AA784=0,"",VLOOKUP(E784,Modificaciones!$B$7:$AA$1419,26,0))</f>
        <v/>
      </c>
      <c r="T784" s="855">
        <f t="shared" si="177"/>
        <v>43981</v>
      </c>
      <c r="U784" s="62">
        <f t="shared" si="178"/>
        <v>1474500000</v>
      </c>
      <c r="V784" s="172">
        <f>VLOOKUP(E784,Modificaciones!$B$7:$AU$819,46,0)</f>
        <v>0</v>
      </c>
      <c r="W784" s="93">
        <f t="shared" si="179"/>
        <v>1474500000</v>
      </c>
      <c r="X784" s="93" t="s">
        <v>1878</v>
      </c>
      <c r="Y784" s="852">
        <f t="shared" si="180"/>
        <v>0</v>
      </c>
      <c r="Z784" s="42">
        <f t="shared" ca="1" si="181"/>
        <v>7.3972602739726029E-2</v>
      </c>
      <c r="AA784" s="43">
        <f t="shared" ca="1" si="182"/>
        <v>7.3972602739726029E-2</v>
      </c>
      <c r="AB784" s="202">
        <f t="shared" ca="1" si="183"/>
        <v>338</v>
      </c>
      <c r="AC784" s="44" t="str">
        <f t="shared" si="184"/>
        <v>NO</v>
      </c>
      <c r="AD784" s="760" t="s">
        <v>1710</v>
      </c>
      <c r="AE784" s="173" t="s">
        <v>1256</v>
      </c>
      <c r="AF784" s="281" t="s">
        <v>1127</v>
      </c>
      <c r="AG784" s="173"/>
      <c r="AH784" s="281" t="s">
        <v>560</v>
      </c>
      <c r="AI784" s="868"/>
      <c r="AJ784" s="868" t="s">
        <v>4866</v>
      </c>
      <c r="AK784" s="181" t="str">
        <f t="shared" ca="1" si="185"/>
        <v>EN EJECUCIÓN</v>
      </c>
      <c r="AL784" s="441" t="s">
        <v>573</v>
      </c>
      <c r="AM784" s="433" t="s">
        <v>390</v>
      </c>
      <c r="AN784" s="848" t="str">
        <f>IFERROR(VLOOKUP(E784,'liquidaciones '!$B$2:$C$1048576,2,0),"NO")</f>
        <v>NO</v>
      </c>
      <c r="AO784" s="944" t="str">
        <f>IFERROR(VLOOKUP(E784,'liquidaciones '!$B$2:$I$1048576,8,0),"")</f>
        <v/>
      </c>
      <c r="AP784" s="433"/>
      <c r="AQ784" s="433" t="s">
        <v>390</v>
      </c>
      <c r="AR784" s="433" t="s">
        <v>4820</v>
      </c>
      <c r="AS784" s="433"/>
      <c r="AT784" s="966" t="s">
        <v>560</v>
      </c>
      <c r="AU784" s="964"/>
      <c r="AV784" s="301"/>
    </row>
    <row r="785" spans="3:48" ht="67.5" x14ac:dyDescent="0.25">
      <c r="C785" s="867">
        <v>309</v>
      </c>
      <c r="E785" s="868" t="s">
        <v>4966</v>
      </c>
      <c r="F785" s="441" t="s">
        <v>4968</v>
      </c>
      <c r="G785" s="868">
        <v>52514816</v>
      </c>
      <c r="H785" s="1005" t="s">
        <v>4967</v>
      </c>
      <c r="I785" s="93">
        <v>53864000</v>
      </c>
      <c r="J785" s="873" t="s">
        <v>4966</v>
      </c>
      <c r="K785" s="295">
        <v>2019</v>
      </c>
      <c r="L785" s="546">
        <v>43612</v>
      </c>
      <c r="M785" s="546">
        <v>43614</v>
      </c>
      <c r="N785" s="546">
        <v>43830</v>
      </c>
      <c r="O785" s="127">
        <f>COUNTA(Modificaciones!I785,Modificaciones!K785,Modificaciones!M785,Modificaciones!O785)</f>
        <v>0</v>
      </c>
      <c r="P785" s="128">
        <f>VLOOKUP(E785,Modificaciones!$B$7:$Q$1819,16,0)</f>
        <v>0</v>
      </c>
      <c r="Q785" s="129">
        <f>COUNTA(Modificaciones!S785,Modificaciones!U785,Modificaciones!W785,Modificaciones!Y785)</f>
        <v>0</v>
      </c>
      <c r="R785" s="130" t="str">
        <f>IF(Modificaciones!Z785=0,"",VLOOKUP(E785,Modificaciones!$B$7:$AA$1419,25,0))</f>
        <v/>
      </c>
      <c r="S785" s="131" t="str">
        <f>IF(Modificaciones!AA785=0,"",VLOOKUP(E785,Modificaciones!$B$7:$AA$1419,26,0))</f>
        <v/>
      </c>
      <c r="T785" s="855">
        <f t="shared" si="177"/>
        <v>43830</v>
      </c>
      <c r="U785" s="62">
        <f t="shared" si="178"/>
        <v>53864000</v>
      </c>
      <c r="V785" s="172">
        <f>VLOOKUP(E785,Modificaciones!$B$7:$AU$819,46,0)</f>
        <v>0</v>
      </c>
      <c r="W785" s="93">
        <f t="shared" si="179"/>
        <v>53864000</v>
      </c>
      <c r="X785" s="309" t="s">
        <v>1095</v>
      </c>
      <c r="Y785" s="852">
        <f t="shared" si="180"/>
        <v>0</v>
      </c>
      <c r="Z785" s="42">
        <f t="shared" ca="1" si="181"/>
        <v>0.13425925925925927</v>
      </c>
      <c r="AA785" s="43">
        <f t="shared" ca="1" si="182"/>
        <v>0.13425925925925927</v>
      </c>
      <c r="AB785" s="202">
        <f t="shared" ca="1" si="183"/>
        <v>187</v>
      </c>
      <c r="AC785" s="44" t="str">
        <f t="shared" si="184"/>
        <v>NO</v>
      </c>
      <c r="AD785" s="433" t="s">
        <v>2898</v>
      </c>
      <c r="AE785" s="871" t="s">
        <v>1256</v>
      </c>
      <c r="AF785" s="173" t="s">
        <v>4969</v>
      </c>
      <c r="AG785" s="868" t="s">
        <v>4895</v>
      </c>
      <c r="AH785" s="868" t="s">
        <v>561</v>
      </c>
      <c r="AI785" s="868"/>
      <c r="AJ785" s="868" t="s">
        <v>4936</v>
      </c>
      <c r="AK785" s="181" t="str">
        <f t="shared" ca="1" si="185"/>
        <v>EN EJECUCIÓN</v>
      </c>
      <c r="AL785" s="181" t="s">
        <v>582</v>
      </c>
      <c r="AM785" s="433" t="s">
        <v>391</v>
      </c>
      <c r="AN785" s="848" t="str">
        <f>IFERROR(VLOOKUP(E785,'liquidaciones '!$B$2:$C$1048576,2,0),"NO")</f>
        <v>NO</v>
      </c>
      <c r="AO785" s="944" t="str">
        <f>IFERROR(VLOOKUP(E785,'liquidaciones '!$B$2:$I$1048576,8,0),"")</f>
        <v/>
      </c>
      <c r="AP785" s="433"/>
      <c r="AQ785" s="433" t="s">
        <v>390</v>
      </c>
      <c r="AR785" s="433" t="s">
        <v>4819</v>
      </c>
      <c r="AS785" s="433"/>
      <c r="AT785" s="966" t="s">
        <v>4188</v>
      </c>
      <c r="AU785" s="964"/>
      <c r="AV785" s="301"/>
    </row>
    <row r="786" spans="3:48" ht="67.5" x14ac:dyDescent="0.25">
      <c r="C786" s="867">
        <v>309</v>
      </c>
      <c r="E786" s="868" t="s">
        <v>4970</v>
      </c>
      <c r="F786" s="441" t="s">
        <v>2948</v>
      </c>
      <c r="G786" s="868">
        <v>79436393</v>
      </c>
      <c r="H786" s="1005" t="s">
        <v>4967</v>
      </c>
      <c r="I786" s="93">
        <v>53864000</v>
      </c>
      <c r="J786" s="873" t="s">
        <v>4970</v>
      </c>
      <c r="K786" s="295">
        <v>2019</v>
      </c>
      <c r="L786" s="546">
        <v>43612</v>
      </c>
      <c r="M786" s="546">
        <v>43614</v>
      </c>
      <c r="N786" s="546">
        <v>43830</v>
      </c>
      <c r="O786" s="127">
        <f>COUNTA(Modificaciones!I786,Modificaciones!K786,Modificaciones!M786,Modificaciones!O786)</f>
        <v>0</v>
      </c>
      <c r="P786" s="128">
        <f>VLOOKUP(E786,Modificaciones!$B$7:$Q$1819,16,0)</f>
        <v>0</v>
      </c>
      <c r="Q786" s="129">
        <f>COUNTA(Modificaciones!S786,Modificaciones!U786,Modificaciones!W786,Modificaciones!Y786)</f>
        <v>0</v>
      </c>
      <c r="R786" s="130" t="str">
        <f>IF(Modificaciones!Z786=0,"",VLOOKUP(E786,Modificaciones!$B$7:$AA$1419,25,0))</f>
        <v/>
      </c>
      <c r="S786" s="131" t="str">
        <f>IF(Modificaciones!AA762=0,"",VLOOKUP(#REF!,Modificaciones!$B$7:$AA$1419,26,0))</f>
        <v/>
      </c>
      <c r="T786" s="855">
        <f t="shared" si="177"/>
        <v>43830</v>
      </c>
      <c r="U786" s="62">
        <f t="shared" si="178"/>
        <v>53864000</v>
      </c>
      <c r="V786" s="172">
        <f>VLOOKUP(E786,Modificaciones!$B$7:$AU$819,46,0)</f>
        <v>0</v>
      </c>
      <c r="W786" s="93">
        <f t="shared" si="179"/>
        <v>53864000</v>
      </c>
      <c r="X786" s="309" t="s">
        <v>1095</v>
      </c>
      <c r="Y786" s="852">
        <f t="shared" si="180"/>
        <v>0</v>
      </c>
      <c r="Z786" s="42">
        <f t="shared" ca="1" si="181"/>
        <v>0.13425925925925927</v>
      </c>
      <c r="AA786" s="43">
        <f t="shared" ca="1" si="182"/>
        <v>0.13425925925925927</v>
      </c>
      <c r="AB786" s="202">
        <f t="shared" ca="1" si="183"/>
        <v>187</v>
      </c>
      <c r="AC786" s="44" t="str">
        <f t="shared" si="184"/>
        <v>NO</v>
      </c>
      <c r="AD786" s="433" t="s">
        <v>2898</v>
      </c>
      <c r="AE786" s="871" t="s">
        <v>1256</v>
      </c>
      <c r="AF786" s="173" t="s">
        <v>4969</v>
      </c>
      <c r="AG786" s="868" t="s">
        <v>4895</v>
      </c>
      <c r="AH786" s="868" t="s">
        <v>561</v>
      </c>
      <c r="AI786" s="868"/>
      <c r="AJ786" s="868" t="s">
        <v>4936</v>
      </c>
      <c r="AK786" s="181" t="str">
        <f t="shared" ca="1" si="185"/>
        <v>EN EJECUCIÓN</v>
      </c>
      <c r="AL786" s="181" t="s">
        <v>582</v>
      </c>
      <c r="AM786" s="433" t="s">
        <v>391</v>
      </c>
      <c r="AN786" s="848" t="str">
        <f>IFERROR(VLOOKUP(E786,'liquidaciones '!$B$2:$C$1048576,2,0),"NO")</f>
        <v>NO</v>
      </c>
      <c r="AO786" s="944" t="str">
        <f>IFERROR(VLOOKUP(E786,'liquidaciones '!$B$2:$I$1048576,8,0),"")</f>
        <v/>
      </c>
      <c r="AP786" s="433"/>
      <c r="AQ786" s="433" t="s">
        <v>390</v>
      </c>
      <c r="AR786" s="433" t="s">
        <v>4819</v>
      </c>
      <c r="AS786" s="1042"/>
      <c r="AT786" s="966" t="s">
        <v>4188</v>
      </c>
      <c r="AU786" s="964"/>
      <c r="AV786" s="301"/>
    </row>
    <row r="787" spans="3:48" ht="67.5" x14ac:dyDescent="0.25">
      <c r="C787" s="867">
        <v>203</v>
      </c>
      <c r="E787" s="868" t="s">
        <v>4973</v>
      </c>
      <c r="F787" s="441" t="s">
        <v>4974</v>
      </c>
      <c r="G787" s="868">
        <v>19308642</v>
      </c>
      <c r="H787" s="1005" t="s">
        <v>4975</v>
      </c>
      <c r="I787" s="93">
        <v>39752000</v>
      </c>
      <c r="J787" s="873" t="s">
        <v>4980</v>
      </c>
      <c r="K787" s="295">
        <v>2019</v>
      </c>
      <c r="L787" s="546">
        <v>43615</v>
      </c>
      <c r="M787" s="546">
        <v>43614</v>
      </c>
      <c r="N787" s="546">
        <v>43830</v>
      </c>
      <c r="O787" s="127">
        <f>COUNTA(Modificaciones!I787,Modificaciones!K787,Modificaciones!M787,Modificaciones!O787)</f>
        <v>0</v>
      </c>
      <c r="P787" s="128">
        <f>VLOOKUP(E787,Modificaciones!$B$7:$Q$1819,16,0)</f>
        <v>0</v>
      </c>
      <c r="Q787" s="129">
        <f>COUNTA(Modificaciones!S787,Modificaciones!U787,Modificaciones!W787,Modificaciones!Y787)</f>
        <v>0</v>
      </c>
      <c r="R787" s="130" t="str">
        <f>IF(Modificaciones!Z787=0,"",VLOOKUP(E787,Modificaciones!$B$7:$AA$1419,25,0))</f>
        <v/>
      </c>
      <c r="S787" s="131" t="str">
        <f>IF(Modificaciones!AA763=0,"",VLOOKUP(#REF!,Modificaciones!$B$7:$AA$1419,26,0))</f>
        <v/>
      </c>
      <c r="T787" s="855">
        <f t="shared" si="177"/>
        <v>43830</v>
      </c>
      <c r="U787" s="62">
        <f t="shared" si="178"/>
        <v>39752000</v>
      </c>
      <c r="V787" s="172">
        <f>VLOOKUP(E787,Modificaciones!$B$7:$AU$819,46,0)</f>
        <v>0</v>
      </c>
      <c r="W787" s="93">
        <f t="shared" si="179"/>
        <v>39752000</v>
      </c>
      <c r="X787" s="309" t="s">
        <v>1095</v>
      </c>
      <c r="Y787" s="852">
        <f t="shared" si="180"/>
        <v>0</v>
      </c>
      <c r="Z787" s="42">
        <f t="shared" ca="1" si="181"/>
        <v>0.13425925925925927</v>
      </c>
      <c r="AA787" s="43">
        <f t="shared" ca="1" si="182"/>
        <v>0.13425925925925927</v>
      </c>
      <c r="AB787" s="202">
        <f t="shared" ca="1" si="183"/>
        <v>187</v>
      </c>
      <c r="AC787" s="44" t="str">
        <f t="shared" si="184"/>
        <v>NO</v>
      </c>
      <c r="AD787" s="433" t="s">
        <v>2898</v>
      </c>
      <c r="AE787" s="871" t="s">
        <v>1256</v>
      </c>
      <c r="AF787" s="173" t="s">
        <v>4976</v>
      </c>
      <c r="AG787" s="868" t="s">
        <v>4889</v>
      </c>
      <c r="AH787" s="868" t="s">
        <v>560</v>
      </c>
      <c r="AI787" s="868"/>
      <c r="AJ787" s="868" t="s">
        <v>4866</v>
      </c>
      <c r="AK787" s="181" t="str">
        <f t="shared" ca="1" si="185"/>
        <v>EN EJECUCIÓN</v>
      </c>
      <c r="AL787" s="181" t="s">
        <v>582</v>
      </c>
      <c r="AM787" s="433" t="s">
        <v>391</v>
      </c>
      <c r="AN787" s="848" t="str">
        <f>IFERROR(VLOOKUP(E787,'liquidaciones '!$B$2:$C$1048576,2,0),"NO")</f>
        <v>NO</v>
      </c>
      <c r="AO787" s="944" t="str">
        <f>IFERROR(VLOOKUP(E787,'liquidaciones '!$B$2:$I$1048576,8,0),"")</f>
        <v/>
      </c>
      <c r="AP787" s="433"/>
      <c r="AQ787" s="433" t="s">
        <v>390</v>
      </c>
      <c r="AR787" s="1040" t="s">
        <v>4820</v>
      </c>
      <c r="AS787" s="1042"/>
      <c r="AT787" s="966" t="s">
        <v>560</v>
      </c>
      <c r="AU787" s="964"/>
      <c r="AV787" s="301"/>
    </row>
    <row r="788" spans="3:48" ht="67.5" x14ac:dyDescent="0.25">
      <c r="C788" s="867">
        <v>203</v>
      </c>
      <c r="E788" s="868" t="s">
        <v>4977</v>
      </c>
      <c r="F788" s="441" t="s">
        <v>4978</v>
      </c>
      <c r="G788" s="868">
        <v>52557996</v>
      </c>
      <c r="H788" s="1005" t="s">
        <v>4975</v>
      </c>
      <c r="I788" s="93">
        <v>39752000</v>
      </c>
      <c r="J788" s="873" t="s">
        <v>4977</v>
      </c>
      <c r="K788" s="295">
        <v>2019</v>
      </c>
      <c r="L788" s="546">
        <v>43616</v>
      </c>
      <c r="M788" s="546">
        <v>43620</v>
      </c>
      <c r="N788" s="546">
        <v>43830</v>
      </c>
      <c r="O788" s="127">
        <f>COUNTA(Modificaciones!I788,Modificaciones!K788,Modificaciones!M788,Modificaciones!O788)</f>
        <v>0</v>
      </c>
      <c r="P788" s="128">
        <f>VLOOKUP(E788,Modificaciones!$B$7:$Q$1819,16,0)</f>
        <v>0</v>
      </c>
      <c r="Q788" s="129">
        <f>COUNTA(Modificaciones!S788,Modificaciones!U788,Modificaciones!W788,Modificaciones!Y788)</f>
        <v>0</v>
      </c>
      <c r="R788" s="130" t="str">
        <f>IF(Modificaciones!Z788=0,"",VLOOKUP(E788,Modificaciones!$B$7:$AA$1419,25,0))</f>
        <v/>
      </c>
      <c r="S788" s="131" t="str">
        <f>IF(Modificaciones!AA764=0,"",VLOOKUP(#REF!,Modificaciones!$B$7:$AA$1419,26,0))</f>
        <v/>
      </c>
      <c r="T788" s="855">
        <f t="shared" si="177"/>
        <v>43830</v>
      </c>
      <c r="U788" s="62">
        <f t="shared" si="178"/>
        <v>39752000</v>
      </c>
      <c r="V788" s="172">
        <f>VLOOKUP(E788,Modificaciones!$B$7:$AU$819,46,0)</f>
        <v>0</v>
      </c>
      <c r="W788" s="93">
        <f t="shared" si="179"/>
        <v>39752000</v>
      </c>
      <c r="X788" s="309" t="s">
        <v>1095</v>
      </c>
      <c r="Y788" s="852">
        <f t="shared" si="180"/>
        <v>0</v>
      </c>
      <c r="Z788" s="42">
        <f t="shared" ca="1" si="181"/>
        <v>0.10952380952380952</v>
      </c>
      <c r="AA788" s="43">
        <f t="shared" ca="1" si="182"/>
        <v>0.10952380952380952</v>
      </c>
      <c r="AB788" s="202">
        <f t="shared" ca="1" si="183"/>
        <v>187</v>
      </c>
      <c r="AC788" s="44" t="str">
        <f t="shared" si="184"/>
        <v>NO</v>
      </c>
      <c r="AD788" s="433" t="s">
        <v>2898</v>
      </c>
      <c r="AE788" s="871" t="s">
        <v>1256</v>
      </c>
      <c r="AF788" s="173" t="s">
        <v>4976</v>
      </c>
      <c r="AG788" s="868" t="s">
        <v>4889</v>
      </c>
      <c r="AH788" s="868" t="s">
        <v>560</v>
      </c>
      <c r="AI788" s="868"/>
      <c r="AJ788" s="868" t="s">
        <v>4866</v>
      </c>
      <c r="AK788" s="181" t="str">
        <f t="shared" ca="1" si="185"/>
        <v>EN EJECUCIÓN</v>
      </c>
      <c r="AL788" s="181" t="s">
        <v>582</v>
      </c>
      <c r="AM788" s="433" t="s">
        <v>391</v>
      </c>
      <c r="AN788" s="848" t="str">
        <f>IFERROR(VLOOKUP(E788,'liquidaciones '!$B$2:$C$1048576,2,0),"NO")</f>
        <v>NO</v>
      </c>
      <c r="AO788" s="944" t="str">
        <f>IFERROR(VLOOKUP(E788,'liquidaciones '!$B$2:$I$1048576,8,0),"")</f>
        <v/>
      </c>
      <c r="AP788" s="433"/>
      <c r="AQ788" s="433" t="s">
        <v>390</v>
      </c>
      <c r="AR788" s="1070" t="s">
        <v>4820</v>
      </c>
      <c r="AS788" s="1042"/>
      <c r="AT788" s="966" t="s">
        <v>560</v>
      </c>
      <c r="AU788" s="964"/>
      <c r="AV788" s="301"/>
    </row>
    <row r="789" spans="3:48" ht="67.5" x14ac:dyDescent="0.25">
      <c r="C789" s="867">
        <v>384</v>
      </c>
      <c r="E789" s="868" t="s">
        <v>4981</v>
      </c>
      <c r="F789" s="441" t="s">
        <v>4982</v>
      </c>
      <c r="G789" s="868">
        <v>80796990</v>
      </c>
      <c r="H789" s="1005" t="s">
        <v>4983</v>
      </c>
      <c r="I789" s="93">
        <v>33128000</v>
      </c>
      <c r="J789" s="873" t="s">
        <v>4981</v>
      </c>
      <c r="K789" s="295">
        <v>2019</v>
      </c>
      <c r="L789" s="546">
        <v>43613</v>
      </c>
      <c r="M789" s="546">
        <v>43620</v>
      </c>
      <c r="N789" s="546">
        <v>43830</v>
      </c>
      <c r="O789" s="127">
        <f>COUNTA(Modificaciones!I789,Modificaciones!K789,Modificaciones!M789,Modificaciones!O789)</f>
        <v>0</v>
      </c>
      <c r="P789" s="128">
        <f>VLOOKUP(E789,Modificaciones!$B$7:$Q$1819,16,0)</f>
        <v>0</v>
      </c>
      <c r="Q789" s="129">
        <f>COUNTA(Modificaciones!S789,Modificaciones!U789,Modificaciones!W789,Modificaciones!Y789)</f>
        <v>0</v>
      </c>
      <c r="R789" s="130" t="str">
        <f>IF(Modificaciones!Z789=0,"",VLOOKUP(E789,Modificaciones!$B$7:$AA$1419,25,0))</f>
        <v/>
      </c>
      <c r="S789" s="131" t="str">
        <f>IF(Modificaciones!AA765=0,"",VLOOKUP(#REF!,Modificaciones!$B$7:$AA$1419,26,0))</f>
        <v/>
      </c>
      <c r="T789" s="855">
        <f t="shared" si="177"/>
        <v>43830</v>
      </c>
      <c r="U789" s="62">
        <f t="shared" si="178"/>
        <v>33128000</v>
      </c>
      <c r="V789" s="172">
        <f>VLOOKUP(E789,Modificaciones!$B$7:$AU$819,46,0)</f>
        <v>0</v>
      </c>
      <c r="W789" s="93">
        <f t="shared" si="179"/>
        <v>33128000</v>
      </c>
      <c r="X789" s="309" t="s">
        <v>1095</v>
      </c>
      <c r="Y789" s="852">
        <f t="shared" si="180"/>
        <v>0</v>
      </c>
      <c r="Z789" s="42">
        <f t="shared" ca="1" si="181"/>
        <v>0.10952380952380952</v>
      </c>
      <c r="AA789" s="43">
        <f t="shared" ca="1" si="182"/>
        <v>0.10952380952380952</v>
      </c>
      <c r="AB789" s="202">
        <f t="shared" ca="1" si="183"/>
        <v>187</v>
      </c>
      <c r="AC789" s="44" t="str">
        <f t="shared" si="184"/>
        <v>NO</v>
      </c>
      <c r="AD789" s="433" t="s">
        <v>2898</v>
      </c>
      <c r="AE789" s="871" t="s">
        <v>1256</v>
      </c>
      <c r="AF789" s="173" t="s">
        <v>4984</v>
      </c>
      <c r="AG789" s="173" t="s">
        <v>1430</v>
      </c>
      <c r="AH789" s="281" t="s">
        <v>564</v>
      </c>
      <c r="AI789" s="868"/>
      <c r="AJ789" s="868" t="s">
        <v>4257</v>
      </c>
      <c r="AK789" s="181" t="str">
        <f t="shared" ca="1" si="185"/>
        <v>EN EJECUCIÓN</v>
      </c>
      <c r="AL789" s="181" t="s">
        <v>582</v>
      </c>
      <c r="AM789" s="433" t="s">
        <v>391</v>
      </c>
      <c r="AN789" s="848" t="str">
        <f>IFERROR(VLOOKUP(E789,'liquidaciones '!$B$2:$C$1048576,2,0),"NO")</f>
        <v>NO</v>
      </c>
      <c r="AO789" s="944" t="str">
        <f>IFERROR(VLOOKUP(E789,'liquidaciones '!$B$2:$I$1048576,8,0),"")</f>
        <v/>
      </c>
      <c r="AP789" s="433"/>
      <c r="AQ789" s="433" t="s">
        <v>390</v>
      </c>
      <c r="AR789" s="1071" t="s">
        <v>4820</v>
      </c>
      <c r="AS789" s="1042"/>
      <c r="AT789" s="966" t="s">
        <v>3928</v>
      </c>
      <c r="AU789" s="964"/>
      <c r="AV789" s="964"/>
    </row>
    <row r="790" spans="3:48" ht="45" x14ac:dyDescent="0.25">
      <c r="C790" s="867">
        <v>219</v>
      </c>
      <c r="E790" s="868" t="s">
        <v>4985</v>
      </c>
      <c r="F790" s="441" t="s">
        <v>4986</v>
      </c>
      <c r="G790" s="868">
        <v>39812526</v>
      </c>
      <c r="H790" s="1005" t="s">
        <v>3021</v>
      </c>
      <c r="I790" s="93">
        <v>32406000</v>
      </c>
      <c r="J790" s="873" t="s">
        <v>4985</v>
      </c>
      <c r="K790" s="295">
        <v>2019</v>
      </c>
      <c r="L790" s="546">
        <v>43620</v>
      </c>
      <c r="M790" s="546">
        <v>43622</v>
      </c>
      <c r="N790" s="546">
        <v>43804</v>
      </c>
      <c r="O790" s="127">
        <f>COUNTA(Modificaciones!I790,Modificaciones!K790,Modificaciones!M790,Modificaciones!O790)</f>
        <v>0</v>
      </c>
      <c r="P790" s="128">
        <f>VLOOKUP(E790,Modificaciones!$B$7:$Q$1819,16,0)</f>
        <v>0</v>
      </c>
      <c r="Q790" s="129">
        <f>COUNTA(Modificaciones!S790,Modificaciones!U790,Modificaciones!W790,Modificaciones!Y790)</f>
        <v>0</v>
      </c>
      <c r="R790" s="130" t="str">
        <f>IF(Modificaciones!Z790=0,"",VLOOKUP(E790,Modificaciones!$B$7:$AA$1419,25,0))</f>
        <v/>
      </c>
      <c r="S790" s="131" t="str">
        <f>IF(Modificaciones!AA766=0,"",VLOOKUP(#REF!,Modificaciones!$B$7:$AA$1419,26,0))</f>
        <v/>
      </c>
      <c r="T790" s="855">
        <f t="shared" si="177"/>
        <v>43804</v>
      </c>
      <c r="U790" s="62">
        <f t="shared" si="178"/>
        <v>32406000</v>
      </c>
      <c r="V790" s="172">
        <f>VLOOKUP(E790,Modificaciones!$B$7:$AU$819,46,0)</f>
        <v>0</v>
      </c>
      <c r="W790" s="93">
        <f t="shared" si="179"/>
        <v>32406000</v>
      </c>
      <c r="X790" s="309" t="s">
        <v>1095</v>
      </c>
      <c r="Y790" s="852">
        <f t="shared" si="180"/>
        <v>0</v>
      </c>
      <c r="Z790" s="42">
        <f t="shared" ca="1" si="181"/>
        <v>0.11538461538461539</v>
      </c>
      <c r="AA790" s="43">
        <f t="shared" ca="1" si="182"/>
        <v>0.11538461538461539</v>
      </c>
      <c r="AB790" s="202">
        <f t="shared" ca="1" si="183"/>
        <v>161</v>
      </c>
      <c r="AC790" s="44" t="str">
        <f t="shared" si="184"/>
        <v>NO</v>
      </c>
      <c r="AD790" s="433" t="s">
        <v>2898</v>
      </c>
      <c r="AE790" s="871" t="s">
        <v>1256</v>
      </c>
      <c r="AF790" s="173" t="s">
        <v>4987</v>
      </c>
      <c r="AG790" s="868" t="s">
        <v>4988</v>
      </c>
      <c r="AH790" s="868" t="s">
        <v>562</v>
      </c>
      <c r="AI790" s="868"/>
      <c r="AJ790" s="868" t="s">
        <v>4989</v>
      </c>
      <c r="AK790" s="181" t="str">
        <f t="shared" ca="1" si="185"/>
        <v>EN EJECUCIÓN</v>
      </c>
      <c r="AL790" s="181" t="s">
        <v>582</v>
      </c>
      <c r="AM790" s="433" t="s">
        <v>391</v>
      </c>
      <c r="AN790" s="848" t="str">
        <f>IFERROR(VLOOKUP(E790,'liquidaciones '!$B$2:$C$1048576,2,0),"NO")</f>
        <v>NO</v>
      </c>
      <c r="AO790" s="944" t="str">
        <f>IFERROR(VLOOKUP(E790,'liquidaciones '!$B$2:$I$1048576,8,0),"")</f>
        <v/>
      </c>
      <c r="AP790" s="433"/>
      <c r="AQ790" s="433" t="s">
        <v>390</v>
      </c>
      <c r="AR790" s="1071" t="s">
        <v>4820</v>
      </c>
      <c r="AS790" s="1042"/>
      <c r="AT790" s="966" t="s">
        <v>3994</v>
      </c>
      <c r="AU790" s="964"/>
      <c r="AV790" s="964"/>
    </row>
    <row r="791" spans="3:48" ht="39.75" customHeight="1" x14ac:dyDescent="0.25">
      <c r="C791" s="867">
        <v>46</v>
      </c>
      <c r="E791" s="868" t="s">
        <v>4990</v>
      </c>
      <c r="F791" s="441" t="s">
        <v>4991</v>
      </c>
      <c r="G791" s="868">
        <v>900697272</v>
      </c>
      <c r="H791" s="1005" t="s">
        <v>4992</v>
      </c>
      <c r="I791" s="93">
        <v>15219000</v>
      </c>
      <c r="J791" s="873" t="s">
        <v>4995</v>
      </c>
      <c r="K791" s="295">
        <v>2019</v>
      </c>
      <c r="L791" s="546">
        <v>43613</v>
      </c>
      <c r="M791" s="546">
        <v>43626</v>
      </c>
      <c r="N791" s="546">
        <v>43686</v>
      </c>
      <c r="O791" s="127">
        <f>COUNTA(Modificaciones!I791,Modificaciones!K791,Modificaciones!M791,Modificaciones!O791)</f>
        <v>0</v>
      </c>
      <c r="P791" s="128">
        <f>VLOOKUP(E791,Modificaciones!$B$7:$Q$1819,16,0)</f>
        <v>0</v>
      </c>
      <c r="Q791" s="129">
        <f>COUNTA(Modificaciones!S791,Modificaciones!U791,Modificaciones!W791,Modificaciones!Y791)</f>
        <v>0</v>
      </c>
      <c r="R791" s="130" t="str">
        <f>IF(Modificaciones!Z791=0,"",VLOOKUP(E791,Modificaciones!$B$7:$AA$1419,25,0))</f>
        <v/>
      </c>
      <c r="S791" s="131" t="str">
        <f>IF(Modificaciones!AA767=0,"",VLOOKUP(#REF!,Modificaciones!$B$7:$AA$1419,26,0))</f>
        <v/>
      </c>
      <c r="T791" s="855">
        <f t="shared" ref="T791:T794" si="186">MAX(N791,S791)</f>
        <v>43686</v>
      </c>
      <c r="U791" s="62">
        <f t="shared" ref="U791:U794" si="187">I791+P791</f>
        <v>15219000</v>
      </c>
      <c r="V791" s="172">
        <f>VLOOKUP(E791,Modificaciones!$B$7:$AU$819,46,0)</f>
        <v>0</v>
      </c>
      <c r="W791" s="93">
        <f t="shared" ref="W791:W794" si="188">U791-V791</f>
        <v>15219000</v>
      </c>
      <c r="X791" s="309" t="s">
        <v>1895</v>
      </c>
      <c r="Y791" s="852">
        <f t="shared" ref="Y791:Y794" si="189">(V791*100%)/U791</f>
        <v>0</v>
      </c>
      <c r="Z791" s="42">
        <f t="shared" ref="Z791:Z794" ca="1" si="190">IF((($F$3-M791)*100%/(T791-M791))&gt;100%,100%,(($F$3-M791)*100%/(T791-M791)))</f>
        <v>0.28333333333333333</v>
      </c>
      <c r="AA791" s="43">
        <f t="shared" ref="AA791:AA794" ca="1" si="191">Z791-Y791</f>
        <v>0.28333333333333333</v>
      </c>
      <c r="AB791" s="202">
        <f t="shared" ref="AB791:AB794" ca="1" si="192">IF(Z791&lt;100%,T791-$F$3,"")</f>
        <v>43</v>
      </c>
      <c r="AC791" s="44" t="str">
        <f t="shared" ref="AC791:AC794" si="193">IF(Y791&lt;=99.9%,"NO","SI")</f>
        <v>NO</v>
      </c>
      <c r="AD791" s="1072" t="s">
        <v>1712</v>
      </c>
      <c r="AE791" s="871" t="s">
        <v>1256</v>
      </c>
      <c r="AF791" s="871" t="s">
        <v>4993</v>
      </c>
      <c r="AG791" s="868" t="s">
        <v>4889</v>
      </c>
      <c r="AH791" s="868" t="s">
        <v>560</v>
      </c>
      <c r="AI791" s="868"/>
      <c r="AJ791" s="868" t="s">
        <v>4866</v>
      </c>
      <c r="AK791" s="181" t="str">
        <f t="shared" ref="AK791:AK794" ca="1" si="194">IF(T791&gt;=$F$3,"EN EJECUCIÓN","TERMINO")</f>
        <v>EN EJECUCIÓN</v>
      </c>
      <c r="AL791" s="441" t="s">
        <v>2906</v>
      </c>
      <c r="AM791" s="433" t="s">
        <v>391</v>
      </c>
      <c r="AN791" s="848" t="str">
        <f>IFERROR(VLOOKUP(E791,'liquidaciones '!$B$2:$C$1048576,2,0),"NO")</f>
        <v>NO</v>
      </c>
      <c r="AO791" s="944" t="str">
        <f>IFERROR(VLOOKUP(E791,'liquidaciones '!$B$2:$I$1048576,8,0),"")</f>
        <v/>
      </c>
      <c r="AP791" s="433"/>
      <c r="AQ791" s="433" t="s">
        <v>390</v>
      </c>
      <c r="AR791" s="1050" t="s">
        <v>4611</v>
      </c>
      <c r="AS791" s="1042"/>
      <c r="AT791" s="966" t="s">
        <v>560</v>
      </c>
      <c r="AU791" s="964"/>
      <c r="AV791" s="964"/>
    </row>
    <row r="792" spans="3:48" ht="67.5" x14ac:dyDescent="0.25">
      <c r="C792" s="867">
        <v>213</v>
      </c>
      <c r="E792" s="868" t="s">
        <v>4997</v>
      </c>
      <c r="F792" s="441" t="s">
        <v>4998</v>
      </c>
      <c r="G792" s="868">
        <v>900183528</v>
      </c>
      <c r="H792" s="1005" t="s">
        <v>5006</v>
      </c>
      <c r="I792" s="93">
        <v>428000000</v>
      </c>
      <c r="J792" s="873" t="s">
        <v>5000</v>
      </c>
      <c r="K792" s="295">
        <v>2019</v>
      </c>
      <c r="L792" s="546">
        <v>43626</v>
      </c>
      <c r="M792" s="546">
        <v>43633</v>
      </c>
      <c r="N792" s="546">
        <v>43937</v>
      </c>
      <c r="O792" s="127">
        <f>COUNTA(Modificaciones!I792,Modificaciones!K792,Modificaciones!M792,Modificaciones!O792)</f>
        <v>0</v>
      </c>
      <c r="P792" s="128">
        <f>VLOOKUP(E792,Modificaciones!$B$7:$Q$1819,16,0)</f>
        <v>0</v>
      </c>
      <c r="Q792" s="129">
        <f>COUNTA(Modificaciones!S792,Modificaciones!U792,Modificaciones!W792,Modificaciones!Y792)</f>
        <v>0</v>
      </c>
      <c r="R792" s="130" t="str">
        <f>IF(Modificaciones!Z792=0,"",VLOOKUP(E792,Modificaciones!$B$7:$AA$1419,25,0))</f>
        <v/>
      </c>
      <c r="S792" s="131" t="str">
        <f>IF(Modificaciones!AA768=0,"",VLOOKUP(#REF!,Modificaciones!$B$7:$AA$1419,26,0))</f>
        <v/>
      </c>
      <c r="T792" s="855">
        <f t="shared" si="186"/>
        <v>43937</v>
      </c>
      <c r="U792" s="62">
        <f t="shared" si="187"/>
        <v>428000000</v>
      </c>
      <c r="V792" s="172">
        <f>VLOOKUP(E792,Modificaciones!$B$7:$AU$819,46,0)</f>
        <v>0</v>
      </c>
      <c r="W792" s="93">
        <f t="shared" si="188"/>
        <v>428000000</v>
      </c>
      <c r="X792" s="1041" t="s">
        <v>1878</v>
      </c>
      <c r="Y792" s="852">
        <f t="shared" si="189"/>
        <v>0</v>
      </c>
      <c r="Z792" s="42">
        <f t="shared" ca="1" si="190"/>
        <v>3.2894736842105261E-2</v>
      </c>
      <c r="AA792" s="43">
        <f t="shared" ca="1" si="191"/>
        <v>3.2894736842105261E-2</v>
      </c>
      <c r="AB792" s="202">
        <f t="shared" ca="1" si="192"/>
        <v>294</v>
      </c>
      <c r="AC792" s="44" t="str">
        <f t="shared" si="193"/>
        <v>NO</v>
      </c>
      <c r="AD792" s="433" t="s">
        <v>4942</v>
      </c>
      <c r="AE792" s="871" t="s">
        <v>1256</v>
      </c>
      <c r="AF792" s="871" t="s">
        <v>1138</v>
      </c>
      <c r="AG792" s="173" t="s">
        <v>1442</v>
      </c>
      <c r="AH792" s="281" t="s">
        <v>560</v>
      </c>
      <c r="AI792" s="174" t="s">
        <v>1379</v>
      </c>
      <c r="AJ792" s="868" t="s">
        <v>4866</v>
      </c>
      <c r="AK792" s="181" t="str">
        <f t="shared" ca="1" si="194"/>
        <v>EN EJECUCIÓN</v>
      </c>
      <c r="AL792" s="441" t="s">
        <v>4999</v>
      </c>
      <c r="AM792" s="433" t="s">
        <v>390</v>
      </c>
      <c r="AN792" s="848" t="str">
        <f>IFERROR(VLOOKUP(E792,'liquidaciones '!$B$2:$C$1048576,2,0),"NO")</f>
        <v>NO</v>
      </c>
      <c r="AO792" s="944" t="str">
        <f>IFERROR(VLOOKUP(E792,'liquidaciones '!$B$2:$I$1048576,8,0),"")</f>
        <v/>
      </c>
      <c r="AP792" s="433"/>
      <c r="AQ792" s="433" t="s">
        <v>390</v>
      </c>
      <c r="AR792" s="433" t="s">
        <v>4818</v>
      </c>
      <c r="AS792" s="433" t="s">
        <v>1379</v>
      </c>
      <c r="AT792" s="966" t="s">
        <v>560</v>
      </c>
      <c r="AU792" s="964"/>
      <c r="AV792" s="964"/>
    </row>
    <row r="793" spans="3:48" ht="45" x14ac:dyDescent="0.25">
      <c r="C793" s="867">
        <v>47</v>
      </c>
      <c r="E793" s="868" t="s">
        <v>5010</v>
      </c>
      <c r="F793" s="441" t="s">
        <v>2008</v>
      </c>
      <c r="G793" s="893" t="s">
        <v>2476</v>
      </c>
      <c r="H793" s="1005" t="s">
        <v>5011</v>
      </c>
      <c r="I793" s="93">
        <v>119900000</v>
      </c>
      <c r="J793" s="873" t="s">
        <v>5012</v>
      </c>
      <c r="K793" s="295">
        <v>2019</v>
      </c>
      <c r="L793" s="546">
        <v>43627</v>
      </c>
      <c r="M793" s="546">
        <v>43635</v>
      </c>
      <c r="N793" s="546">
        <v>43923</v>
      </c>
      <c r="O793" s="127">
        <f>COUNTA(Modificaciones!I793,Modificaciones!K793,Modificaciones!M793,Modificaciones!O793)</f>
        <v>0</v>
      </c>
      <c r="P793" s="128">
        <f>VLOOKUP(E793,Modificaciones!$B$7:$Q$1819,16,0)</f>
        <v>0</v>
      </c>
      <c r="Q793" s="129">
        <f>COUNTA(Modificaciones!S793,Modificaciones!U793,Modificaciones!W793,Modificaciones!Y793)</f>
        <v>0</v>
      </c>
      <c r="R793" s="130" t="str">
        <f>IF(Modificaciones!Z793=0,"",VLOOKUP(E793,Modificaciones!$B$7:$AA$1419,25,0))</f>
        <v/>
      </c>
      <c r="S793" s="131" t="str">
        <f>IF(Modificaciones!AA769=0,"",VLOOKUP(#REF!,Modificaciones!$B$7:$AA$1419,26,0))</f>
        <v/>
      </c>
      <c r="T793" s="855">
        <f t="shared" si="186"/>
        <v>43923</v>
      </c>
      <c r="U793" s="62">
        <f t="shared" si="187"/>
        <v>119900000</v>
      </c>
      <c r="V793" s="172">
        <f>VLOOKUP(E793,Modificaciones!$B$7:$AU$819,46,0)</f>
        <v>0</v>
      </c>
      <c r="W793" s="93">
        <f t="shared" si="188"/>
        <v>119900000</v>
      </c>
      <c r="X793" s="1041" t="s">
        <v>1095</v>
      </c>
      <c r="Y793" s="852">
        <f t="shared" si="189"/>
        <v>0</v>
      </c>
      <c r="Z793" s="42">
        <f t="shared" ca="1" si="190"/>
        <v>2.7777777777777776E-2</v>
      </c>
      <c r="AA793" s="43">
        <f t="shared" ca="1" si="191"/>
        <v>2.7777777777777776E-2</v>
      </c>
      <c r="AB793" s="202">
        <f t="shared" ca="1" si="192"/>
        <v>280</v>
      </c>
      <c r="AC793" s="44" t="str">
        <f t="shared" si="193"/>
        <v>NO</v>
      </c>
      <c r="AD793" s="433" t="s">
        <v>4942</v>
      </c>
      <c r="AE793" s="871" t="s">
        <v>1256</v>
      </c>
      <c r="AF793" s="871" t="s">
        <v>5013</v>
      </c>
      <c r="AG793" s="173" t="s">
        <v>1442</v>
      </c>
      <c r="AH793" s="281" t="s">
        <v>560</v>
      </c>
      <c r="AI793" s="868" t="s">
        <v>4636</v>
      </c>
      <c r="AJ793" s="868" t="s">
        <v>4866</v>
      </c>
      <c r="AK793" s="181" t="str">
        <f t="shared" ca="1" si="194"/>
        <v>EN EJECUCIÓN</v>
      </c>
      <c r="AL793" s="441" t="s">
        <v>4999</v>
      </c>
      <c r="AM793" s="433" t="s">
        <v>390</v>
      </c>
      <c r="AN793" s="848" t="str">
        <f>IFERROR(VLOOKUP(E793,'liquidaciones '!$B$2:$C$1048576,2,0),"NO")</f>
        <v>NO</v>
      </c>
      <c r="AO793" s="944" t="str">
        <f>IFERROR(VLOOKUP(E793,'liquidaciones '!$B$2:$I$1048576,8,0),"")</f>
        <v/>
      </c>
      <c r="AP793" s="433"/>
      <c r="AQ793" s="433" t="s">
        <v>390</v>
      </c>
      <c r="AR793" s="1050" t="s">
        <v>4820</v>
      </c>
      <c r="AS793" s="433" t="s">
        <v>4636</v>
      </c>
      <c r="AT793" s="966" t="s">
        <v>560</v>
      </c>
      <c r="AU793" s="964"/>
      <c r="AV793" s="964"/>
    </row>
    <row r="794" spans="3:48" ht="45" x14ac:dyDescent="0.25">
      <c r="C794" s="867">
        <v>359</v>
      </c>
      <c r="E794" s="868" t="s">
        <v>5014</v>
      </c>
      <c r="F794" s="441" t="s">
        <v>5015</v>
      </c>
      <c r="G794" s="868">
        <v>51673027</v>
      </c>
      <c r="H794" s="1005" t="s">
        <v>5016</v>
      </c>
      <c r="I794" s="93">
        <v>8239957</v>
      </c>
      <c r="J794" s="873" t="s">
        <v>5014</v>
      </c>
      <c r="K794" s="295">
        <v>2019</v>
      </c>
      <c r="L794" s="546">
        <v>43630</v>
      </c>
      <c r="M794" s="546">
        <v>43636</v>
      </c>
      <c r="N794" s="546">
        <v>43817</v>
      </c>
      <c r="O794" s="127">
        <f>COUNTA(Modificaciones!I794,Modificaciones!K794,Modificaciones!M794,Modificaciones!O794)</f>
        <v>0</v>
      </c>
      <c r="P794" s="128">
        <f>VLOOKUP(E794,Modificaciones!$B$7:$Q$1819,16,0)</f>
        <v>0</v>
      </c>
      <c r="Q794" s="129">
        <f>COUNTA(Modificaciones!S794,Modificaciones!U794,Modificaciones!W794,Modificaciones!Y794)</f>
        <v>0</v>
      </c>
      <c r="R794" s="130" t="str">
        <f>IF(Modificaciones!Z794=0,"",VLOOKUP(E794,Modificaciones!$B$7:$AA$1419,25,0))</f>
        <v/>
      </c>
      <c r="S794" s="131" t="str">
        <f>IF(Modificaciones!AA770=0,"",VLOOKUP(#REF!,Modificaciones!$B$7:$AA$1419,26,0))</f>
        <v/>
      </c>
      <c r="T794" s="855">
        <f t="shared" si="186"/>
        <v>43817</v>
      </c>
      <c r="U794" s="62">
        <f t="shared" si="187"/>
        <v>8239957</v>
      </c>
      <c r="V794" s="172">
        <f>VLOOKUP(E794,Modificaciones!$B$7:$AU$819,46,0)</f>
        <v>0</v>
      </c>
      <c r="W794" s="93">
        <f t="shared" si="188"/>
        <v>8239957</v>
      </c>
      <c r="X794" s="1041" t="s">
        <v>1095</v>
      </c>
      <c r="Y794" s="852">
        <f t="shared" si="189"/>
        <v>0</v>
      </c>
      <c r="Z794" s="42">
        <f t="shared" ca="1" si="190"/>
        <v>3.8674033149171269E-2</v>
      </c>
      <c r="AA794" s="43">
        <f t="shared" ca="1" si="191"/>
        <v>3.8674033149171269E-2</v>
      </c>
      <c r="AB794" s="202">
        <f t="shared" ca="1" si="192"/>
        <v>174</v>
      </c>
      <c r="AC794" s="44" t="str">
        <f t="shared" si="193"/>
        <v>NO</v>
      </c>
      <c r="AD794" s="433" t="s">
        <v>2898</v>
      </c>
      <c r="AE794" s="871" t="s">
        <v>1256</v>
      </c>
      <c r="AF794" s="173" t="s">
        <v>5017</v>
      </c>
      <c r="AG794" s="868" t="s">
        <v>1436</v>
      </c>
      <c r="AH794" s="868" t="s">
        <v>561</v>
      </c>
      <c r="AI794" s="868"/>
      <c r="AJ794" s="441" t="s">
        <v>4936</v>
      </c>
      <c r="AK794" s="181" t="str">
        <f t="shared" ca="1" si="194"/>
        <v>EN EJECUCIÓN</v>
      </c>
      <c r="AL794" s="181" t="s">
        <v>582</v>
      </c>
      <c r="AM794" s="433" t="s">
        <v>391</v>
      </c>
      <c r="AN794" s="848" t="str">
        <f>IFERROR(VLOOKUP(E794,'liquidaciones '!$B$2:$C$1048576,2,0),"NO")</f>
        <v>NO</v>
      </c>
      <c r="AO794" s="944" t="str">
        <f>IFERROR(VLOOKUP(E794,'liquidaciones '!$B$2:$I$1048576,8,0),"")</f>
        <v/>
      </c>
      <c r="AP794" s="433"/>
      <c r="AQ794" s="433" t="s">
        <v>390</v>
      </c>
      <c r="AR794" s="1050" t="s">
        <v>4820</v>
      </c>
      <c r="AS794" s="433"/>
      <c r="AT794" s="966" t="s">
        <v>4188</v>
      </c>
      <c r="AU794" s="964"/>
      <c r="AV794" s="964"/>
    </row>
    <row r="795" spans="3:48" ht="67.5" x14ac:dyDescent="0.25">
      <c r="C795" s="867">
        <v>396</v>
      </c>
      <c r="E795" s="868" t="s">
        <v>5018</v>
      </c>
      <c r="F795" s="441" t="s">
        <v>5019</v>
      </c>
      <c r="G795" s="868">
        <v>51157724</v>
      </c>
      <c r="H795" s="1005" t="s">
        <v>5020</v>
      </c>
      <c r="I795" s="93">
        <v>33054000</v>
      </c>
      <c r="J795" s="873" t="s">
        <v>5018</v>
      </c>
      <c r="K795" s="295">
        <v>2019</v>
      </c>
      <c r="L795" s="546">
        <v>43630</v>
      </c>
      <c r="M795" s="546">
        <v>43636</v>
      </c>
      <c r="N795" s="546">
        <v>43818</v>
      </c>
      <c r="O795" s="127">
        <f>COUNTA(Modificaciones!I795,Modificaciones!K795,Modificaciones!M795,Modificaciones!O795)</f>
        <v>0</v>
      </c>
      <c r="P795" s="128">
        <f>VLOOKUP(E795,Modificaciones!$B$7:$Q$1819,16,0)</f>
        <v>0</v>
      </c>
      <c r="Q795" s="129">
        <f>COUNTA(Modificaciones!S795,Modificaciones!U795,Modificaciones!W795,Modificaciones!Y795)</f>
        <v>0</v>
      </c>
      <c r="R795" s="130" t="str">
        <f>IF(Modificaciones!Z795=0,"",VLOOKUP(E795,Modificaciones!$B$7:$AA$1419,25,0))</f>
        <v/>
      </c>
      <c r="S795" s="131" t="str">
        <f>IF(Modificaciones!AA771=0,"",VLOOKUP(#REF!,Modificaciones!$B$7:$AA$1419,26,0))</f>
        <v/>
      </c>
      <c r="T795" s="855">
        <f t="shared" ref="T795" si="195">MAX(N795,S795)</f>
        <v>43818</v>
      </c>
      <c r="U795" s="62">
        <f t="shared" ref="U795" si="196">I795+P795</f>
        <v>33054000</v>
      </c>
      <c r="V795" s="172">
        <f>VLOOKUP(E795,Modificaciones!$B$7:$AU$819,46,0)</f>
        <v>0</v>
      </c>
      <c r="W795" s="93">
        <f t="shared" ref="W795" si="197">U795-V795</f>
        <v>33054000</v>
      </c>
      <c r="X795" s="1041" t="s">
        <v>1095</v>
      </c>
      <c r="Y795" s="852">
        <f t="shared" ref="Y795" si="198">(V795*100%)/U795</f>
        <v>0</v>
      </c>
      <c r="Z795" s="42">
        <f t="shared" ref="Z795" ca="1" si="199">IF((($F$3-M795)*100%/(T795-M795))&gt;100%,100%,(($F$3-M795)*100%/(T795-M795)))</f>
        <v>3.8461538461538464E-2</v>
      </c>
      <c r="AA795" s="43">
        <f t="shared" ref="AA795" ca="1" si="200">Z795-Y795</f>
        <v>3.8461538461538464E-2</v>
      </c>
      <c r="AB795" s="202">
        <f t="shared" ref="AB795" ca="1" si="201">IF(Z795&lt;100%,T795-$F$3,"")</f>
        <v>175</v>
      </c>
      <c r="AC795" s="44" t="str">
        <f t="shared" ref="AC795" si="202">IF(Y795&lt;=99.9%,"NO","SI")</f>
        <v>NO</v>
      </c>
      <c r="AD795" s="433" t="s">
        <v>2898</v>
      </c>
      <c r="AE795" s="871" t="s">
        <v>1256</v>
      </c>
      <c r="AF795" s="173" t="s">
        <v>5021</v>
      </c>
      <c r="AG795" s="868" t="s">
        <v>5022</v>
      </c>
      <c r="AH795" s="868" t="s">
        <v>563</v>
      </c>
      <c r="AI795" s="868"/>
      <c r="AJ795" s="868" t="s">
        <v>5023</v>
      </c>
      <c r="AK795" s="181" t="str">
        <f t="shared" ref="AK795" ca="1" si="203">IF(T795&gt;=$F$3,"EN EJECUCIÓN","TERMINO")</f>
        <v>EN EJECUCIÓN</v>
      </c>
      <c r="AL795" s="181" t="s">
        <v>582</v>
      </c>
      <c r="AM795" s="433" t="s">
        <v>391</v>
      </c>
      <c r="AN795" s="848" t="str">
        <f>IFERROR(VLOOKUP(E795,'liquidaciones '!$B$2:$C$1048576,2,0),"NO")</f>
        <v>NO</v>
      </c>
      <c r="AO795" s="944" t="str">
        <f>IFERROR(VLOOKUP(E795,'liquidaciones '!$B$2:$I$1048576,8,0),"")</f>
        <v/>
      </c>
      <c r="AP795" s="433"/>
      <c r="AQ795" s="433" t="s">
        <v>390</v>
      </c>
      <c r="AR795" s="1074" t="s">
        <v>4820</v>
      </c>
      <c r="AS795" s="433"/>
      <c r="AT795" s="966" t="s">
        <v>5024</v>
      </c>
      <c r="AU795" s="964"/>
      <c r="AV795" s="964"/>
    </row>
    <row r="796" spans="3:48" ht="45" x14ac:dyDescent="0.25">
      <c r="C796" s="867">
        <v>391</v>
      </c>
      <c r="E796" s="868" t="s">
        <v>5025</v>
      </c>
      <c r="F796" s="441" t="s">
        <v>5026</v>
      </c>
      <c r="G796" s="868">
        <v>1097638347</v>
      </c>
      <c r="H796" s="1005" t="s">
        <v>5027</v>
      </c>
      <c r="I796" s="93">
        <v>10974000</v>
      </c>
      <c r="J796" s="873" t="s">
        <v>5025</v>
      </c>
      <c r="K796" s="295">
        <v>2019</v>
      </c>
      <c r="L796" s="546">
        <v>43630</v>
      </c>
      <c r="M796" s="546">
        <v>43634</v>
      </c>
      <c r="N796" s="546">
        <v>43816</v>
      </c>
      <c r="O796" s="127">
        <f>COUNTA(Modificaciones!I796,Modificaciones!K796,Modificaciones!M796,Modificaciones!O796)</f>
        <v>0</v>
      </c>
      <c r="P796" s="128">
        <f>VLOOKUP(E796,Modificaciones!$B$7:$Q$1819,16,0)</f>
        <v>0</v>
      </c>
      <c r="Q796" s="129">
        <f>COUNTA(Modificaciones!S796,Modificaciones!U796,Modificaciones!W796,Modificaciones!Y796)</f>
        <v>0</v>
      </c>
      <c r="R796" s="130" t="str">
        <f>IF(Modificaciones!Z796=0,"",VLOOKUP(E796,Modificaciones!$B$7:$AA$1419,25,0))</f>
        <v/>
      </c>
      <c r="S796" s="131" t="str">
        <f>IF(Modificaciones!AA772=0,"",VLOOKUP(#REF!,Modificaciones!$B$7:$AA$1419,26,0))</f>
        <v/>
      </c>
      <c r="T796" s="855">
        <f t="shared" ref="T796" si="204">MAX(N796,S796)</f>
        <v>43816</v>
      </c>
      <c r="U796" s="62">
        <f t="shared" ref="U796" si="205">I796+P796</f>
        <v>10974000</v>
      </c>
      <c r="V796" s="172">
        <f>VLOOKUP(E796,Modificaciones!$B$7:$AU$819,46,0)</f>
        <v>0</v>
      </c>
      <c r="W796" s="93">
        <f t="shared" ref="W796" si="206">U796-V796</f>
        <v>10974000</v>
      </c>
      <c r="X796" s="1041" t="s">
        <v>1095</v>
      </c>
      <c r="Y796" s="852">
        <f t="shared" ref="Y796" si="207">(V796*100%)/U796</f>
        <v>0</v>
      </c>
      <c r="Z796" s="42">
        <f t="shared" ref="Z796" ca="1" si="208">IF((($F$3-M796)*100%/(T796-M796))&gt;100%,100%,(($F$3-M796)*100%/(T796-M796)))</f>
        <v>4.9450549450549448E-2</v>
      </c>
      <c r="AA796" s="43">
        <f t="shared" ref="AA796" ca="1" si="209">Z796-Y796</f>
        <v>4.9450549450549448E-2</v>
      </c>
      <c r="AB796" s="202">
        <f t="shared" ref="AB796" ca="1" si="210">IF(Z796&lt;100%,T796-$F$3,"")</f>
        <v>173</v>
      </c>
      <c r="AC796" s="44" t="str">
        <f t="shared" ref="AC796" si="211">IF(Y796&lt;=99.9%,"NO","SI")</f>
        <v>NO</v>
      </c>
      <c r="AD796" s="433" t="s">
        <v>2898</v>
      </c>
      <c r="AE796" s="871" t="s">
        <v>1256</v>
      </c>
      <c r="AF796" s="173" t="s">
        <v>5028</v>
      </c>
      <c r="AG796" s="173" t="s">
        <v>1442</v>
      </c>
      <c r="AH796" s="281" t="s">
        <v>560</v>
      </c>
      <c r="AI796" s="868" t="s">
        <v>4636</v>
      </c>
      <c r="AJ796" s="868" t="s">
        <v>4866</v>
      </c>
      <c r="AK796" s="181" t="str">
        <f t="shared" ref="AK796" ca="1" si="212">IF(T796&gt;=$F$3,"EN EJECUCIÓN","TERMINO")</f>
        <v>EN EJECUCIÓN</v>
      </c>
      <c r="AL796" s="181" t="s">
        <v>582</v>
      </c>
      <c r="AM796" s="433" t="s">
        <v>391</v>
      </c>
      <c r="AN796" s="848" t="str">
        <f>IFERROR(VLOOKUP(E796,'liquidaciones '!$B$2:$C$1048576,2,0),"NO")</f>
        <v>NO</v>
      </c>
      <c r="AO796" s="944" t="str">
        <f>IFERROR(VLOOKUP(E796,'liquidaciones '!$B$2:$I$1048576,8,0),"")</f>
        <v/>
      </c>
      <c r="AP796" s="433"/>
      <c r="AQ796" s="433" t="s">
        <v>390</v>
      </c>
      <c r="AR796" s="1075" t="s">
        <v>4820</v>
      </c>
      <c r="AS796" s="433" t="s">
        <v>4636</v>
      </c>
      <c r="AT796" s="966" t="s">
        <v>560</v>
      </c>
      <c r="AU796" s="964"/>
      <c r="AV796" s="964"/>
    </row>
    <row r="797" spans="3:48" ht="56.25" x14ac:dyDescent="0.25">
      <c r="C797" s="867">
        <v>381</v>
      </c>
      <c r="E797" s="868" t="s">
        <v>5029</v>
      </c>
      <c r="F797" s="441" t="s">
        <v>5030</v>
      </c>
      <c r="G797" s="868">
        <v>79719529</v>
      </c>
      <c r="H797" s="1005" t="s">
        <v>5031</v>
      </c>
      <c r="I797" s="93">
        <v>37807000</v>
      </c>
      <c r="J797" s="873" t="s">
        <v>5029</v>
      </c>
      <c r="K797" s="295">
        <v>2019</v>
      </c>
      <c r="L797" s="546">
        <v>43630</v>
      </c>
      <c r="M797" s="546">
        <v>43634</v>
      </c>
      <c r="N797" s="546">
        <v>43830</v>
      </c>
      <c r="O797" s="127">
        <f>COUNTA(Modificaciones!I797,Modificaciones!K797,Modificaciones!M797,Modificaciones!O797)</f>
        <v>0</v>
      </c>
      <c r="P797" s="128">
        <f>VLOOKUP(E797,Modificaciones!$B$7:$Q$1819,16,0)</f>
        <v>0</v>
      </c>
      <c r="Q797" s="129">
        <f>COUNTA(Modificaciones!S797,Modificaciones!U797,Modificaciones!W797,Modificaciones!Y797)</f>
        <v>0</v>
      </c>
      <c r="R797" s="130" t="str">
        <f>IF(Modificaciones!Z797=0,"",VLOOKUP(E797,Modificaciones!$B$7:$AA$1419,25,0))</f>
        <v/>
      </c>
      <c r="S797" s="131" t="str">
        <f>IF(Modificaciones!AA773=0,"",VLOOKUP(#REF!,Modificaciones!$B$7:$AA$1419,26,0))</f>
        <v/>
      </c>
      <c r="T797" s="855">
        <f t="shared" ref="T797:T860" si="213">MAX(N797,S797)</f>
        <v>43830</v>
      </c>
      <c r="U797" s="62">
        <f t="shared" ref="U797:U860" si="214">I797+P797</f>
        <v>37807000</v>
      </c>
      <c r="V797" s="172">
        <f>VLOOKUP(E797,Modificaciones!$B$7:$AU$819,46,0)</f>
        <v>0</v>
      </c>
      <c r="W797" s="93">
        <f t="shared" ref="W797:W860" si="215">U797-V797</f>
        <v>37807000</v>
      </c>
      <c r="X797" s="1041" t="s">
        <v>1095</v>
      </c>
      <c r="Y797" s="852">
        <f t="shared" ref="Y797:Y860" si="216">(V797*100%)/U797</f>
        <v>0</v>
      </c>
      <c r="Z797" s="42">
        <f t="shared" ref="Z797:Z860" ca="1" si="217">IF((($F$3-M797)*100%/(T797-M797))&gt;100%,100%,(($F$3-M797)*100%/(T797-M797)))</f>
        <v>4.5918367346938778E-2</v>
      </c>
      <c r="AA797" s="43">
        <f t="shared" ref="AA797:AA860" ca="1" si="218">Z797-Y797</f>
        <v>4.5918367346938778E-2</v>
      </c>
      <c r="AB797" s="202">
        <f t="shared" ref="AB797:AB860" ca="1" si="219">IF(Z797&lt;100%,T797-$F$3,"")</f>
        <v>187</v>
      </c>
      <c r="AC797" s="44" t="str">
        <f t="shared" ref="AC797:AC860" si="220">IF(Y797&lt;=99.9%,"NO","SI")</f>
        <v>NO</v>
      </c>
      <c r="AD797" s="433" t="s">
        <v>2898</v>
      </c>
      <c r="AE797" s="871" t="s">
        <v>1256</v>
      </c>
      <c r="AF797" s="173" t="s">
        <v>5032</v>
      </c>
      <c r="AG797" s="173" t="s">
        <v>5033</v>
      </c>
      <c r="AH797" s="281" t="s">
        <v>559</v>
      </c>
      <c r="AI797" s="868"/>
      <c r="AJ797" s="868" t="s">
        <v>4817</v>
      </c>
      <c r="AK797" s="181" t="str">
        <f t="shared" ref="AK797:AK860" ca="1" si="221">IF(T797&gt;=$F$3,"EN EJECUCIÓN","TERMINO")</f>
        <v>EN EJECUCIÓN</v>
      </c>
      <c r="AL797" s="181" t="s">
        <v>582</v>
      </c>
      <c r="AM797" s="433" t="s">
        <v>391</v>
      </c>
      <c r="AN797" s="848" t="str">
        <f>IFERROR(VLOOKUP(E797,'liquidaciones '!$B$2:$C$1048576,2,0),"NO")</f>
        <v>NO</v>
      </c>
      <c r="AO797" s="944" t="str">
        <f>IFERROR(VLOOKUP(E797,'liquidaciones '!$B$2:$I$1048576,8,0),"")</f>
        <v/>
      </c>
      <c r="AP797" s="433"/>
      <c r="AQ797" s="433" t="s">
        <v>390</v>
      </c>
      <c r="AR797" s="1069" t="s">
        <v>4820</v>
      </c>
      <c r="AS797" s="433"/>
      <c r="AT797" s="966" t="s">
        <v>559</v>
      </c>
      <c r="AU797" s="964"/>
      <c r="AV797" s="964"/>
    </row>
    <row r="798" spans="3:48" ht="30" x14ac:dyDescent="0.25">
      <c r="C798" s="867">
        <v>269</v>
      </c>
      <c r="E798" s="868" t="s">
        <v>5034</v>
      </c>
      <c r="F798" s="441" t="s">
        <v>1749</v>
      </c>
      <c r="G798" s="893" t="s">
        <v>1772</v>
      </c>
      <c r="H798" s="1005" t="s">
        <v>2985</v>
      </c>
      <c r="I798" s="93">
        <v>8210580</v>
      </c>
      <c r="J798" s="873" t="s">
        <v>5035</v>
      </c>
      <c r="K798" s="295">
        <v>2019</v>
      </c>
      <c r="L798" s="546">
        <v>43628</v>
      </c>
      <c r="M798" s="546">
        <v>43637</v>
      </c>
      <c r="N798" s="546">
        <v>43697</v>
      </c>
      <c r="O798" s="127">
        <f>COUNTA(Modificaciones!I798,Modificaciones!K798,Modificaciones!M798,Modificaciones!O798)</f>
        <v>0</v>
      </c>
      <c r="P798" s="128">
        <f>VLOOKUP(E798,Modificaciones!$B$7:$Q$1819,16,0)</f>
        <v>0</v>
      </c>
      <c r="Q798" s="129">
        <f>COUNTA(Modificaciones!S798,Modificaciones!U798,Modificaciones!W798,Modificaciones!Y798)</f>
        <v>0</v>
      </c>
      <c r="R798" s="130" t="str">
        <f>IF(Modificaciones!Z798=0,"",VLOOKUP(E798,Modificaciones!$B$7:$AA$1419,25,0))</f>
        <v/>
      </c>
      <c r="S798" s="131" t="str">
        <f>IF(Modificaciones!AA774=0,"",VLOOKUP(#REF!,Modificaciones!$B$7:$AA$1419,26,0))</f>
        <v/>
      </c>
      <c r="T798" s="855">
        <f t="shared" si="213"/>
        <v>43697</v>
      </c>
      <c r="U798" s="62">
        <f t="shared" si="214"/>
        <v>8210580</v>
      </c>
      <c r="V798" s="172">
        <f>VLOOKUP(E798,Modificaciones!$B$7:$AU$819,46,0)</f>
        <v>0</v>
      </c>
      <c r="W798" s="93">
        <f t="shared" si="215"/>
        <v>8210580</v>
      </c>
      <c r="X798" s="1041" t="s">
        <v>5009</v>
      </c>
      <c r="Y798" s="852">
        <f t="shared" si="216"/>
        <v>0</v>
      </c>
      <c r="Z798" s="42">
        <f t="shared" ca="1" si="217"/>
        <v>0.1</v>
      </c>
      <c r="AA798" s="43">
        <f t="shared" ca="1" si="218"/>
        <v>0.1</v>
      </c>
      <c r="AB798" s="202">
        <f t="shared" ca="1" si="219"/>
        <v>54</v>
      </c>
      <c r="AC798" s="44" t="str">
        <f t="shared" si="220"/>
        <v>NO</v>
      </c>
      <c r="AD798" s="1075" t="s">
        <v>1712</v>
      </c>
      <c r="AE798" s="871" t="s">
        <v>1257</v>
      </c>
      <c r="AF798" s="871" t="s">
        <v>5036</v>
      </c>
      <c r="AG798" s="441" t="s">
        <v>1439</v>
      </c>
      <c r="AH798" s="281" t="s">
        <v>560</v>
      </c>
      <c r="AI798" s="868" t="s">
        <v>4865</v>
      </c>
      <c r="AJ798" s="868" t="s">
        <v>4866</v>
      </c>
      <c r="AK798" s="181" t="str">
        <f t="shared" ca="1" si="221"/>
        <v>EN EJECUCIÓN</v>
      </c>
      <c r="AL798" s="441" t="s">
        <v>4500</v>
      </c>
      <c r="AM798" s="433" t="s">
        <v>390</v>
      </c>
      <c r="AN798" s="848" t="str">
        <f>IFERROR(VLOOKUP(E798,'liquidaciones '!$B$2:$C$1048576,2,0),"NO")</f>
        <v>NO</v>
      </c>
      <c r="AO798" s="944" t="str">
        <f>IFERROR(VLOOKUP(E798,'liquidaciones '!$B$2:$I$1048576,8,0),"")</f>
        <v/>
      </c>
      <c r="AP798" s="433"/>
      <c r="AQ798" s="433" t="s">
        <v>390</v>
      </c>
      <c r="AR798" s="1069" t="s">
        <v>4944</v>
      </c>
      <c r="AS798" s="433" t="s">
        <v>4867</v>
      </c>
      <c r="AT798" s="966" t="s">
        <v>560</v>
      </c>
      <c r="AU798" s="964"/>
      <c r="AV798" s="964"/>
    </row>
    <row r="799" spans="3:48" ht="45" x14ac:dyDescent="0.25">
      <c r="C799" s="867">
        <v>359</v>
      </c>
      <c r="E799" s="868" t="s">
        <v>5037</v>
      </c>
      <c r="F799" s="441" t="s">
        <v>5038</v>
      </c>
      <c r="G799" s="868">
        <v>79573092</v>
      </c>
      <c r="H799" s="1005" t="s">
        <v>5016</v>
      </c>
      <c r="I799" s="93">
        <v>8239957</v>
      </c>
      <c r="J799" s="873" t="s">
        <v>5037</v>
      </c>
      <c r="K799" s="295">
        <v>2019</v>
      </c>
      <c r="L799" s="546">
        <v>43630</v>
      </c>
      <c r="M799" s="546"/>
      <c r="N799" s="546"/>
      <c r="O799" s="127">
        <f>COUNTA(Modificaciones!I799,Modificaciones!K799,Modificaciones!M799,Modificaciones!O799)</f>
        <v>0</v>
      </c>
      <c r="P799" s="128">
        <f>VLOOKUP(E799,Modificaciones!$B$7:$Q$1819,16,0)</f>
        <v>0</v>
      </c>
      <c r="Q799" s="129">
        <f>COUNTA(Modificaciones!S799,Modificaciones!U799,Modificaciones!W799,Modificaciones!Y799)</f>
        <v>0</v>
      </c>
      <c r="R799" s="130" t="str">
        <f>IF(Modificaciones!Z799=0,"",VLOOKUP(E799,Modificaciones!$B$7:$AA$1419,25,0))</f>
        <v/>
      </c>
      <c r="S799" s="131" t="str">
        <f>IF(Modificaciones!AA775=0,"",VLOOKUP(#REF!,Modificaciones!$B$7:$AA$1419,26,0))</f>
        <v/>
      </c>
      <c r="T799" s="855">
        <f t="shared" si="213"/>
        <v>0</v>
      </c>
      <c r="U799" s="62">
        <f t="shared" si="214"/>
        <v>8239957</v>
      </c>
      <c r="V799" s="172">
        <f>VLOOKUP(E799,Modificaciones!$B$7:$AU$819,46,0)</f>
        <v>0</v>
      </c>
      <c r="W799" s="93">
        <f t="shared" si="215"/>
        <v>8239957</v>
      </c>
      <c r="X799" s="1041" t="s">
        <v>1095</v>
      </c>
      <c r="Y799" s="852">
        <f t="shared" si="216"/>
        <v>0</v>
      </c>
      <c r="Z799" s="42" t="e">
        <f t="shared" ca="1" si="217"/>
        <v>#DIV/0!</v>
      </c>
      <c r="AA799" s="43" t="e">
        <f t="shared" ca="1" si="218"/>
        <v>#DIV/0!</v>
      </c>
      <c r="AB799" s="202" t="e">
        <f t="shared" ca="1" si="219"/>
        <v>#DIV/0!</v>
      </c>
      <c r="AC799" s="44" t="str">
        <f t="shared" si="220"/>
        <v>NO</v>
      </c>
      <c r="AD799" s="433" t="s">
        <v>2898</v>
      </c>
      <c r="AE799" s="871" t="s">
        <v>1256</v>
      </c>
      <c r="AF799" s="173" t="s">
        <v>5017</v>
      </c>
      <c r="AG799" s="868" t="s">
        <v>1436</v>
      </c>
      <c r="AH799" s="868" t="s">
        <v>561</v>
      </c>
      <c r="AI799" s="868"/>
      <c r="AJ799" s="441" t="s">
        <v>4936</v>
      </c>
      <c r="AK799" s="181" t="str">
        <f t="shared" ca="1" si="221"/>
        <v>TERMINO</v>
      </c>
      <c r="AL799" s="181" t="s">
        <v>582</v>
      </c>
      <c r="AM799" s="433" t="s">
        <v>391</v>
      </c>
      <c r="AN799" s="848" t="str">
        <f>IFERROR(VLOOKUP(E799,'liquidaciones '!$B$2:$C$1048576,2,0),"NO")</f>
        <v>NO</v>
      </c>
      <c r="AO799" s="944" t="str">
        <f>IFERROR(VLOOKUP(E799,'liquidaciones '!$B$2:$I$1048576,8,0),"")</f>
        <v/>
      </c>
      <c r="AP799" s="433"/>
      <c r="AQ799" s="433" t="s">
        <v>390</v>
      </c>
      <c r="AR799" s="1076" t="s">
        <v>4820</v>
      </c>
      <c r="AS799" s="433"/>
      <c r="AT799" s="966" t="s">
        <v>4188</v>
      </c>
      <c r="AU799" s="964"/>
      <c r="AV799" s="964"/>
    </row>
    <row r="800" spans="3:48" ht="33.75" x14ac:dyDescent="0.25">
      <c r="C800" s="867">
        <v>237</v>
      </c>
      <c r="E800" s="868" t="s">
        <v>5039</v>
      </c>
      <c r="F800" s="441" t="s">
        <v>5040</v>
      </c>
      <c r="G800" s="868">
        <v>900380150</v>
      </c>
      <c r="H800" s="1005" t="s">
        <v>5041</v>
      </c>
      <c r="I800" s="93">
        <v>89573700</v>
      </c>
      <c r="J800" s="873" t="s">
        <v>5043</v>
      </c>
      <c r="K800" s="295">
        <v>2019</v>
      </c>
      <c r="L800" s="546">
        <v>43629</v>
      </c>
      <c r="M800" s="546"/>
      <c r="N800" s="546"/>
      <c r="O800" s="127">
        <f>COUNTA(Modificaciones!I800,Modificaciones!K800,Modificaciones!M800,Modificaciones!O800)</f>
        <v>0</v>
      </c>
      <c r="P800" s="128">
        <f>VLOOKUP(E800,Modificaciones!$B$7:$Q$1819,16,0)</f>
        <v>0</v>
      </c>
      <c r="Q800" s="129">
        <f>COUNTA(Modificaciones!S800,Modificaciones!U800,Modificaciones!W800,Modificaciones!Y800)</f>
        <v>0</v>
      </c>
      <c r="R800" s="130" t="str">
        <f>IF(Modificaciones!Z800=0,"",VLOOKUP(E800,Modificaciones!$B$7:$AA$1419,25,0))</f>
        <v/>
      </c>
      <c r="S800" s="131" t="str">
        <f>IF(Modificaciones!AA776=0,"",VLOOKUP(#REF!,Modificaciones!$B$7:$AA$1419,26,0))</f>
        <v/>
      </c>
      <c r="T800" s="855">
        <f t="shared" si="213"/>
        <v>0</v>
      </c>
      <c r="U800" s="62">
        <f t="shared" si="214"/>
        <v>89573700</v>
      </c>
      <c r="V800" s="172">
        <f>VLOOKUP(E800,Modificaciones!$B$7:$AU$819,46,0)</f>
        <v>0</v>
      </c>
      <c r="W800" s="93">
        <f t="shared" si="215"/>
        <v>89573700</v>
      </c>
      <c r="X800" s="1041" t="s">
        <v>1095</v>
      </c>
      <c r="Y800" s="852">
        <f t="shared" si="216"/>
        <v>0</v>
      </c>
      <c r="Z800" s="42" t="e">
        <f t="shared" ca="1" si="217"/>
        <v>#DIV/0!</v>
      </c>
      <c r="AA800" s="43" t="e">
        <f t="shared" ca="1" si="218"/>
        <v>#DIV/0!</v>
      </c>
      <c r="AB800" s="202" t="e">
        <f t="shared" ca="1" si="219"/>
        <v>#DIV/0!</v>
      </c>
      <c r="AC800" s="44" t="str">
        <f t="shared" si="220"/>
        <v>NO</v>
      </c>
      <c r="AD800" s="433" t="s">
        <v>4942</v>
      </c>
      <c r="AE800" s="871" t="s">
        <v>1256</v>
      </c>
      <c r="AF800" s="871" t="s">
        <v>5042</v>
      </c>
      <c r="AG800" s="868" t="s">
        <v>1435</v>
      </c>
      <c r="AH800" s="281" t="s">
        <v>560</v>
      </c>
      <c r="AI800" s="868" t="s">
        <v>4343</v>
      </c>
      <c r="AJ800" s="868" t="s">
        <v>4866</v>
      </c>
      <c r="AK800" s="181" t="str">
        <f t="shared" ca="1" si="221"/>
        <v>TERMINO</v>
      </c>
      <c r="AL800" s="441" t="s">
        <v>4500</v>
      </c>
      <c r="AM800" s="433" t="s">
        <v>390</v>
      </c>
      <c r="AN800" s="848" t="str">
        <f>IFERROR(VLOOKUP(E800,'liquidaciones '!$B$2:$C$1048576,2,0),"NO")</f>
        <v>NO</v>
      </c>
      <c r="AO800" s="944" t="str">
        <f>IFERROR(VLOOKUP(E800,'liquidaciones '!$B$2:$I$1048576,8,0),"")</f>
        <v/>
      </c>
      <c r="AP800" s="433"/>
      <c r="AQ800" s="433" t="s">
        <v>390</v>
      </c>
      <c r="AR800" s="1069" t="s">
        <v>4309</v>
      </c>
      <c r="AS800" s="433" t="s">
        <v>4343</v>
      </c>
      <c r="AT800" s="966" t="s">
        <v>560</v>
      </c>
      <c r="AU800" s="964"/>
      <c r="AV800" s="964"/>
    </row>
    <row r="801" spans="3:48" x14ac:dyDescent="0.25">
      <c r="C801" s="867"/>
      <c r="E801" s="868"/>
      <c r="F801" s="441"/>
      <c r="G801" s="868"/>
      <c r="H801" s="1005"/>
      <c r="I801" s="93"/>
      <c r="J801" s="869"/>
      <c r="K801" s="295"/>
      <c r="L801" s="546"/>
      <c r="M801" s="546"/>
      <c r="N801" s="546"/>
      <c r="O801" s="127">
        <f>COUNTA(Modificaciones!I801,Modificaciones!K801,Modificaciones!M801,Modificaciones!O801)</f>
        <v>0</v>
      </c>
      <c r="P801" s="128">
        <f>VLOOKUP(E801,Modificaciones!$B$7:$Q$1819,16,0)</f>
        <v>0</v>
      </c>
      <c r="Q801" s="129">
        <f>COUNTA(Modificaciones!S801,Modificaciones!U801,Modificaciones!W801,Modificaciones!Y801)</f>
        <v>0</v>
      </c>
      <c r="R801" s="130" t="str">
        <f>IF(Modificaciones!Z801=0,"",VLOOKUP(E801,Modificaciones!$B$7:$AA$1419,25,0))</f>
        <v/>
      </c>
      <c r="S801" s="131" t="str">
        <f>IF(Modificaciones!AA777=0,"",VLOOKUP(#REF!,Modificaciones!$B$7:$AA$1419,26,0))</f>
        <v/>
      </c>
      <c r="T801" s="855">
        <f t="shared" si="213"/>
        <v>0</v>
      </c>
      <c r="U801" s="62">
        <f t="shared" si="214"/>
        <v>0</v>
      </c>
      <c r="V801" s="172">
        <f>VLOOKUP(E801,Modificaciones!$B$7:$AU$819,46,0)</f>
        <v>0</v>
      </c>
      <c r="W801" s="93">
        <f t="shared" si="215"/>
        <v>0</v>
      </c>
      <c r="X801" s="1041"/>
      <c r="Y801" s="852" t="e">
        <f t="shared" si="216"/>
        <v>#DIV/0!</v>
      </c>
      <c r="Z801" s="42" t="e">
        <f t="shared" ca="1" si="217"/>
        <v>#DIV/0!</v>
      </c>
      <c r="AA801" s="43" t="e">
        <f t="shared" ca="1" si="218"/>
        <v>#DIV/0!</v>
      </c>
      <c r="AB801" s="202" t="e">
        <f t="shared" ca="1" si="219"/>
        <v>#DIV/0!</v>
      </c>
      <c r="AC801" s="44" t="e">
        <f t="shared" si="220"/>
        <v>#DIV/0!</v>
      </c>
      <c r="AD801" s="868"/>
      <c r="AE801" s="871"/>
      <c r="AF801" s="871"/>
      <c r="AG801" s="868"/>
      <c r="AH801" s="868"/>
      <c r="AI801" s="868"/>
      <c r="AJ801" s="868"/>
      <c r="AK801" s="181" t="str">
        <f t="shared" ca="1" si="221"/>
        <v>TERMINO</v>
      </c>
      <c r="AL801" s="441"/>
      <c r="AM801" s="433"/>
      <c r="AN801" s="848" t="str">
        <f>IFERROR(VLOOKUP(E801,'liquidaciones '!$B$2:$C$1048576,2,0),"NO")</f>
        <v>NO</v>
      </c>
      <c r="AO801" s="944" t="str">
        <f>IFERROR(VLOOKUP(E801,'liquidaciones '!$B$2:$I$1048576,8,0),"")</f>
        <v/>
      </c>
      <c r="AP801" s="433"/>
      <c r="AQ801" s="433"/>
      <c r="AR801" s="1069"/>
      <c r="AS801" s="433"/>
      <c r="AT801" s="964"/>
      <c r="AU801" s="964"/>
      <c r="AV801" s="964"/>
    </row>
    <row r="802" spans="3:48" x14ac:dyDescent="0.25">
      <c r="C802" s="867"/>
      <c r="E802" s="868"/>
      <c r="F802" s="441"/>
      <c r="G802" s="868"/>
      <c r="H802" s="1005"/>
      <c r="I802" s="93"/>
      <c r="J802" s="869"/>
      <c r="K802" s="295"/>
      <c r="L802" s="546"/>
      <c r="M802" s="546"/>
      <c r="N802" s="546"/>
      <c r="O802" s="127">
        <f>COUNTA(Modificaciones!I802,Modificaciones!K802,Modificaciones!M802,Modificaciones!O802)</f>
        <v>0</v>
      </c>
      <c r="P802" s="128">
        <f>VLOOKUP(E802,Modificaciones!$B$7:$Q$1819,16,0)</f>
        <v>0</v>
      </c>
      <c r="Q802" s="129">
        <f>COUNTA(Modificaciones!S802,Modificaciones!U802,Modificaciones!W802,Modificaciones!Y802)</f>
        <v>0</v>
      </c>
      <c r="R802" s="130" t="str">
        <f>IF(Modificaciones!Z802=0,"",VLOOKUP(E802,Modificaciones!$B$7:$AA$1419,25,0))</f>
        <v/>
      </c>
      <c r="S802" s="131" t="str">
        <f>IF(Modificaciones!AA778=0,"",VLOOKUP(#REF!,Modificaciones!$B$7:$AA$1419,26,0))</f>
        <v/>
      </c>
      <c r="T802" s="855">
        <f t="shared" si="213"/>
        <v>0</v>
      </c>
      <c r="U802" s="62">
        <f t="shared" si="214"/>
        <v>0</v>
      </c>
      <c r="V802" s="172">
        <f>VLOOKUP(E802,Modificaciones!$B$7:$AU$819,46,0)</f>
        <v>0</v>
      </c>
      <c r="W802" s="93">
        <f t="shared" si="215"/>
        <v>0</v>
      </c>
      <c r="X802" s="1041"/>
      <c r="Y802" s="852" t="e">
        <f t="shared" si="216"/>
        <v>#DIV/0!</v>
      </c>
      <c r="Z802" s="42" t="e">
        <f t="shared" ca="1" si="217"/>
        <v>#DIV/0!</v>
      </c>
      <c r="AA802" s="43" t="e">
        <f t="shared" ca="1" si="218"/>
        <v>#DIV/0!</v>
      </c>
      <c r="AB802" s="202" t="e">
        <f t="shared" ca="1" si="219"/>
        <v>#DIV/0!</v>
      </c>
      <c r="AC802" s="44" t="e">
        <f t="shared" si="220"/>
        <v>#DIV/0!</v>
      </c>
      <c r="AD802" s="868"/>
      <c r="AE802" s="871"/>
      <c r="AF802" s="871"/>
      <c r="AG802" s="868"/>
      <c r="AH802" s="868"/>
      <c r="AI802" s="868"/>
      <c r="AJ802" s="868"/>
      <c r="AK802" s="181" t="str">
        <f t="shared" ca="1" si="221"/>
        <v>TERMINO</v>
      </c>
      <c r="AL802" s="441"/>
      <c r="AM802" s="433"/>
      <c r="AN802" s="848" t="str">
        <f>IFERROR(VLOOKUP(E802,'liquidaciones '!$B$2:$C$1048576,2,0),"NO")</f>
        <v>NO</v>
      </c>
      <c r="AO802" s="944" t="str">
        <f>IFERROR(VLOOKUP(E802,'liquidaciones '!$B$2:$I$1048576,8,0),"")</f>
        <v/>
      </c>
      <c r="AP802" s="433"/>
      <c r="AQ802" s="433"/>
      <c r="AR802" s="1069"/>
      <c r="AS802" s="433"/>
      <c r="AT802" s="964"/>
      <c r="AU802" s="964"/>
      <c r="AV802" s="964"/>
    </row>
    <row r="803" spans="3:48" x14ac:dyDescent="0.25">
      <c r="C803" s="867"/>
      <c r="E803" s="868"/>
      <c r="F803" s="441"/>
      <c r="G803" s="868"/>
      <c r="H803" s="1005"/>
      <c r="I803" s="93"/>
      <c r="J803" s="869"/>
      <c r="K803" s="295"/>
      <c r="L803" s="546"/>
      <c r="M803" s="546"/>
      <c r="N803" s="546"/>
      <c r="O803" s="127">
        <f>COUNTA(Modificaciones!I803,Modificaciones!K803,Modificaciones!M803,Modificaciones!O803)</f>
        <v>0</v>
      </c>
      <c r="P803" s="128">
        <f>VLOOKUP(E803,Modificaciones!$B$7:$Q$1819,16,0)</f>
        <v>0</v>
      </c>
      <c r="Q803" s="129">
        <f>COUNTA(Modificaciones!S803,Modificaciones!U803,Modificaciones!W803,Modificaciones!Y803)</f>
        <v>0</v>
      </c>
      <c r="R803" s="130" t="str">
        <f>IF(Modificaciones!Z803=0,"",VLOOKUP(E803,Modificaciones!$B$7:$AA$1419,25,0))</f>
        <v/>
      </c>
      <c r="S803" s="131" t="str">
        <f>IF(Modificaciones!AA779=0,"",VLOOKUP(#REF!,Modificaciones!$B$7:$AA$1419,26,0))</f>
        <v/>
      </c>
      <c r="T803" s="855">
        <f t="shared" si="213"/>
        <v>0</v>
      </c>
      <c r="U803" s="62">
        <f t="shared" si="214"/>
        <v>0</v>
      </c>
      <c r="V803" s="172">
        <f>VLOOKUP(E803,Modificaciones!$B$7:$AU$819,46,0)</f>
        <v>0</v>
      </c>
      <c r="W803" s="93">
        <f t="shared" si="215"/>
        <v>0</v>
      </c>
      <c r="X803" s="1041"/>
      <c r="Y803" s="852" t="e">
        <f t="shared" si="216"/>
        <v>#DIV/0!</v>
      </c>
      <c r="Z803" s="42" t="e">
        <f t="shared" ca="1" si="217"/>
        <v>#DIV/0!</v>
      </c>
      <c r="AA803" s="43" t="e">
        <f t="shared" ca="1" si="218"/>
        <v>#DIV/0!</v>
      </c>
      <c r="AB803" s="202" t="e">
        <f t="shared" ca="1" si="219"/>
        <v>#DIV/0!</v>
      </c>
      <c r="AC803" s="44" t="e">
        <f t="shared" si="220"/>
        <v>#DIV/0!</v>
      </c>
      <c r="AD803" s="868"/>
      <c r="AE803" s="871"/>
      <c r="AF803" s="871"/>
      <c r="AG803" s="868"/>
      <c r="AH803" s="868"/>
      <c r="AI803" s="868"/>
      <c r="AJ803" s="868"/>
      <c r="AK803" s="181" t="str">
        <f t="shared" ca="1" si="221"/>
        <v>TERMINO</v>
      </c>
      <c r="AL803" s="441"/>
      <c r="AM803" s="433"/>
      <c r="AN803" s="848" t="str">
        <f>IFERROR(VLOOKUP(E803,'liquidaciones '!$B$2:$C$1048576,2,0),"NO")</f>
        <v>NO</v>
      </c>
      <c r="AO803" s="944" t="str">
        <f>IFERROR(VLOOKUP(E803,'liquidaciones '!$B$2:$I$1048576,8,0),"")</f>
        <v/>
      </c>
      <c r="AP803" s="433"/>
      <c r="AQ803" s="433"/>
      <c r="AR803" s="1069"/>
      <c r="AS803" s="433"/>
      <c r="AT803" s="964"/>
      <c r="AU803" s="964"/>
      <c r="AV803" s="964"/>
    </row>
    <row r="804" spans="3:48" x14ac:dyDescent="0.25">
      <c r="C804" s="867"/>
      <c r="E804" s="868"/>
      <c r="F804" s="441"/>
      <c r="G804" s="868"/>
      <c r="H804" s="1005"/>
      <c r="I804" s="93"/>
      <c r="J804" s="869"/>
      <c r="K804" s="295"/>
      <c r="L804" s="546"/>
      <c r="M804" s="546"/>
      <c r="N804" s="546"/>
      <c r="O804" s="127">
        <f>COUNTA(Modificaciones!I804,Modificaciones!K804,Modificaciones!M804,Modificaciones!O804)</f>
        <v>0</v>
      </c>
      <c r="P804" s="128">
        <f>VLOOKUP(E804,Modificaciones!$B$7:$Q$1819,16,0)</f>
        <v>0</v>
      </c>
      <c r="Q804" s="129">
        <f>COUNTA(Modificaciones!S804,Modificaciones!U804,Modificaciones!W804,Modificaciones!Y804)</f>
        <v>0</v>
      </c>
      <c r="R804" s="130" t="str">
        <f>IF(Modificaciones!Z804=0,"",VLOOKUP(E804,Modificaciones!$B$7:$AA$1419,25,0))</f>
        <v/>
      </c>
      <c r="S804" s="131" t="str">
        <f>IF(Modificaciones!AA780=0,"",VLOOKUP(#REF!,Modificaciones!$B$7:$AA$1419,26,0))</f>
        <v/>
      </c>
      <c r="T804" s="855">
        <f t="shared" si="213"/>
        <v>0</v>
      </c>
      <c r="U804" s="62">
        <f t="shared" si="214"/>
        <v>0</v>
      </c>
      <c r="V804" s="172">
        <f>VLOOKUP(E804,Modificaciones!$B$7:$AU$819,46,0)</f>
        <v>0</v>
      </c>
      <c r="W804" s="93">
        <f t="shared" si="215"/>
        <v>0</v>
      </c>
      <c r="X804" s="1041"/>
      <c r="Y804" s="852" t="e">
        <f t="shared" si="216"/>
        <v>#DIV/0!</v>
      </c>
      <c r="Z804" s="42" t="e">
        <f t="shared" ca="1" si="217"/>
        <v>#DIV/0!</v>
      </c>
      <c r="AA804" s="43" t="e">
        <f t="shared" ca="1" si="218"/>
        <v>#DIV/0!</v>
      </c>
      <c r="AB804" s="202" t="e">
        <f t="shared" ca="1" si="219"/>
        <v>#DIV/0!</v>
      </c>
      <c r="AC804" s="44" t="e">
        <f t="shared" si="220"/>
        <v>#DIV/0!</v>
      </c>
      <c r="AD804" s="868"/>
      <c r="AE804" s="871"/>
      <c r="AF804" s="871"/>
      <c r="AG804" s="868"/>
      <c r="AH804" s="868"/>
      <c r="AI804" s="868"/>
      <c r="AJ804" s="868"/>
      <c r="AK804" s="181" t="str">
        <f t="shared" ca="1" si="221"/>
        <v>TERMINO</v>
      </c>
      <c r="AL804" s="441"/>
      <c r="AM804" s="433"/>
      <c r="AN804" s="848" t="str">
        <f>IFERROR(VLOOKUP(E804,'liquidaciones '!$B$2:$C$1048576,2,0),"NO")</f>
        <v>NO</v>
      </c>
      <c r="AO804" s="944" t="str">
        <f>IFERROR(VLOOKUP(E804,'liquidaciones '!$B$2:$I$1048576,8,0),"")</f>
        <v/>
      </c>
      <c r="AP804" s="433"/>
      <c r="AQ804" s="433"/>
      <c r="AR804" s="1069"/>
      <c r="AS804" s="433"/>
      <c r="AT804" s="964"/>
      <c r="AU804" s="964"/>
      <c r="AV804" s="964"/>
    </row>
    <row r="805" spans="3:48" x14ac:dyDescent="0.25">
      <c r="C805" s="867"/>
      <c r="E805" s="868"/>
      <c r="F805" s="441"/>
      <c r="G805" s="868"/>
      <c r="H805" s="1005"/>
      <c r="I805" s="93"/>
      <c r="J805" s="869"/>
      <c r="K805" s="295"/>
      <c r="L805" s="546"/>
      <c r="M805" s="546"/>
      <c r="N805" s="546"/>
      <c r="O805" s="127">
        <f>COUNTA(Modificaciones!I805,Modificaciones!K805,Modificaciones!M805,Modificaciones!O805)</f>
        <v>0</v>
      </c>
      <c r="P805" s="128">
        <f>VLOOKUP(E805,Modificaciones!$B$7:$Q$1819,16,0)</f>
        <v>0</v>
      </c>
      <c r="Q805" s="129">
        <f>COUNTA(Modificaciones!S805,Modificaciones!U805,Modificaciones!W805,Modificaciones!Y805)</f>
        <v>0</v>
      </c>
      <c r="R805" s="130" t="str">
        <f>IF(Modificaciones!Z805=0,"",VLOOKUP(E805,Modificaciones!$B$7:$AA$1419,25,0))</f>
        <v/>
      </c>
      <c r="S805" s="131" t="str">
        <f>IF(Modificaciones!AA781=0,"",VLOOKUP(#REF!,Modificaciones!$B$7:$AA$1419,26,0))</f>
        <v/>
      </c>
      <c r="T805" s="855">
        <f t="shared" si="213"/>
        <v>0</v>
      </c>
      <c r="U805" s="62">
        <f t="shared" si="214"/>
        <v>0</v>
      </c>
      <c r="V805" s="172">
        <f>VLOOKUP(E805,Modificaciones!$B$7:$AU$819,46,0)</f>
        <v>0</v>
      </c>
      <c r="W805" s="93">
        <f t="shared" si="215"/>
        <v>0</v>
      </c>
      <c r="X805" s="1041"/>
      <c r="Y805" s="852" t="e">
        <f t="shared" si="216"/>
        <v>#DIV/0!</v>
      </c>
      <c r="Z805" s="42" t="e">
        <f t="shared" ca="1" si="217"/>
        <v>#DIV/0!</v>
      </c>
      <c r="AA805" s="43" t="e">
        <f t="shared" ca="1" si="218"/>
        <v>#DIV/0!</v>
      </c>
      <c r="AB805" s="202" t="e">
        <f t="shared" ca="1" si="219"/>
        <v>#DIV/0!</v>
      </c>
      <c r="AC805" s="44" t="e">
        <f t="shared" si="220"/>
        <v>#DIV/0!</v>
      </c>
      <c r="AD805" s="868"/>
      <c r="AE805" s="871"/>
      <c r="AF805" s="871"/>
      <c r="AG805" s="868"/>
      <c r="AH805" s="868"/>
      <c r="AI805" s="868"/>
      <c r="AJ805" s="868"/>
      <c r="AK805" s="181" t="str">
        <f t="shared" ca="1" si="221"/>
        <v>TERMINO</v>
      </c>
      <c r="AL805" s="441"/>
      <c r="AM805" s="433"/>
      <c r="AN805" s="848" t="str">
        <f>IFERROR(VLOOKUP(E805,'liquidaciones '!$B$2:$C$1048576,2,0),"NO")</f>
        <v>NO</v>
      </c>
      <c r="AO805" s="944" t="str">
        <f>IFERROR(VLOOKUP(E805,'liquidaciones '!$B$2:$I$1048576,8,0),"")</f>
        <v/>
      </c>
      <c r="AP805" s="433"/>
      <c r="AQ805" s="433"/>
      <c r="AR805" s="1069"/>
      <c r="AS805" s="433"/>
      <c r="AT805" s="964"/>
      <c r="AU805" s="964"/>
      <c r="AV805" s="964"/>
    </row>
    <row r="806" spans="3:48" x14ac:dyDescent="0.25">
      <c r="C806" s="867"/>
      <c r="E806" s="868"/>
      <c r="F806" s="441"/>
      <c r="G806" s="868"/>
      <c r="H806" s="1005"/>
      <c r="I806" s="93"/>
      <c r="J806" s="869"/>
      <c r="K806" s="295"/>
      <c r="L806" s="546"/>
      <c r="M806" s="546"/>
      <c r="N806" s="546"/>
      <c r="O806" s="127">
        <f>COUNTA(Modificaciones!I806,Modificaciones!K806,Modificaciones!M806,Modificaciones!O806)</f>
        <v>0</v>
      </c>
      <c r="P806" s="128">
        <f>VLOOKUP(E806,Modificaciones!$B$7:$Q$1819,16,0)</f>
        <v>0</v>
      </c>
      <c r="Q806" s="129">
        <f>COUNTA(Modificaciones!S806,Modificaciones!U806,Modificaciones!W806,Modificaciones!Y806)</f>
        <v>0</v>
      </c>
      <c r="R806" s="130" t="str">
        <f>IF(Modificaciones!Z806=0,"",VLOOKUP(E806,Modificaciones!$B$7:$AA$1419,25,0))</f>
        <v/>
      </c>
      <c r="S806" s="131" t="str">
        <f>IF(Modificaciones!AA782=0,"",VLOOKUP(#REF!,Modificaciones!$B$7:$AA$1419,26,0))</f>
        <v/>
      </c>
      <c r="T806" s="855">
        <f t="shared" si="213"/>
        <v>0</v>
      </c>
      <c r="U806" s="62">
        <f t="shared" si="214"/>
        <v>0</v>
      </c>
      <c r="V806" s="172">
        <f>VLOOKUP(E806,Modificaciones!$B$7:$AU$819,46,0)</f>
        <v>0</v>
      </c>
      <c r="W806" s="93">
        <f t="shared" si="215"/>
        <v>0</v>
      </c>
      <c r="X806" s="1041"/>
      <c r="Y806" s="852" t="e">
        <f t="shared" si="216"/>
        <v>#DIV/0!</v>
      </c>
      <c r="Z806" s="42" t="e">
        <f t="shared" ca="1" si="217"/>
        <v>#DIV/0!</v>
      </c>
      <c r="AA806" s="43" t="e">
        <f t="shared" ca="1" si="218"/>
        <v>#DIV/0!</v>
      </c>
      <c r="AB806" s="202" t="e">
        <f t="shared" ca="1" si="219"/>
        <v>#DIV/0!</v>
      </c>
      <c r="AC806" s="44" t="e">
        <f t="shared" si="220"/>
        <v>#DIV/0!</v>
      </c>
      <c r="AD806" s="868"/>
      <c r="AE806" s="871"/>
      <c r="AF806" s="871"/>
      <c r="AG806" s="868"/>
      <c r="AH806" s="868"/>
      <c r="AI806" s="868"/>
      <c r="AJ806" s="868"/>
      <c r="AK806" s="181" t="str">
        <f t="shared" ca="1" si="221"/>
        <v>TERMINO</v>
      </c>
      <c r="AL806" s="441"/>
      <c r="AM806" s="433"/>
      <c r="AN806" s="848" t="str">
        <f>IFERROR(VLOOKUP(E806,'liquidaciones '!$B$2:$C$1048576,2,0),"NO")</f>
        <v>NO</v>
      </c>
      <c r="AO806" s="944" t="str">
        <f>IFERROR(VLOOKUP(E806,'liquidaciones '!$B$2:$I$1048576,8,0),"")</f>
        <v/>
      </c>
      <c r="AP806" s="433"/>
      <c r="AQ806" s="433"/>
      <c r="AR806" s="1069"/>
      <c r="AS806" s="433"/>
      <c r="AT806" s="964"/>
      <c r="AU806" s="964"/>
      <c r="AV806" s="964"/>
    </row>
    <row r="807" spans="3:48" x14ac:dyDescent="0.25">
      <c r="C807" s="867"/>
      <c r="E807" s="868"/>
      <c r="F807" s="441"/>
      <c r="G807" s="868"/>
      <c r="H807" s="1005"/>
      <c r="I807" s="93"/>
      <c r="J807" s="869"/>
      <c r="K807" s="295"/>
      <c r="L807" s="546"/>
      <c r="M807" s="546"/>
      <c r="N807" s="546"/>
      <c r="O807" s="127">
        <f>COUNTA(Modificaciones!I807,Modificaciones!K807,Modificaciones!M807,Modificaciones!O807)</f>
        <v>0</v>
      </c>
      <c r="P807" s="128">
        <f>VLOOKUP(E807,Modificaciones!$B$7:$Q$1819,16,0)</f>
        <v>0</v>
      </c>
      <c r="Q807" s="129">
        <f>COUNTA(Modificaciones!S807,Modificaciones!U807,Modificaciones!W807,Modificaciones!Y807)</f>
        <v>0</v>
      </c>
      <c r="R807" s="130" t="str">
        <f>IF(Modificaciones!Z807=0,"",VLOOKUP(E807,Modificaciones!$B$7:$AA$1419,25,0))</f>
        <v/>
      </c>
      <c r="S807" s="131" t="str">
        <f>IF(Modificaciones!AA783=0,"",VLOOKUP(#REF!,Modificaciones!$B$7:$AA$1419,26,0))</f>
        <v/>
      </c>
      <c r="T807" s="855">
        <f t="shared" si="213"/>
        <v>0</v>
      </c>
      <c r="U807" s="62">
        <f t="shared" si="214"/>
        <v>0</v>
      </c>
      <c r="V807" s="172">
        <f>VLOOKUP(E807,Modificaciones!$B$7:$AU$819,46,0)</f>
        <v>0</v>
      </c>
      <c r="W807" s="93">
        <f t="shared" si="215"/>
        <v>0</v>
      </c>
      <c r="X807" s="1041"/>
      <c r="Y807" s="852" t="e">
        <f t="shared" si="216"/>
        <v>#DIV/0!</v>
      </c>
      <c r="Z807" s="42" t="e">
        <f t="shared" ca="1" si="217"/>
        <v>#DIV/0!</v>
      </c>
      <c r="AA807" s="43" t="e">
        <f t="shared" ca="1" si="218"/>
        <v>#DIV/0!</v>
      </c>
      <c r="AB807" s="202" t="e">
        <f t="shared" ca="1" si="219"/>
        <v>#DIV/0!</v>
      </c>
      <c r="AC807" s="44" t="e">
        <f t="shared" si="220"/>
        <v>#DIV/0!</v>
      </c>
      <c r="AD807" s="868"/>
      <c r="AE807" s="871"/>
      <c r="AF807" s="871"/>
      <c r="AG807" s="868"/>
      <c r="AH807" s="868"/>
      <c r="AI807" s="868"/>
      <c r="AJ807" s="868"/>
      <c r="AK807" s="181" t="str">
        <f t="shared" ca="1" si="221"/>
        <v>TERMINO</v>
      </c>
      <c r="AL807" s="441"/>
      <c r="AM807" s="433"/>
      <c r="AN807" s="848" t="str">
        <f>IFERROR(VLOOKUP(E807,'liquidaciones '!$B$2:$C$1048576,2,0),"NO")</f>
        <v>NO</v>
      </c>
      <c r="AO807" s="944" t="str">
        <f>IFERROR(VLOOKUP(E807,'liquidaciones '!$B$2:$I$1048576,8,0),"")</f>
        <v/>
      </c>
      <c r="AP807" s="433"/>
      <c r="AQ807" s="433"/>
      <c r="AR807" s="1069"/>
      <c r="AS807" s="433"/>
      <c r="AT807" s="964"/>
      <c r="AU807" s="964"/>
      <c r="AV807" s="964"/>
    </row>
    <row r="808" spans="3:48" x14ac:dyDescent="0.25">
      <c r="C808" s="867"/>
      <c r="E808" s="868"/>
      <c r="F808" s="441"/>
      <c r="G808" s="868"/>
      <c r="H808" s="1005"/>
      <c r="I808" s="93"/>
      <c r="J808" s="869"/>
      <c r="K808" s="295"/>
      <c r="L808" s="546"/>
      <c r="M808" s="546"/>
      <c r="N808" s="546"/>
      <c r="O808" s="127">
        <f>COUNTA(Modificaciones!I808,Modificaciones!K808,Modificaciones!M808,Modificaciones!O808)</f>
        <v>0</v>
      </c>
      <c r="P808" s="128">
        <f>VLOOKUP(E808,Modificaciones!$B$7:$Q$1819,16,0)</f>
        <v>0</v>
      </c>
      <c r="Q808" s="129">
        <f>COUNTA(Modificaciones!S808,Modificaciones!U808,Modificaciones!W808,Modificaciones!Y808)</f>
        <v>0</v>
      </c>
      <c r="R808" s="130" t="str">
        <f>IF(Modificaciones!Z808=0,"",VLOOKUP(E808,Modificaciones!$B$7:$AA$1419,25,0))</f>
        <v/>
      </c>
      <c r="S808" s="131" t="str">
        <f>IF(Modificaciones!AA784=0,"",VLOOKUP(#REF!,Modificaciones!$B$7:$AA$1419,26,0))</f>
        <v/>
      </c>
      <c r="T808" s="855">
        <f t="shared" si="213"/>
        <v>0</v>
      </c>
      <c r="U808" s="62">
        <f t="shared" si="214"/>
        <v>0</v>
      </c>
      <c r="V808" s="172">
        <f>VLOOKUP(E808,Modificaciones!$B$7:$AU$819,46,0)</f>
        <v>0</v>
      </c>
      <c r="W808" s="93">
        <f t="shared" si="215"/>
        <v>0</v>
      </c>
      <c r="X808" s="1041"/>
      <c r="Y808" s="852" t="e">
        <f t="shared" si="216"/>
        <v>#DIV/0!</v>
      </c>
      <c r="Z808" s="42" t="e">
        <f t="shared" ca="1" si="217"/>
        <v>#DIV/0!</v>
      </c>
      <c r="AA808" s="43" t="e">
        <f t="shared" ca="1" si="218"/>
        <v>#DIV/0!</v>
      </c>
      <c r="AB808" s="202" t="e">
        <f t="shared" ca="1" si="219"/>
        <v>#DIV/0!</v>
      </c>
      <c r="AC808" s="44" t="e">
        <f t="shared" si="220"/>
        <v>#DIV/0!</v>
      </c>
      <c r="AD808" s="868"/>
      <c r="AE808" s="871"/>
      <c r="AF808" s="871"/>
      <c r="AG808" s="868"/>
      <c r="AH808" s="868"/>
      <c r="AI808" s="868"/>
      <c r="AJ808" s="868"/>
      <c r="AK808" s="181" t="str">
        <f t="shared" ca="1" si="221"/>
        <v>TERMINO</v>
      </c>
      <c r="AL808" s="441"/>
      <c r="AM808" s="433"/>
      <c r="AN808" s="848" t="str">
        <f>IFERROR(VLOOKUP(E808,'liquidaciones '!$B$2:$C$1048576,2,0),"NO")</f>
        <v>NO</v>
      </c>
      <c r="AO808" s="944" t="str">
        <f>IFERROR(VLOOKUP(E808,'liquidaciones '!$B$2:$I$1048576,8,0),"")</f>
        <v/>
      </c>
      <c r="AP808" s="433"/>
      <c r="AQ808" s="433"/>
      <c r="AR808" s="1069"/>
      <c r="AS808" s="433"/>
      <c r="AT808" s="964"/>
      <c r="AU808" s="964"/>
      <c r="AV808" s="964"/>
    </row>
    <row r="809" spans="3:48" x14ac:dyDescent="0.25">
      <c r="C809" s="867"/>
      <c r="E809" s="868"/>
      <c r="F809" s="441"/>
      <c r="G809" s="868"/>
      <c r="H809" s="1005"/>
      <c r="I809" s="93"/>
      <c r="J809" s="869"/>
      <c r="K809" s="295"/>
      <c r="L809" s="546"/>
      <c r="M809" s="546"/>
      <c r="N809" s="546"/>
      <c r="O809" s="127">
        <f>COUNTA(Modificaciones!I809,Modificaciones!K809,Modificaciones!M809,Modificaciones!O809)</f>
        <v>0</v>
      </c>
      <c r="P809" s="128">
        <f>VLOOKUP(E809,Modificaciones!$B$7:$Q$1819,16,0)</f>
        <v>0</v>
      </c>
      <c r="Q809" s="129">
        <f>COUNTA(Modificaciones!S809,Modificaciones!U809,Modificaciones!W809,Modificaciones!Y809)</f>
        <v>0</v>
      </c>
      <c r="R809" s="130" t="str">
        <f>IF(Modificaciones!Z809=0,"",VLOOKUP(E809,Modificaciones!$B$7:$AA$1419,25,0))</f>
        <v/>
      </c>
      <c r="S809" s="131" t="str">
        <f>IF(Modificaciones!AA785=0,"",VLOOKUP(#REF!,Modificaciones!$B$7:$AA$1419,26,0))</f>
        <v/>
      </c>
      <c r="T809" s="855">
        <f t="shared" si="213"/>
        <v>0</v>
      </c>
      <c r="U809" s="62">
        <f t="shared" si="214"/>
        <v>0</v>
      </c>
      <c r="V809" s="172">
        <f>VLOOKUP(E809,Modificaciones!$B$7:$AU$819,46,0)</f>
        <v>0</v>
      </c>
      <c r="W809" s="93">
        <f t="shared" si="215"/>
        <v>0</v>
      </c>
      <c r="X809" s="1041"/>
      <c r="Y809" s="852" t="e">
        <f t="shared" si="216"/>
        <v>#DIV/0!</v>
      </c>
      <c r="Z809" s="42" t="e">
        <f t="shared" ca="1" si="217"/>
        <v>#DIV/0!</v>
      </c>
      <c r="AA809" s="43" t="e">
        <f t="shared" ca="1" si="218"/>
        <v>#DIV/0!</v>
      </c>
      <c r="AB809" s="202" t="e">
        <f t="shared" ca="1" si="219"/>
        <v>#DIV/0!</v>
      </c>
      <c r="AC809" s="44" t="e">
        <f t="shared" si="220"/>
        <v>#DIV/0!</v>
      </c>
      <c r="AD809" s="868"/>
      <c r="AE809" s="871"/>
      <c r="AF809" s="871"/>
      <c r="AG809" s="868"/>
      <c r="AH809" s="868"/>
      <c r="AI809" s="868"/>
      <c r="AJ809" s="868"/>
      <c r="AK809" s="181" t="str">
        <f t="shared" ca="1" si="221"/>
        <v>TERMINO</v>
      </c>
      <c r="AL809" s="441"/>
      <c r="AM809" s="433"/>
      <c r="AN809" s="848" t="str">
        <f>IFERROR(VLOOKUP(E809,'liquidaciones '!$B$2:$C$1048576,2,0),"NO")</f>
        <v>NO</v>
      </c>
      <c r="AO809" s="944" t="str">
        <f>IFERROR(VLOOKUP(E809,'liquidaciones '!$B$2:$I$1048576,8,0),"")</f>
        <v/>
      </c>
      <c r="AP809" s="433"/>
      <c r="AQ809" s="433"/>
      <c r="AR809" s="1069"/>
      <c r="AS809" s="433"/>
      <c r="AT809" s="964"/>
      <c r="AU809" s="964"/>
      <c r="AV809" s="964"/>
    </row>
    <row r="810" spans="3:48" x14ac:dyDescent="0.25">
      <c r="C810" s="867"/>
      <c r="E810" s="868"/>
      <c r="F810" s="441"/>
      <c r="G810" s="868"/>
      <c r="H810" s="1005"/>
      <c r="I810" s="93"/>
      <c r="J810" s="869"/>
      <c r="K810" s="295"/>
      <c r="L810" s="546"/>
      <c r="M810" s="546"/>
      <c r="N810" s="546"/>
      <c r="O810" s="127">
        <f>COUNTA(Modificaciones!I810,Modificaciones!K810,Modificaciones!M810,Modificaciones!O810)</f>
        <v>0</v>
      </c>
      <c r="P810" s="128">
        <f>VLOOKUP(E810,Modificaciones!$B$7:$Q$1819,16,0)</f>
        <v>0</v>
      </c>
      <c r="Q810" s="129">
        <f>COUNTA(Modificaciones!S810,Modificaciones!U810,Modificaciones!W810,Modificaciones!Y810)</f>
        <v>0</v>
      </c>
      <c r="R810" s="130" t="str">
        <f>IF(Modificaciones!Z810=0,"",VLOOKUP(E810,Modificaciones!$B$7:$AA$1419,25,0))</f>
        <v/>
      </c>
      <c r="S810" s="131" t="str">
        <f>IF(Modificaciones!AA786=0,"",VLOOKUP(#REF!,Modificaciones!$B$7:$AA$1419,26,0))</f>
        <v/>
      </c>
      <c r="T810" s="855">
        <f t="shared" si="213"/>
        <v>0</v>
      </c>
      <c r="U810" s="62">
        <f t="shared" si="214"/>
        <v>0</v>
      </c>
      <c r="V810" s="172">
        <f>VLOOKUP(E810,Modificaciones!$B$7:$AU$819,46,0)</f>
        <v>0</v>
      </c>
      <c r="W810" s="93">
        <f t="shared" si="215"/>
        <v>0</v>
      </c>
      <c r="X810" s="1041"/>
      <c r="Y810" s="852" t="e">
        <f t="shared" si="216"/>
        <v>#DIV/0!</v>
      </c>
      <c r="Z810" s="42" t="e">
        <f t="shared" ca="1" si="217"/>
        <v>#DIV/0!</v>
      </c>
      <c r="AA810" s="43" t="e">
        <f t="shared" ca="1" si="218"/>
        <v>#DIV/0!</v>
      </c>
      <c r="AB810" s="202" t="e">
        <f t="shared" ca="1" si="219"/>
        <v>#DIV/0!</v>
      </c>
      <c r="AC810" s="44" t="e">
        <f t="shared" si="220"/>
        <v>#DIV/0!</v>
      </c>
      <c r="AD810" s="868"/>
      <c r="AE810" s="871"/>
      <c r="AF810" s="871"/>
      <c r="AG810" s="868"/>
      <c r="AH810" s="868"/>
      <c r="AI810" s="868"/>
      <c r="AJ810" s="868"/>
      <c r="AK810" s="181" t="str">
        <f t="shared" ca="1" si="221"/>
        <v>TERMINO</v>
      </c>
      <c r="AL810" s="441"/>
      <c r="AM810" s="433"/>
      <c r="AN810" s="848" t="str">
        <f>IFERROR(VLOOKUP(E810,'liquidaciones '!$B$2:$C$1048576,2,0),"NO")</f>
        <v>NO</v>
      </c>
      <c r="AO810" s="944" t="str">
        <f>IFERROR(VLOOKUP(E810,'liquidaciones '!$B$2:$I$1048576,8,0),"")</f>
        <v/>
      </c>
      <c r="AP810" s="433"/>
      <c r="AQ810" s="433"/>
      <c r="AR810" s="1069"/>
      <c r="AS810" s="433"/>
      <c r="AT810" s="964"/>
      <c r="AU810" s="964"/>
      <c r="AV810" s="964"/>
    </row>
    <row r="811" spans="3:48" x14ac:dyDescent="0.25">
      <c r="C811" s="867"/>
      <c r="E811" s="868"/>
      <c r="F811" s="441"/>
      <c r="G811" s="868"/>
      <c r="H811" s="1005"/>
      <c r="I811" s="93"/>
      <c r="J811" s="869"/>
      <c r="K811" s="295"/>
      <c r="L811" s="546"/>
      <c r="M811" s="546"/>
      <c r="N811" s="546"/>
      <c r="O811" s="127">
        <f>COUNTA(Modificaciones!I811,Modificaciones!K811,Modificaciones!M811,Modificaciones!O811)</f>
        <v>0</v>
      </c>
      <c r="P811" s="128">
        <f>VLOOKUP(E811,Modificaciones!$B$7:$Q$1819,16,0)</f>
        <v>0</v>
      </c>
      <c r="Q811" s="129">
        <f>COUNTA(Modificaciones!S811,Modificaciones!U811,Modificaciones!W811,Modificaciones!Y811)</f>
        <v>0</v>
      </c>
      <c r="R811" s="130" t="str">
        <f>IF(Modificaciones!Z811=0,"",VLOOKUP(E811,Modificaciones!$B$7:$AA$1419,25,0))</f>
        <v/>
      </c>
      <c r="S811" s="131" t="str">
        <f>IF(Modificaciones!AA787=0,"",VLOOKUP(#REF!,Modificaciones!$B$7:$AA$1419,26,0))</f>
        <v/>
      </c>
      <c r="T811" s="855">
        <f t="shared" si="213"/>
        <v>0</v>
      </c>
      <c r="U811" s="62">
        <f t="shared" si="214"/>
        <v>0</v>
      </c>
      <c r="V811" s="172">
        <f>VLOOKUP(E811,Modificaciones!$B$7:$AU$819,46,0)</f>
        <v>0</v>
      </c>
      <c r="W811" s="93">
        <f t="shared" si="215"/>
        <v>0</v>
      </c>
      <c r="X811" s="1041"/>
      <c r="Y811" s="852" t="e">
        <f t="shared" si="216"/>
        <v>#DIV/0!</v>
      </c>
      <c r="Z811" s="42" t="e">
        <f t="shared" ca="1" si="217"/>
        <v>#DIV/0!</v>
      </c>
      <c r="AA811" s="43" t="e">
        <f t="shared" ca="1" si="218"/>
        <v>#DIV/0!</v>
      </c>
      <c r="AB811" s="202" t="e">
        <f t="shared" ca="1" si="219"/>
        <v>#DIV/0!</v>
      </c>
      <c r="AC811" s="44" t="e">
        <f t="shared" si="220"/>
        <v>#DIV/0!</v>
      </c>
      <c r="AD811" s="868"/>
      <c r="AE811" s="871"/>
      <c r="AF811" s="871"/>
      <c r="AG811" s="868"/>
      <c r="AH811" s="868"/>
      <c r="AI811" s="868"/>
      <c r="AJ811" s="868"/>
      <c r="AK811" s="181" t="str">
        <f t="shared" ca="1" si="221"/>
        <v>TERMINO</v>
      </c>
      <c r="AL811" s="441"/>
      <c r="AM811" s="433"/>
      <c r="AN811" s="848" t="str">
        <f>IFERROR(VLOOKUP(E811,'liquidaciones '!$B$2:$C$1048576,2,0),"NO")</f>
        <v>NO</v>
      </c>
      <c r="AO811" s="944" t="str">
        <f>IFERROR(VLOOKUP(E811,'liquidaciones '!$B$2:$I$1048576,8,0),"")</f>
        <v/>
      </c>
      <c r="AP811" s="433"/>
      <c r="AQ811" s="433"/>
      <c r="AR811" s="1069"/>
      <c r="AS811" s="433"/>
      <c r="AT811" s="964"/>
      <c r="AU811" s="964"/>
      <c r="AV811" s="964"/>
    </row>
    <row r="812" spans="3:48" x14ac:dyDescent="0.25">
      <c r="C812" s="867"/>
      <c r="E812" s="868"/>
      <c r="F812" s="441"/>
      <c r="G812" s="868"/>
      <c r="H812" s="1005"/>
      <c r="I812" s="93"/>
      <c r="J812" s="869"/>
      <c r="K812" s="295"/>
      <c r="L812" s="546"/>
      <c r="M812" s="546"/>
      <c r="N812" s="546"/>
      <c r="O812" s="127">
        <f>COUNTA(Modificaciones!I812,Modificaciones!K812,Modificaciones!M812,Modificaciones!O812)</f>
        <v>0</v>
      </c>
      <c r="P812" s="128">
        <f>VLOOKUP(E812,Modificaciones!$B$7:$Q$1819,16,0)</f>
        <v>0</v>
      </c>
      <c r="Q812" s="129">
        <f>COUNTA(Modificaciones!S812,Modificaciones!U812,Modificaciones!W812,Modificaciones!Y812)</f>
        <v>0</v>
      </c>
      <c r="R812" s="130" t="str">
        <f>IF(Modificaciones!Z812=0,"",VLOOKUP(E812,Modificaciones!$B$7:$AA$1419,25,0))</f>
        <v/>
      </c>
      <c r="S812" s="131" t="str">
        <f>IF(Modificaciones!AA788=0,"",VLOOKUP(#REF!,Modificaciones!$B$7:$AA$1419,26,0))</f>
        <v/>
      </c>
      <c r="T812" s="855">
        <f t="shared" si="213"/>
        <v>0</v>
      </c>
      <c r="U812" s="62">
        <f t="shared" si="214"/>
        <v>0</v>
      </c>
      <c r="V812" s="172">
        <f>VLOOKUP(E812,Modificaciones!$B$7:$AU$819,46,0)</f>
        <v>0</v>
      </c>
      <c r="W812" s="93">
        <f t="shared" si="215"/>
        <v>0</v>
      </c>
      <c r="X812" s="1041"/>
      <c r="Y812" s="852" t="e">
        <f t="shared" si="216"/>
        <v>#DIV/0!</v>
      </c>
      <c r="Z812" s="42" t="e">
        <f t="shared" ca="1" si="217"/>
        <v>#DIV/0!</v>
      </c>
      <c r="AA812" s="43" t="e">
        <f t="shared" ca="1" si="218"/>
        <v>#DIV/0!</v>
      </c>
      <c r="AB812" s="202" t="e">
        <f t="shared" ca="1" si="219"/>
        <v>#DIV/0!</v>
      </c>
      <c r="AC812" s="44" t="e">
        <f t="shared" si="220"/>
        <v>#DIV/0!</v>
      </c>
      <c r="AD812" s="868"/>
      <c r="AE812" s="871"/>
      <c r="AF812" s="871"/>
      <c r="AG812" s="868"/>
      <c r="AH812" s="868"/>
      <c r="AI812" s="868"/>
      <c r="AJ812" s="868"/>
      <c r="AK812" s="181" t="str">
        <f t="shared" ca="1" si="221"/>
        <v>TERMINO</v>
      </c>
      <c r="AL812" s="441"/>
      <c r="AM812" s="433"/>
      <c r="AN812" s="848" t="str">
        <f>IFERROR(VLOOKUP(E812,'liquidaciones '!$B$2:$C$1048576,2,0),"NO")</f>
        <v>NO</v>
      </c>
      <c r="AO812" s="944" t="str">
        <f>IFERROR(VLOOKUP(E812,'liquidaciones '!$B$2:$I$1048576,8,0),"")</f>
        <v/>
      </c>
      <c r="AP812" s="433"/>
      <c r="AQ812" s="433"/>
      <c r="AR812" s="1069"/>
      <c r="AS812" s="433"/>
      <c r="AT812" s="964"/>
      <c r="AU812" s="964"/>
      <c r="AV812" s="964"/>
    </row>
    <row r="813" spans="3:48" x14ac:dyDescent="0.25">
      <c r="C813" s="867"/>
      <c r="E813" s="868"/>
      <c r="F813" s="441"/>
      <c r="G813" s="868"/>
      <c r="H813" s="1005"/>
      <c r="I813" s="93"/>
      <c r="J813" s="869"/>
      <c r="K813" s="295"/>
      <c r="L813" s="546"/>
      <c r="M813" s="546"/>
      <c r="N813" s="546"/>
      <c r="O813" s="127">
        <f>COUNTA(Modificaciones!I813,Modificaciones!K813,Modificaciones!M813,Modificaciones!O813)</f>
        <v>0</v>
      </c>
      <c r="P813" s="128">
        <f>VLOOKUP(E813,Modificaciones!$B$7:$Q$1819,16,0)</f>
        <v>0</v>
      </c>
      <c r="Q813" s="129">
        <f>COUNTA(Modificaciones!S813,Modificaciones!U813,Modificaciones!W813,Modificaciones!Y813)</f>
        <v>0</v>
      </c>
      <c r="R813" s="130" t="str">
        <f>IF(Modificaciones!Z813=0,"",VLOOKUP(E813,Modificaciones!$B$7:$AA$1419,25,0))</f>
        <v/>
      </c>
      <c r="S813" s="131" t="str">
        <f>IF(Modificaciones!AA789=0,"",VLOOKUP(#REF!,Modificaciones!$B$7:$AA$1419,26,0))</f>
        <v/>
      </c>
      <c r="T813" s="855">
        <f t="shared" si="213"/>
        <v>0</v>
      </c>
      <c r="U813" s="62">
        <f t="shared" si="214"/>
        <v>0</v>
      </c>
      <c r="V813" s="172">
        <f>VLOOKUP(E813,Modificaciones!$B$7:$AU$819,46,0)</f>
        <v>0</v>
      </c>
      <c r="W813" s="93">
        <f t="shared" si="215"/>
        <v>0</v>
      </c>
      <c r="X813" s="1041"/>
      <c r="Y813" s="852" t="e">
        <f t="shared" si="216"/>
        <v>#DIV/0!</v>
      </c>
      <c r="Z813" s="42" t="e">
        <f t="shared" ca="1" si="217"/>
        <v>#DIV/0!</v>
      </c>
      <c r="AA813" s="43" t="e">
        <f t="shared" ca="1" si="218"/>
        <v>#DIV/0!</v>
      </c>
      <c r="AB813" s="202" t="e">
        <f t="shared" ca="1" si="219"/>
        <v>#DIV/0!</v>
      </c>
      <c r="AC813" s="44" t="e">
        <f t="shared" si="220"/>
        <v>#DIV/0!</v>
      </c>
      <c r="AD813" s="868"/>
      <c r="AE813" s="871"/>
      <c r="AF813" s="871"/>
      <c r="AG813" s="868"/>
      <c r="AH813" s="868"/>
      <c r="AI813" s="868"/>
      <c r="AJ813" s="868"/>
      <c r="AK813" s="181" t="str">
        <f t="shared" ca="1" si="221"/>
        <v>TERMINO</v>
      </c>
      <c r="AL813" s="441"/>
      <c r="AM813" s="433"/>
      <c r="AN813" s="848" t="str">
        <f>IFERROR(VLOOKUP(E813,'liquidaciones '!$B$2:$C$1048576,2,0),"NO")</f>
        <v>NO</v>
      </c>
      <c r="AO813" s="944" t="str">
        <f>IFERROR(VLOOKUP(E813,'liquidaciones '!$B$2:$I$1048576,8,0),"")</f>
        <v/>
      </c>
      <c r="AP813" s="433"/>
      <c r="AQ813" s="433"/>
      <c r="AR813" s="1069"/>
      <c r="AS813" s="433"/>
      <c r="AT813" s="964"/>
      <c r="AU813" s="964"/>
      <c r="AV813" s="964"/>
    </row>
    <row r="814" spans="3:48" x14ac:dyDescent="0.25">
      <c r="C814" s="867"/>
      <c r="E814" s="868"/>
      <c r="F814" s="441"/>
      <c r="G814" s="868"/>
      <c r="H814" s="1005"/>
      <c r="I814" s="93"/>
      <c r="J814" s="869"/>
      <c r="K814" s="295"/>
      <c r="L814" s="546"/>
      <c r="M814" s="546"/>
      <c r="N814" s="546"/>
      <c r="O814" s="127">
        <f>COUNTA(Modificaciones!I814,Modificaciones!K814,Modificaciones!M814,Modificaciones!O814)</f>
        <v>0</v>
      </c>
      <c r="P814" s="128">
        <f>VLOOKUP(E814,Modificaciones!$B$7:$Q$1819,16,0)</f>
        <v>0</v>
      </c>
      <c r="Q814" s="129">
        <f>COUNTA(Modificaciones!S814,Modificaciones!U814,Modificaciones!W814,Modificaciones!Y814)</f>
        <v>0</v>
      </c>
      <c r="R814" s="130" t="str">
        <f>IF(Modificaciones!Z814=0,"",VLOOKUP(E814,Modificaciones!$B$7:$AA$1419,25,0))</f>
        <v/>
      </c>
      <c r="S814" s="131" t="str">
        <f>IF(Modificaciones!AA790=0,"",VLOOKUP(#REF!,Modificaciones!$B$7:$AA$1419,26,0))</f>
        <v/>
      </c>
      <c r="T814" s="855">
        <f t="shared" si="213"/>
        <v>0</v>
      </c>
      <c r="U814" s="62">
        <f t="shared" si="214"/>
        <v>0</v>
      </c>
      <c r="V814" s="172">
        <f>VLOOKUP(E814,Modificaciones!$B$7:$AU$819,46,0)</f>
        <v>0</v>
      </c>
      <c r="W814" s="93">
        <f t="shared" si="215"/>
        <v>0</v>
      </c>
      <c r="X814" s="1041"/>
      <c r="Y814" s="852" t="e">
        <f t="shared" si="216"/>
        <v>#DIV/0!</v>
      </c>
      <c r="Z814" s="42" t="e">
        <f t="shared" ca="1" si="217"/>
        <v>#DIV/0!</v>
      </c>
      <c r="AA814" s="43" t="e">
        <f t="shared" ca="1" si="218"/>
        <v>#DIV/0!</v>
      </c>
      <c r="AB814" s="202" t="e">
        <f t="shared" ca="1" si="219"/>
        <v>#DIV/0!</v>
      </c>
      <c r="AC814" s="44" t="e">
        <f t="shared" si="220"/>
        <v>#DIV/0!</v>
      </c>
      <c r="AD814" s="868"/>
      <c r="AE814" s="871"/>
      <c r="AF814" s="871"/>
      <c r="AG814" s="868"/>
      <c r="AH814" s="868"/>
      <c r="AI814" s="868"/>
      <c r="AJ814" s="868"/>
      <c r="AK814" s="181" t="str">
        <f t="shared" ca="1" si="221"/>
        <v>TERMINO</v>
      </c>
      <c r="AL814" s="441"/>
      <c r="AM814" s="433"/>
      <c r="AN814" s="848" t="str">
        <f>IFERROR(VLOOKUP(E814,'liquidaciones '!$B$2:$C$1048576,2,0),"NO")</f>
        <v>NO</v>
      </c>
      <c r="AO814" s="944" t="str">
        <f>IFERROR(VLOOKUP(E814,'liquidaciones '!$B$2:$I$1048576,8,0),"")</f>
        <v/>
      </c>
      <c r="AP814" s="433"/>
      <c r="AQ814" s="433"/>
      <c r="AR814" s="1069"/>
      <c r="AS814" s="433"/>
      <c r="AT814" s="964"/>
      <c r="AU814" s="964"/>
      <c r="AV814" s="964"/>
    </row>
    <row r="815" spans="3:48" x14ac:dyDescent="0.25">
      <c r="C815" s="867"/>
      <c r="E815" s="868"/>
      <c r="F815" s="441"/>
      <c r="G815" s="868"/>
      <c r="H815" s="1005"/>
      <c r="I815" s="93"/>
      <c r="J815" s="869"/>
      <c r="K815" s="295"/>
      <c r="L815" s="546"/>
      <c r="M815" s="546"/>
      <c r="N815" s="546"/>
      <c r="O815" s="127">
        <f>COUNTA(Modificaciones!I815,Modificaciones!K815,Modificaciones!M815,Modificaciones!O815)</f>
        <v>0</v>
      </c>
      <c r="P815" s="128">
        <f>VLOOKUP(E815,Modificaciones!$B$7:$Q$1819,16,0)</f>
        <v>0</v>
      </c>
      <c r="Q815" s="129">
        <f>COUNTA(Modificaciones!S815,Modificaciones!U815,Modificaciones!W815,Modificaciones!Y815)</f>
        <v>0</v>
      </c>
      <c r="R815" s="130" t="str">
        <f>IF(Modificaciones!Z815=0,"",VLOOKUP(E815,Modificaciones!$B$7:$AA$1419,25,0))</f>
        <v/>
      </c>
      <c r="S815" s="131" t="str">
        <f>IF(Modificaciones!AA791=0,"",VLOOKUP(#REF!,Modificaciones!$B$7:$AA$1419,26,0))</f>
        <v/>
      </c>
      <c r="T815" s="855">
        <f t="shared" si="213"/>
        <v>0</v>
      </c>
      <c r="U815" s="62">
        <f t="shared" si="214"/>
        <v>0</v>
      </c>
      <c r="V815" s="172">
        <f>VLOOKUP(E815,Modificaciones!$B$7:$AU$819,46,0)</f>
        <v>0</v>
      </c>
      <c r="W815" s="93">
        <f t="shared" si="215"/>
        <v>0</v>
      </c>
      <c r="X815" s="1041"/>
      <c r="Y815" s="852" t="e">
        <f t="shared" si="216"/>
        <v>#DIV/0!</v>
      </c>
      <c r="Z815" s="42" t="e">
        <f t="shared" ca="1" si="217"/>
        <v>#DIV/0!</v>
      </c>
      <c r="AA815" s="43" t="e">
        <f t="shared" ca="1" si="218"/>
        <v>#DIV/0!</v>
      </c>
      <c r="AB815" s="202" t="e">
        <f t="shared" ca="1" si="219"/>
        <v>#DIV/0!</v>
      </c>
      <c r="AC815" s="44" t="e">
        <f t="shared" si="220"/>
        <v>#DIV/0!</v>
      </c>
      <c r="AD815" s="868"/>
      <c r="AE815" s="871"/>
      <c r="AF815" s="871"/>
      <c r="AG815" s="868"/>
      <c r="AH815" s="868"/>
      <c r="AI815" s="868"/>
      <c r="AJ815" s="868"/>
      <c r="AK815" s="181" t="str">
        <f t="shared" ca="1" si="221"/>
        <v>TERMINO</v>
      </c>
      <c r="AL815" s="441"/>
      <c r="AM815" s="433"/>
      <c r="AN815" s="848" t="str">
        <f>IFERROR(VLOOKUP(E815,'liquidaciones '!$B$2:$C$1048576,2,0),"NO")</f>
        <v>NO</v>
      </c>
      <c r="AO815" s="944" t="str">
        <f>IFERROR(VLOOKUP(E815,'liquidaciones '!$B$2:$I$1048576,8,0),"")</f>
        <v/>
      </c>
      <c r="AP815" s="433"/>
      <c r="AQ815" s="433"/>
      <c r="AR815" s="1069"/>
      <c r="AS815" s="433"/>
      <c r="AT815" s="964"/>
      <c r="AU815" s="964"/>
      <c r="AV815" s="964"/>
    </row>
    <row r="816" spans="3:48" x14ac:dyDescent="0.25">
      <c r="C816" s="867"/>
      <c r="E816" s="868"/>
      <c r="F816" s="441"/>
      <c r="G816" s="868"/>
      <c r="H816" s="1005"/>
      <c r="I816" s="93"/>
      <c r="J816" s="869"/>
      <c r="K816" s="295"/>
      <c r="L816" s="546"/>
      <c r="M816" s="546"/>
      <c r="N816" s="546"/>
      <c r="O816" s="127">
        <f>COUNTA(Modificaciones!I816,Modificaciones!K816,Modificaciones!M816,Modificaciones!O816)</f>
        <v>0</v>
      </c>
      <c r="P816" s="128">
        <f>VLOOKUP(E816,Modificaciones!$B$7:$Q$1819,16,0)</f>
        <v>0</v>
      </c>
      <c r="Q816" s="129">
        <f>COUNTA(Modificaciones!S816,Modificaciones!U816,Modificaciones!W816,Modificaciones!Y816)</f>
        <v>0</v>
      </c>
      <c r="R816" s="130" t="str">
        <f>IF(Modificaciones!Z816=0,"",VLOOKUP(E816,Modificaciones!$B$7:$AA$1419,25,0))</f>
        <v/>
      </c>
      <c r="S816" s="131" t="str">
        <f>IF(Modificaciones!AA792=0,"",VLOOKUP(#REF!,Modificaciones!$B$7:$AA$1419,26,0))</f>
        <v/>
      </c>
      <c r="T816" s="855">
        <f t="shared" si="213"/>
        <v>0</v>
      </c>
      <c r="U816" s="62">
        <f t="shared" si="214"/>
        <v>0</v>
      </c>
      <c r="V816" s="172">
        <f>VLOOKUP(E816,Modificaciones!$B$7:$AU$819,46,0)</f>
        <v>0</v>
      </c>
      <c r="W816" s="93">
        <f t="shared" si="215"/>
        <v>0</v>
      </c>
      <c r="X816" s="1041"/>
      <c r="Y816" s="852" t="e">
        <f t="shared" si="216"/>
        <v>#DIV/0!</v>
      </c>
      <c r="Z816" s="42" t="e">
        <f t="shared" ca="1" si="217"/>
        <v>#DIV/0!</v>
      </c>
      <c r="AA816" s="43" t="e">
        <f t="shared" ca="1" si="218"/>
        <v>#DIV/0!</v>
      </c>
      <c r="AB816" s="202" t="e">
        <f t="shared" ca="1" si="219"/>
        <v>#DIV/0!</v>
      </c>
      <c r="AC816" s="44" t="e">
        <f t="shared" si="220"/>
        <v>#DIV/0!</v>
      </c>
      <c r="AD816" s="868"/>
      <c r="AE816" s="871"/>
      <c r="AF816" s="871"/>
      <c r="AG816" s="868"/>
      <c r="AH816" s="868"/>
      <c r="AI816" s="868"/>
      <c r="AJ816" s="868"/>
      <c r="AK816" s="181" t="str">
        <f t="shared" ca="1" si="221"/>
        <v>TERMINO</v>
      </c>
      <c r="AL816" s="441"/>
      <c r="AM816" s="433"/>
      <c r="AN816" s="848" t="str">
        <f>IFERROR(VLOOKUP(E816,'liquidaciones '!$B$2:$C$1048576,2,0),"NO")</f>
        <v>NO</v>
      </c>
      <c r="AO816" s="944" t="str">
        <f>IFERROR(VLOOKUP(E816,'liquidaciones '!$B$2:$I$1048576,8,0),"")</f>
        <v/>
      </c>
      <c r="AP816" s="433"/>
      <c r="AQ816" s="433"/>
      <c r="AR816" s="1069"/>
      <c r="AS816" s="433"/>
      <c r="AT816" s="964"/>
      <c r="AU816" s="964"/>
      <c r="AV816" s="964"/>
    </row>
    <row r="817" spans="3:48" x14ac:dyDescent="0.25">
      <c r="C817" s="867"/>
      <c r="E817" s="868"/>
      <c r="F817" s="441"/>
      <c r="G817" s="868"/>
      <c r="H817" s="1005"/>
      <c r="I817" s="93"/>
      <c r="J817" s="869"/>
      <c r="K817" s="295"/>
      <c r="L817" s="546"/>
      <c r="M817" s="546"/>
      <c r="N817" s="546"/>
      <c r="O817" s="127">
        <f>COUNTA(Modificaciones!I817,Modificaciones!K817,Modificaciones!M817,Modificaciones!O817)</f>
        <v>0</v>
      </c>
      <c r="P817" s="128">
        <f>VLOOKUP(E817,Modificaciones!$B$7:$Q$1819,16,0)</f>
        <v>0</v>
      </c>
      <c r="Q817" s="129">
        <f>COUNTA(Modificaciones!S817,Modificaciones!U817,Modificaciones!W817,Modificaciones!Y817)</f>
        <v>0</v>
      </c>
      <c r="R817" s="130" t="str">
        <f>IF(Modificaciones!Z817=0,"",VLOOKUP(E817,Modificaciones!$B$7:$AA$1419,25,0))</f>
        <v/>
      </c>
      <c r="S817" s="131" t="str">
        <f>IF(Modificaciones!AA793=0,"",VLOOKUP(#REF!,Modificaciones!$B$7:$AA$1419,26,0))</f>
        <v/>
      </c>
      <c r="T817" s="855">
        <f t="shared" si="213"/>
        <v>0</v>
      </c>
      <c r="U817" s="62">
        <f t="shared" si="214"/>
        <v>0</v>
      </c>
      <c r="V817" s="172">
        <f>VLOOKUP(E817,Modificaciones!$B$7:$AU$819,46,0)</f>
        <v>0</v>
      </c>
      <c r="W817" s="93">
        <f t="shared" si="215"/>
        <v>0</v>
      </c>
      <c r="X817" s="1041"/>
      <c r="Y817" s="852" t="e">
        <f t="shared" si="216"/>
        <v>#DIV/0!</v>
      </c>
      <c r="Z817" s="42" t="e">
        <f t="shared" ca="1" si="217"/>
        <v>#DIV/0!</v>
      </c>
      <c r="AA817" s="43" t="e">
        <f t="shared" ca="1" si="218"/>
        <v>#DIV/0!</v>
      </c>
      <c r="AB817" s="202" t="e">
        <f t="shared" ca="1" si="219"/>
        <v>#DIV/0!</v>
      </c>
      <c r="AC817" s="44" t="e">
        <f t="shared" si="220"/>
        <v>#DIV/0!</v>
      </c>
      <c r="AD817" s="868"/>
      <c r="AE817" s="871"/>
      <c r="AF817" s="871"/>
      <c r="AG817" s="868"/>
      <c r="AH817" s="868"/>
      <c r="AI817" s="868"/>
      <c r="AJ817" s="868"/>
      <c r="AK817" s="181" t="str">
        <f t="shared" ca="1" si="221"/>
        <v>TERMINO</v>
      </c>
      <c r="AL817" s="441"/>
      <c r="AM817" s="433"/>
      <c r="AN817" s="848" t="str">
        <f>IFERROR(VLOOKUP(E817,'liquidaciones '!$B$2:$C$1048576,2,0),"NO")</f>
        <v>NO</v>
      </c>
      <c r="AO817" s="944" t="str">
        <f>IFERROR(VLOOKUP(E817,'liquidaciones '!$B$2:$I$1048576,8,0),"")</f>
        <v/>
      </c>
      <c r="AP817" s="433"/>
      <c r="AQ817" s="433"/>
      <c r="AR817" s="1069"/>
      <c r="AS817" s="433"/>
      <c r="AT817" s="964"/>
      <c r="AU817" s="964"/>
      <c r="AV817" s="964"/>
    </row>
    <row r="818" spans="3:48" x14ac:dyDescent="0.25">
      <c r="C818" s="867"/>
      <c r="E818" s="868"/>
      <c r="F818" s="441"/>
      <c r="G818" s="868"/>
      <c r="H818" s="1005"/>
      <c r="I818" s="93"/>
      <c r="J818" s="869"/>
      <c r="K818" s="295"/>
      <c r="L818" s="546"/>
      <c r="M818" s="546"/>
      <c r="N818" s="546"/>
      <c r="O818" s="127">
        <f>COUNTA(Modificaciones!I818,Modificaciones!K818,Modificaciones!M818,Modificaciones!O818)</f>
        <v>0</v>
      </c>
      <c r="P818" s="128">
        <f>VLOOKUP(E818,Modificaciones!$B$7:$Q$1819,16,0)</f>
        <v>0</v>
      </c>
      <c r="Q818" s="129">
        <f>COUNTA(Modificaciones!S818,Modificaciones!U818,Modificaciones!W818,Modificaciones!Y818)</f>
        <v>0</v>
      </c>
      <c r="R818" s="130" t="str">
        <f>IF(Modificaciones!Z818=0,"",VLOOKUP(E818,Modificaciones!$B$7:$AA$1419,25,0))</f>
        <v/>
      </c>
      <c r="S818" s="131" t="str">
        <f>IF(Modificaciones!AA794=0,"",VLOOKUP(#REF!,Modificaciones!$B$7:$AA$1419,26,0))</f>
        <v/>
      </c>
      <c r="T818" s="855">
        <f t="shared" si="213"/>
        <v>0</v>
      </c>
      <c r="U818" s="62">
        <f t="shared" si="214"/>
        <v>0</v>
      </c>
      <c r="V818" s="172">
        <f>VLOOKUP(E818,Modificaciones!$B$7:$AU$819,46,0)</f>
        <v>0</v>
      </c>
      <c r="W818" s="93">
        <f t="shared" si="215"/>
        <v>0</v>
      </c>
      <c r="X818" s="1041"/>
      <c r="Y818" s="852" t="e">
        <f t="shared" si="216"/>
        <v>#DIV/0!</v>
      </c>
      <c r="Z818" s="42" t="e">
        <f t="shared" ca="1" si="217"/>
        <v>#DIV/0!</v>
      </c>
      <c r="AA818" s="43" t="e">
        <f t="shared" ca="1" si="218"/>
        <v>#DIV/0!</v>
      </c>
      <c r="AB818" s="202" t="e">
        <f t="shared" ca="1" si="219"/>
        <v>#DIV/0!</v>
      </c>
      <c r="AC818" s="44" t="e">
        <f t="shared" si="220"/>
        <v>#DIV/0!</v>
      </c>
      <c r="AD818" s="868"/>
      <c r="AE818" s="871"/>
      <c r="AF818" s="871"/>
      <c r="AG818" s="868"/>
      <c r="AH818" s="868"/>
      <c r="AI818" s="868"/>
      <c r="AJ818" s="868"/>
      <c r="AK818" s="181" t="str">
        <f t="shared" ca="1" si="221"/>
        <v>TERMINO</v>
      </c>
      <c r="AL818" s="441"/>
      <c r="AM818" s="433"/>
      <c r="AN818" s="848" t="str">
        <f>IFERROR(VLOOKUP(E818,'liquidaciones '!$B$2:$C$1048576,2,0),"NO")</f>
        <v>NO</v>
      </c>
      <c r="AO818" s="944" t="str">
        <f>IFERROR(VLOOKUP(E818,'liquidaciones '!$B$2:$I$1048576,8,0),"")</f>
        <v/>
      </c>
      <c r="AP818" s="433"/>
      <c r="AQ818" s="433"/>
      <c r="AR818" s="1069"/>
      <c r="AS818" s="433"/>
      <c r="AT818" s="964"/>
      <c r="AU818" s="964"/>
      <c r="AV818" s="964"/>
    </row>
    <row r="819" spans="3:48" x14ac:dyDescent="0.25">
      <c r="C819" s="867"/>
      <c r="E819" s="868"/>
      <c r="F819" s="441"/>
      <c r="G819" s="868"/>
      <c r="H819" s="1005"/>
      <c r="I819" s="93"/>
      <c r="J819" s="869"/>
      <c r="K819" s="295"/>
      <c r="L819" s="546"/>
      <c r="M819" s="546"/>
      <c r="N819" s="546"/>
      <c r="O819" s="127">
        <f>COUNTA(Modificaciones!I819,Modificaciones!K819,Modificaciones!M819,Modificaciones!O819)</f>
        <v>0</v>
      </c>
      <c r="P819" s="128">
        <f>VLOOKUP(E819,Modificaciones!$B$7:$Q$1819,16,0)</f>
        <v>0</v>
      </c>
      <c r="Q819" s="129">
        <f>COUNTA(Modificaciones!S819,Modificaciones!U819,Modificaciones!W819,Modificaciones!Y819)</f>
        <v>0</v>
      </c>
      <c r="R819" s="130" t="str">
        <f>IF(Modificaciones!Z819=0,"",VLOOKUP(E819,Modificaciones!$B$7:$AA$1419,25,0))</f>
        <v/>
      </c>
      <c r="S819" s="131" t="str">
        <f>IF(Modificaciones!AA795=0,"",VLOOKUP(#REF!,Modificaciones!$B$7:$AA$1419,26,0))</f>
        <v/>
      </c>
      <c r="T819" s="855">
        <f t="shared" si="213"/>
        <v>0</v>
      </c>
      <c r="U819" s="62">
        <f t="shared" si="214"/>
        <v>0</v>
      </c>
      <c r="V819" s="172">
        <f>VLOOKUP(E819,Modificaciones!$B$7:$AU$819,46,0)</f>
        <v>0</v>
      </c>
      <c r="W819" s="93">
        <f t="shared" si="215"/>
        <v>0</v>
      </c>
      <c r="X819" s="1041"/>
      <c r="Y819" s="852" t="e">
        <f t="shared" si="216"/>
        <v>#DIV/0!</v>
      </c>
      <c r="Z819" s="42" t="e">
        <f t="shared" ca="1" si="217"/>
        <v>#DIV/0!</v>
      </c>
      <c r="AA819" s="43" t="e">
        <f t="shared" ca="1" si="218"/>
        <v>#DIV/0!</v>
      </c>
      <c r="AB819" s="202" t="e">
        <f t="shared" ca="1" si="219"/>
        <v>#DIV/0!</v>
      </c>
      <c r="AC819" s="44" t="e">
        <f t="shared" si="220"/>
        <v>#DIV/0!</v>
      </c>
      <c r="AD819" s="868"/>
      <c r="AE819" s="871"/>
      <c r="AF819" s="871"/>
      <c r="AG819" s="868"/>
      <c r="AH819" s="868"/>
      <c r="AI819" s="868"/>
      <c r="AJ819" s="868"/>
      <c r="AK819" s="181" t="str">
        <f t="shared" ca="1" si="221"/>
        <v>TERMINO</v>
      </c>
      <c r="AL819" s="441"/>
      <c r="AM819" s="433"/>
      <c r="AN819" s="848" t="str">
        <f>IFERROR(VLOOKUP(E819,'liquidaciones '!$B$2:$C$1048576,2,0),"NO")</f>
        <v>NO</v>
      </c>
      <c r="AO819" s="944" t="str">
        <f>IFERROR(VLOOKUP(E819,'liquidaciones '!$B$2:$I$1048576,8,0),"")</f>
        <v/>
      </c>
      <c r="AP819" s="433"/>
      <c r="AQ819" s="433"/>
      <c r="AR819" s="1069"/>
      <c r="AS819" s="433"/>
      <c r="AT819" s="964"/>
      <c r="AU819" s="964"/>
      <c r="AV819" s="964"/>
    </row>
    <row r="820" spans="3:48" x14ac:dyDescent="0.25">
      <c r="C820" s="867"/>
      <c r="E820" s="868"/>
      <c r="F820" s="441"/>
      <c r="G820" s="868"/>
      <c r="H820" s="1005"/>
      <c r="I820" s="93"/>
      <c r="J820" s="869"/>
      <c r="K820" s="295"/>
      <c r="L820" s="546"/>
      <c r="M820" s="546"/>
      <c r="N820" s="546"/>
      <c r="O820" s="127">
        <f>COUNTA(Modificaciones!I820,Modificaciones!K820,Modificaciones!M820,Modificaciones!O820)</f>
        <v>0</v>
      </c>
      <c r="P820" s="128">
        <f>VLOOKUP(E820,Modificaciones!$B$7:$Q$1819,16,0)</f>
        <v>0</v>
      </c>
      <c r="Q820" s="129">
        <f>COUNTA(Modificaciones!S820,Modificaciones!U820,Modificaciones!W820,Modificaciones!Y820)</f>
        <v>0</v>
      </c>
      <c r="R820" s="130" t="str">
        <f>IF(Modificaciones!Z820=0,"",VLOOKUP(E820,Modificaciones!$B$7:$AA$1419,25,0))</f>
        <v/>
      </c>
      <c r="S820" s="131" t="str">
        <f>IF(Modificaciones!AA796=0,"",VLOOKUP(#REF!,Modificaciones!$B$7:$AA$1419,26,0))</f>
        <v/>
      </c>
      <c r="T820" s="855">
        <f t="shared" si="213"/>
        <v>0</v>
      </c>
      <c r="U820" s="62">
        <f t="shared" si="214"/>
        <v>0</v>
      </c>
      <c r="V820" s="172">
        <f>VLOOKUP(E820,Modificaciones!$B$7:$AU$819,46,0)</f>
        <v>0</v>
      </c>
      <c r="W820" s="93">
        <f t="shared" si="215"/>
        <v>0</v>
      </c>
      <c r="X820" s="1041"/>
      <c r="Y820" s="852" t="e">
        <f t="shared" si="216"/>
        <v>#DIV/0!</v>
      </c>
      <c r="Z820" s="42" t="e">
        <f t="shared" ca="1" si="217"/>
        <v>#DIV/0!</v>
      </c>
      <c r="AA820" s="43" t="e">
        <f t="shared" ca="1" si="218"/>
        <v>#DIV/0!</v>
      </c>
      <c r="AB820" s="202" t="e">
        <f t="shared" ca="1" si="219"/>
        <v>#DIV/0!</v>
      </c>
      <c r="AC820" s="44" t="e">
        <f t="shared" si="220"/>
        <v>#DIV/0!</v>
      </c>
      <c r="AD820" s="868"/>
      <c r="AE820" s="871"/>
      <c r="AF820" s="871"/>
      <c r="AG820" s="868"/>
      <c r="AH820" s="868"/>
      <c r="AI820" s="868"/>
      <c r="AJ820" s="868"/>
      <c r="AK820" s="181" t="str">
        <f t="shared" ca="1" si="221"/>
        <v>TERMINO</v>
      </c>
      <c r="AL820" s="441"/>
      <c r="AM820" s="433"/>
      <c r="AN820" s="848" t="str">
        <f>IFERROR(VLOOKUP(E820,'liquidaciones '!$B$2:$C$1048576,2,0),"NO")</f>
        <v>NO</v>
      </c>
      <c r="AO820" s="944" t="str">
        <f>IFERROR(VLOOKUP(E820,'liquidaciones '!$B$2:$I$1048576,8,0),"")</f>
        <v/>
      </c>
      <c r="AP820" s="433"/>
      <c r="AQ820" s="433"/>
      <c r="AR820" s="1069"/>
      <c r="AS820" s="433"/>
      <c r="AT820" s="964"/>
      <c r="AU820" s="964"/>
      <c r="AV820" s="964"/>
    </row>
    <row r="821" spans="3:48" x14ac:dyDescent="0.25">
      <c r="C821" s="867"/>
      <c r="E821" s="868"/>
      <c r="F821" s="441"/>
      <c r="G821" s="868"/>
      <c r="H821" s="1005"/>
      <c r="I821" s="93"/>
      <c r="J821" s="869"/>
      <c r="K821" s="295"/>
      <c r="L821" s="546"/>
      <c r="M821" s="546"/>
      <c r="N821" s="546"/>
      <c r="O821" s="127">
        <f>COUNTA(Modificaciones!I821,Modificaciones!K821,Modificaciones!M821,Modificaciones!O821)</f>
        <v>0</v>
      </c>
      <c r="P821" s="128">
        <f>VLOOKUP(E821,Modificaciones!$B$7:$Q$1819,16,0)</f>
        <v>0</v>
      </c>
      <c r="Q821" s="129">
        <f>COUNTA(Modificaciones!S821,Modificaciones!U821,Modificaciones!W821,Modificaciones!Y821)</f>
        <v>0</v>
      </c>
      <c r="R821" s="130" t="str">
        <f>IF(Modificaciones!Z821=0,"",VLOOKUP(E821,Modificaciones!$B$7:$AA$1419,25,0))</f>
        <v/>
      </c>
      <c r="S821" s="131" t="str">
        <f>IF(Modificaciones!AA797=0,"",VLOOKUP(#REF!,Modificaciones!$B$7:$AA$1419,26,0))</f>
        <v/>
      </c>
      <c r="T821" s="855">
        <f t="shared" si="213"/>
        <v>0</v>
      </c>
      <c r="U821" s="62">
        <f t="shared" si="214"/>
        <v>0</v>
      </c>
      <c r="V821" s="172">
        <f>VLOOKUP(E821,Modificaciones!$B$7:$AU$819,46,0)</f>
        <v>0</v>
      </c>
      <c r="W821" s="93">
        <f t="shared" si="215"/>
        <v>0</v>
      </c>
      <c r="X821" s="1041"/>
      <c r="Y821" s="852" t="e">
        <f t="shared" si="216"/>
        <v>#DIV/0!</v>
      </c>
      <c r="Z821" s="42" t="e">
        <f t="shared" ca="1" si="217"/>
        <v>#DIV/0!</v>
      </c>
      <c r="AA821" s="43" t="e">
        <f t="shared" ca="1" si="218"/>
        <v>#DIV/0!</v>
      </c>
      <c r="AB821" s="202" t="e">
        <f t="shared" ca="1" si="219"/>
        <v>#DIV/0!</v>
      </c>
      <c r="AC821" s="44" t="e">
        <f t="shared" si="220"/>
        <v>#DIV/0!</v>
      </c>
      <c r="AD821" s="868"/>
      <c r="AE821" s="871"/>
      <c r="AF821" s="871"/>
      <c r="AG821" s="868"/>
      <c r="AH821" s="868"/>
      <c r="AI821" s="868"/>
      <c r="AJ821" s="868"/>
      <c r="AK821" s="181" t="str">
        <f t="shared" ca="1" si="221"/>
        <v>TERMINO</v>
      </c>
      <c r="AL821" s="441"/>
      <c r="AM821" s="433"/>
      <c r="AN821" s="848" t="str">
        <f>IFERROR(VLOOKUP(E821,'liquidaciones '!$B$2:$C$1048576,2,0),"NO")</f>
        <v>NO</v>
      </c>
      <c r="AO821" s="944" t="str">
        <f>IFERROR(VLOOKUP(E821,'liquidaciones '!$B$2:$I$1048576,8,0),"")</f>
        <v/>
      </c>
      <c r="AP821" s="433"/>
      <c r="AQ821" s="433"/>
      <c r="AR821" s="1069"/>
      <c r="AS821" s="433"/>
      <c r="AT821" s="964"/>
      <c r="AU821" s="964"/>
      <c r="AV821" s="964"/>
    </row>
    <row r="822" spans="3:48" x14ac:dyDescent="0.25">
      <c r="C822" s="867"/>
      <c r="E822" s="868"/>
      <c r="F822" s="441"/>
      <c r="G822" s="868"/>
      <c r="H822" s="1005"/>
      <c r="I822" s="93"/>
      <c r="J822" s="869"/>
      <c r="K822" s="295"/>
      <c r="L822" s="546"/>
      <c r="M822" s="546"/>
      <c r="N822" s="546"/>
      <c r="O822" s="127">
        <f>COUNTA(Modificaciones!I822,Modificaciones!K822,Modificaciones!M822,Modificaciones!O822)</f>
        <v>0</v>
      </c>
      <c r="P822" s="128">
        <f>VLOOKUP(E822,Modificaciones!$B$7:$Q$1819,16,0)</f>
        <v>0</v>
      </c>
      <c r="Q822" s="129">
        <f>COUNTA(Modificaciones!S822,Modificaciones!U822,Modificaciones!W822,Modificaciones!Y822)</f>
        <v>0</v>
      </c>
      <c r="R822" s="130" t="str">
        <f>IF(Modificaciones!Z822=0,"",VLOOKUP(E822,Modificaciones!$B$7:$AA$1419,25,0))</f>
        <v/>
      </c>
      <c r="S822" s="131" t="str">
        <f>IF(Modificaciones!AA798=0,"",VLOOKUP(#REF!,Modificaciones!$B$7:$AA$1419,26,0))</f>
        <v/>
      </c>
      <c r="T822" s="855">
        <f t="shared" si="213"/>
        <v>0</v>
      </c>
      <c r="U822" s="62">
        <f t="shared" si="214"/>
        <v>0</v>
      </c>
      <c r="V822" s="172">
        <f>VLOOKUP(E822,Modificaciones!$B$7:$AU$819,46,0)</f>
        <v>0</v>
      </c>
      <c r="W822" s="93">
        <f t="shared" si="215"/>
        <v>0</v>
      </c>
      <c r="X822" s="1041"/>
      <c r="Y822" s="852" t="e">
        <f t="shared" si="216"/>
        <v>#DIV/0!</v>
      </c>
      <c r="Z822" s="42" t="e">
        <f t="shared" ca="1" si="217"/>
        <v>#DIV/0!</v>
      </c>
      <c r="AA822" s="43" t="e">
        <f t="shared" ca="1" si="218"/>
        <v>#DIV/0!</v>
      </c>
      <c r="AB822" s="202" t="e">
        <f t="shared" ca="1" si="219"/>
        <v>#DIV/0!</v>
      </c>
      <c r="AC822" s="44" t="e">
        <f t="shared" si="220"/>
        <v>#DIV/0!</v>
      </c>
      <c r="AD822" s="868"/>
      <c r="AE822" s="871"/>
      <c r="AF822" s="871"/>
      <c r="AG822" s="868"/>
      <c r="AH822" s="868"/>
      <c r="AI822" s="868"/>
      <c r="AJ822" s="868"/>
      <c r="AK822" s="181" t="str">
        <f t="shared" ca="1" si="221"/>
        <v>TERMINO</v>
      </c>
      <c r="AL822" s="441"/>
      <c r="AM822" s="433"/>
      <c r="AN822" s="848" t="str">
        <f>IFERROR(VLOOKUP(E822,'liquidaciones '!$B$2:$C$1048576,2,0),"NO")</f>
        <v>NO</v>
      </c>
      <c r="AO822" s="944" t="str">
        <f>IFERROR(VLOOKUP(E822,'liquidaciones '!$B$2:$I$1048576,8,0),"")</f>
        <v/>
      </c>
      <c r="AP822" s="433"/>
      <c r="AQ822" s="433"/>
      <c r="AR822" s="1069"/>
      <c r="AS822" s="433"/>
      <c r="AT822" s="964"/>
      <c r="AU822" s="964"/>
      <c r="AV822" s="964"/>
    </row>
    <row r="823" spans="3:48" x14ac:dyDescent="0.25">
      <c r="C823" s="867"/>
      <c r="E823" s="868"/>
      <c r="F823" s="441"/>
      <c r="G823" s="868"/>
      <c r="H823" s="1005"/>
      <c r="I823" s="93"/>
      <c r="J823" s="869"/>
      <c r="K823" s="295"/>
      <c r="L823" s="546"/>
      <c r="M823" s="546"/>
      <c r="N823" s="546"/>
      <c r="O823" s="127">
        <f>COUNTA(Modificaciones!I823,Modificaciones!K823,Modificaciones!M823,Modificaciones!O823)</f>
        <v>0</v>
      </c>
      <c r="P823" s="128">
        <f>VLOOKUP(E823,Modificaciones!$B$7:$Q$1819,16,0)</f>
        <v>0</v>
      </c>
      <c r="Q823" s="129">
        <f>COUNTA(Modificaciones!S823,Modificaciones!U823,Modificaciones!W823,Modificaciones!Y823)</f>
        <v>0</v>
      </c>
      <c r="R823" s="130" t="str">
        <f>IF(Modificaciones!Z823=0,"",VLOOKUP(E823,Modificaciones!$B$7:$AA$1419,25,0))</f>
        <v/>
      </c>
      <c r="S823" s="131" t="str">
        <f>IF(Modificaciones!AA799=0,"",VLOOKUP(#REF!,Modificaciones!$B$7:$AA$1419,26,0))</f>
        <v/>
      </c>
      <c r="T823" s="855">
        <f t="shared" si="213"/>
        <v>0</v>
      </c>
      <c r="U823" s="62">
        <f t="shared" si="214"/>
        <v>0</v>
      </c>
      <c r="V823" s="172">
        <f>VLOOKUP(E823,Modificaciones!$B$7:$AU$819,46,0)</f>
        <v>0</v>
      </c>
      <c r="W823" s="93">
        <f t="shared" si="215"/>
        <v>0</v>
      </c>
      <c r="X823" s="1041"/>
      <c r="Y823" s="852" t="e">
        <f t="shared" si="216"/>
        <v>#DIV/0!</v>
      </c>
      <c r="Z823" s="42" t="e">
        <f t="shared" ca="1" si="217"/>
        <v>#DIV/0!</v>
      </c>
      <c r="AA823" s="43" t="e">
        <f t="shared" ca="1" si="218"/>
        <v>#DIV/0!</v>
      </c>
      <c r="AB823" s="202" t="e">
        <f t="shared" ca="1" si="219"/>
        <v>#DIV/0!</v>
      </c>
      <c r="AC823" s="44" t="e">
        <f t="shared" si="220"/>
        <v>#DIV/0!</v>
      </c>
      <c r="AD823" s="868"/>
      <c r="AE823" s="871"/>
      <c r="AF823" s="871"/>
      <c r="AG823" s="868"/>
      <c r="AH823" s="868"/>
      <c r="AI823" s="868"/>
      <c r="AJ823" s="868"/>
      <c r="AK823" s="181" t="str">
        <f t="shared" ca="1" si="221"/>
        <v>TERMINO</v>
      </c>
      <c r="AL823" s="441"/>
      <c r="AM823" s="433"/>
      <c r="AN823" s="848" t="str">
        <f>IFERROR(VLOOKUP(E823,'liquidaciones '!$B$2:$C$1048576,2,0),"NO")</f>
        <v>NO</v>
      </c>
      <c r="AO823" s="944" t="str">
        <f>IFERROR(VLOOKUP(E823,'liquidaciones '!$B$2:$I$1048576,8,0),"")</f>
        <v/>
      </c>
      <c r="AP823" s="433"/>
      <c r="AQ823" s="433"/>
      <c r="AR823" s="1069"/>
      <c r="AS823" s="433"/>
      <c r="AT823" s="964"/>
      <c r="AU823" s="964"/>
      <c r="AV823" s="964"/>
    </row>
    <row r="824" spans="3:48" x14ac:dyDescent="0.25">
      <c r="C824" s="867"/>
      <c r="E824" s="868"/>
      <c r="F824" s="441"/>
      <c r="G824" s="868"/>
      <c r="H824" s="1005"/>
      <c r="I824" s="93"/>
      <c r="J824" s="869"/>
      <c r="K824" s="295"/>
      <c r="L824" s="546"/>
      <c r="M824" s="546"/>
      <c r="N824" s="546"/>
      <c r="O824" s="127">
        <f>COUNTA(Modificaciones!I824,Modificaciones!K824,Modificaciones!M824,Modificaciones!O824)</f>
        <v>0</v>
      </c>
      <c r="P824" s="128">
        <f>VLOOKUP(E824,Modificaciones!$B$7:$Q$1819,16,0)</f>
        <v>0</v>
      </c>
      <c r="Q824" s="129">
        <f>COUNTA(Modificaciones!S824,Modificaciones!U824,Modificaciones!W824,Modificaciones!Y824)</f>
        <v>0</v>
      </c>
      <c r="R824" s="130" t="str">
        <f>IF(Modificaciones!Z824=0,"",VLOOKUP(E824,Modificaciones!$B$7:$AA$1419,25,0))</f>
        <v/>
      </c>
      <c r="S824" s="131" t="str">
        <f>IF(Modificaciones!AA800=0,"",VLOOKUP(#REF!,Modificaciones!$B$7:$AA$1419,26,0))</f>
        <v/>
      </c>
      <c r="T824" s="855">
        <f t="shared" si="213"/>
        <v>0</v>
      </c>
      <c r="U824" s="62">
        <f t="shared" si="214"/>
        <v>0</v>
      </c>
      <c r="V824" s="172">
        <f>VLOOKUP(E824,Modificaciones!$B$7:$AU$819,46,0)</f>
        <v>0</v>
      </c>
      <c r="W824" s="93">
        <f t="shared" si="215"/>
        <v>0</v>
      </c>
      <c r="X824" s="1041"/>
      <c r="Y824" s="852" t="e">
        <f t="shared" si="216"/>
        <v>#DIV/0!</v>
      </c>
      <c r="Z824" s="42" t="e">
        <f t="shared" ca="1" si="217"/>
        <v>#DIV/0!</v>
      </c>
      <c r="AA824" s="43" t="e">
        <f t="shared" ca="1" si="218"/>
        <v>#DIV/0!</v>
      </c>
      <c r="AB824" s="202" t="e">
        <f t="shared" ca="1" si="219"/>
        <v>#DIV/0!</v>
      </c>
      <c r="AC824" s="44" t="e">
        <f t="shared" si="220"/>
        <v>#DIV/0!</v>
      </c>
      <c r="AD824" s="868"/>
      <c r="AE824" s="871"/>
      <c r="AF824" s="871"/>
      <c r="AG824" s="868"/>
      <c r="AH824" s="868"/>
      <c r="AI824" s="868"/>
      <c r="AJ824" s="868"/>
      <c r="AK824" s="181" t="str">
        <f t="shared" ca="1" si="221"/>
        <v>TERMINO</v>
      </c>
      <c r="AL824" s="441"/>
      <c r="AM824" s="433"/>
      <c r="AN824" s="848" t="str">
        <f>IFERROR(VLOOKUP(E824,'liquidaciones '!$B$2:$C$1048576,2,0),"NO")</f>
        <v>NO</v>
      </c>
      <c r="AO824" s="944" t="str">
        <f>IFERROR(VLOOKUP(E824,'liquidaciones '!$B$2:$I$1048576,8,0),"")</f>
        <v/>
      </c>
      <c r="AP824" s="433"/>
      <c r="AQ824" s="433"/>
      <c r="AR824" s="1069"/>
      <c r="AS824" s="433"/>
      <c r="AT824" s="964"/>
      <c r="AU824" s="964"/>
      <c r="AV824" s="964"/>
    </row>
    <row r="825" spans="3:48" x14ac:dyDescent="0.25">
      <c r="C825" s="867"/>
      <c r="E825" s="868"/>
      <c r="F825" s="441"/>
      <c r="G825" s="868"/>
      <c r="H825" s="1005"/>
      <c r="I825" s="93"/>
      <c r="J825" s="869"/>
      <c r="K825" s="295"/>
      <c r="L825" s="546"/>
      <c r="M825" s="546"/>
      <c r="N825" s="546"/>
      <c r="O825" s="127">
        <f>COUNTA(Modificaciones!I825,Modificaciones!K825,Modificaciones!M825,Modificaciones!O825)</f>
        <v>0</v>
      </c>
      <c r="P825" s="128">
        <f>VLOOKUP(E825,Modificaciones!$B$7:$Q$1819,16,0)</f>
        <v>0</v>
      </c>
      <c r="Q825" s="129">
        <f>COUNTA(Modificaciones!S825,Modificaciones!U825,Modificaciones!W825,Modificaciones!Y825)</f>
        <v>0</v>
      </c>
      <c r="R825" s="130" t="str">
        <f>IF(Modificaciones!Z825=0,"",VLOOKUP(E825,Modificaciones!$B$7:$AA$1419,25,0))</f>
        <v/>
      </c>
      <c r="S825" s="131" t="str">
        <f>IF(Modificaciones!AA801=0,"",VLOOKUP(#REF!,Modificaciones!$B$7:$AA$1419,26,0))</f>
        <v/>
      </c>
      <c r="T825" s="855">
        <f t="shared" si="213"/>
        <v>0</v>
      </c>
      <c r="U825" s="62">
        <f t="shared" si="214"/>
        <v>0</v>
      </c>
      <c r="V825" s="172">
        <f>VLOOKUP(E825,Modificaciones!$B$7:$AU$819,46,0)</f>
        <v>0</v>
      </c>
      <c r="W825" s="93">
        <f t="shared" si="215"/>
        <v>0</v>
      </c>
      <c r="X825" s="1041"/>
      <c r="Y825" s="852" t="e">
        <f t="shared" si="216"/>
        <v>#DIV/0!</v>
      </c>
      <c r="Z825" s="42" t="e">
        <f t="shared" ca="1" si="217"/>
        <v>#DIV/0!</v>
      </c>
      <c r="AA825" s="43" t="e">
        <f t="shared" ca="1" si="218"/>
        <v>#DIV/0!</v>
      </c>
      <c r="AB825" s="202" t="e">
        <f t="shared" ca="1" si="219"/>
        <v>#DIV/0!</v>
      </c>
      <c r="AC825" s="44" t="e">
        <f t="shared" si="220"/>
        <v>#DIV/0!</v>
      </c>
      <c r="AD825" s="868"/>
      <c r="AE825" s="871"/>
      <c r="AF825" s="871"/>
      <c r="AG825" s="868"/>
      <c r="AH825" s="868"/>
      <c r="AI825" s="868"/>
      <c r="AJ825" s="868"/>
      <c r="AK825" s="181" t="str">
        <f t="shared" ca="1" si="221"/>
        <v>TERMINO</v>
      </c>
      <c r="AL825" s="441"/>
      <c r="AM825" s="433"/>
      <c r="AN825" s="848" t="str">
        <f>IFERROR(VLOOKUP(E825,'liquidaciones '!$B$2:$C$1048576,2,0),"NO")</f>
        <v>NO</v>
      </c>
      <c r="AO825" s="944" t="str">
        <f>IFERROR(VLOOKUP(E825,'liquidaciones '!$B$2:$I$1048576,8,0),"")</f>
        <v/>
      </c>
      <c r="AP825" s="433"/>
      <c r="AQ825" s="433"/>
      <c r="AR825" s="1069"/>
      <c r="AS825" s="433"/>
      <c r="AT825" s="964"/>
      <c r="AU825" s="964"/>
      <c r="AV825" s="964"/>
    </row>
    <row r="826" spans="3:48" x14ac:dyDescent="0.25">
      <c r="C826" s="867"/>
      <c r="E826" s="868"/>
      <c r="F826" s="441"/>
      <c r="G826" s="868"/>
      <c r="H826" s="1005"/>
      <c r="I826" s="93"/>
      <c r="J826" s="869"/>
      <c r="K826" s="295"/>
      <c r="L826" s="546"/>
      <c r="M826" s="546"/>
      <c r="N826" s="546"/>
      <c r="O826" s="127">
        <f>COUNTA(Modificaciones!I826,Modificaciones!K826,Modificaciones!M826,Modificaciones!O826)</f>
        <v>0</v>
      </c>
      <c r="P826" s="128">
        <f>VLOOKUP(E826,Modificaciones!$B$7:$Q$1819,16,0)</f>
        <v>0</v>
      </c>
      <c r="Q826" s="129">
        <f>COUNTA(Modificaciones!S826,Modificaciones!U826,Modificaciones!W826,Modificaciones!Y826)</f>
        <v>0</v>
      </c>
      <c r="R826" s="130" t="str">
        <f>IF(Modificaciones!Z826=0,"",VLOOKUP(E826,Modificaciones!$B$7:$AA$1419,25,0))</f>
        <v/>
      </c>
      <c r="S826" s="131" t="str">
        <f>IF(Modificaciones!AA802=0,"",VLOOKUP(#REF!,Modificaciones!$B$7:$AA$1419,26,0))</f>
        <v/>
      </c>
      <c r="T826" s="855">
        <f t="shared" si="213"/>
        <v>0</v>
      </c>
      <c r="U826" s="62">
        <f t="shared" si="214"/>
        <v>0</v>
      </c>
      <c r="V826" s="172">
        <f>VLOOKUP(E826,Modificaciones!$B$7:$AU$819,46,0)</f>
        <v>0</v>
      </c>
      <c r="W826" s="93">
        <f t="shared" si="215"/>
        <v>0</v>
      </c>
      <c r="X826" s="1041"/>
      <c r="Y826" s="852" t="e">
        <f t="shared" si="216"/>
        <v>#DIV/0!</v>
      </c>
      <c r="Z826" s="42" t="e">
        <f t="shared" ca="1" si="217"/>
        <v>#DIV/0!</v>
      </c>
      <c r="AA826" s="43" t="e">
        <f t="shared" ca="1" si="218"/>
        <v>#DIV/0!</v>
      </c>
      <c r="AB826" s="202" t="e">
        <f t="shared" ca="1" si="219"/>
        <v>#DIV/0!</v>
      </c>
      <c r="AC826" s="44" t="e">
        <f t="shared" si="220"/>
        <v>#DIV/0!</v>
      </c>
      <c r="AD826" s="868"/>
      <c r="AE826" s="871"/>
      <c r="AF826" s="871"/>
      <c r="AG826" s="868"/>
      <c r="AH826" s="868"/>
      <c r="AI826" s="868"/>
      <c r="AJ826" s="868"/>
      <c r="AK826" s="181" t="str">
        <f t="shared" ca="1" si="221"/>
        <v>TERMINO</v>
      </c>
      <c r="AL826" s="441"/>
      <c r="AM826" s="433"/>
      <c r="AN826" s="848" t="str">
        <f>IFERROR(VLOOKUP(E826,'liquidaciones '!$B$2:$C$1048576,2,0),"NO")</f>
        <v>NO</v>
      </c>
      <c r="AO826" s="944" t="str">
        <f>IFERROR(VLOOKUP(E826,'liquidaciones '!$B$2:$I$1048576,8,0),"")</f>
        <v/>
      </c>
      <c r="AP826" s="433"/>
      <c r="AQ826" s="433"/>
      <c r="AR826" s="1069"/>
      <c r="AS826" s="433"/>
      <c r="AT826" s="964"/>
      <c r="AU826" s="964"/>
      <c r="AV826" s="964"/>
    </row>
    <row r="827" spans="3:48" x14ac:dyDescent="0.25">
      <c r="C827" s="867"/>
      <c r="E827" s="868"/>
      <c r="F827" s="441"/>
      <c r="G827" s="868"/>
      <c r="H827" s="1005"/>
      <c r="I827" s="93"/>
      <c r="J827" s="869"/>
      <c r="K827" s="295"/>
      <c r="L827" s="546"/>
      <c r="M827" s="546"/>
      <c r="N827" s="546"/>
      <c r="O827" s="127">
        <f>COUNTA(Modificaciones!I827,Modificaciones!K827,Modificaciones!M827,Modificaciones!O827)</f>
        <v>0</v>
      </c>
      <c r="P827" s="128">
        <f>VLOOKUP(E827,Modificaciones!$B$7:$Q$1819,16,0)</f>
        <v>0</v>
      </c>
      <c r="Q827" s="129">
        <f>COUNTA(Modificaciones!S827,Modificaciones!U827,Modificaciones!W827,Modificaciones!Y827)</f>
        <v>0</v>
      </c>
      <c r="R827" s="130" t="str">
        <f>IF(Modificaciones!Z827=0,"",VLOOKUP(E827,Modificaciones!$B$7:$AA$1419,25,0))</f>
        <v/>
      </c>
      <c r="S827" s="131" t="str">
        <f>IF(Modificaciones!AA803=0,"",VLOOKUP(#REF!,Modificaciones!$B$7:$AA$1419,26,0))</f>
        <v/>
      </c>
      <c r="T827" s="855">
        <f t="shared" si="213"/>
        <v>0</v>
      </c>
      <c r="U827" s="62">
        <f t="shared" si="214"/>
        <v>0</v>
      </c>
      <c r="V827" s="172">
        <f>VLOOKUP(E827,Modificaciones!$B$7:$AU$819,46,0)</f>
        <v>0</v>
      </c>
      <c r="W827" s="93">
        <f t="shared" si="215"/>
        <v>0</v>
      </c>
      <c r="X827" s="1041"/>
      <c r="Y827" s="852" t="e">
        <f t="shared" si="216"/>
        <v>#DIV/0!</v>
      </c>
      <c r="Z827" s="42" t="e">
        <f t="shared" ca="1" si="217"/>
        <v>#DIV/0!</v>
      </c>
      <c r="AA827" s="43" t="e">
        <f t="shared" ca="1" si="218"/>
        <v>#DIV/0!</v>
      </c>
      <c r="AB827" s="202" t="e">
        <f t="shared" ca="1" si="219"/>
        <v>#DIV/0!</v>
      </c>
      <c r="AC827" s="44" t="e">
        <f t="shared" si="220"/>
        <v>#DIV/0!</v>
      </c>
      <c r="AD827" s="868"/>
      <c r="AE827" s="871"/>
      <c r="AF827" s="871"/>
      <c r="AG827" s="868"/>
      <c r="AH827" s="868"/>
      <c r="AI827" s="868"/>
      <c r="AJ827" s="868"/>
      <c r="AK827" s="181" t="str">
        <f t="shared" ca="1" si="221"/>
        <v>TERMINO</v>
      </c>
      <c r="AL827" s="441"/>
      <c r="AM827" s="433"/>
      <c r="AN827" s="848" t="str">
        <f>IFERROR(VLOOKUP(E827,'liquidaciones '!$B$2:$C$1048576,2,0),"NO")</f>
        <v>NO</v>
      </c>
      <c r="AO827" s="944" t="str">
        <f>IFERROR(VLOOKUP(E827,'liquidaciones '!$B$2:$I$1048576,8,0),"")</f>
        <v/>
      </c>
      <c r="AP827" s="433"/>
      <c r="AQ827" s="433"/>
      <c r="AR827" s="1069"/>
      <c r="AS827" s="433"/>
      <c r="AT827" s="964"/>
      <c r="AU827" s="964"/>
      <c r="AV827" s="964"/>
    </row>
    <row r="828" spans="3:48" x14ac:dyDescent="0.25">
      <c r="C828" s="867"/>
      <c r="E828" s="868"/>
      <c r="F828" s="441"/>
      <c r="G828" s="868"/>
      <c r="H828" s="1005"/>
      <c r="I828" s="93"/>
      <c r="J828" s="869"/>
      <c r="K828" s="295"/>
      <c r="L828" s="546"/>
      <c r="M828" s="546"/>
      <c r="N828" s="546"/>
      <c r="O828" s="127">
        <f>COUNTA(Modificaciones!I828,Modificaciones!K828,Modificaciones!M828,Modificaciones!O828)</f>
        <v>0</v>
      </c>
      <c r="P828" s="128">
        <f>VLOOKUP(E828,Modificaciones!$B$7:$Q$1819,16,0)</f>
        <v>0</v>
      </c>
      <c r="Q828" s="129">
        <f>COUNTA(Modificaciones!S828,Modificaciones!U828,Modificaciones!W828,Modificaciones!Y828)</f>
        <v>0</v>
      </c>
      <c r="R828" s="130" t="str">
        <f>IF(Modificaciones!Z828=0,"",VLOOKUP(E828,Modificaciones!$B$7:$AA$1419,25,0))</f>
        <v/>
      </c>
      <c r="S828" s="131" t="str">
        <f>IF(Modificaciones!AA804=0,"",VLOOKUP(#REF!,Modificaciones!$B$7:$AA$1419,26,0))</f>
        <v/>
      </c>
      <c r="T828" s="855">
        <f t="shared" si="213"/>
        <v>0</v>
      </c>
      <c r="U828" s="62">
        <f t="shared" si="214"/>
        <v>0</v>
      </c>
      <c r="V828" s="172">
        <f>VLOOKUP(E828,Modificaciones!$B$7:$AU$819,46,0)</f>
        <v>0</v>
      </c>
      <c r="W828" s="93">
        <f t="shared" si="215"/>
        <v>0</v>
      </c>
      <c r="X828" s="1041"/>
      <c r="Y828" s="852" t="e">
        <f t="shared" si="216"/>
        <v>#DIV/0!</v>
      </c>
      <c r="Z828" s="42" t="e">
        <f t="shared" ca="1" si="217"/>
        <v>#DIV/0!</v>
      </c>
      <c r="AA828" s="43" t="e">
        <f t="shared" ca="1" si="218"/>
        <v>#DIV/0!</v>
      </c>
      <c r="AB828" s="202" t="e">
        <f t="shared" ca="1" si="219"/>
        <v>#DIV/0!</v>
      </c>
      <c r="AC828" s="44" t="e">
        <f t="shared" si="220"/>
        <v>#DIV/0!</v>
      </c>
      <c r="AD828" s="868"/>
      <c r="AE828" s="871"/>
      <c r="AF828" s="871"/>
      <c r="AG828" s="868"/>
      <c r="AH828" s="868"/>
      <c r="AI828" s="868"/>
      <c r="AJ828" s="868"/>
      <c r="AK828" s="181" t="str">
        <f t="shared" ca="1" si="221"/>
        <v>TERMINO</v>
      </c>
      <c r="AL828" s="441"/>
      <c r="AM828" s="433"/>
      <c r="AN828" s="848" t="str">
        <f>IFERROR(VLOOKUP(E828,'liquidaciones '!$B$2:$C$1048576,2,0),"NO")</f>
        <v>NO</v>
      </c>
      <c r="AO828" s="944" t="str">
        <f>IFERROR(VLOOKUP(E828,'liquidaciones '!$B$2:$I$1048576,8,0),"")</f>
        <v/>
      </c>
      <c r="AP828" s="433"/>
      <c r="AQ828" s="433"/>
      <c r="AR828" s="1069"/>
      <c r="AS828" s="433"/>
      <c r="AT828" s="964"/>
      <c r="AU828" s="964"/>
      <c r="AV828" s="964"/>
    </row>
    <row r="829" spans="3:48" x14ac:dyDescent="0.25">
      <c r="C829" s="867"/>
      <c r="E829" s="868"/>
      <c r="F829" s="441"/>
      <c r="G829" s="868"/>
      <c r="H829" s="1005"/>
      <c r="I829" s="93"/>
      <c r="J829" s="869"/>
      <c r="K829" s="295"/>
      <c r="L829" s="546"/>
      <c r="M829" s="546"/>
      <c r="N829" s="546"/>
      <c r="O829" s="127">
        <f>COUNTA(Modificaciones!I829,Modificaciones!K829,Modificaciones!M829,Modificaciones!O829)</f>
        <v>0</v>
      </c>
      <c r="P829" s="128">
        <f>VLOOKUP(E829,Modificaciones!$B$7:$Q$1819,16,0)</f>
        <v>0</v>
      </c>
      <c r="Q829" s="129">
        <f>COUNTA(Modificaciones!S829,Modificaciones!U829,Modificaciones!W829,Modificaciones!Y829)</f>
        <v>0</v>
      </c>
      <c r="R829" s="130" t="str">
        <f>IF(Modificaciones!Z829=0,"",VLOOKUP(E829,Modificaciones!$B$7:$AA$1419,25,0))</f>
        <v/>
      </c>
      <c r="S829" s="131" t="str">
        <f>IF(Modificaciones!AA805=0,"",VLOOKUP(#REF!,Modificaciones!$B$7:$AA$1419,26,0))</f>
        <v/>
      </c>
      <c r="T829" s="855">
        <f t="shared" si="213"/>
        <v>0</v>
      </c>
      <c r="U829" s="62">
        <f t="shared" si="214"/>
        <v>0</v>
      </c>
      <c r="V829" s="172">
        <f>VLOOKUP(E829,Modificaciones!$B$7:$AU$819,46,0)</f>
        <v>0</v>
      </c>
      <c r="W829" s="93">
        <f t="shared" si="215"/>
        <v>0</v>
      </c>
      <c r="X829" s="1041"/>
      <c r="Y829" s="852" t="e">
        <f t="shared" si="216"/>
        <v>#DIV/0!</v>
      </c>
      <c r="Z829" s="42" t="e">
        <f t="shared" ca="1" si="217"/>
        <v>#DIV/0!</v>
      </c>
      <c r="AA829" s="43" t="e">
        <f t="shared" ca="1" si="218"/>
        <v>#DIV/0!</v>
      </c>
      <c r="AB829" s="202" t="e">
        <f t="shared" ca="1" si="219"/>
        <v>#DIV/0!</v>
      </c>
      <c r="AC829" s="44" t="e">
        <f t="shared" si="220"/>
        <v>#DIV/0!</v>
      </c>
      <c r="AD829" s="868"/>
      <c r="AE829" s="871"/>
      <c r="AF829" s="871"/>
      <c r="AG829" s="868"/>
      <c r="AH829" s="868"/>
      <c r="AI829" s="868"/>
      <c r="AJ829" s="868"/>
      <c r="AK829" s="181" t="str">
        <f t="shared" ca="1" si="221"/>
        <v>TERMINO</v>
      </c>
      <c r="AL829" s="441"/>
      <c r="AM829" s="433"/>
      <c r="AN829" s="848" t="str">
        <f>IFERROR(VLOOKUP(E829,'liquidaciones '!$B$2:$C$1048576,2,0),"NO")</f>
        <v>NO</v>
      </c>
      <c r="AO829" s="944" t="str">
        <f>IFERROR(VLOOKUP(E829,'liquidaciones '!$B$2:$I$1048576,8,0),"")</f>
        <v/>
      </c>
      <c r="AP829" s="433"/>
      <c r="AQ829" s="433"/>
      <c r="AR829" s="1069"/>
      <c r="AS829" s="433"/>
      <c r="AT829" s="964"/>
      <c r="AU829" s="964"/>
      <c r="AV829" s="964"/>
    </row>
    <row r="830" spans="3:48" x14ac:dyDescent="0.25">
      <c r="C830" s="867"/>
      <c r="E830" s="868"/>
      <c r="F830" s="441"/>
      <c r="G830" s="868"/>
      <c r="H830" s="1005"/>
      <c r="I830" s="93"/>
      <c r="J830" s="869"/>
      <c r="K830" s="295"/>
      <c r="L830" s="546"/>
      <c r="M830" s="546"/>
      <c r="N830" s="546"/>
      <c r="O830" s="127">
        <f>COUNTA(Modificaciones!I830,Modificaciones!K830,Modificaciones!M830,Modificaciones!O830)</f>
        <v>0</v>
      </c>
      <c r="P830" s="128">
        <f>VLOOKUP(E830,Modificaciones!$B$7:$Q$1819,16,0)</f>
        <v>0</v>
      </c>
      <c r="Q830" s="129">
        <f>COUNTA(Modificaciones!S830,Modificaciones!U830,Modificaciones!W830,Modificaciones!Y830)</f>
        <v>0</v>
      </c>
      <c r="R830" s="130" t="str">
        <f>IF(Modificaciones!Z830=0,"",VLOOKUP(E830,Modificaciones!$B$7:$AA$1419,25,0))</f>
        <v/>
      </c>
      <c r="S830" s="131" t="str">
        <f>IF(Modificaciones!AA806=0,"",VLOOKUP(#REF!,Modificaciones!$B$7:$AA$1419,26,0))</f>
        <v/>
      </c>
      <c r="T830" s="855">
        <f t="shared" si="213"/>
        <v>0</v>
      </c>
      <c r="U830" s="62">
        <f t="shared" si="214"/>
        <v>0</v>
      </c>
      <c r="V830" s="172">
        <f>VLOOKUP(E830,Modificaciones!$B$7:$AU$819,46,0)</f>
        <v>0</v>
      </c>
      <c r="W830" s="93">
        <f t="shared" si="215"/>
        <v>0</v>
      </c>
      <c r="X830" s="1041"/>
      <c r="Y830" s="852" t="e">
        <f t="shared" si="216"/>
        <v>#DIV/0!</v>
      </c>
      <c r="Z830" s="42" t="e">
        <f t="shared" ca="1" si="217"/>
        <v>#DIV/0!</v>
      </c>
      <c r="AA830" s="43" t="e">
        <f t="shared" ca="1" si="218"/>
        <v>#DIV/0!</v>
      </c>
      <c r="AB830" s="202" t="e">
        <f t="shared" ca="1" si="219"/>
        <v>#DIV/0!</v>
      </c>
      <c r="AC830" s="44" t="e">
        <f t="shared" si="220"/>
        <v>#DIV/0!</v>
      </c>
      <c r="AD830" s="868"/>
      <c r="AE830" s="871"/>
      <c r="AF830" s="871"/>
      <c r="AG830" s="868"/>
      <c r="AH830" s="868"/>
      <c r="AI830" s="868"/>
      <c r="AJ830" s="868"/>
      <c r="AK830" s="181" t="str">
        <f t="shared" ca="1" si="221"/>
        <v>TERMINO</v>
      </c>
      <c r="AL830" s="441"/>
      <c r="AM830" s="433"/>
      <c r="AN830" s="848" t="str">
        <f>IFERROR(VLOOKUP(E830,'liquidaciones '!$B$2:$C$1048576,2,0),"NO")</f>
        <v>NO</v>
      </c>
      <c r="AO830" s="944" t="str">
        <f>IFERROR(VLOOKUP(E830,'liquidaciones '!$B$2:$I$1048576,8,0),"")</f>
        <v/>
      </c>
      <c r="AP830" s="433"/>
      <c r="AQ830" s="433"/>
      <c r="AR830" s="1069"/>
      <c r="AS830" s="433"/>
      <c r="AT830" s="964"/>
      <c r="AU830" s="964"/>
      <c r="AV830" s="964"/>
    </row>
    <row r="831" spans="3:48" x14ac:dyDescent="0.25">
      <c r="C831" s="867"/>
      <c r="E831" s="868"/>
      <c r="F831" s="441"/>
      <c r="G831" s="868"/>
      <c r="H831" s="1005"/>
      <c r="I831" s="93"/>
      <c r="J831" s="869"/>
      <c r="K831" s="295"/>
      <c r="L831" s="546"/>
      <c r="M831" s="546"/>
      <c r="N831" s="546"/>
      <c r="O831" s="127">
        <f>COUNTA(Modificaciones!I831,Modificaciones!K831,Modificaciones!M831,Modificaciones!O831)</f>
        <v>0</v>
      </c>
      <c r="P831" s="128">
        <f>VLOOKUP(E831,Modificaciones!$B$7:$Q$1819,16,0)</f>
        <v>0</v>
      </c>
      <c r="Q831" s="129">
        <f>COUNTA(Modificaciones!S831,Modificaciones!U831,Modificaciones!W831,Modificaciones!Y831)</f>
        <v>0</v>
      </c>
      <c r="R831" s="130" t="str">
        <f>IF(Modificaciones!Z831=0,"",VLOOKUP(E831,Modificaciones!$B$7:$AA$1419,25,0))</f>
        <v/>
      </c>
      <c r="S831" s="131" t="str">
        <f>IF(Modificaciones!AA807=0,"",VLOOKUP(#REF!,Modificaciones!$B$7:$AA$1419,26,0))</f>
        <v/>
      </c>
      <c r="T831" s="855">
        <f t="shared" si="213"/>
        <v>0</v>
      </c>
      <c r="U831" s="62">
        <f t="shared" si="214"/>
        <v>0</v>
      </c>
      <c r="V831" s="172">
        <f>VLOOKUP(E831,Modificaciones!$B$7:$AU$819,46,0)</f>
        <v>0</v>
      </c>
      <c r="W831" s="93">
        <f t="shared" si="215"/>
        <v>0</v>
      </c>
      <c r="X831" s="1041"/>
      <c r="Y831" s="852" t="e">
        <f t="shared" si="216"/>
        <v>#DIV/0!</v>
      </c>
      <c r="Z831" s="42" t="e">
        <f t="shared" ca="1" si="217"/>
        <v>#DIV/0!</v>
      </c>
      <c r="AA831" s="43" t="e">
        <f t="shared" ca="1" si="218"/>
        <v>#DIV/0!</v>
      </c>
      <c r="AB831" s="202" t="e">
        <f t="shared" ca="1" si="219"/>
        <v>#DIV/0!</v>
      </c>
      <c r="AC831" s="44" t="e">
        <f t="shared" si="220"/>
        <v>#DIV/0!</v>
      </c>
      <c r="AD831" s="868"/>
      <c r="AE831" s="871"/>
      <c r="AF831" s="871"/>
      <c r="AG831" s="868"/>
      <c r="AH831" s="868"/>
      <c r="AI831" s="868"/>
      <c r="AJ831" s="868"/>
      <c r="AK831" s="181" t="str">
        <f t="shared" ca="1" si="221"/>
        <v>TERMINO</v>
      </c>
      <c r="AL831" s="441"/>
      <c r="AM831" s="433"/>
      <c r="AN831" s="848" t="str">
        <f>IFERROR(VLOOKUP(E831,'liquidaciones '!$B$2:$C$1048576,2,0),"NO")</f>
        <v>NO</v>
      </c>
      <c r="AO831" s="944" t="str">
        <f>IFERROR(VLOOKUP(E831,'liquidaciones '!$B$2:$I$1048576,8,0),"")</f>
        <v/>
      </c>
      <c r="AP831" s="433"/>
      <c r="AQ831" s="433"/>
      <c r="AR831" s="1069"/>
      <c r="AS831" s="433"/>
      <c r="AT831" s="964"/>
      <c r="AU831" s="964"/>
      <c r="AV831" s="964"/>
    </row>
    <row r="832" spans="3:48" x14ac:dyDescent="0.25">
      <c r="C832" s="867"/>
      <c r="E832" s="868"/>
      <c r="F832" s="441"/>
      <c r="G832" s="868"/>
      <c r="H832" s="1005"/>
      <c r="I832" s="93"/>
      <c r="J832" s="869"/>
      <c r="K832" s="295"/>
      <c r="L832" s="546"/>
      <c r="M832" s="546"/>
      <c r="N832" s="546"/>
      <c r="O832" s="127">
        <f>COUNTA(Modificaciones!I832,Modificaciones!K832,Modificaciones!M832,Modificaciones!O832)</f>
        <v>0</v>
      </c>
      <c r="P832" s="128">
        <f>VLOOKUP(E832,Modificaciones!$B$7:$Q$1819,16,0)</f>
        <v>0</v>
      </c>
      <c r="Q832" s="129">
        <f>COUNTA(Modificaciones!S832,Modificaciones!U832,Modificaciones!W832,Modificaciones!Y832)</f>
        <v>0</v>
      </c>
      <c r="R832" s="130" t="str">
        <f>IF(Modificaciones!Z832=0,"",VLOOKUP(E832,Modificaciones!$B$7:$AA$1419,25,0))</f>
        <v/>
      </c>
      <c r="S832" s="131" t="str">
        <f>IF(Modificaciones!AA808=0,"",VLOOKUP(#REF!,Modificaciones!$B$7:$AA$1419,26,0))</f>
        <v/>
      </c>
      <c r="T832" s="855">
        <f t="shared" si="213"/>
        <v>0</v>
      </c>
      <c r="U832" s="62">
        <f t="shared" si="214"/>
        <v>0</v>
      </c>
      <c r="V832" s="172">
        <f>VLOOKUP(E832,Modificaciones!$B$7:$AU$819,46,0)</f>
        <v>0</v>
      </c>
      <c r="W832" s="93">
        <f t="shared" si="215"/>
        <v>0</v>
      </c>
      <c r="X832" s="1041"/>
      <c r="Y832" s="852" t="e">
        <f t="shared" si="216"/>
        <v>#DIV/0!</v>
      </c>
      <c r="Z832" s="42" t="e">
        <f t="shared" ca="1" si="217"/>
        <v>#DIV/0!</v>
      </c>
      <c r="AA832" s="43" t="e">
        <f t="shared" ca="1" si="218"/>
        <v>#DIV/0!</v>
      </c>
      <c r="AB832" s="202" t="e">
        <f t="shared" ca="1" si="219"/>
        <v>#DIV/0!</v>
      </c>
      <c r="AC832" s="44" t="e">
        <f t="shared" si="220"/>
        <v>#DIV/0!</v>
      </c>
      <c r="AD832" s="868"/>
      <c r="AE832" s="871"/>
      <c r="AF832" s="871"/>
      <c r="AG832" s="868"/>
      <c r="AH832" s="868"/>
      <c r="AI832" s="868"/>
      <c r="AJ832" s="868"/>
      <c r="AK832" s="181" t="str">
        <f t="shared" ca="1" si="221"/>
        <v>TERMINO</v>
      </c>
      <c r="AL832" s="441"/>
      <c r="AM832" s="433"/>
      <c r="AN832" s="848" t="str">
        <f>IFERROR(VLOOKUP(E832,'liquidaciones '!$B$2:$C$1048576,2,0),"NO")</f>
        <v>NO</v>
      </c>
      <c r="AO832" s="944" t="str">
        <f>IFERROR(VLOOKUP(E832,'liquidaciones '!$B$2:$I$1048576,8,0),"")</f>
        <v/>
      </c>
      <c r="AP832" s="433"/>
      <c r="AQ832" s="433"/>
      <c r="AR832" s="1069"/>
      <c r="AS832" s="433"/>
      <c r="AT832" s="964"/>
      <c r="AU832" s="964"/>
      <c r="AV832" s="964"/>
    </row>
    <row r="833" spans="3:48" x14ac:dyDescent="0.25">
      <c r="C833" s="867"/>
      <c r="E833" s="868"/>
      <c r="F833" s="441"/>
      <c r="G833" s="868"/>
      <c r="H833" s="1005"/>
      <c r="I833" s="93"/>
      <c r="J833" s="869"/>
      <c r="K833" s="295"/>
      <c r="L833" s="546"/>
      <c r="M833" s="546"/>
      <c r="N833" s="546"/>
      <c r="O833" s="127">
        <f>COUNTA(Modificaciones!I833,Modificaciones!K833,Modificaciones!M833,Modificaciones!O833)</f>
        <v>0</v>
      </c>
      <c r="P833" s="128">
        <f>VLOOKUP(E833,Modificaciones!$B$7:$Q$1819,16,0)</f>
        <v>0</v>
      </c>
      <c r="Q833" s="129">
        <f>COUNTA(Modificaciones!S833,Modificaciones!U833,Modificaciones!W833,Modificaciones!Y833)</f>
        <v>0</v>
      </c>
      <c r="R833" s="130" t="str">
        <f>IF(Modificaciones!Z833=0,"",VLOOKUP(E833,Modificaciones!$B$7:$AA$1419,25,0))</f>
        <v/>
      </c>
      <c r="S833" s="131" t="str">
        <f>IF(Modificaciones!AA809=0,"",VLOOKUP(#REF!,Modificaciones!$B$7:$AA$1419,26,0))</f>
        <v/>
      </c>
      <c r="T833" s="855">
        <f t="shared" si="213"/>
        <v>0</v>
      </c>
      <c r="U833" s="62">
        <f t="shared" si="214"/>
        <v>0</v>
      </c>
      <c r="V833" s="172">
        <f>VLOOKUP(E833,Modificaciones!$B$7:$AU$819,46,0)</f>
        <v>0</v>
      </c>
      <c r="W833" s="93">
        <f t="shared" si="215"/>
        <v>0</v>
      </c>
      <c r="X833" s="1041"/>
      <c r="Y833" s="852" t="e">
        <f t="shared" si="216"/>
        <v>#DIV/0!</v>
      </c>
      <c r="Z833" s="42" t="e">
        <f t="shared" ca="1" si="217"/>
        <v>#DIV/0!</v>
      </c>
      <c r="AA833" s="43" t="e">
        <f t="shared" ca="1" si="218"/>
        <v>#DIV/0!</v>
      </c>
      <c r="AB833" s="202" t="e">
        <f t="shared" ca="1" si="219"/>
        <v>#DIV/0!</v>
      </c>
      <c r="AC833" s="44" t="e">
        <f t="shared" si="220"/>
        <v>#DIV/0!</v>
      </c>
      <c r="AD833" s="868"/>
      <c r="AE833" s="871"/>
      <c r="AF833" s="871"/>
      <c r="AG833" s="868"/>
      <c r="AH833" s="868"/>
      <c r="AI833" s="868"/>
      <c r="AJ833" s="868"/>
      <c r="AK833" s="181" t="str">
        <f t="shared" ca="1" si="221"/>
        <v>TERMINO</v>
      </c>
      <c r="AL833" s="441"/>
      <c r="AM833" s="433"/>
      <c r="AN833" s="848" t="str">
        <f>IFERROR(VLOOKUP(E833,'liquidaciones '!$B$2:$C$1048576,2,0),"NO")</f>
        <v>NO</v>
      </c>
      <c r="AO833" s="944" t="str">
        <f>IFERROR(VLOOKUP(E833,'liquidaciones '!$B$2:$I$1048576,8,0),"")</f>
        <v/>
      </c>
      <c r="AP833" s="433"/>
      <c r="AQ833" s="433"/>
      <c r="AR833" s="1069"/>
      <c r="AS833" s="433"/>
      <c r="AT833" s="964"/>
      <c r="AU833" s="964"/>
      <c r="AV833" s="964"/>
    </row>
    <row r="834" spans="3:48" x14ac:dyDescent="0.25">
      <c r="C834" s="867"/>
      <c r="E834" s="868"/>
      <c r="F834" s="441"/>
      <c r="G834" s="868"/>
      <c r="H834" s="1005"/>
      <c r="I834" s="93"/>
      <c r="J834" s="869"/>
      <c r="K834" s="295"/>
      <c r="L834" s="546"/>
      <c r="M834" s="546"/>
      <c r="N834" s="546"/>
      <c r="O834" s="127">
        <f>COUNTA(Modificaciones!I834,Modificaciones!K834,Modificaciones!M834,Modificaciones!O834)</f>
        <v>0</v>
      </c>
      <c r="P834" s="128">
        <f>VLOOKUP(E834,Modificaciones!$B$7:$Q$1819,16,0)</f>
        <v>0</v>
      </c>
      <c r="Q834" s="129">
        <f>COUNTA(Modificaciones!S834,Modificaciones!U834,Modificaciones!W834,Modificaciones!Y834)</f>
        <v>0</v>
      </c>
      <c r="R834" s="130" t="str">
        <f>IF(Modificaciones!Z834=0,"",VLOOKUP(E834,Modificaciones!$B$7:$AA$1419,25,0))</f>
        <v/>
      </c>
      <c r="S834" s="131" t="str">
        <f>IF(Modificaciones!AA810=0,"",VLOOKUP(#REF!,Modificaciones!$B$7:$AA$1419,26,0))</f>
        <v/>
      </c>
      <c r="T834" s="855">
        <f t="shared" si="213"/>
        <v>0</v>
      </c>
      <c r="U834" s="62">
        <f t="shared" si="214"/>
        <v>0</v>
      </c>
      <c r="V834" s="172">
        <f>VLOOKUP(E834,Modificaciones!$B$7:$AU$819,46,0)</f>
        <v>0</v>
      </c>
      <c r="W834" s="93">
        <f t="shared" si="215"/>
        <v>0</v>
      </c>
      <c r="X834" s="1041"/>
      <c r="Y834" s="852" t="e">
        <f t="shared" si="216"/>
        <v>#DIV/0!</v>
      </c>
      <c r="Z834" s="42" t="e">
        <f t="shared" ca="1" si="217"/>
        <v>#DIV/0!</v>
      </c>
      <c r="AA834" s="43" t="e">
        <f t="shared" ca="1" si="218"/>
        <v>#DIV/0!</v>
      </c>
      <c r="AB834" s="202" t="e">
        <f t="shared" ca="1" si="219"/>
        <v>#DIV/0!</v>
      </c>
      <c r="AC834" s="44" t="e">
        <f t="shared" si="220"/>
        <v>#DIV/0!</v>
      </c>
      <c r="AD834" s="868"/>
      <c r="AE834" s="871"/>
      <c r="AF834" s="871"/>
      <c r="AG834" s="868"/>
      <c r="AH834" s="868"/>
      <c r="AI834" s="868"/>
      <c r="AJ834" s="868"/>
      <c r="AK834" s="181" t="str">
        <f t="shared" ca="1" si="221"/>
        <v>TERMINO</v>
      </c>
      <c r="AL834" s="441"/>
      <c r="AM834" s="433"/>
      <c r="AN834" s="848" t="str">
        <f>IFERROR(VLOOKUP(E834,'liquidaciones '!$B$2:$C$1048576,2,0),"NO")</f>
        <v>NO</v>
      </c>
      <c r="AO834" s="944" t="str">
        <f>IFERROR(VLOOKUP(E834,'liquidaciones '!$B$2:$I$1048576,8,0),"")</f>
        <v/>
      </c>
      <c r="AP834" s="433"/>
      <c r="AQ834" s="433"/>
      <c r="AR834" s="1069"/>
      <c r="AS834" s="433"/>
      <c r="AT834" s="964"/>
      <c r="AU834" s="964"/>
      <c r="AV834" s="964"/>
    </row>
    <row r="835" spans="3:48" x14ac:dyDescent="0.25">
      <c r="C835" s="867"/>
      <c r="E835" s="868"/>
      <c r="F835" s="441"/>
      <c r="G835" s="868"/>
      <c r="H835" s="1005"/>
      <c r="I835" s="93"/>
      <c r="J835" s="869"/>
      <c r="K835" s="295"/>
      <c r="L835" s="546"/>
      <c r="M835" s="546"/>
      <c r="N835" s="546"/>
      <c r="O835" s="127">
        <f>COUNTA(Modificaciones!I835,Modificaciones!K835,Modificaciones!M835,Modificaciones!O835)</f>
        <v>0</v>
      </c>
      <c r="P835" s="128">
        <f>VLOOKUP(E835,Modificaciones!$B$7:$Q$1819,16,0)</f>
        <v>0</v>
      </c>
      <c r="Q835" s="129">
        <f>COUNTA(Modificaciones!S835,Modificaciones!U835,Modificaciones!W835,Modificaciones!Y835)</f>
        <v>0</v>
      </c>
      <c r="R835" s="130" t="str">
        <f>IF(Modificaciones!Z835=0,"",VLOOKUP(E835,Modificaciones!$B$7:$AA$1419,25,0))</f>
        <v/>
      </c>
      <c r="S835" s="131" t="str">
        <f>IF(Modificaciones!AA811=0,"",VLOOKUP(#REF!,Modificaciones!$B$7:$AA$1419,26,0))</f>
        <v/>
      </c>
      <c r="T835" s="855">
        <f t="shared" si="213"/>
        <v>0</v>
      </c>
      <c r="U835" s="62">
        <f t="shared" si="214"/>
        <v>0</v>
      </c>
      <c r="V835" s="172">
        <f>VLOOKUP(E835,Modificaciones!$B$7:$AU$819,46,0)</f>
        <v>0</v>
      </c>
      <c r="W835" s="93">
        <f t="shared" si="215"/>
        <v>0</v>
      </c>
      <c r="X835" s="1041"/>
      <c r="Y835" s="852" t="e">
        <f t="shared" si="216"/>
        <v>#DIV/0!</v>
      </c>
      <c r="Z835" s="42" t="e">
        <f t="shared" ca="1" si="217"/>
        <v>#DIV/0!</v>
      </c>
      <c r="AA835" s="43" t="e">
        <f t="shared" ca="1" si="218"/>
        <v>#DIV/0!</v>
      </c>
      <c r="AB835" s="202" t="e">
        <f t="shared" ca="1" si="219"/>
        <v>#DIV/0!</v>
      </c>
      <c r="AC835" s="44" t="e">
        <f t="shared" si="220"/>
        <v>#DIV/0!</v>
      </c>
      <c r="AD835" s="868"/>
      <c r="AE835" s="871"/>
      <c r="AF835" s="871"/>
      <c r="AG835" s="868"/>
      <c r="AH835" s="868"/>
      <c r="AI835" s="868"/>
      <c r="AJ835" s="868"/>
      <c r="AK835" s="181" t="str">
        <f t="shared" ca="1" si="221"/>
        <v>TERMINO</v>
      </c>
      <c r="AL835" s="441"/>
      <c r="AM835" s="433"/>
      <c r="AN835" s="848" t="str">
        <f>IFERROR(VLOOKUP(E835,'liquidaciones '!$B$2:$C$1048576,2,0),"NO")</f>
        <v>NO</v>
      </c>
      <c r="AO835" s="944" t="str">
        <f>IFERROR(VLOOKUP(E835,'liquidaciones '!$B$2:$I$1048576,8,0),"")</f>
        <v/>
      </c>
      <c r="AP835" s="433"/>
      <c r="AQ835" s="433"/>
      <c r="AR835" s="1069"/>
      <c r="AS835" s="433"/>
      <c r="AT835" s="964"/>
      <c r="AU835" s="964"/>
      <c r="AV835" s="964"/>
    </row>
    <row r="836" spans="3:48" x14ac:dyDescent="0.25">
      <c r="C836" s="867"/>
      <c r="E836" s="868"/>
      <c r="F836" s="441"/>
      <c r="G836" s="868"/>
      <c r="H836" s="1005"/>
      <c r="I836" s="93"/>
      <c r="J836" s="869"/>
      <c r="K836" s="295"/>
      <c r="L836" s="546"/>
      <c r="M836" s="546"/>
      <c r="N836" s="546"/>
      <c r="O836" s="127">
        <f>COUNTA(Modificaciones!I836,Modificaciones!K836,Modificaciones!M836,Modificaciones!O836)</f>
        <v>0</v>
      </c>
      <c r="P836" s="128">
        <f>VLOOKUP(E836,Modificaciones!$B$7:$Q$1819,16,0)</f>
        <v>0</v>
      </c>
      <c r="Q836" s="129">
        <f>COUNTA(Modificaciones!S836,Modificaciones!U836,Modificaciones!W836,Modificaciones!Y836)</f>
        <v>0</v>
      </c>
      <c r="R836" s="130" t="str">
        <f>IF(Modificaciones!Z836=0,"",VLOOKUP(E836,Modificaciones!$B$7:$AA$1419,25,0))</f>
        <v/>
      </c>
      <c r="S836" s="131" t="str">
        <f>IF(Modificaciones!AA812=0,"",VLOOKUP(#REF!,Modificaciones!$B$7:$AA$1419,26,0))</f>
        <v/>
      </c>
      <c r="T836" s="855">
        <f t="shared" si="213"/>
        <v>0</v>
      </c>
      <c r="U836" s="62">
        <f t="shared" si="214"/>
        <v>0</v>
      </c>
      <c r="V836" s="172">
        <f>VLOOKUP(E836,Modificaciones!$B$7:$AU$819,46,0)</f>
        <v>0</v>
      </c>
      <c r="W836" s="93">
        <f t="shared" si="215"/>
        <v>0</v>
      </c>
      <c r="X836" s="1041"/>
      <c r="Y836" s="852" t="e">
        <f t="shared" si="216"/>
        <v>#DIV/0!</v>
      </c>
      <c r="Z836" s="42" t="e">
        <f t="shared" ca="1" si="217"/>
        <v>#DIV/0!</v>
      </c>
      <c r="AA836" s="43" t="e">
        <f t="shared" ca="1" si="218"/>
        <v>#DIV/0!</v>
      </c>
      <c r="AB836" s="202" t="e">
        <f t="shared" ca="1" si="219"/>
        <v>#DIV/0!</v>
      </c>
      <c r="AC836" s="44" t="e">
        <f t="shared" si="220"/>
        <v>#DIV/0!</v>
      </c>
      <c r="AD836" s="868"/>
      <c r="AE836" s="871"/>
      <c r="AF836" s="871"/>
      <c r="AG836" s="868"/>
      <c r="AH836" s="868"/>
      <c r="AI836" s="868"/>
      <c r="AJ836" s="868"/>
      <c r="AK836" s="181" t="str">
        <f t="shared" ca="1" si="221"/>
        <v>TERMINO</v>
      </c>
      <c r="AL836" s="441"/>
      <c r="AM836" s="433"/>
      <c r="AN836" s="848" t="str">
        <f>IFERROR(VLOOKUP(E836,'liquidaciones '!$B$2:$C$1048576,2,0),"NO")</f>
        <v>NO</v>
      </c>
      <c r="AO836" s="944" t="str">
        <f>IFERROR(VLOOKUP(E836,'liquidaciones '!$B$2:$I$1048576,8,0),"")</f>
        <v/>
      </c>
      <c r="AP836" s="433"/>
      <c r="AQ836" s="433"/>
      <c r="AR836" s="1069"/>
      <c r="AS836" s="1042"/>
      <c r="AT836" s="964"/>
      <c r="AU836" s="964"/>
      <c r="AV836" s="964"/>
    </row>
    <row r="837" spans="3:48" x14ac:dyDescent="0.25">
      <c r="C837" s="867"/>
      <c r="E837" s="868"/>
      <c r="F837" s="441"/>
      <c r="G837" s="868"/>
      <c r="H837" s="1005"/>
      <c r="I837" s="93"/>
      <c r="J837" s="869"/>
      <c r="K837" s="295"/>
      <c r="L837" s="546"/>
      <c r="M837" s="546"/>
      <c r="N837" s="546"/>
      <c r="O837" s="127">
        <f>COUNTA(Modificaciones!I837,Modificaciones!K837,Modificaciones!M837,Modificaciones!O837)</f>
        <v>0</v>
      </c>
      <c r="P837" s="128">
        <f>VLOOKUP(E837,Modificaciones!$B$7:$Q$1819,16,0)</f>
        <v>0</v>
      </c>
      <c r="Q837" s="129">
        <f>COUNTA(Modificaciones!S837,Modificaciones!U837,Modificaciones!W837,Modificaciones!Y837)</f>
        <v>0</v>
      </c>
      <c r="R837" s="130" t="str">
        <f>IF(Modificaciones!Z837=0,"",VLOOKUP(E837,Modificaciones!$B$7:$AA$1419,25,0))</f>
        <v/>
      </c>
      <c r="S837" s="131" t="str">
        <f>IF(Modificaciones!AA813=0,"",VLOOKUP(#REF!,Modificaciones!$B$7:$AA$1419,26,0))</f>
        <v/>
      </c>
      <c r="T837" s="855">
        <f t="shared" si="213"/>
        <v>0</v>
      </c>
      <c r="U837" s="62">
        <f t="shared" si="214"/>
        <v>0</v>
      </c>
      <c r="V837" s="172">
        <f>VLOOKUP(E837,Modificaciones!$B$7:$AU$819,46,0)</f>
        <v>0</v>
      </c>
      <c r="W837" s="93">
        <f t="shared" si="215"/>
        <v>0</v>
      </c>
      <c r="X837" s="1041"/>
      <c r="Y837" s="852" t="e">
        <f t="shared" si="216"/>
        <v>#DIV/0!</v>
      </c>
      <c r="Z837" s="42" t="e">
        <f t="shared" ca="1" si="217"/>
        <v>#DIV/0!</v>
      </c>
      <c r="AA837" s="43" t="e">
        <f t="shared" ca="1" si="218"/>
        <v>#DIV/0!</v>
      </c>
      <c r="AB837" s="202" t="e">
        <f t="shared" ca="1" si="219"/>
        <v>#DIV/0!</v>
      </c>
      <c r="AC837" s="44" t="e">
        <f t="shared" si="220"/>
        <v>#DIV/0!</v>
      </c>
      <c r="AD837" s="868"/>
      <c r="AE837" s="871"/>
      <c r="AF837" s="871"/>
      <c r="AG837" s="868"/>
      <c r="AH837" s="868"/>
      <c r="AI837" s="868"/>
      <c r="AJ837" s="868"/>
      <c r="AK837" s="181" t="str">
        <f t="shared" ca="1" si="221"/>
        <v>TERMINO</v>
      </c>
      <c r="AL837" s="441"/>
      <c r="AM837" s="433"/>
      <c r="AN837" s="848" t="str">
        <f>IFERROR(VLOOKUP(E837,'liquidaciones '!$B$2:$C$1048576,2,0),"NO")</f>
        <v>NO</v>
      </c>
      <c r="AO837" s="944" t="str">
        <f>IFERROR(VLOOKUP(E837,'liquidaciones '!$B$2:$I$1048576,8,0),"")</f>
        <v/>
      </c>
      <c r="AP837" s="433"/>
      <c r="AQ837" s="433"/>
      <c r="AR837" s="1069"/>
      <c r="AS837" s="1042"/>
      <c r="AT837" s="964"/>
      <c r="AU837" s="964"/>
      <c r="AV837" s="964"/>
    </row>
    <row r="838" spans="3:48" x14ac:dyDescent="0.25">
      <c r="C838" s="867"/>
      <c r="E838" s="868"/>
      <c r="F838" s="441"/>
      <c r="G838" s="868"/>
      <c r="H838" s="1005"/>
      <c r="I838" s="93"/>
      <c r="J838" s="869"/>
      <c r="K838" s="295"/>
      <c r="L838" s="546"/>
      <c r="M838" s="546"/>
      <c r="N838" s="546"/>
      <c r="O838" s="127">
        <f>COUNTA(Modificaciones!I838,Modificaciones!K838,Modificaciones!M838,Modificaciones!O838)</f>
        <v>0</v>
      </c>
      <c r="P838" s="128">
        <f>VLOOKUP(E838,Modificaciones!$B$7:$Q$1819,16,0)</f>
        <v>0</v>
      </c>
      <c r="Q838" s="129">
        <f>COUNTA(Modificaciones!S838,Modificaciones!U838,Modificaciones!W838,Modificaciones!Y838)</f>
        <v>0</v>
      </c>
      <c r="R838" s="130" t="str">
        <f>IF(Modificaciones!Z838=0,"",VLOOKUP(E838,Modificaciones!$B$7:$AA$1419,25,0))</f>
        <v/>
      </c>
      <c r="S838" s="131" t="str">
        <f>IF(Modificaciones!AA814=0,"",VLOOKUP(#REF!,Modificaciones!$B$7:$AA$1419,26,0))</f>
        <v/>
      </c>
      <c r="T838" s="855">
        <f t="shared" si="213"/>
        <v>0</v>
      </c>
      <c r="U838" s="62">
        <f t="shared" si="214"/>
        <v>0</v>
      </c>
      <c r="V838" s="172">
        <f>VLOOKUP(E838,Modificaciones!$B$7:$AU$819,46,0)</f>
        <v>0</v>
      </c>
      <c r="W838" s="93">
        <f t="shared" si="215"/>
        <v>0</v>
      </c>
      <c r="X838" s="1041"/>
      <c r="Y838" s="852" t="e">
        <f t="shared" si="216"/>
        <v>#DIV/0!</v>
      </c>
      <c r="Z838" s="42" t="e">
        <f t="shared" ca="1" si="217"/>
        <v>#DIV/0!</v>
      </c>
      <c r="AA838" s="43" t="e">
        <f t="shared" ca="1" si="218"/>
        <v>#DIV/0!</v>
      </c>
      <c r="AB838" s="202" t="e">
        <f t="shared" ca="1" si="219"/>
        <v>#DIV/0!</v>
      </c>
      <c r="AC838" s="44" t="e">
        <f t="shared" si="220"/>
        <v>#DIV/0!</v>
      </c>
      <c r="AD838" s="868"/>
      <c r="AE838" s="871"/>
      <c r="AF838" s="871"/>
      <c r="AG838" s="868"/>
      <c r="AH838" s="868"/>
      <c r="AI838" s="868"/>
      <c r="AJ838" s="868"/>
      <c r="AK838" s="181" t="str">
        <f t="shared" ca="1" si="221"/>
        <v>TERMINO</v>
      </c>
      <c r="AL838" s="441"/>
      <c r="AM838" s="433"/>
      <c r="AN838" s="848" t="str">
        <f>IFERROR(VLOOKUP(E838,'liquidaciones '!$B$2:$C$1048576,2,0),"NO")</f>
        <v>NO</v>
      </c>
      <c r="AO838" s="944" t="str">
        <f>IFERROR(VLOOKUP(E838,'liquidaciones '!$B$2:$I$1048576,8,0),"")</f>
        <v/>
      </c>
      <c r="AP838" s="433"/>
      <c r="AQ838" s="433"/>
      <c r="AR838" s="1069"/>
      <c r="AS838" s="1042"/>
      <c r="AT838" s="964"/>
      <c r="AU838" s="964"/>
      <c r="AV838" s="964"/>
    </row>
    <row r="839" spans="3:48" x14ac:dyDescent="0.25">
      <c r="C839" s="867"/>
      <c r="E839" s="868"/>
      <c r="F839" s="441"/>
      <c r="G839" s="868"/>
      <c r="H839" s="1005"/>
      <c r="I839" s="93"/>
      <c r="J839" s="869"/>
      <c r="K839" s="295"/>
      <c r="L839" s="546"/>
      <c r="M839" s="546"/>
      <c r="N839" s="546"/>
      <c r="O839" s="127">
        <f>COUNTA(Modificaciones!I839,Modificaciones!K839,Modificaciones!M839,Modificaciones!O839)</f>
        <v>0</v>
      </c>
      <c r="P839" s="128">
        <f>VLOOKUP(E839,Modificaciones!$B$7:$Q$1819,16,0)</f>
        <v>0</v>
      </c>
      <c r="Q839" s="129">
        <f>COUNTA(Modificaciones!S839,Modificaciones!U839,Modificaciones!W839,Modificaciones!Y839)</f>
        <v>0</v>
      </c>
      <c r="R839" s="130" t="str">
        <f>IF(Modificaciones!Z839=0,"",VLOOKUP(E839,Modificaciones!$B$7:$AA$1419,25,0))</f>
        <v/>
      </c>
      <c r="S839" s="131" t="str">
        <f>IF(Modificaciones!AA815=0,"",VLOOKUP(#REF!,Modificaciones!$B$7:$AA$1419,26,0))</f>
        <v/>
      </c>
      <c r="T839" s="855">
        <f t="shared" si="213"/>
        <v>0</v>
      </c>
      <c r="U839" s="62">
        <f t="shared" si="214"/>
        <v>0</v>
      </c>
      <c r="V839" s="172">
        <f>VLOOKUP(E839,Modificaciones!$B$7:$AU$819,46,0)</f>
        <v>0</v>
      </c>
      <c r="W839" s="93">
        <f t="shared" si="215"/>
        <v>0</v>
      </c>
      <c r="X839" s="1041"/>
      <c r="Y839" s="852" t="e">
        <f t="shared" si="216"/>
        <v>#DIV/0!</v>
      </c>
      <c r="Z839" s="42" t="e">
        <f t="shared" ca="1" si="217"/>
        <v>#DIV/0!</v>
      </c>
      <c r="AA839" s="43" t="e">
        <f t="shared" ca="1" si="218"/>
        <v>#DIV/0!</v>
      </c>
      <c r="AB839" s="202" t="e">
        <f t="shared" ca="1" si="219"/>
        <v>#DIV/0!</v>
      </c>
      <c r="AC839" s="44" t="e">
        <f t="shared" si="220"/>
        <v>#DIV/0!</v>
      </c>
      <c r="AD839" s="868"/>
      <c r="AE839" s="871"/>
      <c r="AF839" s="871"/>
      <c r="AG839" s="868"/>
      <c r="AH839" s="868"/>
      <c r="AI839" s="868"/>
      <c r="AJ839" s="868"/>
      <c r="AK839" s="181" t="str">
        <f t="shared" ca="1" si="221"/>
        <v>TERMINO</v>
      </c>
      <c r="AL839" s="441"/>
      <c r="AM839" s="433"/>
      <c r="AN839" s="848" t="str">
        <f>IFERROR(VLOOKUP(E839,'liquidaciones '!$B$2:$C$1048576,2,0),"NO")</f>
        <v>NO</v>
      </c>
      <c r="AO839" s="944" t="str">
        <f>IFERROR(VLOOKUP(E839,'liquidaciones '!$B$2:$I$1048576,8,0),"")</f>
        <v/>
      </c>
      <c r="AP839" s="433"/>
      <c r="AQ839" s="433"/>
      <c r="AR839" s="1069"/>
      <c r="AS839" s="1042"/>
      <c r="AT839" s="964"/>
      <c r="AU839" s="964"/>
      <c r="AV839" s="964"/>
    </row>
    <row r="840" spans="3:48" x14ac:dyDescent="0.25">
      <c r="C840" s="867"/>
      <c r="E840" s="868"/>
      <c r="F840" s="441"/>
      <c r="G840" s="868"/>
      <c r="H840" s="1005"/>
      <c r="I840" s="93"/>
      <c r="J840" s="869"/>
      <c r="K840" s="295"/>
      <c r="L840" s="546"/>
      <c r="M840" s="546"/>
      <c r="N840" s="546"/>
      <c r="O840" s="127">
        <f>COUNTA(Modificaciones!I840,Modificaciones!K840,Modificaciones!M840,Modificaciones!O840)</f>
        <v>0</v>
      </c>
      <c r="P840" s="128">
        <f>VLOOKUP(E840,Modificaciones!$B$7:$Q$1819,16,0)</f>
        <v>0</v>
      </c>
      <c r="Q840" s="129">
        <f>COUNTA(Modificaciones!S840,Modificaciones!U840,Modificaciones!W840,Modificaciones!Y840)</f>
        <v>0</v>
      </c>
      <c r="R840" s="130" t="str">
        <f>IF(Modificaciones!Z840=0,"",VLOOKUP(E840,Modificaciones!$B$7:$AA$1419,25,0))</f>
        <v/>
      </c>
      <c r="S840" s="131" t="str">
        <f>IF(Modificaciones!AA816=0,"",VLOOKUP(#REF!,Modificaciones!$B$7:$AA$1419,26,0))</f>
        <v/>
      </c>
      <c r="T840" s="855">
        <f t="shared" si="213"/>
        <v>0</v>
      </c>
      <c r="U840" s="62">
        <f t="shared" si="214"/>
        <v>0</v>
      </c>
      <c r="V840" s="172">
        <f>VLOOKUP(E840,Modificaciones!$B$7:$AU$819,46,0)</f>
        <v>0</v>
      </c>
      <c r="W840" s="93">
        <f t="shared" si="215"/>
        <v>0</v>
      </c>
      <c r="X840" s="1041"/>
      <c r="Y840" s="852" t="e">
        <f t="shared" si="216"/>
        <v>#DIV/0!</v>
      </c>
      <c r="Z840" s="42" t="e">
        <f t="shared" ca="1" si="217"/>
        <v>#DIV/0!</v>
      </c>
      <c r="AA840" s="43" t="e">
        <f t="shared" ca="1" si="218"/>
        <v>#DIV/0!</v>
      </c>
      <c r="AB840" s="202" t="e">
        <f t="shared" ca="1" si="219"/>
        <v>#DIV/0!</v>
      </c>
      <c r="AC840" s="44" t="e">
        <f t="shared" si="220"/>
        <v>#DIV/0!</v>
      </c>
      <c r="AD840" s="868"/>
      <c r="AE840" s="871"/>
      <c r="AF840" s="871"/>
      <c r="AG840" s="868"/>
      <c r="AH840" s="868"/>
      <c r="AI840" s="868"/>
      <c r="AJ840" s="868"/>
      <c r="AK840" s="181" t="str">
        <f t="shared" ca="1" si="221"/>
        <v>TERMINO</v>
      </c>
      <c r="AL840" s="441"/>
      <c r="AM840" s="433"/>
      <c r="AN840" s="848" t="str">
        <f>IFERROR(VLOOKUP(E840,'liquidaciones '!$B$2:$C$1048576,2,0),"NO")</f>
        <v>NO</v>
      </c>
      <c r="AO840" s="944" t="str">
        <f>IFERROR(VLOOKUP(E840,'liquidaciones '!$B$2:$I$1048576,8,0),"")</f>
        <v/>
      </c>
      <c r="AP840" s="433"/>
      <c r="AQ840" s="433"/>
      <c r="AR840" s="1069"/>
      <c r="AS840" s="1042"/>
      <c r="AT840" s="964"/>
      <c r="AU840" s="964"/>
      <c r="AV840" s="964"/>
    </row>
    <row r="841" spans="3:48" x14ac:dyDescent="0.25">
      <c r="C841" s="867"/>
      <c r="E841" s="868"/>
      <c r="F841" s="441"/>
      <c r="G841" s="868"/>
      <c r="H841" s="1005"/>
      <c r="I841" s="93"/>
      <c r="J841" s="869"/>
      <c r="K841" s="295"/>
      <c r="L841" s="546"/>
      <c r="M841" s="546"/>
      <c r="N841" s="546"/>
      <c r="O841" s="127">
        <f>COUNTA(Modificaciones!I841,Modificaciones!K841,Modificaciones!M841,Modificaciones!O841)</f>
        <v>0</v>
      </c>
      <c r="P841" s="128">
        <f>VLOOKUP(E841,Modificaciones!$B$7:$Q$1819,16,0)</f>
        <v>0</v>
      </c>
      <c r="Q841" s="129">
        <f>COUNTA(Modificaciones!S841,Modificaciones!U841,Modificaciones!W841,Modificaciones!Y841)</f>
        <v>0</v>
      </c>
      <c r="R841" s="130" t="str">
        <f>IF(Modificaciones!Z841=0,"",VLOOKUP(E841,Modificaciones!$B$7:$AA$1419,25,0))</f>
        <v/>
      </c>
      <c r="S841" s="131" t="str">
        <f>IF(Modificaciones!AA817=0,"",VLOOKUP(#REF!,Modificaciones!$B$7:$AA$1419,26,0))</f>
        <v/>
      </c>
      <c r="T841" s="855">
        <f t="shared" si="213"/>
        <v>0</v>
      </c>
      <c r="U841" s="62">
        <f t="shared" si="214"/>
        <v>0</v>
      </c>
      <c r="V841" s="172">
        <f>VLOOKUP(E841,Modificaciones!$B$7:$AU$819,46,0)</f>
        <v>0</v>
      </c>
      <c r="W841" s="93">
        <f t="shared" si="215"/>
        <v>0</v>
      </c>
      <c r="X841" s="1041"/>
      <c r="Y841" s="852" t="e">
        <f t="shared" si="216"/>
        <v>#DIV/0!</v>
      </c>
      <c r="Z841" s="42" t="e">
        <f t="shared" ca="1" si="217"/>
        <v>#DIV/0!</v>
      </c>
      <c r="AA841" s="43" t="e">
        <f t="shared" ca="1" si="218"/>
        <v>#DIV/0!</v>
      </c>
      <c r="AB841" s="202" t="e">
        <f t="shared" ca="1" si="219"/>
        <v>#DIV/0!</v>
      </c>
      <c r="AC841" s="44" t="e">
        <f t="shared" si="220"/>
        <v>#DIV/0!</v>
      </c>
      <c r="AD841" s="868"/>
      <c r="AE841" s="871"/>
      <c r="AF841" s="871"/>
      <c r="AG841" s="868"/>
      <c r="AH841" s="868"/>
      <c r="AI841" s="868"/>
      <c r="AJ841" s="868"/>
      <c r="AK841" s="181" t="str">
        <f t="shared" ca="1" si="221"/>
        <v>TERMINO</v>
      </c>
      <c r="AL841" s="441"/>
      <c r="AM841" s="433"/>
      <c r="AN841" s="848" t="str">
        <f>IFERROR(VLOOKUP(E841,'liquidaciones '!$B$2:$C$1048576,2,0),"NO")</f>
        <v>NO</v>
      </c>
      <c r="AO841" s="944" t="str">
        <f>IFERROR(VLOOKUP(E841,'liquidaciones '!$B$2:$I$1048576,8,0),"")</f>
        <v/>
      </c>
      <c r="AP841" s="433"/>
      <c r="AQ841" s="433"/>
      <c r="AR841" s="1069"/>
      <c r="AS841" s="1042"/>
      <c r="AT841" s="964"/>
      <c r="AU841" s="964"/>
      <c r="AV841" s="964"/>
    </row>
    <row r="842" spans="3:48" x14ac:dyDescent="0.25">
      <c r="C842" s="867"/>
      <c r="E842" s="868"/>
      <c r="F842" s="441"/>
      <c r="G842" s="868"/>
      <c r="H842" s="1005"/>
      <c r="I842" s="93"/>
      <c r="J842" s="869"/>
      <c r="K842" s="295"/>
      <c r="L842" s="546"/>
      <c r="M842" s="546"/>
      <c r="N842" s="546"/>
      <c r="O842" s="127">
        <f>COUNTA(Modificaciones!I842,Modificaciones!K842,Modificaciones!M842,Modificaciones!O842)</f>
        <v>0</v>
      </c>
      <c r="P842" s="128">
        <f>VLOOKUP(E842,Modificaciones!$B$7:$Q$1819,16,0)</f>
        <v>0</v>
      </c>
      <c r="Q842" s="129">
        <f>COUNTA(Modificaciones!S842,Modificaciones!U842,Modificaciones!W842,Modificaciones!Y842)</f>
        <v>0</v>
      </c>
      <c r="R842" s="130" t="str">
        <f>IF(Modificaciones!Z842=0,"",VLOOKUP(E842,Modificaciones!$B$7:$AA$1419,25,0))</f>
        <v/>
      </c>
      <c r="S842" s="131" t="str">
        <f>IF(Modificaciones!AA818=0,"",VLOOKUP(#REF!,Modificaciones!$B$7:$AA$1419,26,0))</f>
        <v/>
      </c>
      <c r="T842" s="855">
        <f t="shared" si="213"/>
        <v>0</v>
      </c>
      <c r="U842" s="62">
        <f t="shared" si="214"/>
        <v>0</v>
      </c>
      <c r="V842" s="172">
        <f>VLOOKUP(E842,Modificaciones!$B$7:$AU$819,46,0)</f>
        <v>0</v>
      </c>
      <c r="W842" s="93">
        <f t="shared" si="215"/>
        <v>0</v>
      </c>
      <c r="X842" s="1041"/>
      <c r="Y842" s="852" t="e">
        <f t="shared" si="216"/>
        <v>#DIV/0!</v>
      </c>
      <c r="Z842" s="42" t="e">
        <f t="shared" ca="1" si="217"/>
        <v>#DIV/0!</v>
      </c>
      <c r="AA842" s="43" t="e">
        <f t="shared" ca="1" si="218"/>
        <v>#DIV/0!</v>
      </c>
      <c r="AB842" s="202" t="e">
        <f t="shared" ca="1" si="219"/>
        <v>#DIV/0!</v>
      </c>
      <c r="AC842" s="44" t="e">
        <f t="shared" si="220"/>
        <v>#DIV/0!</v>
      </c>
      <c r="AD842" s="868"/>
      <c r="AE842" s="871"/>
      <c r="AF842" s="871"/>
      <c r="AG842" s="868"/>
      <c r="AH842" s="868"/>
      <c r="AI842" s="868"/>
      <c r="AJ842" s="868"/>
      <c r="AK842" s="181" t="str">
        <f t="shared" ca="1" si="221"/>
        <v>TERMINO</v>
      </c>
      <c r="AL842" s="441"/>
      <c r="AM842" s="433"/>
      <c r="AN842" s="848" t="str">
        <f>IFERROR(VLOOKUP(E842,'liquidaciones '!$B$2:$C$1048576,2,0),"NO")</f>
        <v>NO</v>
      </c>
      <c r="AO842" s="944" t="str">
        <f>IFERROR(VLOOKUP(E842,'liquidaciones '!$B$2:$I$1048576,8,0),"")</f>
        <v/>
      </c>
      <c r="AP842" s="433"/>
      <c r="AQ842" s="433"/>
      <c r="AR842" s="1069"/>
      <c r="AS842" s="1042"/>
      <c r="AT842" s="964"/>
      <c r="AU842" s="964"/>
      <c r="AV842" s="964"/>
    </row>
    <row r="843" spans="3:48" x14ac:dyDescent="0.25">
      <c r="C843" s="867"/>
      <c r="E843" s="868"/>
      <c r="F843" s="441"/>
      <c r="G843" s="868"/>
      <c r="H843" s="1005"/>
      <c r="I843" s="93"/>
      <c r="J843" s="869"/>
      <c r="K843" s="295"/>
      <c r="L843" s="546"/>
      <c r="M843" s="546"/>
      <c r="N843" s="546"/>
      <c r="O843" s="127">
        <f>COUNTA(Modificaciones!I843,Modificaciones!K843,Modificaciones!M843,Modificaciones!O843)</f>
        <v>0</v>
      </c>
      <c r="P843" s="128">
        <f>VLOOKUP(E843,Modificaciones!$B$7:$Q$1819,16,0)</f>
        <v>0</v>
      </c>
      <c r="Q843" s="129">
        <f>COUNTA(Modificaciones!S843,Modificaciones!U843,Modificaciones!W843,Modificaciones!Y843)</f>
        <v>0</v>
      </c>
      <c r="R843" s="130" t="str">
        <f>IF(Modificaciones!Z843=0,"",VLOOKUP(E843,Modificaciones!$B$7:$AA$1419,25,0))</f>
        <v/>
      </c>
      <c r="S843" s="131" t="str">
        <f>IF(Modificaciones!AA819=0,"",VLOOKUP(#REF!,Modificaciones!$B$7:$AA$1419,26,0))</f>
        <v/>
      </c>
      <c r="T843" s="855">
        <f t="shared" si="213"/>
        <v>0</v>
      </c>
      <c r="U843" s="62">
        <f t="shared" si="214"/>
        <v>0</v>
      </c>
      <c r="V843" s="172">
        <f>VLOOKUP(E843,Modificaciones!$B$7:$AU$819,46,0)</f>
        <v>0</v>
      </c>
      <c r="W843" s="93">
        <f t="shared" si="215"/>
        <v>0</v>
      </c>
      <c r="X843" s="1041"/>
      <c r="Y843" s="852" t="e">
        <f t="shared" si="216"/>
        <v>#DIV/0!</v>
      </c>
      <c r="Z843" s="42" t="e">
        <f t="shared" ca="1" si="217"/>
        <v>#DIV/0!</v>
      </c>
      <c r="AA843" s="43" t="e">
        <f t="shared" ca="1" si="218"/>
        <v>#DIV/0!</v>
      </c>
      <c r="AB843" s="202" t="e">
        <f t="shared" ca="1" si="219"/>
        <v>#DIV/0!</v>
      </c>
      <c r="AC843" s="44" t="e">
        <f t="shared" si="220"/>
        <v>#DIV/0!</v>
      </c>
      <c r="AD843" s="868"/>
      <c r="AE843" s="871"/>
      <c r="AF843" s="871"/>
      <c r="AG843" s="868"/>
      <c r="AH843" s="868"/>
      <c r="AI843" s="868"/>
      <c r="AJ843" s="868"/>
      <c r="AK843" s="181" t="str">
        <f t="shared" ca="1" si="221"/>
        <v>TERMINO</v>
      </c>
      <c r="AL843" s="441"/>
      <c r="AM843" s="433"/>
      <c r="AN843" s="848" t="str">
        <f>IFERROR(VLOOKUP(E843,'liquidaciones '!$B$2:$C$1048576,2,0),"NO")</f>
        <v>NO</v>
      </c>
      <c r="AO843" s="944" t="str">
        <f>IFERROR(VLOOKUP(E843,'liquidaciones '!$B$2:$I$1048576,8,0),"")</f>
        <v/>
      </c>
      <c r="AP843" s="433"/>
      <c r="AQ843" s="433"/>
      <c r="AR843" s="1069"/>
      <c r="AS843" s="1042"/>
      <c r="AT843" s="964"/>
      <c r="AU843" s="964"/>
      <c r="AV843" s="964"/>
    </row>
    <row r="844" spans="3:48" x14ac:dyDescent="0.25">
      <c r="C844" s="867"/>
      <c r="E844" s="868"/>
      <c r="F844" s="441"/>
      <c r="G844" s="868"/>
      <c r="H844" s="1005"/>
      <c r="I844" s="93"/>
      <c r="J844" s="869"/>
      <c r="K844" s="295"/>
      <c r="L844" s="546"/>
      <c r="M844" s="546"/>
      <c r="N844" s="546"/>
      <c r="O844" s="127">
        <f>COUNTA(Modificaciones!I844,Modificaciones!K844,Modificaciones!M844,Modificaciones!O844)</f>
        <v>0</v>
      </c>
      <c r="P844" s="128">
        <f>VLOOKUP(E844,Modificaciones!$B$7:$Q$1819,16,0)</f>
        <v>0</v>
      </c>
      <c r="Q844" s="129">
        <f>COUNTA(Modificaciones!S844,Modificaciones!U844,Modificaciones!W844,Modificaciones!Y844)</f>
        <v>0</v>
      </c>
      <c r="R844" s="130" t="str">
        <f>IF(Modificaciones!Z844=0,"",VLOOKUP(E844,Modificaciones!$B$7:$AA$1419,25,0))</f>
        <v/>
      </c>
      <c r="S844" s="131" t="str">
        <f>IF(Modificaciones!AA820=0,"",VLOOKUP(#REF!,Modificaciones!$B$7:$AA$1419,26,0))</f>
        <v/>
      </c>
      <c r="T844" s="855">
        <f t="shared" si="213"/>
        <v>0</v>
      </c>
      <c r="U844" s="62">
        <f t="shared" si="214"/>
        <v>0</v>
      </c>
      <c r="V844" s="172">
        <f>VLOOKUP(E844,Modificaciones!$B$7:$AU$819,46,0)</f>
        <v>0</v>
      </c>
      <c r="W844" s="93">
        <f t="shared" si="215"/>
        <v>0</v>
      </c>
      <c r="X844" s="1041"/>
      <c r="Y844" s="852" t="e">
        <f t="shared" si="216"/>
        <v>#DIV/0!</v>
      </c>
      <c r="Z844" s="42" t="e">
        <f t="shared" ca="1" si="217"/>
        <v>#DIV/0!</v>
      </c>
      <c r="AA844" s="43" t="e">
        <f t="shared" ca="1" si="218"/>
        <v>#DIV/0!</v>
      </c>
      <c r="AB844" s="202" t="e">
        <f t="shared" ca="1" si="219"/>
        <v>#DIV/0!</v>
      </c>
      <c r="AC844" s="44" t="e">
        <f t="shared" si="220"/>
        <v>#DIV/0!</v>
      </c>
      <c r="AD844" s="868"/>
      <c r="AE844" s="871"/>
      <c r="AF844" s="871"/>
      <c r="AG844" s="868"/>
      <c r="AH844" s="868"/>
      <c r="AI844" s="868"/>
      <c r="AJ844" s="868"/>
      <c r="AK844" s="181" t="str">
        <f t="shared" ca="1" si="221"/>
        <v>TERMINO</v>
      </c>
      <c r="AL844" s="441"/>
      <c r="AM844" s="433"/>
      <c r="AN844" s="848" t="str">
        <f>IFERROR(VLOOKUP(E844,'liquidaciones '!$B$2:$C$1048576,2,0),"NO")</f>
        <v>NO</v>
      </c>
      <c r="AO844" s="944" t="str">
        <f>IFERROR(VLOOKUP(E844,'liquidaciones '!$B$2:$I$1048576,8,0),"")</f>
        <v/>
      </c>
      <c r="AP844" s="433"/>
      <c r="AQ844" s="433"/>
      <c r="AR844" s="1069"/>
      <c r="AS844" s="1042"/>
      <c r="AT844" s="964"/>
      <c r="AU844" s="964"/>
      <c r="AV844" s="964"/>
    </row>
    <row r="845" spans="3:48" x14ac:dyDescent="0.25">
      <c r="C845" s="867"/>
      <c r="E845" s="868"/>
      <c r="F845" s="441"/>
      <c r="G845" s="868"/>
      <c r="H845" s="1005"/>
      <c r="I845" s="93"/>
      <c r="J845" s="869"/>
      <c r="K845" s="295"/>
      <c r="L845" s="546"/>
      <c r="M845" s="870"/>
      <c r="N845" s="870"/>
      <c r="O845" s="127">
        <f>COUNTA(Modificaciones!I845,Modificaciones!K845,Modificaciones!M845,Modificaciones!O845)</f>
        <v>0</v>
      </c>
      <c r="P845" s="128">
        <f>VLOOKUP(E845,Modificaciones!$B$7:$Q$1819,16,0)</f>
        <v>0</v>
      </c>
      <c r="Q845" s="129">
        <f>COUNTA(Modificaciones!S845,Modificaciones!U845,Modificaciones!W845,Modificaciones!Y845)</f>
        <v>0</v>
      </c>
      <c r="R845" s="130" t="str">
        <f>IF(Modificaciones!Z845=0,"",VLOOKUP(E845,Modificaciones!$B$7:$AA$1419,25,0))</f>
        <v/>
      </c>
      <c r="S845" s="131" t="str">
        <f>IF(Modificaciones!AA821=0,"",VLOOKUP(#REF!,Modificaciones!$B$7:$AA$1419,26,0))</f>
        <v/>
      </c>
      <c r="T845" s="855">
        <f t="shared" si="213"/>
        <v>0</v>
      </c>
      <c r="U845" s="62">
        <f t="shared" si="214"/>
        <v>0</v>
      </c>
      <c r="V845" s="172">
        <f>VLOOKUP(E845,Modificaciones!$B$7:$AU$819,46,0)</f>
        <v>0</v>
      </c>
      <c r="W845" s="93">
        <f t="shared" si="215"/>
        <v>0</v>
      </c>
      <c r="X845" s="1041"/>
      <c r="Y845" s="852" t="e">
        <f t="shared" si="216"/>
        <v>#DIV/0!</v>
      </c>
      <c r="Z845" s="42" t="e">
        <f t="shared" ca="1" si="217"/>
        <v>#DIV/0!</v>
      </c>
      <c r="AA845" s="43" t="e">
        <f t="shared" ca="1" si="218"/>
        <v>#DIV/0!</v>
      </c>
      <c r="AB845" s="202" t="e">
        <f t="shared" ca="1" si="219"/>
        <v>#DIV/0!</v>
      </c>
      <c r="AC845" s="44" t="e">
        <f t="shared" si="220"/>
        <v>#DIV/0!</v>
      </c>
      <c r="AD845" s="868"/>
      <c r="AE845" s="871"/>
      <c r="AF845" s="871"/>
      <c r="AG845" s="868"/>
      <c r="AH845" s="868"/>
      <c r="AI845" s="868"/>
      <c r="AJ845" s="868"/>
      <c r="AK845" s="181" t="str">
        <f t="shared" ca="1" si="221"/>
        <v>TERMINO</v>
      </c>
      <c r="AL845" s="441"/>
      <c r="AM845" s="433"/>
      <c r="AN845" s="848" t="str">
        <f>IFERROR(VLOOKUP(E845,'liquidaciones '!$B$2:$C$1048576,2,0),"NO")</f>
        <v>NO</v>
      </c>
      <c r="AO845" s="944" t="str">
        <f>IFERROR(VLOOKUP(E845,'liquidaciones '!$B$2:$I$1048576,8,0),"")</f>
        <v/>
      </c>
      <c r="AP845" s="433"/>
      <c r="AQ845" s="433"/>
      <c r="AR845" s="1069"/>
      <c r="AS845" s="1042"/>
      <c r="AT845" s="964"/>
      <c r="AU845" s="964"/>
      <c r="AV845" s="964"/>
    </row>
    <row r="846" spans="3:48" x14ac:dyDescent="0.25">
      <c r="C846" s="867"/>
      <c r="E846" s="868"/>
      <c r="F846" s="441"/>
      <c r="G846" s="868"/>
      <c r="H846" s="1005"/>
      <c r="I846" s="93"/>
      <c r="J846" s="869"/>
      <c r="K846" s="295"/>
      <c r="L846" s="546"/>
      <c r="M846" s="870"/>
      <c r="N846" s="870"/>
      <c r="O846" s="127">
        <f>COUNTA(Modificaciones!I846,Modificaciones!K846,Modificaciones!M846,Modificaciones!O846)</f>
        <v>0</v>
      </c>
      <c r="P846" s="128">
        <f>VLOOKUP(E846,Modificaciones!$B$7:$Q$1819,16,0)</f>
        <v>0</v>
      </c>
      <c r="Q846" s="129">
        <f>COUNTA(Modificaciones!S846,Modificaciones!U846,Modificaciones!W846,Modificaciones!Y846)</f>
        <v>0</v>
      </c>
      <c r="R846" s="130" t="str">
        <f>IF(Modificaciones!Z846=0,"",VLOOKUP(E846,Modificaciones!$B$7:$AA$1419,25,0))</f>
        <v/>
      </c>
      <c r="S846" s="131" t="str">
        <f>IF(Modificaciones!AA822=0,"",VLOOKUP(#REF!,Modificaciones!$B$7:$AA$1419,26,0))</f>
        <v/>
      </c>
      <c r="T846" s="855">
        <f t="shared" si="213"/>
        <v>0</v>
      </c>
      <c r="U846" s="62">
        <f t="shared" si="214"/>
        <v>0</v>
      </c>
      <c r="V846" s="172">
        <f>VLOOKUP(E846,Modificaciones!$B$7:$AU$819,46,0)</f>
        <v>0</v>
      </c>
      <c r="W846" s="93">
        <f t="shared" si="215"/>
        <v>0</v>
      </c>
      <c r="X846" s="1041"/>
      <c r="Y846" s="852" t="e">
        <f t="shared" si="216"/>
        <v>#DIV/0!</v>
      </c>
      <c r="Z846" s="42" t="e">
        <f t="shared" ca="1" si="217"/>
        <v>#DIV/0!</v>
      </c>
      <c r="AA846" s="43" t="e">
        <f t="shared" ca="1" si="218"/>
        <v>#DIV/0!</v>
      </c>
      <c r="AB846" s="202" t="e">
        <f t="shared" ca="1" si="219"/>
        <v>#DIV/0!</v>
      </c>
      <c r="AC846" s="44" t="e">
        <f t="shared" si="220"/>
        <v>#DIV/0!</v>
      </c>
      <c r="AD846" s="868"/>
      <c r="AE846" s="871"/>
      <c r="AF846" s="871"/>
      <c r="AG846" s="868"/>
      <c r="AH846" s="868"/>
      <c r="AI846" s="868"/>
      <c r="AJ846" s="868"/>
      <c r="AK846" s="181" t="str">
        <f t="shared" ca="1" si="221"/>
        <v>TERMINO</v>
      </c>
      <c r="AL846" s="441"/>
      <c r="AM846" s="433"/>
      <c r="AN846" s="848" t="str">
        <f>IFERROR(VLOOKUP(E846,'liquidaciones '!$B$2:$C$1048576,2,0),"NO")</f>
        <v>NO</v>
      </c>
      <c r="AO846" s="944" t="str">
        <f>IFERROR(VLOOKUP(E846,'liquidaciones '!$B$2:$I$1048576,8,0),"")</f>
        <v/>
      </c>
      <c r="AP846" s="433"/>
      <c r="AQ846" s="433"/>
      <c r="AR846" s="1069"/>
      <c r="AS846" s="1042"/>
      <c r="AT846" s="964"/>
      <c r="AU846" s="964"/>
      <c r="AV846" s="964"/>
    </row>
    <row r="847" spans="3:48" x14ac:dyDescent="0.25">
      <c r="C847" s="867"/>
      <c r="E847" s="868"/>
      <c r="F847" s="441"/>
      <c r="G847" s="868"/>
      <c r="H847" s="1005"/>
      <c r="I847" s="93"/>
      <c r="J847" s="869"/>
      <c r="K847" s="295"/>
      <c r="L847" s="546"/>
      <c r="M847" s="870"/>
      <c r="N847" s="870"/>
      <c r="O847" s="127">
        <f>COUNTA(Modificaciones!I847,Modificaciones!K847,Modificaciones!M847,Modificaciones!O847)</f>
        <v>0</v>
      </c>
      <c r="P847" s="128">
        <f>VLOOKUP(E847,Modificaciones!$B$7:$Q$1819,16,0)</f>
        <v>0</v>
      </c>
      <c r="Q847" s="129">
        <f>COUNTA(Modificaciones!S847,Modificaciones!U847,Modificaciones!W847,Modificaciones!Y847)</f>
        <v>0</v>
      </c>
      <c r="R847" s="130" t="str">
        <f>IF(Modificaciones!Z847=0,"",VLOOKUP(E847,Modificaciones!$B$7:$AA$1419,25,0))</f>
        <v/>
      </c>
      <c r="S847" s="131" t="str">
        <f>IF(Modificaciones!AA823=0,"",VLOOKUP(#REF!,Modificaciones!$B$7:$AA$1419,26,0))</f>
        <v/>
      </c>
      <c r="T847" s="855">
        <f t="shared" si="213"/>
        <v>0</v>
      </c>
      <c r="U847" s="62">
        <f t="shared" si="214"/>
        <v>0</v>
      </c>
      <c r="V847" s="172">
        <f>VLOOKUP(E847,Modificaciones!$B$7:$AU$819,46,0)</f>
        <v>0</v>
      </c>
      <c r="W847" s="93">
        <f t="shared" si="215"/>
        <v>0</v>
      </c>
      <c r="X847" s="1041"/>
      <c r="Y847" s="852" t="e">
        <f t="shared" si="216"/>
        <v>#DIV/0!</v>
      </c>
      <c r="Z847" s="42" t="e">
        <f t="shared" ca="1" si="217"/>
        <v>#DIV/0!</v>
      </c>
      <c r="AA847" s="43" t="e">
        <f t="shared" ca="1" si="218"/>
        <v>#DIV/0!</v>
      </c>
      <c r="AB847" s="202" t="e">
        <f t="shared" ca="1" si="219"/>
        <v>#DIV/0!</v>
      </c>
      <c r="AC847" s="44" t="e">
        <f t="shared" si="220"/>
        <v>#DIV/0!</v>
      </c>
      <c r="AD847" s="868"/>
      <c r="AE847" s="871"/>
      <c r="AF847" s="871"/>
      <c r="AG847" s="868"/>
      <c r="AH847" s="868"/>
      <c r="AI847" s="868"/>
      <c r="AJ847" s="868"/>
      <c r="AK847" s="181" t="str">
        <f t="shared" ca="1" si="221"/>
        <v>TERMINO</v>
      </c>
      <c r="AL847" s="441"/>
      <c r="AM847" s="433"/>
      <c r="AN847" s="848" t="str">
        <f>IFERROR(VLOOKUP(E847,'liquidaciones '!$B$2:$C$1048576,2,0),"NO")</f>
        <v>NO</v>
      </c>
      <c r="AO847" s="944" t="str">
        <f>IFERROR(VLOOKUP(E847,'liquidaciones '!$B$2:$I$1048576,8,0),"")</f>
        <v/>
      </c>
      <c r="AP847" s="433"/>
      <c r="AQ847" s="433"/>
      <c r="AR847" s="1069"/>
      <c r="AS847" s="1042"/>
      <c r="AT847" s="964"/>
      <c r="AU847" s="964"/>
      <c r="AV847" s="964"/>
    </row>
    <row r="848" spans="3:48" x14ac:dyDescent="0.25">
      <c r="C848" s="867"/>
      <c r="E848" s="868"/>
      <c r="F848" s="441"/>
      <c r="G848" s="868"/>
      <c r="H848" s="1005"/>
      <c r="I848" s="93"/>
      <c r="J848" s="869"/>
      <c r="K848" s="295"/>
      <c r="L848" s="546"/>
      <c r="M848" s="870"/>
      <c r="N848" s="870"/>
      <c r="O848" s="127">
        <f>COUNTA(Modificaciones!I848,Modificaciones!K848,Modificaciones!M848,Modificaciones!O848)</f>
        <v>0</v>
      </c>
      <c r="P848" s="128">
        <f>VLOOKUP(E848,Modificaciones!$B$7:$Q$1819,16,0)</f>
        <v>0</v>
      </c>
      <c r="Q848" s="129">
        <f>COUNTA(Modificaciones!S848,Modificaciones!U848,Modificaciones!W848,Modificaciones!Y848)</f>
        <v>0</v>
      </c>
      <c r="R848" s="130" t="str">
        <f>IF(Modificaciones!Z848=0,"",VLOOKUP(E848,Modificaciones!$B$7:$AA$1419,25,0))</f>
        <v/>
      </c>
      <c r="S848" s="131" t="str">
        <f>IF(Modificaciones!AA824=0,"",VLOOKUP(#REF!,Modificaciones!$B$7:$AA$1419,26,0))</f>
        <v/>
      </c>
      <c r="T848" s="855">
        <f t="shared" si="213"/>
        <v>0</v>
      </c>
      <c r="U848" s="62">
        <f t="shared" si="214"/>
        <v>0</v>
      </c>
      <c r="V848" s="172">
        <f>VLOOKUP(E848,Modificaciones!$B$7:$AU$819,46,0)</f>
        <v>0</v>
      </c>
      <c r="W848" s="93">
        <f t="shared" si="215"/>
        <v>0</v>
      </c>
      <c r="X848" s="1041"/>
      <c r="Y848" s="852" t="e">
        <f t="shared" si="216"/>
        <v>#DIV/0!</v>
      </c>
      <c r="Z848" s="42" t="e">
        <f t="shared" ca="1" si="217"/>
        <v>#DIV/0!</v>
      </c>
      <c r="AA848" s="43" t="e">
        <f t="shared" ca="1" si="218"/>
        <v>#DIV/0!</v>
      </c>
      <c r="AB848" s="202" t="e">
        <f t="shared" ca="1" si="219"/>
        <v>#DIV/0!</v>
      </c>
      <c r="AC848" s="44" t="e">
        <f t="shared" si="220"/>
        <v>#DIV/0!</v>
      </c>
      <c r="AD848" s="868"/>
      <c r="AE848" s="871"/>
      <c r="AF848" s="871"/>
      <c r="AG848" s="868"/>
      <c r="AH848" s="868"/>
      <c r="AI848" s="868"/>
      <c r="AJ848" s="868"/>
      <c r="AK848" s="181" t="str">
        <f t="shared" ca="1" si="221"/>
        <v>TERMINO</v>
      </c>
      <c r="AL848" s="441"/>
      <c r="AM848" s="433"/>
      <c r="AN848" s="848" t="str">
        <f>IFERROR(VLOOKUP(E848,'liquidaciones '!$B$2:$C$1048576,2,0),"NO")</f>
        <v>NO</v>
      </c>
      <c r="AO848" s="944" t="str">
        <f>IFERROR(VLOOKUP(E848,'liquidaciones '!$B$2:$I$1048576,8,0),"")</f>
        <v/>
      </c>
      <c r="AP848" s="433"/>
      <c r="AQ848" s="433"/>
      <c r="AR848" s="1069"/>
      <c r="AS848" s="1042"/>
      <c r="AT848" s="964"/>
      <c r="AU848" s="964"/>
      <c r="AV848" s="964"/>
    </row>
    <row r="849" spans="3:48" x14ac:dyDescent="0.25">
      <c r="C849" s="867"/>
      <c r="E849" s="868"/>
      <c r="F849" s="441"/>
      <c r="G849" s="868"/>
      <c r="H849" s="1005"/>
      <c r="I849" s="93"/>
      <c r="J849" s="869"/>
      <c r="K849" s="295"/>
      <c r="L849" s="546"/>
      <c r="M849" s="870"/>
      <c r="N849" s="870"/>
      <c r="O849" s="127">
        <f>COUNTA(Modificaciones!I849,Modificaciones!K849,Modificaciones!M849,Modificaciones!O849)</f>
        <v>0</v>
      </c>
      <c r="P849" s="128">
        <f>VLOOKUP(E849,Modificaciones!$B$7:$Q$1819,16,0)</f>
        <v>0</v>
      </c>
      <c r="Q849" s="129">
        <f>COUNTA(Modificaciones!S849,Modificaciones!U849,Modificaciones!W849,Modificaciones!Y849)</f>
        <v>0</v>
      </c>
      <c r="R849" s="130" t="str">
        <f>IF(Modificaciones!Z849=0,"",VLOOKUP(E849,Modificaciones!$B$7:$AA$1419,25,0))</f>
        <v/>
      </c>
      <c r="S849" s="131" t="str">
        <f>IF(Modificaciones!AA825=0,"",VLOOKUP(#REF!,Modificaciones!$B$7:$AA$1419,26,0))</f>
        <v/>
      </c>
      <c r="T849" s="855">
        <f t="shared" si="213"/>
        <v>0</v>
      </c>
      <c r="U849" s="62">
        <f t="shared" si="214"/>
        <v>0</v>
      </c>
      <c r="V849" s="172">
        <f>VLOOKUP(E849,Modificaciones!$B$7:$AU$819,46,0)</f>
        <v>0</v>
      </c>
      <c r="W849" s="93">
        <f t="shared" si="215"/>
        <v>0</v>
      </c>
      <c r="X849" s="1041"/>
      <c r="Y849" s="852" t="e">
        <f t="shared" si="216"/>
        <v>#DIV/0!</v>
      </c>
      <c r="Z849" s="42" t="e">
        <f t="shared" ca="1" si="217"/>
        <v>#DIV/0!</v>
      </c>
      <c r="AA849" s="43" t="e">
        <f t="shared" ca="1" si="218"/>
        <v>#DIV/0!</v>
      </c>
      <c r="AB849" s="202" t="e">
        <f t="shared" ca="1" si="219"/>
        <v>#DIV/0!</v>
      </c>
      <c r="AC849" s="44" t="e">
        <f t="shared" si="220"/>
        <v>#DIV/0!</v>
      </c>
      <c r="AD849" s="868"/>
      <c r="AE849" s="871"/>
      <c r="AF849" s="871"/>
      <c r="AG849" s="868"/>
      <c r="AH849" s="868"/>
      <c r="AI849" s="868"/>
      <c r="AJ849" s="868"/>
      <c r="AK849" s="181" t="str">
        <f t="shared" ca="1" si="221"/>
        <v>TERMINO</v>
      </c>
      <c r="AL849" s="441"/>
      <c r="AM849" s="433"/>
      <c r="AN849" s="848" t="str">
        <f>IFERROR(VLOOKUP(E849,'liquidaciones '!$B$2:$C$1048576,2,0),"NO")</f>
        <v>NO</v>
      </c>
      <c r="AO849" s="944" t="str">
        <f>IFERROR(VLOOKUP(E849,'liquidaciones '!$B$2:$I$1048576,8,0),"")</f>
        <v/>
      </c>
      <c r="AP849" s="433"/>
      <c r="AQ849" s="433"/>
      <c r="AR849" s="1069"/>
      <c r="AS849" s="1042"/>
      <c r="AT849" s="964"/>
      <c r="AU849" s="964"/>
      <c r="AV849" s="964"/>
    </row>
    <row r="850" spans="3:48" x14ac:dyDescent="0.25">
      <c r="C850" s="867"/>
      <c r="E850" s="868"/>
      <c r="F850" s="441"/>
      <c r="G850" s="868"/>
      <c r="H850" s="1005"/>
      <c r="I850" s="93"/>
      <c r="J850" s="869"/>
      <c r="K850" s="295"/>
      <c r="L850" s="546"/>
      <c r="M850" s="870"/>
      <c r="N850" s="870"/>
      <c r="O850" s="127">
        <f>COUNTA(Modificaciones!I850,Modificaciones!K850,Modificaciones!M850,Modificaciones!O850)</f>
        <v>0</v>
      </c>
      <c r="P850" s="128">
        <f>VLOOKUP(E850,Modificaciones!$B$7:$Q$1819,16,0)</f>
        <v>0</v>
      </c>
      <c r="Q850" s="129">
        <f>COUNTA(Modificaciones!S850,Modificaciones!U850,Modificaciones!W850,Modificaciones!Y850)</f>
        <v>0</v>
      </c>
      <c r="R850" s="130" t="str">
        <f>IF(Modificaciones!Z850=0,"",VLOOKUP(E850,Modificaciones!$B$7:$AA$1419,25,0))</f>
        <v/>
      </c>
      <c r="S850" s="131" t="str">
        <f>IF(Modificaciones!AA826=0,"",VLOOKUP(#REF!,Modificaciones!$B$7:$AA$1419,26,0))</f>
        <v/>
      </c>
      <c r="T850" s="855">
        <f t="shared" si="213"/>
        <v>0</v>
      </c>
      <c r="U850" s="62">
        <f t="shared" si="214"/>
        <v>0</v>
      </c>
      <c r="V850" s="172">
        <f>VLOOKUP(E850,Modificaciones!$B$7:$AU$819,46,0)</f>
        <v>0</v>
      </c>
      <c r="W850" s="93">
        <f t="shared" si="215"/>
        <v>0</v>
      </c>
      <c r="X850" s="1041"/>
      <c r="Y850" s="852" t="e">
        <f t="shared" si="216"/>
        <v>#DIV/0!</v>
      </c>
      <c r="Z850" s="42" t="e">
        <f t="shared" ca="1" si="217"/>
        <v>#DIV/0!</v>
      </c>
      <c r="AA850" s="43" t="e">
        <f t="shared" ca="1" si="218"/>
        <v>#DIV/0!</v>
      </c>
      <c r="AB850" s="202" t="e">
        <f t="shared" ca="1" si="219"/>
        <v>#DIV/0!</v>
      </c>
      <c r="AC850" s="44" t="e">
        <f t="shared" si="220"/>
        <v>#DIV/0!</v>
      </c>
      <c r="AD850" s="868"/>
      <c r="AE850" s="871"/>
      <c r="AF850" s="871"/>
      <c r="AG850" s="868"/>
      <c r="AH850" s="868"/>
      <c r="AI850" s="868"/>
      <c r="AJ850" s="868"/>
      <c r="AK850" s="181" t="str">
        <f t="shared" ca="1" si="221"/>
        <v>TERMINO</v>
      </c>
      <c r="AL850" s="441"/>
      <c r="AM850" s="433"/>
      <c r="AN850" s="848" t="str">
        <f>IFERROR(VLOOKUP(E850,'liquidaciones '!$B$2:$C$1048576,2,0),"NO")</f>
        <v>NO</v>
      </c>
      <c r="AO850" s="944" t="str">
        <f>IFERROR(VLOOKUP(E850,'liquidaciones '!$B$2:$I$1048576,8,0),"")</f>
        <v/>
      </c>
      <c r="AP850" s="433"/>
      <c r="AQ850" s="433"/>
      <c r="AR850" s="1069"/>
      <c r="AS850" s="1042"/>
      <c r="AT850" s="964"/>
      <c r="AU850" s="964"/>
      <c r="AV850" s="964"/>
    </row>
    <row r="851" spans="3:48" x14ac:dyDescent="0.25">
      <c r="C851" s="867"/>
      <c r="E851" s="868"/>
      <c r="F851" s="441"/>
      <c r="G851" s="868"/>
      <c r="H851" s="1005"/>
      <c r="I851" s="93"/>
      <c r="J851" s="869"/>
      <c r="K851" s="295"/>
      <c r="L851" s="546"/>
      <c r="M851" s="870"/>
      <c r="N851" s="870"/>
      <c r="O851" s="127">
        <f>COUNTA(Modificaciones!I851,Modificaciones!K851,Modificaciones!M851,Modificaciones!O851)</f>
        <v>0</v>
      </c>
      <c r="P851" s="128">
        <f>VLOOKUP(E851,Modificaciones!$B$7:$Q$1819,16,0)</f>
        <v>0</v>
      </c>
      <c r="Q851" s="129">
        <f>COUNTA(Modificaciones!S851,Modificaciones!U851,Modificaciones!W851,Modificaciones!Y851)</f>
        <v>0</v>
      </c>
      <c r="R851" s="130" t="str">
        <f>IF(Modificaciones!Z851=0,"",VLOOKUP(E851,Modificaciones!$B$7:$AA$1419,25,0))</f>
        <v/>
      </c>
      <c r="S851" s="131" t="str">
        <f>IF(Modificaciones!AA827=0,"",VLOOKUP(#REF!,Modificaciones!$B$7:$AA$1419,26,0))</f>
        <v/>
      </c>
      <c r="T851" s="855">
        <f t="shared" si="213"/>
        <v>0</v>
      </c>
      <c r="U851" s="62">
        <f t="shared" si="214"/>
        <v>0</v>
      </c>
      <c r="V851" s="172">
        <f>VLOOKUP(E851,Modificaciones!$B$7:$AU$819,46,0)</f>
        <v>0</v>
      </c>
      <c r="W851" s="93">
        <f t="shared" si="215"/>
        <v>0</v>
      </c>
      <c r="X851" s="1041"/>
      <c r="Y851" s="852" t="e">
        <f t="shared" si="216"/>
        <v>#DIV/0!</v>
      </c>
      <c r="Z851" s="42" t="e">
        <f t="shared" ca="1" si="217"/>
        <v>#DIV/0!</v>
      </c>
      <c r="AA851" s="43" t="e">
        <f t="shared" ca="1" si="218"/>
        <v>#DIV/0!</v>
      </c>
      <c r="AB851" s="202" t="e">
        <f t="shared" ca="1" si="219"/>
        <v>#DIV/0!</v>
      </c>
      <c r="AC851" s="44" t="e">
        <f t="shared" si="220"/>
        <v>#DIV/0!</v>
      </c>
      <c r="AD851" s="868"/>
      <c r="AE851" s="871"/>
      <c r="AF851" s="871"/>
      <c r="AG851" s="868"/>
      <c r="AH851" s="868"/>
      <c r="AI851" s="868"/>
      <c r="AJ851" s="868"/>
      <c r="AK851" s="181" t="str">
        <f t="shared" ca="1" si="221"/>
        <v>TERMINO</v>
      </c>
      <c r="AL851" s="441"/>
      <c r="AM851" s="433"/>
      <c r="AN851" s="848" t="str">
        <f>IFERROR(VLOOKUP(E851,'liquidaciones '!$B$2:$C$1048576,2,0),"NO")</f>
        <v>NO</v>
      </c>
      <c r="AO851" s="944" t="str">
        <f>IFERROR(VLOOKUP(E851,'liquidaciones '!$B$2:$I$1048576,8,0),"")</f>
        <v/>
      </c>
      <c r="AP851" s="433"/>
      <c r="AQ851" s="433"/>
      <c r="AR851" s="1069"/>
      <c r="AS851" s="1042"/>
      <c r="AT851" s="964"/>
      <c r="AU851" s="964"/>
      <c r="AV851" s="964"/>
    </row>
    <row r="852" spans="3:48" x14ac:dyDescent="0.25">
      <c r="C852" s="867"/>
      <c r="E852" s="868"/>
      <c r="F852" s="441"/>
      <c r="G852" s="868"/>
      <c r="H852" s="1005"/>
      <c r="I852" s="93"/>
      <c r="J852" s="869"/>
      <c r="K852" s="295"/>
      <c r="L852" s="546"/>
      <c r="M852" s="870"/>
      <c r="N852" s="870"/>
      <c r="O852" s="127">
        <f>COUNTA(Modificaciones!I852,Modificaciones!K852,Modificaciones!M852,Modificaciones!O852)</f>
        <v>0</v>
      </c>
      <c r="P852" s="128">
        <f>VLOOKUP(E852,Modificaciones!$B$7:$Q$1819,16,0)</f>
        <v>0</v>
      </c>
      <c r="Q852" s="129">
        <f>COUNTA(Modificaciones!S852,Modificaciones!U852,Modificaciones!W852,Modificaciones!Y852)</f>
        <v>0</v>
      </c>
      <c r="R852" s="130" t="str">
        <f>IF(Modificaciones!Z852=0,"",VLOOKUP(E852,Modificaciones!$B$7:$AA$1419,25,0))</f>
        <v/>
      </c>
      <c r="S852" s="131" t="str">
        <f>IF(Modificaciones!AA828=0,"",VLOOKUP(#REF!,Modificaciones!$B$7:$AA$1419,26,0))</f>
        <v/>
      </c>
      <c r="T852" s="855">
        <f t="shared" si="213"/>
        <v>0</v>
      </c>
      <c r="U852" s="62">
        <f t="shared" si="214"/>
        <v>0</v>
      </c>
      <c r="V852" s="172">
        <f>VLOOKUP(E852,Modificaciones!$B$7:$AU$819,46,0)</f>
        <v>0</v>
      </c>
      <c r="W852" s="93">
        <f t="shared" si="215"/>
        <v>0</v>
      </c>
      <c r="X852" s="1041"/>
      <c r="Y852" s="852" t="e">
        <f t="shared" si="216"/>
        <v>#DIV/0!</v>
      </c>
      <c r="Z852" s="42" t="e">
        <f t="shared" ca="1" si="217"/>
        <v>#DIV/0!</v>
      </c>
      <c r="AA852" s="43" t="e">
        <f t="shared" ca="1" si="218"/>
        <v>#DIV/0!</v>
      </c>
      <c r="AB852" s="202" t="e">
        <f t="shared" ca="1" si="219"/>
        <v>#DIV/0!</v>
      </c>
      <c r="AC852" s="44" t="e">
        <f t="shared" si="220"/>
        <v>#DIV/0!</v>
      </c>
      <c r="AD852" s="868"/>
      <c r="AE852" s="871"/>
      <c r="AF852" s="871"/>
      <c r="AG852" s="868"/>
      <c r="AH852" s="868"/>
      <c r="AI852" s="868"/>
      <c r="AJ852" s="868"/>
      <c r="AK852" s="181" t="str">
        <f t="shared" ca="1" si="221"/>
        <v>TERMINO</v>
      </c>
      <c r="AL852" s="441"/>
      <c r="AM852" s="433"/>
      <c r="AN852" s="848" t="str">
        <f>IFERROR(VLOOKUP(E852,'liquidaciones '!$B$2:$C$1048576,2,0),"NO")</f>
        <v>NO</v>
      </c>
      <c r="AO852" s="944" t="str">
        <f>IFERROR(VLOOKUP(E852,'liquidaciones '!$B$2:$I$1048576,8,0),"")</f>
        <v/>
      </c>
      <c r="AP852" s="433"/>
      <c r="AQ852" s="433"/>
      <c r="AR852" s="1069"/>
      <c r="AS852" s="1042"/>
      <c r="AT852" s="964"/>
      <c r="AU852" s="964"/>
      <c r="AV852" s="964"/>
    </row>
    <row r="853" spans="3:48" x14ac:dyDescent="0.25">
      <c r="C853" s="867"/>
      <c r="E853" s="868"/>
      <c r="F853" s="441"/>
      <c r="G853" s="868"/>
      <c r="H853" s="1005"/>
      <c r="I853" s="93"/>
      <c r="J853" s="869"/>
      <c r="K853" s="295"/>
      <c r="L853" s="546"/>
      <c r="M853" s="870"/>
      <c r="N853" s="870"/>
      <c r="O853" s="127">
        <f>COUNTA(Modificaciones!I853,Modificaciones!K853,Modificaciones!M853,Modificaciones!O853)</f>
        <v>0</v>
      </c>
      <c r="P853" s="128">
        <f>VLOOKUP(E853,Modificaciones!$B$7:$Q$1819,16,0)</f>
        <v>0</v>
      </c>
      <c r="Q853" s="129">
        <f>COUNTA(Modificaciones!S853,Modificaciones!U853,Modificaciones!W853,Modificaciones!Y853)</f>
        <v>0</v>
      </c>
      <c r="R853" s="130" t="str">
        <f>IF(Modificaciones!Z853=0,"",VLOOKUP(E853,Modificaciones!$B$7:$AA$1419,25,0))</f>
        <v/>
      </c>
      <c r="S853" s="131" t="str">
        <f>IF(Modificaciones!AA829=0,"",VLOOKUP(#REF!,Modificaciones!$B$7:$AA$1419,26,0))</f>
        <v/>
      </c>
      <c r="T853" s="855">
        <f t="shared" si="213"/>
        <v>0</v>
      </c>
      <c r="U853" s="62">
        <f t="shared" si="214"/>
        <v>0</v>
      </c>
      <c r="V853" s="172">
        <f>VLOOKUP(E853,Modificaciones!$B$7:$AU$819,46,0)</f>
        <v>0</v>
      </c>
      <c r="W853" s="93">
        <f t="shared" si="215"/>
        <v>0</v>
      </c>
      <c r="X853" s="1041"/>
      <c r="Y853" s="852" t="e">
        <f t="shared" si="216"/>
        <v>#DIV/0!</v>
      </c>
      <c r="Z853" s="42" t="e">
        <f t="shared" ca="1" si="217"/>
        <v>#DIV/0!</v>
      </c>
      <c r="AA853" s="43" t="e">
        <f t="shared" ca="1" si="218"/>
        <v>#DIV/0!</v>
      </c>
      <c r="AB853" s="202" t="e">
        <f t="shared" ca="1" si="219"/>
        <v>#DIV/0!</v>
      </c>
      <c r="AC853" s="44" t="e">
        <f t="shared" si="220"/>
        <v>#DIV/0!</v>
      </c>
      <c r="AD853" s="868"/>
      <c r="AE853" s="871"/>
      <c r="AF853" s="871"/>
      <c r="AG853" s="868"/>
      <c r="AH853" s="868"/>
      <c r="AI853" s="868"/>
      <c r="AJ853" s="868"/>
      <c r="AK853" s="181" t="str">
        <f t="shared" ca="1" si="221"/>
        <v>TERMINO</v>
      </c>
      <c r="AL853" s="441"/>
      <c r="AM853" s="433"/>
      <c r="AN853" s="848" t="str">
        <f>IFERROR(VLOOKUP(E853,'liquidaciones '!$B$2:$C$1048576,2,0),"NO")</f>
        <v>NO</v>
      </c>
      <c r="AO853" s="944" t="str">
        <f>IFERROR(VLOOKUP(E853,'liquidaciones '!$B$2:$I$1048576,8,0),"")</f>
        <v/>
      </c>
      <c r="AP853" s="433"/>
      <c r="AQ853" s="433"/>
      <c r="AR853" s="1069"/>
      <c r="AS853" s="1042"/>
      <c r="AT853" s="964"/>
      <c r="AU853" s="964"/>
      <c r="AV853" s="964"/>
    </row>
    <row r="854" spans="3:48" x14ac:dyDescent="0.25">
      <c r="C854" s="867"/>
      <c r="E854" s="868"/>
      <c r="F854" s="441"/>
      <c r="G854" s="868"/>
      <c r="H854" s="1005"/>
      <c r="I854" s="93"/>
      <c r="J854" s="869"/>
      <c r="K854" s="295"/>
      <c r="L854" s="546"/>
      <c r="M854" s="870"/>
      <c r="N854" s="870"/>
      <c r="O854" s="127">
        <f>COUNTA(Modificaciones!I854,Modificaciones!K854,Modificaciones!M854,Modificaciones!O854)</f>
        <v>0</v>
      </c>
      <c r="P854" s="128">
        <f>VLOOKUP(E854,Modificaciones!$B$7:$Q$1819,16,0)</f>
        <v>0</v>
      </c>
      <c r="Q854" s="129">
        <f>COUNTA(Modificaciones!S854,Modificaciones!U854,Modificaciones!W854,Modificaciones!Y854)</f>
        <v>0</v>
      </c>
      <c r="R854" s="130" t="str">
        <f>IF(Modificaciones!Z854=0,"",VLOOKUP(E854,Modificaciones!$B$7:$AA$1419,25,0))</f>
        <v/>
      </c>
      <c r="S854" s="131" t="str">
        <f>IF(Modificaciones!AA830=0,"",VLOOKUP(#REF!,Modificaciones!$B$7:$AA$1419,26,0))</f>
        <v/>
      </c>
      <c r="T854" s="855">
        <f t="shared" si="213"/>
        <v>0</v>
      </c>
      <c r="U854" s="62">
        <f t="shared" si="214"/>
        <v>0</v>
      </c>
      <c r="V854" s="172">
        <f>VLOOKUP(E854,Modificaciones!$B$7:$AU$819,46,0)</f>
        <v>0</v>
      </c>
      <c r="W854" s="93">
        <f t="shared" si="215"/>
        <v>0</v>
      </c>
      <c r="X854" s="1041"/>
      <c r="Y854" s="852" t="e">
        <f t="shared" si="216"/>
        <v>#DIV/0!</v>
      </c>
      <c r="Z854" s="42" t="e">
        <f t="shared" ca="1" si="217"/>
        <v>#DIV/0!</v>
      </c>
      <c r="AA854" s="43" t="e">
        <f t="shared" ca="1" si="218"/>
        <v>#DIV/0!</v>
      </c>
      <c r="AB854" s="202" t="e">
        <f t="shared" ca="1" si="219"/>
        <v>#DIV/0!</v>
      </c>
      <c r="AC854" s="44" t="e">
        <f t="shared" si="220"/>
        <v>#DIV/0!</v>
      </c>
      <c r="AD854" s="868"/>
      <c r="AE854" s="871"/>
      <c r="AF854" s="871"/>
      <c r="AG854" s="868"/>
      <c r="AH854" s="868"/>
      <c r="AI854" s="868"/>
      <c r="AJ854" s="868"/>
      <c r="AK854" s="181" t="str">
        <f t="shared" ca="1" si="221"/>
        <v>TERMINO</v>
      </c>
      <c r="AL854" s="441"/>
      <c r="AM854" s="433"/>
      <c r="AN854" s="848" t="str">
        <f>IFERROR(VLOOKUP(E854,'liquidaciones '!$B$2:$C$1048576,2,0),"NO")</f>
        <v>NO</v>
      </c>
      <c r="AO854" s="944" t="str">
        <f>IFERROR(VLOOKUP(E854,'liquidaciones '!$B$2:$I$1048576,8,0),"")</f>
        <v/>
      </c>
      <c r="AP854" s="433"/>
      <c r="AQ854" s="433"/>
      <c r="AR854" s="1069"/>
      <c r="AS854" s="1042"/>
      <c r="AT854" s="964"/>
      <c r="AU854" s="964"/>
      <c r="AV854" s="964"/>
    </row>
    <row r="855" spans="3:48" x14ac:dyDescent="0.25">
      <c r="C855" s="867"/>
      <c r="E855" s="868"/>
      <c r="F855" s="441"/>
      <c r="G855" s="868"/>
      <c r="H855" s="1005"/>
      <c r="I855" s="93"/>
      <c r="J855" s="869"/>
      <c r="K855" s="295"/>
      <c r="L855" s="546"/>
      <c r="M855" s="870"/>
      <c r="N855" s="870"/>
      <c r="O855" s="127">
        <f>COUNTA(Modificaciones!I855,Modificaciones!K855,Modificaciones!M855,Modificaciones!O855)</f>
        <v>0</v>
      </c>
      <c r="P855" s="128">
        <f>VLOOKUP(E855,Modificaciones!$B$7:$Q$1819,16,0)</f>
        <v>0</v>
      </c>
      <c r="Q855" s="129">
        <f>COUNTA(Modificaciones!S855,Modificaciones!U855,Modificaciones!W855,Modificaciones!Y855)</f>
        <v>0</v>
      </c>
      <c r="R855" s="130" t="str">
        <f>IF(Modificaciones!Z855=0,"",VLOOKUP(E855,Modificaciones!$B$7:$AA$1419,25,0))</f>
        <v/>
      </c>
      <c r="S855" s="131" t="str">
        <f>IF(Modificaciones!AA831=0,"",VLOOKUP(#REF!,Modificaciones!$B$7:$AA$1419,26,0))</f>
        <v/>
      </c>
      <c r="T855" s="855">
        <f t="shared" si="213"/>
        <v>0</v>
      </c>
      <c r="U855" s="62">
        <f t="shared" si="214"/>
        <v>0</v>
      </c>
      <c r="V855" s="172">
        <f>VLOOKUP(E855,Modificaciones!$B$7:$AU$819,46,0)</f>
        <v>0</v>
      </c>
      <c r="W855" s="93">
        <f t="shared" si="215"/>
        <v>0</v>
      </c>
      <c r="X855" s="1041"/>
      <c r="Y855" s="852" t="e">
        <f t="shared" si="216"/>
        <v>#DIV/0!</v>
      </c>
      <c r="Z855" s="42" t="e">
        <f t="shared" ca="1" si="217"/>
        <v>#DIV/0!</v>
      </c>
      <c r="AA855" s="43" t="e">
        <f t="shared" ca="1" si="218"/>
        <v>#DIV/0!</v>
      </c>
      <c r="AB855" s="202" t="e">
        <f t="shared" ca="1" si="219"/>
        <v>#DIV/0!</v>
      </c>
      <c r="AC855" s="44" t="e">
        <f t="shared" si="220"/>
        <v>#DIV/0!</v>
      </c>
      <c r="AD855" s="868"/>
      <c r="AE855" s="871"/>
      <c r="AF855" s="871"/>
      <c r="AG855" s="868"/>
      <c r="AH855" s="868"/>
      <c r="AI855" s="868"/>
      <c r="AJ855" s="868"/>
      <c r="AK855" s="181" t="str">
        <f t="shared" ca="1" si="221"/>
        <v>TERMINO</v>
      </c>
      <c r="AL855" s="441"/>
      <c r="AM855" s="433"/>
      <c r="AN855" s="848" t="str">
        <f>IFERROR(VLOOKUP(E855,'liquidaciones '!$B$2:$C$1048576,2,0),"NO")</f>
        <v>NO</v>
      </c>
      <c r="AO855" s="944" t="str">
        <f>IFERROR(VLOOKUP(E855,'liquidaciones '!$B$2:$I$1048576,8,0),"")</f>
        <v/>
      </c>
      <c r="AP855" s="433"/>
      <c r="AQ855" s="433"/>
      <c r="AR855" s="1069"/>
      <c r="AS855" s="1042"/>
      <c r="AT855" s="964"/>
      <c r="AU855" s="964"/>
      <c r="AV855" s="964"/>
    </row>
    <row r="856" spans="3:48" x14ac:dyDescent="0.25">
      <c r="C856" s="867"/>
      <c r="E856" s="868"/>
      <c r="F856" s="441"/>
      <c r="G856" s="868"/>
      <c r="H856" s="1005"/>
      <c r="I856" s="93"/>
      <c r="J856" s="869"/>
      <c r="K856" s="295"/>
      <c r="L856" s="546"/>
      <c r="M856" s="870"/>
      <c r="N856" s="870"/>
      <c r="O856" s="127">
        <f>COUNTA(Modificaciones!I856,Modificaciones!K856,Modificaciones!M856,Modificaciones!O856)</f>
        <v>0</v>
      </c>
      <c r="P856" s="128">
        <f>VLOOKUP(E856,Modificaciones!$B$7:$Q$1819,16,0)</f>
        <v>0</v>
      </c>
      <c r="Q856" s="129">
        <f>COUNTA(Modificaciones!S856,Modificaciones!U856,Modificaciones!W856,Modificaciones!Y856)</f>
        <v>0</v>
      </c>
      <c r="R856" s="130" t="str">
        <f>IF(Modificaciones!Z856=0,"",VLOOKUP(E856,Modificaciones!$B$7:$AA$1419,25,0))</f>
        <v/>
      </c>
      <c r="S856" s="131" t="str">
        <f>IF(Modificaciones!AA832=0,"",VLOOKUP(#REF!,Modificaciones!$B$7:$AA$1419,26,0))</f>
        <v/>
      </c>
      <c r="T856" s="855">
        <f t="shared" si="213"/>
        <v>0</v>
      </c>
      <c r="U856" s="62">
        <f t="shared" si="214"/>
        <v>0</v>
      </c>
      <c r="V856" s="172">
        <f>VLOOKUP(E856,Modificaciones!$B$7:$AU$819,46,0)</f>
        <v>0</v>
      </c>
      <c r="W856" s="93">
        <f t="shared" si="215"/>
        <v>0</v>
      </c>
      <c r="X856" s="1041"/>
      <c r="Y856" s="852" t="e">
        <f t="shared" si="216"/>
        <v>#DIV/0!</v>
      </c>
      <c r="Z856" s="42" t="e">
        <f t="shared" ca="1" si="217"/>
        <v>#DIV/0!</v>
      </c>
      <c r="AA856" s="43" t="e">
        <f t="shared" ca="1" si="218"/>
        <v>#DIV/0!</v>
      </c>
      <c r="AB856" s="202" t="e">
        <f t="shared" ca="1" si="219"/>
        <v>#DIV/0!</v>
      </c>
      <c r="AC856" s="44" t="e">
        <f t="shared" si="220"/>
        <v>#DIV/0!</v>
      </c>
      <c r="AD856" s="868"/>
      <c r="AE856" s="871"/>
      <c r="AF856" s="871"/>
      <c r="AG856" s="868"/>
      <c r="AH856" s="868"/>
      <c r="AI856" s="868"/>
      <c r="AJ856" s="868"/>
      <c r="AK856" s="181" t="str">
        <f t="shared" ca="1" si="221"/>
        <v>TERMINO</v>
      </c>
      <c r="AL856" s="441"/>
      <c r="AM856" s="433"/>
      <c r="AN856" s="848" t="str">
        <f>IFERROR(VLOOKUP(E856,'liquidaciones '!$B$2:$C$1048576,2,0),"NO")</f>
        <v>NO</v>
      </c>
      <c r="AO856" s="944" t="str">
        <f>IFERROR(VLOOKUP(E856,'liquidaciones '!$B$2:$I$1048576,8,0),"")</f>
        <v/>
      </c>
      <c r="AP856" s="433"/>
      <c r="AQ856" s="433"/>
      <c r="AR856" s="1069"/>
      <c r="AS856" s="1042"/>
      <c r="AT856" s="964"/>
      <c r="AU856" s="964"/>
      <c r="AV856" s="964"/>
    </row>
    <row r="857" spans="3:48" x14ac:dyDescent="0.25">
      <c r="C857" s="867"/>
      <c r="E857" s="868"/>
      <c r="F857" s="441"/>
      <c r="G857" s="868"/>
      <c r="H857" s="1005"/>
      <c r="I857" s="93"/>
      <c r="J857" s="869"/>
      <c r="K857" s="295"/>
      <c r="L857" s="546"/>
      <c r="M857" s="870"/>
      <c r="N857" s="870"/>
      <c r="O857" s="127">
        <f>COUNTA(Modificaciones!I857,Modificaciones!K857,Modificaciones!M857,Modificaciones!O857)</f>
        <v>0</v>
      </c>
      <c r="P857" s="128">
        <f>VLOOKUP(E857,Modificaciones!$B$7:$Q$1819,16,0)</f>
        <v>0</v>
      </c>
      <c r="Q857" s="129">
        <f>COUNTA(Modificaciones!S857,Modificaciones!U857,Modificaciones!W857,Modificaciones!Y857)</f>
        <v>0</v>
      </c>
      <c r="R857" s="130" t="str">
        <f>IF(Modificaciones!Z857=0,"",VLOOKUP(E857,Modificaciones!$B$7:$AA$1419,25,0))</f>
        <v/>
      </c>
      <c r="S857" s="131" t="str">
        <f>IF(Modificaciones!AA833=0,"",VLOOKUP(#REF!,Modificaciones!$B$7:$AA$1419,26,0))</f>
        <v/>
      </c>
      <c r="T857" s="855">
        <f t="shared" si="213"/>
        <v>0</v>
      </c>
      <c r="U857" s="62">
        <f t="shared" si="214"/>
        <v>0</v>
      </c>
      <c r="V857" s="172">
        <f>VLOOKUP(E857,Modificaciones!$B$7:$AU$819,46,0)</f>
        <v>0</v>
      </c>
      <c r="W857" s="93">
        <f t="shared" si="215"/>
        <v>0</v>
      </c>
      <c r="X857" s="1041"/>
      <c r="Y857" s="852" t="e">
        <f t="shared" si="216"/>
        <v>#DIV/0!</v>
      </c>
      <c r="Z857" s="42" t="e">
        <f t="shared" ca="1" si="217"/>
        <v>#DIV/0!</v>
      </c>
      <c r="AA857" s="43" t="e">
        <f t="shared" ca="1" si="218"/>
        <v>#DIV/0!</v>
      </c>
      <c r="AB857" s="202" t="e">
        <f t="shared" ca="1" si="219"/>
        <v>#DIV/0!</v>
      </c>
      <c r="AC857" s="44" t="e">
        <f t="shared" si="220"/>
        <v>#DIV/0!</v>
      </c>
      <c r="AD857" s="868"/>
      <c r="AE857" s="871"/>
      <c r="AF857" s="871"/>
      <c r="AG857" s="868"/>
      <c r="AH857" s="868"/>
      <c r="AI857" s="868"/>
      <c r="AJ857" s="868"/>
      <c r="AK857" s="181" t="str">
        <f t="shared" ca="1" si="221"/>
        <v>TERMINO</v>
      </c>
      <c r="AL857" s="441"/>
      <c r="AM857" s="433"/>
      <c r="AN857" s="848" t="str">
        <f>IFERROR(VLOOKUP(E857,'liquidaciones '!$B$2:$C$1048576,2,0),"NO")</f>
        <v>NO</v>
      </c>
      <c r="AO857" s="944" t="str">
        <f>IFERROR(VLOOKUP(E857,'liquidaciones '!$B$2:$I$1048576,8,0),"")</f>
        <v/>
      </c>
      <c r="AP857" s="433"/>
      <c r="AQ857" s="433"/>
      <c r="AR857" s="1069"/>
      <c r="AS857" s="1042"/>
      <c r="AT857" s="964"/>
      <c r="AU857" s="964"/>
      <c r="AV857" s="964"/>
    </row>
    <row r="858" spans="3:48" x14ac:dyDescent="0.25">
      <c r="C858" s="867"/>
      <c r="E858" s="868"/>
      <c r="F858" s="441"/>
      <c r="G858" s="868"/>
      <c r="H858" s="1005"/>
      <c r="I858" s="93"/>
      <c r="J858" s="869"/>
      <c r="K858" s="295"/>
      <c r="L858" s="546"/>
      <c r="M858" s="870"/>
      <c r="N858" s="870"/>
      <c r="O858" s="127">
        <f>COUNTA(Modificaciones!I858,Modificaciones!K858,Modificaciones!M858,Modificaciones!O858)</f>
        <v>0</v>
      </c>
      <c r="P858" s="128">
        <f>VLOOKUP(E858,Modificaciones!$B$7:$Q$1819,16,0)</f>
        <v>0</v>
      </c>
      <c r="Q858" s="129">
        <f>COUNTA(Modificaciones!S858,Modificaciones!U858,Modificaciones!W858,Modificaciones!Y858)</f>
        <v>0</v>
      </c>
      <c r="R858" s="130" t="str">
        <f>IF(Modificaciones!Z858=0,"",VLOOKUP(E858,Modificaciones!$B$7:$AA$1419,25,0))</f>
        <v/>
      </c>
      <c r="S858" s="131" t="str">
        <f>IF(Modificaciones!AA834=0,"",VLOOKUP(#REF!,Modificaciones!$B$7:$AA$1419,26,0))</f>
        <v/>
      </c>
      <c r="T858" s="855">
        <f t="shared" si="213"/>
        <v>0</v>
      </c>
      <c r="U858" s="62">
        <f t="shared" si="214"/>
        <v>0</v>
      </c>
      <c r="V858" s="172">
        <f>VLOOKUP(E858,Modificaciones!$B$7:$AU$819,46,0)</f>
        <v>0</v>
      </c>
      <c r="W858" s="93">
        <f t="shared" si="215"/>
        <v>0</v>
      </c>
      <c r="X858" s="1041"/>
      <c r="Y858" s="852" t="e">
        <f t="shared" si="216"/>
        <v>#DIV/0!</v>
      </c>
      <c r="Z858" s="42" t="e">
        <f t="shared" ca="1" si="217"/>
        <v>#DIV/0!</v>
      </c>
      <c r="AA858" s="43" t="e">
        <f t="shared" ca="1" si="218"/>
        <v>#DIV/0!</v>
      </c>
      <c r="AB858" s="202" t="e">
        <f t="shared" ca="1" si="219"/>
        <v>#DIV/0!</v>
      </c>
      <c r="AC858" s="44" t="e">
        <f t="shared" si="220"/>
        <v>#DIV/0!</v>
      </c>
      <c r="AD858" s="868"/>
      <c r="AE858" s="871"/>
      <c r="AF858" s="871"/>
      <c r="AG858" s="868"/>
      <c r="AH858" s="868"/>
      <c r="AI858" s="868"/>
      <c r="AJ858" s="868"/>
      <c r="AK858" s="181" t="str">
        <f t="shared" ca="1" si="221"/>
        <v>TERMINO</v>
      </c>
      <c r="AL858" s="441"/>
      <c r="AM858" s="433"/>
      <c r="AN858" s="848" t="str">
        <f>IFERROR(VLOOKUP(E858,'liquidaciones '!$B$2:$C$1048576,2,0),"NO")</f>
        <v>NO</v>
      </c>
      <c r="AO858" s="944" t="str">
        <f>IFERROR(VLOOKUP(E858,'liquidaciones '!$B$2:$I$1048576,8,0),"")</f>
        <v/>
      </c>
      <c r="AP858" s="433"/>
      <c r="AQ858" s="433"/>
      <c r="AR858" s="1069"/>
      <c r="AS858" s="1042"/>
      <c r="AT858" s="964"/>
      <c r="AU858" s="964"/>
      <c r="AV858" s="964"/>
    </row>
    <row r="859" spans="3:48" x14ac:dyDescent="0.25">
      <c r="C859" s="867"/>
      <c r="E859" s="868"/>
      <c r="F859" s="441"/>
      <c r="G859" s="868"/>
      <c r="H859" s="1005"/>
      <c r="I859" s="93"/>
      <c r="J859" s="869"/>
      <c r="K859" s="295"/>
      <c r="L859" s="546"/>
      <c r="M859" s="870"/>
      <c r="N859" s="870"/>
      <c r="O859" s="127">
        <f>COUNTA(Modificaciones!I859,Modificaciones!K859,Modificaciones!M859,Modificaciones!O859)</f>
        <v>0</v>
      </c>
      <c r="P859" s="128">
        <f>VLOOKUP(E859,Modificaciones!$B$7:$Q$1819,16,0)</f>
        <v>0</v>
      </c>
      <c r="Q859" s="129">
        <f>COUNTA(Modificaciones!S859,Modificaciones!U859,Modificaciones!W859,Modificaciones!Y859)</f>
        <v>0</v>
      </c>
      <c r="R859" s="130" t="str">
        <f>IF(Modificaciones!Z859=0,"",VLOOKUP(E859,Modificaciones!$B$7:$AA$1419,25,0))</f>
        <v/>
      </c>
      <c r="S859" s="131" t="str">
        <f>IF(Modificaciones!AA835=0,"",VLOOKUP(#REF!,Modificaciones!$B$7:$AA$1419,26,0))</f>
        <v/>
      </c>
      <c r="T859" s="855">
        <f t="shared" si="213"/>
        <v>0</v>
      </c>
      <c r="U859" s="62">
        <f t="shared" si="214"/>
        <v>0</v>
      </c>
      <c r="V859" s="172">
        <f>VLOOKUP(E859,Modificaciones!$B$7:$AU$819,46,0)</f>
        <v>0</v>
      </c>
      <c r="W859" s="93">
        <f t="shared" si="215"/>
        <v>0</v>
      </c>
      <c r="X859" s="1041"/>
      <c r="Y859" s="852" t="e">
        <f t="shared" si="216"/>
        <v>#DIV/0!</v>
      </c>
      <c r="Z859" s="42" t="e">
        <f t="shared" ca="1" si="217"/>
        <v>#DIV/0!</v>
      </c>
      <c r="AA859" s="43" t="e">
        <f t="shared" ca="1" si="218"/>
        <v>#DIV/0!</v>
      </c>
      <c r="AB859" s="202" t="e">
        <f t="shared" ca="1" si="219"/>
        <v>#DIV/0!</v>
      </c>
      <c r="AC859" s="44" t="e">
        <f t="shared" si="220"/>
        <v>#DIV/0!</v>
      </c>
      <c r="AD859" s="868"/>
      <c r="AE859" s="871"/>
      <c r="AF859" s="871"/>
      <c r="AG859" s="868"/>
      <c r="AH859" s="868"/>
      <c r="AI859" s="868"/>
      <c r="AJ859" s="868"/>
      <c r="AK859" s="181" t="str">
        <f t="shared" ca="1" si="221"/>
        <v>TERMINO</v>
      </c>
      <c r="AL859" s="441"/>
      <c r="AM859" s="433"/>
      <c r="AN859" s="848" t="str">
        <f>IFERROR(VLOOKUP(E859,'liquidaciones '!$B$2:$C$1048576,2,0),"NO")</f>
        <v>NO</v>
      </c>
      <c r="AO859" s="944" t="str">
        <f>IFERROR(VLOOKUP(E859,'liquidaciones '!$B$2:$I$1048576,8,0),"")</f>
        <v/>
      </c>
      <c r="AP859" s="433"/>
      <c r="AQ859" s="433"/>
      <c r="AR859" s="1069"/>
      <c r="AS859" s="1042"/>
      <c r="AT859" s="964"/>
      <c r="AU859" s="964"/>
      <c r="AV859" s="964"/>
    </row>
    <row r="860" spans="3:48" x14ac:dyDescent="0.25">
      <c r="C860" s="867"/>
      <c r="E860" s="868"/>
      <c r="F860" s="441"/>
      <c r="G860" s="868"/>
      <c r="H860" s="1005"/>
      <c r="I860" s="93"/>
      <c r="J860" s="869"/>
      <c r="K860" s="295"/>
      <c r="L860" s="546"/>
      <c r="M860" s="870"/>
      <c r="N860" s="870"/>
      <c r="O860" s="127">
        <f>COUNTA(Modificaciones!I860,Modificaciones!K860,Modificaciones!M860,Modificaciones!O860)</f>
        <v>0</v>
      </c>
      <c r="P860" s="128">
        <f>VLOOKUP(E860,Modificaciones!$B$7:$Q$1819,16,0)</f>
        <v>0</v>
      </c>
      <c r="Q860" s="129">
        <f>COUNTA(Modificaciones!S860,Modificaciones!U860,Modificaciones!W860,Modificaciones!Y860)</f>
        <v>0</v>
      </c>
      <c r="R860" s="130" t="str">
        <f>IF(Modificaciones!Z860=0,"",VLOOKUP(E860,Modificaciones!$B$7:$AA$1419,25,0))</f>
        <v/>
      </c>
      <c r="S860" s="131" t="str">
        <f>IF(Modificaciones!AA836=0,"",VLOOKUP(#REF!,Modificaciones!$B$7:$AA$1419,26,0))</f>
        <v/>
      </c>
      <c r="T860" s="855">
        <f t="shared" si="213"/>
        <v>0</v>
      </c>
      <c r="U860" s="62">
        <f t="shared" si="214"/>
        <v>0</v>
      </c>
      <c r="V860" s="172">
        <f>VLOOKUP(E860,Modificaciones!$B$7:$AU$819,46,0)</f>
        <v>0</v>
      </c>
      <c r="W860" s="93">
        <f t="shared" si="215"/>
        <v>0</v>
      </c>
      <c r="X860" s="1041"/>
      <c r="Y860" s="852" t="e">
        <f t="shared" si="216"/>
        <v>#DIV/0!</v>
      </c>
      <c r="Z860" s="42" t="e">
        <f t="shared" ca="1" si="217"/>
        <v>#DIV/0!</v>
      </c>
      <c r="AA860" s="43" t="e">
        <f t="shared" ca="1" si="218"/>
        <v>#DIV/0!</v>
      </c>
      <c r="AB860" s="202" t="e">
        <f t="shared" ca="1" si="219"/>
        <v>#DIV/0!</v>
      </c>
      <c r="AC860" s="44" t="e">
        <f t="shared" si="220"/>
        <v>#DIV/0!</v>
      </c>
      <c r="AD860" s="868"/>
      <c r="AE860" s="871"/>
      <c r="AF860" s="871"/>
      <c r="AG860" s="868"/>
      <c r="AH860" s="868"/>
      <c r="AI860" s="868"/>
      <c r="AJ860" s="868"/>
      <c r="AK860" s="181" t="str">
        <f t="shared" ca="1" si="221"/>
        <v>TERMINO</v>
      </c>
      <c r="AL860" s="441"/>
      <c r="AM860" s="433"/>
      <c r="AN860" s="848" t="str">
        <f>IFERROR(VLOOKUP(E860,'liquidaciones '!$B$2:$C$1048576,2,0),"NO")</f>
        <v>NO</v>
      </c>
      <c r="AO860" s="944" t="str">
        <f>IFERROR(VLOOKUP(E860,'liquidaciones '!$B$2:$I$1048576,8,0),"")</f>
        <v/>
      </c>
      <c r="AP860" s="433"/>
      <c r="AQ860" s="433"/>
      <c r="AR860" s="1069"/>
      <c r="AS860" s="1042"/>
      <c r="AT860" s="964"/>
      <c r="AU860" s="964"/>
      <c r="AV860" s="964"/>
    </row>
    <row r="861" spans="3:48" x14ac:dyDescent="0.25">
      <c r="C861" s="867"/>
      <c r="E861" s="868"/>
      <c r="F861" s="441"/>
      <c r="G861" s="868"/>
      <c r="H861" s="1005"/>
      <c r="I861" s="93"/>
      <c r="J861" s="869"/>
      <c r="K861" s="295"/>
      <c r="L861" s="546"/>
      <c r="M861" s="870"/>
      <c r="N861" s="870"/>
      <c r="O861" s="127">
        <f>COUNTA(Modificaciones!I861,Modificaciones!K861,Modificaciones!M861,Modificaciones!O861)</f>
        <v>0</v>
      </c>
      <c r="P861" s="128">
        <f>VLOOKUP(E861,Modificaciones!$B$7:$Q$1819,16,0)</f>
        <v>0</v>
      </c>
      <c r="Q861" s="129">
        <f>COUNTA(Modificaciones!S861,Modificaciones!U861,Modificaciones!W861,Modificaciones!Y861)</f>
        <v>0</v>
      </c>
      <c r="R861" s="130" t="str">
        <f>IF(Modificaciones!Z861=0,"",VLOOKUP(E861,Modificaciones!$B$7:$AA$1419,25,0))</f>
        <v/>
      </c>
      <c r="S861" s="131" t="str">
        <f>IF(Modificaciones!AA837=0,"",VLOOKUP(#REF!,Modificaciones!$B$7:$AA$1419,26,0))</f>
        <v/>
      </c>
      <c r="T861" s="855">
        <f t="shared" ref="T861:T899" si="222">MAX(N861,S861)</f>
        <v>0</v>
      </c>
      <c r="U861" s="62">
        <f t="shared" ref="U861:U899" si="223">I861+P861</f>
        <v>0</v>
      </c>
      <c r="V861" s="172">
        <f>VLOOKUP(E861,Modificaciones!$B$7:$AU$819,46,0)</f>
        <v>0</v>
      </c>
      <c r="W861" s="93">
        <f t="shared" ref="W861:W899" si="224">U861-V861</f>
        <v>0</v>
      </c>
      <c r="X861" s="1041"/>
      <c r="Y861" s="852" t="e">
        <f t="shared" ref="Y861:Y899" si="225">(V861*100%)/U861</f>
        <v>#DIV/0!</v>
      </c>
      <c r="Z861" s="42" t="e">
        <f t="shared" ref="Z861:Z899" ca="1" si="226">IF((($F$3-M861)*100%/(T861-M861))&gt;100%,100%,(($F$3-M861)*100%/(T861-M861)))</f>
        <v>#DIV/0!</v>
      </c>
      <c r="AA861" s="43" t="e">
        <f t="shared" ref="AA861:AA899" ca="1" si="227">Z861-Y861</f>
        <v>#DIV/0!</v>
      </c>
      <c r="AB861" s="202" t="e">
        <f t="shared" ref="AB861:AB899" ca="1" si="228">IF(Z861&lt;100%,T861-$F$3,"")</f>
        <v>#DIV/0!</v>
      </c>
      <c r="AC861" s="44" t="e">
        <f t="shared" ref="AC861:AC899" si="229">IF(Y861&lt;=99.9%,"NO","SI")</f>
        <v>#DIV/0!</v>
      </c>
      <c r="AD861" s="868"/>
      <c r="AE861" s="871"/>
      <c r="AF861" s="871"/>
      <c r="AG861" s="868"/>
      <c r="AH861" s="868"/>
      <c r="AI861" s="868"/>
      <c r="AJ861" s="868"/>
      <c r="AK861" s="181" t="str">
        <f t="shared" ref="AK861:AK899" ca="1" si="230">IF(T861&gt;=$F$3,"EN EJECUCIÓN","TERMINO")</f>
        <v>TERMINO</v>
      </c>
      <c r="AL861" s="441"/>
      <c r="AM861" s="433"/>
      <c r="AN861" s="848" t="str">
        <f>IFERROR(VLOOKUP(E861,'liquidaciones '!$B$2:$C$1048576,2,0),"NO")</f>
        <v>NO</v>
      </c>
      <c r="AO861" s="944" t="str">
        <f>IFERROR(VLOOKUP(E861,'liquidaciones '!$B$2:$I$1048576,8,0),"")</f>
        <v/>
      </c>
      <c r="AP861" s="433"/>
      <c r="AQ861" s="433"/>
      <c r="AR861" s="1069"/>
      <c r="AS861" s="1042"/>
      <c r="AT861" s="964"/>
      <c r="AU861" s="964"/>
      <c r="AV861" s="964"/>
    </row>
    <row r="862" spans="3:48" x14ac:dyDescent="0.25">
      <c r="C862" s="867"/>
      <c r="E862" s="868"/>
      <c r="F862" s="441"/>
      <c r="G862" s="868"/>
      <c r="H862" s="1005"/>
      <c r="I862" s="93"/>
      <c r="J862" s="869"/>
      <c r="K862" s="295"/>
      <c r="L862" s="546"/>
      <c r="M862" s="870"/>
      <c r="N862" s="870"/>
      <c r="O862" s="127">
        <f>COUNTA(Modificaciones!I862,Modificaciones!K862,Modificaciones!M862,Modificaciones!O862)</f>
        <v>0</v>
      </c>
      <c r="P862" s="128">
        <f>VLOOKUP(E862,Modificaciones!$B$7:$Q$1819,16,0)</f>
        <v>0</v>
      </c>
      <c r="Q862" s="129">
        <f>COUNTA(Modificaciones!S862,Modificaciones!U862,Modificaciones!W862,Modificaciones!Y862)</f>
        <v>0</v>
      </c>
      <c r="R862" s="130" t="str">
        <f>IF(Modificaciones!Z862=0,"",VLOOKUP(E862,Modificaciones!$B$7:$AA$1419,25,0))</f>
        <v/>
      </c>
      <c r="S862" s="131" t="str">
        <f>IF(Modificaciones!AA838=0,"",VLOOKUP(#REF!,Modificaciones!$B$7:$AA$1419,26,0))</f>
        <v/>
      </c>
      <c r="T862" s="855">
        <f t="shared" si="222"/>
        <v>0</v>
      </c>
      <c r="U862" s="62">
        <f t="shared" si="223"/>
        <v>0</v>
      </c>
      <c r="V862" s="172">
        <f>VLOOKUP(E862,Modificaciones!$B$7:$AU$819,46,0)</f>
        <v>0</v>
      </c>
      <c r="W862" s="93">
        <f t="shared" si="224"/>
        <v>0</v>
      </c>
      <c r="X862" s="1041"/>
      <c r="Y862" s="852" t="e">
        <f t="shared" si="225"/>
        <v>#DIV/0!</v>
      </c>
      <c r="Z862" s="42" t="e">
        <f t="shared" ca="1" si="226"/>
        <v>#DIV/0!</v>
      </c>
      <c r="AA862" s="43" t="e">
        <f t="shared" ca="1" si="227"/>
        <v>#DIV/0!</v>
      </c>
      <c r="AB862" s="202" t="e">
        <f t="shared" ca="1" si="228"/>
        <v>#DIV/0!</v>
      </c>
      <c r="AC862" s="44" t="e">
        <f t="shared" si="229"/>
        <v>#DIV/0!</v>
      </c>
      <c r="AD862" s="868"/>
      <c r="AE862" s="871"/>
      <c r="AF862" s="871"/>
      <c r="AG862" s="868"/>
      <c r="AH862" s="868"/>
      <c r="AI862" s="868"/>
      <c r="AJ862" s="868"/>
      <c r="AK862" s="181" t="str">
        <f t="shared" ca="1" si="230"/>
        <v>TERMINO</v>
      </c>
      <c r="AL862" s="441"/>
      <c r="AM862" s="433"/>
      <c r="AN862" s="848" t="str">
        <f>IFERROR(VLOOKUP(E862,'liquidaciones '!$B$2:$C$1048576,2,0),"NO")</f>
        <v>NO</v>
      </c>
      <c r="AO862" s="944" t="str">
        <f>IFERROR(VLOOKUP(E862,'liquidaciones '!$B$2:$I$1048576,8,0),"")</f>
        <v/>
      </c>
      <c r="AP862" s="433"/>
      <c r="AQ862" s="433"/>
      <c r="AR862" s="1069"/>
      <c r="AS862" s="1042"/>
      <c r="AT862" s="964"/>
      <c r="AU862" s="964"/>
      <c r="AV862" s="964"/>
    </row>
    <row r="863" spans="3:48" x14ac:dyDescent="0.25">
      <c r="C863" s="867"/>
      <c r="E863" s="868"/>
      <c r="F863" s="441"/>
      <c r="G863" s="868"/>
      <c r="H863" s="1005"/>
      <c r="I863" s="93"/>
      <c r="J863" s="869"/>
      <c r="K863" s="295"/>
      <c r="L863" s="546"/>
      <c r="M863" s="870"/>
      <c r="N863" s="870"/>
      <c r="O863" s="127">
        <f>COUNTA(Modificaciones!I863,Modificaciones!K863,Modificaciones!M863,Modificaciones!O863)</f>
        <v>0</v>
      </c>
      <c r="P863" s="128">
        <f>VLOOKUP(E863,Modificaciones!$B$7:$Q$1819,16,0)</f>
        <v>0</v>
      </c>
      <c r="Q863" s="129">
        <f>COUNTA(Modificaciones!S863,Modificaciones!U863,Modificaciones!W863,Modificaciones!Y863)</f>
        <v>0</v>
      </c>
      <c r="R863" s="130" t="str">
        <f>IF(Modificaciones!Z863=0,"",VLOOKUP(E863,Modificaciones!$B$7:$AA$1419,25,0))</f>
        <v/>
      </c>
      <c r="S863" s="131" t="str">
        <f>IF(Modificaciones!AA839=0,"",VLOOKUP(#REF!,Modificaciones!$B$7:$AA$1419,26,0))</f>
        <v/>
      </c>
      <c r="T863" s="855">
        <f t="shared" si="222"/>
        <v>0</v>
      </c>
      <c r="U863" s="62">
        <f t="shared" si="223"/>
        <v>0</v>
      </c>
      <c r="V863" s="172">
        <f>VLOOKUP(E863,Modificaciones!$B$7:$AU$819,46,0)</f>
        <v>0</v>
      </c>
      <c r="W863" s="93">
        <f t="shared" si="224"/>
        <v>0</v>
      </c>
      <c r="X863" s="1041"/>
      <c r="Y863" s="852" t="e">
        <f t="shared" si="225"/>
        <v>#DIV/0!</v>
      </c>
      <c r="Z863" s="42" t="e">
        <f t="shared" ca="1" si="226"/>
        <v>#DIV/0!</v>
      </c>
      <c r="AA863" s="43" t="e">
        <f t="shared" ca="1" si="227"/>
        <v>#DIV/0!</v>
      </c>
      <c r="AB863" s="202" t="e">
        <f t="shared" ca="1" si="228"/>
        <v>#DIV/0!</v>
      </c>
      <c r="AC863" s="44" t="e">
        <f t="shared" si="229"/>
        <v>#DIV/0!</v>
      </c>
      <c r="AD863" s="868"/>
      <c r="AE863" s="871"/>
      <c r="AF863" s="871"/>
      <c r="AG863" s="868"/>
      <c r="AH863" s="868"/>
      <c r="AI863" s="868"/>
      <c r="AJ863" s="868"/>
      <c r="AK863" s="181" t="str">
        <f t="shared" ca="1" si="230"/>
        <v>TERMINO</v>
      </c>
      <c r="AL863" s="441"/>
      <c r="AM863" s="433"/>
      <c r="AN863" s="848" t="str">
        <f>IFERROR(VLOOKUP(E863,'liquidaciones '!$B$2:$C$1048576,2,0),"NO")</f>
        <v>NO</v>
      </c>
      <c r="AO863" s="944" t="str">
        <f>IFERROR(VLOOKUP(E863,'liquidaciones '!$B$2:$I$1048576,8,0),"")</f>
        <v/>
      </c>
      <c r="AP863" s="433"/>
      <c r="AQ863" s="433"/>
      <c r="AR863" s="1069"/>
      <c r="AS863" s="1042"/>
      <c r="AT863" s="964"/>
      <c r="AU863" s="964"/>
      <c r="AV863" s="964"/>
    </row>
    <row r="864" spans="3:48" x14ac:dyDescent="0.25">
      <c r="C864" s="867"/>
      <c r="E864" s="868"/>
      <c r="F864" s="441"/>
      <c r="G864" s="868"/>
      <c r="H864" s="1005"/>
      <c r="I864" s="93"/>
      <c r="J864" s="869"/>
      <c r="K864" s="295"/>
      <c r="L864" s="546"/>
      <c r="M864" s="870"/>
      <c r="N864" s="870"/>
      <c r="O864" s="127">
        <f>COUNTA(Modificaciones!I864,Modificaciones!K864,Modificaciones!M864,Modificaciones!O864)</f>
        <v>0</v>
      </c>
      <c r="P864" s="128">
        <f>VLOOKUP(E864,Modificaciones!$B$7:$Q$1819,16,0)</f>
        <v>0</v>
      </c>
      <c r="Q864" s="129">
        <f>COUNTA(Modificaciones!S864,Modificaciones!U864,Modificaciones!W864,Modificaciones!Y864)</f>
        <v>0</v>
      </c>
      <c r="R864" s="130" t="str">
        <f>IF(Modificaciones!Z864=0,"",VLOOKUP(E864,Modificaciones!$B$7:$AA$1419,25,0))</f>
        <v/>
      </c>
      <c r="S864" s="131" t="str">
        <f>IF(Modificaciones!AA840=0,"",VLOOKUP(#REF!,Modificaciones!$B$7:$AA$1419,26,0))</f>
        <v/>
      </c>
      <c r="T864" s="855">
        <f t="shared" si="222"/>
        <v>0</v>
      </c>
      <c r="U864" s="62">
        <f t="shared" si="223"/>
        <v>0</v>
      </c>
      <c r="V864" s="172">
        <f>VLOOKUP(E864,Modificaciones!$B$7:$AU$819,46,0)</f>
        <v>0</v>
      </c>
      <c r="W864" s="93">
        <f t="shared" si="224"/>
        <v>0</v>
      </c>
      <c r="X864" s="1041"/>
      <c r="Y864" s="852" t="e">
        <f t="shared" si="225"/>
        <v>#DIV/0!</v>
      </c>
      <c r="Z864" s="42" t="e">
        <f t="shared" ca="1" si="226"/>
        <v>#DIV/0!</v>
      </c>
      <c r="AA864" s="43" t="e">
        <f t="shared" ca="1" si="227"/>
        <v>#DIV/0!</v>
      </c>
      <c r="AB864" s="202" t="e">
        <f t="shared" ca="1" si="228"/>
        <v>#DIV/0!</v>
      </c>
      <c r="AC864" s="44" t="e">
        <f t="shared" si="229"/>
        <v>#DIV/0!</v>
      </c>
      <c r="AD864" s="868"/>
      <c r="AE864" s="871"/>
      <c r="AF864" s="871"/>
      <c r="AG864" s="868"/>
      <c r="AH864" s="868"/>
      <c r="AI864" s="868"/>
      <c r="AJ864" s="868"/>
      <c r="AK864" s="181" t="str">
        <f t="shared" ca="1" si="230"/>
        <v>TERMINO</v>
      </c>
      <c r="AL864" s="441"/>
      <c r="AM864" s="433"/>
      <c r="AN864" s="848" t="str">
        <f>IFERROR(VLOOKUP(E864,'liquidaciones '!$B$2:$C$1048576,2,0),"NO")</f>
        <v>NO</v>
      </c>
      <c r="AO864" s="944" t="str">
        <f>IFERROR(VLOOKUP(E864,'liquidaciones '!$B$2:$I$1048576,8,0),"")</f>
        <v/>
      </c>
      <c r="AP864" s="433"/>
      <c r="AQ864" s="433"/>
      <c r="AR864" s="1069"/>
      <c r="AS864" s="1042"/>
      <c r="AT864" s="964"/>
      <c r="AU864" s="964"/>
      <c r="AV864" s="964"/>
    </row>
    <row r="865" spans="3:48" x14ac:dyDescent="0.25">
      <c r="C865" s="867"/>
      <c r="E865" s="868"/>
      <c r="F865" s="441"/>
      <c r="G865" s="868"/>
      <c r="H865" s="1005"/>
      <c r="I865" s="93"/>
      <c r="J865" s="869"/>
      <c r="K865" s="295"/>
      <c r="L865" s="546"/>
      <c r="M865" s="870"/>
      <c r="N865" s="870"/>
      <c r="O865" s="127">
        <f>COUNTA(Modificaciones!I865,Modificaciones!K865,Modificaciones!M865,Modificaciones!O865)</f>
        <v>0</v>
      </c>
      <c r="P865" s="128">
        <f>VLOOKUP(E865,Modificaciones!$B$7:$Q$1819,16,0)</f>
        <v>0</v>
      </c>
      <c r="Q865" s="129">
        <f>COUNTA(Modificaciones!S865,Modificaciones!U865,Modificaciones!W865,Modificaciones!Y865)</f>
        <v>0</v>
      </c>
      <c r="R865" s="130" t="str">
        <f>IF(Modificaciones!Z865=0,"",VLOOKUP(E865,Modificaciones!$B$7:$AA$1419,25,0))</f>
        <v/>
      </c>
      <c r="S865" s="131" t="str">
        <f>IF(Modificaciones!AA841=0,"",VLOOKUP(#REF!,Modificaciones!$B$7:$AA$1419,26,0))</f>
        <v/>
      </c>
      <c r="T865" s="855">
        <f t="shared" si="222"/>
        <v>0</v>
      </c>
      <c r="U865" s="62">
        <f t="shared" si="223"/>
        <v>0</v>
      </c>
      <c r="V865" s="172">
        <f>VLOOKUP(E865,Modificaciones!$B$7:$AU$819,46,0)</f>
        <v>0</v>
      </c>
      <c r="W865" s="93">
        <f t="shared" si="224"/>
        <v>0</v>
      </c>
      <c r="X865" s="1041"/>
      <c r="Y865" s="852" t="e">
        <f t="shared" si="225"/>
        <v>#DIV/0!</v>
      </c>
      <c r="Z865" s="42" t="e">
        <f t="shared" ca="1" si="226"/>
        <v>#DIV/0!</v>
      </c>
      <c r="AA865" s="43" t="e">
        <f t="shared" ca="1" si="227"/>
        <v>#DIV/0!</v>
      </c>
      <c r="AB865" s="202" t="e">
        <f t="shared" ca="1" si="228"/>
        <v>#DIV/0!</v>
      </c>
      <c r="AC865" s="44" t="e">
        <f t="shared" si="229"/>
        <v>#DIV/0!</v>
      </c>
      <c r="AD865" s="868"/>
      <c r="AE865" s="871"/>
      <c r="AF865" s="871"/>
      <c r="AG865" s="868"/>
      <c r="AH865" s="868"/>
      <c r="AI865" s="868"/>
      <c r="AJ865" s="868"/>
      <c r="AK865" s="181" t="str">
        <f t="shared" ca="1" si="230"/>
        <v>TERMINO</v>
      </c>
      <c r="AL865" s="441"/>
      <c r="AM865" s="433"/>
      <c r="AN865" s="848" t="str">
        <f>IFERROR(VLOOKUP(E865,'liquidaciones '!$B$2:$C$1048576,2,0),"NO")</f>
        <v>NO</v>
      </c>
      <c r="AO865" s="944" t="str">
        <f>IFERROR(VLOOKUP(E865,'liquidaciones '!$B$2:$I$1048576,8,0),"")</f>
        <v/>
      </c>
      <c r="AP865" s="433"/>
      <c r="AQ865" s="433"/>
      <c r="AR865" s="1069"/>
      <c r="AS865" s="1042"/>
      <c r="AT865" s="964"/>
      <c r="AU865" s="964"/>
      <c r="AV865" s="964"/>
    </row>
    <row r="866" spans="3:48" x14ac:dyDescent="0.25">
      <c r="C866" s="867"/>
      <c r="E866" s="868"/>
      <c r="F866" s="441"/>
      <c r="G866" s="868"/>
      <c r="H866" s="1005"/>
      <c r="I866" s="93"/>
      <c r="J866" s="869"/>
      <c r="K866" s="295"/>
      <c r="L866" s="546"/>
      <c r="M866" s="870"/>
      <c r="N866" s="870"/>
      <c r="O866" s="127">
        <f>COUNTA(Modificaciones!I866,Modificaciones!K866,Modificaciones!M866,Modificaciones!O866)</f>
        <v>0</v>
      </c>
      <c r="P866" s="128">
        <f>VLOOKUP(E866,Modificaciones!$B$7:$Q$1819,16,0)</f>
        <v>0</v>
      </c>
      <c r="Q866" s="129">
        <f>COUNTA(Modificaciones!S866,Modificaciones!U866,Modificaciones!W866,Modificaciones!Y866)</f>
        <v>0</v>
      </c>
      <c r="R866" s="130" t="str">
        <f>IF(Modificaciones!Z866=0,"",VLOOKUP(E866,Modificaciones!$B$7:$AA$1419,25,0))</f>
        <v/>
      </c>
      <c r="S866" s="131" t="str">
        <f>IF(Modificaciones!AA842=0,"",VLOOKUP(#REF!,Modificaciones!$B$7:$AA$1419,26,0))</f>
        <v/>
      </c>
      <c r="T866" s="855">
        <f t="shared" si="222"/>
        <v>0</v>
      </c>
      <c r="U866" s="62">
        <f t="shared" si="223"/>
        <v>0</v>
      </c>
      <c r="V866" s="172">
        <f>VLOOKUP(E866,Modificaciones!$B$7:$AU$819,46,0)</f>
        <v>0</v>
      </c>
      <c r="W866" s="93">
        <f t="shared" si="224"/>
        <v>0</v>
      </c>
      <c r="X866" s="1041"/>
      <c r="Y866" s="852" t="e">
        <f t="shared" si="225"/>
        <v>#DIV/0!</v>
      </c>
      <c r="Z866" s="42" t="e">
        <f t="shared" ca="1" si="226"/>
        <v>#DIV/0!</v>
      </c>
      <c r="AA866" s="43" t="e">
        <f t="shared" ca="1" si="227"/>
        <v>#DIV/0!</v>
      </c>
      <c r="AB866" s="202" t="e">
        <f t="shared" ca="1" si="228"/>
        <v>#DIV/0!</v>
      </c>
      <c r="AC866" s="44" t="e">
        <f t="shared" si="229"/>
        <v>#DIV/0!</v>
      </c>
      <c r="AD866" s="868"/>
      <c r="AE866" s="871"/>
      <c r="AF866" s="871"/>
      <c r="AG866" s="868"/>
      <c r="AH866" s="868"/>
      <c r="AI866" s="868"/>
      <c r="AJ866" s="868"/>
      <c r="AK866" s="181" t="str">
        <f t="shared" ca="1" si="230"/>
        <v>TERMINO</v>
      </c>
      <c r="AL866" s="441"/>
      <c r="AM866" s="433"/>
      <c r="AN866" s="848" t="str">
        <f>IFERROR(VLOOKUP(E866,'liquidaciones '!$B$2:$C$1048576,2,0),"NO")</f>
        <v>NO</v>
      </c>
      <c r="AO866" s="944" t="str">
        <f>IFERROR(VLOOKUP(E866,'liquidaciones '!$B$2:$I$1048576,8,0),"")</f>
        <v/>
      </c>
      <c r="AP866" s="433"/>
      <c r="AQ866" s="433"/>
      <c r="AR866" s="1069"/>
      <c r="AS866" s="1042"/>
      <c r="AT866" s="964"/>
      <c r="AU866" s="964"/>
      <c r="AV866" s="964"/>
    </row>
    <row r="867" spans="3:48" x14ac:dyDescent="0.25">
      <c r="C867" s="867"/>
      <c r="E867" s="868"/>
      <c r="F867" s="441"/>
      <c r="G867" s="868"/>
      <c r="H867" s="1005"/>
      <c r="I867" s="93"/>
      <c r="J867" s="869"/>
      <c r="K867" s="295"/>
      <c r="L867" s="546"/>
      <c r="M867" s="870"/>
      <c r="N867" s="870"/>
      <c r="O867" s="127">
        <f>COUNTA(Modificaciones!I867,Modificaciones!K867,Modificaciones!M867,Modificaciones!O867)</f>
        <v>0</v>
      </c>
      <c r="P867" s="128">
        <f>VLOOKUP(E867,Modificaciones!$B$7:$Q$1819,16,0)</f>
        <v>0</v>
      </c>
      <c r="Q867" s="129">
        <f>COUNTA(Modificaciones!S867,Modificaciones!U867,Modificaciones!W867,Modificaciones!Y867)</f>
        <v>0</v>
      </c>
      <c r="R867" s="130" t="str">
        <f>IF(Modificaciones!Z867=0,"",VLOOKUP(E867,Modificaciones!$B$7:$AA$1419,25,0))</f>
        <v/>
      </c>
      <c r="S867" s="131" t="str">
        <f>IF(Modificaciones!AA843=0,"",VLOOKUP(#REF!,Modificaciones!$B$7:$AA$1419,26,0))</f>
        <v/>
      </c>
      <c r="T867" s="855">
        <f t="shared" si="222"/>
        <v>0</v>
      </c>
      <c r="U867" s="62">
        <f t="shared" si="223"/>
        <v>0</v>
      </c>
      <c r="V867" s="172">
        <f>VLOOKUP(E867,Modificaciones!$B$7:$AU$819,46,0)</f>
        <v>0</v>
      </c>
      <c r="W867" s="93">
        <f t="shared" si="224"/>
        <v>0</v>
      </c>
      <c r="X867" s="1041"/>
      <c r="Y867" s="852" t="e">
        <f t="shared" si="225"/>
        <v>#DIV/0!</v>
      </c>
      <c r="Z867" s="42" t="e">
        <f t="shared" ca="1" si="226"/>
        <v>#DIV/0!</v>
      </c>
      <c r="AA867" s="43" t="e">
        <f t="shared" ca="1" si="227"/>
        <v>#DIV/0!</v>
      </c>
      <c r="AB867" s="202" t="e">
        <f t="shared" ca="1" si="228"/>
        <v>#DIV/0!</v>
      </c>
      <c r="AC867" s="44" t="e">
        <f t="shared" si="229"/>
        <v>#DIV/0!</v>
      </c>
      <c r="AD867" s="868"/>
      <c r="AE867" s="871"/>
      <c r="AF867" s="871"/>
      <c r="AG867" s="868"/>
      <c r="AH867" s="868"/>
      <c r="AI867" s="868"/>
      <c r="AJ867" s="868"/>
      <c r="AK867" s="181" t="str">
        <f t="shared" ca="1" si="230"/>
        <v>TERMINO</v>
      </c>
      <c r="AL867" s="441"/>
      <c r="AM867" s="433"/>
      <c r="AN867" s="848" t="str">
        <f>IFERROR(VLOOKUP(E867,'liquidaciones '!$B$2:$C$1048576,2,0),"NO")</f>
        <v>NO</v>
      </c>
      <c r="AO867" s="944" t="str">
        <f>IFERROR(VLOOKUP(E867,'liquidaciones '!$B$2:$I$1048576,8,0),"")</f>
        <v/>
      </c>
      <c r="AP867" s="433"/>
      <c r="AQ867" s="433"/>
      <c r="AR867" s="1069"/>
      <c r="AS867" s="1042"/>
      <c r="AT867" s="964"/>
      <c r="AU867" s="964"/>
      <c r="AV867" s="964"/>
    </row>
    <row r="868" spans="3:48" x14ac:dyDescent="0.25">
      <c r="C868" s="867"/>
      <c r="E868" s="868"/>
      <c r="F868" s="441"/>
      <c r="G868" s="868"/>
      <c r="H868" s="1005"/>
      <c r="I868" s="93"/>
      <c r="J868" s="869"/>
      <c r="K868" s="295"/>
      <c r="L868" s="546"/>
      <c r="M868" s="870"/>
      <c r="N868" s="870"/>
      <c r="O868" s="127">
        <f>COUNTA(Modificaciones!I868,Modificaciones!K868,Modificaciones!M868,Modificaciones!O868)</f>
        <v>0</v>
      </c>
      <c r="P868" s="128">
        <f>VLOOKUP(E868,Modificaciones!$B$7:$Q$1819,16,0)</f>
        <v>0</v>
      </c>
      <c r="Q868" s="129">
        <f>COUNTA(Modificaciones!S868,Modificaciones!U868,Modificaciones!W868,Modificaciones!Y868)</f>
        <v>0</v>
      </c>
      <c r="R868" s="130" t="str">
        <f>IF(Modificaciones!Z868=0,"",VLOOKUP(E868,Modificaciones!$B$7:$AA$1419,25,0))</f>
        <v/>
      </c>
      <c r="S868" s="131" t="str">
        <f>IF(Modificaciones!AA844=0,"",VLOOKUP(#REF!,Modificaciones!$B$7:$AA$1419,26,0))</f>
        <v/>
      </c>
      <c r="T868" s="855">
        <f t="shared" si="222"/>
        <v>0</v>
      </c>
      <c r="U868" s="62">
        <f t="shared" si="223"/>
        <v>0</v>
      </c>
      <c r="V868" s="172">
        <f>VLOOKUP(E868,Modificaciones!$B$7:$AU$819,46,0)</f>
        <v>0</v>
      </c>
      <c r="W868" s="93">
        <f t="shared" si="224"/>
        <v>0</v>
      </c>
      <c r="X868" s="1041"/>
      <c r="Y868" s="852" t="e">
        <f t="shared" si="225"/>
        <v>#DIV/0!</v>
      </c>
      <c r="Z868" s="42" t="e">
        <f t="shared" ca="1" si="226"/>
        <v>#DIV/0!</v>
      </c>
      <c r="AA868" s="43" t="e">
        <f t="shared" ca="1" si="227"/>
        <v>#DIV/0!</v>
      </c>
      <c r="AB868" s="202" t="e">
        <f t="shared" ca="1" si="228"/>
        <v>#DIV/0!</v>
      </c>
      <c r="AC868" s="44" t="e">
        <f t="shared" si="229"/>
        <v>#DIV/0!</v>
      </c>
      <c r="AD868" s="868"/>
      <c r="AE868" s="871"/>
      <c r="AF868" s="871"/>
      <c r="AG868" s="868"/>
      <c r="AH868" s="868"/>
      <c r="AI868" s="868"/>
      <c r="AJ868" s="868"/>
      <c r="AK868" s="181" t="str">
        <f t="shared" ca="1" si="230"/>
        <v>TERMINO</v>
      </c>
      <c r="AL868" s="441"/>
      <c r="AM868" s="433"/>
      <c r="AN868" s="848" t="str">
        <f>IFERROR(VLOOKUP(E868,'liquidaciones '!$B$2:$C$1048576,2,0),"NO")</f>
        <v>NO</v>
      </c>
      <c r="AO868" s="944" t="str">
        <f>IFERROR(VLOOKUP(E868,'liquidaciones '!$B$2:$I$1048576,8,0),"")</f>
        <v/>
      </c>
      <c r="AP868" s="433"/>
      <c r="AQ868" s="433"/>
      <c r="AR868" s="1069"/>
      <c r="AS868" s="1042"/>
      <c r="AT868" s="964"/>
      <c r="AU868" s="964"/>
      <c r="AV868" s="964"/>
    </row>
    <row r="869" spans="3:48" x14ac:dyDescent="0.25">
      <c r="C869" s="867"/>
      <c r="E869" s="868"/>
      <c r="F869" s="441"/>
      <c r="G869" s="868"/>
      <c r="H869" s="1005"/>
      <c r="I869" s="93"/>
      <c r="J869" s="869"/>
      <c r="K869" s="295"/>
      <c r="L869" s="546"/>
      <c r="M869" s="870"/>
      <c r="N869" s="870"/>
      <c r="O869" s="127">
        <f>COUNTA(Modificaciones!I869,Modificaciones!K869,Modificaciones!M869,Modificaciones!O869)</f>
        <v>0</v>
      </c>
      <c r="P869" s="128">
        <f>VLOOKUP(E869,Modificaciones!$B$7:$Q$1819,16,0)</f>
        <v>0</v>
      </c>
      <c r="Q869" s="129">
        <f>COUNTA(Modificaciones!S869,Modificaciones!U869,Modificaciones!W869,Modificaciones!Y869)</f>
        <v>0</v>
      </c>
      <c r="R869" s="130" t="str">
        <f>IF(Modificaciones!Z869=0,"",VLOOKUP(E869,Modificaciones!$B$7:$AA$1419,25,0))</f>
        <v/>
      </c>
      <c r="S869" s="131" t="str">
        <f>IF(Modificaciones!AA845=0,"",VLOOKUP(#REF!,Modificaciones!$B$7:$AA$1419,26,0))</f>
        <v/>
      </c>
      <c r="T869" s="855">
        <f t="shared" si="222"/>
        <v>0</v>
      </c>
      <c r="U869" s="62">
        <f t="shared" si="223"/>
        <v>0</v>
      </c>
      <c r="V869" s="172">
        <f>VLOOKUP(E869,Modificaciones!$B$7:$AU$819,46,0)</f>
        <v>0</v>
      </c>
      <c r="W869" s="93">
        <f t="shared" si="224"/>
        <v>0</v>
      </c>
      <c r="X869" s="1041"/>
      <c r="Y869" s="852" t="e">
        <f t="shared" si="225"/>
        <v>#DIV/0!</v>
      </c>
      <c r="Z869" s="42" t="e">
        <f t="shared" ca="1" si="226"/>
        <v>#DIV/0!</v>
      </c>
      <c r="AA869" s="43" t="e">
        <f t="shared" ca="1" si="227"/>
        <v>#DIV/0!</v>
      </c>
      <c r="AB869" s="202" t="e">
        <f t="shared" ca="1" si="228"/>
        <v>#DIV/0!</v>
      </c>
      <c r="AC869" s="44" t="e">
        <f t="shared" si="229"/>
        <v>#DIV/0!</v>
      </c>
      <c r="AD869" s="868"/>
      <c r="AE869" s="871"/>
      <c r="AF869" s="871"/>
      <c r="AG869" s="868"/>
      <c r="AH869" s="868"/>
      <c r="AI869" s="868"/>
      <c r="AJ869" s="868"/>
      <c r="AK869" s="181" t="str">
        <f t="shared" ca="1" si="230"/>
        <v>TERMINO</v>
      </c>
      <c r="AL869" s="441"/>
      <c r="AM869" s="433"/>
      <c r="AN869" s="848" t="str">
        <f>IFERROR(VLOOKUP(E869,'liquidaciones '!$B$2:$C$1048576,2,0),"NO")</f>
        <v>NO</v>
      </c>
      <c r="AO869" s="944" t="str">
        <f>IFERROR(VLOOKUP(E869,'liquidaciones '!$B$2:$I$1048576,8,0),"")</f>
        <v/>
      </c>
      <c r="AP869" s="433"/>
      <c r="AQ869" s="433"/>
      <c r="AR869" s="1069"/>
      <c r="AS869" s="1042"/>
      <c r="AT869" s="964"/>
      <c r="AU869" s="964"/>
      <c r="AV869" s="964"/>
    </row>
    <row r="870" spans="3:48" x14ac:dyDescent="0.25">
      <c r="C870" s="867"/>
      <c r="E870" s="868"/>
      <c r="F870" s="441"/>
      <c r="G870" s="868"/>
      <c r="H870" s="1005"/>
      <c r="I870" s="93"/>
      <c r="J870" s="869"/>
      <c r="K870" s="295"/>
      <c r="L870" s="546"/>
      <c r="M870" s="870"/>
      <c r="N870" s="870"/>
      <c r="O870" s="127">
        <f>COUNTA(Modificaciones!I870,Modificaciones!K870,Modificaciones!M870,Modificaciones!O870)</f>
        <v>0</v>
      </c>
      <c r="P870" s="128">
        <f>VLOOKUP(E870,Modificaciones!$B$7:$Q$1819,16,0)</f>
        <v>0</v>
      </c>
      <c r="Q870" s="129">
        <f>COUNTA(Modificaciones!S870,Modificaciones!U870,Modificaciones!W870,Modificaciones!Y870)</f>
        <v>0</v>
      </c>
      <c r="R870" s="130" t="str">
        <f>IF(Modificaciones!Z870=0,"",VLOOKUP(E870,Modificaciones!$B$7:$AA$1419,25,0))</f>
        <v/>
      </c>
      <c r="S870" s="131" t="str">
        <f>IF(Modificaciones!AA846=0,"",VLOOKUP(#REF!,Modificaciones!$B$7:$AA$1419,26,0))</f>
        <v/>
      </c>
      <c r="T870" s="855">
        <f t="shared" si="222"/>
        <v>0</v>
      </c>
      <c r="U870" s="62">
        <f t="shared" si="223"/>
        <v>0</v>
      </c>
      <c r="V870" s="172">
        <f>VLOOKUP(E870,Modificaciones!$B$7:$AU$819,46,0)</f>
        <v>0</v>
      </c>
      <c r="W870" s="93">
        <f t="shared" si="224"/>
        <v>0</v>
      </c>
      <c r="X870" s="1041"/>
      <c r="Y870" s="852" t="e">
        <f t="shared" si="225"/>
        <v>#DIV/0!</v>
      </c>
      <c r="Z870" s="42" t="e">
        <f t="shared" ca="1" si="226"/>
        <v>#DIV/0!</v>
      </c>
      <c r="AA870" s="43" t="e">
        <f t="shared" ca="1" si="227"/>
        <v>#DIV/0!</v>
      </c>
      <c r="AB870" s="202" t="e">
        <f t="shared" ca="1" si="228"/>
        <v>#DIV/0!</v>
      </c>
      <c r="AC870" s="44" t="e">
        <f t="shared" si="229"/>
        <v>#DIV/0!</v>
      </c>
      <c r="AD870" s="868"/>
      <c r="AE870" s="871"/>
      <c r="AF870" s="871"/>
      <c r="AG870" s="868"/>
      <c r="AH870" s="868"/>
      <c r="AI870" s="868"/>
      <c r="AJ870" s="868"/>
      <c r="AK870" s="181" t="str">
        <f t="shared" ca="1" si="230"/>
        <v>TERMINO</v>
      </c>
      <c r="AL870" s="441"/>
      <c r="AM870" s="433"/>
      <c r="AN870" s="848" t="str">
        <f>IFERROR(VLOOKUP(E870,'liquidaciones '!$B$2:$C$1048576,2,0),"NO")</f>
        <v>NO</v>
      </c>
      <c r="AO870" s="944" t="str">
        <f>IFERROR(VLOOKUP(E870,'liquidaciones '!$B$2:$I$1048576,8,0),"")</f>
        <v/>
      </c>
      <c r="AP870" s="433"/>
      <c r="AQ870" s="433"/>
      <c r="AR870" s="1069"/>
      <c r="AS870" s="1042"/>
      <c r="AT870" s="964"/>
      <c r="AU870" s="964"/>
      <c r="AV870" s="964"/>
    </row>
    <row r="871" spans="3:48" x14ac:dyDescent="0.25">
      <c r="C871" s="867"/>
      <c r="E871" s="868"/>
      <c r="F871" s="441"/>
      <c r="G871" s="868"/>
      <c r="H871" s="1005"/>
      <c r="I871" s="93"/>
      <c r="J871" s="869"/>
      <c r="K871" s="295"/>
      <c r="L871" s="546"/>
      <c r="M871" s="870"/>
      <c r="N871" s="870"/>
      <c r="O871" s="127">
        <f>COUNTA(Modificaciones!I871,Modificaciones!K871,Modificaciones!M871,Modificaciones!O871)</f>
        <v>0</v>
      </c>
      <c r="P871" s="128">
        <f>VLOOKUP(E871,Modificaciones!$B$7:$Q$1819,16,0)</f>
        <v>0</v>
      </c>
      <c r="Q871" s="129">
        <f>COUNTA(Modificaciones!S871,Modificaciones!U871,Modificaciones!W871,Modificaciones!Y871)</f>
        <v>0</v>
      </c>
      <c r="R871" s="130" t="str">
        <f>IF(Modificaciones!Z871=0,"",VLOOKUP(E871,Modificaciones!$B$7:$AA$1419,25,0))</f>
        <v/>
      </c>
      <c r="S871" s="131" t="str">
        <f>IF(Modificaciones!AA847=0,"",VLOOKUP(#REF!,Modificaciones!$B$7:$AA$1419,26,0))</f>
        <v/>
      </c>
      <c r="T871" s="855">
        <f t="shared" si="222"/>
        <v>0</v>
      </c>
      <c r="U871" s="62">
        <f t="shared" si="223"/>
        <v>0</v>
      </c>
      <c r="V871" s="172">
        <f>VLOOKUP(E871,Modificaciones!$B$7:$AU$819,46,0)</f>
        <v>0</v>
      </c>
      <c r="W871" s="93">
        <f t="shared" si="224"/>
        <v>0</v>
      </c>
      <c r="X871" s="1041"/>
      <c r="Y871" s="852" t="e">
        <f t="shared" si="225"/>
        <v>#DIV/0!</v>
      </c>
      <c r="Z871" s="42" t="e">
        <f t="shared" ca="1" si="226"/>
        <v>#DIV/0!</v>
      </c>
      <c r="AA871" s="43" t="e">
        <f t="shared" ca="1" si="227"/>
        <v>#DIV/0!</v>
      </c>
      <c r="AB871" s="202" t="e">
        <f t="shared" ca="1" si="228"/>
        <v>#DIV/0!</v>
      </c>
      <c r="AC871" s="44" t="e">
        <f t="shared" si="229"/>
        <v>#DIV/0!</v>
      </c>
      <c r="AD871" s="868"/>
      <c r="AE871" s="871"/>
      <c r="AF871" s="871"/>
      <c r="AG871" s="868"/>
      <c r="AH871" s="868"/>
      <c r="AI871" s="868"/>
      <c r="AJ871" s="868"/>
      <c r="AK871" s="181" t="str">
        <f t="shared" ca="1" si="230"/>
        <v>TERMINO</v>
      </c>
      <c r="AL871" s="441"/>
      <c r="AM871" s="433"/>
      <c r="AN871" s="848" t="str">
        <f>IFERROR(VLOOKUP(E871,'liquidaciones '!$B$2:$C$1048576,2,0),"NO")</f>
        <v>NO</v>
      </c>
      <c r="AO871" s="944" t="str">
        <f>IFERROR(VLOOKUP(E871,'liquidaciones '!$B$2:$I$1048576,8,0),"")</f>
        <v/>
      </c>
      <c r="AP871" s="433"/>
      <c r="AQ871" s="433"/>
      <c r="AR871" s="1069"/>
      <c r="AS871" s="1042"/>
      <c r="AT871" s="964"/>
      <c r="AU871" s="964"/>
      <c r="AV871" s="964"/>
    </row>
    <row r="872" spans="3:48" x14ac:dyDescent="0.25">
      <c r="C872" s="867"/>
      <c r="E872" s="868"/>
      <c r="F872" s="441"/>
      <c r="G872" s="868"/>
      <c r="H872" s="1005"/>
      <c r="I872" s="93"/>
      <c r="J872" s="869"/>
      <c r="K872" s="295"/>
      <c r="L872" s="546"/>
      <c r="M872" s="870"/>
      <c r="N872" s="870"/>
      <c r="O872" s="127">
        <f>COUNTA(Modificaciones!I872,Modificaciones!K872,Modificaciones!M872,Modificaciones!O872)</f>
        <v>0</v>
      </c>
      <c r="P872" s="128">
        <f>VLOOKUP(E872,Modificaciones!$B$7:$Q$1819,16,0)</f>
        <v>0</v>
      </c>
      <c r="Q872" s="129">
        <f>COUNTA(Modificaciones!S872,Modificaciones!U872,Modificaciones!W872,Modificaciones!Y872)</f>
        <v>0</v>
      </c>
      <c r="R872" s="130" t="str">
        <f>IF(Modificaciones!Z872=0,"",VLOOKUP(E872,Modificaciones!$B$7:$AA$1419,25,0))</f>
        <v/>
      </c>
      <c r="S872" s="131" t="str">
        <f>IF(Modificaciones!AA848=0,"",VLOOKUP(#REF!,Modificaciones!$B$7:$AA$1419,26,0))</f>
        <v/>
      </c>
      <c r="T872" s="855">
        <f t="shared" si="222"/>
        <v>0</v>
      </c>
      <c r="U872" s="62">
        <f t="shared" si="223"/>
        <v>0</v>
      </c>
      <c r="V872" s="172">
        <f>VLOOKUP(E872,Modificaciones!$B$7:$AU$819,46,0)</f>
        <v>0</v>
      </c>
      <c r="W872" s="93">
        <f t="shared" si="224"/>
        <v>0</v>
      </c>
      <c r="X872" s="1041"/>
      <c r="Y872" s="852" t="e">
        <f t="shared" si="225"/>
        <v>#DIV/0!</v>
      </c>
      <c r="Z872" s="42" t="e">
        <f t="shared" ca="1" si="226"/>
        <v>#DIV/0!</v>
      </c>
      <c r="AA872" s="43" t="e">
        <f t="shared" ca="1" si="227"/>
        <v>#DIV/0!</v>
      </c>
      <c r="AB872" s="202" t="e">
        <f t="shared" ca="1" si="228"/>
        <v>#DIV/0!</v>
      </c>
      <c r="AC872" s="44" t="e">
        <f t="shared" si="229"/>
        <v>#DIV/0!</v>
      </c>
      <c r="AD872" s="868"/>
      <c r="AE872" s="871"/>
      <c r="AF872" s="871"/>
      <c r="AG872" s="868"/>
      <c r="AH872" s="868"/>
      <c r="AI872" s="868"/>
      <c r="AJ872" s="868"/>
      <c r="AK872" s="181" t="str">
        <f t="shared" ca="1" si="230"/>
        <v>TERMINO</v>
      </c>
      <c r="AL872" s="441"/>
      <c r="AM872" s="433"/>
      <c r="AN872" s="848" t="str">
        <f>IFERROR(VLOOKUP(E872,'liquidaciones '!$B$2:$C$1048576,2,0),"NO")</f>
        <v>NO</v>
      </c>
      <c r="AO872" s="944" t="str">
        <f>IFERROR(VLOOKUP(E872,'liquidaciones '!$B$2:$I$1048576,8,0),"")</f>
        <v/>
      </c>
      <c r="AP872" s="433"/>
      <c r="AQ872" s="433"/>
      <c r="AR872" s="1069"/>
      <c r="AS872" s="1042"/>
      <c r="AT872" s="964"/>
      <c r="AU872" s="964"/>
      <c r="AV872" s="964"/>
    </row>
    <row r="873" spans="3:48" x14ac:dyDescent="0.25">
      <c r="C873" s="867"/>
      <c r="E873" s="868"/>
      <c r="F873" s="441"/>
      <c r="G873" s="868"/>
      <c r="H873" s="1005"/>
      <c r="I873" s="93"/>
      <c r="J873" s="869"/>
      <c r="K873" s="295"/>
      <c r="L873" s="546"/>
      <c r="M873" s="870"/>
      <c r="N873" s="870"/>
      <c r="O873" s="127">
        <f>COUNTA(Modificaciones!I873,Modificaciones!K873,Modificaciones!M873,Modificaciones!O873)</f>
        <v>0</v>
      </c>
      <c r="P873" s="128">
        <f>VLOOKUP(E873,Modificaciones!$B$7:$Q$1819,16,0)</f>
        <v>0</v>
      </c>
      <c r="Q873" s="129">
        <f>COUNTA(Modificaciones!S873,Modificaciones!U873,Modificaciones!W873,Modificaciones!Y873)</f>
        <v>0</v>
      </c>
      <c r="R873" s="130" t="str">
        <f>IF(Modificaciones!Z873=0,"",VLOOKUP(E873,Modificaciones!$B$7:$AA$1419,25,0))</f>
        <v/>
      </c>
      <c r="S873" s="131" t="str">
        <f>IF(Modificaciones!AA849=0,"",VLOOKUP(#REF!,Modificaciones!$B$7:$AA$1419,26,0))</f>
        <v/>
      </c>
      <c r="T873" s="855">
        <f t="shared" si="222"/>
        <v>0</v>
      </c>
      <c r="U873" s="62">
        <f t="shared" si="223"/>
        <v>0</v>
      </c>
      <c r="V873" s="172">
        <f>VLOOKUP(E873,Modificaciones!$B$7:$AU$819,46,0)</f>
        <v>0</v>
      </c>
      <c r="W873" s="93">
        <f t="shared" si="224"/>
        <v>0</v>
      </c>
      <c r="X873" s="1041"/>
      <c r="Y873" s="852" t="e">
        <f t="shared" si="225"/>
        <v>#DIV/0!</v>
      </c>
      <c r="Z873" s="42" t="e">
        <f t="shared" ca="1" si="226"/>
        <v>#DIV/0!</v>
      </c>
      <c r="AA873" s="43" t="e">
        <f t="shared" ca="1" si="227"/>
        <v>#DIV/0!</v>
      </c>
      <c r="AB873" s="202" t="e">
        <f t="shared" ca="1" si="228"/>
        <v>#DIV/0!</v>
      </c>
      <c r="AC873" s="44" t="e">
        <f t="shared" si="229"/>
        <v>#DIV/0!</v>
      </c>
      <c r="AD873" s="868"/>
      <c r="AE873" s="871"/>
      <c r="AF873" s="871"/>
      <c r="AG873" s="868"/>
      <c r="AH873" s="868"/>
      <c r="AI873" s="868"/>
      <c r="AJ873" s="868"/>
      <c r="AK873" s="181" t="str">
        <f t="shared" ca="1" si="230"/>
        <v>TERMINO</v>
      </c>
      <c r="AL873" s="441"/>
      <c r="AM873" s="433"/>
      <c r="AN873" s="848" t="str">
        <f>IFERROR(VLOOKUP(E873,'liquidaciones '!$B$2:$C$1048576,2,0),"NO")</f>
        <v>NO</v>
      </c>
      <c r="AO873" s="944" t="str">
        <f>IFERROR(VLOOKUP(E873,'liquidaciones '!$B$2:$I$1048576,8,0),"")</f>
        <v/>
      </c>
      <c r="AP873" s="433"/>
      <c r="AQ873" s="433"/>
      <c r="AR873" s="1069"/>
      <c r="AS873" s="1042"/>
      <c r="AT873" s="964"/>
      <c r="AU873" s="964"/>
      <c r="AV873" s="964"/>
    </row>
    <row r="874" spans="3:48" x14ac:dyDescent="0.25">
      <c r="C874" s="867"/>
      <c r="E874" s="868"/>
      <c r="F874" s="441"/>
      <c r="G874" s="868"/>
      <c r="H874" s="1005"/>
      <c r="I874" s="93"/>
      <c r="J874" s="869"/>
      <c r="K874" s="295"/>
      <c r="L874" s="546"/>
      <c r="M874" s="870"/>
      <c r="N874" s="870"/>
      <c r="O874" s="127">
        <f>COUNTA(Modificaciones!I874,Modificaciones!K874,Modificaciones!M874,Modificaciones!O874)</f>
        <v>0</v>
      </c>
      <c r="P874" s="128">
        <f>VLOOKUP(E874,Modificaciones!$B$7:$Q$1819,16,0)</f>
        <v>0</v>
      </c>
      <c r="Q874" s="129">
        <f>COUNTA(Modificaciones!S874,Modificaciones!U874,Modificaciones!W874,Modificaciones!Y874)</f>
        <v>0</v>
      </c>
      <c r="R874" s="130" t="str">
        <f>IF(Modificaciones!Z874=0,"",VLOOKUP(E874,Modificaciones!$B$7:$AA$1419,25,0))</f>
        <v/>
      </c>
      <c r="S874" s="131" t="str">
        <f>IF(Modificaciones!AA850=0,"",VLOOKUP(#REF!,Modificaciones!$B$7:$AA$1419,26,0))</f>
        <v/>
      </c>
      <c r="T874" s="855">
        <f t="shared" si="222"/>
        <v>0</v>
      </c>
      <c r="U874" s="62">
        <f t="shared" si="223"/>
        <v>0</v>
      </c>
      <c r="V874" s="172">
        <f>VLOOKUP(E874,Modificaciones!$B$7:$AU$819,46,0)</f>
        <v>0</v>
      </c>
      <c r="W874" s="93">
        <f t="shared" si="224"/>
        <v>0</v>
      </c>
      <c r="X874" s="1041"/>
      <c r="Y874" s="852" t="e">
        <f t="shared" si="225"/>
        <v>#DIV/0!</v>
      </c>
      <c r="Z874" s="42" t="e">
        <f t="shared" ca="1" si="226"/>
        <v>#DIV/0!</v>
      </c>
      <c r="AA874" s="43" t="e">
        <f t="shared" ca="1" si="227"/>
        <v>#DIV/0!</v>
      </c>
      <c r="AB874" s="202" t="e">
        <f t="shared" ca="1" si="228"/>
        <v>#DIV/0!</v>
      </c>
      <c r="AC874" s="44" t="e">
        <f t="shared" si="229"/>
        <v>#DIV/0!</v>
      </c>
      <c r="AD874" s="868"/>
      <c r="AE874" s="871"/>
      <c r="AF874" s="871"/>
      <c r="AG874" s="868"/>
      <c r="AH874" s="868"/>
      <c r="AI874" s="868"/>
      <c r="AJ874" s="868"/>
      <c r="AK874" s="181" t="str">
        <f t="shared" ca="1" si="230"/>
        <v>TERMINO</v>
      </c>
      <c r="AL874" s="441"/>
      <c r="AM874" s="433"/>
      <c r="AN874" s="848" t="str">
        <f>IFERROR(VLOOKUP(E874,'liquidaciones '!$B$2:$C$1048576,2,0),"NO")</f>
        <v>NO</v>
      </c>
      <c r="AO874" s="944" t="str">
        <f>IFERROR(VLOOKUP(E874,'liquidaciones '!$B$2:$I$1048576,8,0),"")</f>
        <v/>
      </c>
      <c r="AP874" s="433"/>
      <c r="AQ874" s="433"/>
      <c r="AR874" s="1069"/>
      <c r="AS874" s="1042"/>
      <c r="AT874" s="964"/>
      <c r="AU874" s="964"/>
      <c r="AV874" s="964"/>
    </row>
    <row r="875" spans="3:48" x14ac:dyDescent="0.25">
      <c r="C875" s="867"/>
      <c r="E875" s="868"/>
      <c r="F875" s="441"/>
      <c r="G875" s="868"/>
      <c r="H875" s="1005"/>
      <c r="I875" s="93"/>
      <c r="J875" s="869"/>
      <c r="K875" s="295"/>
      <c r="L875" s="546"/>
      <c r="M875" s="870"/>
      <c r="N875" s="870"/>
      <c r="O875" s="127">
        <f>COUNTA(Modificaciones!I875,Modificaciones!K875,Modificaciones!M875,Modificaciones!O875)</f>
        <v>0</v>
      </c>
      <c r="P875" s="128">
        <f>VLOOKUP(E875,Modificaciones!$B$7:$Q$1819,16,0)</f>
        <v>0</v>
      </c>
      <c r="Q875" s="129">
        <f>COUNTA(Modificaciones!S875,Modificaciones!U875,Modificaciones!W875,Modificaciones!Y875)</f>
        <v>0</v>
      </c>
      <c r="R875" s="130" t="str">
        <f>IF(Modificaciones!Z875=0,"",VLOOKUP(E875,Modificaciones!$B$7:$AA$1419,25,0))</f>
        <v/>
      </c>
      <c r="S875" s="131" t="str">
        <f>IF(Modificaciones!AA851=0,"",VLOOKUP(#REF!,Modificaciones!$B$7:$AA$1419,26,0))</f>
        <v/>
      </c>
      <c r="T875" s="855">
        <f t="shared" si="222"/>
        <v>0</v>
      </c>
      <c r="U875" s="62">
        <f t="shared" si="223"/>
        <v>0</v>
      </c>
      <c r="V875" s="172">
        <f>VLOOKUP(E875,Modificaciones!$B$7:$AU$819,46,0)</f>
        <v>0</v>
      </c>
      <c r="W875" s="93">
        <f t="shared" si="224"/>
        <v>0</v>
      </c>
      <c r="X875" s="1041"/>
      <c r="Y875" s="852" t="e">
        <f t="shared" si="225"/>
        <v>#DIV/0!</v>
      </c>
      <c r="Z875" s="42" t="e">
        <f t="shared" ca="1" si="226"/>
        <v>#DIV/0!</v>
      </c>
      <c r="AA875" s="43" t="e">
        <f t="shared" ca="1" si="227"/>
        <v>#DIV/0!</v>
      </c>
      <c r="AB875" s="202" t="e">
        <f t="shared" ca="1" si="228"/>
        <v>#DIV/0!</v>
      </c>
      <c r="AC875" s="44" t="e">
        <f t="shared" si="229"/>
        <v>#DIV/0!</v>
      </c>
      <c r="AD875" s="868"/>
      <c r="AE875" s="871"/>
      <c r="AF875" s="871"/>
      <c r="AG875" s="868"/>
      <c r="AH875" s="868"/>
      <c r="AI875" s="868"/>
      <c r="AJ875" s="868"/>
      <c r="AK875" s="181" t="str">
        <f t="shared" ca="1" si="230"/>
        <v>TERMINO</v>
      </c>
      <c r="AL875" s="441"/>
      <c r="AM875" s="433"/>
      <c r="AN875" s="848" t="str">
        <f>IFERROR(VLOOKUP(E875,'liquidaciones '!$B$2:$C$1048576,2,0),"NO")</f>
        <v>NO</v>
      </c>
      <c r="AO875" s="944" t="str">
        <f>IFERROR(VLOOKUP(E875,'liquidaciones '!$B$2:$I$1048576,8,0),"")</f>
        <v/>
      </c>
      <c r="AP875" s="433"/>
      <c r="AQ875" s="433"/>
      <c r="AR875" s="1069"/>
      <c r="AS875" s="1042"/>
      <c r="AT875" s="964"/>
      <c r="AU875" s="964"/>
      <c r="AV875" s="964"/>
    </row>
    <row r="876" spans="3:48" x14ac:dyDescent="0.25">
      <c r="C876" s="867"/>
      <c r="E876" s="868"/>
      <c r="F876" s="441"/>
      <c r="G876" s="868"/>
      <c r="H876" s="1005"/>
      <c r="I876" s="93"/>
      <c r="J876" s="869"/>
      <c r="K876" s="295"/>
      <c r="L876" s="546"/>
      <c r="M876" s="870"/>
      <c r="N876" s="870"/>
      <c r="O876" s="127">
        <f>COUNTA(Modificaciones!I876,Modificaciones!K876,Modificaciones!M876,Modificaciones!O876)</f>
        <v>0</v>
      </c>
      <c r="P876" s="128">
        <f>VLOOKUP(E876,Modificaciones!$B$7:$Q$1819,16,0)</f>
        <v>0</v>
      </c>
      <c r="Q876" s="129">
        <f>COUNTA(Modificaciones!S876,Modificaciones!U876,Modificaciones!W876,Modificaciones!Y876)</f>
        <v>0</v>
      </c>
      <c r="R876" s="130" t="str">
        <f>IF(Modificaciones!Z876=0,"",VLOOKUP(E876,Modificaciones!$B$7:$AA$1419,25,0))</f>
        <v/>
      </c>
      <c r="S876" s="131" t="str">
        <f>IF(Modificaciones!AA852=0,"",VLOOKUP(#REF!,Modificaciones!$B$7:$AA$1419,26,0))</f>
        <v/>
      </c>
      <c r="T876" s="855">
        <f t="shared" si="222"/>
        <v>0</v>
      </c>
      <c r="U876" s="62">
        <f t="shared" si="223"/>
        <v>0</v>
      </c>
      <c r="V876" s="172">
        <f>VLOOKUP(E876,Modificaciones!$B$7:$AU$819,46,0)</f>
        <v>0</v>
      </c>
      <c r="W876" s="93">
        <f t="shared" si="224"/>
        <v>0</v>
      </c>
      <c r="X876" s="1041"/>
      <c r="Y876" s="852" t="e">
        <f t="shared" si="225"/>
        <v>#DIV/0!</v>
      </c>
      <c r="Z876" s="42" t="e">
        <f t="shared" ca="1" si="226"/>
        <v>#DIV/0!</v>
      </c>
      <c r="AA876" s="43" t="e">
        <f t="shared" ca="1" si="227"/>
        <v>#DIV/0!</v>
      </c>
      <c r="AB876" s="202" t="e">
        <f t="shared" ca="1" si="228"/>
        <v>#DIV/0!</v>
      </c>
      <c r="AC876" s="44" t="e">
        <f t="shared" si="229"/>
        <v>#DIV/0!</v>
      </c>
      <c r="AD876" s="868"/>
      <c r="AE876" s="871"/>
      <c r="AF876" s="871"/>
      <c r="AG876" s="868"/>
      <c r="AH876" s="868"/>
      <c r="AI876" s="868"/>
      <c r="AJ876" s="868"/>
      <c r="AK876" s="181" t="str">
        <f t="shared" ca="1" si="230"/>
        <v>TERMINO</v>
      </c>
      <c r="AL876" s="441"/>
      <c r="AM876" s="433"/>
      <c r="AN876" s="848" t="str">
        <f>IFERROR(VLOOKUP(E876,'liquidaciones '!$B$2:$C$1048576,2,0),"NO")</f>
        <v>NO</v>
      </c>
      <c r="AO876" s="944" t="str">
        <f>IFERROR(VLOOKUP(E876,'liquidaciones '!$B$2:$I$1048576,8,0),"")</f>
        <v/>
      </c>
      <c r="AP876" s="433"/>
      <c r="AQ876" s="433"/>
      <c r="AR876" s="1069"/>
      <c r="AS876" s="1042"/>
      <c r="AT876" s="964"/>
      <c r="AU876" s="964"/>
      <c r="AV876" s="964"/>
    </row>
    <row r="877" spans="3:48" x14ac:dyDescent="0.25">
      <c r="C877" s="867"/>
      <c r="E877" s="868"/>
      <c r="F877" s="441"/>
      <c r="G877" s="868"/>
      <c r="H877" s="1005"/>
      <c r="I877" s="93"/>
      <c r="J877" s="869"/>
      <c r="K877" s="295"/>
      <c r="L877" s="546"/>
      <c r="M877" s="870"/>
      <c r="N877" s="870"/>
      <c r="O877" s="127">
        <f>COUNTA(Modificaciones!I877,Modificaciones!K877,Modificaciones!M877,Modificaciones!O877)</f>
        <v>0</v>
      </c>
      <c r="P877" s="128">
        <f>VLOOKUP(E877,Modificaciones!$B$7:$Q$1819,16,0)</f>
        <v>0</v>
      </c>
      <c r="Q877" s="129">
        <f>COUNTA(Modificaciones!S877,Modificaciones!U877,Modificaciones!W877,Modificaciones!Y877)</f>
        <v>0</v>
      </c>
      <c r="R877" s="130" t="str">
        <f>IF(Modificaciones!Z877=0,"",VLOOKUP(E877,Modificaciones!$B$7:$AA$1419,25,0))</f>
        <v/>
      </c>
      <c r="S877" s="131" t="str">
        <f>IF(Modificaciones!AA853=0,"",VLOOKUP(#REF!,Modificaciones!$B$7:$AA$1419,26,0))</f>
        <v/>
      </c>
      <c r="T877" s="855">
        <f t="shared" si="222"/>
        <v>0</v>
      </c>
      <c r="U877" s="62">
        <f t="shared" si="223"/>
        <v>0</v>
      </c>
      <c r="V877" s="172">
        <f>VLOOKUP(E877,Modificaciones!$B$7:$AU$819,46,0)</f>
        <v>0</v>
      </c>
      <c r="W877" s="93">
        <f t="shared" si="224"/>
        <v>0</v>
      </c>
      <c r="X877" s="1041"/>
      <c r="Y877" s="852" t="e">
        <f t="shared" si="225"/>
        <v>#DIV/0!</v>
      </c>
      <c r="Z877" s="42" t="e">
        <f t="shared" ca="1" si="226"/>
        <v>#DIV/0!</v>
      </c>
      <c r="AA877" s="43" t="e">
        <f t="shared" ca="1" si="227"/>
        <v>#DIV/0!</v>
      </c>
      <c r="AB877" s="202" t="e">
        <f t="shared" ca="1" si="228"/>
        <v>#DIV/0!</v>
      </c>
      <c r="AC877" s="44" t="e">
        <f t="shared" si="229"/>
        <v>#DIV/0!</v>
      </c>
      <c r="AD877" s="868"/>
      <c r="AE877" s="871"/>
      <c r="AF877" s="871"/>
      <c r="AG877" s="868"/>
      <c r="AH877" s="868"/>
      <c r="AI877" s="868"/>
      <c r="AJ877" s="868"/>
      <c r="AK877" s="181" t="str">
        <f t="shared" ca="1" si="230"/>
        <v>TERMINO</v>
      </c>
      <c r="AL877" s="441"/>
      <c r="AM877" s="433"/>
      <c r="AN877" s="848" t="str">
        <f>IFERROR(VLOOKUP(E877,'liquidaciones '!$B$2:$C$1048576,2,0),"NO")</f>
        <v>NO</v>
      </c>
      <c r="AO877" s="944" t="str">
        <f>IFERROR(VLOOKUP(E877,'liquidaciones '!$B$2:$I$1048576,8,0),"")</f>
        <v/>
      </c>
      <c r="AP877" s="433"/>
      <c r="AQ877" s="433"/>
      <c r="AR877" s="1069"/>
      <c r="AS877" s="1042"/>
      <c r="AT877" s="964"/>
      <c r="AU877" s="964"/>
      <c r="AV877" s="964"/>
    </row>
    <row r="878" spans="3:48" x14ac:dyDescent="0.25">
      <c r="C878" s="867"/>
      <c r="E878" s="868"/>
      <c r="F878" s="441"/>
      <c r="G878" s="868"/>
      <c r="H878" s="1005"/>
      <c r="I878" s="93"/>
      <c r="J878" s="869"/>
      <c r="K878" s="295"/>
      <c r="L878" s="546"/>
      <c r="M878" s="870"/>
      <c r="N878" s="870"/>
      <c r="O878" s="127">
        <f>COUNTA(Modificaciones!I878,Modificaciones!K878,Modificaciones!M878,Modificaciones!O878)</f>
        <v>0</v>
      </c>
      <c r="P878" s="128">
        <f>VLOOKUP(E878,Modificaciones!$B$7:$Q$1819,16,0)</f>
        <v>0</v>
      </c>
      <c r="Q878" s="129">
        <f>COUNTA(Modificaciones!S878,Modificaciones!U878,Modificaciones!W878,Modificaciones!Y878)</f>
        <v>0</v>
      </c>
      <c r="R878" s="130" t="str">
        <f>IF(Modificaciones!Z878=0,"",VLOOKUP(E878,Modificaciones!$B$7:$AA$1419,25,0))</f>
        <v/>
      </c>
      <c r="S878" s="131" t="str">
        <f>IF(Modificaciones!AA854=0,"",VLOOKUP(#REF!,Modificaciones!$B$7:$AA$1419,26,0))</f>
        <v/>
      </c>
      <c r="T878" s="855">
        <f t="shared" si="222"/>
        <v>0</v>
      </c>
      <c r="U878" s="62">
        <f t="shared" si="223"/>
        <v>0</v>
      </c>
      <c r="V878" s="172">
        <f>VLOOKUP(E878,Modificaciones!$B$7:$AU$819,46,0)</f>
        <v>0</v>
      </c>
      <c r="W878" s="93">
        <f t="shared" si="224"/>
        <v>0</v>
      </c>
      <c r="X878" s="1041"/>
      <c r="Y878" s="852" t="e">
        <f t="shared" si="225"/>
        <v>#DIV/0!</v>
      </c>
      <c r="Z878" s="42" t="e">
        <f t="shared" ca="1" si="226"/>
        <v>#DIV/0!</v>
      </c>
      <c r="AA878" s="43" t="e">
        <f t="shared" ca="1" si="227"/>
        <v>#DIV/0!</v>
      </c>
      <c r="AB878" s="202" t="e">
        <f t="shared" ca="1" si="228"/>
        <v>#DIV/0!</v>
      </c>
      <c r="AC878" s="44" t="e">
        <f t="shared" si="229"/>
        <v>#DIV/0!</v>
      </c>
      <c r="AD878" s="868"/>
      <c r="AE878" s="871"/>
      <c r="AF878" s="871"/>
      <c r="AG878" s="868"/>
      <c r="AH878" s="868"/>
      <c r="AI878" s="868"/>
      <c r="AJ878" s="868"/>
      <c r="AK878" s="181" t="str">
        <f t="shared" ca="1" si="230"/>
        <v>TERMINO</v>
      </c>
      <c r="AL878" s="441"/>
      <c r="AM878" s="433"/>
      <c r="AN878" s="848" t="str">
        <f>IFERROR(VLOOKUP(E878,'liquidaciones '!$B$2:$C$1048576,2,0),"NO")</f>
        <v>NO</v>
      </c>
      <c r="AO878" s="944" t="str">
        <f>IFERROR(VLOOKUP(E878,'liquidaciones '!$B$2:$I$1048576,8,0),"")</f>
        <v/>
      </c>
      <c r="AP878" s="433"/>
      <c r="AQ878" s="433"/>
      <c r="AR878" s="1069"/>
      <c r="AS878" s="1042"/>
      <c r="AT878" s="964"/>
      <c r="AU878" s="964"/>
      <c r="AV878" s="964"/>
    </row>
    <row r="879" spans="3:48" x14ac:dyDescent="0.25">
      <c r="C879" s="867"/>
      <c r="E879" s="868"/>
      <c r="F879" s="441"/>
      <c r="G879" s="868"/>
      <c r="H879" s="1005"/>
      <c r="I879" s="93"/>
      <c r="J879" s="869"/>
      <c r="K879" s="295"/>
      <c r="L879" s="546"/>
      <c r="M879" s="870"/>
      <c r="N879" s="870"/>
      <c r="O879" s="127">
        <f>COUNTA(Modificaciones!I879,Modificaciones!K879,Modificaciones!M879,Modificaciones!O879)</f>
        <v>0</v>
      </c>
      <c r="P879" s="128">
        <f>VLOOKUP(E879,Modificaciones!$B$7:$Q$1819,16,0)</f>
        <v>0</v>
      </c>
      <c r="Q879" s="129">
        <f>COUNTA(Modificaciones!S879,Modificaciones!U879,Modificaciones!W879,Modificaciones!Y879)</f>
        <v>0</v>
      </c>
      <c r="R879" s="130" t="str">
        <f>IF(Modificaciones!Z879=0,"",VLOOKUP(E879,Modificaciones!$B$7:$AA$1419,25,0))</f>
        <v/>
      </c>
      <c r="S879" s="131" t="str">
        <f>IF(Modificaciones!AA855=0,"",VLOOKUP(#REF!,Modificaciones!$B$7:$AA$1419,26,0))</f>
        <v/>
      </c>
      <c r="T879" s="855">
        <f t="shared" si="222"/>
        <v>0</v>
      </c>
      <c r="U879" s="62">
        <f t="shared" si="223"/>
        <v>0</v>
      </c>
      <c r="V879" s="172">
        <f>VLOOKUP(E879,Modificaciones!$B$7:$AU$819,46,0)</f>
        <v>0</v>
      </c>
      <c r="W879" s="93">
        <f t="shared" si="224"/>
        <v>0</v>
      </c>
      <c r="X879" s="1041"/>
      <c r="Y879" s="852" t="e">
        <f t="shared" si="225"/>
        <v>#DIV/0!</v>
      </c>
      <c r="Z879" s="42" t="e">
        <f t="shared" ca="1" si="226"/>
        <v>#DIV/0!</v>
      </c>
      <c r="AA879" s="43" t="e">
        <f t="shared" ca="1" si="227"/>
        <v>#DIV/0!</v>
      </c>
      <c r="AB879" s="202" t="e">
        <f t="shared" ca="1" si="228"/>
        <v>#DIV/0!</v>
      </c>
      <c r="AC879" s="44" t="e">
        <f t="shared" si="229"/>
        <v>#DIV/0!</v>
      </c>
      <c r="AD879" s="868"/>
      <c r="AE879" s="871"/>
      <c r="AF879" s="871"/>
      <c r="AG879" s="868"/>
      <c r="AH879" s="868"/>
      <c r="AI879" s="868"/>
      <c r="AJ879" s="868"/>
      <c r="AK879" s="181" t="str">
        <f t="shared" ca="1" si="230"/>
        <v>TERMINO</v>
      </c>
      <c r="AL879" s="441"/>
      <c r="AM879" s="433"/>
      <c r="AN879" s="848" t="str">
        <f>IFERROR(VLOOKUP(E879,'liquidaciones '!$B$2:$C$1048576,2,0),"NO")</f>
        <v>NO</v>
      </c>
      <c r="AO879" s="944" t="str">
        <f>IFERROR(VLOOKUP(E879,'liquidaciones '!$B$2:$I$1048576,8,0),"")</f>
        <v/>
      </c>
      <c r="AP879" s="433"/>
      <c r="AQ879" s="433"/>
      <c r="AR879" s="1069"/>
      <c r="AS879" s="1042"/>
      <c r="AT879" s="964"/>
      <c r="AU879" s="964"/>
      <c r="AV879" s="964"/>
    </row>
    <row r="880" spans="3:48" x14ac:dyDescent="0.25">
      <c r="C880" s="867"/>
      <c r="E880" s="868"/>
      <c r="F880" s="441"/>
      <c r="G880" s="868"/>
      <c r="H880" s="1005"/>
      <c r="I880" s="93"/>
      <c r="J880" s="869"/>
      <c r="K880" s="295"/>
      <c r="L880" s="546"/>
      <c r="M880" s="870"/>
      <c r="N880" s="870"/>
      <c r="O880" s="127">
        <f>COUNTA(Modificaciones!I880,Modificaciones!K880,Modificaciones!M880,Modificaciones!O880)</f>
        <v>0</v>
      </c>
      <c r="P880" s="128">
        <f>VLOOKUP(E880,Modificaciones!$B$7:$Q$1819,16,0)</f>
        <v>0</v>
      </c>
      <c r="Q880" s="129">
        <f>COUNTA(Modificaciones!S880,Modificaciones!U880,Modificaciones!W880,Modificaciones!Y880)</f>
        <v>0</v>
      </c>
      <c r="R880" s="130" t="str">
        <f>IF(Modificaciones!Z880=0,"",VLOOKUP(E880,Modificaciones!$B$7:$AA$1419,25,0))</f>
        <v/>
      </c>
      <c r="S880" s="131" t="str">
        <f>IF(Modificaciones!AA856=0,"",VLOOKUP(#REF!,Modificaciones!$B$7:$AA$1419,26,0))</f>
        <v/>
      </c>
      <c r="T880" s="855">
        <f t="shared" si="222"/>
        <v>0</v>
      </c>
      <c r="U880" s="62">
        <f t="shared" si="223"/>
        <v>0</v>
      </c>
      <c r="V880" s="172">
        <f>VLOOKUP(E880,Modificaciones!$B$7:$AU$819,46,0)</f>
        <v>0</v>
      </c>
      <c r="W880" s="93">
        <f t="shared" si="224"/>
        <v>0</v>
      </c>
      <c r="X880" s="1041"/>
      <c r="Y880" s="852" t="e">
        <f t="shared" si="225"/>
        <v>#DIV/0!</v>
      </c>
      <c r="Z880" s="42" t="e">
        <f t="shared" ca="1" si="226"/>
        <v>#DIV/0!</v>
      </c>
      <c r="AA880" s="43" t="e">
        <f t="shared" ca="1" si="227"/>
        <v>#DIV/0!</v>
      </c>
      <c r="AB880" s="202" t="e">
        <f t="shared" ca="1" si="228"/>
        <v>#DIV/0!</v>
      </c>
      <c r="AC880" s="44" t="e">
        <f t="shared" si="229"/>
        <v>#DIV/0!</v>
      </c>
      <c r="AD880" s="868"/>
      <c r="AE880" s="871"/>
      <c r="AF880" s="871"/>
      <c r="AG880" s="868"/>
      <c r="AH880" s="868"/>
      <c r="AI880" s="868"/>
      <c r="AJ880" s="868"/>
      <c r="AK880" s="181" t="str">
        <f t="shared" ca="1" si="230"/>
        <v>TERMINO</v>
      </c>
      <c r="AL880" s="441"/>
      <c r="AM880" s="433"/>
      <c r="AN880" s="848" t="str">
        <f>IFERROR(VLOOKUP(E880,'liquidaciones '!$B$2:$C$1048576,2,0),"NO")</f>
        <v>NO</v>
      </c>
      <c r="AO880" s="944" t="str">
        <f>IFERROR(VLOOKUP(E880,'liquidaciones '!$B$2:$I$1048576,8,0),"")</f>
        <v/>
      </c>
      <c r="AP880" s="433"/>
      <c r="AQ880" s="433"/>
      <c r="AR880" s="1069"/>
      <c r="AS880" s="1042"/>
      <c r="AT880" s="964"/>
      <c r="AU880" s="964"/>
      <c r="AV880" s="964"/>
    </row>
    <row r="881" spans="3:48" x14ac:dyDescent="0.25">
      <c r="C881" s="867"/>
      <c r="E881" s="868"/>
      <c r="F881" s="441"/>
      <c r="G881" s="868"/>
      <c r="H881" s="1005"/>
      <c r="I881" s="93"/>
      <c r="J881" s="869"/>
      <c r="K881" s="295"/>
      <c r="L881" s="546"/>
      <c r="M881" s="870"/>
      <c r="N881" s="870"/>
      <c r="O881" s="127">
        <f>COUNTA(Modificaciones!I881,Modificaciones!K881,Modificaciones!M881,Modificaciones!O881)</f>
        <v>0</v>
      </c>
      <c r="P881" s="128">
        <f>VLOOKUP(E881,Modificaciones!$B$7:$Q$1819,16,0)</f>
        <v>0</v>
      </c>
      <c r="Q881" s="129">
        <f>COUNTA(Modificaciones!S881,Modificaciones!U881,Modificaciones!W881,Modificaciones!Y881)</f>
        <v>0</v>
      </c>
      <c r="R881" s="130" t="str">
        <f>IF(Modificaciones!Z881=0,"",VLOOKUP(E881,Modificaciones!$B$7:$AA$1419,25,0))</f>
        <v/>
      </c>
      <c r="S881" s="131" t="str">
        <f>IF(Modificaciones!AA857=0,"",VLOOKUP(#REF!,Modificaciones!$B$7:$AA$1419,26,0))</f>
        <v/>
      </c>
      <c r="T881" s="855">
        <f t="shared" si="222"/>
        <v>0</v>
      </c>
      <c r="U881" s="62">
        <f t="shared" si="223"/>
        <v>0</v>
      </c>
      <c r="V881" s="172">
        <f>VLOOKUP(E881,Modificaciones!$B$7:$AU$819,46,0)</f>
        <v>0</v>
      </c>
      <c r="W881" s="93">
        <f t="shared" si="224"/>
        <v>0</v>
      </c>
      <c r="X881" s="1041"/>
      <c r="Y881" s="852" t="e">
        <f t="shared" si="225"/>
        <v>#DIV/0!</v>
      </c>
      <c r="Z881" s="42" t="e">
        <f t="shared" ca="1" si="226"/>
        <v>#DIV/0!</v>
      </c>
      <c r="AA881" s="43" t="e">
        <f t="shared" ca="1" si="227"/>
        <v>#DIV/0!</v>
      </c>
      <c r="AB881" s="202" t="e">
        <f t="shared" ca="1" si="228"/>
        <v>#DIV/0!</v>
      </c>
      <c r="AC881" s="44" t="e">
        <f t="shared" si="229"/>
        <v>#DIV/0!</v>
      </c>
      <c r="AD881" s="868"/>
      <c r="AE881" s="871"/>
      <c r="AF881" s="871"/>
      <c r="AG881" s="868"/>
      <c r="AH881" s="868"/>
      <c r="AI881" s="868"/>
      <c r="AJ881" s="868"/>
      <c r="AK881" s="181" t="str">
        <f t="shared" ca="1" si="230"/>
        <v>TERMINO</v>
      </c>
      <c r="AL881" s="441"/>
      <c r="AM881" s="433"/>
      <c r="AN881" s="848" t="str">
        <f>IFERROR(VLOOKUP(E881,'liquidaciones '!$B$2:$C$1048576,2,0),"NO")</f>
        <v>NO</v>
      </c>
      <c r="AO881" s="944" t="str">
        <f>IFERROR(VLOOKUP(E881,'liquidaciones '!$B$2:$I$1048576,8,0),"")</f>
        <v/>
      </c>
      <c r="AP881" s="433"/>
      <c r="AQ881" s="433"/>
      <c r="AR881" s="1069"/>
      <c r="AS881" s="1042"/>
      <c r="AT881" s="964"/>
      <c r="AU881" s="964"/>
      <c r="AV881" s="964"/>
    </row>
    <row r="882" spans="3:48" x14ac:dyDescent="0.25">
      <c r="C882" s="867"/>
      <c r="E882" s="868"/>
      <c r="F882" s="441"/>
      <c r="G882" s="868"/>
      <c r="H882" s="1005"/>
      <c r="I882" s="93"/>
      <c r="J882" s="869"/>
      <c r="K882" s="295"/>
      <c r="L882" s="546"/>
      <c r="M882" s="870"/>
      <c r="N882" s="870"/>
      <c r="O882" s="127">
        <f>COUNTA(Modificaciones!I882,Modificaciones!K882,Modificaciones!M882,Modificaciones!O882)</f>
        <v>0</v>
      </c>
      <c r="P882" s="128">
        <f>VLOOKUP(E882,Modificaciones!$B$7:$Q$1819,16,0)</f>
        <v>0</v>
      </c>
      <c r="Q882" s="129">
        <f>COUNTA(Modificaciones!S882,Modificaciones!U882,Modificaciones!W882,Modificaciones!Y882)</f>
        <v>0</v>
      </c>
      <c r="R882" s="130" t="str">
        <f>IF(Modificaciones!Z882=0,"",VLOOKUP(E882,Modificaciones!$B$7:$AA$1419,25,0))</f>
        <v/>
      </c>
      <c r="S882" s="131" t="str">
        <f>IF(Modificaciones!AA858=0,"",VLOOKUP(#REF!,Modificaciones!$B$7:$AA$1419,26,0))</f>
        <v/>
      </c>
      <c r="T882" s="855">
        <f t="shared" si="222"/>
        <v>0</v>
      </c>
      <c r="U882" s="62">
        <f t="shared" si="223"/>
        <v>0</v>
      </c>
      <c r="V882" s="172">
        <f>VLOOKUP(E882,Modificaciones!$B$7:$AU$819,46,0)</f>
        <v>0</v>
      </c>
      <c r="W882" s="93">
        <f t="shared" si="224"/>
        <v>0</v>
      </c>
      <c r="X882" s="1041"/>
      <c r="Y882" s="852" t="e">
        <f t="shared" si="225"/>
        <v>#DIV/0!</v>
      </c>
      <c r="Z882" s="42" t="e">
        <f t="shared" ca="1" si="226"/>
        <v>#DIV/0!</v>
      </c>
      <c r="AA882" s="43" t="e">
        <f t="shared" ca="1" si="227"/>
        <v>#DIV/0!</v>
      </c>
      <c r="AB882" s="202" t="e">
        <f t="shared" ca="1" si="228"/>
        <v>#DIV/0!</v>
      </c>
      <c r="AC882" s="44" t="e">
        <f t="shared" si="229"/>
        <v>#DIV/0!</v>
      </c>
      <c r="AD882" s="868"/>
      <c r="AE882" s="871"/>
      <c r="AF882" s="871"/>
      <c r="AG882" s="868"/>
      <c r="AH882" s="868"/>
      <c r="AI882" s="868"/>
      <c r="AJ882" s="868"/>
      <c r="AK882" s="181" t="str">
        <f t="shared" ca="1" si="230"/>
        <v>TERMINO</v>
      </c>
      <c r="AL882" s="441"/>
      <c r="AM882" s="433"/>
      <c r="AN882" s="848" t="str">
        <f>IFERROR(VLOOKUP(E882,'liquidaciones '!$B$2:$C$1048576,2,0),"NO")</f>
        <v>NO</v>
      </c>
      <c r="AO882" s="944" t="str">
        <f>IFERROR(VLOOKUP(E882,'liquidaciones '!$B$2:$I$1048576,8,0),"")</f>
        <v/>
      </c>
      <c r="AP882" s="433"/>
      <c r="AQ882" s="433"/>
      <c r="AR882" s="1069"/>
      <c r="AS882" s="1042"/>
      <c r="AT882" s="964"/>
      <c r="AU882" s="964"/>
      <c r="AV882" s="964"/>
    </row>
    <row r="883" spans="3:48" x14ac:dyDescent="0.25">
      <c r="C883" s="867"/>
      <c r="E883" s="868"/>
      <c r="F883" s="441"/>
      <c r="G883" s="868"/>
      <c r="H883" s="1005"/>
      <c r="I883" s="93"/>
      <c r="J883" s="869"/>
      <c r="K883" s="295"/>
      <c r="L883" s="546"/>
      <c r="M883" s="870"/>
      <c r="N883" s="870"/>
      <c r="O883" s="127">
        <f>COUNTA(Modificaciones!I883,Modificaciones!K883,Modificaciones!M883,Modificaciones!O883)</f>
        <v>0</v>
      </c>
      <c r="P883" s="128">
        <f>VLOOKUP(E883,Modificaciones!$B$7:$Q$1819,16,0)</f>
        <v>0</v>
      </c>
      <c r="Q883" s="129">
        <f>COUNTA(Modificaciones!S883,Modificaciones!U883,Modificaciones!W883,Modificaciones!Y883)</f>
        <v>0</v>
      </c>
      <c r="R883" s="130" t="str">
        <f>IF(Modificaciones!Z883=0,"",VLOOKUP(E883,Modificaciones!$B$7:$AA$1419,25,0))</f>
        <v/>
      </c>
      <c r="S883" s="131" t="str">
        <f>IF(Modificaciones!AA859=0,"",VLOOKUP(#REF!,Modificaciones!$B$7:$AA$1419,26,0))</f>
        <v/>
      </c>
      <c r="T883" s="855">
        <f t="shared" si="222"/>
        <v>0</v>
      </c>
      <c r="U883" s="62">
        <f t="shared" si="223"/>
        <v>0</v>
      </c>
      <c r="V883" s="172">
        <f>VLOOKUP(E883,Modificaciones!$B$7:$AU$819,46,0)</f>
        <v>0</v>
      </c>
      <c r="W883" s="93">
        <f t="shared" si="224"/>
        <v>0</v>
      </c>
      <c r="X883" s="1041"/>
      <c r="Y883" s="852" t="e">
        <f t="shared" si="225"/>
        <v>#DIV/0!</v>
      </c>
      <c r="Z883" s="42" t="e">
        <f t="shared" ca="1" si="226"/>
        <v>#DIV/0!</v>
      </c>
      <c r="AA883" s="43" t="e">
        <f t="shared" ca="1" si="227"/>
        <v>#DIV/0!</v>
      </c>
      <c r="AB883" s="202" t="e">
        <f t="shared" ca="1" si="228"/>
        <v>#DIV/0!</v>
      </c>
      <c r="AC883" s="44" t="e">
        <f t="shared" si="229"/>
        <v>#DIV/0!</v>
      </c>
      <c r="AD883" s="868"/>
      <c r="AE883" s="871"/>
      <c r="AF883" s="871"/>
      <c r="AG883" s="868"/>
      <c r="AH883" s="868"/>
      <c r="AI883" s="868"/>
      <c r="AJ883" s="868"/>
      <c r="AK883" s="181" t="str">
        <f t="shared" ca="1" si="230"/>
        <v>TERMINO</v>
      </c>
      <c r="AL883" s="441"/>
      <c r="AM883" s="433"/>
      <c r="AN883" s="848" t="str">
        <f>IFERROR(VLOOKUP(E883,'liquidaciones '!$B$2:$C$1048576,2,0),"NO")</f>
        <v>NO</v>
      </c>
      <c r="AO883" s="944" t="str">
        <f>IFERROR(VLOOKUP(E883,'liquidaciones '!$B$2:$I$1048576,8,0),"")</f>
        <v/>
      </c>
      <c r="AP883" s="433"/>
      <c r="AQ883" s="433"/>
      <c r="AR883" s="1069"/>
      <c r="AS883" s="1042"/>
      <c r="AT883" s="964"/>
      <c r="AU883" s="964"/>
      <c r="AV883" s="964"/>
    </row>
    <row r="884" spans="3:48" x14ac:dyDescent="0.25">
      <c r="C884" s="867"/>
      <c r="E884" s="868"/>
      <c r="F884" s="441"/>
      <c r="G884" s="868"/>
      <c r="H884" s="1005"/>
      <c r="I884" s="93"/>
      <c r="J884" s="869"/>
      <c r="K884" s="295"/>
      <c r="L884" s="546"/>
      <c r="M884" s="870"/>
      <c r="N884" s="870"/>
      <c r="O884" s="127">
        <f>COUNTA(Modificaciones!I884,Modificaciones!K884,Modificaciones!M884,Modificaciones!O884)</f>
        <v>0</v>
      </c>
      <c r="P884" s="128">
        <f>VLOOKUP(E884,Modificaciones!$B$7:$Q$1819,16,0)</f>
        <v>0</v>
      </c>
      <c r="Q884" s="129">
        <f>COUNTA(Modificaciones!S884,Modificaciones!U884,Modificaciones!W884,Modificaciones!Y884)</f>
        <v>0</v>
      </c>
      <c r="R884" s="130" t="str">
        <f>IF(Modificaciones!Z884=0,"",VLOOKUP(E884,Modificaciones!$B$7:$AA$1419,25,0))</f>
        <v/>
      </c>
      <c r="S884" s="131" t="str">
        <f>IF(Modificaciones!AA860=0,"",VLOOKUP(#REF!,Modificaciones!$B$7:$AA$1419,26,0))</f>
        <v/>
      </c>
      <c r="T884" s="855">
        <f t="shared" si="222"/>
        <v>0</v>
      </c>
      <c r="U884" s="62">
        <f t="shared" si="223"/>
        <v>0</v>
      </c>
      <c r="V884" s="172">
        <f>VLOOKUP(E884,Modificaciones!$B$7:$AU$819,46,0)</f>
        <v>0</v>
      </c>
      <c r="W884" s="93">
        <f t="shared" si="224"/>
        <v>0</v>
      </c>
      <c r="X884" s="1041"/>
      <c r="Y884" s="852" t="e">
        <f t="shared" si="225"/>
        <v>#DIV/0!</v>
      </c>
      <c r="Z884" s="42" t="e">
        <f t="shared" ca="1" si="226"/>
        <v>#DIV/0!</v>
      </c>
      <c r="AA884" s="43" t="e">
        <f t="shared" ca="1" si="227"/>
        <v>#DIV/0!</v>
      </c>
      <c r="AB884" s="202" t="e">
        <f t="shared" ca="1" si="228"/>
        <v>#DIV/0!</v>
      </c>
      <c r="AC884" s="44" t="e">
        <f t="shared" si="229"/>
        <v>#DIV/0!</v>
      </c>
      <c r="AD884" s="868"/>
      <c r="AE884" s="871"/>
      <c r="AF884" s="871"/>
      <c r="AG884" s="868"/>
      <c r="AH884" s="868"/>
      <c r="AI884" s="868"/>
      <c r="AJ884" s="868"/>
      <c r="AK884" s="181" t="str">
        <f t="shared" ca="1" si="230"/>
        <v>TERMINO</v>
      </c>
      <c r="AL884" s="441"/>
      <c r="AM884" s="433"/>
      <c r="AN884" s="848" t="str">
        <f>IFERROR(VLOOKUP(E884,'liquidaciones '!$B$2:$C$1048576,2,0),"NO")</f>
        <v>NO</v>
      </c>
      <c r="AO884" s="944" t="str">
        <f>IFERROR(VLOOKUP(E884,'liquidaciones '!$B$2:$I$1048576,8,0),"")</f>
        <v/>
      </c>
      <c r="AP884" s="433"/>
      <c r="AQ884" s="433"/>
      <c r="AR884" s="1069"/>
      <c r="AS884" s="1042"/>
      <c r="AT884" s="964"/>
      <c r="AU884" s="964"/>
      <c r="AV884" s="964"/>
    </row>
    <row r="885" spans="3:48" x14ac:dyDescent="0.25">
      <c r="C885" s="867"/>
      <c r="E885" s="868"/>
      <c r="F885" s="441"/>
      <c r="G885" s="868"/>
      <c r="H885" s="1005"/>
      <c r="I885" s="93"/>
      <c r="J885" s="869"/>
      <c r="K885" s="295"/>
      <c r="L885" s="546"/>
      <c r="M885" s="870"/>
      <c r="N885" s="870"/>
      <c r="O885" s="127">
        <f>COUNTA(Modificaciones!I885,Modificaciones!K885,Modificaciones!M885,Modificaciones!O885)</f>
        <v>0</v>
      </c>
      <c r="P885" s="128">
        <f>VLOOKUP(E885,Modificaciones!$B$7:$Q$1819,16,0)</f>
        <v>0</v>
      </c>
      <c r="Q885" s="129">
        <f>COUNTA(Modificaciones!S885,Modificaciones!U885,Modificaciones!W885,Modificaciones!Y885)</f>
        <v>0</v>
      </c>
      <c r="R885" s="130" t="str">
        <f>IF(Modificaciones!Z885=0,"",VLOOKUP(E885,Modificaciones!$B$7:$AA$1419,25,0))</f>
        <v/>
      </c>
      <c r="S885" s="131" t="str">
        <f>IF(Modificaciones!AA861=0,"",VLOOKUP(#REF!,Modificaciones!$B$7:$AA$1419,26,0))</f>
        <v/>
      </c>
      <c r="T885" s="855">
        <f t="shared" si="222"/>
        <v>0</v>
      </c>
      <c r="U885" s="62">
        <f t="shared" si="223"/>
        <v>0</v>
      </c>
      <c r="V885" s="172">
        <f>VLOOKUP(E885,Modificaciones!$B$7:$AU$819,46,0)</f>
        <v>0</v>
      </c>
      <c r="W885" s="93">
        <f t="shared" si="224"/>
        <v>0</v>
      </c>
      <c r="X885" s="1041"/>
      <c r="Y885" s="852" t="e">
        <f t="shared" si="225"/>
        <v>#DIV/0!</v>
      </c>
      <c r="Z885" s="42" t="e">
        <f t="shared" ca="1" si="226"/>
        <v>#DIV/0!</v>
      </c>
      <c r="AA885" s="43" t="e">
        <f t="shared" ca="1" si="227"/>
        <v>#DIV/0!</v>
      </c>
      <c r="AB885" s="202" t="e">
        <f t="shared" ca="1" si="228"/>
        <v>#DIV/0!</v>
      </c>
      <c r="AC885" s="44" t="e">
        <f t="shared" si="229"/>
        <v>#DIV/0!</v>
      </c>
      <c r="AD885" s="868"/>
      <c r="AE885" s="871"/>
      <c r="AF885" s="871"/>
      <c r="AG885" s="868"/>
      <c r="AH885" s="868"/>
      <c r="AI885" s="868"/>
      <c r="AJ885" s="868"/>
      <c r="AK885" s="181" t="str">
        <f t="shared" ca="1" si="230"/>
        <v>TERMINO</v>
      </c>
      <c r="AL885" s="441"/>
      <c r="AM885" s="433"/>
      <c r="AN885" s="848" t="str">
        <f>IFERROR(VLOOKUP(E885,'liquidaciones '!$B$2:$C$1048576,2,0),"NO")</f>
        <v>NO</v>
      </c>
      <c r="AO885" s="944" t="str">
        <f>IFERROR(VLOOKUP(E885,'liquidaciones '!$B$2:$I$1048576,8,0),"")</f>
        <v/>
      </c>
      <c r="AP885" s="433"/>
      <c r="AQ885" s="433"/>
      <c r="AR885" s="1069"/>
      <c r="AS885" s="1042"/>
      <c r="AT885" s="964"/>
      <c r="AU885" s="964"/>
      <c r="AV885" s="964"/>
    </row>
    <row r="886" spans="3:48" x14ac:dyDescent="0.25">
      <c r="C886" s="867"/>
      <c r="E886" s="868"/>
      <c r="F886" s="441"/>
      <c r="G886" s="868"/>
      <c r="H886" s="1005"/>
      <c r="I886" s="93"/>
      <c r="J886" s="869"/>
      <c r="K886" s="295"/>
      <c r="L886" s="546"/>
      <c r="M886" s="870"/>
      <c r="N886" s="870"/>
      <c r="O886" s="127">
        <f>COUNTA(Modificaciones!I886,Modificaciones!K886,Modificaciones!M886,Modificaciones!O886)</f>
        <v>0</v>
      </c>
      <c r="P886" s="128">
        <f>VLOOKUP(E886,Modificaciones!$B$7:$Q$1819,16,0)</f>
        <v>0</v>
      </c>
      <c r="Q886" s="129">
        <f>COUNTA(Modificaciones!S886,Modificaciones!U886,Modificaciones!W886,Modificaciones!Y886)</f>
        <v>0</v>
      </c>
      <c r="R886" s="130" t="str">
        <f>IF(Modificaciones!Z886=0,"",VLOOKUP(E886,Modificaciones!$B$7:$AA$1419,25,0))</f>
        <v/>
      </c>
      <c r="S886" s="131" t="str">
        <f>IF(Modificaciones!AA862=0,"",VLOOKUP(#REF!,Modificaciones!$B$7:$AA$1419,26,0))</f>
        <v/>
      </c>
      <c r="T886" s="855">
        <f t="shared" si="222"/>
        <v>0</v>
      </c>
      <c r="U886" s="62">
        <f t="shared" si="223"/>
        <v>0</v>
      </c>
      <c r="V886" s="172">
        <f>VLOOKUP(E886,Modificaciones!$B$7:$AU$819,46,0)</f>
        <v>0</v>
      </c>
      <c r="W886" s="93">
        <f t="shared" si="224"/>
        <v>0</v>
      </c>
      <c r="X886" s="1041"/>
      <c r="Y886" s="852" t="e">
        <f t="shared" si="225"/>
        <v>#DIV/0!</v>
      </c>
      <c r="Z886" s="42" t="e">
        <f t="shared" ca="1" si="226"/>
        <v>#DIV/0!</v>
      </c>
      <c r="AA886" s="43" t="e">
        <f t="shared" ca="1" si="227"/>
        <v>#DIV/0!</v>
      </c>
      <c r="AB886" s="202" t="e">
        <f t="shared" ca="1" si="228"/>
        <v>#DIV/0!</v>
      </c>
      <c r="AC886" s="44" t="e">
        <f t="shared" si="229"/>
        <v>#DIV/0!</v>
      </c>
      <c r="AD886" s="868"/>
      <c r="AE886" s="871"/>
      <c r="AF886" s="871"/>
      <c r="AG886" s="868"/>
      <c r="AH886" s="868"/>
      <c r="AI886" s="868"/>
      <c r="AJ886" s="868"/>
      <c r="AK886" s="181" t="str">
        <f t="shared" ca="1" si="230"/>
        <v>TERMINO</v>
      </c>
      <c r="AL886" s="441"/>
      <c r="AM886" s="433"/>
      <c r="AN886" s="848" t="str">
        <f>IFERROR(VLOOKUP(E886,'liquidaciones '!$B$2:$C$1048576,2,0),"NO")</f>
        <v>NO</v>
      </c>
      <c r="AO886" s="944" t="str">
        <f>IFERROR(VLOOKUP(E886,'liquidaciones '!$B$2:$I$1048576,8,0),"")</f>
        <v/>
      </c>
      <c r="AP886" s="433"/>
      <c r="AQ886" s="433"/>
      <c r="AR886" s="1069"/>
      <c r="AS886" s="1042"/>
      <c r="AT886" s="964"/>
      <c r="AU886" s="964"/>
      <c r="AV886" s="964"/>
    </row>
    <row r="887" spans="3:48" x14ac:dyDescent="0.25">
      <c r="C887" s="867"/>
      <c r="E887" s="868"/>
      <c r="F887" s="441"/>
      <c r="G887" s="868"/>
      <c r="H887" s="1005"/>
      <c r="I887" s="93"/>
      <c r="J887" s="869"/>
      <c r="K887" s="295"/>
      <c r="L887" s="546"/>
      <c r="M887" s="870"/>
      <c r="N887" s="870"/>
      <c r="O887" s="127">
        <f>COUNTA(Modificaciones!I887,Modificaciones!K887,Modificaciones!M887,Modificaciones!O887)</f>
        <v>0</v>
      </c>
      <c r="P887" s="128">
        <f>VLOOKUP(E887,Modificaciones!$B$7:$Q$1819,16,0)</f>
        <v>0</v>
      </c>
      <c r="Q887" s="129">
        <f>COUNTA(Modificaciones!S887,Modificaciones!U887,Modificaciones!W887,Modificaciones!Y887)</f>
        <v>0</v>
      </c>
      <c r="R887" s="130" t="str">
        <f>IF(Modificaciones!Z887=0,"",VLOOKUP(E887,Modificaciones!$B$7:$AA$1419,25,0))</f>
        <v/>
      </c>
      <c r="S887" s="131" t="str">
        <f>IF(Modificaciones!AA863=0,"",VLOOKUP(#REF!,Modificaciones!$B$7:$AA$1419,26,0))</f>
        <v/>
      </c>
      <c r="T887" s="855">
        <f t="shared" si="222"/>
        <v>0</v>
      </c>
      <c r="U887" s="62">
        <f t="shared" si="223"/>
        <v>0</v>
      </c>
      <c r="V887" s="172">
        <f>VLOOKUP(E887,Modificaciones!$B$7:$AU$819,46,0)</f>
        <v>0</v>
      </c>
      <c r="W887" s="93">
        <f t="shared" si="224"/>
        <v>0</v>
      </c>
      <c r="X887" s="1041"/>
      <c r="Y887" s="852" t="e">
        <f t="shared" si="225"/>
        <v>#DIV/0!</v>
      </c>
      <c r="Z887" s="42" t="e">
        <f t="shared" ca="1" si="226"/>
        <v>#DIV/0!</v>
      </c>
      <c r="AA887" s="43" t="e">
        <f t="shared" ca="1" si="227"/>
        <v>#DIV/0!</v>
      </c>
      <c r="AB887" s="202" t="e">
        <f t="shared" ca="1" si="228"/>
        <v>#DIV/0!</v>
      </c>
      <c r="AC887" s="44" t="e">
        <f t="shared" si="229"/>
        <v>#DIV/0!</v>
      </c>
      <c r="AD887" s="868"/>
      <c r="AE887" s="871"/>
      <c r="AF887" s="871"/>
      <c r="AG887" s="868"/>
      <c r="AH887" s="868"/>
      <c r="AI887" s="868"/>
      <c r="AJ887" s="868"/>
      <c r="AK887" s="181" t="str">
        <f t="shared" ca="1" si="230"/>
        <v>TERMINO</v>
      </c>
      <c r="AL887" s="441"/>
      <c r="AM887" s="433"/>
      <c r="AN887" s="848" t="str">
        <f>IFERROR(VLOOKUP(E887,'liquidaciones '!$B$2:$C$1048576,2,0),"NO")</f>
        <v>NO</v>
      </c>
      <c r="AO887" s="944" t="str">
        <f>IFERROR(VLOOKUP(E887,'liquidaciones '!$B$2:$I$1048576,8,0),"")</f>
        <v/>
      </c>
      <c r="AP887" s="433"/>
      <c r="AQ887" s="433"/>
      <c r="AR887" s="1069"/>
      <c r="AS887" s="1042"/>
      <c r="AT887" s="964"/>
      <c r="AU887" s="964"/>
      <c r="AV887" s="964"/>
    </row>
    <row r="888" spans="3:48" x14ac:dyDescent="0.25">
      <c r="C888" s="867"/>
      <c r="E888" s="868"/>
      <c r="F888" s="441"/>
      <c r="G888" s="868"/>
      <c r="H888" s="1005"/>
      <c r="I888" s="93"/>
      <c r="J888" s="869"/>
      <c r="K888" s="295"/>
      <c r="L888" s="546"/>
      <c r="M888" s="870"/>
      <c r="N888" s="870"/>
      <c r="O888" s="127">
        <f>COUNTA(Modificaciones!I888,Modificaciones!K888,Modificaciones!M888,Modificaciones!O888)</f>
        <v>0</v>
      </c>
      <c r="P888" s="128">
        <f>VLOOKUP(E888,Modificaciones!$B$7:$Q$1819,16,0)</f>
        <v>0</v>
      </c>
      <c r="Q888" s="129">
        <f>COUNTA(Modificaciones!S888,Modificaciones!U888,Modificaciones!W888,Modificaciones!Y888)</f>
        <v>0</v>
      </c>
      <c r="R888" s="130" t="str">
        <f>IF(Modificaciones!Z888=0,"",VLOOKUP(E888,Modificaciones!$B$7:$AA$1419,25,0))</f>
        <v/>
      </c>
      <c r="S888" s="131" t="str">
        <f>IF(Modificaciones!AA864=0,"",VLOOKUP(#REF!,Modificaciones!$B$7:$AA$1419,26,0))</f>
        <v/>
      </c>
      <c r="T888" s="855">
        <f t="shared" si="222"/>
        <v>0</v>
      </c>
      <c r="U888" s="62">
        <f t="shared" si="223"/>
        <v>0</v>
      </c>
      <c r="V888" s="172">
        <f>VLOOKUP(E888,Modificaciones!$B$7:$AU$819,46,0)</f>
        <v>0</v>
      </c>
      <c r="W888" s="93">
        <f t="shared" si="224"/>
        <v>0</v>
      </c>
      <c r="X888" s="1041"/>
      <c r="Y888" s="852" t="e">
        <f t="shared" si="225"/>
        <v>#DIV/0!</v>
      </c>
      <c r="Z888" s="42" t="e">
        <f t="shared" ca="1" si="226"/>
        <v>#DIV/0!</v>
      </c>
      <c r="AA888" s="43" t="e">
        <f t="shared" ca="1" si="227"/>
        <v>#DIV/0!</v>
      </c>
      <c r="AB888" s="202" t="e">
        <f t="shared" ca="1" si="228"/>
        <v>#DIV/0!</v>
      </c>
      <c r="AC888" s="44" t="e">
        <f t="shared" si="229"/>
        <v>#DIV/0!</v>
      </c>
      <c r="AD888" s="868"/>
      <c r="AE888" s="871"/>
      <c r="AF888" s="871"/>
      <c r="AG888" s="868"/>
      <c r="AH888" s="868"/>
      <c r="AI888" s="868"/>
      <c r="AJ888" s="868"/>
      <c r="AK888" s="181" t="str">
        <f t="shared" ca="1" si="230"/>
        <v>TERMINO</v>
      </c>
      <c r="AL888" s="441"/>
      <c r="AM888" s="433"/>
      <c r="AN888" s="848" t="str">
        <f>IFERROR(VLOOKUP(E888,'liquidaciones '!$B$2:$C$1048576,2,0),"NO")</f>
        <v>NO</v>
      </c>
      <c r="AO888" s="944" t="str">
        <f>IFERROR(VLOOKUP(E888,'liquidaciones '!$B$2:$I$1048576,8,0),"")</f>
        <v/>
      </c>
      <c r="AP888" s="433"/>
      <c r="AQ888" s="433"/>
      <c r="AR888" s="1069"/>
      <c r="AS888" s="1042"/>
      <c r="AT888" s="964"/>
      <c r="AU888" s="964"/>
      <c r="AV888" s="964"/>
    </row>
    <row r="889" spans="3:48" x14ac:dyDescent="0.25">
      <c r="C889" s="867"/>
      <c r="E889" s="868"/>
      <c r="F889" s="441"/>
      <c r="G889" s="868"/>
      <c r="H889" s="1005"/>
      <c r="I889" s="93"/>
      <c r="J889" s="869"/>
      <c r="K889" s="295"/>
      <c r="L889" s="546"/>
      <c r="M889" s="870"/>
      <c r="N889" s="870"/>
      <c r="O889" s="127">
        <f>COUNTA(Modificaciones!I889,Modificaciones!K889,Modificaciones!M889,Modificaciones!O889)</f>
        <v>0</v>
      </c>
      <c r="P889" s="128">
        <f>VLOOKUP(E889,Modificaciones!$B$7:$Q$1819,16,0)</f>
        <v>0</v>
      </c>
      <c r="Q889" s="129">
        <f>COUNTA(Modificaciones!S889,Modificaciones!U889,Modificaciones!W889,Modificaciones!Y889)</f>
        <v>0</v>
      </c>
      <c r="R889" s="130" t="str">
        <f>IF(Modificaciones!Z889=0,"",VLOOKUP(E889,Modificaciones!$B$7:$AA$1419,25,0))</f>
        <v/>
      </c>
      <c r="S889" s="131" t="str">
        <f>IF(Modificaciones!AA865=0,"",VLOOKUP(#REF!,Modificaciones!$B$7:$AA$1419,26,0))</f>
        <v/>
      </c>
      <c r="T889" s="855">
        <f t="shared" si="222"/>
        <v>0</v>
      </c>
      <c r="U889" s="62">
        <f t="shared" si="223"/>
        <v>0</v>
      </c>
      <c r="V889" s="172">
        <f>VLOOKUP(E889,Modificaciones!$B$7:$AU$819,46,0)</f>
        <v>0</v>
      </c>
      <c r="W889" s="93">
        <f t="shared" si="224"/>
        <v>0</v>
      </c>
      <c r="X889" s="1041"/>
      <c r="Y889" s="852" t="e">
        <f t="shared" si="225"/>
        <v>#DIV/0!</v>
      </c>
      <c r="Z889" s="42" t="e">
        <f t="shared" ca="1" si="226"/>
        <v>#DIV/0!</v>
      </c>
      <c r="AA889" s="43" t="e">
        <f t="shared" ca="1" si="227"/>
        <v>#DIV/0!</v>
      </c>
      <c r="AB889" s="202" t="e">
        <f t="shared" ca="1" si="228"/>
        <v>#DIV/0!</v>
      </c>
      <c r="AC889" s="44" t="e">
        <f t="shared" si="229"/>
        <v>#DIV/0!</v>
      </c>
      <c r="AD889" s="868"/>
      <c r="AE889" s="871"/>
      <c r="AF889" s="871"/>
      <c r="AG889" s="868"/>
      <c r="AH889" s="868"/>
      <c r="AI889" s="868"/>
      <c r="AJ889" s="868"/>
      <c r="AK889" s="181" t="str">
        <f t="shared" ca="1" si="230"/>
        <v>TERMINO</v>
      </c>
      <c r="AL889" s="441"/>
      <c r="AM889" s="433"/>
      <c r="AN889" s="848" t="str">
        <f>IFERROR(VLOOKUP(E889,'liquidaciones '!$B$2:$C$1048576,2,0),"NO")</f>
        <v>NO</v>
      </c>
      <c r="AO889" s="944" t="str">
        <f>IFERROR(VLOOKUP(E889,'liquidaciones '!$B$2:$I$1048576,8,0),"")</f>
        <v/>
      </c>
      <c r="AP889" s="433"/>
      <c r="AQ889" s="433"/>
      <c r="AR889" s="1069"/>
      <c r="AS889" s="1042"/>
      <c r="AT889" s="964"/>
      <c r="AU889" s="964"/>
      <c r="AV889" s="964"/>
    </row>
    <row r="890" spans="3:48" x14ac:dyDescent="0.25">
      <c r="C890" s="867"/>
      <c r="E890" s="868"/>
      <c r="F890" s="441"/>
      <c r="G890" s="868"/>
      <c r="H890" s="1005"/>
      <c r="I890" s="93"/>
      <c r="J890" s="869"/>
      <c r="K890" s="295"/>
      <c r="L890" s="546"/>
      <c r="M890" s="870"/>
      <c r="N890" s="870"/>
      <c r="O890" s="127">
        <f>COUNTA(Modificaciones!I890,Modificaciones!K890,Modificaciones!M890,Modificaciones!O890)</f>
        <v>0</v>
      </c>
      <c r="P890" s="128">
        <f>VLOOKUP(E890,Modificaciones!$B$7:$Q$1819,16,0)</f>
        <v>0</v>
      </c>
      <c r="Q890" s="129">
        <f>COUNTA(Modificaciones!S890,Modificaciones!U890,Modificaciones!W890,Modificaciones!Y890)</f>
        <v>0</v>
      </c>
      <c r="R890" s="130" t="str">
        <f>IF(Modificaciones!Z890=0,"",VLOOKUP(E890,Modificaciones!$B$7:$AA$1419,25,0))</f>
        <v/>
      </c>
      <c r="S890" s="131" t="str">
        <f>IF(Modificaciones!AA866=0,"",VLOOKUP(#REF!,Modificaciones!$B$7:$AA$1419,26,0))</f>
        <v/>
      </c>
      <c r="T890" s="855">
        <f t="shared" si="222"/>
        <v>0</v>
      </c>
      <c r="U890" s="62">
        <f t="shared" si="223"/>
        <v>0</v>
      </c>
      <c r="V890" s="172">
        <f>VLOOKUP(E890,Modificaciones!$B$7:$AU$819,46,0)</f>
        <v>0</v>
      </c>
      <c r="W890" s="93">
        <f t="shared" si="224"/>
        <v>0</v>
      </c>
      <c r="X890" s="1041"/>
      <c r="Y890" s="852" t="e">
        <f t="shared" si="225"/>
        <v>#DIV/0!</v>
      </c>
      <c r="Z890" s="42" t="e">
        <f t="shared" ca="1" si="226"/>
        <v>#DIV/0!</v>
      </c>
      <c r="AA890" s="43" t="e">
        <f t="shared" ca="1" si="227"/>
        <v>#DIV/0!</v>
      </c>
      <c r="AB890" s="202" t="e">
        <f t="shared" ca="1" si="228"/>
        <v>#DIV/0!</v>
      </c>
      <c r="AC890" s="44" t="e">
        <f t="shared" si="229"/>
        <v>#DIV/0!</v>
      </c>
      <c r="AD890" s="868"/>
      <c r="AE890" s="871"/>
      <c r="AF890" s="871"/>
      <c r="AG890" s="868"/>
      <c r="AH890" s="868"/>
      <c r="AI890" s="868"/>
      <c r="AJ890" s="868"/>
      <c r="AK890" s="181" t="str">
        <f t="shared" ca="1" si="230"/>
        <v>TERMINO</v>
      </c>
      <c r="AL890" s="441"/>
      <c r="AM890" s="433"/>
      <c r="AN890" s="848" t="str">
        <f>IFERROR(VLOOKUP(E890,'liquidaciones '!$B$2:$C$1048576,2,0),"NO")</f>
        <v>NO</v>
      </c>
      <c r="AO890" s="944" t="str">
        <f>IFERROR(VLOOKUP(E890,'liquidaciones '!$B$2:$I$1048576,8,0),"")</f>
        <v/>
      </c>
      <c r="AP890" s="433"/>
      <c r="AQ890" s="433"/>
      <c r="AR890" s="1069"/>
      <c r="AS890" s="1042"/>
      <c r="AT890" s="964"/>
      <c r="AU890" s="964"/>
      <c r="AV890" s="964"/>
    </row>
    <row r="891" spans="3:48" x14ac:dyDescent="0.25">
      <c r="C891" s="867"/>
      <c r="E891" s="868"/>
      <c r="F891" s="441"/>
      <c r="G891" s="868"/>
      <c r="H891" s="1005"/>
      <c r="I891" s="93"/>
      <c r="J891" s="869"/>
      <c r="K891" s="295"/>
      <c r="L891" s="546"/>
      <c r="M891" s="870"/>
      <c r="N891" s="870"/>
      <c r="O891" s="127">
        <f>COUNTA(Modificaciones!I891,Modificaciones!K891,Modificaciones!M891,Modificaciones!O891)</f>
        <v>0</v>
      </c>
      <c r="P891" s="128">
        <f>VLOOKUP(E891,Modificaciones!$B$7:$Q$1819,16,0)</f>
        <v>0</v>
      </c>
      <c r="Q891" s="129">
        <f>COUNTA(Modificaciones!S891,Modificaciones!U891,Modificaciones!W891,Modificaciones!Y891)</f>
        <v>0</v>
      </c>
      <c r="R891" s="130" t="str">
        <f>IF(Modificaciones!Z891=0,"",VLOOKUP(E891,Modificaciones!$B$7:$AA$1419,25,0))</f>
        <v/>
      </c>
      <c r="S891" s="131" t="str">
        <f>IF(Modificaciones!AA867=0,"",VLOOKUP(#REF!,Modificaciones!$B$7:$AA$1419,26,0))</f>
        <v/>
      </c>
      <c r="T891" s="855">
        <f t="shared" si="222"/>
        <v>0</v>
      </c>
      <c r="U891" s="62">
        <f t="shared" si="223"/>
        <v>0</v>
      </c>
      <c r="V891" s="172">
        <f>VLOOKUP(E891,Modificaciones!$B$7:$AU$819,46,0)</f>
        <v>0</v>
      </c>
      <c r="W891" s="93">
        <f t="shared" si="224"/>
        <v>0</v>
      </c>
      <c r="X891" s="1041"/>
      <c r="Y891" s="852" t="e">
        <f t="shared" si="225"/>
        <v>#DIV/0!</v>
      </c>
      <c r="Z891" s="42" t="e">
        <f t="shared" ca="1" si="226"/>
        <v>#DIV/0!</v>
      </c>
      <c r="AA891" s="43" t="e">
        <f t="shared" ca="1" si="227"/>
        <v>#DIV/0!</v>
      </c>
      <c r="AB891" s="202" t="e">
        <f t="shared" ca="1" si="228"/>
        <v>#DIV/0!</v>
      </c>
      <c r="AC891" s="44" t="e">
        <f t="shared" si="229"/>
        <v>#DIV/0!</v>
      </c>
      <c r="AD891" s="868"/>
      <c r="AE891" s="871"/>
      <c r="AF891" s="871"/>
      <c r="AG891" s="868"/>
      <c r="AH891" s="868"/>
      <c r="AI891" s="868"/>
      <c r="AJ891" s="868"/>
      <c r="AK891" s="181" t="str">
        <f t="shared" ca="1" si="230"/>
        <v>TERMINO</v>
      </c>
      <c r="AL891" s="441"/>
      <c r="AM891" s="433"/>
      <c r="AN891" s="848" t="str">
        <f>IFERROR(VLOOKUP(E891,'liquidaciones '!$B$2:$C$1048576,2,0),"NO")</f>
        <v>NO</v>
      </c>
      <c r="AO891" s="944" t="str">
        <f>IFERROR(VLOOKUP(E891,'liquidaciones '!$B$2:$I$1048576,8,0),"")</f>
        <v/>
      </c>
      <c r="AP891" s="433"/>
      <c r="AQ891" s="433"/>
      <c r="AR891" s="1069"/>
      <c r="AS891" s="1042"/>
      <c r="AT891" s="964"/>
      <c r="AU891" s="964"/>
      <c r="AV891" s="964"/>
    </row>
    <row r="892" spans="3:48" x14ac:dyDescent="0.25">
      <c r="C892" s="867"/>
      <c r="E892" s="868"/>
      <c r="F892" s="441"/>
      <c r="G892" s="868"/>
      <c r="H892" s="1005"/>
      <c r="I892" s="93"/>
      <c r="J892" s="869"/>
      <c r="K892" s="295"/>
      <c r="L892" s="546"/>
      <c r="M892" s="870"/>
      <c r="N892" s="870"/>
      <c r="O892" s="127">
        <f>COUNTA(Modificaciones!I892,Modificaciones!K892,Modificaciones!M892,Modificaciones!O892)</f>
        <v>0</v>
      </c>
      <c r="P892" s="128">
        <f>VLOOKUP(E892,Modificaciones!$B$7:$Q$1819,16,0)</f>
        <v>0</v>
      </c>
      <c r="Q892" s="129">
        <f>COUNTA(Modificaciones!S892,Modificaciones!U892,Modificaciones!W892,Modificaciones!Y892)</f>
        <v>0</v>
      </c>
      <c r="R892" s="130" t="str">
        <f>IF(Modificaciones!Z892=0,"",VLOOKUP(E892,Modificaciones!$B$7:$AA$1419,25,0))</f>
        <v/>
      </c>
      <c r="S892" s="131" t="str">
        <f>IF(Modificaciones!AA868=0,"",VLOOKUP(#REF!,Modificaciones!$B$7:$AA$1419,26,0))</f>
        <v/>
      </c>
      <c r="T892" s="855">
        <f t="shared" si="222"/>
        <v>0</v>
      </c>
      <c r="U892" s="62">
        <f t="shared" si="223"/>
        <v>0</v>
      </c>
      <c r="V892" s="172">
        <f>VLOOKUP(E892,Modificaciones!$B$7:$AU$819,46,0)</f>
        <v>0</v>
      </c>
      <c r="W892" s="93">
        <f t="shared" si="224"/>
        <v>0</v>
      </c>
      <c r="X892" s="1041"/>
      <c r="Y892" s="852" t="e">
        <f t="shared" si="225"/>
        <v>#DIV/0!</v>
      </c>
      <c r="Z892" s="42" t="e">
        <f t="shared" ca="1" si="226"/>
        <v>#DIV/0!</v>
      </c>
      <c r="AA892" s="43" t="e">
        <f t="shared" ca="1" si="227"/>
        <v>#DIV/0!</v>
      </c>
      <c r="AB892" s="202" t="e">
        <f t="shared" ca="1" si="228"/>
        <v>#DIV/0!</v>
      </c>
      <c r="AC892" s="44" t="e">
        <f t="shared" si="229"/>
        <v>#DIV/0!</v>
      </c>
      <c r="AD892" s="868"/>
      <c r="AE892" s="871"/>
      <c r="AF892" s="871"/>
      <c r="AG892" s="868"/>
      <c r="AH892" s="868"/>
      <c r="AI892" s="868"/>
      <c r="AJ892" s="868"/>
      <c r="AK892" s="181" t="str">
        <f t="shared" ca="1" si="230"/>
        <v>TERMINO</v>
      </c>
      <c r="AL892" s="441"/>
      <c r="AM892" s="433"/>
      <c r="AN892" s="848" t="str">
        <f>IFERROR(VLOOKUP(E892,'liquidaciones '!$B$2:$C$1048576,2,0),"NO")</f>
        <v>NO</v>
      </c>
      <c r="AO892" s="944" t="str">
        <f>IFERROR(VLOOKUP(E892,'liquidaciones '!$B$2:$I$1048576,8,0),"")</f>
        <v/>
      </c>
      <c r="AP892" s="433"/>
      <c r="AQ892" s="433"/>
      <c r="AR892" s="1069"/>
      <c r="AS892" s="1042"/>
      <c r="AT892" s="964"/>
      <c r="AU892" s="964"/>
      <c r="AV892" s="964"/>
    </row>
    <row r="893" spans="3:48" x14ac:dyDescent="0.25">
      <c r="C893" s="867"/>
      <c r="E893" s="868"/>
      <c r="F893" s="441"/>
      <c r="G893" s="868"/>
      <c r="H893" s="1005"/>
      <c r="I893" s="93"/>
      <c r="J893" s="869"/>
      <c r="K893" s="295"/>
      <c r="L893" s="546"/>
      <c r="M893" s="870"/>
      <c r="N893" s="870"/>
      <c r="O893" s="127">
        <f>COUNTA(Modificaciones!I893,Modificaciones!K893,Modificaciones!M893,Modificaciones!O893)</f>
        <v>0</v>
      </c>
      <c r="P893" s="128">
        <f>VLOOKUP(E893,Modificaciones!$B$7:$Q$1819,16,0)</f>
        <v>0</v>
      </c>
      <c r="Q893" s="129">
        <f>COUNTA(Modificaciones!S893,Modificaciones!U893,Modificaciones!W893,Modificaciones!Y893)</f>
        <v>0</v>
      </c>
      <c r="R893" s="130" t="str">
        <f>IF(Modificaciones!Z893=0,"",VLOOKUP(E893,Modificaciones!$B$7:$AA$1419,25,0))</f>
        <v/>
      </c>
      <c r="S893" s="131" t="str">
        <f>IF(Modificaciones!AA869=0,"",VLOOKUP(#REF!,Modificaciones!$B$7:$AA$1419,26,0))</f>
        <v/>
      </c>
      <c r="T893" s="855">
        <f t="shared" si="222"/>
        <v>0</v>
      </c>
      <c r="U893" s="62">
        <f t="shared" si="223"/>
        <v>0</v>
      </c>
      <c r="V893" s="172">
        <f>VLOOKUP(E893,Modificaciones!$B$7:$AU$819,46,0)</f>
        <v>0</v>
      </c>
      <c r="W893" s="93">
        <f t="shared" si="224"/>
        <v>0</v>
      </c>
      <c r="X893" s="1041"/>
      <c r="Y893" s="852" t="e">
        <f t="shared" si="225"/>
        <v>#DIV/0!</v>
      </c>
      <c r="Z893" s="42" t="e">
        <f t="shared" ca="1" si="226"/>
        <v>#DIV/0!</v>
      </c>
      <c r="AA893" s="43" t="e">
        <f t="shared" ca="1" si="227"/>
        <v>#DIV/0!</v>
      </c>
      <c r="AB893" s="202" t="e">
        <f t="shared" ca="1" si="228"/>
        <v>#DIV/0!</v>
      </c>
      <c r="AC893" s="44" t="e">
        <f t="shared" si="229"/>
        <v>#DIV/0!</v>
      </c>
      <c r="AD893" s="868"/>
      <c r="AE893" s="871"/>
      <c r="AF893" s="871"/>
      <c r="AG893" s="868"/>
      <c r="AH893" s="868"/>
      <c r="AI893" s="868"/>
      <c r="AJ893" s="868"/>
      <c r="AK893" s="181" t="str">
        <f t="shared" ca="1" si="230"/>
        <v>TERMINO</v>
      </c>
      <c r="AL893" s="441"/>
      <c r="AM893" s="433"/>
      <c r="AN893" s="848" t="str">
        <f>IFERROR(VLOOKUP(E893,'liquidaciones '!$B$2:$C$1048576,2,0),"NO")</f>
        <v>NO</v>
      </c>
      <c r="AO893" s="944" t="str">
        <f>IFERROR(VLOOKUP(E893,'liquidaciones '!$B$2:$I$1048576,8,0),"")</f>
        <v/>
      </c>
      <c r="AP893" s="433"/>
      <c r="AQ893" s="433"/>
      <c r="AR893" s="1069"/>
      <c r="AS893" s="1042"/>
      <c r="AT893" s="964"/>
      <c r="AU893" s="964"/>
      <c r="AV893" s="964"/>
    </row>
    <row r="894" spans="3:48" x14ac:dyDescent="0.25">
      <c r="C894" s="867"/>
      <c r="E894" s="868"/>
      <c r="F894" s="441"/>
      <c r="G894" s="868"/>
      <c r="H894" s="1005"/>
      <c r="I894" s="93"/>
      <c r="J894" s="869"/>
      <c r="K894" s="295"/>
      <c r="L894" s="546"/>
      <c r="M894" s="870"/>
      <c r="N894" s="870"/>
      <c r="O894" s="127">
        <f>COUNTA(Modificaciones!I894,Modificaciones!K894,Modificaciones!M894,Modificaciones!O894)</f>
        <v>0</v>
      </c>
      <c r="P894" s="128">
        <f>VLOOKUP(E894,Modificaciones!$B$7:$Q$1819,16,0)</f>
        <v>0</v>
      </c>
      <c r="Q894" s="129">
        <f>COUNTA(Modificaciones!S894,Modificaciones!U894,Modificaciones!W894,Modificaciones!Y894)</f>
        <v>0</v>
      </c>
      <c r="R894" s="130" t="str">
        <f>IF(Modificaciones!Z894=0,"",VLOOKUP(E894,Modificaciones!$B$7:$AA$1419,25,0))</f>
        <v/>
      </c>
      <c r="S894" s="131" t="str">
        <f>IF(Modificaciones!AA870=0,"",VLOOKUP(#REF!,Modificaciones!$B$7:$AA$1419,26,0))</f>
        <v/>
      </c>
      <c r="T894" s="855">
        <f t="shared" si="222"/>
        <v>0</v>
      </c>
      <c r="U894" s="62">
        <f t="shared" si="223"/>
        <v>0</v>
      </c>
      <c r="V894" s="172">
        <f>VLOOKUP(E894,Modificaciones!$B$7:$AU$819,46,0)</f>
        <v>0</v>
      </c>
      <c r="W894" s="93">
        <f t="shared" si="224"/>
        <v>0</v>
      </c>
      <c r="X894" s="1041"/>
      <c r="Y894" s="852" t="e">
        <f t="shared" si="225"/>
        <v>#DIV/0!</v>
      </c>
      <c r="Z894" s="42" t="e">
        <f t="shared" ca="1" si="226"/>
        <v>#DIV/0!</v>
      </c>
      <c r="AA894" s="43" t="e">
        <f t="shared" ca="1" si="227"/>
        <v>#DIV/0!</v>
      </c>
      <c r="AB894" s="202" t="e">
        <f t="shared" ca="1" si="228"/>
        <v>#DIV/0!</v>
      </c>
      <c r="AC894" s="44" t="e">
        <f t="shared" si="229"/>
        <v>#DIV/0!</v>
      </c>
      <c r="AD894" s="868"/>
      <c r="AE894" s="871"/>
      <c r="AF894" s="871"/>
      <c r="AG894" s="868"/>
      <c r="AH894" s="868"/>
      <c r="AI894" s="868"/>
      <c r="AJ894" s="868"/>
      <c r="AK894" s="181" t="str">
        <f t="shared" ca="1" si="230"/>
        <v>TERMINO</v>
      </c>
      <c r="AL894" s="441"/>
      <c r="AM894" s="433"/>
      <c r="AN894" s="848" t="str">
        <f>IFERROR(VLOOKUP(E894,'liquidaciones '!$B$2:$C$1048576,2,0),"NO")</f>
        <v>NO</v>
      </c>
      <c r="AO894" s="944" t="str">
        <f>IFERROR(VLOOKUP(E894,'liquidaciones '!$B$2:$I$1048576,8,0),"")</f>
        <v/>
      </c>
      <c r="AP894" s="433"/>
      <c r="AQ894" s="433"/>
      <c r="AR894" s="1069"/>
      <c r="AS894" s="1042"/>
      <c r="AT894" s="964"/>
      <c r="AU894" s="964"/>
      <c r="AV894" s="964"/>
    </row>
    <row r="895" spans="3:48" x14ac:dyDescent="0.25">
      <c r="C895" s="867"/>
      <c r="E895" s="868"/>
      <c r="F895" s="441"/>
      <c r="G895" s="868"/>
      <c r="H895" s="1005"/>
      <c r="I895" s="93"/>
      <c r="J895" s="869"/>
      <c r="K895" s="295"/>
      <c r="L895" s="546"/>
      <c r="M895" s="870"/>
      <c r="N895" s="870"/>
      <c r="O895" s="127">
        <f>COUNTA(Modificaciones!I895,Modificaciones!K895,Modificaciones!M895,Modificaciones!O895)</f>
        <v>0</v>
      </c>
      <c r="P895" s="128">
        <f>VLOOKUP(E895,Modificaciones!$B$7:$Q$1819,16,0)</f>
        <v>0</v>
      </c>
      <c r="Q895" s="129">
        <f>COUNTA(Modificaciones!S895,Modificaciones!U895,Modificaciones!W895,Modificaciones!Y895)</f>
        <v>0</v>
      </c>
      <c r="R895" s="130" t="str">
        <f>IF(Modificaciones!Z895=0,"",VLOOKUP(E895,Modificaciones!$B$7:$AA$1419,25,0))</f>
        <v/>
      </c>
      <c r="S895" s="131" t="str">
        <f>IF(Modificaciones!AA871=0,"",VLOOKUP(#REF!,Modificaciones!$B$7:$AA$1419,26,0))</f>
        <v/>
      </c>
      <c r="T895" s="855">
        <f t="shared" si="222"/>
        <v>0</v>
      </c>
      <c r="U895" s="62">
        <f t="shared" si="223"/>
        <v>0</v>
      </c>
      <c r="V895" s="172">
        <f>VLOOKUP(E895,Modificaciones!$B$7:$AU$819,46,0)</f>
        <v>0</v>
      </c>
      <c r="W895" s="93">
        <f t="shared" si="224"/>
        <v>0</v>
      </c>
      <c r="X895" s="1041"/>
      <c r="Y895" s="852" t="e">
        <f t="shared" si="225"/>
        <v>#DIV/0!</v>
      </c>
      <c r="Z895" s="42" t="e">
        <f t="shared" ca="1" si="226"/>
        <v>#DIV/0!</v>
      </c>
      <c r="AA895" s="43" t="e">
        <f t="shared" ca="1" si="227"/>
        <v>#DIV/0!</v>
      </c>
      <c r="AB895" s="202" t="e">
        <f t="shared" ca="1" si="228"/>
        <v>#DIV/0!</v>
      </c>
      <c r="AC895" s="44" t="e">
        <f t="shared" si="229"/>
        <v>#DIV/0!</v>
      </c>
      <c r="AD895" s="868"/>
      <c r="AE895" s="871"/>
      <c r="AF895" s="871"/>
      <c r="AG895" s="868"/>
      <c r="AH895" s="868"/>
      <c r="AI895" s="868"/>
      <c r="AJ895" s="868"/>
      <c r="AK895" s="181" t="str">
        <f t="shared" ca="1" si="230"/>
        <v>TERMINO</v>
      </c>
      <c r="AL895" s="441"/>
      <c r="AM895" s="433"/>
      <c r="AN895" s="848" t="str">
        <f>IFERROR(VLOOKUP(E895,'liquidaciones '!$B$2:$C$1048576,2,0),"NO")</f>
        <v>NO</v>
      </c>
      <c r="AO895" s="944" t="str">
        <f>IFERROR(VLOOKUP(E895,'liquidaciones '!$B$2:$I$1048576,8,0),"")</f>
        <v/>
      </c>
      <c r="AP895" s="433"/>
      <c r="AQ895" s="433"/>
      <c r="AR895" s="1069"/>
      <c r="AS895" s="1042"/>
      <c r="AT895" s="964"/>
      <c r="AU895" s="964"/>
      <c r="AV895" s="964"/>
    </row>
    <row r="896" spans="3:48" x14ac:dyDescent="0.25">
      <c r="C896" s="867"/>
      <c r="E896" s="868"/>
      <c r="F896" s="441"/>
      <c r="G896" s="868"/>
      <c r="H896" s="1005"/>
      <c r="I896" s="93"/>
      <c r="J896" s="869"/>
      <c r="K896" s="295"/>
      <c r="L896" s="546"/>
      <c r="M896" s="870"/>
      <c r="N896" s="870"/>
      <c r="O896" s="127">
        <f>COUNTA(Modificaciones!I896,Modificaciones!K896,Modificaciones!M896,Modificaciones!O896)</f>
        <v>0</v>
      </c>
      <c r="P896" s="128">
        <f>VLOOKUP(E896,Modificaciones!$B$7:$Q$1819,16,0)</f>
        <v>0</v>
      </c>
      <c r="Q896" s="129">
        <f>COUNTA(Modificaciones!S896,Modificaciones!U896,Modificaciones!W896,Modificaciones!Y896)</f>
        <v>0</v>
      </c>
      <c r="R896" s="130" t="str">
        <f>IF(Modificaciones!Z896=0,"",VLOOKUP(E896,Modificaciones!$B$7:$AA$1419,25,0))</f>
        <v/>
      </c>
      <c r="S896" s="131" t="str">
        <f>IF(Modificaciones!AA872=0,"",VLOOKUP(#REF!,Modificaciones!$B$7:$AA$1419,26,0))</f>
        <v/>
      </c>
      <c r="T896" s="855">
        <f t="shared" si="222"/>
        <v>0</v>
      </c>
      <c r="U896" s="62">
        <f t="shared" si="223"/>
        <v>0</v>
      </c>
      <c r="V896" s="172">
        <f>VLOOKUP(E896,Modificaciones!$B$7:$AU$819,46,0)</f>
        <v>0</v>
      </c>
      <c r="W896" s="93">
        <f t="shared" si="224"/>
        <v>0</v>
      </c>
      <c r="X896" s="1041"/>
      <c r="Y896" s="852" t="e">
        <f t="shared" si="225"/>
        <v>#DIV/0!</v>
      </c>
      <c r="Z896" s="42" t="e">
        <f t="shared" ca="1" si="226"/>
        <v>#DIV/0!</v>
      </c>
      <c r="AA896" s="43" t="e">
        <f t="shared" ca="1" si="227"/>
        <v>#DIV/0!</v>
      </c>
      <c r="AB896" s="202" t="e">
        <f t="shared" ca="1" si="228"/>
        <v>#DIV/0!</v>
      </c>
      <c r="AC896" s="44" t="e">
        <f t="shared" si="229"/>
        <v>#DIV/0!</v>
      </c>
      <c r="AD896" s="868"/>
      <c r="AE896" s="871"/>
      <c r="AF896" s="871"/>
      <c r="AG896" s="868"/>
      <c r="AH896" s="868"/>
      <c r="AI896" s="868"/>
      <c r="AJ896" s="868"/>
      <c r="AK896" s="181" t="str">
        <f t="shared" ca="1" si="230"/>
        <v>TERMINO</v>
      </c>
      <c r="AL896" s="441"/>
      <c r="AM896" s="433"/>
      <c r="AN896" s="848" t="str">
        <f>IFERROR(VLOOKUP(E896,'liquidaciones '!$B$2:$C$1048576,2,0),"NO")</f>
        <v>NO</v>
      </c>
      <c r="AO896" s="944" t="str">
        <f>IFERROR(VLOOKUP(E896,'liquidaciones '!$B$2:$I$1048576,8,0),"")</f>
        <v/>
      </c>
      <c r="AP896" s="433"/>
      <c r="AQ896" s="433"/>
      <c r="AR896" s="1069"/>
      <c r="AS896" s="1042"/>
      <c r="AT896" s="964"/>
      <c r="AU896" s="964"/>
      <c r="AV896" s="964"/>
    </row>
    <row r="897" spans="3:48" x14ac:dyDescent="0.25">
      <c r="C897" s="867"/>
      <c r="E897" s="868"/>
      <c r="F897" s="441"/>
      <c r="G897" s="868"/>
      <c r="H897" s="1005"/>
      <c r="I897" s="93"/>
      <c r="J897" s="869"/>
      <c r="K897" s="295"/>
      <c r="L897" s="546"/>
      <c r="M897" s="870"/>
      <c r="N897" s="870"/>
      <c r="O897" s="127">
        <f>COUNTA(Modificaciones!I897,Modificaciones!K897,Modificaciones!M897,Modificaciones!O897)</f>
        <v>0</v>
      </c>
      <c r="P897" s="128">
        <f>VLOOKUP(E897,Modificaciones!$B$7:$Q$1819,16,0)</f>
        <v>0</v>
      </c>
      <c r="Q897" s="129">
        <f>COUNTA(Modificaciones!S897,Modificaciones!U897,Modificaciones!W897,Modificaciones!Y897)</f>
        <v>0</v>
      </c>
      <c r="R897" s="130" t="str">
        <f>IF(Modificaciones!Z897=0,"",VLOOKUP(E897,Modificaciones!$B$7:$AA$1419,25,0))</f>
        <v/>
      </c>
      <c r="S897" s="131" t="str">
        <f>IF(Modificaciones!AA873=0,"",VLOOKUP(#REF!,Modificaciones!$B$7:$AA$1419,26,0))</f>
        <v/>
      </c>
      <c r="T897" s="855">
        <f t="shared" si="222"/>
        <v>0</v>
      </c>
      <c r="U897" s="62">
        <f t="shared" si="223"/>
        <v>0</v>
      </c>
      <c r="V897" s="172">
        <f>VLOOKUP(E897,Modificaciones!$B$7:$AU$819,46,0)</f>
        <v>0</v>
      </c>
      <c r="W897" s="93">
        <f t="shared" si="224"/>
        <v>0</v>
      </c>
      <c r="X897" s="1041"/>
      <c r="Y897" s="852" t="e">
        <f t="shared" si="225"/>
        <v>#DIV/0!</v>
      </c>
      <c r="Z897" s="42" t="e">
        <f t="shared" ca="1" si="226"/>
        <v>#DIV/0!</v>
      </c>
      <c r="AA897" s="43" t="e">
        <f t="shared" ca="1" si="227"/>
        <v>#DIV/0!</v>
      </c>
      <c r="AB897" s="202" t="e">
        <f t="shared" ca="1" si="228"/>
        <v>#DIV/0!</v>
      </c>
      <c r="AC897" s="44" t="e">
        <f t="shared" si="229"/>
        <v>#DIV/0!</v>
      </c>
      <c r="AD897" s="868"/>
      <c r="AE897" s="871"/>
      <c r="AF897" s="871"/>
      <c r="AG897" s="868"/>
      <c r="AH897" s="868"/>
      <c r="AI897" s="868"/>
      <c r="AJ897" s="868"/>
      <c r="AK897" s="181" t="str">
        <f t="shared" ca="1" si="230"/>
        <v>TERMINO</v>
      </c>
      <c r="AL897" s="441"/>
      <c r="AM897" s="433"/>
      <c r="AN897" s="848" t="str">
        <f>IFERROR(VLOOKUP(E897,'liquidaciones '!$B$2:$C$1048576,2,0),"NO")</f>
        <v>NO</v>
      </c>
      <c r="AO897" s="944" t="str">
        <f>IFERROR(VLOOKUP(E897,'liquidaciones '!$B$2:$I$1048576,8,0),"")</f>
        <v/>
      </c>
      <c r="AP897" s="433"/>
      <c r="AQ897" s="433"/>
      <c r="AR897" s="1069"/>
      <c r="AS897" s="1042"/>
      <c r="AT897" s="964"/>
      <c r="AU897" s="964"/>
      <c r="AV897" s="964"/>
    </row>
    <row r="898" spans="3:48" x14ac:dyDescent="0.25">
      <c r="C898" s="867"/>
      <c r="E898" s="868"/>
      <c r="F898" s="441"/>
      <c r="G898" s="868"/>
      <c r="H898" s="1005"/>
      <c r="I898" s="93"/>
      <c r="J898" s="869"/>
      <c r="K898" s="295"/>
      <c r="L898" s="546"/>
      <c r="M898" s="870"/>
      <c r="N898" s="870"/>
      <c r="O898" s="127">
        <f>COUNTA(Modificaciones!I898,Modificaciones!K898,Modificaciones!M898,Modificaciones!O898)</f>
        <v>0</v>
      </c>
      <c r="P898" s="128">
        <f>VLOOKUP(E898,Modificaciones!$B$7:$Q$1819,16,0)</f>
        <v>0</v>
      </c>
      <c r="Q898" s="129">
        <f>COUNTA(Modificaciones!S898,Modificaciones!U898,Modificaciones!W898,Modificaciones!Y898)</f>
        <v>0</v>
      </c>
      <c r="R898" s="130" t="str">
        <f>IF(Modificaciones!Z898=0,"",VLOOKUP(E898,Modificaciones!$B$7:$AA$1419,25,0))</f>
        <v/>
      </c>
      <c r="S898" s="131" t="str">
        <f>IF(Modificaciones!AA874=0,"",VLOOKUP(#REF!,Modificaciones!$B$7:$AA$1419,26,0))</f>
        <v/>
      </c>
      <c r="T898" s="855">
        <f t="shared" si="222"/>
        <v>0</v>
      </c>
      <c r="U898" s="62">
        <f t="shared" si="223"/>
        <v>0</v>
      </c>
      <c r="V898" s="172">
        <f>VLOOKUP(E898,Modificaciones!$B$7:$AU$819,46,0)</f>
        <v>0</v>
      </c>
      <c r="W898" s="93">
        <f t="shared" si="224"/>
        <v>0</v>
      </c>
      <c r="X898" s="1041"/>
      <c r="Y898" s="852" t="e">
        <f t="shared" si="225"/>
        <v>#DIV/0!</v>
      </c>
      <c r="Z898" s="42" t="e">
        <f t="shared" ca="1" si="226"/>
        <v>#DIV/0!</v>
      </c>
      <c r="AA898" s="43" t="e">
        <f t="shared" ca="1" si="227"/>
        <v>#DIV/0!</v>
      </c>
      <c r="AB898" s="202" t="e">
        <f t="shared" ca="1" si="228"/>
        <v>#DIV/0!</v>
      </c>
      <c r="AC898" s="44" t="e">
        <f t="shared" si="229"/>
        <v>#DIV/0!</v>
      </c>
      <c r="AD898" s="868"/>
      <c r="AE898" s="871"/>
      <c r="AF898" s="871"/>
      <c r="AG898" s="868"/>
      <c r="AH898" s="868"/>
      <c r="AI898" s="868"/>
      <c r="AJ898" s="868"/>
      <c r="AK898" s="181" t="str">
        <f t="shared" ca="1" si="230"/>
        <v>TERMINO</v>
      </c>
      <c r="AL898" s="441"/>
      <c r="AM898" s="433"/>
      <c r="AN898" s="848" t="str">
        <f>IFERROR(VLOOKUP(E898,'liquidaciones '!$B$2:$C$1048576,2,0),"NO")</f>
        <v>NO</v>
      </c>
      <c r="AO898" s="944" t="str">
        <f>IFERROR(VLOOKUP(E898,'liquidaciones '!$B$2:$I$1048576,8,0),"")</f>
        <v/>
      </c>
      <c r="AP898" s="433"/>
      <c r="AQ898" s="433"/>
      <c r="AR898" s="1069"/>
      <c r="AS898" s="1042"/>
      <c r="AT898" s="964"/>
      <c r="AU898" s="964"/>
      <c r="AV898" s="964"/>
    </row>
    <row r="899" spans="3:48" x14ac:dyDescent="0.25">
      <c r="C899" s="867"/>
      <c r="E899" s="868"/>
      <c r="F899" s="441"/>
      <c r="G899" s="868"/>
      <c r="H899" s="1005"/>
      <c r="I899" s="93"/>
      <c r="J899" s="869"/>
      <c r="K899" s="295"/>
      <c r="L899" s="546"/>
      <c r="M899" s="870"/>
      <c r="N899" s="870"/>
      <c r="O899" s="127">
        <f>COUNTA(Modificaciones!I899,Modificaciones!K899,Modificaciones!M899,Modificaciones!O899)</f>
        <v>0</v>
      </c>
      <c r="P899" s="128">
        <f>VLOOKUP(E899,Modificaciones!$B$7:$Q$1819,16,0)</f>
        <v>0</v>
      </c>
      <c r="Q899" s="129">
        <f>COUNTA(Modificaciones!S899,Modificaciones!U899,Modificaciones!W899,Modificaciones!Y899)</f>
        <v>0</v>
      </c>
      <c r="R899" s="130" t="str">
        <f>IF(Modificaciones!Z899=0,"",VLOOKUP(E899,Modificaciones!$B$7:$AA$1419,25,0))</f>
        <v/>
      </c>
      <c r="S899" s="131" t="str">
        <f>IF(Modificaciones!AA875=0,"",VLOOKUP(#REF!,Modificaciones!$B$7:$AA$1419,26,0))</f>
        <v/>
      </c>
      <c r="T899" s="855">
        <f t="shared" si="222"/>
        <v>0</v>
      </c>
      <c r="U899" s="62">
        <f t="shared" si="223"/>
        <v>0</v>
      </c>
      <c r="V899" s="172">
        <f>VLOOKUP(E899,Modificaciones!$B$7:$AU$819,46,0)</f>
        <v>0</v>
      </c>
      <c r="W899" s="93">
        <f t="shared" si="224"/>
        <v>0</v>
      </c>
      <c r="X899" s="1041"/>
      <c r="Y899" s="852" t="e">
        <f t="shared" si="225"/>
        <v>#DIV/0!</v>
      </c>
      <c r="Z899" s="42" t="e">
        <f t="shared" ca="1" si="226"/>
        <v>#DIV/0!</v>
      </c>
      <c r="AA899" s="43" t="e">
        <f t="shared" ca="1" si="227"/>
        <v>#DIV/0!</v>
      </c>
      <c r="AB899" s="202" t="e">
        <f t="shared" ca="1" si="228"/>
        <v>#DIV/0!</v>
      </c>
      <c r="AC899" s="44" t="e">
        <f t="shared" si="229"/>
        <v>#DIV/0!</v>
      </c>
      <c r="AD899" s="868"/>
      <c r="AE899" s="871"/>
      <c r="AF899" s="871"/>
      <c r="AG899" s="868"/>
      <c r="AH899" s="868"/>
      <c r="AI899" s="868"/>
      <c r="AJ899" s="868"/>
      <c r="AK899" s="181" t="str">
        <f t="shared" ca="1" si="230"/>
        <v>TERMINO</v>
      </c>
      <c r="AL899" s="441"/>
      <c r="AM899" s="433"/>
      <c r="AN899" s="848" t="str">
        <f>IFERROR(VLOOKUP(E899,'liquidaciones '!$B$2:$C$1048576,2,0),"NO")</f>
        <v>NO</v>
      </c>
      <c r="AO899" s="944" t="str">
        <f>IFERROR(VLOOKUP(E899,'liquidaciones '!$B$2:$I$1048576,8,0),"")</f>
        <v/>
      </c>
      <c r="AP899" s="433"/>
      <c r="AQ899" s="433"/>
      <c r="AR899" s="1069"/>
      <c r="AS899" s="1042"/>
      <c r="AT899" s="964"/>
      <c r="AU899" s="964"/>
      <c r="AV899" s="964"/>
    </row>
    <row r="900" spans="3:48" x14ac:dyDescent="0.25">
      <c r="C900" s="867"/>
      <c r="E900" s="868"/>
      <c r="F900" s="441"/>
      <c r="G900" s="868"/>
      <c r="H900" s="1005"/>
      <c r="I900" s="93"/>
      <c r="J900" s="869"/>
      <c r="K900" s="295"/>
      <c r="L900" s="546"/>
      <c r="M900" s="870"/>
      <c r="N900" s="870"/>
      <c r="O900" s="127">
        <f>COUNTA(Modificaciones!I900,Modificaciones!K900,Modificaciones!M900,Modificaciones!O900)</f>
        <v>0</v>
      </c>
      <c r="P900" s="128">
        <f>VLOOKUP(E900,Modificaciones!$B$7:$Q$1819,16,0)</f>
        <v>0</v>
      </c>
      <c r="Q900" s="129">
        <f>COUNTA(Modificaciones!S900,Modificaciones!U900,Modificaciones!W900,Modificaciones!Y900)</f>
        <v>0</v>
      </c>
      <c r="R900" s="130" t="str">
        <f>IF(Modificaciones!Z900=0,"",VLOOKUP(E900,Modificaciones!$B$7:$AA$1419,25,0))</f>
        <v/>
      </c>
      <c r="S900" s="131" t="str">
        <f>IF(Modificaciones!AA876=0,"",VLOOKUP(#REF!,Modificaciones!$B$7:$AA$1419,26,0))</f>
        <v/>
      </c>
      <c r="T900" s="855">
        <f t="shared" ref="T900:T963" si="231">MAX(N900,S900)</f>
        <v>0</v>
      </c>
      <c r="U900" s="62">
        <f t="shared" ref="U900:U963" si="232">I900+P900</f>
        <v>0</v>
      </c>
      <c r="V900" s="172">
        <f>VLOOKUP(E900,Modificaciones!$B$7:$AU$819,46,0)</f>
        <v>0</v>
      </c>
      <c r="W900" s="93">
        <f t="shared" ref="W900:W963" si="233">U900-V900</f>
        <v>0</v>
      </c>
      <c r="X900" s="1041"/>
      <c r="Y900" s="852" t="e">
        <f t="shared" ref="Y900:Y963" si="234">(V900*100%)/U900</f>
        <v>#DIV/0!</v>
      </c>
      <c r="Z900" s="42" t="e">
        <f t="shared" ref="Z900:Z963" ca="1" si="235">IF((($F$3-M900)*100%/(T900-M900))&gt;100%,100%,(($F$3-M900)*100%/(T900-M900)))</f>
        <v>#DIV/0!</v>
      </c>
      <c r="AA900" s="43" t="e">
        <f t="shared" ref="AA900:AA963" ca="1" si="236">Z900-Y900</f>
        <v>#DIV/0!</v>
      </c>
      <c r="AB900" s="202" t="e">
        <f t="shared" ref="AB900:AB963" ca="1" si="237">IF(Z900&lt;100%,T900-$F$3,"")</f>
        <v>#DIV/0!</v>
      </c>
      <c r="AC900" s="44" t="e">
        <f t="shared" ref="AC900:AC963" si="238">IF(Y900&lt;=99.9%,"NO","SI")</f>
        <v>#DIV/0!</v>
      </c>
      <c r="AD900" s="868"/>
      <c r="AE900" s="871"/>
      <c r="AF900" s="871"/>
      <c r="AG900" s="868"/>
      <c r="AH900" s="868"/>
      <c r="AI900" s="868"/>
      <c r="AJ900" s="868"/>
      <c r="AK900" s="181" t="str">
        <f t="shared" ref="AK900:AK963" ca="1" si="239">IF(T900&gt;=$F$3,"EN EJECUCIÓN","TERMINO")</f>
        <v>TERMINO</v>
      </c>
      <c r="AL900" s="441"/>
      <c r="AM900" s="433"/>
      <c r="AN900" s="848" t="str">
        <f>IFERROR(VLOOKUP(E900,'liquidaciones '!$B$2:$C$1048576,2,0),"NO")</f>
        <v>NO</v>
      </c>
      <c r="AO900" s="944" t="str">
        <f>IFERROR(VLOOKUP(E900,'liquidaciones '!$B$2:$I$1048576,8,0),"")</f>
        <v/>
      </c>
      <c r="AP900" s="433"/>
      <c r="AQ900" s="433"/>
      <c r="AR900" s="1069"/>
      <c r="AS900" s="1042"/>
      <c r="AT900" s="964"/>
      <c r="AU900" s="964"/>
      <c r="AV900" s="964"/>
    </row>
    <row r="901" spans="3:48" x14ac:dyDescent="0.25">
      <c r="C901" s="867"/>
      <c r="E901" s="868"/>
      <c r="F901" s="441"/>
      <c r="G901" s="868"/>
      <c r="H901" s="1005"/>
      <c r="I901" s="93"/>
      <c r="J901" s="869"/>
      <c r="K901" s="295"/>
      <c r="L901" s="546"/>
      <c r="M901" s="870"/>
      <c r="N901" s="870"/>
      <c r="O901" s="127">
        <f>COUNTA(Modificaciones!I901,Modificaciones!K901,Modificaciones!M901,Modificaciones!O901)</f>
        <v>0</v>
      </c>
      <c r="P901" s="128">
        <f>VLOOKUP(E901,Modificaciones!$B$7:$Q$1819,16,0)</f>
        <v>0</v>
      </c>
      <c r="Q901" s="129">
        <f>COUNTA(Modificaciones!S901,Modificaciones!U901,Modificaciones!W901,Modificaciones!Y901)</f>
        <v>0</v>
      </c>
      <c r="R901" s="130" t="str">
        <f>IF(Modificaciones!Z901=0,"",VLOOKUP(E901,Modificaciones!$B$7:$AA$1419,25,0))</f>
        <v/>
      </c>
      <c r="S901" s="131" t="str">
        <f>IF(Modificaciones!AA877=0,"",VLOOKUP(#REF!,Modificaciones!$B$7:$AA$1419,26,0))</f>
        <v/>
      </c>
      <c r="T901" s="855">
        <f t="shared" si="231"/>
        <v>0</v>
      </c>
      <c r="U901" s="62">
        <f t="shared" si="232"/>
        <v>0</v>
      </c>
      <c r="V901" s="172">
        <f>VLOOKUP(E901,Modificaciones!$B$7:$AU$819,46,0)</f>
        <v>0</v>
      </c>
      <c r="W901" s="93">
        <f t="shared" si="233"/>
        <v>0</v>
      </c>
      <c r="X901" s="1041"/>
      <c r="Y901" s="852" t="e">
        <f t="shared" si="234"/>
        <v>#DIV/0!</v>
      </c>
      <c r="Z901" s="42" t="e">
        <f t="shared" ca="1" si="235"/>
        <v>#DIV/0!</v>
      </c>
      <c r="AA901" s="43" t="e">
        <f t="shared" ca="1" si="236"/>
        <v>#DIV/0!</v>
      </c>
      <c r="AB901" s="202" t="e">
        <f t="shared" ca="1" si="237"/>
        <v>#DIV/0!</v>
      </c>
      <c r="AC901" s="44" t="e">
        <f t="shared" si="238"/>
        <v>#DIV/0!</v>
      </c>
      <c r="AD901" s="868"/>
      <c r="AE901" s="871"/>
      <c r="AF901" s="871"/>
      <c r="AG901" s="868"/>
      <c r="AH901" s="868"/>
      <c r="AI901" s="868"/>
      <c r="AJ901" s="868"/>
      <c r="AK901" s="181" t="str">
        <f t="shared" ca="1" si="239"/>
        <v>TERMINO</v>
      </c>
      <c r="AL901" s="441"/>
      <c r="AM901" s="433"/>
      <c r="AN901" s="848" t="str">
        <f>IFERROR(VLOOKUP(E901,'liquidaciones '!$B$2:$C$1048576,2,0),"NO")</f>
        <v>NO</v>
      </c>
      <c r="AO901" s="944" t="str">
        <f>IFERROR(VLOOKUP(E901,'liquidaciones '!$B$2:$I$1048576,8,0),"")</f>
        <v/>
      </c>
      <c r="AP901" s="433"/>
      <c r="AQ901" s="433"/>
      <c r="AR901" s="1069"/>
      <c r="AS901" s="1042"/>
      <c r="AT901" s="964"/>
      <c r="AU901" s="964"/>
      <c r="AV901" s="964"/>
    </row>
    <row r="902" spans="3:48" x14ac:dyDescent="0.25">
      <c r="C902" s="867"/>
      <c r="E902" s="868"/>
      <c r="F902" s="441"/>
      <c r="G902" s="868"/>
      <c r="H902" s="1005"/>
      <c r="I902" s="93"/>
      <c r="J902" s="869"/>
      <c r="K902" s="295"/>
      <c r="L902" s="546"/>
      <c r="M902" s="870"/>
      <c r="N902" s="870"/>
      <c r="O902" s="127">
        <f>COUNTA(Modificaciones!I902,Modificaciones!K902,Modificaciones!M902,Modificaciones!O902)</f>
        <v>0</v>
      </c>
      <c r="P902" s="128">
        <f>VLOOKUP(E902,Modificaciones!$B$7:$Q$1819,16,0)</f>
        <v>0</v>
      </c>
      <c r="Q902" s="129">
        <f>COUNTA(Modificaciones!S902,Modificaciones!U902,Modificaciones!W902,Modificaciones!Y902)</f>
        <v>0</v>
      </c>
      <c r="R902" s="130" t="str">
        <f>IF(Modificaciones!Z902=0,"",VLOOKUP(E902,Modificaciones!$B$7:$AA$1419,25,0))</f>
        <v/>
      </c>
      <c r="S902" s="131" t="str">
        <f>IF(Modificaciones!AA878=0,"",VLOOKUP(#REF!,Modificaciones!$B$7:$AA$1419,26,0))</f>
        <v/>
      </c>
      <c r="T902" s="855">
        <f t="shared" si="231"/>
        <v>0</v>
      </c>
      <c r="U902" s="62">
        <f t="shared" si="232"/>
        <v>0</v>
      </c>
      <c r="V902" s="172">
        <f>VLOOKUP(E902,Modificaciones!$B$7:$AU$819,46,0)</f>
        <v>0</v>
      </c>
      <c r="W902" s="93">
        <f t="shared" si="233"/>
        <v>0</v>
      </c>
      <c r="X902" s="1041"/>
      <c r="Y902" s="852" t="e">
        <f t="shared" si="234"/>
        <v>#DIV/0!</v>
      </c>
      <c r="Z902" s="42" t="e">
        <f t="shared" ca="1" si="235"/>
        <v>#DIV/0!</v>
      </c>
      <c r="AA902" s="43" t="e">
        <f t="shared" ca="1" si="236"/>
        <v>#DIV/0!</v>
      </c>
      <c r="AB902" s="202" t="e">
        <f t="shared" ca="1" si="237"/>
        <v>#DIV/0!</v>
      </c>
      <c r="AC902" s="44" t="e">
        <f t="shared" si="238"/>
        <v>#DIV/0!</v>
      </c>
      <c r="AD902" s="868"/>
      <c r="AE902" s="871"/>
      <c r="AF902" s="871"/>
      <c r="AG902" s="868"/>
      <c r="AH902" s="868"/>
      <c r="AI902" s="868"/>
      <c r="AJ902" s="868"/>
      <c r="AK902" s="181" t="str">
        <f t="shared" ca="1" si="239"/>
        <v>TERMINO</v>
      </c>
      <c r="AL902" s="441"/>
      <c r="AM902" s="433"/>
      <c r="AN902" s="848" t="str">
        <f>IFERROR(VLOOKUP(E902,'liquidaciones '!$B$2:$C$1048576,2,0),"NO")</f>
        <v>NO</v>
      </c>
      <c r="AO902" s="944" t="str">
        <f>IFERROR(VLOOKUP(E902,'liquidaciones '!$B$2:$I$1048576,8,0),"")</f>
        <v/>
      </c>
      <c r="AP902" s="433"/>
      <c r="AQ902" s="433"/>
      <c r="AR902" s="1069"/>
      <c r="AS902" s="1042"/>
      <c r="AT902" s="964"/>
      <c r="AU902" s="964"/>
      <c r="AV902" s="964"/>
    </row>
    <row r="903" spans="3:48" x14ac:dyDescent="0.25">
      <c r="C903" s="867"/>
      <c r="E903" s="868"/>
      <c r="F903" s="441"/>
      <c r="G903" s="868"/>
      <c r="H903" s="1005"/>
      <c r="I903" s="93"/>
      <c r="J903" s="869"/>
      <c r="K903" s="295"/>
      <c r="L903" s="546"/>
      <c r="M903" s="870"/>
      <c r="N903" s="870"/>
      <c r="O903" s="127">
        <f>COUNTA(Modificaciones!I903,Modificaciones!K903,Modificaciones!M903,Modificaciones!O903)</f>
        <v>0</v>
      </c>
      <c r="P903" s="128">
        <f>VLOOKUP(E903,Modificaciones!$B$7:$Q$1819,16,0)</f>
        <v>0</v>
      </c>
      <c r="Q903" s="129">
        <f>COUNTA(Modificaciones!S903,Modificaciones!U903,Modificaciones!W903,Modificaciones!Y903)</f>
        <v>0</v>
      </c>
      <c r="R903" s="130" t="str">
        <f>IF(Modificaciones!Z903=0,"",VLOOKUP(E903,Modificaciones!$B$7:$AA$1419,25,0))</f>
        <v/>
      </c>
      <c r="S903" s="131" t="str">
        <f>IF(Modificaciones!AA879=0,"",VLOOKUP(#REF!,Modificaciones!$B$7:$AA$1419,26,0))</f>
        <v/>
      </c>
      <c r="T903" s="855">
        <f t="shared" si="231"/>
        <v>0</v>
      </c>
      <c r="U903" s="62">
        <f t="shared" si="232"/>
        <v>0</v>
      </c>
      <c r="V903" s="172">
        <f>VLOOKUP(E903,Modificaciones!$B$7:$AU$819,46,0)</f>
        <v>0</v>
      </c>
      <c r="W903" s="93">
        <f t="shared" si="233"/>
        <v>0</v>
      </c>
      <c r="X903" s="1041"/>
      <c r="Y903" s="852" t="e">
        <f t="shared" si="234"/>
        <v>#DIV/0!</v>
      </c>
      <c r="Z903" s="42" t="e">
        <f t="shared" ca="1" si="235"/>
        <v>#DIV/0!</v>
      </c>
      <c r="AA903" s="43" t="e">
        <f t="shared" ca="1" si="236"/>
        <v>#DIV/0!</v>
      </c>
      <c r="AB903" s="202" t="e">
        <f t="shared" ca="1" si="237"/>
        <v>#DIV/0!</v>
      </c>
      <c r="AC903" s="44" t="e">
        <f t="shared" si="238"/>
        <v>#DIV/0!</v>
      </c>
      <c r="AD903" s="868"/>
      <c r="AE903" s="871"/>
      <c r="AF903" s="871"/>
      <c r="AG903" s="868"/>
      <c r="AH903" s="868"/>
      <c r="AI903" s="868"/>
      <c r="AJ903" s="868"/>
      <c r="AK903" s="181" t="str">
        <f t="shared" ca="1" si="239"/>
        <v>TERMINO</v>
      </c>
      <c r="AL903" s="441"/>
      <c r="AM903" s="433"/>
      <c r="AN903" s="848" t="str">
        <f>IFERROR(VLOOKUP(E903,'liquidaciones '!$B$2:$C$1048576,2,0),"NO")</f>
        <v>NO</v>
      </c>
      <c r="AO903" s="944" t="str">
        <f>IFERROR(VLOOKUP(E903,'liquidaciones '!$B$2:$I$1048576,8,0),"")</f>
        <v/>
      </c>
      <c r="AP903" s="433"/>
      <c r="AQ903" s="433"/>
      <c r="AR903" s="1069"/>
      <c r="AS903" s="1042"/>
      <c r="AT903" s="964"/>
      <c r="AU903" s="964"/>
      <c r="AV903" s="964"/>
    </row>
    <row r="904" spans="3:48" x14ac:dyDescent="0.25">
      <c r="C904" s="867"/>
      <c r="E904" s="868"/>
      <c r="F904" s="441"/>
      <c r="G904" s="868"/>
      <c r="H904" s="1005"/>
      <c r="I904" s="93"/>
      <c r="J904" s="869"/>
      <c r="K904" s="295"/>
      <c r="L904" s="546"/>
      <c r="M904" s="870"/>
      <c r="N904" s="870"/>
      <c r="O904" s="127">
        <f>COUNTA(Modificaciones!I904,Modificaciones!K904,Modificaciones!M904,Modificaciones!O904)</f>
        <v>0</v>
      </c>
      <c r="P904" s="128">
        <f>VLOOKUP(E904,Modificaciones!$B$7:$Q$1819,16,0)</f>
        <v>0</v>
      </c>
      <c r="Q904" s="129">
        <f>COUNTA(Modificaciones!S904,Modificaciones!U904,Modificaciones!W904,Modificaciones!Y904)</f>
        <v>0</v>
      </c>
      <c r="R904" s="130" t="str">
        <f>IF(Modificaciones!Z904=0,"",VLOOKUP(E904,Modificaciones!$B$7:$AA$1419,25,0))</f>
        <v/>
      </c>
      <c r="S904" s="131" t="str">
        <f>IF(Modificaciones!AA880=0,"",VLOOKUP(#REF!,Modificaciones!$B$7:$AA$1419,26,0))</f>
        <v/>
      </c>
      <c r="T904" s="855">
        <f t="shared" si="231"/>
        <v>0</v>
      </c>
      <c r="U904" s="62">
        <f t="shared" si="232"/>
        <v>0</v>
      </c>
      <c r="V904" s="172">
        <f>VLOOKUP(E904,Modificaciones!$B$7:$AU$819,46,0)</f>
        <v>0</v>
      </c>
      <c r="W904" s="93">
        <f t="shared" si="233"/>
        <v>0</v>
      </c>
      <c r="X904" s="1041"/>
      <c r="Y904" s="852" t="e">
        <f t="shared" si="234"/>
        <v>#DIV/0!</v>
      </c>
      <c r="Z904" s="42" t="e">
        <f t="shared" ca="1" si="235"/>
        <v>#DIV/0!</v>
      </c>
      <c r="AA904" s="43" t="e">
        <f t="shared" ca="1" si="236"/>
        <v>#DIV/0!</v>
      </c>
      <c r="AB904" s="202" t="e">
        <f t="shared" ca="1" si="237"/>
        <v>#DIV/0!</v>
      </c>
      <c r="AC904" s="44" t="e">
        <f t="shared" si="238"/>
        <v>#DIV/0!</v>
      </c>
      <c r="AD904" s="868"/>
      <c r="AE904" s="871"/>
      <c r="AF904" s="871"/>
      <c r="AG904" s="868"/>
      <c r="AH904" s="868"/>
      <c r="AI904" s="868"/>
      <c r="AJ904" s="868"/>
      <c r="AK904" s="181" t="str">
        <f t="shared" ca="1" si="239"/>
        <v>TERMINO</v>
      </c>
      <c r="AL904" s="441"/>
      <c r="AM904" s="433"/>
      <c r="AN904" s="848" t="str">
        <f>IFERROR(VLOOKUP(E904,'liquidaciones '!$B$2:$C$1048576,2,0),"NO")</f>
        <v>NO</v>
      </c>
      <c r="AO904" s="944" t="str">
        <f>IFERROR(VLOOKUP(E904,'liquidaciones '!$B$2:$I$1048576,8,0),"")</f>
        <v/>
      </c>
      <c r="AP904" s="433"/>
      <c r="AQ904" s="433"/>
      <c r="AR904" s="1069"/>
      <c r="AS904" s="1042"/>
      <c r="AT904" s="964"/>
      <c r="AU904" s="964"/>
      <c r="AV904" s="964"/>
    </row>
    <row r="905" spans="3:48" x14ac:dyDescent="0.25">
      <c r="C905" s="867"/>
      <c r="E905" s="868"/>
      <c r="F905" s="441"/>
      <c r="G905" s="868"/>
      <c r="H905" s="1005"/>
      <c r="I905" s="93"/>
      <c r="J905" s="869"/>
      <c r="K905" s="295"/>
      <c r="L905" s="546"/>
      <c r="M905" s="870"/>
      <c r="N905" s="870"/>
      <c r="O905" s="127">
        <f>COUNTA(Modificaciones!I905,Modificaciones!K905,Modificaciones!M905,Modificaciones!O905)</f>
        <v>0</v>
      </c>
      <c r="P905" s="128">
        <f>VLOOKUP(E905,Modificaciones!$B$7:$Q$1819,16,0)</f>
        <v>0</v>
      </c>
      <c r="Q905" s="129">
        <f>COUNTA(Modificaciones!S905,Modificaciones!U905,Modificaciones!W905,Modificaciones!Y905)</f>
        <v>0</v>
      </c>
      <c r="R905" s="130" t="str">
        <f>IF(Modificaciones!Z905=0,"",VLOOKUP(E905,Modificaciones!$B$7:$AA$1419,25,0))</f>
        <v/>
      </c>
      <c r="S905" s="131" t="str">
        <f>IF(Modificaciones!AA881=0,"",VLOOKUP(#REF!,Modificaciones!$B$7:$AA$1419,26,0))</f>
        <v/>
      </c>
      <c r="T905" s="855">
        <f t="shared" si="231"/>
        <v>0</v>
      </c>
      <c r="U905" s="62">
        <f t="shared" si="232"/>
        <v>0</v>
      </c>
      <c r="V905" s="172">
        <f>VLOOKUP(E905,Modificaciones!$B$7:$AU$819,46,0)</f>
        <v>0</v>
      </c>
      <c r="W905" s="93">
        <f t="shared" si="233"/>
        <v>0</v>
      </c>
      <c r="X905" s="1041"/>
      <c r="Y905" s="852" t="e">
        <f t="shared" si="234"/>
        <v>#DIV/0!</v>
      </c>
      <c r="Z905" s="42" t="e">
        <f t="shared" ca="1" si="235"/>
        <v>#DIV/0!</v>
      </c>
      <c r="AA905" s="43" t="e">
        <f t="shared" ca="1" si="236"/>
        <v>#DIV/0!</v>
      </c>
      <c r="AB905" s="202" t="e">
        <f t="shared" ca="1" si="237"/>
        <v>#DIV/0!</v>
      </c>
      <c r="AC905" s="44" t="e">
        <f t="shared" si="238"/>
        <v>#DIV/0!</v>
      </c>
      <c r="AD905" s="868"/>
      <c r="AE905" s="871"/>
      <c r="AF905" s="871"/>
      <c r="AG905" s="868"/>
      <c r="AH905" s="868"/>
      <c r="AI905" s="868"/>
      <c r="AJ905" s="868"/>
      <c r="AK905" s="181" t="str">
        <f t="shared" ca="1" si="239"/>
        <v>TERMINO</v>
      </c>
      <c r="AL905" s="441"/>
      <c r="AM905" s="433"/>
      <c r="AN905" s="848" t="str">
        <f>IFERROR(VLOOKUP(E905,'liquidaciones '!$B$2:$C$1048576,2,0),"NO")</f>
        <v>NO</v>
      </c>
      <c r="AO905" s="944" t="str">
        <f>IFERROR(VLOOKUP(E905,'liquidaciones '!$B$2:$I$1048576,8,0),"")</f>
        <v/>
      </c>
      <c r="AP905" s="433"/>
      <c r="AQ905" s="433"/>
      <c r="AR905" s="1069"/>
      <c r="AS905" s="1042"/>
      <c r="AT905" s="964"/>
      <c r="AU905" s="964"/>
      <c r="AV905" s="964"/>
    </row>
    <row r="906" spans="3:48" x14ac:dyDescent="0.25">
      <c r="C906" s="867"/>
      <c r="E906" s="868"/>
      <c r="F906" s="441"/>
      <c r="G906" s="868"/>
      <c r="H906" s="1005"/>
      <c r="I906" s="93"/>
      <c r="J906" s="869"/>
      <c r="K906" s="295"/>
      <c r="L906" s="546"/>
      <c r="M906" s="870"/>
      <c r="N906" s="870"/>
      <c r="O906" s="127">
        <f>COUNTA(Modificaciones!I906,Modificaciones!K906,Modificaciones!M906,Modificaciones!O906)</f>
        <v>0</v>
      </c>
      <c r="P906" s="128">
        <f>VLOOKUP(E906,Modificaciones!$B$7:$Q$1819,16,0)</f>
        <v>0</v>
      </c>
      <c r="Q906" s="129">
        <f>COUNTA(Modificaciones!S906,Modificaciones!U906,Modificaciones!W906,Modificaciones!Y906)</f>
        <v>0</v>
      </c>
      <c r="R906" s="130" t="str">
        <f>IF(Modificaciones!Z906=0,"",VLOOKUP(E906,Modificaciones!$B$7:$AA$1419,25,0))</f>
        <v/>
      </c>
      <c r="S906" s="131" t="str">
        <f>IF(Modificaciones!AA882=0,"",VLOOKUP(#REF!,Modificaciones!$B$7:$AA$1419,26,0))</f>
        <v/>
      </c>
      <c r="T906" s="855">
        <f t="shared" si="231"/>
        <v>0</v>
      </c>
      <c r="U906" s="62">
        <f t="shared" si="232"/>
        <v>0</v>
      </c>
      <c r="V906" s="172">
        <f>VLOOKUP(E906,Modificaciones!$B$7:$AU$819,46,0)</f>
        <v>0</v>
      </c>
      <c r="W906" s="93">
        <f t="shared" si="233"/>
        <v>0</v>
      </c>
      <c r="X906" s="1041"/>
      <c r="Y906" s="852" t="e">
        <f t="shared" si="234"/>
        <v>#DIV/0!</v>
      </c>
      <c r="Z906" s="42" t="e">
        <f t="shared" ca="1" si="235"/>
        <v>#DIV/0!</v>
      </c>
      <c r="AA906" s="43" t="e">
        <f t="shared" ca="1" si="236"/>
        <v>#DIV/0!</v>
      </c>
      <c r="AB906" s="202" t="e">
        <f t="shared" ca="1" si="237"/>
        <v>#DIV/0!</v>
      </c>
      <c r="AC906" s="44" t="e">
        <f t="shared" si="238"/>
        <v>#DIV/0!</v>
      </c>
      <c r="AD906" s="868"/>
      <c r="AE906" s="871"/>
      <c r="AF906" s="871"/>
      <c r="AG906" s="868"/>
      <c r="AH906" s="868"/>
      <c r="AI906" s="868"/>
      <c r="AJ906" s="868"/>
      <c r="AK906" s="181" t="str">
        <f t="shared" ca="1" si="239"/>
        <v>TERMINO</v>
      </c>
      <c r="AL906" s="441"/>
      <c r="AM906" s="433"/>
      <c r="AN906" s="848" t="str">
        <f>IFERROR(VLOOKUP(E906,'liquidaciones '!$B$2:$C$1048576,2,0),"NO")</f>
        <v>NO</v>
      </c>
      <c r="AO906" s="944" t="str">
        <f>IFERROR(VLOOKUP(E906,'liquidaciones '!$B$2:$I$1048576,8,0),"")</f>
        <v/>
      </c>
      <c r="AP906" s="433"/>
      <c r="AQ906" s="433"/>
      <c r="AR906" s="1069"/>
      <c r="AS906" s="1042"/>
      <c r="AT906" s="964"/>
      <c r="AU906" s="964"/>
      <c r="AV906" s="964"/>
    </row>
    <row r="907" spans="3:48" x14ac:dyDescent="0.25">
      <c r="C907" s="867"/>
      <c r="E907" s="868"/>
      <c r="F907" s="441"/>
      <c r="G907" s="868"/>
      <c r="H907" s="1005"/>
      <c r="I907" s="93"/>
      <c r="J907" s="869"/>
      <c r="K907" s="295"/>
      <c r="L907" s="546"/>
      <c r="M907" s="870"/>
      <c r="N907" s="870"/>
      <c r="O907" s="127">
        <f>COUNTA(Modificaciones!I907,Modificaciones!K907,Modificaciones!M907,Modificaciones!O907)</f>
        <v>0</v>
      </c>
      <c r="P907" s="128">
        <f>VLOOKUP(E907,Modificaciones!$B$7:$Q$1819,16,0)</f>
        <v>0</v>
      </c>
      <c r="Q907" s="129">
        <f>COUNTA(Modificaciones!S907,Modificaciones!U907,Modificaciones!W907,Modificaciones!Y907)</f>
        <v>0</v>
      </c>
      <c r="R907" s="130" t="str">
        <f>IF(Modificaciones!Z907=0,"",VLOOKUP(E907,Modificaciones!$B$7:$AA$1419,25,0))</f>
        <v/>
      </c>
      <c r="S907" s="131" t="str">
        <f>IF(Modificaciones!AA883=0,"",VLOOKUP(#REF!,Modificaciones!$B$7:$AA$1419,26,0))</f>
        <v/>
      </c>
      <c r="T907" s="855">
        <f t="shared" si="231"/>
        <v>0</v>
      </c>
      <c r="U907" s="62">
        <f t="shared" si="232"/>
        <v>0</v>
      </c>
      <c r="V907" s="172">
        <f>VLOOKUP(E907,Modificaciones!$B$7:$AU$819,46,0)</f>
        <v>0</v>
      </c>
      <c r="W907" s="93">
        <f t="shared" si="233"/>
        <v>0</v>
      </c>
      <c r="X907" s="1041"/>
      <c r="Y907" s="852" t="e">
        <f t="shared" si="234"/>
        <v>#DIV/0!</v>
      </c>
      <c r="Z907" s="42" t="e">
        <f t="shared" ca="1" si="235"/>
        <v>#DIV/0!</v>
      </c>
      <c r="AA907" s="43" t="e">
        <f t="shared" ca="1" si="236"/>
        <v>#DIV/0!</v>
      </c>
      <c r="AB907" s="202" t="e">
        <f t="shared" ca="1" si="237"/>
        <v>#DIV/0!</v>
      </c>
      <c r="AC907" s="44" t="e">
        <f t="shared" si="238"/>
        <v>#DIV/0!</v>
      </c>
      <c r="AD907" s="868"/>
      <c r="AE907" s="871"/>
      <c r="AF907" s="871"/>
      <c r="AG907" s="868"/>
      <c r="AH907" s="868"/>
      <c r="AI907" s="868"/>
      <c r="AJ907" s="868"/>
      <c r="AK907" s="181" t="str">
        <f t="shared" ca="1" si="239"/>
        <v>TERMINO</v>
      </c>
      <c r="AL907" s="441"/>
      <c r="AM907" s="433"/>
      <c r="AN907" s="848" t="str">
        <f>IFERROR(VLOOKUP(E907,'liquidaciones '!$B$2:$C$1048576,2,0),"NO")</f>
        <v>NO</v>
      </c>
      <c r="AO907" s="944" t="str">
        <f>IFERROR(VLOOKUP(E907,'liquidaciones '!$B$2:$I$1048576,8,0),"")</f>
        <v/>
      </c>
      <c r="AP907" s="433"/>
      <c r="AQ907" s="433"/>
      <c r="AR907" s="1069"/>
      <c r="AS907" s="1042"/>
      <c r="AT907" s="964"/>
      <c r="AU907" s="964"/>
      <c r="AV907" s="964"/>
    </row>
    <row r="908" spans="3:48" x14ac:dyDescent="0.25">
      <c r="C908" s="867"/>
      <c r="E908" s="868"/>
      <c r="F908" s="441"/>
      <c r="G908" s="868"/>
      <c r="H908" s="1005"/>
      <c r="I908" s="93"/>
      <c r="J908" s="869"/>
      <c r="K908" s="295"/>
      <c r="L908" s="546"/>
      <c r="M908" s="870"/>
      <c r="N908" s="870"/>
      <c r="O908" s="127">
        <f>COUNTA(Modificaciones!I908,Modificaciones!K908,Modificaciones!M908,Modificaciones!O908)</f>
        <v>0</v>
      </c>
      <c r="P908" s="128">
        <f>VLOOKUP(E908,Modificaciones!$B$7:$Q$1819,16,0)</f>
        <v>0</v>
      </c>
      <c r="Q908" s="129">
        <f>COUNTA(Modificaciones!S908,Modificaciones!U908,Modificaciones!W908,Modificaciones!Y908)</f>
        <v>0</v>
      </c>
      <c r="R908" s="130" t="str">
        <f>IF(Modificaciones!Z908=0,"",VLOOKUP(E908,Modificaciones!$B$7:$AA$1419,25,0))</f>
        <v/>
      </c>
      <c r="S908" s="131" t="str">
        <f>IF(Modificaciones!AA884=0,"",VLOOKUP(#REF!,Modificaciones!$B$7:$AA$1419,26,0))</f>
        <v/>
      </c>
      <c r="T908" s="855">
        <f t="shared" si="231"/>
        <v>0</v>
      </c>
      <c r="U908" s="62">
        <f t="shared" si="232"/>
        <v>0</v>
      </c>
      <c r="V908" s="172">
        <f>VLOOKUP(E908,Modificaciones!$B$7:$AU$819,46,0)</f>
        <v>0</v>
      </c>
      <c r="W908" s="93">
        <f t="shared" si="233"/>
        <v>0</v>
      </c>
      <c r="X908" s="1041"/>
      <c r="Y908" s="852" t="e">
        <f t="shared" si="234"/>
        <v>#DIV/0!</v>
      </c>
      <c r="Z908" s="42" t="e">
        <f t="shared" ca="1" si="235"/>
        <v>#DIV/0!</v>
      </c>
      <c r="AA908" s="43" t="e">
        <f t="shared" ca="1" si="236"/>
        <v>#DIV/0!</v>
      </c>
      <c r="AB908" s="202" t="e">
        <f t="shared" ca="1" si="237"/>
        <v>#DIV/0!</v>
      </c>
      <c r="AC908" s="44" t="e">
        <f t="shared" si="238"/>
        <v>#DIV/0!</v>
      </c>
      <c r="AD908" s="868"/>
      <c r="AE908" s="871"/>
      <c r="AF908" s="871"/>
      <c r="AG908" s="868"/>
      <c r="AH908" s="868"/>
      <c r="AI908" s="868"/>
      <c r="AJ908" s="868"/>
      <c r="AK908" s="181" t="str">
        <f t="shared" ca="1" si="239"/>
        <v>TERMINO</v>
      </c>
      <c r="AL908" s="441"/>
      <c r="AM908" s="433"/>
      <c r="AN908" s="848" t="str">
        <f>IFERROR(VLOOKUP(E908,'liquidaciones '!$B$2:$C$1048576,2,0),"NO")</f>
        <v>NO</v>
      </c>
      <c r="AO908" s="944" t="str">
        <f>IFERROR(VLOOKUP(E908,'liquidaciones '!$B$2:$I$1048576,8,0),"")</f>
        <v/>
      </c>
      <c r="AP908" s="433"/>
      <c r="AQ908" s="433"/>
      <c r="AR908" s="1069"/>
      <c r="AS908" s="1042"/>
      <c r="AT908" s="964"/>
      <c r="AU908" s="964"/>
      <c r="AV908" s="964"/>
    </row>
    <row r="909" spans="3:48" x14ac:dyDescent="0.25">
      <c r="C909" s="867"/>
      <c r="E909" s="868"/>
      <c r="F909" s="441"/>
      <c r="G909" s="868"/>
      <c r="H909" s="1005"/>
      <c r="I909" s="93"/>
      <c r="J909" s="869"/>
      <c r="K909" s="295"/>
      <c r="L909" s="546"/>
      <c r="M909" s="870"/>
      <c r="N909" s="870"/>
      <c r="O909" s="127">
        <f>COUNTA(Modificaciones!I909,Modificaciones!K909,Modificaciones!M909,Modificaciones!O909)</f>
        <v>0</v>
      </c>
      <c r="P909" s="128">
        <f>VLOOKUP(E909,Modificaciones!$B$7:$Q$1819,16,0)</f>
        <v>0</v>
      </c>
      <c r="Q909" s="129">
        <f>COUNTA(Modificaciones!S909,Modificaciones!U909,Modificaciones!W909,Modificaciones!Y909)</f>
        <v>0</v>
      </c>
      <c r="R909" s="130" t="str">
        <f>IF(Modificaciones!Z909=0,"",VLOOKUP(E909,Modificaciones!$B$7:$AA$1419,25,0))</f>
        <v/>
      </c>
      <c r="S909" s="131" t="str">
        <f>IF(Modificaciones!AA885=0,"",VLOOKUP(#REF!,Modificaciones!$B$7:$AA$1419,26,0))</f>
        <v/>
      </c>
      <c r="T909" s="855">
        <f t="shared" si="231"/>
        <v>0</v>
      </c>
      <c r="U909" s="62">
        <f t="shared" si="232"/>
        <v>0</v>
      </c>
      <c r="V909" s="172">
        <f>VLOOKUP(E909,Modificaciones!$B$7:$AU$819,46,0)</f>
        <v>0</v>
      </c>
      <c r="W909" s="93">
        <f t="shared" si="233"/>
        <v>0</v>
      </c>
      <c r="X909" s="1041"/>
      <c r="Y909" s="852" t="e">
        <f t="shared" si="234"/>
        <v>#DIV/0!</v>
      </c>
      <c r="Z909" s="42" t="e">
        <f t="shared" ca="1" si="235"/>
        <v>#DIV/0!</v>
      </c>
      <c r="AA909" s="43" t="e">
        <f t="shared" ca="1" si="236"/>
        <v>#DIV/0!</v>
      </c>
      <c r="AB909" s="202" t="e">
        <f t="shared" ca="1" si="237"/>
        <v>#DIV/0!</v>
      </c>
      <c r="AC909" s="44" t="e">
        <f t="shared" si="238"/>
        <v>#DIV/0!</v>
      </c>
      <c r="AD909" s="868"/>
      <c r="AE909" s="871"/>
      <c r="AF909" s="871"/>
      <c r="AG909" s="868"/>
      <c r="AH909" s="868"/>
      <c r="AI909" s="868"/>
      <c r="AJ909" s="868"/>
      <c r="AK909" s="181" t="str">
        <f t="shared" ca="1" si="239"/>
        <v>TERMINO</v>
      </c>
      <c r="AL909" s="441"/>
      <c r="AM909" s="433"/>
      <c r="AN909" s="848" t="str">
        <f>IFERROR(VLOOKUP(E909,'liquidaciones '!$B$2:$C$1048576,2,0),"NO")</f>
        <v>NO</v>
      </c>
      <c r="AO909" s="944" t="str">
        <f>IFERROR(VLOOKUP(E909,'liquidaciones '!$B$2:$I$1048576,8,0),"")</f>
        <v/>
      </c>
      <c r="AP909" s="433"/>
      <c r="AQ909" s="433"/>
      <c r="AR909" s="1069"/>
      <c r="AS909" s="1042"/>
      <c r="AT909" s="964"/>
      <c r="AU909" s="964"/>
      <c r="AV909" s="964"/>
    </row>
    <row r="910" spans="3:48" x14ac:dyDescent="0.25">
      <c r="C910" s="867"/>
      <c r="E910" s="868"/>
      <c r="F910" s="441"/>
      <c r="G910" s="868"/>
      <c r="H910" s="1005"/>
      <c r="I910" s="93"/>
      <c r="J910" s="869"/>
      <c r="K910" s="295"/>
      <c r="L910" s="546"/>
      <c r="M910" s="870"/>
      <c r="N910" s="870"/>
      <c r="O910" s="127">
        <f>COUNTA(Modificaciones!I910,Modificaciones!K910,Modificaciones!M910,Modificaciones!O910)</f>
        <v>0</v>
      </c>
      <c r="P910" s="128">
        <f>VLOOKUP(E910,Modificaciones!$B$7:$Q$1819,16,0)</f>
        <v>0</v>
      </c>
      <c r="Q910" s="129">
        <f>COUNTA(Modificaciones!S910,Modificaciones!U910,Modificaciones!W910,Modificaciones!Y910)</f>
        <v>0</v>
      </c>
      <c r="R910" s="130" t="str">
        <f>IF(Modificaciones!Z910=0,"",VLOOKUP(E910,Modificaciones!$B$7:$AA$1419,25,0))</f>
        <v/>
      </c>
      <c r="S910" s="131" t="str">
        <f>IF(Modificaciones!AA886=0,"",VLOOKUP(#REF!,Modificaciones!$B$7:$AA$1419,26,0))</f>
        <v/>
      </c>
      <c r="T910" s="855">
        <f t="shared" si="231"/>
        <v>0</v>
      </c>
      <c r="U910" s="62">
        <f t="shared" si="232"/>
        <v>0</v>
      </c>
      <c r="V910" s="172">
        <f>VLOOKUP(E910,Modificaciones!$B$7:$AU$819,46,0)</f>
        <v>0</v>
      </c>
      <c r="W910" s="93">
        <f t="shared" si="233"/>
        <v>0</v>
      </c>
      <c r="X910" s="1041"/>
      <c r="Y910" s="852" t="e">
        <f t="shared" si="234"/>
        <v>#DIV/0!</v>
      </c>
      <c r="Z910" s="42" t="e">
        <f t="shared" ca="1" si="235"/>
        <v>#DIV/0!</v>
      </c>
      <c r="AA910" s="43" t="e">
        <f t="shared" ca="1" si="236"/>
        <v>#DIV/0!</v>
      </c>
      <c r="AB910" s="202" t="e">
        <f t="shared" ca="1" si="237"/>
        <v>#DIV/0!</v>
      </c>
      <c r="AC910" s="44" t="e">
        <f t="shared" si="238"/>
        <v>#DIV/0!</v>
      </c>
      <c r="AD910" s="868"/>
      <c r="AE910" s="871"/>
      <c r="AF910" s="871"/>
      <c r="AG910" s="868"/>
      <c r="AH910" s="868"/>
      <c r="AI910" s="868"/>
      <c r="AJ910" s="868"/>
      <c r="AK910" s="181" t="str">
        <f t="shared" ca="1" si="239"/>
        <v>TERMINO</v>
      </c>
      <c r="AL910" s="441"/>
      <c r="AM910" s="433"/>
      <c r="AN910" s="848" t="str">
        <f>IFERROR(VLOOKUP(E910,'liquidaciones '!$B$2:$C$1048576,2,0),"NO")</f>
        <v>NO</v>
      </c>
      <c r="AO910" s="944" t="str">
        <f>IFERROR(VLOOKUP(E910,'liquidaciones '!$B$2:$I$1048576,8,0),"")</f>
        <v/>
      </c>
      <c r="AP910" s="433"/>
      <c r="AQ910" s="433"/>
      <c r="AR910" s="1069"/>
      <c r="AS910" s="1042"/>
      <c r="AT910" s="964"/>
      <c r="AU910" s="964"/>
      <c r="AV910" s="964"/>
    </row>
    <row r="911" spans="3:48" x14ac:dyDescent="0.25">
      <c r="C911" s="867"/>
      <c r="E911" s="868"/>
      <c r="F911" s="441"/>
      <c r="G911" s="868"/>
      <c r="H911" s="1005"/>
      <c r="I911" s="93"/>
      <c r="J911" s="869"/>
      <c r="K911" s="295"/>
      <c r="L911" s="546"/>
      <c r="M911" s="870"/>
      <c r="N911" s="870"/>
      <c r="O911" s="127">
        <f>COUNTA(Modificaciones!I911,Modificaciones!K911,Modificaciones!M911,Modificaciones!O911)</f>
        <v>0</v>
      </c>
      <c r="P911" s="128">
        <f>VLOOKUP(E911,Modificaciones!$B$7:$Q$1819,16,0)</f>
        <v>0</v>
      </c>
      <c r="Q911" s="129">
        <f>COUNTA(Modificaciones!S911,Modificaciones!U911,Modificaciones!W911,Modificaciones!Y911)</f>
        <v>0</v>
      </c>
      <c r="R911" s="130" t="str">
        <f>IF(Modificaciones!Z911=0,"",VLOOKUP(E911,Modificaciones!$B$7:$AA$1419,25,0))</f>
        <v/>
      </c>
      <c r="S911" s="131" t="str">
        <f>IF(Modificaciones!AA887=0,"",VLOOKUP(#REF!,Modificaciones!$B$7:$AA$1419,26,0))</f>
        <v/>
      </c>
      <c r="T911" s="855">
        <f t="shared" si="231"/>
        <v>0</v>
      </c>
      <c r="U911" s="62">
        <f t="shared" si="232"/>
        <v>0</v>
      </c>
      <c r="V911" s="172">
        <f>VLOOKUP(E911,Modificaciones!$B$7:$AU$819,46,0)</f>
        <v>0</v>
      </c>
      <c r="W911" s="93">
        <f t="shared" si="233"/>
        <v>0</v>
      </c>
      <c r="X911" s="1041"/>
      <c r="Y911" s="852" t="e">
        <f t="shared" si="234"/>
        <v>#DIV/0!</v>
      </c>
      <c r="Z911" s="42" t="e">
        <f t="shared" ca="1" si="235"/>
        <v>#DIV/0!</v>
      </c>
      <c r="AA911" s="43" t="e">
        <f t="shared" ca="1" si="236"/>
        <v>#DIV/0!</v>
      </c>
      <c r="AB911" s="202" t="e">
        <f t="shared" ca="1" si="237"/>
        <v>#DIV/0!</v>
      </c>
      <c r="AC911" s="44" t="e">
        <f t="shared" si="238"/>
        <v>#DIV/0!</v>
      </c>
      <c r="AD911" s="868"/>
      <c r="AE911" s="871"/>
      <c r="AF911" s="871"/>
      <c r="AG911" s="868"/>
      <c r="AH911" s="868"/>
      <c r="AI911" s="868"/>
      <c r="AJ911" s="868"/>
      <c r="AK911" s="181" t="str">
        <f t="shared" ca="1" si="239"/>
        <v>TERMINO</v>
      </c>
      <c r="AL911" s="441"/>
      <c r="AM911" s="433"/>
      <c r="AN911" s="848" t="str">
        <f>IFERROR(VLOOKUP(E911,'liquidaciones '!$B$2:$C$1048576,2,0),"NO")</f>
        <v>NO</v>
      </c>
      <c r="AO911" s="944" t="str">
        <f>IFERROR(VLOOKUP(E911,'liquidaciones '!$B$2:$I$1048576,8,0),"")</f>
        <v/>
      </c>
      <c r="AP911" s="433"/>
      <c r="AQ911" s="433"/>
      <c r="AR911" s="1069"/>
      <c r="AS911" s="1042"/>
      <c r="AT911" s="964"/>
      <c r="AU911" s="964"/>
      <c r="AV911" s="964"/>
    </row>
    <row r="912" spans="3:48" x14ac:dyDescent="0.25">
      <c r="C912" s="867"/>
      <c r="E912" s="868"/>
      <c r="F912" s="441"/>
      <c r="G912" s="868"/>
      <c r="H912" s="1005"/>
      <c r="I912" s="93"/>
      <c r="J912" s="869"/>
      <c r="K912" s="295"/>
      <c r="L912" s="546"/>
      <c r="M912" s="870"/>
      <c r="N912" s="870"/>
      <c r="O912" s="127">
        <f>COUNTA(Modificaciones!I912,Modificaciones!K912,Modificaciones!M912,Modificaciones!O912)</f>
        <v>0</v>
      </c>
      <c r="P912" s="128">
        <f>VLOOKUP(E912,Modificaciones!$B$7:$Q$1819,16,0)</f>
        <v>0</v>
      </c>
      <c r="Q912" s="129">
        <f>COUNTA(Modificaciones!S912,Modificaciones!U912,Modificaciones!W912,Modificaciones!Y912)</f>
        <v>0</v>
      </c>
      <c r="R912" s="130" t="str">
        <f>IF(Modificaciones!Z912=0,"",VLOOKUP(E912,Modificaciones!$B$7:$AA$1419,25,0))</f>
        <v/>
      </c>
      <c r="S912" s="131" t="str">
        <f>IF(Modificaciones!AA888=0,"",VLOOKUP(#REF!,Modificaciones!$B$7:$AA$1419,26,0))</f>
        <v/>
      </c>
      <c r="T912" s="855">
        <f t="shared" si="231"/>
        <v>0</v>
      </c>
      <c r="U912" s="62">
        <f t="shared" si="232"/>
        <v>0</v>
      </c>
      <c r="V912" s="172">
        <f>VLOOKUP(E912,Modificaciones!$B$7:$AU$819,46,0)</f>
        <v>0</v>
      </c>
      <c r="W912" s="93">
        <f t="shared" si="233"/>
        <v>0</v>
      </c>
      <c r="X912" s="1041"/>
      <c r="Y912" s="852" t="e">
        <f t="shared" si="234"/>
        <v>#DIV/0!</v>
      </c>
      <c r="Z912" s="42" t="e">
        <f t="shared" ca="1" si="235"/>
        <v>#DIV/0!</v>
      </c>
      <c r="AA912" s="43" t="e">
        <f t="shared" ca="1" si="236"/>
        <v>#DIV/0!</v>
      </c>
      <c r="AB912" s="202" t="e">
        <f t="shared" ca="1" si="237"/>
        <v>#DIV/0!</v>
      </c>
      <c r="AC912" s="44" t="e">
        <f t="shared" si="238"/>
        <v>#DIV/0!</v>
      </c>
      <c r="AD912" s="868"/>
      <c r="AE912" s="871"/>
      <c r="AF912" s="871"/>
      <c r="AG912" s="868"/>
      <c r="AH912" s="868"/>
      <c r="AI912" s="868"/>
      <c r="AJ912" s="868"/>
      <c r="AK912" s="181" t="str">
        <f t="shared" ca="1" si="239"/>
        <v>TERMINO</v>
      </c>
      <c r="AL912" s="441"/>
      <c r="AM912" s="433"/>
      <c r="AN912" s="848" t="str">
        <f>IFERROR(VLOOKUP(E912,'liquidaciones '!$B$2:$C$1048576,2,0),"NO")</f>
        <v>NO</v>
      </c>
      <c r="AO912" s="944" t="str">
        <f>IFERROR(VLOOKUP(E912,'liquidaciones '!$B$2:$I$1048576,8,0),"")</f>
        <v/>
      </c>
      <c r="AP912" s="433"/>
      <c r="AQ912" s="433"/>
      <c r="AR912" s="1069"/>
      <c r="AS912" s="1042"/>
      <c r="AT912" s="964"/>
      <c r="AU912" s="964"/>
      <c r="AV912" s="964"/>
    </row>
    <row r="913" spans="3:48" x14ac:dyDescent="0.25">
      <c r="C913" s="867"/>
      <c r="E913" s="868"/>
      <c r="F913" s="441"/>
      <c r="G913" s="868"/>
      <c r="H913" s="1005"/>
      <c r="I913" s="93"/>
      <c r="J913" s="869"/>
      <c r="K913" s="295"/>
      <c r="L913" s="546"/>
      <c r="M913" s="870"/>
      <c r="N913" s="870"/>
      <c r="O913" s="127">
        <f>COUNTA(Modificaciones!I913,Modificaciones!K913,Modificaciones!M913,Modificaciones!O913)</f>
        <v>0</v>
      </c>
      <c r="P913" s="128">
        <f>VLOOKUP(E913,Modificaciones!$B$7:$Q$1819,16,0)</f>
        <v>0</v>
      </c>
      <c r="Q913" s="129">
        <f>COUNTA(Modificaciones!S913,Modificaciones!U913,Modificaciones!W913,Modificaciones!Y913)</f>
        <v>0</v>
      </c>
      <c r="R913" s="130" t="str">
        <f>IF(Modificaciones!Z913=0,"",VLOOKUP(E913,Modificaciones!$B$7:$AA$1419,25,0))</f>
        <v/>
      </c>
      <c r="S913" s="131" t="str">
        <f>IF(Modificaciones!AA889=0,"",VLOOKUP(#REF!,Modificaciones!$B$7:$AA$1419,26,0))</f>
        <v/>
      </c>
      <c r="T913" s="855">
        <f t="shared" si="231"/>
        <v>0</v>
      </c>
      <c r="U913" s="62">
        <f t="shared" si="232"/>
        <v>0</v>
      </c>
      <c r="V913" s="172">
        <f>VLOOKUP(E913,Modificaciones!$B$7:$AU$819,46,0)</f>
        <v>0</v>
      </c>
      <c r="W913" s="93">
        <f t="shared" si="233"/>
        <v>0</v>
      </c>
      <c r="X913" s="1041"/>
      <c r="Y913" s="852" t="e">
        <f t="shared" si="234"/>
        <v>#DIV/0!</v>
      </c>
      <c r="Z913" s="42" t="e">
        <f t="shared" ca="1" si="235"/>
        <v>#DIV/0!</v>
      </c>
      <c r="AA913" s="43" t="e">
        <f t="shared" ca="1" si="236"/>
        <v>#DIV/0!</v>
      </c>
      <c r="AB913" s="202" t="e">
        <f t="shared" ca="1" si="237"/>
        <v>#DIV/0!</v>
      </c>
      <c r="AC913" s="44" t="e">
        <f t="shared" si="238"/>
        <v>#DIV/0!</v>
      </c>
      <c r="AD913" s="868"/>
      <c r="AE913" s="871"/>
      <c r="AF913" s="871"/>
      <c r="AG913" s="868"/>
      <c r="AH913" s="868"/>
      <c r="AI913" s="868"/>
      <c r="AJ913" s="868"/>
      <c r="AK913" s="181" t="str">
        <f t="shared" ca="1" si="239"/>
        <v>TERMINO</v>
      </c>
      <c r="AL913" s="441"/>
      <c r="AM913" s="433"/>
      <c r="AN913" s="848" t="str">
        <f>IFERROR(VLOOKUP(E913,'liquidaciones '!$B$2:$C$1048576,2,0),"NO")</f>
        <v>NO</v>
      </c>
      <c r="AO913" s="944" t="str">
        <f>IFERROR(VLOOKUP(E913,'liquidaciones '!$B$2:$I$1048576,8,0),"")</f>
        <v/>
      </c>
      <c r="AP913" s="433"/>
      <c r="AQ913" s="433"/>
      <c r="AR913" s="1069"/>
      <c r="AS913" s="1042"/>
      <c r="AT913" s="964"/>
      <c r="AU913" s="964"/>
      <c r="AV913" s="964"/>
    </row>
    <row r="914" spans="3:48" x14ac:dyDescent="0.25">
      <c r="C914" s="867"/>
      <c r="E914" s="868"/>
      <c r="F914" s="441"/>
      <c r="G914" s="868"/>
      <c r="H914" s="1005"/>
      <c r="I914" s="93"/>
      <c r="J914" s="869"/>
      <c r="K914" s="295"/>
      <c r="L914" s="546"/>
      <c r="M914" s="870"/>
      <c r="N914" s="870"/>
      <c r="O914" s="127">
        <f>COUNTA(Modificaciones!I914,Modificaciones!K914,Modificaciones!M914,Modificaciones!O914)</f>
        <v>0</v>
      </c>
      <c r="P914" s="128">
        <f>VLOOKUP(E914,Modificaciones!$B$7:$Q$1819,16,0)</f>
        <v>0</v>
      </c>
      <c r="Q914" s="129">
        <f>COUNTA(Modificaciones!S914,Modificaciones!U914,Modificaciones!W914,Modificaciones!Y914)</f>
        <v>0</v>
      </c>
      <c r="R914" s="130" t="str">
        <f>IF(Modificaciones!Z914=0,"",VLOOKUP(E914,Modificaciones!$B$7:$AA$1419,25,0))</f>
        <v/>
      </c>
      <c r="S914" s="131" t="str">
        <f>IF(Modificaciones!AA890=0,"",VLOOKUP(#REF!,Modificaciones!$B$7:$AA$1419,26,0))</f>
        <v/>
      </c>
      <c r="T914" s="855">
        <f t="shared" si="231"/>
        <v>0</v>
      </c>
      <c r="U914" s="62">
        <f t="shared" si="232"/>
        <v>0</v>
      </c>
      <c r="V914" s="172">
        <f>VLOOKUP(E914,Modificaciones!$B$7:$AU$819,46,0)</f>
        <v>0</v>
      </c>
      <c r="W914" s="93">
        <f t="shared" si="233"/>
        <v>0</v>
      </c>
      <c r="X914" s="1041"/>
      <c r="Y914" s="852" t="e">
        <f t="shared" si="234"/>
        <v>#DIV/0!</v>
      </c>
      <c r="Z914" s="42" t="e">
        <f t="shared" ca="1" si="235"/>
        <v>#DIV/0!</v>
      </c>
      <c r="AA914" s="43" t="e">
        <f t="shared" ca="1" si="236"/>
        <v>#DIV/0!</v>
      </c>
      <c r="AB914" s="202" t="e">
        <f t="shared" ca="1" si="237"/>
        <v>#DIV/0!</v>
      </c>
      <c r="AC914" s="44" t="e">
        <f t="shared" si="238"/>
        <v>#DIV/0!</v>
      </c>
      <c r="AD914" s="868"/>
      <c r="AE914" s="871"/>
      <c r="AF914" s="871"/>
      <c r="AG914" s="868"/>
      <c r="AH914" s="868"/>
      <c r="AI914" s="868"/>
      <c r="AJ914" s="868"/>
      <c r="AK914" s="181" t="str">
        <f t="shared" ca="1" si="239"/>
        <v>TERMINO</v>
      </c>
      <c r="AL914" s="441"/>
      <c r="AM914" s="433"/>
      <c r="AN914" s="848" t="str">
        <f>IFERROR(VLOOKUP(E914,'liquidaciones '!$B$2:$C$1048576,2,0),"NO")</f>
        <v>NO</v>
      </c>
      <c r="AO914" s="944" t="str">
        <f>IFERROR(VLOOKUP(E914,'liquidaciones '!$B$2:$I$1048576,8,0),"")</f>
        <v/>
      </c>
      <c r="AP914" s="433"/>
      <c r="AQ914" s="433"/>
      <c r="AR914" s="1069"/>
      <c r="AS914" s="1042"/>
      <c r="AT914" s="964"/>
      <c r="AU914" s="964"/>
      <c r="AV914" s="964"/>
    </row>
    <row r="915" spans="3:48" x14ac:dyDescent="0.25">
      <c r="C915" s="867"/>
      <c r="E915" s="868"/>
      <c r="F915" s="441"/>
      <c r="G915" s="868"/>
      <c r="H915" s="1005"/>
      <c r="I915" s="93"/>
      <c r="J915" s="869"/>
      <c r="K915" s="295"/>
      <c r="L915" s="546"/>
      <c r="M915" s="870"/>
      <c r="N915" s="870"/>
      <c r="O915" s="127">
        <f>COUNTA(Modificaciones!I915,Modificaciones!K915,Modificaciones!M915,Modificaciones!O915)</f>
        <v>0</v>
      </c>
      <c r="P915" s="128">
        <f>VLOOKUP(E915,Modificaciones!$B$7:$Q$1819,16,0)</f>
        <v>0</v>
      </c>
      <c r="Q915" s="129">
        <f>COUNTA(Modificaciones!S915,Modificaciones!U915,Modificaciones!W915,Modificaciones!Y915)</f>
        <v>0</v>
      </c>
      <c r="R915" s="130" t="str">
        <f>IF(Modificaciones!Z915=0,"",VLOOKUP(E915,Modificaciones!$B$7:$AA$1419,25,0))</f>
        <v/>
      </c>
      <c r="S915" s="131" t="str">
        <f>IF(Modificaciones!AA891=0,"",VLOOKUP(#REF!,Modificaciones!$B$7:$AA$1419,26,0))</f>
        <v/>
      </c>
      <c r="T915" s="855">
        <f t="shared" si="231"/>
        <v>0</v>
      </c>
      <c r="U915" s="62">
        <f t="shared" si="232"/>
        <v>0</v>
      </c>
      <c r="V915" s="172">
        <f>VLOOKUP(E915,Modificaciones!$B$7:$AU$819,46,0)</f>
        <v>0</v>
      </c>
      <c r="W915" s="93">
        <f t="shared" si="233"/>
        <v>0</v>
      </c>
      <c r="X915" s="1041"/>
      <c r="Y915" s="852" t="e">
        <f t="shared" si="234"/>
        <v>#DIV/0!</v>
      </c>
      <c r="Z915" s="42" t="e">
        <f t="shared" ca="1" si="235"/>
        <v>#DIV/0!</v>
      </c>
      <c r="AA915" s="43" t="e">
        <f t="shared" ca="1" si="236"/>
        <v>#DIV/0!</v>
      </c>
      <c r="AB915" s="202" t="e">
        <f t="shared" ca="1" si="237"/>
        <v>#DIV/0!</v>
      </c>
      <c r="AC915" s="44" t="e">
        <f t="shared" si="238"/>
        <v>#DIV/0!</v>
      </c>
      <c r="AD915" s="868"/>
      <c r="AE915" s="871"/>
      <c r="AF915" s="871"/>
      <c r="AG915" s="868"/>
      <c r="AH915" s="868"/>
      <c r="AI915" s="868"/>
      <c r="AJ915" s="868"/>
      <c r="AK915" s="181" t="str">
        <f t="shared" ca="1" si="239"/>
        <v>TERMINO</v>
      </c>
      <c r="AL915" s="441"/>
      <c r="AM915" s="433"/>
      <c r="AN915" s="848" t="str">
        <f>IFERROR(VLOOKUP(E915,'liquidaciones '!$B$2:$C$1048576,2,0),"NO")</f>
        <v>NO</v>
      </c>
      <c r="AO915" s="944" t="str">
        <f>IFERROR(VLOOKUP(E915,'liquidaciones '!$B$2:$I$1048576,8,0),"")</f>
        <v/>
      </c>
      <c r="AP915" s="433"/>
      <c r="AQ915" s="433"/>
      <c r="AR915" s="1069"/>
      <c r="AS915" s="1042"/>
      <c r="AT915" s="964"/>
      <c r="AU915" s="964"/>
      <c r="AV915" s="964"/>
    </row>
    <row r="916" spans="3:48" x14ac:dyDescent="0.25">
      <c r="C916" s="867"/>
      <c r="E916" s="868"/>
      <c r="F916" s="441"/>
      <c r="G916" s="868"/>
      <c r="H916" s="1005"/>
      <c r="I916" s="93"/>
      <c r="J916" s="869"/>
      <c r="K916" s="295"/>
      <c r="L916" s="546"/>
      <c r="M916" s="870"/>
      <c r="N916" s="870"/>
      <c r="O916" s="127">
        <f>COUNTA(Modificaciones!I916,Modificaciones!K916,Modificaciones!M916,Modificaciones!O916)</f>
        <v>0</v>
      </c>
      <c r="P916" s="128">
        <f>VLOOKUP(E916,Modificaciones!$B$7:$Q$1819,16,0)</f>
        <v>0</v>
      </c>
      <c r="Q916" s="129">
        <f>COUNTA(Modificaciones!S916,Modificaciones!U916,Modificaciones!W916,Modificaciones!Y916)</f>
        <v>0</v>
      </c>
      <c r="R916" s="130" t="str">
        <f>IF(Modificaciones!Z916=0,"",VLOOKUP(E916,Modificaciones!$B$7:$AA$1419,25,0))</f>
        <v/>
      </c>
      <c r="S916" s="131" t="str">
        <f>IF(Modificaciones!AA892=0,"",VLOOKUP(#REF!,Modificaciones!$B$7:$AA$1419,26,0))</f>
        <v/>
      </c>
      <c r="T916" s="855">
        <f t="shared" si="231"/>
        <v>0</v>
      </c>
      <c r="U916" s="62">
        <f t="shared" si="232"/>
        <v>0</v>
      </c>
      <c r="V916" s="172">
        <f>VLOOKUP(E916,Modificaciones!$B$7:$AU$819,46,0)</f>
        <v>0</v>
      </c>
      <c r="W916" s="93">
        <f t="shared" si="233"/>
        <v>0</v>
      </c>
      <c r="X916" s="1041"/>
      <c r="Y916" s="852" t="e">
        <f t="shared" si="234"/>
        <v>#DIV/0!</v>
      </c>
      <c r="Z916" s="42" t="e">
        <f t="shared" ca="1" si="235"/>
        <v>#DIV/0!</v>
      </c>
      <c r="AA916" s="43" t="e">
        <f t="shared" ca="1" si="236"/>
        <v>#DIV/0!</v>
      </c>
      <c r="AB916" s="202" t="e">
        <f t="shared" ca="1" si="237"/>
        <v>#DIV/0!</v>
      </c>
      <c r="AC916" s="44" t="e">
        <f t="shared" si="238"/>
        <v>#DIV/0!</v>
      </c>
      <c r="AD916" s="868"/>
      <c r="AE916" s="871"/>
      <c r="AF916" s="871"/>
      <c r="AG916" s="868"/>
      <c r="AH916" s="868"/>
      <c r="AI916" s="868"/>
      <c r="AJ916" s="868"/>
      <c r="AK916" s="181" t="str">
        <f t="shared" ca="1" si="239"/>
        <v>TERMINO</v>
      </c>
      <c r="AL916" s="441"/>
      <c r="AM916" s="433"/>
      <c r="AN916" s="848" t="str">
        <f>IFERROR(VLOOKUP(E916,'liquidaciones '!$B$2:$C$1048576,2,0),"NO")</f>
        <v>NO</v>
      </c>
      <c r="AO916" s="944" t="str">
        <f>IFERROR(VLOOKUP(E916,'liquidaciones '!$B$2:$I$1048576,8,0),"")</f>
        <v/>
      </c>
      <c r="AP916" s="433"/>
      <c r="AQ916" s="433"/>
      <c r="AR916" s="1069"/>
      <c r="AS916" s="1042"/>
      <c r="AT916" s="964"/>
      <c r="AU916" s="964"/>
      <c r="AV916" s="964"/>
    </row>
    <row r="917" spans="3:48" x14ac:dyDescent="0.25">
      <c r="C917" s="867"/>
      <c r="E917" s="868"/>
      <c r="F917" s="441"/>
      <c r="G917" s="868"/>
      <c r="H917" s="1005"/>
      <c r="I917" s="93"/>
      <c r="J917" s="869"/>
      <c r="K917" s="295"/>
      <c r="L917" s="546"/>
      <c r="M917" s="870"/>
      <c r="N917" s="870"/>
      <c r="O917" s="127">
        <f>COUNTA(Modificaciones!I917,Modificaciones!K917,Modificaciones!M917,Modificaciones!O917)</f>
        <v>0</v>
      </c>
      <c r="P917" s="128">
        <f>VLOOKUP(E917,Modificaciones!$B$7:$Q$1819,16,0)</f>
        <v>0</v>
      </c>
      <c r="Q917" s="129">
        <f>COUNTA(Modificaciones!S917,Modificaciones!U917,Modificaciones!W917,Modificaciones!Y917)</f>
        <v>0</v>
      </c>
      <c r="R917" s="130" t="str">
        <f>IF(Modificaciones!Z917=0,"",VLOOKUP(E917,Modificaciones!$B$7:$AA$1419,25,0))</f>
        <v/>
      </c>
      <c r="S917" s="131" t="str">
        <f>IF(Modificaciones!AA893=0,"",VLOOKUP(#REF!,Modificaciones!$B$7:$AA$1419,26,0))</f>
        <v/>
      </c>
      <c r="T917" s="855">
        <f t="shared" si="231"/>
        <v>0</v>
      </c>
      <c r="U917" s="62">
        <f t="shared" si="232"/>
        <v>0</v>
      </c>
      <c r="V917" s="172">
        <f>VLOOKUP(E917,Modificaciones!$B$7:$AU$819,46,0)</f>
        <v>0</v>
      </c>
      <c r="W917" s="93">
        <f t="shared" si="233"/>
        <v>0</v>
      </c>
      <c r="X917" s="1041"/>
      <c r="Y917" s="852" t="e">
        <f t="shared" si="234"/>
        <v>#DIV/0!</v>
      </c>
      <c r="Z917" s="42" t="e">
        <f t="shared" ca="1" si="235"/>
        <v>#DIV/0!</v>
      </c>
      <c r="AA917" s="43" t="e">
        <f t="shared" ca="1" si="236"/>
        <v>#DIV/0!</v>
      </c>
      <c r="AB917" s="202" t="e">
        <f t="shared" ca="1" si="237"/>
        <v>#DIV/0!</v>
      </c>
      <c r="AC917" s="44" t="e">
        <f t="shared" si="238"/>
        <v>#DIV/0!</v>
      </c>
      <c r="AD917" s="868"/>
      <c r="AE917" s="871"/>
      <c r="AF917" s="871"/>
      <c r="AG917" s="868"/>
      <c r="AH917" s="868"/>
      <c r="AI917" s="868"/>
      <c r="AJ917" s="868"/>
      <c r="AK917" s="181" t="str">
        <f t="shared" ca="1" si="239"/>
        <v>TERMINO</v>
      </c>
      <c r="AL917" s="441"/>
      <c r="AM917" s="433"/>
      <c r="AN917" s="848" t="str">
        <f>IFERROR(VLOOKUP(E917,'liquidaciones '!$B$2:$C$1048576,2,0),"NO")</f>
        <v>NO</v>
      </c>
      <c r="AO917" s="944" t="str">
        <f>IFERROR(VLOOKUP(E917,'liquidaciones '!$B$2:$I$1048576,8,0),"")</f>
        <v/>
      </c>
      <c r="AP917" s="433"/>
      <c r="AQ917" s="433"/>
      <c r="AR917" s="1069"/>
      <c r="AS917" s="1042"/>
      <c r="AT917" s="964"/>
      <c r="AU917" s="964"/>
      <c r="AV917" s="964"/>
    </row>
    <row r="918" spans="3:48" x14ac:dyDescent="0.25">
      <c r="C918" s="867"/>
      <c r="E918" s="868"/>
      <c r="F918" s="441"/>
      <c r="G918" s="868"/>
      <c r="H918" s="1005"/>
      <c r="I918" s="93"/>
      <c r="J918" s="869"/>
      <c r="K918" s="295"/>
      <c r="L918" s="546"/>
      <c r="M918" s="870"/>
      <c r="N918" s="870"/>
      <c r="O918" s="127">
        <f>COUNTA(Modificaciones!I918,Modificaciones!K918,Modificaciones!M918,Modificaciones!O918)</f>
        <v>0</v>
      </c>
      <c r="P918" s="128">
        <f>VLOOKUP(E918,Modificaciones!$B$7:$Q$1819,16,0)</f>
        <v>0</v>
      </c>
      <c r="Q918" s="129">
        <f>COUNTA(Modificaciones!S918,Modificaciones!U918,Modificaciones!W918,Modificaciones!Y918)</f>
        <v>0</v>
      </c>
      <c r="R918" s="130" t="str">
        <f>IF(Modificaciones!Z918=0,"",VLOOKUP(E918,Modificaciones!$B$7:$AA$1419,25,0))</f>
        <v/>
      </c>
      <c r="S918" s="131" t="str">
        <f>IF(Modificaciones!AA894=0,"",VLOOKUP(#REF!,Modificaciones!$B$7:$AA$1419,26,0))</f>
        <v/>
      </c>
      <c r="T918" s="855">
        <f t="shared" si="231"/>
        <v>0</v>
      </c>
      <c r="U918" s="62">
        <f t="shared" si="232"/>
        <v>0</v>
      </c>
      <c r="V918" s="172">
        <f>VLOOKUP(E918,Modificaciones!$B$7:$AU$819,46,0)</f>
        <v>0</v>
      </c>
      <c r="W918" s="93">
        <f t="shared" si="233"/>
        <v>0</v>
      </c>
      <c r="X918" s="1041"/>
      <c r="Y918" s="852" t="e">
        <f t="shared" si="234"/>
        <v>#DIV/0!</v>
      </c>
      <c r="Z918" s="42" t="e">
        <f t="shared" ca="1" si="235"/>
        <v>#DIV/0!</v>
      </c>
      <c r="AA918" s="43" t="e">
        <f t="shared" ca="1" si="236"/>
        <v>#DIV/0!</v>
      </c>
      <c r="AB918" s="202" t="e">
        <f t="shared" ca="1" si="237"/>
        <v>#DIV/0!</v>
      </c>
      <c r="AC918" s="44" t="e">
        <f t="shared" si="238"/>
        <v>#DIV/0!</v>
      </c>
      <c r="AD918" s="868"/>
      <c r="AE918" s="871"/>
      <c r="AF918" s="871"/>
      <c r="AG918" s="868"/>
      <c r="AH918" s="868"/>
      <c r="AI918" s="868"/>
      <c r="AJ918" s="868"/>
      <c r="AK918" s="181" t="str">
        <f t="shared" ca="1" si="239"/>
        <v>TERMINO</v>
      </c>
      <c r="AL918" s="441"/>
      <c r="AM918" s="433"/>
      <c r="AN918" s="848" t="str">
        <f>IFERROR(VLOOKUP(E918,'liquidaciones '!$B$2:$C$1048576,2,0),"NO")</f>
        <v>NO</v>
      </c>
      <c r="AO918" s="944" t="str">
        <f>IFERROR(VLOOKUP(E918,'liquidaciones '!$B$2:$I$1048576,8,0),"")</f>
        <v/>
      </c>
      <c r="AP918" s="433"/>
      <c r="AQ918" s="433"/>
      <c r="AR918" s="1069"/>
      <c r="AS918" s="1042"/>
      <c r="AT918" s="964"/>
      <c r="AU918" s="964"/>
      <c r="AV918" s="964"/>
    </row>
    <row r="919" spans="3:48" x14ac:dyDescent="0.25">
      <c r="C919" s="867"/>
      <c r="E919" s="868"/>
      <c r="F919" s="441"/>
      <c r="G919" s="868"/>
      <c r="H919" s="1005"/>
      <c r="I919" s="93"/>
      <c r="J919" s="869"/>
      <c r="K919" s="295"/>
      <c r="L919" s="546"/>
      <c r="M919" s="870"/>
      <c r="N919" s="870"/>
      <c r="O919" s="127">
        <f>COUNTA(Modificaciones!I919,Modificaciones!K919,Modificaciones!M919,Modificaciones!O919)</f>
        <v>0</v>
      </c>
      <c r="P919" s="128">
        <f>VLOOKUP(E919,Modificaciones!$B$7:$Q$1819,16,0)</f>
        <v>0</v>
      </c>
      <c r="Q919" s="129">
        <f>COUNTA(Modificaciones!S919,Modificaciones!U919,Modificaciones!W919,Modificaciones!Y919)</f>
        <v>0</v>
      </c>
      <c r="R919" s="130" t="str">
        <f>IF(Modificaciones!Z919=0,"",VLOOKUP(E919,Modificaciones!$B$7:$AA$1419,25,0))</f>
        <v/>
      </c>
      <c r="S919" s="131" t="str">
        <f>IF(Modificaciones!AA895=0,"",VLOOKUP(#REF!,Modificaciones!$B$7:$AA$1419,26,0))</f>
        <v/>
      </c>
      <c r="T919" s="855">
        <f t="shared" si="231"/>
        <v>0</v>
      </c>
      <c r="U919" s="62">
        <f t="shared" si="232"/>
        <v>0</v>
      </c>
      <c r="V919" s="172">
        <f>VLOOKUP(E919,Modificaciones!$B$7:$AU$819,46,0)</f>
        <v>0</v>
      </c>
      <c r="W919" s="93">
        <f t="shared" si="233"/>
        <v>0</v>
      </c>
      <c r="X919" s="1041"/>
      <c r="Y919" s="852" t="e">
        <f t="shared" si="234"/>
        <v>#DIV/0!</v>
      </c>
      <c r="Z919" s="42" t="e">
        <f t="shared" ca="1" si="235"/>
        <v>#DIV/0!</v>
      </c>
      <c r="AA919" s="43" t="e">
        <f t="shared" ca="1" si="236"/>
        <v>#DIV/0!</v>
      </c>
      <c r="AB919" s="202" t="e">
        <f t="shared" ca="1" si="237"/>
        <v>#DIV/0!</v>
      </c>
      <c r="AC919" s="44" t="e">
        <f t="shared" si="238"/>
        <v>#DIV/0!</v>
      </c>
      <c r="AD919" s="868"/>
      <c r="AE919" s="871"/>
      <c r="AF919" s="871"/>
      <c r="AG919" s="868"/>
      <c r="AH919" s="868"/>
      <c r="AI919" s="868"/>
      <c r="AJ919" s="868"/>
      <c r="AK919" s="181" t="str">
        <f t="shared" ca="1" si="239"/>
        <v>TERMINO</v>
      </c>
      <c r="AL919" s="441"/>
      <c r="AM919" s="433"/>
      <c r="AN919" s="848" t="str">
        <f>IFERROR(VLOOKUP(E919,'liquidaciones '!$B$2:$C$1048576,2,0),"NO")</f>
        <v>NO</v>
      </c>
      <c r="AO919" s="944" t="str">
        <f>IFERROR(VLOOKUP(E919,'liquidaciones '!$B$2:$I$1048576,8,0),"")</f>
        <v/>
      </c>
      <c r="AP919" s="433"/>
      <c r="AQ919" s="433"/>
      <c r="AR919" s="1069"/>
      <c r="AS919" s="1042"/>
      <c r="AT919" s="964"/>
      <c r="AU919" s="964"/>
      <c r="AV919" s="964"/>
    </row>
    <row r="920" spans="3:48" x14ac:dyDescent="0.25">
      <c r="C920" s="867"/>
      <c r="E920" s="868"/>
      <c r="F920" s="441"/>
      <c r="G920" s="868"/>
      <c r="H920" s="1005"/>
      <c r="I920" s="93"/>
      <c r="J920" s="869"/>
      <c r="K920" s="295"/>
      <c r="L920" s="546"/>
      <c r="M920" s="870"/>
      <c r="N920" s="870"/>
      <c r="O920" s="127">
        <f>COUNTA(Modificaciones!I920,Modificaciones!K920,Modificaciones!M920,Modificaciones!O920)</f>
        <v>0</v>
      </c>
      <c r="P920" s="128">
        <f>VLOOKUP(E920,Modificaciones!$B$7:$Q$1819,16,0)</f>
        <v>0</v>
      </c>
      <c r="Q920" s="129">
        <f>COUNTA(Modificaciones!S920,Modificaciones!U920,Modificaciones!W920,Modificaciones!Y920)</f>
        <v>0</v>
      </c>
      <c r="R920" s="130" t="str">
        <f>IF(Modificaciones!Z920=0,"",VLOOKUP(E920,Modificaciones!$B$7:$AA$1419,25,0))</f>
        <v/>
      </c>
      <c r="S920" s="131" t="str">
        <f>IF(Modificaciones!AA896=0,"",VLOOKUP(#REF!,Modificaciones!$B$7:$AA$1419,26,0))</f>
        <v/>
      </c>
      <c r="T920" s="855">
        <f t="shared" si="231"/>
        <v>0</v>
      </c>
      <c r="U920" s="62">
        <f t="shared" si="232"/>
        <v>0</v>
      </c>
      <c r="V920" s="172">
        <f>VLOOKUP(E920,Modificaciones!$B$7:$AU$819,46,0)</f>
        <v>0</v>
      </c>
      <c r="W920" s="93">
        <f t="shared" si="233"/>
        <v>0</v>
      </c>
      <c r="X920" s="1041"/>
      <c r="Y920" s="852" t="e">
        <f t="shared" si="234"/>
        <v>#DIV/0!</v>
      </c>
      <c r="Z920" s="42" t="e">
        <f t="shared" ca="1" si="235"/>
        <v>#DIV/0!</v>
      </c>
      <c r="AA920" s="43" t="e">
        <f t="shared" ca="1" si="236"/>
        <v>#DIV/0!</v>
      </c>
      <c r="AB920" s="202" t="e">
        <f t="shared" ca="1" si="237"/>
        <v>#DIV/0!</v>
      </c>
      <c r="AC920" s="44" t="e">
        <f t="shared" si="238"/>
        <v>#DIV/0!</v>
      </c>
      <c r="AD920" s="868"/>
      <c r="AE920" s="871"/>
      <c r="AF920" s="871"/>
      <c r="AG920" s="868"/>
      <c r="AH920" s="868"/>
      <c r="AI920" s="868"/>
      <c r="AJ920" s="868"/>
      <c r="AK920" s="181" t="str">
        <f t="shared" ca="1" si="239"/>
        <v>TERMINO</v>
      </c>
      <c r="AL920" s="441"/>
      <c r="AM920" s="433"/>
      <c r="AN920" s="848" t="str">
        <f>IFERROR(VLOOKUP(E920,'liquidaciones '!$B$2:$C$1048576,2,0),"NO")</f>
        <v>NO</v>
      </c>
      <c r="AO920" s="944" t="str">
        <f>IFERROR(VLOOKUP(E920,'liquidaciones '!$B$2:$I$1048576,8,0),"")</f>
        <v/>
      </c>
      <c r="AP920" s="433"/>
      <c r="AQ920" s="433"/>
      <c r="AR920" s="1069"/>
      <c r="AS920" s="1042"/>
      <c r="AT920" s="964"/>
      <c r="AU920" s="964"/>
      <c r="AV920" s="964"/>
    </row>
    <row r="921" spans="3:48" x14ac:dyDescent="0.25">
      <c r="C921" s="867"/>
      <c r="E921" s="868"/>
      <c r="F921" s="441"/>
      <c r="G921" s="868"/>
      <c r="H921" s="1005"/>
      <c r="I921" s="93"/>
      <c r="J921" s="869"/>
      <c r="K921" s="295"/>
      <c r="L921" s="546"/>
      <c r="M921" s="870"/>
      <c r="N921" s="870"/>
      <c r="O921" s="127">
        <f>COUNTA(Modificaciones!I921,Modificaciones!K921,Modificaciones!M921,Modificaciones!O921)</f>
        <v>0</v>
      </c>
      <c r="P921" s="128">
        <f>VLOOKUP(E921,Modificaciones!$B$7:$Q$1819,16,0)</f>
        <v>0</v>
      </c>
      <c r="Q921" s="129">
        <f>COUNTA(Modificaciones!S921,Modificaciones!U921,Modificaciones!W921,Modificaciones!Y921)</f>
        <v>0</v>
      </c>
      <c r="R921" s="130" t="str">
        <f>IF(Modificaciones!Z921=0,"",VLOOKUP(E921,Modificaciones!$B$7:$AA$1419,25,0))</f>
        <v/>
      </c>
      <c r="S921" s="131" t="str">
        <f>IF(Modificaciones!AA897=0,"",VLOOKUP(#REF!,Modificaciones!$B$7:$AA$1419,26,0))</f>
        <v/>
      </c>
      <c r="T921" s="855">
        <f t="shared" si="231"/>
        <v>0</v>
      </c>
      <c r="U921" s="62">
        <f t="shared" si="232"/>
        <v>0</v>
      </c>
      <c r="V921" s="172">
        <f>VLOOKUP(E921,Modificaciones!$B$7:$AU$819,46,0)</f>
        <v>0</v>
      </c>
      <c r="W921" s="93">
        <f t="shared" si="233"/>
        <v>0</v>
      </c>
      <c r="X921" s="1041"/>
      <c r="Y921" s="852" t="e">
        <f t="shared" si="234"/>
        <v>#DIV/0!</v>
      </c>
      <c r="Z921" s="42" t="e">
        <f t="shared" ca="1" si="235"/>
        <v>#DIV/0!</v>
      </c>
      <c r="AA921" s="43" t="e">
        <f t="shared" ca="1" si="236"/>
        <v>#DIV/0!</v>
      </c>
      <c r="AB921" s="202" t="e">
        <f t="shared" ca="1" si="237"/>
        <v>#DIV/0!</v>
      </c>
      <c r="AC921" s="44" t="e">
        <f t="shared" si="238"/>
        <v>#DIV/0!</v>
      </c>
      <c r="AD921" s="868"/>
      <c r="AE921" s="871"/>
      <c r="AF921" s="871"/>
      <c r="AG921" s="868"/>
      <c r="AH921" s="868"/>
      <c r="AI921" s="868"/>
      <c r="AJ921" s="868"/>
      <c r="AK921" s="181" t="str">
        <f t="shared" ca="1" si="239"/>
        <v>TERMINO</v>
      </c>
      <c r="AL921" s="441"/>
      <c r="AM921" s="433"/>
      <c r="AN921" s="848" t="str">
        <f>IFERROR(VLOOKUP(E921,'liquidaciones '!$B$2:$C$1048576,2,0),"NO")</f>
        <v>NO</v>
      </c>
      <c r="AO921" s="944" t="str">
        <f>IFERROR(VLOOKUP(E921,'liquidaciones '!$B$2:$I$1048576,8,0),"")</f>
        <v/>
      </c>
      <c r="AP921" s="433"/>
      <c r="AQ921" s="433"/>
      <c r="AR921" s="1069"/>
      <c r="AS921" s="1042"/>
      <c r="AT921" s="964"/>
      <c r="AU921" s="964"/>
      <c r="AV921" s="964"/>
    </row>
    <row r="922" spans="3:48" x14ac:dyDescent="0.25">
      <c r="C922" s="867"/>
      <c r="E922" s="868"/>
      <c r="F922" s="441"/>
      <c r="G922" s="868"/>
      <c r="H922" s="1005"/>
      <c r="I922" s="93"/>
      <c r="J922" s="869"/>
      <c r="K922" s="295"/>
      <c r="L922" s="546"/>
      <c r="M922" s="870"/>
      <c r="N922" s="870"/>
      <c r="O922" s="127">
        <f>COUNTA(Modificaciones!I922,Modificaciones!K922,Modificaciones!M922,Modificaciones!O922)</f>
        <v>0</v>
      </c>
      <c r="P922" s="128">
        <f>VLOOKUP(E922,Modificaciones!$B$7:$Q$1819,16,0)</f>
        <v>0</v>
      </c>
      <c r="Q922" s="129">
        <f>COUNTA(Modificaciones!S922,Modificaciones!U922,Modificaciones!W922,Modificaciones!Y922)</f>
        <v>0</v>
      </c>
      <c r="R922" s="130" t="str">
        <f>IF(Modificaciones!Z922=0,"",VLOOKUP(E922,Modificaciones!$B$7:$AA$1419,25,0))</f>
        <v/>
      </c>
      <c r="S922" s="131" t="str">
        <f>IF(Modificaciones!AA898=0,"",VLOOKUP(#REF!,Modificaciones!$B$7:$AA$1419,26,0))</f>
        <v/>
      </c>
      <c r="T922" s="855">
        <f t="shared" si="231"/>
        <v>0</v>
      </c>
      <c r="U922" s="62">
        <f t="shared" si="232"/>
        <v>0</v>
      </c>
      <c r="V922" s="172">
        <f>VLOOKUP(E922,Modificaciones!$B$7:$AU$819,46,0)</f>
        <v>0</v>
      </c>
      <c r="W922" s="93">
        <f t="shared" si="233"/>
        <v>0</v>
      </c>
      <c r="X922" s="1041"/>
      <c r="Y922" s="852" t="e">
        <f t="shared" si="234"/>
        <v>#DIV/0!</v>
      </c>
      <c r="Z922" s="42" t="e">
        <f t="shared" ca="1" si="235"/>
        <v>#DIV/0!</v>
      </c>
      <c r="AA922" s="43" t="e">
        <f t="shared" ca="1" si="236"/>
        <v>#DIV/0!</v>
      </c>
      <c r="AB922" s="202" t="e">
        <f t="shared" ca="1" si="237"/>
        <v>#DIV/0!</v>
      </c>
      <c r="AC922" s="44" t="e">
        <f t="shared" si="238"/>
        <v>#DIV/0!</v>
      </c>
      <c r="AD922" s="868"/>
      <c r="AE922" s="871"/>
      <c r="AF922" s="871"/>
      <c r="AG922" s="868"/>
      <c r="AH922" s="868"/>
      <c r="AI922" s="868"/>
      <c r="AJ922" s="868"/>
      <c r="AK922" s="181" t="str">
        <f t="shared" ca="1" si="239"/>
        <v>TERMINO</v>
      </c>
      <c r="AL922" s="441"/>
      <c r="AM922" s="433"/>
      <c r="AN922" s="848" t="str">
        <f>IFERROR(VLOOKUP(E922,'liquidaciones '!$B$2:$C$1048576,2,0),"NO")</f>
        <v>NO</v>
      </c>
      <c r="AO922" s="944" t="str">
        <f>IFERROR(VLOOKUP(E922,'liquidaciones '!$B$2:$I$1048576,8,0),"")</f>
        <v/>
      </c>
      <c r="AP922" s="433"/>
      <c r="AQ922" s="433"/>
      <c r="AR922" s="1069"/>
      <c r="AS922" s="1042"/>
      <c r="AT922" s="964"/>
      <c r="AU922" s="964"/>
      <c r="AV922" s="964"/>
    </row>
    <row r="923" spans="3:48" x14ac:dyDescent="0.25">
      <c r="C923" s="867"/>
      <c r="E923" s="868"/>
      <c r="F923" s="441"/>
      <c r="G923" s="868"/>
      <c r="H923" s="1005"/>
      <c r="I923" s="93"/>
      <c r="J923" s="869"/>
      <c r="K923" s="295"/>
      <c r="L923" s="546"/>
      <c r="M923" s="870"/>
      <c r="N923" s="870"/>
      <c r="O923" s="127">
        <f>COUNTA(Modificaciones!I923,Modificaciones!K923,Modificaciones!M923,Modificaciones!O923)</f>
        <v>0</v>
      </c>
      <c r="P923" s="128">
        <f>VLOOKUP(E923,Modificaciones!$B$7:$Q$1819,16,0)</f>
        <v>0</v>
      </c>
      <c r="Q923" s="129">
        <f>COUNTA(Modificaciones!S923,Modificaciones!U923,Modificaciones!W923,Modificaciones!Y923)</f>
        <v>0</v>
      </c>
      <c r="R923" s="130" t="str">
        <f>IF(Modificaciones!Z923=0,"",VLOOKUP(E923,Modificaciones!$B$7:$AA$1419,25,0))</f>
        <v/>
      </c>
      <c r="S923" s="131" t="str">
        <f>IF(Modificaciones!AA899=0,"",VLOOKUP(#REF!,Modificaciones!$B$7:$AA$1419,26,0))</f>
        <v/>
      </c>
      <c r="T923" s="855">
        <f t="shared" si="231"/>
        <v>0</v>
      </c>
      <c r="U923" s="62">
        <f t="shared" si="232"/>
        <v>0</v>
      </c>
      <c r="V923" s="172">
        <f>VLOOKUP(E923,Modificaciones!$B$7:$AU$819,46,0)</f>
        <v>0</v>
      </c>
      <c r="W923" s="93">
        <f t="shared" si="233"/>
        <v>0</v>
      </c>
      <c r="X923" s="1041"/>
      <c r="Y923" s="852" t="e">
        <f t="shared" si="234"/>
        <v>#DIV/0!</v>
      </c>
      <c r="Z923" s="42" t="e">
        <f t="shared" ca="1" si="235"/>
        <v>#DIV/0!</v>
      </c>
      <c r="AA923" s="43" t="e">
        <f t="shared" ca="1" si="236"/>
        <v>#DIV/0!</v>
      </c>
      <c r="AB923" s="202" t="e">
        <f t="shared" ca="1" si="237"/>
        <v>#DIV/0!</v>
      </c>
      <c r="AC923" s="44" t="e">
        <f t="shared" si="238"/>
        <v>#DIV/0!</v>
      </c>
      <c r="AD923" s="868"/>
      <c r="AE923" s="871"/>
      <c r="AF923" s="871"/>
      <c r="AG923" s="868"/>
      <c r="AH923" s="868"/>
      <c r="AI923" s="868"/>
      <c r="AJ923" s="868"/>
      <c r="AK923" s="181" t="str">
        <f t="shared" ca="1" si="239"/>
        <v>TERMINO</v>
      </c>
      <c r="AL923" s="441"/>
      <c r="AM923" s="433"/>
      <c r="AN923" s="848" t="str">
        <f>IFERROR(VLOOKUP(E923,'liquidaciones '!$B$2:$C$1048576,2,0),"NO")</f>
        <v>NO</v>
      </c>
      <c r="AO923" s="944" t="str">
        <f>IFERROR(VLOOKUP(E923,'liquidaciones '!$B$2:$I$1048576,8,0),"")</f>
        <v/>
      </c>
      <c r="AP923" s="433"/>
      <c r="AQ923" s="433"/>
      <c r="AR923" s="1069"/>
      <c r="AS923" s="1042"/>
      <c r="AT923" s="964"/>
      <c r="AU923" s="964"/>
      <c r="AV923" s="964"/>
    </row>
    <row r="924" spans="3:48" x14ac:dyDescent="0.25">
      <c r="C924" s="867"/>
      <c r="E924" s="868"/>
      <c r="F924" s="441"/>
      <c r="G924" s="868"/>
      <c r="H924" s="1005"/>
      <c r="I924" s="93"/>
      <c r="J924" s="869"/>
      <c r="K924" s="295"/>
      <c r="L924" s="546"/>
      <c r="M924" s="870"/>
      <c r="N924" s="870"/>
      <c r="O924" s="127">
        <f>COUNTA(Modificaciones!I924,Modificaciones!K924,Modificaciones!M924,Modificaciones!O924)</f>
        <v>0</v>
      </c>
      <c r="P924" s="128">
        <f>VLOOKUP(E924,Modificaciones!$B$7:$Q$1819,16,0)</f>
        <v>0</v>
      </c>
      <c r="Q924" s="129">
        <f>COUNTA(Modificaciones!S924,Modificaciones!U924,Modificaciones!W924,Modificaciones!Y924)</f>
        <v>0</v>
      </c>
      <c r="R924" s="130" t="str">
        <f>IF(Modificaciones!Z924=0,"",VLOOKUP(E924,Modificaciones!$B$7:$AA$1419,25,0))</f>
        <v/>
      </c>
      <c r="S924" s="131" t="str">
        <f>IF(Modificaciones!AA900=0,"",VLOOKUP(#REF!,Modificaciones!$B$7:$AA$1419,26,0))</f>
        <v/>
      </c>
      <c r="T924" s="855">
        <f t="shared" si="231"/>
        <v>0</v>
      </c>
      <c r="U924" s="62">
        <f t="shared" si="232"/>
        <v>0</v>
      </c>
      <c r="V924" s="172">
        <f>VLOOKUP(E924,Modificaciones!$B$7:$AU$819,46,0)</f>
        <v>0</v>
      </c>
      <c r="W924" s="93">
        <f t="shared" si="233"/>
        <v>0</v>
      </c>
      <c r="X924" s="1041"/>
      <c r="Y924" s="852" t="e">
        <f t="shared" si="234"/>
        <v>#DIV/0!</v>
      </c>
      <c r="Z924" s="42" t="e">
        <f t="shared" ca="1" si="235"/>
        <v>#DIV/0!</v>
      </c>
      <c r="AA924" s="43" t="e">
        <f t="shared" ca="1" si="236"/>
        <v>#DIV/0!</v>
      </c>
      <c r="AB924" s="202" t="e">
        <f t="shared" ca="1" si="237"/>
        <v>#DIV/0!</v>
      </c>
      <c r="AC924" s="44" t="e">
        <f t="shared" si="238"/>
        <v>#DIV/0!</v>
      </c>
      <c r="AD924" s="868"/>
      <c r="AE924" s="871"/>
      <c r="AF924" s="871"/>
      <c r="AG924" s="868"/>
      <c r="AH924" s="868"/>
      <c r="AI924" s="868"/>
      <c r="AJ924" s="868"/>
      <c r="AK924" s="181" t="str">
        <f t="shared" ca="1" si="239"/>
        <v>TERMINO</v>
      </c>
      <c r="AL924" s="441"/>
      <c r="AM924" s="433"/>
      <c r="AN924" s="848" t="str">
        <f>IFERROR(VLOOKUP(E924,'liquidaciones '!$B$2:$C$1048576,2,0),"NO")</f>
        <v>NO</v>
      </c>
      <c r="AO924" s="944" t="str">
        <f>IFERROR(VLOOKUP(E924,'liquidaciones '!$B$2:$I$1048576,8,0),"")</f>
        <v/>
      </c>
      <c r="AP924" s="433"/>
      <c r="AQ924" s="433"/>
      <c r="AR924" s="1069"/>
      <c r="AS924" s="1042"/>
      <c r="AT924" s="964"/>
      <c r="AU924" s="964"/>
      <c r="AV924" s="964"/>
    </row>
    <row r="925" spans="3:48" x14ac:dyDescent="0.25">
      <c r="C925" s="867"/>
      <c r="E925" s="868"/>
      <c r="F925" s="441"/>
      <c r="G925" s="868"/>
      <c r="H925" s="1005"/>
      <c r="I925" s="93"/>
      <c r="J925" s="869"/>
      <c r="K925" s="295"/>
      <c r="L925" s="546"/>
      <c r="M925" s="870"/>
      <c r="N925" s="870"/>
      <c r="O925" s="127">
        <f>COUNTA(Modificaciones!I925,Modificaciones!K925,Modificaciones!M925,Modificaciones!O925)</f>
        <v>0</v>
      </c>
      <c r="P925" s="128">
        <f>VLOOKUP(E925,Modificaciones!$B$7:$Q$1819,16,0)</f>
        <v>0</v>
      </c>
      <c r="Q925" s="129">
        <f>COUNTA(Modificaciones!S925,Modificaciones!U925,Modificaciones!W925,Modificaciones!Y925)</f>
        <v>0</v>
      </c>
      <c r="R925" s="130" t="str">
        <f>IF(Modificaciones!Z925=0,"",VLOOKUP(E925,Modificaciones!$B$7:$AA$1419,25,0))</f>
        <v/>
      </c>
      <c r="S925" s="131" t="str">
        <f>IF(Modificaciones!AA901=0,"",VLOOKUP(#REF!,Modificaciones!$B$7:$AA$1419,26,0))</f>
        <v/>
      </c>
      <c r="T925" s="855">
        <f t="shared" si="231"/>
        <v>0</v>
      </c>
      <c r="U925" s="62">
        <f t="shared" si="232"/>
        <v>0</v>
      </c>
      <c r="V925" s="172">
        <f>VLOOKUP(E925,Modificaciones!$B$7:$AU$819,46,0)</f>
        <v>0</v>
      </c>
      <c r="W925" s="93">
        <f t="shared" si="233"/>
        <v>0</v>
      </c>
      <c r="X925" s="1041"/>
      <c r="Y925" s="852" t="e">
        <f t="shared" si="234"/>
        <v>#DIV/0!</v>
      </c>
      <c r="Z925" s="42" t="e">
        <f t="shared" ca="1" si="235"/>
        <v>#DIV/0!</v>
      </c>
      <c r="AA925" s="43" t="e">
        <f t="shared" ca="1" si="236"/>
        <v>#DIV/0!</v>
      </c>
      <c r="AB925" s="202" t="e">
        <f t="shared" ca="1" si="237"/>
        <v>#DIV/0!</v>
      </c>
      <c r="AC925" s="44" t="e">
        <f t="shared" si="238"/>
        <v>#DIV/0!</v>
      </c>
      <c r="AD925" s="868"/>
      <c r="AE925" s="871"/>
      <c r="AF925" s="871"/>
      <c r="AG925" s="868"/>
      <c r="AH925" s="868"/>
      <c r="AI925" s="868"/>
      <c r="AJ925" s="868"/>
      <c r="AK925" s="181" t="str">
        <f t="shared" ca="1" si="239"/>
        <v>TERMINO</v>
      </c>
      <c r="AL925" s="441"/>
      <c r="AM925" s="433"/>
      <c r="AN925" s="848" t="str">
        <f>IFERROR(VLOOKUP(E925,'liquidaciones '!$B$2:$C$1048576,2,0),"NO")</f>
        <v>NO</v>
      </c>
      <c r="AO925" s="944" t="str">
        <f>IFERROR(VLOOKUP(E925,'liquidaciones '!$B$2:$I$1048576,8,0),"")</f>
        <v/>
      </c>
      <c r="AP925" s="433"/>
      <c r="AQ925" s="433"/>
      <c r="AR925" s="1069"/>
      <c r="AS925" s="1042"/>
      <c r="AT925" s="964"/>
      <c r="AU925" s="964"/>
      <c r="AV925" s="964"/>
    </row>
    <row r="926" spans="3:48" x14ac:dyDescent="0.25">
      <c r="C926" s="867"/>
      <c r="E926" s="868"/>
      <c r="F926" s="441"/>
      <c r="G926" s="868"/>
      <c r="H926" s="1005"/>
      <c r="I926" s="93"/>
      <c r="J926" s="869"/>
      <c r="K926" s="295"/>
      <c r="L926" s="546"/>
      <c r="M926" s="870"/>
      <c r="N926" s="870"/>
      <c r="O926" s="127">
        <f>COUNTA(Modificaciones!I926,Modificaciones!K926,Modificaciones!M926,Modificaciones!O926)</f>
        <v>0</v>
      </c>
      <c r="P926" s="128">
        <f>VLOOKUP(E926,Modificaciones!$B$7:$Q$1819,16,0)</f>
        <v>0</v>
      </c>
      <c r="Q926" s="129">
        <f>COUNTA(Modificaciones!S926,Modificaciones!U926,Modificaciones!W926,Modificaciones!Y926)</f>
        <v>0</v>
      </c>
      <c r="R926" s="130" t="str">
        <f>IF(Modificaciones!Z926=0,"",VLOOKUP(E926,Modificaciones!$B$7:$AA$1419,25,0))</f>
        <v/>
      </c>
      <c r="S926" s="131" t="str">
        <f>IF(Modificaciones!AA902=0,"",VLOOKUP(#REF!,Modificaciones!$B$7:$AA$1419,26,0))</f>
        <v/>
      </c>
      <c r="T926" s="855">
        <f t="shared" si="231"/>
        <v>0</v>
      </c>
      <c r="U926" s="62">
        <f t="shared" si="232"/>
        <v>0</v>
      </c>
      <c r="V926" s="172">
        <f>VLOOKUP(E926,Modificaciones!$B$7:$AU$819,46,0)</f>
        <v>0</v>
      </c>
      <c r="W926" s="93">
        <f t="shared" si="233"/>
        <v>0</v>
      </c>
      <c r="X926" s="1041"/>
      <c r="Y926" s="852" t="e">
        <f t="shared" si="234"/>
        <v>#DIV/0!</v>
      </c>
      <c r="Z926" s="42" t="e">
        <f t="shared" ca="1" si="235"/>
        <v>#DIV/0!</v>
      </c>
      <c r="AA926" s="43" t="e">
        <f t="shared" ca="1" si="236"/>
        <v>#DIV/0!</v>
      </c>
      <c r="AB926" s="202" t="e">
        <f t="shared" ca="1" si="237"/>
        <v>#DIV/0!</v>
      </c>
      <c r="AC926" s="44" t="e">
        <f t="shared" si="238"/>
        <v>#DIV/0!</v>
      </c>
      <c r="AD926" s="868"/>
      <c r="AE926" s="871"/>
      <c r="AF926" s="871"/>
      <c r="AG926" s="868"/>
      <c r="AH926" s="868"/>
      <c r="AI926" s="868"/>
      <c r="AJ926" s="868"/>
      <c r="AK926" s="181" t="str">
        <f t="shared" ca="1" si="239"/>
        <v>TERMINO</v>
      </c>
      <c r="AL926" s="441"/>
      <c r="AM926" s="433"/>
      <c r="AN926" s="848" t="str">
        <f>IFERROR(VLOOKUP(E926,'liquidaciones '!$B$2:$C$1048576,2,0),"NO")</f>
        <v>NO</v>
      </c>
      <c r="AO926" s="944" t="str">
        <f>IFERROR(VLOOKUP(E926,'liquidaciones '!$B$2:$I$1048576,8,0),"")</f>
        <v/>
      </c>
      <c r="AP926" s="433"/>
      <c r="AQ926" s="433"/>
      <c r="AR926" s="1069"/>
      <c r="AS926" s="1042"/>
      <c r="AT926" s="964"/>
      <c r="AU926" s="964"/>
      <c r="AV926" s="964"/>
    </row>
    <row r="927" spans="3:48" x14ac:dyDescent="0.25">
      <c r="C927" s="867"/>
      <c r="E927" s="868"/>
      <c r="F927" s="441"/>
      <c r="G927" s="868"/>
      <c r="H927" s="1005"/>
      <c r="I927" s="93"/>
      <c r="J927" s="869"/>
      <c r="K927" s="295"/>
      <c r="L927" s="546"/>
      <c r="M927" s="870"/>
      <c r="N927" s="870"/>
      <c r="O927" s="127">
        <f>COUNTA(Modificaciones!I927,Modificaciones!K927,Modificaciones!M927,Modificaciones!O927)</f>
        <v>0</v>
      </c>
      <c r="P927" s="128">
        <f>VLOOKUP(E927,Modificaciones!$B$7:$Q$1819,16,0)</f>
        <v>0</v>
      </c>
      <c r="Q927" s="129">
        <f>COUNTA(Modificaciones!S927,Modificaciones!U927,Modificaciones!W927,Modificaciones!Y927)</f>
        <v>0</v>
      </c>
      <c r="R927" s="130" t="str">
        <f>IF(Modificaciones!Z927=0,"",VLOOKUP(E927,Modificaciones!$B$7:$AA$1419,25,0))</f>
        <v/>
      </c>
      <c r="S927" s="131" t="str">
        <f>IF(Modificaciones!AA903=0,"",VLOOKUP(#REF!,Modificaciones!$B$7:$AA$1419,26,0))</f>
        <v/>
      </c>
      <c r="T927" s="855">
        <f t="shared" si="231"/>
        <v>0</v>
      </c>
      <c r="U927" s="62">
        <f t="shared" si="232"/>
        <v>0</v>
      </c>
      <c r="V927" s="172">
        <f>VLOOKUP(E927,Modificaciones!$B$7:$AU$819,46,0)</f>
        <v>0</v>
      </c>
      <c r="W927" s="93">
        <f t="shared" si="233"/>
        <v>0</v>
      </c>
      <c r="X927" s="1041"/>
      <c r="Y927" s="852" t="e">
        <f t="shared" si="234"/>
        <v>#DIV/0!</v>
      </c>
      <c r="Z927" s="42" t="e">
        <f t="shared" ca="1" si="235"/>
        <v>#DIV/0!</v>
      </c>
      <c r="AA927" s="43" t="e">
        <f t="shared" ca="1" si="236"/>
        <v>#DIV/0!</v>
      </c>
      <c r="AB927" s="202" t="e">
        <f t="shared" ca="1" si="237"/>
        <v>#DIV/0!</v>
      </c>
      <c r="AC927" s="44" t="e">
        <f t="shared" si="238"/>
        <v>#DIV/0!</v>
      </c>
      <c r="AD927" s="868"/>
      <c r="AE927" s="871"/>
      <c r="AF927" s="871"/>
      <c r="AG927" s="868"/>
      <c r="AH927" s="868"/>
      <c r="AI927" s="868"/>
      <c r="AJ927" s="868"/>
      <c r="AK927" s="181" t="str">
        <f t="shared" ca="1" si="239"/>
        <v>TERMINO</v>
      </c>
      <c r="AL927" s="441"/>
      <c r="AM927" s="433"/>
      <c r="AN927" s="848" t="str">
        <f>IFERROR(VLOOKUP(E927,'liquidaciones '!$B$2:$C$1048576,2,0),"NO")</f>
        <v>NO</v>
      </c>
      <c r="AO927" s="944" t="str">
        <f>IFERROR(VLOOKUP(E927,'liquidaciones '!$B$2:$I$1048576,8,0),"")</f>
        <v/>
      </c>
      <c r="AP927" s="433"/>
      <c r="AQ927" s="433"/>
      <c r="AR927" s="1069"/>
      <c r="AS927" s="1042"/>
      <c r="AT927" s="964"/>
      <c r="AU927" s="964"/>
      <c r="AV927" s="964"/>
    </row>
    <row r="928" spans="3:48" x14ac:dyDescent="0.25">
      <c r="C928" s="867"/>
      <c r="E928" s="868"/>
      <c r="F928" s="441"/>
      <c r="G928" s="868"/>
      <c r="H928" s="1005"/>
      <c r="I928" s="93"/>
      <c r="J928" s="869"/>
      <c r="K928" s="295"/>
      <c r="L928" s="546"/>
      <c r="M928" s="870"/>
      <c r="N928" s="870"/>
      <c r="O928" s="127">
        <f>COUNTA(Modificaciones!I928,Modificaciones!K928,Modificaciones!M928,Modificaciones!O928)</f>
        <v>0</v>
      </c>
      <c r="P928" s="128">
        <f>VLOOKUP(E928,Modificaciones!$B$7:$Q$1819,16,0)</f>
        <v>0</v>
      </c>
      <c r="Q928" s="129">
        <f>COUNTA(Modificaciones!S928,Modificaciones!U928,Modificaciones!W928,Modificaciones!Y928)</f>
        <v>0</v>
      </c>
      <c r="R928" s="130" t="str">
        <f>IF(Modificaciones!Z928=0,"",VLOOKUP(E928,Modificaciones!$B$7:$AA$1419,25,0))</f>
        <v/>
      </c>
      <c r="S928" s="131" t="str">
        <f>IF(Modificaciones!AA904=0,"",VLOOKUP(#REF!,Modificaciones!$B$7:$AA$1419,26,0))</f>
        <v/>
      </c>
      <c r="T928" s="855">
        <f t="shared" si="231"/>
        <v>0</v>
      </c>
      <c r="U928" s="62">
        <f t="shared" si="232"/>
        <v>0</v>
      </c>
      <c r="V928" s="172">
        <f>VLOOKUP(E928,Modificaciones!$B$7:$AU$819,46,0)</f>
        <v>0</v>
      </c>
      <c r="W928" s="93">
        <f t="shared" si="233"/>
        <v>0</v>
      </c>
      <c r="X928" s="1041"/>
      <c r="Y928" s="852" t="e">
        <f t="shared" si="234"/>
        <v>#DIV/0!</v>
      </c>
      <c r="Z928" s="42" t="e">
        <f t="shared" ca="1" si="235"/>
        <v>#DIV/0!</v>
      </c>
      <c r="AA928" s="43" t="e">
        <f t="shared" ca="1" si="236"/>
        <v>#DIV/0!</v>
      </c>
      <c r="AB928" s="202" t="e">
        <f t="shared" ca="1" si="237"/>
        <v>#DIV/0!</v>
      </c>
      <c r="AC928" s="44" t="e">
        <f t="shared" si="238"/>
        <v>#DIV/0!</v>
      </c>
      <c r="AD928" s="868"/>
      <c r="AE928" s="871"/>
      <c r="AF928" s="871"/>
      <c r="AG928" s="868"/>
      <c r="AH928" s="868"/>
      <c r="AI928" s="868"/>
      <c r="AJ928" s="868"/>
      <c r="AK928" s="181" t="str">
        <f t="shared" ca="1" si="239"/>
        <v>TERMINO</v>
      </c>
      <c r="AL928" s="441"/>
      <c r="AM928" s="433"/>
      <c r="AN928" s="848" t="str">
        <f>IFERROR(VLOOKUP(E928,'liquidaciones '!$B$2:$C$1048576,2,0),"NO")</f>
        <v>NO</v>
      </c>
      <c r="AO928" s="944" t="str">
        <f>IFERROR(VLOOKUP(E928,'liquidaciones '!$B$2:$I$1048576,8,0),"")</f>
        <v/>
      </c>
      <c r="AP928" s="433"/>
      <c r="AQ928" s="433"/>
      <c r="AR928" s="1069"/>
      <c r="AS928" s="1042"/>
      <c r="AT928" s="964"/>
      <c r="AU928" s="964"/>
      <c r="AV928" s="964"/>
    </row>
    <row r="929" spans="3:48" x14ac:dyDescent="0.25">
      <c r="C929" s="867"/>
      <c r="E929" s="868"/>
      <c r="F929" s="441"/>
      <c r="G929" s="868"/>
      <c r="H929" s="1005"/>
      <c r="I929" s="93"/>
      <c r="J929" s="869"/>
      <c r="K929" s="295"/>
      <c r="L929" s="546"/>
      <c r="M929" s="870"/>
      <c r="N929" s="870"/>
      <c r="O929" s="127">
        <f>COUNTA(Modificaciones!I929,Modificaciones!K929,Modificaciones!M929,Modificaciones!O929)</f>
        <v>0</v>
      </c>
      <c r="P929" s="128">
        <f>VLOOKUP(E929,Modificaciones!$B$7:$Q$1819,16,0)</f>
        <v>0</v>
      </c>
      <c r="Q929" s="129">
        <f>COUNTA(Modificaciones!S929,Modificaciones!U929,Modificaciones!W929,Modificaciones!Y929)</f>
        <v>0</v>
      </c>
      <c r="R929" s="130" t="str">
        <f>IF(Modificaciones!Z929=0,"",VLOOKUP(E929,Modificaciones!$B$7:$AA$1419,25,0))</f>
        <v/>
      </c>
      <c r="S929" s="131" t="str">
        <f>IF(Modificaciones!AA905=0,"",VLOOKUP(#REF!,Modificaciones!$B$7:$AA$1419,26,0))</f>
        <v/>
      </c>
      <c r="T929" s="855">
        <f t="shared" si="231"/>
        <v>0</v>
      </c>
      <c r="U929" s="62">
        <f t="shared" si="232"/>
        <v>0</v>
      </c>
      <c r="V929" s="172">
        <f>VLOOKUP(E929,Modificaciones!$B$7:$AU$819,46,0)</f>
        <v>0</v>
      </c>
      <c r="W929" s="93">
        <f t="shared" si="233"/>
        <v>0</v>
      </c>
      <c r="X929" s="1041"/>
      <c r="Y929" s="852" t="e">
        <f t="shared" si="234"/>
        <v>#DIV/0!</v>
      </c>
      <c r="Z929" s="42" t="e">
        <f t="shared" ca="1" si="235"/>
        <v>#DIV/0!</v>
      </c>
      <c r="AA929" s="43" t="e">
        <f t="shared" ca="1" si="236"/>
        <v>#DIV/0!</v>
      </c>
      <c r="AB929" s="202" t="e">
        <f t="shared" ca="1" si="237"/>
        <v>#DIV/0!</v>
      </c>
      <c r="AC929" s="44" t="e">
        <f t="shared" si="238"/>
        <v>#DIV/0!</v>
      </c>
      <c r="AD929" s="868"/>
      <c r="AE929" s="871"/>
      <c r="AF929" s="871"/>
      <c r="AG929" s="868"/>
      <c r="AH929" s="868"/>
      <c r="AI929" s="868"/>
      <c r="AJ929" s="868"/>
      <c r="AK929" s="181" t="str">
        <f t="shared" ca="1" si="239"/>
        <v>TERMINO</v>
      </c>
      <c r="AL929" s="441"/>
      <c r="AM929" s="433"/>
      <c r="AN929" s="848" t="str">
        <f>IFERROR(VLOOKUP(E929,'liquidaciones '!$B$2:$C$1048576,2,0),"NO")</f>
        <v>NO</v>
      </c>
      <c r="AO929" s="944" t="str">
        <f>IFERROR(VLOOKUP(E929,'liquidaciones '!$B$2:$I$1048576,8,0),"")</f>
        <v/>
      </c>
      <c r="AP929" s="433"/>
      <c r="AQ929" s="433"/>
      <c r="AR929" s="1069"/>
      <c r="AS929" s="1042"/>
      <c r="AT929" s="964"/>
      <c r="AU929" s="964"/>
      <c r="AV929" s="964"/>
    </row>
    <row r="930" spans="3:48" x14ac:dyDescent="0.25">
      <c r="C930" s="867"/>
      <c r="E930" s="868"/>
      <c r="F930" s="441"/>
      <c r="G930" s="868"/>
      <c r="H930" s="1005"/>
      <c r="I930" s="93"/>
      <c r="J930" s="869"/>
      <c r="K930" s="295"/>
      <c r="L930" s="546"/>
      <c r="M930" s="870"/>
      <c r="N930" s="870"/>
      <c r="O930" s="127">
        <f>COUNTA(Modificaciones!I930,Modificaciones!K930,Modificaciones!M930,Modificaciones!O930)</f>
        <v>0</v>
      </c>
      <c r="P930" s="128">
        <f>VLOOKUP(E930,Modificaciones!$B$7:$Q$1819,16,0)</f>
        <v>0</v>
      </c>
      <c r="Q930" s="129">
        <f>COUNTA(Modificaciones!S930,Modificaciones!U930,Modificaciones!W930,Modificaciones!Y930)</f>
        <v>0</v>
      </c>
      <c r="R930" s="130" t="str">
        <f>IF(Modificaciones!Z930=0,"",VLOOKUP(E930,Modificaciones!$B$7:$AA$1419,25,0))</f>
        <v/>
      </c>
      <c r="S930" s="131" t="str">
        <f>IF(Modificaciones!AA906=0,"",VLOOKUP(#REF!,Modificaciones!$B$7:$AA$1419,26,0))</f>
        <v/>
      </c>
      <c r="T930" s="855">
        <f t="shared" si="231"/>
        <v>0</v>
      </c>
      <c r="U930" s="62">
        <f t="shared" si="232"/>
        <v>0</v>
      </c>
      <c r="V930" s="172">
        <f>VLOOKUP(E930,Modificaciones!$B$7:$AU$819,46,0)</f>
        <v>0</v>
      </c>
      <c r="W930" s="93">
        <f t="shared" si="233"/>
        <v>0</v>
      </c>
      <c r="X930" s="1041"/>
      <c r="Y930" s="852" t="e">
        <f t="shared" si="234"/>
        <v>#DIV/0!</v>
      </c>
      <c r="Z930" s="42" t="e">
        <f t="shared" ca="1" si="235"/>
        <v>#DIV/0!</v>
      </c>
      <c r="AA930" s="43" t="e">
        <f t="shared" ca="1" si="236"/>
        <v>#DIV/0!</v>
      </c>
      <c r="AB930" s="202" t="e">
        <f t="shared" ca="1" si="237"/>
        <v>#DIV/0!</v>
      </c>
      <c r="AC930" s="44" t="e">
        <f t="shared" si="238"/>
        <v>#DIV/0!</v>
      </c>
      <c r="AD930" s="868"/>
      <c r="AE930" s="871"/>
      <c r="AF930" s="871"/>
      <c r="AG930" s="868"/>
      <c r="AH930" s="868"/>
      <c r="AI930" s="868"/>
      <c r="AJ930" s="868"/>
      <c r="AK930" s="181" t="str">
        <f t="shared" ca="1" si="239"/>
        <v>TERMINO</v>
      </c>
      <c r="AL930" s="441"/>
      <c r="AM930" s="433"/>
      <c r="AN930" s="848" t="str">
        <f>IFERROR(VLOOKUP(E930,'liquidaciones '!$B$2:$C$1048576,2,0),"NO")</f>
        <v>NO</v>
      </c>
      <c r="AO930" s="944" t="str">
        <f>IFERROR(VLOOKUP(E930,'liquidaciones '!$B$2:$I$1048576,8,0),"")</f>
        <v/>
      </c>
      <c r="AP930" s="433"/>
      <c r="AQ930" s="433"/>
      <c r="AR930" s="1069"/>
      <c r="AS930" s="1042"/>
      <c r="AT930" s="964"/>
      <c r="AU930" s="964"/>
      <c r="AV930" s="964"/>
    </row>
    <row r="931" spans="3:48" x14ac:dyDescent="0.25">
      <c r="C931" s="867"/>
      <c r="E931" s="868"/>
      <c r="F931" s="441"/>
      <c r="G931" s="868"/>
      <c r="H931" s="1005"/>
      <c r="I931" s="93"/>
      <c r="J931" s="869"/>
      <c r="K931" s="295"/>
      <c r="L931" s="546"/>
      <c r="M931" s="870"/>
      <c r="N931" s="870"/>
      <c r="O931" s="127">
        <f>COUNTA(Modificaciones!I931,Modificaciones!K931,Modificaciones!M931,Modificaciones!O931)</f>
        <v>0</v>
      </c>
      <c r="P931" s="128">
        <f>VLOOKUP(E931,Modificaciones!$B$7:$Q$1819,16,0)</f>
        <v>0</v>
      </c>
      <c r="Q931" s="129">
        <f>COUNTA(Modificaciones!S931,Modificaciones!U931,Modificaciones!W931,Modificaciones!Y931)</f>
        <v>0</v>
      </c>
      <c r="R931" s="130" t="str">
        <f>IF(Modificaciones!Z931=0,"",VLOOKUP(E931,Modificaciones!$B$7:$AA$1419,25,0))</f>
        <v/>
      </c>
      <c r="S931" s="131" t="str">
        <f>IF(Modificaciones!AA907=0,"",VLOOKUP(#REF!,Modificaciones!$B$7:$AA$1419,26,0))</f>
        <v/>
      </c>
      <c r="T931" s="855">
        <f t="shared" si="231"/>
        <v>0</v>
      </c>
      <c r="U931" s="62">
        <f t="shared" si="232"/>
        <v>0</v>
      </c>
      <c r="V931" s="172">
        <f>VLOOKUP(E931,Modificaciones!$B$7:$AU$819,46,0)</f>
        <v>0</v>
      </c>
      <c r="W931" s="93">
        <f t="shared" si="233"/>
        <v>0</v>
      </c>
      <c r="X931" s="1041"/>
      <c r="Y931" s="852" t="e">
        <f t="shared" si="234"/>
        <v>#DIV/0!</v>
      </c>
      <c r="Z931" s="42" t="e">
        <f t="shared" ca="1" si="235"/>
        <v>#DIV/0!</v>
      </c>
      <c r="AA931" s="43" t="e">
        <f t="shared" ca="1" si="236"/>
        <v>#DIV/0!</v>
      </c>
      <c r="AB931" s="202" t="e">
        <f t="shared" ca="1" si="237"/>
        <v>#DIV/0!</v>
      </c>
      <c r="AC931" s="44" t="e">
        <f t="shared" si="238"/>
        <v>#DIV/0!</v>
      </c>
      <c r="AD931" s="868"/>
      <c r="AE931" s="871"/>
      <c r="AF931" s="871"/>
      <c r="AG931" s="868"/>
      <c r="AH931" s="868"/>
      <c r="AI931" s="868"/>
      <c r="AJ931" s="868"/>
      <c r="AK931" s="181" t="str">
        <f t="shared" ca="1" si="239"/>
        <v>TERMINO</v>
      </c>
      <c r="AL931" s="441"/>
      <c r="AM931" s="433"/>
      <c r="AN931" s="848" t="str">
        <f>IFERROR(VLOOKUP(E931,'liquidaciones '!$B$2:$C$1048576,2,0),"NO")</f>
        <v>NO</v>
      </c>
      <c r="AO931" s="944" t="str">
        <f>IFERROR(VLOOKUP(E931,'liquidaciones '!$B$2:$I$1048576,8,0),"")</f>
        <v/>
      </c>
      <c r="AP931" s="433"/>
      <c r="AQ931" s="433"/>
      <c r="AR931" s="1069"/>
      <c r="AS931" s="1042"/>
      <c r="AT931" s="964"/>
      <c r="AU931" s="964"/>
      <c r="AV931" s="964"/>
    </row>
    <row r="932" spans="3:48" x14ac:dyDescent="0.25">
      <c r="C932" s="867"/>
      <c r="E932" s="868"/>
      <c r="F932" s="441"/>
      <c r="G932" s="868"/>
      <c r="H932" s="1005"/>
      <c r="I932" s="93"/>
      <c r="J932" s="869"/>
      <c r="K932" s="295"/>
      <c r="L932" s="546"/>
      <c r="M932" s="870"/>
      <c r="N932" s="870"/>
      <c r="O932" s="127">
        <f>COUNTA(Modificaciones!I932,Modificaciones!K932,Modificaciones!M932,Modificaciones!O932)</f>
        <v>0</v>
      </c>
      <c r="P932" s="128">
        <f>VLOOKUP(E932,Modificaciones!$B$7:$Q$1819,16,0)</f>
        <v>0</v>
      </c>
      <c r="Q932" s="129">
        <f>COUNTA(Modificaciones!S932,Modificaciones!U932,Modificaciones!W932,Modificaciones!Y932)</f>
        <v>0</v>
      </c>
      <c r="R932" s="130" t="str">
        <f>IF(Modificaciones!Z932=0,"",VLOOKUP(E932,Modificaciones!$B$7:$AA$1419,25,0))</f>
        <v/>
      </c>
      <c r="S932" s="131" t="str">
        <f>IF(Modificaciones!AA908=0,"",VLOOKUP(#REF!,Modificaciones!$B$7:$AA$1419,26,0))</f>
        <v/>
      </c>
      <c r="T932" s="855">
        <f t="shared" si="231"/>
        <v>0</v>
      </c>
      <c r="U932" s="62">
        <f t="shared" si="232"/>
        <v>0</v>
      </c>
      <c r="V932" s="172">
        <f>VLOOKUP(E932,Modificaciones!$B$7:$AU$819,46,0)</f>
        <v>0</v>
      </c>
      <c r="W932" s="93">
        <f t="shared" si="233"/>
        <v>0</v>
      </c>
      <c r="X932" s="1041"/>
      <c r="Y932" s="852" t="e">
        <f t="shared" si="234"/>
        <v>#DIV/0!</v>
      </c>
      <c r="Z932" s="42" t="e">
        <f t="shared" ca="1" si="235"/>
        <v>#DIV/0!</v>
      </c>
      <c r="AA932" s="43" t="e">
        <f t="shared" ca="1" si="236"/>
        <v>#DIV/0!</v>
      </c>
      <c r="AB932" s="202" t="e">
        <f t="shared" ca="1" si="237"/>
        <v>#DIV/0!</v>
      </c>
      <c r="AC932" s="44" t="e">
        <f t="shared" si="238"/>
        <v>#DIV/0!</v>
      </c>
      <c r="AD932" s="868"/>
      <c r="AE932" s="871"/>
      <c r="AF932" s="871"/>
      <c r="AG932" s="868"/>
      <c r="AH932" s="868"/>
      <c r="AI932" s="868"/>
      <c r="AJ932" s="868"/>
      <c r="AK932" s="181" t="str">
        <f t="shared" ca="1" si="239"/>
        <v>TERMINO</v>
      </c>
      <c r="AL932" s="441"/>
      <c r="AM932" s="433"/>
      <c r="AN932" s="848" t="str">
        <f>IFERROR(VLOOKUP(E932,'liquidaciones '!$B$2:$C$1048576,2,0),"NO")</f>
        <v>NO</v>
      </c>
      <c r="AO932" s="944" t="str">
        <f>IFERROR(VLOOKUP(E932,'liquidaciones '!$B$2:$I$1048576,8,0),"")</f>
        <v/>
      </c>
      <c r="AP932" s="433"/>
      <c r="AQ932" s="433"/>
      <c r="AR932" s="1069"/>
      <c r="AS932" s="1042"/>
      <c r="AT932" s="964"/>
      <c r="AU932" s="964"/>
      <c r="AV932" s="964"/>
    </row>
    <row r="933" spans="3:48" x14ac:dyDescent="0.25">
      <c r="C933" s="867"/>
      <c r="E933" s="868"/>
      <c r="F933" s="441"/>
      <c r="G933" s="868"/>
      <c r="H933" s="1005"/>
      <c r="I933" s="93"/>
      <c r="J933" s="869"/>
      <c r="K933" s="295"/>
      <c r="L933" s="546"/>
      <c r="M933" s="870"/>
      <c r="N933" s="870"/>
      <c r="O933" s="127">
        <f>COUNTA(Modificaciones!I933,Modificaciones!K933,Modificaciones!M933,Modificaciones!O933)</f>
        <v>0</v>
      </c>
      <c r="P933" s="128">
        <f>VLOOKUP(E933,Modificaciones!$B$7:$Q$1819,16,0)</f>
        <v>0</v>
      </c>
      <c r="Q933" s="129">
        <f>COUNTA(Modificaciones!S933,Modificaciones!U933,Modificaciones!W933,Modificaciones!Y933)</f>
        <v>0</v>
      </c>
      <c r="R933" s="130" t="str">
        <f>IF(Modificaciones!Z933=0,"",VLOOKUP(E933,Modificaciones!$B$7:$AA$1419,25,0))</f>
        <v/>
      </c>
      <c r="S933" s="131" t="str">
        <f>IF(Modificaciones!AA909=0,"",VLOOKUP(#REF!,Modificaciones!$B$7:$AA$1419,26,0))</f>
        <v/>
      </c>
      <c r="T933" s="855">
        <f t="shared" si="231"/>
        <v>0</v>
      </c>
      <c r="U933" s="62">
        <f t="shared" si="232"/>
        <v>0</v>
      </c>
      <c r="V933" s="172">
        <f>VLOOKUP(E933,Modificaciones!$B$7:$AU$819,46,0)</f>
        <v>0</v>
      </c>
      <c r="W933" s="93">
        <f t="shared" si="233"/>
        <v>0</v>
      </c>
      <c r="X933" s="1041"/>
      <c r="Y933" s="852" t="e">
        <f t="shared" si="234"/>
        <v>#DIV/0!</v>
      </c>
      <c r="Z933" s="42" t="e">
        <f t="shared" ca="1" si="235"/>
        <v>#DIV/0!</v>
      </c>
      <c r="AA933" s="43" t="e">
        <f t="shared" ca="1" si="236"/>
        <v>#DIV/0!</v>
      </c>
      <c r="AB933" s="202" t="e">
        <f t="shared" ca="1" si="237"/>
        <v>#DIV/0!</v>
      </c>
      <c r="AC933" s="44" t="e">
        <f t="shared" si="238"/>
        <v>#DIV/0!</v>
      </c>
      <c r="AD933" s="868"/>
      <c r="AE933" s="871"/>
      <c r="AF933" s="871"/>
      <c r="AG933" s="868"/>
      <c r="AH933" s="868"/>
      <c r="AI933" s="868"/>
      <c r="AJ933" s="868"/>
      <c r="AK933" s="181" t="str">
        <f t="shared" ca="1" si="239"/>
        <v>TERMINO</v>
      </c>
      <c r="AL933" s="441"/>
      <c r="AM933" s="433"/>
      <c r="AN933" s="848" t="str">
        <f>IFERROR(VLOOKUP(E933,'liquidaciones '!$B$2:$C$1048576,2,0),"NO")</f>
        <v>NO</v>
      </c>
      <c r="AO933" s="944" t="str">
        <f>IFERROR(VLOOKUP(E933,'liquidaciones '!$B$2:$I$1048576,8,0),"")</f>
        <v/>
      </c>
      <c r="AP933" s="433"/>
      <c r="AQ933" s="433"/>
      <c r="AR933" s="1069"/>
      <c r="AS933" s="1042"/>
      <c r="AT933" s="964"/>
      <c r="AU933" s="964"/>
      <c r="AV933" s="964"/>
    </row>
    <row r="934" spans="3:48" x14ac:dyDescent="0.25">
      <c r="C934" s="867"/>
      <c r="E934" s="868"/>
      <c r="F934" s="441"/>
      <c r="G934" s="868"/>
      <c r="H934" s="1005"/>
      <c r="I934" s="93"/>
      <c r="J934" s="869"/>
      <c r="K934" s="295"/>
      <c r="L934" s="546"/>
      <c r="M934" s="870"/>
      <c r="N934" s="870"/>
      <c r="O934" s="127">
        <f>COUNTA(Modificaciones!I934,Modificaciones!K934,Modificaciones!M934,Modificaciones!O934)</f>
        <v>0</v>
      </c>
      <c r="P934" s="128">
        <f>VLOOKUP(E934,Modificaciones!$B$7:$Q$1819,16,0)</f>
        <v>0</v>
      </c>
      <c r="Q934" s="129">
        <f>COUNTA(Modificaciones!S934,Modificaciones!U934,Modificaciones!W934,Modificaciones!Y934)</f>
        <v>0</v>
      </c>
      <c r="R934" s="130" t="str">
        <f>IF(Modificaciones!Z934=0,"",VLOOKUP(E934,Modificaciones!$B$7:$AA$1419,25,0))</f>
        <v/>
      </c>
      <c r="S934" s="131" t="str">
        <f>IF(Modificaciones!AA910=0,"",VLOOKUP(#REF!,Modificaciones!$B$7:$AA$1419,26,0))</f>
        <v/>
      </c>
      <c r="T934" s="855">
        <f t="shared" si="231"/>
        <v>0</v>
      </c>
      <c r="U934" s="62">
        <f t="shared" si="232"/>
        <v>0</v>
      </c>
      <c r="V934" s="172">
        <f>VLOOKUP(E934,Modificaciones!$B$7:$AU$819,46,0)</f>
        <v>0</v>
      </c>
      <c r="W934" s="93">
        <f t="shared" si="233"/>
        <v>0</v>
      </c>
      <c r="X934" s="1041"/>
      <c r="Y934" s="852" t="e">
        <f t="shared" si="234"/>
        <v>#DIV/0!</v>
      </c>
      <c r="Z934" s="42" t="e">
        <f t="shared" ca="1" si="235"/>
        <v>#DIV/0!</v>
      </c>
      <c r="AA934" s="43" t="e">
        <f t="shared" ca="1" si="236"/>
        <v>#DIV/0!</v>
      </c>
      <c r="AB934" s="202" t="e">
        <f t="shared" ca="1" si="237"/>
        <v>#DIV/0!</v>
      </c>
      <c r="AC934" s="44" t="e">
        <f t="shared" si="238"/>
        <v>#DIV/0!</v>
      </c>
      <c r="AD934" s="868"/>
      <c r="AE934" s="871"/>
      <c r="AF934" s="871"/>
      <c r="AG934" s="868"/>
      <c r="AH934" s="868"/>
      <c r="AI934" s="868"/>
      <c r="AJ934" s="868"/>
      <c r="AK934" s="181" t="str">
        <f t="shared" ca="1" si="239"/>
        <v>TERMINO</v>
      </c>
      <c r="AL934" s="441"/>
      <c r="AM934" s="433"/>
      <c r="AN934" s="848" t="str">
        <f>IFERROR(VLOOKUP(E934,'liquidaciones '!$B$2:$C$1048576,2,0),"NO")</f>
        <v>NO</v>
      </c>
      <c r="AO934" s="944" t="str">
        <f>IFERROR(VLOOKUP(E934,'liquidaciones '!$B$2:$I$1048576,8,0),"")</f>
        <v/>
      </c>
      <c r="AP934" s="433"/>
      <c r="AQ934" s="433"/>
      <c r="AR934" s="1069"/>
      <c r="AS934" s="1042"/>
      <c r="AT934" s="964"/>
      <c r="AU934" s="964"/>
      <c r="AV934" s="964"/>
    </row>
    <row r="935" spans="3:48" x14ac:dyDescent="0.25">
      <c r="C935" s="867"/>
      <c r="E935" s="868"/>
      <c r="F935" s="441"/>
      <c r="G935" s="868"/>
      <c r="H935" s="1005"/>
      <c r="I935" s="93"/>
      <c r="J935" s="869"/>
      <c r="K935" s="295"/>
      <c r="L935" s="546"/>
      <c r="M935" s="870"/>
      <c r="N935" s="870"/>
      <c r="O935" s="127">
        <f>COUNTA(Modificaciones!I935,Modificaciones!K935,Modificaciones!M935,Modificaciones!O935)</f>
        <v>0</v>
      </c>
      <c r="P935" s="128">
        <f>VLOOKUP(E935,Modificaciones!$B$7:$Q$1819,16,0)</f>
        <v>0</v>
      </c>
      <c r="Q935" s="129">
        <f>COUNTA(Modificaciones!S935,Modificaciones!U935,Modificaciones!W935,Modificaciones!Y935)</f>
        <v>0</v>
      </c>
      <c r="R935" s="130" t="str">
        <f>IF(Modificaciones!Z935=0,"",VLOOKUP(E935,Modificaciones!$B$7:$AA$1419,25,0))</f>
        <v/>
      </c>
      <c r="S935" s="131" t="str">
        <f>IF(Modificaciones!AA911=0,"",VLOOKUP(#REF!,Modificaciones!$B$7:$AA$1419,26,0))</f>
        <v/>
      </c>
      <c r="T935" s="855">
        <f t="shared" si="231"/>
        <v>0</v>
      </c>
      <c r="U935" s="62">
        <f t="shared" si="232"/>
        <v>0</v>
      </c>
      <c r="V935" s="172">
        <f>VLOOKUP(E935,Modificaciones!$B$7:$AU$819,46,0)</f>
        <v>0</v>
      </c>
      <c r="W935" s="93">
        <f t="shared" si="233"/>
        <v>0</v>
      </c>
      <c r="X935" s="1041"/>
      <c r="Y935" s="852" t="e">
        <f t="shared" si="234"/>
        <v>#DIV/0!</v>
      </c>
      <c r="Z935" s="42" t="e">
        <f t="shared" ca="1" si="235"/>
        <v>#DIV/0!</v>
      </c>
      <c r="AA935" s="43" t="e">
        <f t="shared" ca="1" si="236"/>
        <v>#DIV/0!</v>
      </c>
      <c r="AB935" s="202" t="e">
        <f t="shared" ca="1" si="237"/>
        <v>#DIV/0!</v>
      </c>
      <c r="AC935" s="44" t="e">
        <f t="shared" si="238"/>
        <v>#DIV/0!</v>
      </c>
      <c r="AD935" s="868"/>
      <c r="AE935" s="871"/>
      <c r="AF935" s="871"/>
      <c r="AG935" s="868"/>
      <c r="AH935" s="868"/>
      <c r="AI935" s="868"/>
      <c r="AJ935" s="868"/>
      <c r="AK935" s="181" t="str">
        <f t="shared" ca="1" si="239"/>
        <v>TERMINO</v>
      </c>
      <c r="AL935" s="441"/>
      <c r="AM935" s="433"/>
      <c r="AN935" s="848" t="str">
        <f>IFERROR(VLOOKUP(E935,'liquidaciones '!$B$2:$C$1048576,2,0),"NO")</f>
        <v>NO</v>
      </c>
      <c r="AO935" s="944" t="str">
        <f>IFERROR(VLOOKUP(E935,'liquidaciones '!$B$2:$I$1048576,8,0),"")</f>
        <v/>
      </c>
      <c r="AP935" s="433"/>
      <c r="AQ935" s="433"/>
      <c r="AR935" s="1069"/>
      <c r="AS935" s="1042"/>
      <c r="AT935" s="964"/>
      <c r="AU935" s="964"/>
      <c r="AV935" s="964"/>
    </row>
    <row r="936" spans="3:48" x14ac:dyDescent="0.25">
      <c r="C936" s="867"/>
      <c r="E936" s="868"/>
      <c r="F936" s="441"/>
      <c r="G936" s="868"/>
      <c r="H936" s="1005"/>
      <c r="I936" s="93"/>
      <c r="J936" s="869"/>
      <c r="K936" s="295"/>
      <c r="L936" s="546"/>
      <c r="M936" s="870"/>
      <c r="N936" s="870"/>
      <c r="O936" s="127">
        <f>COUNTA(Modificaciones!I936,Modificaciones!K936,Modificaciones!M936,Modificaciones!O936)</f>
        <v>0</v>
      </c>
      <c r="P936" s="128">
        <f>VLOOKUP(E936,Modificaciones!$B$7:$Q$1819,16,0)</f>
        <v>0</v>
      </c>
      <c r="Q936" s="129">
        <f>COUNTA(Modificaciones!S936,Modificaciones!U936,Modificaciones!W936,Modificaciones!Y936)</f>
        <v>0</v>
      </c>
      <c r="R936" s="130" t="str">
        <f>IF(Modificaciones!Z936=0,"",VLOOKUP(E936,Modificaciones!$B$7:$AA$1419,25,0))</f>
        <v/>
      </c>
      <c r="S936" s="131" t="str">
        <f>IF(Modificaciones!AA912=0,"",VLOOKUP(#REF!,Modificaciones!$B$7:$AA$1419,26,0))</f>
        <v/>
      </c>
      <c r="T936" s="855">
        <f t="shared" si="231"/>
        <v>0</v>
      </c>
      <c r="U936" s="62">
        <f t="shared" si="232"/>
        <v>0</v>
      </c>
      <c r="V936" s="172">
        <f>VLOOKUP(E936,Modificaciones!$B$7:$AU$819,46,0)</f>
        <v>0</v>
      </c>
      <c r="W936" s="93">
        <f t="shared" si="233"/>
        <v>0</v>
      </c>
      <c r="X936" s="1041"/>
      <c r="Y936" s="852" t="e">
        <f t="shared" si="234"/>
        <v>#DIV/0!</v>
      </c>
      <c r="Z936" s="42" t="e">
        <f t="shared" ca="1" si="235"/>
        <v>#DIV/0!</v>
      </c>
      <c r="AA936" s="43" t="e">
        <f t="shared" ca="1" si="236"/>
        <v>#DIV/0!</v>
      </c>
      <c r="AB936" s="202" t="e">
        <f t="shared" ca="1" si="237"/>
        <v>#DIV/0!</v>
      </c>
      <c r="AC936" s="44" t="e">
        <f t="shared" si="238"/>
        <v>#DIV/0!</v>
      </c>
      <c r="AD936" s="868"/>
      <c r="AE936" s="871"/>
      <c r="AF936" s="871"/>
      <c r="AG936" s="868"/>
      <c r="AH936" s="868"/>
      <c r="AI936" s="868"/>
      <c r="AJ936" s="868"/>
      <c r="AK936" s="181" t="str">
        <f t="shared" ca="1" si="239"/>
        <v>TERMINO</v>
      </c>
      <c r="AL936" s="441"/>
      <c r="AM936" s="433"/>
      <c r="AN936" s="848" t="str">
        <f>IFERROR(VLOOKUP(E936,'liquidaciones '!$B$2:$C$1048576,2,0),"NO")</f>
        <v>NO</v>
      </c>
      <c r="AO936" s="944" t="str">
        <f>IFERROR(VLOOKUP(E936,'liquidaciones '!$B$2:$I$1048576,8,0),"")</f>
        <v/>
      </c>
      <c r="AP936" s="433"/>
      <c r="AQ936" s="433"/>
      <c r="AR936" s="1069"/>
      <c r="AS936" s="1042"/>
      <c r="AT936" s="964"/>
      <c r="AU936" s="964"/>
      <c r="AV936" s="964"/>
    </row>
    <row r="937" spans="3:48" x14ac:dyDescent="0.25">
      <c r="C937" s="867"/>
      <c r="E937" s="868"/>
      <c r="F937" s="441"/>
      <c r="G937" s="868"/>
      <c r="H937" s="1005"/>
      <c r="I937" s="93"/>
      <c r="J937" s="869"/>
      <c r="K937" s="295"/>
      <c r="L937" s="546"/>
      <c r="M937" s="870"/>
      <c r="N937" s="870"/>
      <c r="O937" s="127">
        <f>COUNTA(Modificaciones!I937,Modificaciones!K937,Modificaciones!M937,Modificaciones!O937)</f>
        <v>0</v>
      </c>
      <c r="P937" s="128">
        <f>VLOOKUP(E937,Modificaciones!$B$7:$Q$1819,16,0)</f>
        <v>0</v>
      </c>
      <c r="Q937" s="129">
        <f>COUNTA(Modificaciones!S937,Modificaciones!U937,Modificaciones!W937,Modificaciones!Y937)</f>
        <v>0</v>
      </c>
      <c r="R937" s="130" t="str">
        <f>IF(Modificaciones!Z937=0,"",VLOOKUP(E937,Modificaciones!$B$7:$AA$1419,25,0))</f>
        <v/>
      </c>
      <c r="S937" s="131" t="str">
        <f>IF(Modificaciones!AA913=0,"",VLOOKUP(#REF!,Modificaciones!$B$7:$AA$1419,26,0))</f>
        <v/>
      </c>
      <c r="T937" s="855">
        <f t="shared" si="231"/>
        <v>0</v>
      </c>
      <c r="U937" s="62">
        <f t="shared" si="232"/>
        <v>0</v>
      </c>
      <c r="V937" s="172">
        <f>VLOOKUP(E937,Modificaciones!$B$7:$AU$819,46,0)</f>
        <v>0</v>
      </c>
      <c r="W937" s="93">
        <f t="shared" si="233"/>
        <v>0</v>
      </c>
      <c r="X937" s="1041"/>
      <c r="Y937" s="852" t="e">
        <f t="shared" si="234"/>
        <v>#DIV/0!</v>
      </c>
      <c r="Z937" s="42" t="e">
        <f t="shared" ca="1" si="235"/>
        <v>#DIV/0!</v>
      </c>
      <c r="AA937" s="43" t="e">
        <f t="shared" ca="1" si="236"/>
        <v>#DIV/0!</v>
      </c>
      <c r="AB937" s="202" t="e">
        <f t="shared" ca="1" si="237"/>
        <v>#DIV/0!</v>
      </c>
      <c r="AC937" s="44" t="e">
        <f t="shared" si="238"/>
        <v>#DIV/0!</v>
      </c>
      <c r="AD937" s="868"/>
      <c r="AE937" s="871"/>
      <c r="AF937" s="871"/>
      <c r="AG937" s="868"/>
      <c r="AH937" s="868"/>
      <c r="AI937" s="868"/>
      <c r="AJ937" s="868"/>
      <c r="AK937" s="181" t="str">
        <f t="shared" ca="1" si="239"/>
        <v>TERMINO</v>
      </c>
      <c r="AL937" s="441"/>
      <c r="AM937" s="433"/>
      <c r="AN937" s="848" t="str">
        <f>IFERROR(VLOOKUP(E937,'liquidaciones '!$B$2:$C$1048576,2,0),"NO")</f>
        <v>NO</v>
      </c>
      <c r="AO937" s="944" t="str">
        <f>IFERROR(VLOOKUP(E937,'liquidaciones '!$B$2:$I$1048576,8,0),"")</f>
        <v/>
      </c>
      <c r="AP937" s="433"/>
      <c r="AQ937" s="433"/>
      <c r="AR937" s="1069"/>
      <c r="AS937" s="1042"/>
      <c r="AT937" s="964"/>
      <c r="AU937" s="964"/>
      <c r="AV937" s="964"/>
    </row>
    <row r="938" spans="3:48" x14ac:dyDescent="0.25">
      <c r="C938" s="867"/>
      <c r="E938" s="868"/>
      <c r="F938" s="441"/>
      <c r="G938" s="868"/>
      <c r="H938" s="1005"/>
      <c r="I938" s="93"/>
      <c r="J938" s="869"/>
      <c r="K938" s="295"/>
      <c r="L938" s="546"/>
      <c r="M938" s="870"/>
      <c r="N938" s="870"/>
      <c r="O938" s="127">
        <f>COUNTA(Modificaciones!I938,Modificaciones!K938,Modificaciones!M938,Modificaciones!O938)</f>
        <v>0</v>
      </c>
      <c r="P938" s="128">
        <f>VLOOKUP(E938,Modificaciones!$B$7:$Q$1819,16,0)</f>
        <v>0</v>
      </c>
      <c r="Q938" s="129">
        <f>COUNTA(Modificaciones!S938,Modificaciones!U938,Modificaciones!W938,Modificaciones!Y938)</f>
        <v>0</v>
      </c>
      <c r="R938" s="130" t="str">
        <f>IF(Modificaciones!Z938=0,"",VLOOKUP(E938,Modificaciones!$B$7:$AA$1419,25,0))</f>
        <v/>
      </c>
      <c r="S938" s="131" t="str">
        <f>IF(Modificaciones!AA914=0,"",VLOOKUP(#REF!,Modificaciones!$B$7:$AA$1419,26,0))</f>
        <v/>
      </c>
      <c r="T938" s="855">
        <f t="shared" si="231"/>
        <v>0</v>
      </c>
      <c r="U938" s="62">
        <f t="shared" si="232"/>
        <v>0</v>
      </c>
      <c r="V938" s="172">
        <f>VLOOKUP(E938,Modificaciones!$B$7:$AU$819,46,0)</f>
        <v>0</v>
      </c>
      <c r="W938" s="93">
        <f t="shared" si="233"/>
        <v>0</v>
      </c>
      <c r="X938" s="1041"/>
      <c r="Y938" s="852" t="e">
        <f t="shared" si="234"/>
        <v>#DIV/0!</v>
      </c>
      <c r="Z938" s="42" t="e">
        <f t="shared" ca="1" si="235"/>
        <v>#DIV/0!</v>
      </c>
      <c r="AA938" s="43" t="e">
        <f t="shared" ca="1" si="236"/>
        <v>#DIV/0!</v>
      </c>
      <c r="AB938" s="202" t="e">
        <f t="shared" ca="1" si="237"/>
        <v>#DIV/0!</v>
      </c>
      <c r="AC938" s="44" t="e">
        <f t="shared" si="238"/>
        <v>#DIV/0!</v>
      </c>
      <c r="AD938" s="868"/>
      <c r="AE938" s="871"/>
      <c r="AF938" s="871"/>
      <c r="AG938" s="868"/>
      <c r="AH938" s="868"/>
      <c r="AI938" s="868"/>
      <c r="AJ938" s="868"/>
      <c r="AK938" s="181" t="str">
        <f t="shared" ca="1" si="239"/>
        <v>TERMINO</v>
      </c>
      <c r="AL938" s="441"/>
      <c r="AM938" s="433"/>
      <c r="AN938" s="848" t="str">
        <f>IFERROR(VLOOKUP(E938,'liquidaciones '!$B$2:$C$1048576,2,0),"NO")</f>
        <v>NO</v>
      </c>
      <c r="AO938" s="944" t="str">
        <f>IFERROR(VLOOKUP(E938,'liquidaciones '!$B$2:$I$1048576,8,0),"")</f>
        <v/>
      </c>
      <c r="AP938" s="433"/>
      <c r="AQ938" s="433"/>
      <c r="AR938" s="1069"/>
      <c r="AS938" s="1042"/>
      <c r="AT938" s="964"/>
      <c r="AU938" s="964"/>
      <c r="AV938" s="964"/>
    </row>
    <row r="939" spans="3:48" x14ac:dyDescent="0.25">
      <c r="C939" s="867"/>
      <c r="E939" s="868"/>
      <c r="F939" s="441"/>
      <c r="G939" s="868"/>
      <c r="H939" s="1005"/>
      <c r="I939" s="93"/>
      <c r="J939" s="869"/>
      <c r="K939" s="295"/>
      <c r="L939" s="546"/>
      <c r="M939" s="870"/>
      <c r="N939" s="870"/>
      <c r="O939" s="127">
        <f>COUNTA(Modificaciones!I939,Modificaciones!K939,Modificaciones!M939,Modificaciones!O939)</f>
        <v>0</v>
      </c>
      <c r="P939" s="128">
        <f>VLOOKUP(E939,Modificaciones!$B$7:$Q$1819,16,0)</f>
        <v>0</v>
      </c>
      <c r="Q939" s="129">
        <f>COUNTA(Modificaciones!S939,Modificaciones!U939,Modificaciones!W939,Modificaciones!Y939)</f>
        <v>0</v>
      </c>
      <c r="R939" s="130" t="str">
        <f>IF(Modificaciones!Z939=0,"",VLOOKUP(E939,Modificaciones!$B$7:$AA$1419,25,0))</f>
        <v/>
      </c>
      <c r="S939" s="131" t="str">
        <f>IF(Modificaciones!AA915=0,"",VLOOKUP(#REF!,Modificaciones!$B$7:$AA$1419,26,0))</f>
        <v/>
      </c>
      <c r="T939" s="855">
        <f t="shared" si="231"/>
        <v>0</v>
      </c>
      <c r="U939" s="62">
        <f t="shared" si="232"/>
        <v>0</v>
      </c>
      <c r="V939" s="172">
        <f>VLOOKUP(E939,Modificaciones!$B$7:$AU$819,46,0)</f>
        <v>0</v>
      </c>
      <c r="W939" s="93">
        <f t="shared" si="233"/>
        <v>0</v>
      </c>
      <c r="X939" s="1041"/>
      <c r="Y939" s="852" t="e">
        <f t="shared" si="234"/>
        <v>#DIV/0!</v>
      </c>
      <c r="Z939" s="42" t="e">
        <f t="shared" ca="1" si="235"/>
        <v>#DIV/0!</v>
      </c>
      <c r="AA939" s="43" t="e">
        <f t="shared" ca="1" si="236"/>
        <v>#DIV/0!</v>
      </c>
      <c r="AB939" s="202" t="e">
        <f t="shared" ca="1" si="237"/>
        <v>#DIV/0!</v>
      </c>
      <c r="AC939" s="44" t="e">
        <f t="shared" si="238"/>
        <v>#DIV/0!</v>
      </c>
      <c r="AD939" s="868"/>
      <c r="AE939" s="871"/>
      <c r="AF939" s="871"/>
      <c r="AG939" s="868"/>
      <c r="AH939" s="868"/>
      <c r="AI939" s="868"/>
      <c r="AJ939" s="868"/>
      <c r="AK939" s="181" t="str">
        <f t="shared" ca="1" si="239"/>
        <v>TERMINO</v>
      </c>
      <c r="AL939" s="441"/>
      <c r="AM939" s="433"/>
      <c r="AN939" s="848" t="str">
        <f>IFERROR(VLOOKUP(E939,'liquidaciones '!$B$2:$C$1048576,2,0),"NO")</f>
        <v>NO</v>
      </c>
      <c r="AO939" s="944" t="str">
        <f>IFERROR(VLOOKUP(E939,'liquidaciones '!$B$2:$I$1048576,8,0),"")</f>
        <v/>
      </c>
      <c r="AP939" s="433"/>
      <c r="AQ939" s="433"/>
      <c r="AR939" s="1069"/>
      <c r="AS939" s="1042"/>
      <c r="AT939" s="964"/>
      <c r="AU939" s="964"/>
      <c r="AV939" s="964"/>
    </row>
    <row r="940" spans="3:48" x14ac:dyDescent="0.25">
      <c r="C940" s="867"/>
      <c r="E940" s="868"/>
      <c r="F940" s="441"/>
      <c r="G940" s="868"/>
      <c r="H940" s="1005"/>
      <c r="I940" s="93"/>
      <c r="J940" s="869"/>
      <c r="K940" s="295"/>
      <c r="L940" s="546"/>
      <c r="M940" s="870"/>
      <c r="N940" s="870"/>
      <c r="O940" s="127">
        <f>COUNTA(Modificaciones!I940,Modificaciones!K940,Modificaciones!M940,Modificaciones!O940)</f>
        <v>0</v>
      </c>
      <c r="P940" s="128">
        <f>VLOOKUP(E940,Modificaciones!$B$7:$Q$1819,16,0)</f>
        <v>0</v>
      </c>
      <c r="Q940" s="129">
        <f>COUNTA(Modificaciones!S940,Modificaciones!U940,Modificaciones!W940,Modificaciones!Y940)</f>
        <v>0</v>
      </c>
      <c r="R940" s="130" t="str">
        <f>IF(Modificaciones!Z940=0,"",VLOOKUP(E940,Modificaciones!$B$7:$AA$1419,25,0))</f>
        <v/>
      </c>
      <c r="S940" s="131" t="str">
        <f>IF(Modificaciones!AA916=0,"",VLOOKUP(#REF!,Modificaciones!$B$7:$AA$1419,26,0))</f>
        <v/>
      </c>
      <c r="T940" s="855">
        <f t="shared" si="231"/>
        <v>0</v>
      </c>
      <c r="U940" s="62">
        <f t="shared" si="232"/>
        <v>0</v>
      </c>
      <c r="V940" s="172">
        <f>VLOOKUP(E940,Modificaciones!$B$7:$AU$819,46,0)</f>
        <v>0</v>
      </c>
      <c r="W940" s="93">
        <f t="shared" si="233"/>
        <v>0</v>
      </c>
      <c r="X940" s="1041"/>
      <c r="Y940" s="852" t="e">
        <f t="shared" si="234"/>
        <v>#DIV/0!</v>
      </c>
      <c r="Z940" s="42" t="e">
        <f t="shared" ca="1" si="235"/>
        <v>#DIV/0!</v>
      </c>
      <c r="AA940" s="43" t="e">
        <f t="shared" ca="1" si="236"/>
        <v>#DIV/0!</v>
      </c>
      <c r="AB940" s="202" t="e">
        <f t="shared" ca="1" si="237"/>
        <v>#DIV/0!</v>
      </c>
      <c r="AC940" s="44" t="e">
        <f t="shared" si="238"/>
        <v>#DIV/0!</v>
      </c>
      <c r="AD940" s="868"/>
      <c r="AE940" s="871"/>
      <c r="AF940" s="871"/>
      <c r="AG940" s="868"/>
      <c r="AH940" s="868"/>
      <c r="AI940" s="868"/>
      <c r="AJ940" s="868"/>
      <c r="AK940" s="181" t="str">
        <f t="shared" ca="1" si="239"/>
        <v>TERMINO</v>
      </c>
      <c r="AL940" s="441"/>
      <c r="AM940" s="433"/>
      <c r="AN940" s="848" t="str">
        <f>IFERROR(VLOOKUP(E940,'liquidaciones '!$B$2:$C$1048576,2,0),"NO")</f>
        <v>NO</v>
      </c>
      <c r="AO940" s="944" t="str">
        <f>IFERROR(VLOOKUP(E940,'liquidaciones '!$B$2:$I$1048576,8,0),"")</f>
        <v/>
      </c>
      <c r="AP940" s="433"/>
      <c r="AQ940" s="433"/>
      <c r="AR940" s="1069"/>
      <c r="AS940" s="1042"/>
      <c r="AT940" s="964"/>
      <c r="AU940" s="964"/>
      <c r="AV940" s="964"/>
    </row>
    <row r="941" spans="3:48" x14ac:dyDescent="0.25">
      <c r="C941" s="867"/>
      <c r="E941" s="868"/>
      <c r="F941" s="441"/>
      <c r="G941" s="868"/>
      <c r="H941" s="1005"/>
      <c r="I941" s="93"/>
      <c r="J941" s="869"/>
      <c r="K941" s="295"/>
      <c r="L941" s="546"/>
      <c r="M941" s="870"/>
      <c r="N941" s="870"/>
      <c r="O941" s="127">
        <f>COUNTA(Modificaciones!I941,Modificaciones!K941,Modificaciones!M941,Modificaciones!O941)</f>
        <v>0</v>
      </c>
      <c r="P941" s="128">
        <f>VLOOKUP(E941,Modificaciones!$B$7:$Q$1819,16,0)</f>
        <v>0</v>
      </c>
      <c r="Q941" s="129">
        <f>COUNTA(Modificaciones!S941,Modificaciones!U941,Modificaciones!W941,Modificaciones!Y941)</f>
        <v>0</v>
      </c>
      <c r="R941" s="130" t="str">
        <f>IF(Modificaciones!Z941=0,"",VLOOKUP(E941,Modificaciones!$B$7:$AA$1419,25,0))</f>
        <v/>
      </c>
      <c r="S941" s="131" t="str">
        <f>IF(Modificaciones!AA917=0,"",VLOOKUP(#REF!,Modificaciones!$B$7:$AA$1419,26,0))</f>
        <v/>
      </c>
      <c r="T941" s="855">
        <f t="shared" si="231"/>
        <v>0</v>
      </c>
      <c r="U941" s="62">
        <f t="shared" si="232"/>
        <v>0</v>
      </c>
      <c r="V941" s="172">
        <f>VLOOKUP(E941,Modificaciones!$B$7:$AU$819,46,0)</f>
        <v>0</v>
      </c>
      <c r="W941" s="93">
        <f t="shared" si="233"/>
        <v>0</v>
      </c>
      <c r="X941" s="1041"/>
      <c r="Y941" s="852" t="e">
        <f t="shared" si="234"/>
        <v>#DIV/0!</v>
      </c>
      <c r="Z941" s="42" t="e">
        <f t="shared" ca="1" si="235"/>
        <v>#DIV/0!</v>
      </c>
      <c r="AA941" s="43" t="e">
        <f t="shared" ca="1" si="236"/>
        <v>#DIV/0!</v>
      </c>
      <c r="AB941" s="202" t="e">
        <f t="shared" ca="1" si="237"/>
        <v>#DIV/0!</v>
      </c>
      <c r="AC941" s="44" t="e">
        <f t="shared" si="238"/>
        <v>#DIV/0!</v>
      </c>
      <c r="AD941" s="868"/>
      <c r="AE941" s="871"/>
      <c r="AF941" s="871"/>
      <c r="AG941" s="868"/>
      <c r="AH941" s="868"/>
      <c r="AI941" s="868"/>
      <c r="AJ941" s="868"/>
      <c r="AK941" s="181" t="str">
        <f t="shared" ca="1" si="239"/>
        <v>TERMINO</v>
      </c>
      <c r="AL941" s="441"/>
      <c r="AM941" s="433"/>
      <c r="AN941" s="848" t="str">
        <f>IFERROR(VLOOKUP(E941,'liquidaciones '!$B$2:$C$1048576,2,0),"NO")</f>
        <v>NO</v>
      </c>
      <c r="AO941" s="944" t="str">
        <f>IFERROR(VLOOKUP(E941,'liquidaciones '!$B$2:$I$1048576,8,0),"")</f>
        <v/>
      </c>
      <c r="AP941" s="433"/>
      <c r="AQ941" s="433"/>
      <c r="AR941" s="1069"/>
      <c r="AS941" s="1042"/>
      <c r="AT941" s="964"/>
      <c r="AU941" s="964"/>
      <c r="AV941" s="964"/>
    </row>
    <row r="942" spans="3:48" x14ac:dyDescent="0.25">
      <c r="C942" s="867"/>
      <c r="E942" s="868"/>
      <c r="F942" s="441"/>
      <c r="G942" s="868"/>
      <c r="H942" s="1005"/>
      <c r="I942" s="93"/>
      <c r="J942" s="869"/>
      <c r="K942" s="295"/>
      <c r="L942" s="546"/>
      <c r="M942" s="870"/>
      <c r="N942" s="870"/>
      <c r="O942" s="127">
        <f>COUNTA(Modificaciones!I942,Modificaciones!K942,Modificaciones!M942,Modificaciones!O942)</f>
        <v>0</v>
      </c>
      <c r="P942" s="128">
        <f>VLOOKUP(E942,Modificaciones!$B$7:$Q$1819,16,0)</f>
        <v>0</v>
      </c>
      <c r="Q942" s="129">
        <f>COUNTA(Modificaciones!S942,Modificaciones!U942,Modificaciones!W942,Modificaciones!Y942)</f>
        <v>0</v>
      </c>
      <c r="R942" s="130" t="str">
        <f>IF(Modificaciones!Z942=0,"",VLOOKUP(E942,Modificaciones!$B$7:$AA$1419,25,0))</f>
        <v/>
      </c>
      <c r="S942" s="131" t="str">
        <f>IF(Modificaciones!AA918=0,"",VLOOKUP(#REF!,Modificaciones!$B$7:$AA$1419,26,0))</f>
        <v/>
      </c>
      <c r="T942" s="855">
        <f t="shared" si="231"/>
        <v>0</v>
      </c>
      <c r="U942" s="62">
        <f t="shared" si="232"/>
        <v>0</v>
      </c>
      <c r="V942" s="172">
        <f>VLOOKUP(E942,Modificaciones!$B$7:$AU$819,46,0)</f>
        <v>0</v>
      </c>
      <c r="W942" s="93">
        <f t="shared" si="233"/>
        <v>0</v>
      </c>
      <c r="X942" s="1041"/>
      <c r="Y942" s="852" t="e">
        <f t="shared" si="234"/>
        <v>#DIV/0!</v>
      </c>
      <c r="Z942" s="42" t="e">
        <f t="shared" ca="1" si="235"/>
        <v>#DIV/0!</v>
      </c>
      <c r="AA942" s="43" t="e">
        <f t="shared" ca="1" si="236"/>
        <v>#DIV/0!</v>
      </c>
      <c r="AB942" s="202" t="e">
        <f t="shared" ca="1" si="237"/>
        <v>#DIV/0!</v>
      </c>
      <c r="AC942" s="44" t="e">
        <f t="shared" si="238"/>
        <v>#DIV/0!</v>
      </c>
      <c r="AD942" s="868"/>
      <c r="AE942" s="871"/>
      <c r="AF942" s="871"/>
      <c r="AG942" s="868"/>
      <c r="AH942" s="868"/>
      <c r="AI942" s="868"/>
      <c r="AJ942" s="868"/>
      <c r="AK942" s="181" t="str">
        <f t="shared" ca="1" si="239"/>
        <v>TERMINO</v>
      </c>
      <c r="AL942" s="441"/>
      <c r="AM942" s="433"/>
      <c r="AN942" s="848" t="str">
        <f>IFERROR(VLOOKUP(E942,'liquidaciones '!$B$2:$C$1048576,2,0),"NO")</f>
        <v>NO</v>
      </c>
      <c r="AO942" s="944" t="str">
        <f>IFERROR(VLOOKUP(E942,'liquidaciones '!$B$2:$I$1048576,8,0),"")</f>
        <v/>
      </c>
      <c r="AP942" s="433"/>
      <c r="AQ942" s="433"/>
      <c r="AR942" s="1069"/>
      <c r="AS942" s="1042"/>
      <c r="AT942" s="964"/>
      <c r="AU942" s="964"/>
      <c r="AV942" s="964"/>
    </row>
    <row r="943" spans="3:48" x14ac:dyDescent="0.25">
      <c r="C943" s="867"/>
      <c r="E943" s="868"/>
      <c r="F943" s="441"/>
      <c r="G943" s="868"/>
      <c r="H943" s="1005"/>
      <c r="I943" s="93"/>
      <c r="J943" s="869"/>
      <c r="K943" s="295"/>
      <c r="L943" s="546"/>
      <c r="M943" s="870"/>
      <c r="N943" s="870"/>
      <c r="O943" s="127">
        <f>COUNTA(Modificaciones!I943,Modificaciones!K943,Modificaciones!M943,Modificaciones!O943)</f>
        <v>0</v>
      </c>
      <c r="P943" s="128">
        <f>VLOOKUP(E943,Modificaciones!$B$7:$Q$1819,16,0)</f>
        <v>0</v>
      </c>
      <c r="Q943" s="129">
        <f>COUNTA(Modificaciones!S943,Modificaciones!U943,Modificaciones!W943,Modificaciones!Y943)</f>
        <v>0</v>
      </c>
      <c r="R943" s="130" t="str">
        <f>IF(Modificaciones!Z943=0,"",VLOOKUP(E943,Modificaciones!$B$7:$AA$1419,25,0))</f>
        <v/>
      </c>
      <c r="S943" s="131" t="str">
        <f>IF(Modificaciones!AA919=0,"",VLOOKUP(#REF!,Modificaciones!$B$7:$AA$1419,26,0))</f>
        <v/>
      </c>
      <c r="T943" s="855">
        <f t="shared" si="231"/>
        <v>0</v>
      </c>
      <c r="U943" s="62">
        <f t="shared" si="232"/>
        <v>0</v>
      </c>
      <c r="V943" s="172">
        <f>VLOOKUP(E943,Modificaciones!$B$7:$AU$819,46,0)</f>
        <v>0</v>
      </c>
      <c r="W943" s="93">
        <f t="shared" si="233"/>
        <v>0</v>
      </c>
      <c r="X943" s="1041"/>
      <c r="Y943" s="852" t="e">
        <f t="shared" si="234"/>
        <v>#DIV/0!</v>
      </c>
      <c r="Z943" s="42" t="e">
        <f t="shared" ca="1" si="235"/>
        <v>#DIV/0!</v>
      </c>
      <c r="AA943" s="43" t="e">
        <f t="shared" ca="1" si="236"/>
        <v>#DIV/0!</v>
      </c>
      <c r="AB943" s="202" t="e">
        <f t="shared" ca="1" si="237"/>
        <v>#DIV/0!</v>
      </c>
      <c r="AC943" s="44" t="e">
        <f t="shared" si="238"/>
        <v>#DIV/0!</v>
      </c>
      <c r="AD943" s="868"/>
      <c r="AE943" s="871"/>
      <c r="AF943" s="871"/>
      <c r="AG943" s="868"/>
      <c r="AH943" s="868"/>
      <c r="AI943" s="868"/>
      <c r="AJ943" s="868"/>
      <c r="AK943" s="181" t="str">
        <f t="shared" ca="1" si="239"/>
        <v>TERMINO</v>
      </c>
      <c r="AL943" s="441"/>
      <c r="AM943" s="433"/>
      <c r="AN943" s="848" t="str">
        <f>IFERROR(VLOOKUP(E943,'liquidaciones '!$B$2:$C$1048576,2,0),"NO")</f>
        <v>NO</v>
      </c>
      <c r="AO943" s="944" t="str">
        <f>IFERROR(VLOOKUP(E943,'liquidaciones '!$B$2:$I$1048576,8,0),"")</f>
        <v/>
      </c>
      <c r="AP943" s="433"/>
      <c r="AQ943" s="433"/>
      <c r="AR943" s="1069"/>
      <c r="AS943" s="1042"/>
      <c r="AT943" s="964"/>
      <c r="AU943" s="964"/>
      <c r="AV943" s="964"/>
    </row>
    <row r="944" spans="3:48" x14ac:dyDescent="0.25">
      <c r="C944" s="867"/>
      <c r="E944" s="868"/>
      <c r="F944" s="441"/>
      <c r="G944" s="868"/>
      <c r="H944" s="1005"/>
      <c r="I944" s="93"/>
      <c r="J944" s="869"/>
      <c r="K944" s="295"/>
      <c r="L944" s="546"/>
      <c r="M944" s="870"/>
      <c r="N944" s="870"/>
      <c r="O944" s="127">
        <f>COUNTA(Modificaciones!I944,Modificaciones!K944,Modificaciones!M944,Modificaciones!O944)</f>
        <v>0</v>
      </c>
      <c r="P944" s="128">
        <f>VLOOKUP(E944,Modificaciones!$B$7:$Q$1819,16,0)</f>
        <v>0</v>
      </c>
      <c r="Q944" s="129">
        <f>COUNTA(Modificaciones!S944,Modificaciones!U944,Modificaciones!W944,Modificaciones!Y944)</f>
        <v>0</v>
      </c>
      <c r="R944" s="130" t="str">
        <f>IF(Modificaciones!Z944=0,"",VLOOKUP(E944,Modificaciones!$B$7:$AA$1419,25,0))</f>
        <v/>
      </c>
      <c r="S944" s="131" t="str">
        <f>IF(Modificaciones!AA920=0,"",VLOOKUP(#REF!,Modificaciones!$B$7:$AA$1419,26,0))</f>
        <v/>
      </c>
      <c r="T944" s="855">
        <f t="shared" si="231"/>
        <v>0</v>
      </c>
      <c r="U944" s="62">
        <f t="shared" si="232"/>
        <v>0</v>
      </c>
      <c r="V944" s="172">
        <f>VLOOKUP(E944,Modificaciones!$B$7:$AU$819,46,0)</f>
        <v>0</v>
      </c>
      <c r="W944" s="93">
        <f t="shared" si="233"/>
        <v>0</v>
      </c>
      <c r="X944" s="1041"/>
      <c r="Y944" s="852" t="e">
        <f t="shared" si="234"/>
        <v>#DIV/0!</v>
      </c>
      <c r="Z944" s="42" t="e">
        <f t="shared" ca="1" si="235"/>
        <v>#DIV/0!</v>
      </c>
      <c r="AA944" s="43" t="e">
        <f t="shared" ca="1" si="236"/>
        <v>#DIV/0!</v>
      </c>
      <c r="AB944" s="202" t="e">
        <f t="shared" ca="1" si="237"/>
        <v>#DIV/0!</v>
      </c>
      <c r="AC944" s="44" t="e">
        <f t="shared" si="238"/>
        <v>#DIV/0!</v>
      </c>
      <c r="AD944" s="868"/>
      <c r="AE944" s="871"/>
      <c r="AF944" s="871"/>
      <c r="AG944" s="868"/>
      <c r="AH944" s="868"/>
      <c r="AI944" s="868"/>
      <c r="AJ944" s="868"/>
      <c r="AK944" s="181" t="str">
        <f t="shared" ca="1" si="239"/>
        <v>TERMINO</v>
      </c>
      <c r="AL944" s="441"/>
      <c r="AM944" s="433"/>
      <c r="AN944" s="848" t="str">
        <f>IFERROR(VLOOKUP(E944,'liquidaciones '!$B$2:$C$1048576,2,0),"NO")</f>
        <v>NO</v>
      </c>
      <c r="AO944" s="944" t="str">
        <f>IFERROR(VLOOKUP(E944,'liquidaciones '!$B$2:$I$1048576,8,0),"")</f>
        <v/>
      </c>
      <c r="AP944" s="433"/>
      <c r="AQ944" s="433"/>
      <c r="AR944" s="1069"/>
      <c r="AS944" s="1042"/>
      <c r="AT944" s="964"/>
      <c r="AU944" s="964"/>
      <c r="AV944" s="964"/>
    </row>
    <row r="945" spans="3:48" x14ac:dyDescent="0.25">
      <c r="C945" s="867"/>
      <c r="E945" s="868"/>
      <c r="F945" s="441"/>
      <c r="G945" s="868"/>
      <c r="H945" s="1005"/>
      <c r="I945" s="93"/>
      <c r="J945" s="869"/>
      <c r="K945" s="295"/>
      <c r="L945" s="546"/>
      <c r="M945" s="870"/>
      <c r="N945" s="870"/>
      <c r="O945" s="127">
        <f>COUNTA(Modificaciones!I945,Modificaciones!K945,Modificaciones!M945,Modificaciones!O945)</f>
        <v>0</v>
      </c>
      <c r="P945" s="128">
        <f>VLOOKUP(E945,Modificaciones!$B$7:$Q$1819,16,0)</f>
        <v>0</v>
      </c>
      <c r="Q945" s="129">
        <f>COUNTA(Modificaciones!S945,Modificaciones!U945,Modificaciones!W945,Modificaciones!Y945)</f>
        <v>0</v>
      </c>
      <c r="R945" s="130" t="str">
        <f>IF(Modificaciones!Z945=0,"",VLOOKUP(E945,Modificaciones!$B$7:$AA$1419,25,0))</f>
        <v/>
      </c>
      <c r="S945" s="131" t="str">
        <f>IF(Modificaciones!AA921=0,"",VLOOKUP(#REF!,Modificaciones!$B$7:$AA$1419,26,0))</f>
        <v/>
      </c>
      <c r="T945" s="855">
        <f t="shared" si="231"/>
        <v>0</v>
      </c>
      <c r="U945" s="62">
        <f t="shared" si="232"/>
        <v>0</v>
      </c>
      <c r="V945" s="172">
        <f>VLOOKUP(E945,Modificaciones!$B$7:$AU$819,46,0)</f>
        <v>0</v>
      </c>
      <c r="W945" s="93">
        <f t="shared" si="233"/>
        <v>0</v>
      </c>
      <c r="X945" s="1041"/>
      <c r="Y945" s="852" t="e">
        <f t="shared" si="234"/>
        <v>#DIV/0!</v>
      </c>
      <c r="Z945" s="42" t="e">
        <f t="shared" ca="1" si="235"/>
        <v>#DIV/0!</v>
      </c>
      <c r="AA945" s="43" t="e">
        <f t="shared" ca="1" si="236"/>
        <v>#DIV/0!</v>
      </c>
      <c r="AB945" s="202" t="e">
        <f t="shared" ca="1" si="237"/>
        <v>#DIV/0!</v>
      </c>
      <c r="AC945" s="44" t="e">
        <f t="shared" si="238"/>
        <v>#DIV/0!</v>
      </c>
      <c r="AD945" s="868"/>
      <c r="AE945" s="871"/>
      <c r="AF945" s="871"/>
      <c r="AG945" s="868"/>
      <c r="AH945" s="868"/>
      <c r="AI945" s="868"/>
      <c r="AJ945" s="868"/>
      <c r="AK945" s="181" t="str">
        <f t="shared" ca="1" si="239"/>
        <v>TERMINO</v>
      </c>
      <c r="AL945" s="441"/>
      <c r="AM945" s="433"/>
      <c r="AN945" s="848" t="str">
        <f>IFERROR(VLOOKUP(E945,'liquidaciones '!$B$2:$C$1048576,2,0),"NO")</f>
        <v>NO</v>
      </c>
      <c r="AO945" s="944" t="str">
        <f>IFERROR(VLOOKUP(E945,'liquidaciones '!$B$2:$I$1048576,8,0),"")</f>
        <v/>
      </c>
      <c r="AP945" s="433"/>
      <c r="AQ945" s="433"/>
      <c r="AR945" s="1069"/>
      <c r="AS945" s="1042"/>
      <c r="AT945" s="964"/>
      <c r="AU945" s="964"/>
      <c r="AV945" s="964"/>
    </row>
    <row r="946" spans="3:48" x14ac:dyDescent="0.25">
      <c r="C946" s="867"/>
      <c r="E946" s="868"/>
      <c r="F946" s="441"/>
      <c r="G946" s="868"/>
      <c r="H946" s="1005"/>
      <c r="I946" s="93"/>
      <c r="J946" s="869"/>
      <c r="K946" s="295"/>
      <c r="L946" s="546"/>
      <c r="M946" s="870"/>
      <c r="N946" s="870"/>
      <c r="O946" s="127">
        <f>COUNTA(Modificaciones!I946,Modificaciones!K946,Modificaciones!M946,Modificaciones!O946)</f>
        <v>0</v>
      </c>
      <c r="P946" s="128">
        <f>VLOOKUP(E946,Modificaciones!$B$7:$Q$1819,16,0)</f>
        <v>0</v>
      </c>
      <c r="Q946" s="129">
        <f>COUNTA(Modificaciones!S946,Modificaciones!U946,Modificaciones!W946,Modificaciones!Y946)</f>
        <v>0</v>
      </c>
      <c r="R946" s="130" t="str">
        <f>IF(Modificaciones!Z946=0,"",VLOOKUP(E946,Modificaciones!$B$7:$AA$1419,25,0))</f>
        <v/>
      </c>
      <c r="S946" s="131" t="str">
        <f>IF(Modificaciones!AA922=0,"",VLOOKUP(#REF!,Modificaciones!$B$7:$AA$1419,26,0))</f>
        <v/>
      </c>
      <c r="T946" s="855">
        <f t="shared" si="231"/>
        <v>0</v>
      </c>
      <c r="U946" s="62">
        <f t="shared" si="232"/>
        <v>0</v>
      </c>
      <c r="V946" s="172">
        <f>VLOOKUP(E946,Modificaciones!$B$7:$AU$819,46,0)</f>
        <v>0</v>
      </c>
      <c r="W946" s="93">
        <f t="shared" si="233"/>
        <v>0</v>
      </c>
      <c r="X946" s="1041"/>
      <c r="Y946" s="852" t="e">
        <f t="shared" si="234"/>
        <v>#DIV/0!</v>
      </c>
      <c r="Z946" s="42" t="e">
        <f t="shared" ca="1" si="235"/>
        <v>#DIV/0!</v>
      </c>
      <c r="AA946" s="43" t="e">
        <f t="shared" ca="1" si="236"/>
        <v>#DIV/0!</v>
      </c>
      <c r="AB946" s="202" t="e">
        <f t="shared" ca="1" si="237"/>
        <v>#DIV/0!</v>
      </c>
      <c r="AC946" s="44" t="e">
        <f t="shared" si="238"/>
        <v>#DIV/0!</v>
      </c>
      <c r="AD946" s="868"/>
      <c r="AE946" s="871"/>
      <c r="AF946" s="871"/>
      <c r="AG946" s="868"/>
      <c r="AH946" s="868"/>
      <c r="AI946" s="868"/>
      <c r="AJ946" s="868"/>
      <c r="AK946" s="181" t="str">
        <f t="shared" ca="1" si="239"/>
        <v>TERMINO</v>
      </c>
      <c r="AL946" s="441"/>
      <c r="AM946" s="433"/>
      <c r="AN946" s="848" t="str">
        <f>IFERROR(VLOOKUP(E946,'liquidaciones '!$B$2:$C$1048576,2,0),"NO")</f>
        <v>NO</v>
      </c>
      <c r="AO946" s="944" t="str">
        <f>IFERROR(VLOOKUP(E946,'liquidaciones '!$B$2:$I$1048576,8,0),"")</f>
        <v/>
      </c>
      <c r="AP946" s="433"/>
      <c r="AQ946" s="433"/>
      <c r="AR946" s="1069"/>
      <c r="AS946" s="1042"/>
      <c r="AT946" s="964"/>
      <c r="AU946" s="964"/>
      <c r="AV946" s="964"/>
    </row>
    <row r="947" spans="3:48" x14ac:dyDescent="0.25">
      <c r="C947" s="867"/>
      <c r="E947" s="868"/>
      <c r="F947" s="441"/>
      <c r="G947" s="868"/>
      <c r="H947" s="1005"/>
      <c r="I947" s="93"/>
      <c r="J947" s="869"/>
      <c r="K947" s="295"/>
      <c r="L947" s="546"/>
      <c r="M947" s="870"/>
      <c r="N947" s="870"/>
      <c r="O947" s="127">
        <f>COUNTA(Modificaciones!I947,Modificaciones!K947,Modificaciones!M947,Modificaciones!O947)</f>
        <v>0</v>
      </c>
      <c r="P947" s="128">
        <f>VLOOKUP(E947,Modificaciones!$B$7:$Q$1819,16,0)</f>
        <v>0</v>
      </c>
      <c r="Q947" s="129">
        <f>COUNTA(Modificaciones!S947,Modificaciones!U947,Modificaciones!W947,Modificaciones!Y947)</f>
        <v>0</v>
      </c>
      <c r="R947" s="130" t="str">
        <f>IF(Modificaciones!Z947=0,"",VLOOKUP(E947,Modificaciones!$B$7:$AA$1419,25,0))</f>
        <v/>
      </c>
      <c r="S947" s="131" t="str">
        <f>IF(Modificaciones!AA923=0,"",VLOOKUP(#REF!,Modificaciones!$B$7:$AA$1419,26,0))</f>
        <v/>
      </c>
      <c r="T947" s="855">
        <f t="shared" si="231"/>
        <v>0</v>
      </c>
      <c r="U947" s="62">
        <f t="shared" si="232"/>
        <v>0</v>
      </c>
      <c r="V947" s="172">
        <f>VLOOKUP(E947,Modificaciones!$B$7:$AU$819,46,0)</f>
        <v>0</v>
      </c>
      <c r="W947" s="93">
        <f t="shared" si="233"/>
        <v>0</v>
      </c>
      <c r="X947" s="1041"/>
      <c r="Y947" s="852" t="e">
        <f t="shared" si="234"/>
        <v>#DIV/0!</v>
      </c>
      <c r="Z947" s="42" t="e">
        <f t="shared" ca="1" si="235"/>
        <v>#DIV/0!</v>
      </c>
      <c r="AA947" s="43" t="e">
        <f t="shared" ca="1" si="236"/>
        <v>#DIV/0!</v>
      </c>
      <c r="AB947" s="202" t="e">
        <f t="shared" ca="1" si="237"/>
        <v>#DIV/0!</v>
      </c>
      <c r="AC947" s="44" t="e">
        <f t="shared" si="238"/>
        <v>#DIV/0!</v>
      </c>
      <c r="AD947" s="868"/>
      <c r="AE947" s="871"/>
      <c r="AF947" s="871"/>
      <c r="AG947" s="868"/>
      <c r="AH947" s="868"/>
      <c r="AI947" s="868"/>
      <c r="AJ947" s="868"/>
      <c r="AK947" s="181" t="str">
        <f t="shared" ca="1" si="239"/>
        <v>TERMINO</v>
      </c>
      <c r="AL947" s="441"/>
      <c r="AM947" s="433"/>
      <c r="AN947" s="848" t="str">
        <f>IFERROR(VLOOKUP(E947,'liquidaciones '!$B$2:$C$1048576,2,0),"NO")</f>
        <v>NO</v>
      </c>
      <c r="AO947" s="944" t="str">
        <f>IFERROR(VLOOKUP(E947,'liquidaciones '!$B$2:$I$1048576,8,0),"")</f>
        <v/>
      </c>
      <c r="AP947" s="433"/>
      <c r="AQ947" s="433"/>
      <c r="AR947" s="1069"/>
      <c r="AS947" s="1042"/>
      <c r="AT947" s="964"/>
      <c r="AU947" s="964"/>
      <c r="AV947" s="964"/>
    </row>
    <row r="948" spans="3:48" x14ac:dyDescent="0.25">
      <c r="C948" s="867"/>
      <c r="E948" s="868"/>
      <c r="F948" s="441"/>
      <c r="G948" s="868"/>
      <c r="H948" s="1005"/>
      <c r="I948" s="93"/>
      <c r="J948" s="869"/>
      <c r="K948" s="295"/>
      <c r="L948" s="546"/>
      <c r="M948" s="870"/>
      <c r="N948" s="870"/>
      <c r="O948" s="127">
        <f>COUNTA(Modificaciones!I948,Modificaciones!K948,Modificaciones!M948,Modificaciones!O948)</f>
        <v>0</v>
      </c>
      <c r="P948" s="128">
        <f>VLOOKUP(E948,Modificaciones!$B$7:$Q$1819,16,0)</f>
        <v>0</v>
      </c>
      <c r="Q948" s="129">
        <f>COUNTA(Modificaciones!S948,Modificaciones!U948,Modificaciones!W948,Modificaciones!Y948)</f>
        <v>0</v>
      </c>
      <c r="R948" s="130" t="str">
        <f>IF(Modificaciones!Z948=0,"",VLOOKUP(E948,Modificaciones!$B$7:$AA$1419,25,0))</f>
        <v/>
      </c>
      <c r="S948" s="131" t="str">
        <f>IF(Modificaciones!AA924=0,"",VLOOKUP(#REF!,Modificaciones!$B$7:$AA$1419,26,0))</f>
        <v/>
      </c>
      <c r="T948" s="855">
        <f t="shared" si="231"/>
        <v>0</v>
      </c>
      <c r="U948" s="62">
        <f t="shared" si="232"/>
        <v>0</v>
      </c>
      <c r="V948" s="172">
        <f>VLOOKUP(E948,Modificaciones!$B$7:$AU$819,46,0)</f>
        <v>0</v>
      </c>
      <c r="W948" s="93">
        <f t="shared" si="233"/>
        <v>0</v>
      </c>
      <c r="X948" s="1041"/>
      <c r="Y948" s="852" t="e">
        <f t="shared" si="234"/>
        <v>#DIV/0!</v>
      </c>
      <c r="Z948" s="42" t="e">
        <f t="shared" ca="1" si="235"/>
        <v>#DIV/0!</v>
      </c>
      <c r="AA948" s="43" t="e">
        <f t="shared" ca="1" si="236"/>
        <v>#DIV/0!</v>
      </c>
      <c r="AB948" s="202" t="e">
        <f t="shared" ca="1" si="237"/>
        <v>#DIV/0!</v>
      </c>
      <c r="AC948" s="44" t="e">
        <f t="shared" si="238"/>
        <v>#DIV/0!</v>
      </c>
      <c r="AD948" s="868"/>
      <c r="AE948" s="871"/>
      <c r="AF948" s="871"/>
      <c r="AG948" s="868"/>
      <c r="AH948" s="868"/>
      <c r="AI948" s="868"/>
      <c r="AJ948" s="868"/>
      <c r="AK948" s="181" t="str">
        <f t="shared" ca="1" si="239"/>
        <v>TERMINO</v>
      </c>
      <c r="AL948" s="441"/>
      <c r="AM948" s="433"/>
      <c r="AN948" s="848" t="str">
        <f>IFERROR(VLOOKUP(E948,'liquidaciones '!$B$2:$C$1048576,2,0),"NO")</f>
        <v>NO</v>
      </c>
      <c r="AO948" s="944" t="str">
        <f>IFERROR(VLOOKUP(E948,'liquidaciones '!$B$2:$I$1048576,8,0),"")</f>
        <v/>
      </c>
      <c r="AP948" s="433"/>
      <c r="AQ948" s="433"/>
      <c r="AR948" s="1069"/>
      <c r="AS948" s="1042"/>
      <c r="AT948" s="964"/>
      <c r="AU948" s="964"/>
      <c r="AV948" s="964"/>
    </row>
    <row r="949" spans="3:48" x14ac:dyDescent="0.25">
      <c r="C949" s="867"/>
      <c r="E949" s="868"/>
      <c r="F949" s="441"/>
      <c r="G949" s="868"/>
      <c r="H949" s="1005"/>
      <c r="I949" s="93"/>
      <c r="J949" s="869"/>
      <c r="K949" s="295"/>
      <c r="L949" s="546"/>
      <c r="M949" s="870"/>
      <c r="N949" s="870"/>
      <c r="O949" s="127">
        <f>COUNTA(Modificaciones!I949,Modificaciones!K949,Modificaciones!M949,Modificaciones!O949)</f>
        <v>0</v>
      </c>
      <c r="P949" s="128">
        <f>VLOOKUP(E949,Modificaciones!$B$7:$Q$1819,16,0)</f>
        <v>0</v>
      </c>
      <c r="Q949" s="129">
        <f>COUNTA(Modificaciones!S949,Modificaciones!U949,Modificaciones!W949,Modificaciones!Y949)</f>
        <v>0</v>
      </c>
      <c r="R949" s="130" t="str">
        <f>IF(Modificaciones!Z949=0,"",VLOOKUP(E949,Modificaciones!$B$7:$AA$1419,25,0))</f>
        <v/>
      </c>
      <c r="S949" s="131" t="str">
        <f>IF(Modificaciones!AA925=0,"",VLOOKUP(#REF!,Modificaciones!$B$7:$AA$1419,26,0))</f>
        <v/>
      </c>
      <c r="T949" s="855">
        <f t="shared" si="231"/>
        <v>0</v>
      </c>
      <c r="U949" s="62">
        <f t="shared" si="232"/>
        <v>0</v>
      </c>
      <c r="V949" s="172">
        <f>VLOOKUP(E949,Modificaciones!$B$7:$AU$819,46,0)</f>
        <v>0</v>
      </c>
      <c r="W949" s="93">
        <f t="shared" si="233"/>
        <v>0</v>
      </c>
      <c r="X949" s="1041"/>
      <c r="Y949" s="852" t="e">
        <f t="shared" si="234"/>
        <v>#DIV/0!</v>
      </c>
      <c r="Z949" s="42" t="e">
        <f t="shared" ca="1" si="235"/>
        <v>#DIV/0!</v>
      </c>
      <c r="AA949" s="43" t="e">
        <f t="shared" ca="1" si="236"/>
        <v>#DIV/0!</v>
      </c>
      <c r="AB949" s="202" t="e">
        <f t="shared" ca="1" si="237"/>
        <v>#DIV/0!</v>
      </c>
      <c r="AC949" s="44" t="e">
        <f t="shared" si="238"/>
        <v>#DIV/0!</v>
      </c>
      <c r="AD949" s="868"/>
      <c r="AE949" s="871"/>
      <c r="AF949" s="871"/>
      <c r="AG949" s="868"/>
      <c r="AH949" s="868"/>
      <c r="AI949" s="868"/>
      <c r="AJ949" s="868"/>
      <c r="AK949" s="181" t="str">
        <f t="shared" ca="1" si="239"/>
        <v>TERMINO</v>
      </c>
      <c r="AL949" s="441"/>
      <c r="AM949" s="433"/>
      <c r="AN949" s="848" t="str">
        <f>IFERROR(VLOOKUP(E949,'liquidaciones '!$B$2:$C$1048576,2,0),"NO")</f>
        <v>NO</v>
      </c>
      <c r="AO949" s="944" t="str">
        <f>IFERROR(VLOOKUP(E949,'liquidaciones '!$B$2:$I$1048576,8,0),"")</f>
        <v/>
      </c>
      <c r="AP949" s="433"/>
      <c r="AQ949" s="433"/>
      <c r="AR949" s="1069"/>
      <c r="AS949" s="1042"/>
      <c r="AT949" s="964"/>
      <c r="AU949" s="964"/>
      <c r="AV949" s="964"/>
    </row>
    <row r="950" spans="3:48" x14ac:dyDescent="0.25">
      <c r="C950" s="867"/>
      <c r="E950" s="868"/>
      <c r="F950" s="441"/>
      <c r="G950" s="868"/>
      <c r="H950" s="1005"/>
      <c r="I950" s="93"/>
      <c r="J950" s="869"/>
      <c r="K950" s="295"/>
      <c r="L950" s="546"/>
      <c r="M950" s="870"/>
      <c r="N950" s="870"/>
      <c r="O950" s="127">
        <f>COUNTA(Modificaciones!I950,Modificaciones!K950,Modificaciones!M950,Modificaciones!O950)</f>
        <v>0</v>
      </c>
      <c r="P950" s="128">
        <f>VLOOKUP(E950,Modificaciones!$B$7:$Q$1819,16,0)</f>
        <v>0</v>
      </c>
      <c r="Q950" s="129">
        <f>COUNTA(Modificaciones!S950,Modificaciones!U950,Modificaciones!W950,Modificaciones!Y950)</f>
        <v>0</v>
      </c>
      <c r="R950" s="130" t="str">
        <f>IF(Modificaciones!Z950=0,"",VLOOKUP(E950,Modificaciones!$B$7:$AA$1419,25,0))</f>
        <v/>
      </c>
      <c r="S950" s="131" t="str">
        <f>IF(Modificaciones!AA926=0,"",VLOOKUP(#REF!,Modificaciones!$B$7:$AA$1419,26,0))</f>
        <v/>
      </c>
      <c r="T950" s="855">
        <f t="shared" si="231"/>
        <v>0</v>
      </c>
      <c r="U950" s="62">
        <f t="shared" si="232"/>
        <v>0</v>
      </c>
      <c r="V950" s="172">
        <f>VLOOKUP(E950,Modificaciones!$B$7:$AU$819,46,0)</f>
        <v>0</v>
      </c>
      <c r="W950" s="93">
        <f t="shared" si="233"/>
        <v>0</v>
      </c>
      <c r="X950" s="1041"/>
      <c r="Y950" s="852" t="e">
        <f t="shared" si="234"/>
        <v>#DIV/0!</v>
      </c>
      <c r="Z950" s="42" t="e">
        <f t="shared" ca="1" si="235"/>
        <v>#DIV/0!</v>
      </c>
      <c r="AA950" s="43" t="e">
        <f t="shared" ca="1" si="236"/>
        <v>#DIV/0!</v>
      </c>
      <c r="AB950" s="202" t="e">
        <f t="shared" ca="1" si="237"/>
        <v>#DIV/0!</v>
      </c>
      <c r="AC950" s="44" t="e">
        <f t="shared" si="238"/>
        <v>#DIV/0!</v>
      </c>
      <c r="AD950" s="868"/>
      <c r="AE950" s="871"/>
      <c r="AF950" s="871"/>
      <c r="AG950" s="868"/>
      <c r="AH950" s="868"/>
      <c r="AI950" s="868"/>
      <c r="AJ950" s="868"/>
      <c r="AK950" s="181" t="str">
        <f t="shared" ca="1" si="239"/>
        <v>TERMINO</v>
      </c>
      <c r="AL950" s="441"/>
      <c r="AM950" s="433"/>
      <c r="AN950" s="848" t="str">
        <f>IFERROR(VLOOKUP(E950,'liquidaciones '!$B$2:$C$1048576,2,0),"NO")</f>
        <v>NO</v>
      </c>
      <c r="AO950" s="944" t="str">
        <f>IFERROR(VLOOKUP(E950,'liquidaciones '!$B$2:$I$1048576,8,0),"")</f>
        <v/>
      </c>
      <c r="AP950" s="433"/>
      <c r="AQ950" s="433"/>
      <c r="AR950" s="1069"/>
      <c r="AS950" s="1042"/>
      <c r="AT950" s="964"/>
      <c r="AU950" s="964"/>
      <c r="AV950" s="964"/>
    </row>
    <row r="951" spans="3:48" x14ac:dyDescent="0.25">
      <c r="C951" s="867"/>
      <c r="E951" s="868"/>
      <c r="F951" s="441"/>
      <c r="G951" s="868"/>
      <c r="H951" s="1005"/>
      <c r="I951" s="93"/>
      <c r="J951" s="869"/>
      <c r="K951" s="295"/>
      <c r="L951" s="546"/>
      <c r="M951" s="870"/>
      <c r="N951" s="870"/>
      <c r="O951" s="127">
        <f>COUNTA(Modificaciones!I951,Modificaciones!K951,Modificaciones!M951,Modificaciones!O951)</f>
        <v>0</v>
      </c>
      <c r="P951" s="128">
        <f>VLOOKUP(E951,Modificaciones!$B$7:$Q$1819,16,0)</f>
        <v>0</v>
      </c>
      <c r="Q951" s="129">
        <f>COUNTA(Modificaciones!S951,Modificaciones!U951,Modificaciones!W951,Modificaciones!Y951)</f>
        <v>0</v>
      </c>
      <c r="R951" s="130" t="str">
        <f>IF(Modificaciones!Z951=0,"",VLOOKUP(E951,Modificaciones!$B$7:$AA$1419,25,0))</f>
        <v/>
      </c>
      <c r="S951" s="131" t="str">
        <f>IF(Modificaciones!AA927=0,"",VLOOKUP(#REF!,Modificaciones!$B$7:$AA$1419,26,0))</f>
        <v/>
      </c>
      <c r="T951" s="855">
        <f t="shared" si="231"/>
        <v>0</v>
      </c>
      <c r="U951" s="62">
        <f t="shared" si="232"/>
        <v>0</v>
      </c>
      <c r="V951" s="172">
        <f>VLOOKUP(E951,Modificaciones!$B$7:$AU$819,46,0)</f>
        <v>0</v>
      </c>
      <c r="W951" s="93">
        <f t="shared" si="233"/>
        <v>0</v>
      </c>
      <c r="X951" s="1041"/>
      <c r="Y951" s="852" t="e">
        <f t="shared" si="234"/>
        <v>#DIV/0!</v>
      </c>
      <c r="Z951" s="42" t="e">
        <f t="shared" ca="1" si="235"/>
        <v>#DIV/0!</v>
      </c>
      <c r="AA951" s="43" t="e">
        <f t="shared" ca="1" si="236"/>
        <v>#DIV/0!</v>
      </c>
      <c r="AB951" s="202" t="e">
        <f t="shared" ca="1" si="237"/>
        <v>#DIV/0!</v>
      </c>
      <c r="AC951" s="44" t="e">
        <f t="shared" si="238"/>
        <v>#DIV/0!</v>
      </c>
      <c r="AD951" s="868"/>
      <c r="AE951" s="871"/>
      <c r="AF951" s="871"/>
      <c r="AG951" s="868"/>
      <c r="AH951" s="868"/>
      <c r="AI951" s="868"/>
      <c r="AJ951" s="868"/>
      <c r="AK951" s="181" t="str">
        <f t="shared" ca="1" si="239"/>
        <v>TERMINO</v>
      </c>
      <c r="AL951" s="441"/>
      <c r="AM951" s="433"/>
      <c r="AN951" s="848" t="str">
        <f>IFERROR(VLOOKUP(E951,'liquidaciones '!$B$2:$C$1048576,2,0),"NO")</f>
        <v>NO</v>
      </c>
      <c r="AO951" s="944" t="str">
        <f>IFERROR(VLOOKUP(E951,'liquidaciones '!$B$2:$I$1048576,8,0),"")</f>
        <v/>
      </c>
      <c r="AP951" s="433"/>
      <c r="AQ951" s="433"/>
      <c r="AR951" s="1069"/>
      <c r="AS951" s="1042"/>
      <c r="AT951" s="964"/>
      <c r="AU951" s="964"/>
      <c r="AV951" s="964"/>
    </row>
    <row r="952" spans="3:48" x14ac:dyDescent="0.25">
      <c r="C952" s="867"/>
      <c r="E952" s="868"/>
      <c r="F952" s="441"/>
      <c r="G952" s="868"/>
      <c r="H952" s="1005"/>
      <c r="I952" s="93"/>
      <c r="J952" s="869"/>
      <c r="K952" s="295"/>
      <c r="L952" s="546"/>
      <c r="M952" s="870"/>
      <c r="N952" s="870"/>
      <c r="O952" s="127">
        <f>COUNTA(Modificaciones!I952,Modificaciones!K952,Modificaciones!M952,Modificaciones!O952)</f>
        <v>0</v>
      </c>
      <c r="P952" s="128">
        <f>VLOOKUP(E952,Modificaciones!$B$7:$Q$1819,16,0)</f>
        <v>0</v>
      </c>
      <c r="Q952" s="129">
        <f>COUNTA(Modificaciones!S952,Modificaciones!U952,Modificaciones!W952,Modificaciones!Y952)</f>
        <v>0</v>
      </c>
      <c r="R952" s="130" t="str">
        <f>IF(Modificaciones!Z952=0,"",VLOOKUP(E952,Modificaciones!$B$7:$AA$1419,25,0))</f>
        <v/>
      </c>
      <c r="S952" s="131" t="str">
        <f>IF(Modificaciones!AA928=0,"",VLOOKUP(#REF!,Modificaciones!$B$7:$AA$1419,26,0))</f>
        <v/>
      </c>
      <c r="T952" s="855">
        <f t="shared" si="231"/>
        <v>0</v>
      </c>
      <c r="U952" s="62">
        <f t="shared" si="232"/>
        <v>0</v>
      </c>
      <c r="V952" s="172">
        <f>VLOOKUP(E952,Modificaciones!$B$7:$AU$819,46,0)</f>
        <v>0</v>
      </c>
      <c r="W952" s="93">
        <f t="shared" si="233"/>
        <v>0</v>
      </c>
      <c r="X952" s="1041"/>
      <c r="Y952" s="852" t="e">
        <f t="shared" si="234"/>
        <v>#DIV/0!</v>
      </c>
      <c r="Z952" s="42" t="e">
        <f t="shared" ca="1" si="235"/>
        <v>#DIV/0!</v>
      </c>
      <c r="AA952" s="43" t="e">
        <f t="shared" ca="1" si="236"/>
        <v>#DIV/0!</v>
      </c>
      <c r="AB952" s="202" t="e">
        <f t="shared" ca="1" si="237"/>
        <v>#DIV/0!</v>
      </c>
      <c r="AC952" s="44" t="e">
        <f t="shared" si="238"/>
        <v>#DIV/0!</v>
      </c>
      <c r="AD952" s="868"/>
      <c r="AE952" s="871"/>
      <c r="AF952" s="871"/>
      <c r="AG952" s="868"/>
      <c r="AH952" s="868"/>
      <c r="AI952" s="868"/>
      <c r="AJ952" s="868"/>
      <c r="AK952" s="181" t="str">
        <f t="shared" ca="1" si="239"/>
        <v>TERMINO</v>
      </c>
      <c r="AL952" s="441"/>
      <c r="AM952" s="433"/>
      <c r="AN952" s="848" t="str">
        <f>IFERROR(VLOOKUP(E952,'liquidaciones '!$B$2:$C$1048576,2,0),"NO")</f>
        <v>NO</v>
      </c>
      <c r="AO952" s="944" t="str">
        <f>IFERROR(VLOOKUP(E952,'liquidaciones '!$B$2:$I$1048576,8,0),"")</f>
        <v/>
      </c>
      <c r="AP952" s="433"/>
      <c r="AQ952" s="433"/>
      <c r="AR952" s="1069"/>
      <c r="AS952" s="1042"/>
      <c r="AT952" s="964"/>
      <c r="AU952" s="964"/>
      <c r="AV952" s="964"/>
    </row>
    <row r="953" spans="3:48" x14ac:dyDescent="0.25">
      <c r="C953" s="867"/>
      <c r="E953" s="868"/>
      <c r="F953" s="441"/>
      <c r="G953" s="868"/>
      <c r="H953" s="1005"/>
      <c r="I953" s="93"/>
      <c r="J953" s="869"/>
      <c r="K953" s="295"/>
      <c r="L953" s="546"/>
      <c r="M953" s="870"/>
      <c r="N953" s="870"/>
      <c r="O953" s="127">
        <f>COUNTA(Modificaciones!I953,Modificaciones!K953,Modificaciones!M953,Modificaciones!O953)</f>
        <v>0</v>
      </c>
      <c r="P953" s="128">
        <f>VLOOKUP(E953,Modificaciones!$B$7:$Q$1819,16,0)</f>
        <v>0</v>
      </c>
      <c r="Q953" s="129">
        <f>COUNTA(Modificaciones!S953,Modificaciones!U953,Modificaciones!W953,Modificaciones!Y953)</f>
        <v>0</v>
      </c>
      <c r="R953" s="130" t="str">
        <f>IF(Modificaciones!Z953=0,"",VLOOKUP(E953,Modificaciones!$B$7:$AA$1419,25,0))</f>
        <v/>
      </c>
      <c r="S953" s="131" t="str">
        <f>IF(Modificaciones!AA929=0,"",VLOOKUP(#REF!,Modificaciones!$B$7:$AA$1419,26,0))</f>
        <v/>
      </c>
      <c r="T953" s="855">
        <f t="shared" si="231"/>
        <v>0</v>
      </c>
      <c r="U953" s="62">
        <f t="shared" si="232"/>
        <v>0</v>
      </c>
      <c r="V953" s="172">
        <f>VLOOKUP(E953,Modificaciones!$B$7:$AU$819,46,0)</f>
        <v>0</v>
      </c>
      <c r="W953" s="93">
        <f t="shared" si="233"/>
        <v>0</v>
      </c>
      <c r="X953" s="1041"/>
      <c r="Y953" s="852" t="e">
        <f t="shared" si="234"/>
        <v>#DIV/0!</v>
      </c>
      <c r="Z953" s="42" t="e">
        <f t="shared" ca="1" si="235"/>
        <v>#DIV/0!</v>
      </c>
      <c r="AA953" s="43" t="e">
        <f t="shared" ca="1" si="236"/>
        <v>#DIV/0!</v>
      </c>
      <c r="AB953" s="202" t="e">
        <f t="shared" ca="1" si="237"/>
        <v>#DIV/0!</v>
      </c>
      <c r="AC953" s="44" t="e">
        <f t="shared" si="238"/>
        <v>#DIV/0!</v>
      </c>
      <c r="AD953" s="868"/>
      <c r="AE953" s="871"/>
      <c r="AF953" s="871"/>
      <c r="AG953" s="868"/>
      <c r="AH953" s="868"/>
      <c r="AI953" s="868"/>
      <c r="AJ953" s="868"/>
      <c r="AK953" s="181" t="str">
        <f t="shared" ca="1" si="239"/>
        <v>TERMINO</v>
      </c>
      <c r="AL953" s="441"/>
      <c r="AM953" s="433"/>
      <c r="AN953" s="848" t="str">
        <f>IFERROR(VLOOKUP(E953,'liquidaciones '!$B$2:$C$1048576,2,0),"NO")</f>
        <v>NO</v>
      </c>
      <c r="AO953" s="944" t="str">
        <f>IFERROR(VLOOKUP(E953,'liquidaciones '!$B$2:$I$1048576,8,0),"")</f>
        <v/>
      </c>
      <c r="AP953" s="433"/>
      <c r="AQ953" s="433"/>
      <c r="AR953" s="1069"/>
      <c r="AS953" s="1042"/>
      <c r="AT953" s="964"/>
      <c r="AU953" s="964"/>
      <c r="AV953" s="964"/>
    </row>
    <row r="954" spans="3:48" x14ac:dyDescent="0.25">
      <c r="C954" s="867"/>
      <c r="E954" s="868"/>
      <c r="F954" s="441"/>
      <c r="G954" s="868"/>
      <c r="H954" s="1005"/>
      <c r="I954" s="93"/>
      <c r="J954" s="869"/>
      <c r="K954" s="295"/>
      <c r="L954" s="546"/>
      <c r="M954" s="870"/>
      <c r="N954" s="870"/>
      <c r="O954" s="127">
        <f>COUNTA(Modificaciones!I954,Modificaciones!K954,Modificaciones!M954,Modificaciones!O954)</f>
        <v>0</v>
      </c>
      <c r="P954" s="128">
        <f>VLOOKUP(E954,Modificaciones!$B$7:$Q$1819,16,0)</f>
        <v>0</v>
      </c>
      <c r="Q954" s="129">
        <f>COUNTA(Modificaciones!S954,Modificaciones!U954,Modificaciones!W954,Modificaciones!Y954)</f>
        <v>0</v>
      </c>
      <c r="R954" s="130" t="str">
        <f>IF(Modificaciones!Z954=0,"",VLOOKUP(E954,Modificaciones!$B$7:$AA$1419,25,0))</f>
        <v/>
      </c>
      <c r="S954" s="131" t="str">
        <f>IF(Modificaciones!AA930=0,"",VLOOKUP(#REF!,Modificaciones!$B$7:$AA$1419,26,0))</f>
        <v/>
      </c>
      <c r="T954" s="855">
        <f t="shared" si="231"/>
        <v>0</v>
      </c>
      <c r="U954" s="62">
        <f t="shared" si="232"/>
        <v>0</v>
      </c>
      <c r="V954" s="172">
        <f>VLOOKUP(E954,Modificaciones!$B$7:$AU$819,46,0)</f>
        <v>0</v>
      </c>
      <c r="W954" s="93">
        <f t="shared" si="233"/>
        <v>0</v>
      </c>
      <c r="X954" s="1041"/>
      <c r="Y954" s="852" t="e">
        <f t="shared" si="234"/>
        <v>#DIV/0!</v>
      </c>
      <c r="Z954" s="42" t="e">
        <f t="shared" ca="1" si="235"/>
        <v>#DIV/0!</v>
      </c>
      <c r="AA954" s="43" t="e">
        <f t="shared" ca="1" si="236"/>
        <v>#DIV/0!</v>
      </c>
      <c r="AB954" s="202" t="e">
        <f t="shared" ca="1" si="237"/>
        <v>#DIV/0!</v>
      </c>
      <c r="AC954" s="44" t="e">
        <f t="shared" si="238"/>
        <v>#DIV/0!</v>
      </c>
      <c r="AD954" s="868"/>
      <c r="AE954" s="871"/>
      <c r="AF954" s="871"/>
      <c r="AG954" s="868"/>
      <c r="AH954" s="868"/>
      <c r="AI954" s="868"/>
      <c r="AJ954" s="868"/>
      <c r="AK954" s="181" t="str">
        <f t="shared" ca="1" si="239"/>
        <v>TERMINO</v>
      </c>
      <c r="AL954" s="441"/>
      <c r="AM954" s="433"/>
      <c r="AN954" s="848" t="str">
        <f>IFERROR(VLOOKUP(E954,'liquidaciones '!$B$2:$C$1048576,2,0),"NO")</f>
        <v>NO</v>
      </c>
      <c r="AO954" s="944" t="str">
        <f>IFERROR(VLOOKUP(E954,'liquidaciones '!$B$2:$I$1048576,8,0),"")</f>
        <v/>
      </c>
      <c r="AP954" s="433"/>
      <c r="AQ954" s="433"/>
      <c r="AR954" s="1069"/>
      <c r="AS954" s="1042"/>
      <c r="AT954" s="964"/>
      <c r="AU954" s="964"/>
      <c r="AV954" s="964"/>
    </row>
    <row r="955" spans="3:48" x14ac:dyDescent="0.25">
      <c r="C955" s="867"/>
      <c r="E955" s="868"/>
      <c r="F955" s="441"/>
      <c r="G955" s="868"/>
      <c r="H955" s="1005"/>
      <c r="I955" s="93"/>
      <c r="J955" s="869"/>
      <c r="K955" s="295"/>
      <c r="L955" s="546"/>
      <c r="M955" s="870"/>
      <c r="N955" s="870"/>
      <c r="O955" s="127">
        <f>COUNTA(Modificaciones!I955,Modificaciones!K955,Modificaciones!M955,Modificaciones!O955)</f>
        <v>0</v>
      </c>
      <c r="P955" s="128">
        <f>VLOOKUP(E955,Modificaciones!$B$7:$Q$1819,16,0)</f>
        <v>0</v>
      </c>
      <c r="Q955" s="129">
        <f>COUNTA(Modificaciones!S955,Modificaciones!U955,Modificaciones!W955,Modificaciones!Y955)</f>
        <v>0</v>
      </c>
      <c r="R955" s="130" t="str">
        <f>IF(Modificaciones!Z955=0,"",VLOOKUP(E955,Modificaciones!$B$7:$AA$1419,25,0))</f>
        <v/>
      </c>
      <c r="S955" s="131" t="str">
        <f>IF(Modificaciones!AA931=0,"",VLOOKUP(#REF!,Modificaciones!$B$7:$AA$1419,26,0))</f>
        <v/>
      </c>
      <c r="T955" s="855">
        <f t="shared" si="231"/>
        <v>0</v>
      </c>
      <c r="U955" s="62">
        <f t="shared" si="232"/>
        <v>0</v>
      </c>
      <c r="V955" s="172">
        <f>VLOOKUP(E955,Modificaciones!$B$7:$AU$819,46,0)</f>
        <v>0</v>
      </c>
      <c r="W955" s="93">
        <f t="shared" si="233"/>
        <v>0</v>
      </c>
      <c r="X955" s="1041"/>
      <c r="Y955" s="852" t="e">
        <f t="shared" si="234"/>
        <v>#DIV/0!</v>
      </c>
      <c r="Z955" s="42" t="e">
        <f t="shared" ca="1" si="235"/>
        <v>#DIV/0!</v>
      </c>
      <c r="AA955" s="43" t="e">
        <f t="shared" ca="1" si="236"/>
        <v>#DIV/0!</v>
      </c>
      <c r="AB955" s="202" t="e">
        <f t="shared" ca="1" si="237"/>
        <v>#DIV/0!</v>
      </c>
      <c r="AC955" s="44" t="e">
        <f t="shared" si="238"/>
        <v>#DIV/0!</v>
      </c>
      <c r="AD955" s="868"/>
      <c r="AE955" s="871"/>
      <c r="AF955" s="871"/>
      <c r="AG955" s="868"/>
      <c r="AH955" s="868"/>
      <c r="AI955" s="868"/>
      <c r="AJ955" s="868"/>
      <c r="AK955" s="181" t="str">
        <f t="shared" ca="1" si="239"/>
        <v>TERMINO</v>
      </c>
      <c r="AL955" s="441"/>
      <c r="AM955" s="433"/>
      <c r="AN955" s="848" t="str">
        <f>IFERROR(VLOOKUP(E955,'liquidaciones '!$B$2:$C$1048576,2,0),"NO")</f>
        <v>NO</v>
      </c>
      <c r="AO955" s="944" t="str">
        <f>IFERROR(VLOOKUP(E955,'liquidaciones '!$B$2:$I$1048576,8,0),"")</f>
        <v/>
      </c>
      <c r="AP955" s="433"/>
      <c r="AQ955" s="433"/>
      <c r="AR955" s="1069"/>
      <c r="AS955" s="1042"/>
      <c r="AT955" s="964"/>
      <c r="AU955" s="964"/>
      <c r="AV955" s="964"/>
    </row>
    <row r="956" spans="3:48" x14ac:dyDescent="0.25">
      <c r="C956" s="867"/>
      <c r="E956" s="868"/>
      <c r="F956" s="441"/>
      <c r="G956" s="868"/>
      <c r="H956" s="1005"/>
      <c r="I956" s="93"/>
      <c r="J956" s="869"/>
      <c r="K956" s="295"/>
      <c r="L956" s="546"/>
      <c r="M956" s="870"/>
      <c r="N956" s="870"/>
      <c r="O956" s="127">
        <f>COUNTA(Modificaciones!I956,Modificaciones!K956,Modificaciones!M956,Modificaciones!O956)</f>
        <v>0</v>
      </c>
      <c r="P956" s="128">
        <f>VLOOKUP(E956,Modificaciones!$B$7:$Q$1819,16,0)</f>
        <v>0</v>
      </c>
      <c r="Q956" s="129">
        <f>COUNTA(Modificaciones!S956,Modificaciones!U956,Modificaciones!W956,Modificaciones!Y956)</f>
        <v>0</v>
      </c>
      <c r="R956" s="130" t="str">
        <f>IF(Modificaciones!Z956=0,"",VLOOKUP(E956,Modificaciones!$B$7:$AA$1419,25,0))</f>
        <v/>
      </c>
      <c r="S956" s="131" t="str">
        <f>IF(Modificaciones!AA932=0,"",VLOOKUP(#REF!,Modificaciones!$B$7:$AA$1419,26,0))</f>
        <v/>
      </c>
      <c r="T956" s="855">
        <f t="shared" si="231"/>
        <v>0</v>
      </c>
      <c r="U956" s="62">
        <f t="shared" si="232"/>
        <v>0</v>
      </c>
      <c r="V956" s="172">
        <f>VLOOKUP(E956,Modificaciones!$B$7:$AU$819,46,0)</f>
        <v>0</v>
      </c>
      <c r="W956" s="93">
        <f t="shared" si="233"/>
        <v>0</v>
      </c>
      <c r="X956" s="1041"/>
      <c r="Y956" s="852" t="e">
        <f t="shared" si="234"/>
        <v>#DIV/0!</v>
      </c>
      <c r="Z956" s="42" t="e">
        <f t="shared" ca="1" si="235"/>
        <v>#DIV/0!</v>
      </c>
      <c r="AA956" s="43" t="e">
        <f t="shared" ca="1" si="236"/>
        <v>#DIV/0!</v>
      </c>
      <c r="AB956" s="202" t="e">
        <f t="shared" ca="1" si="237"/>
        <v>#DIV/0!</v>
      </c>
      <c r="AC956" s="44" t="e">
        <f t="shared" si="238"/>
        <v>#DIV/0!</v>
      </c>
      <c r="AD956" s="868"/>
      <c r="AE956" s="871"/>
      <c r="AF956" s="871"/>
      <c r="AG956" s="868"/>
      <c r="AH956" s="868"/>
      <c r="AI956" s="868"/>
      <c r="AJ956" s="868"/>
      <c r="AK956" s="181" t="str">
        <f t="shared" ca="1" si="239"/>
        <v>TERMINO</v>
      </c>
      <c r="AL956" s="441"/>
      <c r="AM956" s="433"/>
      <c r="AN956" s="848" t="str">
        <f>IFERROR(VLOOKUP(E956,'liquidaciones '!$B$2:$C$1048576,2,0),"NO")</f>
        <v>NO</v>
      </c>
      <c r="AO956" s="944" t="str">
        <f>IFERROR(VLOOKUP(E956,'liquidaciones '!$B$2:$I$1048576,8,0),"")</f>
        <v/>
      </c>
      <c r="AP956" s="433"/>
      <c r="AQ956" s="433"/>
      <c r="AR956" s="1069"/>
      <c r="AS956" s="1042"/>
      <c r="AT956" s="964"/>
      <c r="AU956" s="964"/>
      <c r="AV956" s="964"/>
    </row>
    <row r="957" spans="3:48" x14ac:dyDescent="0.25">
      <c r="C957" s="867"/>
      <c r="E957" s="868"/>
      <c r="F957" s="441"/>
      <c r="G957" s="868"/>
      <c r="H957" s="1005"/>
      <c r="I957" s="93"/>
      <c r="J957" s="869"/>
      <c r="K957" s="295"/>
      <c r="L957" s="546"/>
      <c r="M957" s="870"/>
      <c r="N957" s="870"/>
      <c r="O957" s="127">
        <f>COUNTA(Modificaciones!I957,Modificaciones!K957,Modificaciones!M957,Modificaciones!O957)</f>
        <v>0</v>
      </c>
      <c r="P957" s="128">
        <f>VLOOKUP(E957,Modificaciones!$B$7:$Q$1819,16,0)</f>
        <v>0</v>
      </c>
      <c r="Q957" s="129">
        <f>COUNTA(Modificaciones!S957,Modificaciones!U957,Modificaciones!W957,Modificaciones!Y957)</f>
        <v>0</v>
      </c>
      <c r="R957" s="130" t="str">
        <f>IF(Modificaciones!Z957=0,"",VLOOKUP(E957,Modificaciones!$B$7:$AA$1419,25,0))</f>
        <v/>
      </c>
      <c r="S957" s="131" t="str">
        <f>IF(Modificaciones!AA933=0,"",VLOOKUP(#REF!,Modificaciones!$B$7:$AA$1419,26,0))</f>
        <v/>
      </c>
      <c r="T957" s="855">
        <f t="shared" si="231"/>
        <v>0</v>
      </c>
      <c r="U957" s="62">
        <f t="shared" si="232"/>
        <v>0</v>
      </c>
      <c r="V957" s="172">
        <f>VLOOKUP(E957,Modificaciones!$B$7:$AU$819,46,0)</f>
        <v>0</v>
      </c>
      <c r="W957" s="93">
        <f t="shared" si="233"/>
        <v>0</v>
      </c>
      <c r="X957" s="1041"/>
      <c r="Y957" s="852" t="e">
        <f t="shared" si="234"/>
        <v>#DIV/0!</v>
      </c>
      <c r="Z957" s="42" t="e">
        <f t="shared" ca="1" si="235"/>
        <v>#DIV/0!</v>
      </c>
      <c r="AA957" s="43" t="e">
        <f t="shared" ca="1" si="236"/>
        <v>#DIV/0!</v>
      </c>
      <c r="AB957" s="202" t="e">
        <f t="shared" ca="1" si="237"/>
        <v>#DIV/0!</v>
      </c>
      <c r="AC957" s="44" t="e">
        <f t="shared" si="238"/>
        <v>#DIV/0!</v>
      </c>
      <c r="AD957" s="868"/>
      <c r="AE957" s="871"/>
      <c r="AF957" s="871"/>
      <c r="AG957" s="868"/>
      <c r="AH957" s="868"/>
      <c r="AI957" s="868"/>
      <c r="AJ957" s="868"/>
      <c r="AK957" s="181" t="str">
        <f t="shared" ca="1" si="239"/>
        <v>TERMINO</v>
      </c>
      <c r="AL957" s="441"/>
      <c r="AM957" s="433"/>
      <c r="AN957" s="848" t="str">
        <f>IFERROR(VLOOKUP(E957,'liquidaciones '!$B$2:$C$1048576,2,0),"NO")</f>
        <v>NO</v>
      </c>
      <c r="AO957" s="944" t="str">
        <f>IFERROR(VLOOKUP(E957,'liquidaciones '!$B$2:$I$1048576,8,0),"")</f>
        <v/>
      </c>
      <c r="AP957" s="433"/>
      <c r="AQ957" s="433"/>
      <c r="AR957" s="1069"/>
      <c r="AS957" s="1042"/>
      <c r="AT957" s="964"/>
      <c r="AU957" s="964"/>
      <c r="AV957" s="964"/>
    </row>
    <row r="958" spans="3:48" x14ac:dyDescent="0.25">
      <c r="C958" s="867"/>
      <c r="E958" s="868"/>
      <c r="F958" s="441"/>
      <c r="G958" s="868"/>
      <c r="H958" s="1005"/>
      <c r="I958" s="93"/>
      <c r="J958" s="869"/>
      <c r="K958" s="295"/>
      <c r="L958" s="546"/>
      <c r="M958" s="870"/>
      <c r="N958" s="870"/>
      <c r="O958" s="127">
        <f>COUNTA(Modificaciones!I958,Modificaciones!K958,Modificaciones!M958,Modificaciones!O958)</f>
        <v>0</v>
      </c>
      <c r="P958" s="128">
        <f>VLOOKUP(E958,Modificaciones!$B$7:$Q$1819,16,0)</f>
        <v>0</v>
      </c>
      <c r="Q958" s="129">
        <f>COUNTA(Modificaciones!S958,Modificaciones!U958,Modificaciones!W958,Modificaciones!Y958)</f>
        <v>0</v>
      </c>
      <c r="R958" s="130" t="str">
        <f>IF(Modificaciones!Z958=0,"",VLOOKUP(E958,Modificaciones!$B$7:$AA$1419,25,0))</f>
        <v/>
      </c>
      <c r="S958" s="131" t="str">
        <f>IF(Modificaciones!AA934=0,"",VLOOKUP(#REF!,Modificaciones!$B$7:$AA$1419,26,0))</f>
        <v/>
      </c>
      <c r="T958" s="855">
        <f t="shared" si="231"/>
        <v>0</v>
      </c>
      <c r="U958" s="62">
        <f t="shared" si="232"/>
        <v>0</v>
      </c>
      <c r="V958" s="172">
        <f>VLOOKUP(E958,Modificaciones!$B$7:$AU$819,46,0)</f>
        <v>0</v>
      </c>
      <c r="W958" s="93">
        <f t="shared" si="233"/>
        <v>0</v>
      </c>
      <c r="X958" s="1041"/>
      <c r="Y958" s="852" t="e">
        <f t="shared" si="234"/>
        <v>#DIV/0!</v>
      </c>
      <c r="Z958" s="42" t="e">
        <f t="shared" ca="1" si="235"/>
        <v>#DIV/0!</v>
      </c>
      <c r="AA958" s="43" t="e">
        <f t="shared" ca="1" si="236"/>
        <v>#DIV/0!</v>
      </c>
      <c r="AB958" s="202" t="e">
        <f t="shared" ca="1" si="237"/>
        <v>#DIV/0!</v>
      </c>
      <c r="AC958" s="44" t="e">
        <f t="shared" si="238"/>
        <v>#DIV/0!</v>
      </c>
      <c r="AD958" s="868"/>
      <c r="AE958" s="871"/>
      <c r="AF958" s="871"/>
      <c r="AG958" s="868"/>
      <c r="AH958" s="868"/>
      <c r="AI958" s="868"/>
      <c r="AJ958" s="868"/>
      <c r="AK958" s="181" t="str">
        <f t="shared" ca="1" si="239"/>
        <v>TERMINO</v>
      </c>
      <c r="AL958" s="441"/>
      <c r="AM958" s="433"/>
      <c r="AN958" s="848" t="str">
        <f>IFERROR(VLOOKUP(E958,'liquidaciones '!$B$2:$C$1048576,2,0),"NO")</f>
        <v>NO</v>
      </c>
      <c r="AO958" s="944" t="str">
        <f>IFERROR(VLOOKUP(E958,'liquidaciones '!$B$2:$I$1048576,8,0),"")</f>
        <v/>
      </c>
      <c r="AP958" s="433"/>
      <c r="AQ958" s="433"/>
      <c r="AR958" s="1069"/>
      <c r="AS958" s="1042"/>
      <c r="AT958" s="964"/>
      <c r="AU958" s="964"/>
      <c r="AV958" s="964"/>
    </row>
    <row r="959" spans="3:48" x14ac:dyDescent="0.25">
      <c r="C959" s="867"/>
      <c r="E959" s="868"/>
      <c r="F959" s="441"/>
      <c r="G959" s="868"/>
      <c r="H959" s="1005"/>
      <c r="I959" s="93"/>
      <c r="J959" s="869"/>
      <c r="K959" s="295"/>
      <c r="L959" s="546"/>
      <c r="M959" s="870"/>
      <c r="N959" s="870"/>
      <c r="O959" s="127">
        <f>COUNTA(Modificaciones!I959,Modificaciones!K959,Modificaciones!M959,Modificaciones!O959)</f>
        <v>0</v>
      </c>
      <c r="P959" s="128">
        <f>VLOOKUP(E959,Modificaciones!$B$7:$Q$1819,16,0)</f>
        <v>0</v>
      </c>
      <c r="Q959" s="129">
        <f>COUNTA(Modificaciones!S959,Modificaciones!U959,Modificaciones!W959,Modificaciones!Y959)</f>
        <v>0</v>
      </c>
      <c r="R959" s="130" t="str">
        <f>IF(Modificaciones!Z959=0,"",VLOOKUP(E959,Modificaciones!$B$7:$AA$1419,25,0))</f>
        <v/>
      </c>
      <c r="S959" s="131" t="str">
        <f>IF(Modificaciones!AA935=0,"",VLOOKUP(#REF!,Modificaciones!$B$7:$AA$1419,26,0))</f>
        <v/>
      </c>
      <c r="T959" s="855">
        <f t="shared" si="231"/>
        <v>0</v>
      </c>
      <c r="U959" s="62">
        <f t="shared" si="232"/>
        <v>0</v>
      </c>
      <c r="V959" s="172">
        <f>VLOOKUP(E959,Modificaciones!$B$7:$AU$819,46,0)</f>
        <v>0</v>
      </c>
      <c r="W959" s="93">
        <f t="shared" si="233"/>
        <v>0</v>
      </c>
      <c r="X959" s="1041"/>
      <c r="Y959" s="852" t="e">
        <f t="shared" si="234"/>
        <v>#DIV/0!</v>
      </c>
      <c r="Z959" s="42" t="e">
        <f t="shared" ca="1" si="235"/>
        <v>#DIV/0!</v>
      </c>
      <c r="AA959" s="43" t="e">
        <f t="shared" ca="1" si="236"/>
        <v>#DIV/0!</v>
      </c>
      <c r="AB959" s="202" t="e">
        <f t="shared" ca="1" si="237"/>
        <v>#DIV/0!</v>
      </c>
      <c r="AC959" s="44" t="e">
        <f t="shared" si="238"/>
        <v>#DIV/0!</v>
      </c>
      <c r="AD959" s="868"/>
      <c r="AE959" s="871"/>
      <c r="AF959" s="871"/>
      <c r="AG959" s="868"/>
      <c r="AH959" s="868"/>
      <c r="AI959" s="868"/>
      <c r="AJ959" s="868"/>
      <c r="AK959" s="181" t="str">
        <f t="shared" ca="1" si="239"/>
        <v>TERMINO</v>
      </c>
      <c r="AL959" s="441"/>
      <c r="AM959" s="433"/>
      <c r="AN959" s="848" t="str">
        <f>IFERROR(VLOOKUP(E959,'liquidaciones '!$B$2:$C$1048576,2,0),"NO")</f>
        <v>NO</v>
      </c>
      <c r="AO959" s="944" t="str">
        <f>IFERROR(VLOOKUP(E959,'liquidaciones '!$B$2:$I$1048576,8,0),"")</f>
        <v/>
      </c>
      <c r="AP959" s="433"/>
      <c r="AQ959" s="433"/>
      <c r="AR959" s="1069"/>
      <c r="AS959" s="1042"/>
      <c r="AT959" s="964"/>
      <c r="AU959" s="964"/>
      <c r="AV959" s="964"/>
    </row>
    <row r="960" spans="3:48" x14ac:dyDescent="0.25">
      <c r="C960" s="867"/>
      <c r="E960" s="868"/>
      <c r="F960" s="441"/>
      <c r="G960" s="868"/>
      <c r="H960" s="1005"/>
      <c r="I960" s="93"/>
      <c r="J960" s="869"/>
      <c r="K960" s="295"/>
      <c r="L960" s="546"/>
      <c r="M960" s="870"/>
      <c r="N960" s="870"/>
      <c r="O960" s="127">
        <f>COUNTA(Modificaciones!I960,Modificaciones!K960,Modificaciones!M960,Modificaciones!O960)</f>
        <v>0</v>
      </c>
      <c r="P960" s="128">
        <f>VLOOKUP(E960,Modificaciones!$B$7:$Q$1819,16,0)</f>
        <v>0</v>
      </c>
      <c r="Q960" s="129">
        <f>COUNTA(Modificaciones!S960,Modificaciones!U960,Modificaciones!W960,Modificaciones!Y960)</f>
        <v>0</v>
      </c>
      <c r="R960" s="130" t="str">
        <f>IF(Modificaciones!Z960=0,"",VLOOKUP(E960,Modificaciones!$B$7:$AA$1419,25,0))</f>
        <v/>
      </c>
      <c r="S960" s="131" t="str">
        <f>IF(Modificaciones!AA936=0,"",VLOOKUP(#REF!,Modificaciones!$B$7:$AA$1419,26,0))</f>
        <v/>
      </c>
      <c r="T960" s="855">
        <f t="shared" si="231"/>
        <v>0</v>
      </c>
      <c r="U960" s="62">
        <f t="shared" si="232"/>
        <v>0</v>
      </c>
      <c r="V960" s="172">
        <f>VLOOKUP(E960,Modificaciones!$B$7:$AU$819,46,0)</f>
        <v>0</v>
      </c>
      <c r="W960" s="93">
        <f t="shared" si="233"/>
        <v>0</v>
      </c>
      <c r="X960" s="1041"/>
      <c r="Y960" s="852" t="e">
        <f t="shared" si="234"/>
        <v>#DIV/0!</v>
      </c>
      <c r="Z960" s="42" t="e">
        <f t="shared" ca="1" si="235"/>
        <v>#DIV/0!</v>
      </c>
      <c r="AA960" s="43" t="e">
        <f t="shared" ca="1" si="236"/>
        <v>#DIV/0!</v>
      </c>
      <c r="AB960" s="202" t="e">
        <f t="shared" ca="1" si="237"/>
        <v>#DIV/0!</v>
      </c>
      <c r="AC960" s="44" t="e">
        <f t="shared" si="238"/>
        <v>#DIV/0!</v>
      </c>
      <c r="AD960" s="868"/>
      <c r="AE960" s="871"/>
      <c r="AF960" s="871"/>
      <c r="AG960" s="868"/>
      <c r="AH960" s="868"/>
      <c r="AI960" s="868"/>
      <c r="AJ960" s="868"/>
      <c r="AK960" s="181" t="str">
        <f t="shared" ca="1" si="239"/>
        <v>TERMINO</v>
      </c>
      <c r="AL960" s="441"/>
      <c r="AM960" s="433"/>
      <c r="AN960" s="848" t="str">
        <f>IFERROR(VLOOKUP(E960,'liquidaciones '!$B$2:$C$1048576,2,0),"NO")</f>
        <v>NO</v>
      </c>
      <c r="AO960" s="944" t="str">
        <f>IFERROR(VLOOKUP(E960,'liquidaciones '!$B$2:$I$1048576,8,0),"")</f>
        <v/>
      </c>
      <c r="AP960" s="433"/>
      <c r="AQ960" s="433"/>
      <c r="AR960" s="1069"/>
      <c r="AS960" s="1042"/>
      <c r="AT960" s="964"/>
      <c r="AU960" s="964"/>
      <c r="AV960" s="964"/>
    </row>
    <row r="961" spans="3:48" x14ac:dyDescent="0.25">
      <c r="C961" s="867"/>
      <c r="E961" s="868"/>
      <c r="F961" s="441"/>
      <c r="G961" s="868"/>
      <c r="H961" s="1005"/>
      <c r="I961" s="93"/>
      <c r="J961" s="869"/>
      <c r="K961" s="295"/>
      <c r="L961" s="546"/>
      <c r="M961" s="870"/>
      <c r="N961" s="870"/>
      <c r="O961" s="127">
        <f>COUNTA(Modificaciones!I961,Modificaciones!K961,Modificaciones!M961,Modificaciones!O961)</f>
        <v>0</v>
      </c>
      <c r="P961" s="128">
        <f>VLOOKUP(E961,Modificaciones!$B$7:$Q$1819,16,0)</f>
        <v>0</v>
      </c>
      <c r="Q961" s="129">
        <f>COUNTA(Modificaciones!S961,Modificaciones!U961,Modificaciones!W961,Modificaciones!Y961)</f>
        <v>0</v>
      </c>
      <c r="R961" s="130" t="str">
        <f>IF(Modificaciones!Z961=0,"",VLOOKUP(E961,Modificaciones!$B$7:$AA$1419,25,0))</f>
        <v/>
      </c>
      <c r="S961" s="131" t="str">
        <f>IF(Modificaciones!AA937=0,"",VLOOKUP(#REF!,Modificaciones!$B$7:$AA$1419,26,0))</f>
        <v/>
      </c>
      <c r="T961" s="855">
        <f t="shared" si="231"/>
        <v>0</v>
      </c>
      <c r="U961" s="62">
        <f t="shared" si="232"/>
        <v>0</v>
      </c>
      <c r="V961" s="172">
        <f>VLOOKUP(E961,Modificaciones!$B$7:$AU$819,46,0)</f>
        <v>0</v>
      </c>
      <c r="W961" s="93">
        <f t="shared" si="233"/>
        <v>0</v>
      </c>
      <c r="X961" s="1041"/>
      <c r="Y961" s="852" t="e">
        <f t="shared" si="234"/>
        <v>#DIV/0!</v>
      </c>
      <c r="Z961" s="42" t="e">
        <f t="shared" ca="1" si="235"/>
        <v>#DIV/0!</v>
      </c>
      <c r="AA961" s="43" t="e">
        <f t="shared" ca="1" si="236"/>
        <v>#DIV/0!</v>
      </c>
      <c r="AB961" s="202" t="e">
        <f t="shared" ca="1" si="237"/>
        <v>#DIV/0!</v>
      </c>
      <c r="AC961" s="44" t="e">
        <f t="shared" si="238"/>
        <v>#DIV/0!</v>
      </c>
      <c r="AD961" s="868"/>
      <c r="AE961" s="871"/>
      <c r="AF961" s="871"/>
      <c r="AG961" s="868"/>
      <c r="AH961" s="868"/>
      <c r="AI961" s="868"/>
      <c r="AJ961" s="868"/>
      <c r="AK961" s="181" t="str">
        <f t="shared" ca="1" si="239"/>
        <v>TERMINO</v>
      </c>
      <c r="AL961" s="441"/>
      <c r="AM961" s="433"/>
      <c r="AN961" s="848" t="str">
        <f>IFERROR(VLOOKUP(E961,'liquidaciones '!$B$2:$C$1048576,2,0),"NO")</f>
        <v>NO</v>
      </c>
      <c r="AO961" s="944" t="str">
        <f>IFERROR(VLOOKUP(E961,'liquidaciones '!$B$2:$I$1048576,8,0),"")</f>
        <v/>
      </c>
      <c r="AP961" s="433"/>
      <c r="AQ961" s="433"/>
      <c r="AR961" s="1069"/>
      <c r="AS961" s="1042"/>
      <c r="AT961" s="964"/>
      <c r="AU961" s="964"/>
      <c r="AV961" s="964"/>
    </row>
    <row r="962" spans="3:48" x14ac:dyDescent="0.25">
      <c r="C962" s="867"/>
      <c r="E962" s="868"/>
      <c r="F962" s="441"/>
      <c r="G962" s="868"/>
      <c r="H962" s="1005"/>
      <c r="I962" s="93"/>
      <c r="J962" s="869"/>
      <c r="K962" s="295"/>
      <c r="L962" s="546"/>
      <c r="M962" s="870"/>
      <c r="N962" s="870"/>
      <c r="O962" s="127">
        <f>COUNTA(Modificaciones!I962,Modificaciones!K962,Modificaciones!M962,Modificaciones!O962)</f>
        <v>0</v>
      </c>
      <c r="P962" s="128">
        <f>VLOOKUP(E962,Modificaciones!$B$7:$Q$1819,16,0)</f>
        <v>0</v>
      </c>
      <c r="Q962" s="129">
        <f>COUNTA(Modificaciones!S962,Modificaciones!U962,Modificaciones!W962,Modificaciones!Y962)</f>
        <v>0</v>
      </c>
      <c r="R962" s="130" t="str">
        <f>IF(Modificaciones!Z962=0,"",VLOOKUP(E962,Modificaciones!$B$7:$AA$1419,25,0))</f>
        <v/>
      </c>
      <c r="S962" s="131" t="str">
        <f>IF(Modificaciones!AA938=0,"",VLOOKUP(#REF!,Modificaciones!$B$7:$AA$1419,26,0))</f>
        <v/>
      </c>
      <c r="T962" s="855">
        <f t="shared" si="231"/>
        <v>0</v>
      </c>
      <c r="U962" s="62">
        <f t="shared" si="232"/>
        <v>0</v>
      </c>
      <c r="V962" s="172">
        <f>VLOOKUP(E962,Modificaciones!$B$7:$AU$819,46,0)</f>
        <v>0</v>
      </c>
      <c r="W962" s="93">
        <f t="shared" si="233"/>
        <v>0</v>
      </c>
      <c r="X962" s="1041"/>
      <c r="Y962" s="852" t="e">
        <f t="shared" si="234"/>
        <v>#DIV/0!</v>
      </c>
      <c r="Z962" s="42" t="e">
        <f t="shared" ca="1" si="235"/>
        <v>#DIV/0!</v>
      </c>
      <c r="AA962" s="43" t="e">
        <f t="shared" ca="1" si="236"/>
        <v>#DIV/0!</v>
      </c>
      <c r="AB962" s="202" t="e">
        <f t="shared" ca="1" si="237"/>
        <v>#DIV/0!</v>
      </c>
      <c r="AC962" s="44" t="e">
        <f t="shared" si="238"/>
        <v>#DIV/0!</v>
      </c>
      <c r="AD962" s="868"/>
      <c r="AE962" s="871"/>
      <c r="AF962" s="871"/>
      <c r="AG962" s="868"/>
      <c r="AH962" s="868"/>
      <c r="AI962" s="868"/>
      <c r="AJ962" s="868"/>
      <c r="AK962" s="181" t="str">
        <f t="shared" ca="1" si="239"/>
        <v>TERMINO</v>
      </c>
      <c r="AL962" s="441"/>
      <c r="AM962" s="433"/>
      <c r="AN962" s="848" t="str">
        <f>IFERROR(VLOOKUP(E962,'liquidaciones '!$B$2:$C$1048576,2,0),"NO")</f>
        <v>NO</v>
      </c>
      <c r="AO962" s="944" t="str">
        <f>IFERROR(VLOOKUP(E962,'liquidaciones '!$B$2:$I$1048576,8,0),"")</f>
        <v/>
      </c>
      <c r="AP962" s="433"/>
      <c r="AQ962" s="433"/>
      <c r="AR962" s="1069"/>
      <c r="AS962" s="1042"/>
      <c r="AT962" s="964"/>
      <c r="AU962" s="964"/>
      <c r="AV962" s="964"/>
    </row>
    <row r="963" spans="3:48" x14ac:dyDescent="0.25">
      <c r="C963" s="867"/>
      <c r="E963" s="868"/>
      <c r="F963" s="441"/>
      <c r="G963" s="868"/>
      <c r="H963" s="1005"/>
      <c r="I963" s="93"/>
      <c r="J963" s="869"/>
      <c r="K963" s="295"/>
      <c r="L963" s="546"/>
      <c r="M963" s="870"/>
      <c r="N963" s="870"/>
      <c r="O963" s="127">
        <f>COUNTA(Modificaciones!I963,Modificaciones!K963,Modificaciones!M963,Modificaciones!O963)</f>
        <v>0</v>
      </c>
      <c r="P963" s="128">
        <f>VLOOKUP(E963,Modificaciones!$B$7:$Q$1819,16,0)</f>
        <v>0</v>
      </c>
      <c r="Q963" s="129">
        <f>COUNTA(Modificaciones!S963,Modificaciones!U963,Modificaciones!W963,Modificaciones!Y963)</f>
        <v>0</v>
      </c>
      <c r="R963" s="130" t="str">
        <f>IF(Modificaciones!Z963=0,"",VLOOKUP(E963,Modificaciones!$B$7:$AA$1419,25,0))</f>
        <v/>
      </c>
      <c r="S963" s="131" t="str">
        <f>IF(Modificaciones!AA939=0,"",VLOOKUP(#REF!,Modificaciones!$B$7:$AA$1419,26,0))</f>
        <v/>
      </c>
      <c r="T963" s="855">
        <f t="shared" si="231"/>
        <v>0</v>
      </c>
      <c r="U963" s="62">
        <f t="shared" si="232"/>
        <v>0</v>
      </c>
      <c r="V963" s="172">
        <f>VLOOKUP(E963,Modificaciones!$B$7:$AU$819,46,0)</f>
        <v>0</v>
      </c>
      <c r="W963" s="93">
        <f t="shared" si="233"/>
        <v>0</v>
      </c>
      <c r="X963" s="1041"/>
      <c r="Y963" s="852" t="e">
        <f t="shared" si="234"/>
        <v>#DIV/0!</v>
      </c>
      <c r="Z963" s="42" t="e">
        <f t="shared" ca="1" si="235"/>
        <v>#DIV/0!</v>
      </c>
      <c r="AA963" s="43" t="e">
        <f t="shared" ca="1" si="236"/>
        <v>#DIV/0!</v>
      </c>
      <c r="AB963" s="202" t="e">
        <f t="shared" ca="1" si="237"/>
        <v>#DIV/0!</v>
      </c>
      <c r="AC963" s="44" t="e">
        <f t="shared" si="238"/>
        <v>#DIV/0!</v>
      </c>
      <c r="AD963" s="868"/>
      <c r="AE963" s="871"/>
      <c r="AF963" s="871"/>
      <c r="AG963" s="868"/>
      <c r="AH963" s="868"/>
      <c r="AI963" s="868"/>
      <c r="AJ963" s="868"/>
      <c r="AK963" s="181" t="str">
        <f t="shared" ca="1" si="239"/>
        <v>TERMINO</v>
      </c>
      <c r="AL963" s="441"/>
      <c r="AM963" s="433"/>
      <c r="AN963" s="848" t="str">
        <f>IFERROR(VLOOKUP(E963,'liquidaciones '!$B$2:$C$1048576,2,0),"NO")</f>
        <v>NO</v>
      </c>
      <c r="AO963" s="944" t="str">
        <f>IFERROR(VLOOKUP(E963,'liquidaciones '!$B$2:$I$1048576,8,0),"")</f>
        <v/>
      </c>
      <c r="AP963" s="433"/>
      <c r="AQ963" s="433"/>
      <c r="AR963" s="1069"/>
      <c r="AS963" s="1042"/>
      <c r="AT963" s="964"/>
      <c r="AU963" s="964"/>
      <c r="AV963" s="964"/>
    </row>
    <row r="964" spans="3:48" x14ac:dyDescent="0.25">
      <c r="C964" s="867"/>
      <c r="E964" s="868"/>
      <c r="F964" s="441"/>
      <c r="G964" s="868"/>
      <c r="H964" s="1005"/>
      <c r="I964" s="93"/>
      <c r="J964" s="869"/>
      <c r="K964" s="295"/>
      <c r="L964" s="546"/>
      <c r="M964" s="870"/>
      <c r="N964" s="870"/>
      <c r="O964" s="127">
        <f>COUNTA(Modificaciones!I964,Modificaciones!K964,Modificaciones!M964,Modificaciones!O964)</f>
        <v>0</v>
      </c>
      <c r="P964" s="128">
        <f>VLOOKUP(E964,Modificaciones!$B$7:$Q$1819,16,0)</f>
        <v>0</v>
      </c>
      <c r="Q964" s="129">
        <f>COUNTA(Modificaciones!S964,Modificaciones!U964,Modificaciones!W964,Modificaciones!Y964)</f>
        <v>0</v>
      </c>
      <c r="R964" s="130" t="str">
        <f>IF(Modificaciones!Z964=0,"",VLOOKUP(E964,Modificaciones!$B$7:$AA$1419,25,0))</f>
        <v/>
      </c>
      <c r="S964" s="131" t="str">
        <f>IF(Modificaciones!AA940=0,"",VLOOKUP(#REF!,Modificaciones!$B$7:$AA$1419,26,0))</f>
        <v/>
      </c>
      <c r="T964" s="855">
        <f t="shared" ref="T964:T1000" si="240">MAX(N964,S964)</f>
        <v>0</v>
      </c>
      <c r="U964" s="62">
        <f t="shared" ref="U964:U1000" si="241">I964+P964</f>
        <v>0</v>
      </c>
      <c r="V964" s="172">
        <f>VLOOKUP(E964,Modificaciones!$B$7:$AU$819,46,0)</f>
        <v>0</v>
      </c>
      <c r="W964" s="93">
        <f t="shared" ref="W964:W1000" si="242">U964-V964</f>
        <v>0</v>
      </c>
      <c r="X964" s="1041"/>
      <c r="Y964" s="852" t="e">
        <f t="shared" ref="Y964:Y1000" si="243">(V964*100%)/U964</f>
        <v>#DIV/0!</v>
      </c>
      <c r="Z964" s="42" t="e">
        <f t="shared" ref="Z964:Z1000" ca="1" si="244">IF((($F$3-M964)*100%/(T964-M964))&gt;100%,100%,(($F$3-M964)*100%/(T964-M964)))</f>
        <v>#DIV/0!</v>
      </c>
      <c r="AA964" s="43" t="e">
        <f t="shared" ref="AA964:AA1000" ca="1" si="245">Z964-Y964</f>
        <v>#DIV/0!</v>
      </c>
      <c r="AB964" s="202" t="e">
        <f t="shared" ref="AB964:AB1000" ca="1" si="246">IF(Z964&lt;100%,T964-$F$3,"")</f>
        <v>#DIV/0!</v>
      </c>
      <c r="AC964" s="44" t="e">
        <f t="shared" ref="AC964:AC1000" si="247">IF(Y964&lt;=99.9%,"NO","SI")</f>
        <v>#DIV/0!</v>
      </c>
      <c r="AD964" s="868"/>
      <c r="AE964" s="871"/>
      <c r="AF964" s="871"/>
      <c r="AG964" s="868"/>
      <c r="AH964" s="868"/>
      <c r="AI964" s="868"/>
      <c r="AJ964" s="868"/>
      <c r="AK964" s="181" t="str">
        <f t="shared" ref="AK964:AK1000" ca="1" si="248">IF(T964&gt;=$F$3,"EN EJECUCIÓN","TERMINO")</f>
        <v>TERMINO</v>
      </c>
      <c r="AL964" s="441"/>
      <c r="AM964" s="433"/>
      <c r="AN964" s="848" t="str">
        <f>IFERROR(VLOOKUP(E964,'liquidaciones '!$B$2:$C$1048576,2,0),"NO")</f>
        <v>NO</v>
      </c>
      <c r="AO964" s="944" t="str">
        <f>IFERROR(VLOOKUP(E964,'liquidaciones '!$B$2:$I$1048576,8,0),"")</f>
        <v/>
      </c>
      <c r="AP964" s="433"/>
      <c r="AQ964" s="433"/>
      <c r="AR964" s="1069"/>
      <c r="AS964" s="1042"/>
      <c r="AT964" s="964"/>
      <c r="AU964" s="964"/>
      <c r="AV964" s="964"/>
    </row>
    <row r="965" spans="3:48" x14ac:dyDescent="0.25">
      <c r="C965" s="867"/>
      <c r="E965" s="868"/>
      <c r="F965" s="441"/>
      <c r="G965" s="868"/>
      <c r="H965" s="1005"/>
      <c r="I965" s="93"/>
      <c r="J965" s="869"/>
      <c r="K965" s="295"/>
      <c r="L965" s="546"/>
      <c r="M965" s="870"/>
      <c r="N965" s="870"/>
      <c r="O965" s="127">
        <f>COUNTA(Modificaciones!I965,Modificaciones!K965,Modificaciones!M965,Modificaciones!O965)</f>
        <v>0</v>
      </c>
      <c r="P965" s="128">
        <f>VLOOKUP(E965,Modificaciones!$B$7:$Q$1819,16,0)</f>
        <v>0</v>
      </c>
      <c r="Q965" s="129">
        <f>COUNTA(Modificaciones!S965,Modificaciones!U965,Modificaciones!W965,Modificaciones!Y965)</f>
        <v>0</v>
      </c>
      <c r="R965" s="130" t="str">
        <f>IF(Modificaciones!Z965=0,"",VLOOKUP(E965,Modificaciones!$B$7:$AA$1419,25,0))</f>
        <v/>
      </c>
      <c r="S965" s="131" t="str">
        <f>IF(Modificaciones!AA941=0,"",VLOOKUP(#REF!,Modificaciones!$B$7:$AA$1419,26,0))</f>
        <v/>
      </c>
      <c r="T965" s="855">
        <f t="shared" si="240"/>
        <v>0</v>
      </c>
      <c r="U965" s="62">
        <f t="shared" si="241"/>
        <v>0</v>
      </c>
      <c r="V965" s="172">
        <f>VLOOKUP(E965,Modificaciones!$B$7:$AU$819,46,0)</f>
        <v>0</v>
      </c>
      <c r="W965" s="93">
        <f t="shared" si="242"/>
        <v>0</v>
      </c>
      <c r="X965" s="1041"/>
      <c r="Y965" s="852" t="e">
        <f t="shared" si="243"/>
        <v>#DIV/0!</v>
      </c>
      <c r="Z965" s="42" t="e">
        <f t="shared" ca="1" si="244"/>
        <v>#DIV/0!</v>
      </c>
      <c r="AA965" s="43" t="e">
        <f t="shared" ca="1" si="245"/>
        <v>#DIV/0!</v>
      </c>
      <c r="AB965" s="202" t="e">
        <f t="shared" ca="1" si="246"/>
        <v>#DIV/0!</v>
      </c>
      <c r="AC965" s="44" t="e">
        <f t="shared" si="247"/>
        <v>#DIV/0!</v>
      </c>
      <c r="AD965" s="868"/>
      <c r="AE965" s="871"/>
      <c r="AF965" s="871"/>
      <c r="AG965" s="868"/>
      <c r="AH965" s="868"/>
      <c r="AI965" s="868"/>
      <c r="AJ965" s="868"/>
      <c r="AK965" s="181" t="str">
        <f t="shared" ca="1" si="248"/>
        <v>TERMINO</v>
      </c>
      <c r="AL965" s="441"/>
      <c r="AM965" s="433"/>
      <c r="AN965" s="848" t="str">
        <f>IFERROR(VLOOKUP(E965,'liquidaciones '!$B$2:$C$1048576,2,0),"NO")</f>
        <v>NO</v>
      </c>
      <c r="AO965" s="944" t="str">
        <f>IFERROR(VLOOKUP(E965,'liquidaciones '!$B$2:$I$1048576,8,0),"")</f>
        <v/>
      </c>
      <c r="AP965" s="433"/>
      <c r="AQ965" s="433"/>
      <c r="AR965" s="1069"/>
      <c r="AS965" s="1042"/>
      <c r="AT965" s="964"/>
      <c r="AU965" s="964"/>
      <c r="AV965" s="964"/>
    </row>
    <row r="966" spans="3:48" x14ac:dyDescent="0.25">
      <c r="C966" s="867"/>
      <c r="E966" s="868"/>
      <c r="F966" s="441"/>
      <c r="G966" s="868"/>
      <c r="H966" s="1005"/>
      <c r="I966" s="93"/>
      <c r="J966" s="869"/>
      <c r="K966" s="295"/>
      <c r="L966" s="546"/>
      <c r="M966" s="870"/>
      <c r="N966" s="870"/>
      <c r="O966" s="127">
        <f>COUNTA(Modificaciones!I966,Modificaciones!K966,Modificaciones!M966,Modificaciones!O966)</f>
        <v>0</v>
      </c>
      <c r="P966" s="128">
        <f>VLOOKUP(E966,Modificaciones!$B$7:$Q$1819,16,0)</f>
        <v>0</v>
      </c>
      <c r="Q966" s="129">
        <f>COUNTA(Modificaciones!S966,Modificaciones!U966,Modificaciones!W966,Modificaciones!Y966)</f>
        <v>0</v>
      </c>
      <c r="R966" s="130" t="str">
        <f>IF(Modificaciones!Z966=0,"",VLOOKUP(E966,Modificaciones!$B$7:$AA$1419,25,0))</f>
        <v/>
      </c>
      <c r="S966" s="131" t="str">
        <f>IF(Modificaciones!AA942=0,"",VLOOKUP(#REF!,Modificaciones!$B$7:$AA$1419,26,0))</f>
        <v/>
      </c>
      <c r="T966" s="855">
        <f t="shared" si="240"/>
        <v>0</v>
      </c>
      <c r="U966" s="62">
        <f t="shared" si="241"/>
        <v>0</v>
      </c>
      <c r="V966" s="172">
        <f>VLOOKUP(E966,Modificaciones!$B$7:$AU$819,46,0)</f>
        <v>0</v>
      </c>
      <c r="W966" s="93">
        <f t="shared" si="242"/>
        <v>0</v>
      </c>
      <c r="X966" s="1041"/>
      <c r="Y966" s="852" t="e">
        <f t="shared" si="243"/>
        <v>#DIV/0!</v>
      </c>
      <c r="Z966" s="42" t="e">
        <f t="shared" ca="1" si="244"/>
        <v>#DIV/0!</v>
      </c>
      <c r="AA966" s="43" t="e">
        <f t="shared" ca="1" si="245"/>
        <v>#DIV/0!</v>
      </c>
      <c r="AB966" s="202" t="e">
        <f t="shared" ca="1" si="246"/>
        <v>#DIV/0!</v>
      </c>
      <c r="AC966" s="44" t="e">
        <f t="shared" si="247"/>
        <v>#DIV/0!</v>
      </c>
      <c r="AD966" s="868"/>
      <c r="AE966" s="871"/>
      <c r="AF966" s="871"/>
      <c r="AG966" s="868"/>
      <c r="AH966" s="868"/>
      <c r="AI966" s="868"/>
      <c r="AJ966" s="868"/>
      <c r="AK966" s="181" t="str">
        <f t="shared" ca="1" si="248"/>
        <v>TERMINO</v>
      </c>
      <c r="AL966" s="441"/>
      <c r="AM966" s="433"/>
      <c r="AN966" s="848" t="str">
        <f>IFERROR(VLOOKUP(E966,'liquidaciones '!$B$2:$C$1048576,2,0),"NO")</f>
        <v>NO</v>
      </c>
      <c r="AO966" s="944" t="str">
        <f>IFERROR(VLOOKUP(E966,'liquidaciones '!$B$2:$I$1048576,8,0),"")</f>
        <v/>
      </c>
      <c r="AP966" s="433"/>
      <c r="AQ966" s="433"/>
      <c r="AR966" s="1069"/>
      <c r="AS966" s="1042"/>
      <c r="AT966" s="964"/>
      <c r="AU966" s="964"/>
      <c r="AV966" s="964"/>
    </row>
    <row r="967" spans="3:48" x14ac:dyDescent="0.25">
      <c r="C967" s="867"/>
      <c r="E967" s="868"/>
      <c r="F967" s="441"/>
      <c r="G967" s="868"/>
      <c r="H967" s="1005"/>
      <c r="I967" s="93"/>
      <c r="J967" s="869"/>
      <c r="K967" s="295"/>
      <c r="L967" s="546"/>
      <c r="M967" s="870"/>
      <c r="N967" s="870"/>
      <c r="O967" s="127">
        <f>COUNTA(Modificaciones!I967,Modificaciones!K967,Modificaciones!M967,Modificaciones!O967)</f>
        <v>0</v>
      </c>
      <c r="P967" s="128">
        <f>VLOOKUP(E967,Modificaciones!$B$7:$Q$1819,16,0)</f>
        <v>0</v>
      </c>
      <c r="Q967" s="129">
        <f>COUNTA(Modificaciones!S967,Modificaciones!U967,Modificaciones!W967,Modificaciones!Y967)</f>
        <v>0</v>
      </c>
      <c r="R967" s="130" t="str">
        <f>IF(Modificaciones!Z967=0,"",VLOOKUP(E967,Modificaciones!$B$7:$AA$1419,25,0))</f>
        <v/>
      </c>
      <c r="S967" s="131" t="str">
        <f>IF(Modificaciones!AA943=0,"",VLOOKUP(#REF!,Modificaciones!$B$7:$AA$1419,26,0))</f>
        <v/>
      </c>
      <c r="T967" s="855">
        <f t="shared" si="240"/>
        <v>0</v>
      </c>
      <c r="U967" s="62">
        <f t="shared" si="241"/>
        <v>0</v>
      </c>
      <c r="V967" s="172">
        <f>VLOOKUP(E967,Modificaciones!$B$7:$AU$819,46,0)</f>
        <v>0</v>
      </c>
      <c r="W967" s="93">
        <f t="shared" si="242"/>
        <v>0</v>
      </c>
      <c r="X967" s="1041"/>
      <c r="Y967" s="852" t="e">
        <f t="shared" si="243"/>
        <v>#DIV/0!</v>
      </c>
      <c r="Z967" s="42" t="e">
        <f t="shared" ca="1" si="244"/>
        <v>#DIV/0!</v>
      </c>
      <c r="AA967" s="43" t="e">
        <f t="shared" ca="1" si="245"/>
        <v>#DIV/0!</v>
      </c>
      <c r="AB967" s="202" t="e">
        <f t="shared" ca="1" si="246"/>
        <v>#DIV/0!</v>
      </c>
      <c r="AC967" s="44" t="e">
        <f t="shared" si="247"/>
        <v>#DIV/0!</v>
      </c>
      <c r="AD967" s="868"/>
      <c r="AE967" s="871"/>
      <c r="AF967" s="871"/>
      <c r="AG967" s="868"/>
      <c r="AH967" s="868"/>
      <c r="AI967" s="868"/>
      <c r="AJ967" s="868"/>
      <c r="AK967" s="181" t="str">
        <f t="shared" ca="1" si="248"/>
        <v>TERMINO</v>
      </c>
      <c r="AL967" s="441"/>
      <c r="AM967" s="433"/>
      <c r="AN967" s="848" t="str">
        <f>IFERROR(VLOOKUP(E967,'liquidaciones '!$B$2:$C$1048576,2,0),"NO")</f>
        <v>NO</v>
      </c>
      <c r="AO967" s="944" t="str">
        <f>IFERROR(VLOOKUP(E967,'liquidaciones '!$B$2:$I$1048576,8,0),"")</f>
        <v/>
      </c>
      <c r="AP967" s="433"/>
      <c r="AQ967" s="433"/>
      <c r="AR967" s="1069"/>
      <c r="AS967" s="1042"/>
      <c r="AT967" s="964"/>
      <c r="AU967" s="964"/>
      <c r="AV967" s="964"/>
    </row>
    <row r="968" spans="3:48" x14ac:dyDescent="0.25">
      <c r="C968" s="867"/>
      <c r="E968" s="868"/>
      <c r="F968" s="441"/>
      <c r="G968" s="868"/>
      <c r="H968" s="1005"/>
      <c r="I968" s="93"/>
      <c r="J968" s="869"/>
      <c r="K968" s="295"/>
      <c r="L968" s="546"/>
      <c r="M968" s="870"/>
      <c r="N968" s="870"/>
      <c r="O968" s="127">
        <f>COUNTA(Modificaciones!I968,Modificaciones!K968,Modificaciones!M968,Modificaciones!O968)</f>
        <v>0</v>
      </c>
      <c r="P968" s="128">
        <f>VLOOKUP(E968,Modificaciones!$B$7:$Q$1819,16,0)</f>
        <v>0</v>
      </c>
      <c r="Q968" s="129">
        <f>COUNTA(Modificaciones!S968,Modificaciones!U968,Modificaciones!W968,Modificaciones!Y968)</f>
        <v>0</v>
      </c>
      <c r="R968" s="130" t="str">
        <f>IF(Modificaciones!Z968=0,"",VLOOKUP(E968,Modificaciones!$B$7:$AA$1419,25,0))</f>
        <v/>
      </c>
      <c r="S968" s="131" t="str">
        <f>IF(Modificaciones!AA944=0,"",VLOOKUP(#REF!,Modificaciones!$B$7:$AA$1419,26,0))</f>
        <v/>
      </c>
      <c r="T968" s="855">
        <f t="shared" si="240"/>
        <v>0</v>
      </c>
      <c r="U968" s="62">
        <f t="shared" si="241"/>
        <v>0</v>
      </c>
      <c r="V968" s="172">
        <f>VLOOKUP(E968,Modificaciones!$B$7:$AU$819,46,0)</f>
        <v>0</v>
      </c>
      <c r="W968" s="93">
        <f t="shared" si="242"/>
        <v>0</v>
      </c>
      <c r="X968" s="1041"/>
      <c r="Y968" s="852" t="e">
        <f t="shared" si="243"/>
        <v>#DIV/0!</v>
      </c>
      <c r="Z968" s="42" t="e">
        <f t="shared" ca="1" si="244"/>
        <v>#DIV/0!</v>
      </c>
      <c r="AA968" s="43" t="e">
        <f t="shared" ca="1" si="245"/>
        <v>#DIV/0!</v>
      </c>
      <c r="AB968" s="202" t="e">
        <f t="shared" ca="1" si="246"/>
        <v>#DIV/0!</v>
      </c>
      <c r="AC968" s="44" t="e">
        <f t="shared" si="247"/>
        <v>#DIV/0!</v>
      </c>
      <c r="AD968" s="868"/>
      <c r="AE968" s="871"/>
      <c r="AF968" s="871"/>
      <c r="AG968" s="868"/>
      <c r="AH968" s="868"/>
      <c r="AI968" s="868"/>
      <c r="AJ968" s="868"/>
      <c r="AK968" s="181" t="str">
        <f t="shared" ca="1" si="248"/>
        <v>TERMINO</v>
      </c>
      <c r="AL968" s="441"/>
      <c r="AM968" s="433"/>
      <c r="AN968" s="848" t="str">
        <f>IFERROR(VLOOKUP(E968,'liquidaciones '!$B$2:$C$1048576,2,0),"NO")</f>
        <v>NO</v>
      </c>
      <c r="AO968" s="944" t="str">
        <f>IFERROR(VLOOKUP(E968,'liquidaciones '!$B$2:$I$1048576,8,0),"")</f>
        <v/>
      </c>
      <c r="AP968" s="433"/>
      <c r="AQ968" s="433"/>
      <c r="AR968" s="1069"/>
      <c r="AS968" s="1042"/>
      <c r="AT968" s="964"/>
      <c r="AU968" s="964"/>
      <c r="AV968" s="964"/>
    </row>
    <row r="969" spans="3:48" x14ac:dyDescent="0.25">
      <c r="C969" s="867"/>
      <c r="E969" s="868"/>
      <c r="F969" s="441"/>
      <c r="G969" s="868"/>
      <c r="H969" s="1005"/>
      <c r="I969" s="93"/>
      <c r="J969" s="869"/>
      <c r="K969" s="295"/>
      <c r="L969" s="546"/>
      <c r="M969" s="870"/>
      <c r="N969" s="870"/>
      <c r="O969" s="127">
        <f>COUNTA(Modificaciones!I969,Modificaciones!K969,Modificaciones!M969,Modificaciones!O969)</f>
        <v>0</v>
      </c>
      <c r="P969" s="128">
        <f>VLOOKUP(E969,Modificaciones!$B$7:$Q$1819,16,0)</f>
        <v>0</v>
      </c>
      <c r="Q969" s="129">
        <f>COUNTA(Modificaciones!S969,Modificaciones!U969,Modificaciones!W969,Modificaciones!Y969)</f>
        <v>0</v>
      </c>
      <c r="R969" s="130" t="str">
        <f>IF(Modificaciones!Z969=0,"",VLOOKUP(E969,Modificaciones!$B$7:$AA$1419,25,0))</f>
        <v/>
      </c>
      <c r="S969" s="131" t="str">
        <f>IF(Modificaciones!AA945=0,"",VLOOKUP(#REF!,Modificaciones!$B$7:$AA$1419,26,0))</f>
        <v/>
      </c>
      <c r="T969" s="855">
        <f t="shared" si="240"/>
        <v>0</v>
      </c>
      <c r="U969" s="62">
        <f t="shared" si="241"/>
        <v>0</v>
      </c>
      <c r="V969" s="172">
        <f>VLOOKUP(E969,Modificaciones!$B$7:$AU$819,46,0)</f>
        <v>0</v>
      </c>
      <c r="W969" s="93">
        <f t="shared" si="242"/>
        <v>0</v>
      </c>
      <c r="X969" s="1041"/>
      <c r="Y969" s="852" t="e">
        <f t="shared" si="243"/>
        <v>#DIV/0!</v>
      </c>
      <c r="Z969" s="42" t="e">
        <f t="shared" ca="1" si="244"/>
        <v>#DIV/0!</v>
      </c>
      <c r="AA969" s="43" t="e">
        <f t="shared" ca="1" si="245"/>
        <v>#DIV/0!</v>
      </c>
      <c r="AB969" s="202" t="e">
        <f t="shared" ca="1" si="246"/>
        <v>#DIV/0!</v>
      </c>
      <c r="AC969" s="44" t="e">
        <f t="shared" si="247"/>
        <v>#DIV/0!</v>
      </c>
      <c r="AD969" s="868"/>
      <c r="AE969" s="871"/>
      <c r="AF969" s="871"/>
      <c r="AG969" s="868"/>
      <c r="AH969" s="868"/>
      <c r="AI969" s="868"/>
      <c r="AJ969" s="868"/>
      <c r="AK969" s="181" t="str">
        <f t="shared" ca="1" si="248"/>
        <v>TERMINO</v>
      </c>
      <c r="AL969" s="441"/>
      <c r="AM969" s="433"/>
      <c r="AN969" s="848" t="str">
        <f>IFERROR(VLOOKUP(E969,'liquidaciones '!$B$2:$C$1048576,2,0),"NO")</f>
        <v>NO</v>
      </c>
      <c r="AO969" s="944" t="str">
        <f>IFERROR(VLOOKUP(E969,'liquidaciones '!$B$2:$I$1048576,8,0),"")</f>
        <v/>
      </c>
      <c r="AP969" s="433"/>
      <c r="AQ969" s="433"/>
      <c r="AR969" s="1069"/>
      <c r="AS969" s="1042"/>
      <c r="AT969" s="964"/>
      <c r="AU969" s="964"/>
      <c r="AV969" s="964"/>
    </row>
    <row r="970" spans="3:48" x14ac:dyDescent="0.25">
      <c r="C970" s="867"/>
      <c r="E970" s="868"/>
      <c r="F970" s="441"/>
      <c r="G970" s="868"/>
      <c r="H970" s="1005"/>
      <c r="I970" s="93"/>
      <c r="J970" s="869"/>
      <c r="K970" s="295"/>
      <c r="L970" s="546"/>
      <c r="M970" s="870"/>
      <c r="N970" s="870"/>
      <c r="O970" s="127">
        <f>COUNTA(Modificaciones!I970,Modificaciones!K970,Modificaciones!M970,Modificaciones!O970)</f>
        <v>0</v>
      </c>
      <c r="P970" s="128">
        <f>VLOOKUP(E970,Modificaciones!$B$7:$Q$1819,16,0)</f>
        <v>0</v>
      </c>
      <c r="Q970" s="129">
        <f>COUNTA(Modificaciones!S970,Modificaciones!U970,Modificaciones!W970,Modificaciones!Y970)</f>
        <v>0</v>
      </c>
      <c r="R970" s="130" t="str">
        <f>IF(Modificaciones!Z970=0,"",VLOOKUP(E970,Modificaciones!$B$7:$AA$1419,25,0))</f>
        <v/>
      </c>
      <c r="S970" s="131" t="str">
        <f>IF(Modificaciones!AA946=0,"",VLOOKUP(#REF!,Modificaciones!$B$7:$AA$1419,26,0))</f>
        <v/>
      </c>
      <c r="T970" s="855">
        <f t="shared" si="240"/>
        <v>0</v>
      </c>
      <c r="U970" s="62">
        <f t="shared" si="241"/>
        <v>0</v>
      </c>
      <c r="V970" s="172">
        <f>VLOOKUP(E970,Modificaciones!$B$7:$AU$819,46,0)</f>
        <v>0</v>
      </c>
      <c r="W970" s="93">
        <f t="shared" si="242"/>
        <v>0</v>
      </c>
      <c r="X970" s="1041"/>
      <c r="Y970" s="852" t="e">
        <f t="shared" si="243"/>
        <v>#DIV/0!</v>
      </c>
      <c r="Z970" s="42" t="e">
        <f t="shared" ca="1" si="244"/>
        <v>#DIV/0!</v>
      </c>
      <c r="AA970" s="43" t="e">
        <f t="shared" ca="1" si="245"/>
        <v>#DIV/0!</v>
      </c>
      <c r="AB970" s="202" t="e">
        <f t="shared" ca="1" si="246"/>
        <v>#DIV/0!</v>
      </c>
      <c r="AC970" s="44" t="e">
        <f t="shared" si="247"/>
        <v>#DIV/0!</v>
      </c>
      <c r="AD970" s="868"/>
      <c r="AE970" s="871"/>
      <c r="AF970" s="871"/>
      <c r="AG970" s="868"/>
      <c r="AH970" s="868"/>
      <c r="AI970" s="868"/>
      <c r="AJ970" s="868"/>
      <c r="AK970" s="181" t="str">
        <f t="shared" ca="1" si="248"/>
        <v>TERMINO</v>
      </c>
      <c r="AL970" s="441"/>
      <c r="AM970" s="433"/>
      <c r="AN970" s="848" t="str">
        <f>IFERROR(VLOOKUP(E970,'liquidaciones '!$B$2:$C$1048576,2,0),"NO")</f>
        <v>NO</v>
      </c>
      <c r="AO970" s="944" t="str">
        <f>IFERROR(VLOOKUP(E970,'liquidaciones '!$B$2:$I$1048576,8,0),"")</f>
        <v/>
      </c>
      <c r="AP970" s="433"/>
      <c r="AQ970" s="433"/>
      <c r="AR970" s="1069"/>
      <c r="AS970" s="1042"/>
      <c r="AT970" s="964"/>
      <c r="AU970" s="964"/>
      <c r="AV970" s="964"/>
    </row>
    <row r="971" spans="3:48" x14ac:dyDescent="0.25">
      <c r="C971" s="867"/>
      <c r="E971" s="868"/>
      <c r="F971" s="441"/>
      <c r="G971" s="868"/>
      <c r="H971" s="1005"/>
      <c r="I971" s="93"/>
      <c r="J971" s="869"/>
      <c r="K971" s="295"/>
      <c r="L971" s="546"/>
      <c r="M971" s="870"/>
      <c r="N971" s="870"/>
      <c r="O971" s="127">
        <f>COUNTA(Modificaciones!I971,Modificaciones!K971,Modificaciones!M971,Modificaciones!O971)</f>
        <v>0</v>
      </c>
      <c r="P971" s="128">
        <f>VLOOKUP(E971,Modificaciones!$B$7:$Q$1819,16,0)</f>
        <v>0</v>
      </c>
      <c r="Q971" s="129">
        <f>COUNTA(Modificaciones!S971,Modificaciones!U971,Modificaciones!W971,Modificaciones!Y971)</f>
        <v>0</v>
      </c>
      <c r="R971" s="130" t="str">
        <f>IF(Modificaciones!Z971=0,"",VLOOKUP(E971,Modificaciones!$B$7:$AA$1419,25,0))</f>
        <v/>
      </c>
      <c r="S971" s="131" t="str">
        <f>IF(Modificaciones!AA947=0,"",VLOOKUP(#REF!,Modificaciones!$B$7:$AA$1419,26,0))</f>
        <v/>
      </c>
      <c r="T971" s="855">
        <f t="shared" si="240"/>
        <v>0</v>
      </c>
      <c r="U971" s="62">
        <f t="shared" si="241"/>
        <v>0</v>
      </c>
      <c r="V971" s="172">
        <f>VLOOKUP(E971,Modificaciones!$B$7:$AU$819,46,0)</f>
        <v>0</v>
      </c>
      <c r="W971" s="93">
        <f t="shared" si="242"/>
        <v>0</v>
      </c>
      <c r="X971" s="1041"/>
      <c r="Y971" s="852" t="e">
        <f t="shared" si="243"/>
        <v>#DIV/0!</v>
      </c>
      <c r="Z971" s="42" t="e">
        <f t="shared" ca="1" si="244"/>
        <v>#DIV/0!</v>
      </c>
      <c r="AA971" s="43" t="e">
        <f t="shared" ca="1" si="245"/>
        <v>#DIV/0!</v>
      </c>
      <c r="AB971" s="202" t="e">
        <f t="shared" ca="1" si="246"/>
        <v>#DIV/0!</v>
      </c>
      <c r="AC971" s="44" t="e">
        <f t="shared" si="247"/>
        <v>#DIV/0!</v>
      </c>
      <c r="AD971" s="868"/>
      <c r="AE971" s="871"/>
      <c r="AF971" s="871"/>
      <c r="AG971" s="868"/>
      <c r="AH971" s="868"/>
      <c r="AI971" s="868"/>
      <c r="AJ971" s="868"/>
      <c r="AK971" s="181" t="str">
        <f t="shared" ca="1" si="248"/>
        <v>TERMINO</v>
      </c>
      <c r="AL971" s="441"/>
      <c r="AM971" s="433"/>
      <c r="AN971" s="848" t="str">
        <f>IFERROR(VLOOKUP(E971,'liquidaciones '!$B$2:$C$1048576,2,0),"NO")</f>
        <v>NO</v>
      </c>
      <c r="AO971" s="944" t="str">
        <f>IFERROR(VLOOKUP(E971,'liquidaciones '!$B$2:$I$1048576,8,0),"")</f>
        <v/>
      </c>
      <c r="AP971" s="433"/>
      <c r="AQ971" s="433"/>
      <c r="AR971" s="1069"/>
      <c r="AS971" s="1042"/>
      <c r="AT971" s="964"/>
      <c r="AU971" s="964"/>
      <c r="AV971" s="964"/>
    </row>
    <row r="972" spans="3:48" x14ac:dyDescent="0.25">
      <c r="C972" s="867"/>
      <c r="E972" s="868"/>
      <c r="F972" s="441"/>
      <c r="G972" s="868"/>
      <c r="H972" s="1005"/>
      <c r="I972" s="93"/>
      <c r="J972" s="869"/>
      <c r="K972" s="295"/>
      <c r="L972" s="546"/>
      <c r="M972" s="870"/>
      <c r="N972" s="870"/>
      <c r="O972" s="127">
        <f>COUNTA(Modificaciones!I972,Modificaciones!K972,Modificaciones!M972,Modificaciones!O972)</f>
        <v>0</v>
      </c>
      <c r="P972" s="128">
        <f>VLOOKUP(E972,Modificaciones!$B$7:$Q$1819,16,0)</f>
        <v>0</v>
      </c>
      <c r="Q972" s="129">
        <f>COUNTA(Modificaciones!S972,Modificaciones!U972,Modificaciones!W972,Modificaciones!Y972)</f>
        <v>0</v>
      </c>
      <c r="R972" s="130" t="str">
        <f>IF(Modificaciones!Z972=0,"",VLOOKUP(E972,Modificaciones!$B$7:$AA$1419,25,0))</f>
        <v/>
      </c>
      <c r="S972" s="131" t="str">
        <f>IF(Modificaciones!AA948=0,"",VLOOKUP(#REF!,Modificaciones!$B$7:$AA$1419,26,0))</f>
        <v/>
      </c>
      <c r="T972" s="855">
        <f t="shared" si="240"/>
        <v>0</v>
      </c>
      <c r="U972" s="62">
        <f t="shared" si="241"/>
        <v>0</v>
      </c>
      <c r="V972" s="172">
        <f>VLOOKUP(E972,Modificaciones!$B$7:$AU$819,46,0)</f>
        <v>0</v>
      </c>
      <c r="W972" s="93">
        <f t="shared" si="242"/>
        <v>0</v>
      </c>
      <c r="X972" s="1041"/>
      <c r="Y972" s="852" t="e">
        <f t="shared" si="243"/>
        <v>#DIV/0!</v>
      </c>
      <c r="Z972" s="42" t="e">
        <f t="shared" ca="1" si="244"/>
        <v>#DIV/0!</v>
      </c>
      <c r="AA972" s="43" t="e">
        <f t="shared" ca="1" si="245"/>
        <v>#DIV/0!</v>
      </c>
      <c r="AB972" s="202" t="e">
        <f t="shared" ca="1" si="246"/>
        <v>#DIV/0!</v>
      </c>
      <c r="AC972" s="44" t="e">
        <f t="shared" si="247"/>
        <v>#DIV/0!</v>
      </c>
      <c r="AD972" s="868"/>
      <c r="AE972" s="871"/>
      <c r="AF972" s="871"/>
      <c r="AG972" s="868"/>
      <c r="AH972" s="868"/>
      <c r="AI972" s="868"/>
      <c r="AJ972" s="868"/>
      <c r="AK972" s="181" t="str">
        <f t="shared" ca="1" si="248"/>
        <v>TERMINO</v>
      </c>
      <c r="AL972" s="441"/>
      <c r="AM972" s="433"/>
      <c r="AN972" s="848" t="str">
        <f>IFERROR(VLOOKUP(E972,'liquidaciones '!$B$2:$C$1048576,2,0),"NO")</f>
        <v>NO</v>
      </c>
      <c r="AO972" s="944" t="str">
        <f>IFERROR(VLOOKUP(E972,'liquidaciones '!$B$2:$I$1048576,8,0),"")</f>
        <v/>
      </c>
      <c r="AP972" s="433"/>
      <c r="AQ972" s="433"/>
      <c r="AR972" s="1069"/>
      <c r="AS972" s="1042"/>
      <c r="AT972" s="964"/>
      <c r="AU972" s="964"/>
      <c r="AV972" s="964"/>
    </row>
    <row r="973" spans="3:48" x14ac:dyDescent="0.25">
      <c r="C973" s="867"/>
      <c r="E973" s="868"/>
      <c r="F973" s="441"/>
      <c r="G973" s="868"/>
      <c r="H973" s="1005"/>
      <c r="I973" s="93"/>
      <c r="J973" s="869"/>
      <c r="K973" s="295"/>
      <c r="L973" s="546"/>
      <c r="M973" s="870"/>
      <c r="N973" s="870"/>
      <c r="O973" s="127">
        <f>COUNTA(Modificaciones!I973,Modificaciones!K973,Modificaciones!M973,Modificaciones!O973)</f>
        <v>0</v>
      </c>
      <c r="P973" s="128">
        <f>VLOOKUP(E973,Modificaciones!$B$7:$Q$1819,16,0)</f>
        <v>0</v>
      </c>
      <c r="Q973" s="129">
        <f>COUNTA(Modificaciones!S973,Modificaciones!U973,Modificaciones!W973,Modificaciones!Y973)</f>
        <v>0</v>
      </c>
      <c r="R973" s="130" t="str">
        <f>IF(Modificaciones!Z973=0,"",VLOOKUP(E973,Modificaciones!$B$7:$AA$1419,25,0))</f>
        <v/>
      </c>
      <c r="S973" s="131" t="str">
        <f>IF(Modificaciones!AA949=0,"",VLOOKUP(#REF!,Modificaciones!$B$7:$AA$1419,26,0))</f>
        <v/>
      </c>
      <c r="T973" s="855">
        <f t="shared" si="240"/>
        <v>0</v>
      </c>
      <c r="U973" s="62">
        <f t="shared" si="241"/>
        <v>0</v>
      </c>
      <c r="V973" s="172">
        <f>VLOOKUP(E973,Modificaciones!$B$7:$AU$819,46,0)</f>
        <v>0</v>
      </c>
      <c r="W973" s="93">
        <f t="shared" si="242"/>
        <v>0</v>
      </c>
      <c r="X973" s="1041"/>
      <c r="Y973" s="852" t="e">
        <f t="shared" si="243"/>
        <v>#DIV/0!</v>
      </c>
      <c r="Z973" s="42" t="e">
        <f t="shared" ca="1" si="244"/>
        <v>#DIV/0!</v>
      </c>
      <c r="AA973" s="43" t="e">
        <f t="shared" ca="1" si="245"/>
        <v>#DIV/0!</v>
      </c>
      <c r="AB973" s="202" t="e">
        <f t="shared" ca="1" si="246"/>
        <v>#DIV/0!</v>
      </c>
      <c r="AC973" s="44" t="e">
        <f t="shared" si="247"/>
        <v>#DIV/0!</v>
      </c>
      <c r="AD973" s="868"/>
      <c r="AE973" s="871"/>
      <c r="AF973" s="871"/>
      <c r="AG973" s="868"/>
      <c r="AH973" s="868"/>
      <c r="AI973" s="868"/>
      <c r="AJ973" s="868"/>
      <c r="AK973" s="181" t="str">
        <f t="shared" ca="1" si="248"/>
        <v>TERMINO</v>
      </c>
      <c r="AL973" s="441"/>
      <c r="AM973" s="433"/>
      <c r="AN973" s="848" t="str">
        <f>IFERROR(VLOOKUP(E973,'liquidaciones '!$B$2:$C$1048576,2,0),"NO")</f>
        <v>NO</v>
      </c>
      <c r="AO973" s="944" t="str">
        <f>IFERROR(VLOOKUP(E973,'liquidaciones '!$B$2:$I$1048576,8,0),"")</f>
        <v/>
      </c>
      <c r="AP973" s="433"/>
      <c r="AQ973" s="433"/>
      <c r="AR973" s="1069"/>
      <c r="AS973" s="1042"/>
      <c r="AT973" s="964"/>
      <c r="AU973" s="964"/>
      <c r="AV973" s="964"/>
    </row>
    <row r="974" spans="3:48" x14ac:dyDescent="0.25">
      <c r="C974" s="867"/>
      <c r="E974" s="868"/>
      <c r="F974" s="441"/>
      <c r="G974" s="868"/>
      <c r="H974" s="1005"/>
      <c r="I974" s="93"/>
      <c r="J974" s="869"/>
      <c r="K974" s="295"/>
      <c r="L974" s="546"/>
      <c r="M974" s="870"/>
      <c r="N974" s="870"/>
      <c r="O974" s="127">
        <f>COUNTA(Modificaciones!I974,Modificaciones!K974,Modificaciones!M974,Modificaciones!O974)</f>
        <v>0</v>
      </c>
      <c r="P974" s="128">
        <f>VLOOKUP(E974,Modificaciones!$B$7:$Q$1819,16,0)</f>
        <v>0</v>
      </c>
      <c r="Q974" s="129">
        <f>COUNTA(Modificaciones!S974,Modificaciones!U974,Modificaciones!W974,Modificaciones!Y974)</f>
        <v>0</v>
      </c>
      <c r="R974" s="130" t="str">
        <f>IF(Modificaciones!Z974=0,"",VLOOKUP(E974,Modificaciones!$B$7:$AA$1419,25,0))</f>
        <v/>
      </c>
      <c r="S974" s="131" t="str">
        <f>IF(Modificaciones!AA950=0,"",VLOOKUP(#REF!,Modificaciones!$B$7:$AA$1419,26,0))</f>
        <v/>
      </c>
      <c r="T974" s="855">
        <f t="shared" si="240"/>
        <v>0</v>
      </c>
      <c r="U974" s="62">
        <f t="shared" si="241"/>
        <v>0</v>
      </c>
      <c r="V974" s="172">
        <f>VLOOKUP(E974,Modificaciones!$B$7:$AU$819,46,0)</f>
        <v>0</v>
      </c>
      <c r="W974" s="93">
        <f t="shared" si="242"/>
        <v>0</v>
      </c>
      <c r="X974" s="1041"/>
      <c r="Y974" s="852" t="e">
        <f t="shared" si="243"/>
        <v>#DIV/0!</v>
      </c>
      <c r="Z974" s="42" t="e">
        <f t="shared" ca="1" si="244"/>
        <v>#DIV/0!</v>
      </c>
      <c r="AA974" s="43" t="e">
        <f t="shared" ca="1" si="245"/>
        <v>#DIV/0!</v>
      </c>
      <c r="AB974" s="202" t="e">
        <f t="shared" ca="1" si="246"/>
        <v>#DIV/0!</v>
      </c>
      <c r="AC974" s="44" t="e">
        <f t="shared" si="247"/>
        <v>#DIV/0!</v>
      </c>
      <c r="AD974" s="868"/>
      <c r="AE974" s="871"/>
      <c r="AF974" s="871"/>
      <c r="AG974" s="868"/>
      <c r="AH974" s="868"/>
      <c r="AI974" s="868"/>
      <c r="AJ974" s="868"/>
      <c r="AK974" s="181" t="str">
        <f t="shared" ca="1" si="248"/>
        <v>TERMINO</v>
      </c>
      <c r="AL974" s="441"/>
      <c r="AM974" s="433"/>
      <c r="AN974" s="848" t="str">
        <f>IFERROR(VLOOKUP(E974,'liquidaciones '!$B$2:$C$1048576,2,0),"NO")</f>
        <v>NO</v>
      </c>
      <c r="AO974" s="944" t="str">
        <f>IFERROR(VLOOKUP(E974,'liquidaciones '!$B$2:$I$1048576,8,0),"")</f>
        <v/>
      </c>
      <c r="AP974" s="433"/>
      <c r="AQ974" s="433"/>
      <c r="AR974" s="1069"/>
      <c r="AS974" s="1042"/>
      <c r="AT974" s="964"/>
      <c r="AU974" s="964"/>
      <c r="AV974" s="964"/>
    </row>
    <row r="975" spans="3:48" x14ac:dyDescent="0.25">
      <c r="C975" s="867"/>
      <c r="E975" s="868"/>
      <c r="F975" s="441"/>
      <c r="G975" s="868"/>
      <c r="H975" s="1005"/>
      <c r="I975" s="93"/>
      <c r="J975" s="869"/>
      <c r="K975" s="295"/>
      <c r="L975" s="546"/>
      <c r="M975" s="870"/>
      <c r="N975" s="870"/>
      <c r="O975" s="127">
        <f>COUNTA(Modificaciones!I975,Modificaciones!K975,Modificaciones!M975,Modificaciones!O975)</f>
        <v>0</v>
      </c>
      <c r="P975" s="128">
        <f>VLOOKUP(E975,Modificaciones!$B$7:$Q$1819,16,0)</f>
        <v>0</v>
      </c>
      <c r="Q975" s="129">
        <f>COUNTA(Modificaciones!S975,Modificaciones!U975,Modificaciones!W975,Modificaciones!Y975)</f>
        <v>0</v>
      </c>
      <c r="R975" s="130" t="str">
        <f>IF(Modificaciones!Z975=0,"",VLOOKUP(E975,Modificaciones!$B$7:$AA$1419,25,0))</f>
        <v/>
      </c>
      <c r="S975" s="131" t="str">
        <f>IF(Modificaciones!AA951=0,"",VLOOKUP(#REF!,Modificaciones!$B$7:$AA$1419,26,0))</f>
        <v/>
      </c>
      <c r="T975" s="855">
        <f t="shared" si="240"/>
        <v>0</v>
      </c>
      <c r="U975" s="62">
        <f t="shared" si="241"/>
        <v>0</v>
      </c>
      <c r="V975" s="172">
        <f>VLOOKUP(E975,Modificaciones!$B$7:$AU$819,46,0)</f>
        <v>0</v>
      </c>
      <c r="W975" s="93">
        <f t="shared" si="242"/>
        <v>0</v>
      </c>
      <c r="X975" s="1041"/>
      <c r="Y975" s="852" t="e">
        <f t="shared" si="243"/>
        <v>#DIV/0!</v>
      </c>
      <c r="Z975" s="42" t="e">
        <f t="shared" ca="1" si="244"/>
        <v>#DIV/0!</v>
      </c>
      <c r="AA975" s="43" t="e">
        <f t="shared" ca="1" si="245"/>
        <v>#DIV/0!</v>
      </c>
      <c r="AB975" s="202" t="e">
        <f t="shared" ca="1" si="246"/>
        <v>#DIV/0!</v>
      </c>
      <c r="AC975" s="44" t="e">
        <f t="shared" si="247"/>
        <v>#DIV/0!</v>
      </c>
      <c r="AD975" s="868"/>
      <c r="AE975" s="871"/>
      <c r="AF975" s="871"/>
      <c r="AG975" s="868"/>
      <c r="AH975" s="868"/>
      <c r="AI975" s="868"/>
      <c r="AJ975" s="868"/>
      <c r="AK975" s="181" t="str">
        <f t="shared" ca="1" si="248"/>
        <v>TERMINO</v>
      </c>
      <c r="AL975" s="441"/>
      <c r="AM975" s="433"/>
      <c r="AN975" s="848" t="str">
        <f>IFERROR(VLOOKUP(E975,'liquidaciones '!$B$2:$C$1048576,2,0),"NO")</f>
        <v>NO</v>
      </c>
      <c r="AO975" s="944" t="str">
        <f>IFERROR(VLOOKUP(E975,'liquidaciones '!$B$2:$I$1048576,8,0),"")</f>
        <v/>
      </c>
      <c r="AP975" s="433"/>
      <c r="AQ975" s="433"/>
      <c r="AR975" s="1069"/>
      <c r="AS975" s="1042"/>
      <c r="AT975" s="964"/>
      <c r="AU975" s="964"/>
      <c r="AV975" s="964"/>
    </row>
    <row r="976" spans="3:48" x14ac:dyDescent="0.25">
      <c r="C976" s="867"/>
      <c r="E976" s="868"/>
      <c r="F976" s="441"/>
      <c r="G976" s="868"/>
      <c r="H976" s="1005"/>
      <c r="I976" s="93"/>
      <c r="J976" s="869"/>
      <c r="K976" s="295"/>
      <c r="L976" s="546"/>
      <c r="M976" s="870"/>
      <c r="N976" s="870"/>
      <c r="O976" s="127">
        <f>COUNTA(Modificaciones!I976,Modificaciones!K976,Modificaciones!M976,Modificaciones!O976)</f>
        <v>0</v>
      </c>
      <c r="P976" s="128">
        <f>VLOOKUP(E976,Modificaciones!$B$7:$Q$1819,16,0)</f>
        <v>0</v>
      </c>
      <c r="Q976" s="129">
        <f>COUNTA(Modificaciones!S976,Modificaciones!U976,Modificaciones!W976,Modificaciones!Y976)</f>
        <v>0</v>
      </c>
      <c r="R976" s="130" t="str">
        <f>IF(Modificaciones!Z976=0,"",VLOOKUP(E976,Modificaciones!$B$7:$AA$1419,25,0))</f>
        <v/>
      </c>
      <c r="S976" s="131" t="str">
        <f>IF(Modificaciones!AA952=0,"",VLOOKUP(#REF!,Modificaciones!$B$7:$AA$1419,26,0))</f>
        <v/>
      </c>
      <c r="T976" s="855">
        <f t="shared" si="240"/>
        <v>0</v>
      </c>
      <c r="U976" s="62">
        <f t="shared" si="241"/>
        <v>0</v>
      </c>
      <c r="V976" s="172">
        <f>VLOOKUP(E976,Modificaciones!$B$7:$AU$819,46,0)</f>
        <v>0</v>
      </c>
      <c r="W976" s="93">
        <f t="shared" si="242"/>
        <v>0</v>
      </c>
      <c r="X976" s="1041"/>
      <c r="Y976" s="852" t="e">
        <f t="shared" si="243"/>
        <v>#DIV/0!</v>
      </c>
      <c r="Z976" s="42" t="e">
        <f t="shared" ca="1" si="244"/>
        <v>#DIV/0!</v>
      </c>
      <c r="AA976" s="43" t="e">
        <f t="shared" ca="1" si="245"/>
        <v>#DIV/0!</v>
      </c>
      <c r="AB976" s="202" t="e">
        <f t="shared" ca="1" si="246"/>
        <v>#DIV/0!</v>
      </c>
      <c r="AC976" s="44" t="e">
        <f t="shared" si="247"/>
        <v>#DIV/0!</v>
      </c>
      <c r="AD976" s="868"/>
      <c r="AE976" s="871"/>
      <c r="AF976" s="871"/>
      <c r="AG976" s="868"/>
      <c r="AH976" s="868"/>
      <c r="AI976" s="868"/>
      <c r="AJ976" s="868"/>
      <c r="AK976" s="181" t="str">
        <f t="shared" ca="1" si="248"/>
        <v>TERMINO</v>
      </c>
      <c r="AL976" s="441"/>
      <c r="AM976" s="433"/>
      <c r="AN976" s="848" t="str">
        <f>IFERROR(VLOOKUP(E976,'liquidaciones '!$B$2:$C$1048576,2,0),"NO")</f>
        <v>NO</v>
      </c>
      <c r="AO976" s="944" t="str">
        <f>IFERROR(VLOOKUP(E976,'liquidaciones '!$B$2:$I$1048576,8,0),"")</f>
        <v/>
      </c>
      <c r="AP976" s="433"/>
      <c r="AQ976" s="433"/>
      <c r="AR976" s="1069"/>
      <c r="AS976" s="1042"/>
      <c r="AT976" s="964"/>
      <c r="AU976" s="964"/>
      <c r="AV976" s="964"/>
    </row>
    <row r="977" spans="3:48" x14ac:dyDescent="0.25">
      <c r="C977" s="867"/>
      <c r="E977" s="868"/>
      <c r="F977" s="441"/>
      <c r="G977" s="868"/>
      <c r="H977" s="1005"/>
      <c r="I977" s="93"/>
      <c r="J977" s="869"/>
      <c r="K977" s="295"/>
      <c r="L977" s="546"/>
      <c r="M977" s="870"/>
      <c r="N977" s="870"/>
      <c r="O977" s="127">
        <f>COUNTA(Modificaciones!I977,Modificaciones!K977,Modificaciones!M977,Modificaciones!O977)</f>
        <v>0</v>
      </c>
      <c r="P977" s="128">
        <f>VLOOKUP(E977,Modificaciones!$B$7:$Q$1819,16,0)</f>
        <v>0</v>
      </c>
      <c r="Q977" s="129">
        <f>COUNTA(Modificaciones!S977,Modificaciones!U977,Modificaciones!W977,Modificaciones!Y977)</f>
        <v>0</v>
      </c>
      <c r="R977" s="130" t="str">
        <f>IF(Modificaciones!Z977=0,"",VLOOKUP(E977,Modificaciones!$B$7:$AA$1419,25,0))</f>
        <v/>
      </c>
      <c r="S977" s="131" t="str">
        <f>IF(Modificaciones!AA953=0,"",VLOOKUP(#REF!,Modificaciones!$B$7:$AA$1419,26,0))</f>
        <v/>
      </c>
      <c r="T977" s="855">
        <f t="shared" si="240"/>
        <v>0</v>
      </c>
      <c r="U977" s="62">
        <f t="shared" si="241"/>
        <v>0</v>
      </c>
      <c r="V977" s="172">
        <f>VLOOKUP(E977,Modificaciones!$B$7:$AU$819,46,0)</f>
        <v>0</v>
      </c>
      <c r="W977" s="93">
        <f t="shared" si="242"/>
        <v>0</v>
      </c>
      <c r="X977" s="1041"/>
      <c r="Y977" s="852" t="e">
        <f t="shared" si="243"/>
        <v>#DIV/0!</v>
      </c>
      <c r="Z977" s="42" t="e">
        <f t="shared" ca="1" si="244"/>
        <v>#DIV/0!</v>
      </c>
      <c r="AA977" s="43" t="e">
        <f t="shared" ca="1" si="245"/>
        <v>#DIV/0!</v>
      </c>
      <c r="AB977" s="202" t="e">
        <f t="shared" ca="1" si="246"/>
        <v>#DIV/0!</v>
      </c>
      <c r="AC977" s="44" t="e">
        <f t="shared" si="247"/>
        <v>#DIV/0!</v>
      </c>
      <c r="AD977" s="868"/>
      <c r="AE977" s="871"/>
      <c r="AF977" s="871"/>
      <c r="AG977" s="868"/>
      <c r="AH977" s="868"/>
      <c r="AI977" s="868"/>
      <c r="AJ977" s="868"/>
      <c r="AK977" s="181" t="str">
        <f t="shared" ca="1" si="248"/>
        <v>TERMINO</v>
      </c>
      <c r="AL977" s="441"/>
      <c r="AM977" s="433"/>
      <c r="AN977" s="848" t="str">
        <f>IFERROR(VLOOKUP(E977,'liquidaciones '!$B$2:$C$1048576,2,0),"NO")</f>
        <v>NO</v>
      </c>
      <c r="AO977" s="944" t="str">
        <f>IFERROR(VLOOKUP(E977,'liquidaciones '!$B$2:$I$1048576,8,0),"")</f>
        <v/>
      </c>
      <c r="AP977" s="433"/>
      <c r="AQ977" s="433"/>
      <c r="AR977" s="1069"/>
      <c r="AS977" s="1042"/>
      <c r="AT977" s="964"/>
      <c r="AU977" s="964"/>
      <c r="AV977" s="964"/>
    </row>
    <row r="978" spans="3:48" x14ac:dyDescent="0.25">
      <c r="C978" s="867"/>
      <c r="E978" s="868"/>
      <c r="F978" s="441"/>
      <c r="G978" s="868"/>
      <c r="H978" s="1005"/>
      <c r="I978" s="93"/>
      <c r="J978" s="869"/>
      <c r="K978" s="295"/>
      <c r="L978" s="546"/>
      <c r="M978" s="870"/>
      <c r="N978" s="870"/>
      <c r="O978" s="127">
        <f>COUNTA(Modificaciones!I978,Modificaciones!K978,Modificaciones!M978,Modificaciones!O978)</f>
        <v>0</v>
      </c>
      <c r="P978" s="128">
        <f>VLOOKUP(E978,Modificaciones!$B$7:$Q$1819,16,0)</f>
        <v>0</v>
      </c>
      <c r="Q978" s="129">
        <f>COUNTA(Modificaciones!S978,Modificaciones!U978,Modificaciones!W978,Modificaciones!Y978)</f>
        <v>0</v>
      </c>
      <c r="R978" s="130" t="str">
        <f>IF(Modificaciones!Z978=0,"",VLOOKUP(E978,Modificaciones!$B$7:$AA$1419,25,0))</f>
        <v/>
      </c>
      <c r="S978" s="131" t="str">
        <f>IF(Modificaciones!AA954=0,"",VLOOKUP(#REF!,Modificaciones!$B$7:$AA$1419,26,0))</f>
        <v/>
      </c>
      <c r="T978" s="855">
        <f t="shared" si="240"/>
        <v>0</v>
      </c>
      <c r="U978" s="62">
        <f t="shared" si="241"/>
        <v>0</v>
      </c>
      <c r="V978" s="172">
        <f>VLOOKUP(E978,Modificaciones!$B$7:$AU$819,46,0)</f>
        <v>0</v>
      </c>
      <c r="W978" s="93">
        <f t="shared" si="242"/>
        <v>0</v>
      </c>
      <c r="X978" s="1041"/>
      <c r="Y978" s="852" t="e">
        <f t="shared" si="243"/>
        <v>#DIV/0!</v>
      </c>
      <c r="Z978" s="42" t="e">
        <f t="shared" ca="1" si="244"/>
        <v>#DIV/0!</v>
      </c>
      <c r="AA978" s="43" t="e">
        <f t="shared" ca="1" si="245"/>
        <v>#DIV/0!</v>
      </c>
      <c r="AB978" s="202" t="e">
        <f t="shared" ca="1" si="246"/>
        <v>#DIV/0!</v>
      </c>
      <c r="AC978" s="44" t="e">
        <f t="shared" si="247"/>
        <v>#DIV/0!</v>
      </c>
      <c r="AD978" s="868"/>
      <c r="AE978" s="871"/>
      <c r="AF978" s="871"/>
      <c r="AG978" s="868"/>
      <c r="AH978" s="868"/>
      <c r="AI978" s="868"/>
      <c r="AJ978" s="868"/>
      <c r="AK978" s="181" t="str">
        <f t="shared" ca="1" si="248"/>
        <v>TERMINO</v>
      </c>
      <c r="AL978" s="441"/>
      <c r="AM978" s="433"/>
      <c r="AN978" s="848" t="str">
        <f>IFERROR(VLOOKUP(E978,'liquidaciones '!$B$2:$C$1048576,2,0),"NO")</f>
        <v>NO</v>
      </c>
      <c r="AO978" s="944" t="str">
        <f>IFERROR(VLOOKUP(E978,'liquidaciones '!$B$2:$I$1048576,8,0),"")</f>
        <v/>
      </c>
      <c r="AP978" s="433"/>
      <c r="AQ978" s="433"/>
      <c r="AR978" s="1069"/>
      <c r="AS978" s="1042"/>
      <c r="AT978" s="964"/>
      <c r="AU978" s="964"/>
      <c r="AV978" s="964"/>
    </row>
    <row r="979" spans="3:48" x14ac:dyDescent="0.25">
      <c r="C979" s="867"/>
      <c r="E979" s="868"/>
      <c r="F979" s="441"/>
      <c r="G979" s="868"/>
      <c r="H979" s="1005"/>
      <c r="I979" s="93"/>
      <c r="J979" s="869"/>
      <c r="K979" s="295"/>
      <c r="L979" s="546"/>
      <c r="M979" s="870"/>
      <c r="N979" s="870"/>
      <c r="O979" s="127">
        <f>COUNTA(Modificaciones!I979,Modificaciones!K979,Modificaciones!M979,Modificaciones!O979)</f>
        <v>0</v>
      </c>
      <c r="P979" s="128">
        <f>VLOOKUP(E979,Modificaciones!$B$7:$Q$1819,16,0)</f>
        <v>0</v>
      </c>
      <c r="Q979" s="129">
        <f>COUNTA(Modificaciones!S979,Modificaciones!U979,Modificaciones!W979,Modificaciones!Y979)</f>
        <v>0</v>
      </c>
      <c r="R979" s="130" t="str">
        <f>IF(Modificaciones!Z979=0,"",VLOOKUP(E979,Modificaciones!$B$7:$AA$1419,25,0))</f>
        <v/>
      </c>
      <c r="S979" s="131" t="str">
        <f>IF(Modificaciones!AA955=0,"",VLOOKUP(#REF!,Modificaciones!$B$7:$AA$1419,26,0))</f>
        <v/>
      </c>
      <c r="T979" s="855">
        <f t="shared" si="240"/>
        <v>0</v>
      </c>
      <c r="U979" s="62">
        <f t="shared" si="241"/>
        <v>0</v>
      </c>
      <c r="V979" s="172">
        <f>VLOOKUP(E979,Modificaciones!$B$7:$AU$819,46,0)</f>
        <v>0</v>
      </c>
      <c r="W979" s="93">
        <f t="shared" si="242"/>
        <v>0</v>
      </c>
      <c r="X979" s="1041"/>
      <c r="Y979" s="852" t="e">
        <f t="shared" si="243"/>
        <v>#DIV/0!</v>
      </c>
      <c r="Z979" s="42" t="e">
        <f t="shared" ca="1" si="244"/>
        <v>#DIV/0!</v>
      </c>
      <c r="AA979" s="43" t="e">
        <f t="shared" ca="1" si="245"/>
        <v>#DIV/0!</v>
      </c>
      <c r="AB979" s="202" t="e">
        <f t="shared" ca="1" si="246"/>
        <v>#DIV/0!</v>
      </c>
      <c r="AC979" s="44" t="e">
        <f t="shared" si="247"/>
        <v>#DIV/0!</v>
      </c>
      <c r="AD979" s="868"/>
      <c r="AE979" s="871"/>
      <c r="AF979" s="871"/>
      <c r="AG979" s="868"/>
      <c r="AH979" s="868"/>
      <c r="AI979" s="868"/>
      <c r="AJ979" s="868"/>
      <c r="AK979" s="181" t="str">
        <f t="shared" ca="1" si="248"/>
        <v>TERMINO</v>
      </c>
      <c r="AL979" s="441"/>
      <c r="AM979" s="433"/>
      <c r="AN979" s="848" t="str">
        <f>IFERROR(VLOOKUP(E979,'liquidaciones '!$B$2:$C$1048576,2,0),"NO")</f>
        <v>NO</v>
      </c>
      <c r="AO979" s="944" t="str">
        <f>IFERROR(VLOOKUP(E979,'liquidaciones '!$B$2:$I$1048576,8,0),"")</f>
        <v/>
      </c>
      <c r="AP979" s="433"/>
      <c r="AQ979" s="433"/>
      <c r="AR979" s="1069"/>
      <c r="AS979" s="1042"/>
      <c r="AT979" s="964"/>
      <c r="AU979" s="964"/>
      <c r="AV979" s="964"/>
    </row>
    <row r="980" spans="3:48" x14ac:dyDescent="0.25">
      <c r="C980" s="867"/>
      <c r="E980" s="868"/>
      <c r="F980" s="441"/>
      <c r="G980" s="868"/>
      <c r="H980" s="1005"/>
      <c r="I980" s="93"/>
      <c r="J980" s="869"/>
      <c r="K980" s="295"/>
      <c r="L980" s="546"/>
      <c r="M980" s="870"/>
      <c r="N980" s="870"/>
      <c r="O980" s="127">
        <f>COUNTA(Modificaciones!I980,Modificaciones!K980,Modificaciones!M980,Modificaciones!O980)</f>
        <v>0</v>
      </c>
      <c r="P980" s="128">
        <f>VLOOKUP(E980,Modificaciones!$B$7:$Q$1819,16,0)</f>
        <v>0</v>
      </c>
      <c r="Q980" s="129">
        <f>COUNTA(Modificaciones!S980,Modificaciones!U980,Modificaciones!W980,Modificaciones!Y980)</f>
        <v>0</v>
      </c>
      <c r="R980" s="130" t="str">
        <f>IF(Modificaciones!Z980=0,"",VLOOKUP(E980,Modificaciones!$B$7:$AA$1419,25,0))</f>
        <v/>
      </c>
      <c r="S980" s="131" t="str">
        <f>IF(Modificaciones!AA956=0,"",VLOOKUP(#REF!,Modificaciones!$B$7:$AA$1419,26,0))</f>
        <v/>
      </c>
      <c r="T980" s="855">
        <f t="shared" si="240"/>
        <v>0</v>
      </c>
      <c r="U980" s="62">
        <f t="shared" si="241"/>
        <v>0</v>
      </c>
      <c r="V980" s="172">
        <f>VLOOKUP(E980,Modificaciones!$B$7:$AU$819,46,0)</f>
        <v>0</v>
      </c>
      <c r="W980" s="93">
        <f t="shared" si="242"/>
        <v>0</v>
      </c>
      <c r="X980" s="1041"/>
      <c r="Y980" s="852" t="e">
        <f t="shared" si="243"/>
        <v>#DIV/0!</v>
      </c>
      <c r="Z980" s="42" t="e">
        <f t="shared" ca="1" si="244"/>
        <v>#DIV/0!</v>
      </c>
      <c r="AA980" s="43" t="e">
        <f t="shared" ca="1" si="245"/>
        <v>#DIV/0!</v>
      </c>
      <c r="AB980" s="202" t="e">
        <f t="shared" ca="1" si="246"/>
        <v>#DIV/0!</v>
      </c>
      <c r="AC980" s="44" t="e">
        <f t="shared" si="247"/>
        <v>#DIV/0!</v>
      </c>
      <c r="AD980" s="868"/>
      <c r="AE980" s="871"/>
      <c r="AF980" s="871"/>
      <c r="AG980" s="868"/>
      <c r="AH980" s="868"/>
      <c r="AI980" s="868"/>
      <c r="AJ980" s="868"/>
      <c r="AK980" s="181" t="str">
        <f t="shared" ca="1" si="248"/>
        <v>TERMINO</v>
      </c>
      <c r="AL980" s="441"/>
      <c r="AM980" s="433"/>
      <c r="AN980" s="848" t="str">
        <f>IFERROR(VLOOKUP(E980,'liquidaciones '!$B$2:$C$1048576,2,0),"NO")</f>
        <v>NO</v>
      </c>
      <c r="AO980" s="944" t="str">
        <f>IFERROR(VLOOKUP(E980,'liquidaciones '!$B$2:$I$1048576,8,0),"")</f>
        <v/>
      </c>
      <c r="AP980" s="433"/>
      <c r="AQ980" s="433"/>
      <c r="AR980" s="1069"/>
      <c r="AS980" s="1042"/>
      <c r="AT980" s="964"/>
      <c r="AU980" s="964"/>
      <c r="AV980" s="964"/>
    </row>
    <row r="981" spans="3:48" x14ac:dyDescent="0.25">
      <c r="C981" s="867"/>
      <c r="E981" s="868"/>
      <c r="F981" s="441"/>
      <c r="G981" s="868"/>
      <c r="H981" s="1005"/>
      <c r="I981" s="93"/>
      <c r="J981" s="869"/>
      <c r="K981" s="295"/>
      <c r="L981" s="546"/>
      <c r="M981" s="870"/>
      <c r="N981" s="870"/>
      <c r="O981" s="127">
        <f>COUNTA(Modificaciones!I981,Modificaciones!K981,Modificaciones!M981,Modificaciones!O981)</f>
        <v>0</v>
      </c>
      <c r="P981" s="128">
        <f>VLOOKUP(E981,Modificaciones!$B$7:$Q$1819,16,0)</f>
        <v>0</v>
      </c>
      <c r="Q981" s="129">
        <f>COUNTA(Modificaciones!S981,Modificaciones!U981,Modificaciones!W981,Modificaciones!Y981)</f>
        <v>0</v>
      </c>
      <c r="R981" s="130" t="str">
        <f>IF(Modificaciones!Z981=0,"",VLOOKUP(E981,Modificaciones!$B$7:$AA$1419,25,0))</f>
        <v/>
      </c>
      <c r="S981" s="131" t="str">
        <f>IF(Modificaciones!AA957=0,"",VLOOKUP(#REF!,Modificaciones!$B$7:$AA$1419,26,0))</f>
        <v/>
      </c>
      <c r="T981" s="855">
        <f t="shared" si="240"/>
        <v>0</v>
      </c>
      <c r="U981" s="62">
        <f t="shared" si="241"/>
        <v>0</v>
      </c>
      <c r="V981" s="172">
        <f>VLOOKUP(E981,Modificaciones!$B$7:$AU$819,46,0)</f>
        <v>0</v>
      </c>
      <c r="W981" s="93">
        <f t="shared" si="242"/>
        <v>0</v>
      </c>
      <c r="X981" s="1041"/>
      <c r="Y981" s="852" t="e">
        <f t="shared" si="243"/>
        <v>#DIV/0!</v>
      </c>
      <c r="Z981" s="42" t="e">
        <f t="shared" ca="1" si="244"/>
        <v>#DIV/0!</v>
      </c>
      <c r="AA981" s="43" t="e">
        <f t="shared" ca="1" si="245"/>
        <v>#DIV/0!</v>
      </c>
      <c r="AB981" s="202" t="e">
        <f t="shared" ca="1" si="246"/>
        <v>#DIV/0!</v>
      </c>
      <c r="AC981" s="44" t="e">
        <f t="shared" si="247"/>
        <v>#DIV/0!</v>
      </c>
      <c r="AD981" s="868"/>
      <c r="AE981" s="871"/>
      <c r="AF981" s="871"/>
      <c r="AG981" s="868"/>
      <c r="AH981" s="868"/>
      <c r="AI981" s="868"/>
      <c r="AJ981" s="868"/>
      <c r="AK981" s="181" t="str">
        <f t="shared" ca="1" si="248"/>
        <v>TERMINO</v>
      </c>
      <c r="AL981" s="441"/>
      <c r="AM981" s="433"/>
      <c r="AN981" s="848" t="str">
        <f>IFERROR(VLOOKUP(E981,'liquidaciones '!$B$2:$C$1048576,2,0),"NO")</f>
        <v>NO</v>
      </c>
      <c r="AO981" s="944" t="str">
        <f>IFERROR(VLOOKUP(E981,'liquidaciones '!$B$2:$I$1048576,8,0),"")</f>
        <v/>
      </c>
      <c r="AP981" s="433"/>
      <c r="AQ981" s="433"/>
      <c r="AR981" s="1069"/>
      <c r="AS981" s="1042"/>
      <c r="AT981" s="964"/>
      <c r="AU981" s="964"/>
      <c r="AV981" s="964"/>
    </row>
    <row r="982" spans="3:48" x14ac:dyDescent="0.25">
      <c r="C982" s="867"/>
      <c r="E982" s="868"/>
      <c r="F982" s="441"/>
      <c r="G982" s="868"/>
      <c r="H982" s="1005"/>
      <c r="I982" s="93"/>
      <c r="J982" s="869"/>
      <c r="K982" s="295"/>
      <c r="L982" s="546"/>
      <c r="M982" s="870"/>
      <c r="N982" s="870"/>
      <c r="O982" s="127">
        <f>COUNTA(Modificaciones!I982,Modificaciones!K982,Modificaciones!M982,Modificaciones!O982)</f>
        <v>0</v>
      </c>
      <c r="P982" s="128">
        <f>VLOOKUP(E982,Modificaciones!$B$7:$Q$1819,16,0)</f>
        <v>0</v>
      </c>
      <c r="Q982" s="129">
        <f>COUNTA(Modificaciones!S982,Modificaciones!U982,Modificaciones!W982,Modificaciones!Y982)</f>
        <v>0</v>
      </c>
      <c r="R982" s="130" t="str">
        <f>IF(Modificaciones!Z982=0,"",VLOOKUP(E982,Modificaciones!$B$7:$AA$1419,25,0))</f>
        <v/>
      </c>
      <c r="S982" s="131" t="str">
        <f>IF(Modificaciones!AA958=0,"",VLOOKUP(#REF!,Modificaciones!$B$7:$AA$1419,26,0))</f>
        <v/>
      </c>
      <c r="T982" s="855">
        <f t="shared" si="240"/>
        <v>0</v>
      </c>
      <c r="U982" s="62">
        <f t="shared" si="241"/>
        <v>0</v>
      </c>
      <c r="V982" s="172">
        <f>VLOOKUP(E982,Modificaciones!$B$7:$AU$819,46,0)</f>
        <v>0</v>
      </c>
      <c r="W982" s="93">
        <f t="shared" si="242"/>
        <v>0</v>
      </c>
      <c r="X982" s="1041"/>
      <c r="Y982" s="852" t="e">
        <f t="shared" si="243"/>
        <v>#DIV/0!</v>
      </c>
      <c r="Z982" s="42" t="e">
        <f t="shared" ca="1" si="244"/>
        <v>#DIV/0!</v>
      </c>
      <c r="AA982" s="43" t="e">
        <f t="shared" ca="1" si="245"/>
        <v>#DIV/0!</v>
      </c>
      <c r="AB982" s="202" t="e">
        <f t="shared" ca="1" si="246"/>
        <v>#DIV/0!</v>
      </c>
      <c r="AC982" s="44" t="e">
        <f t="shared" si="247"/>
        <v>#DIV/0!</v>
      </c>
      <c r="AD982" s="868"/>
      <c r="AE982" s="871"/>
      <c r="AF982" s="871"/>
      <c r="AG982" s="868"/>
      <c r="AH982" s="868"/>
      <c r="AI982" s="868"/>
      <c r="AJ982" s="868"/>
      <c r="AK982" s="181" t="str">
        <f t="shared" ca="1" si="248"/>
        <v>TERMINO</v>
      </c>
      <c r="AL982" s="441"/>
      <c r="AM982" s="433"/>
      <c r="AN982" s="848" t="str">
        <f>IFERROR(VLOOKUP(E982,'liquidaciones '!$B$2:$C$1048576,2,0),"NO")</f>
        <v>NO</v>
      </c>
      <c r="AO982" s="944" t="str">
        <f>IFERROR(VLOOKUP(E982,'liquidaciones '!$B$2:$I$1048576,8,0),"")</f>
        <v/>
      </c>
      <c r="AP982" s="433"/>
      <c r="AQ982" s="433"/>
      <c r="AR982" s="1069"/>
      <c r="AS982" s="1042"/>
      <c r="AT982" s="964"/>
      <c r="AU982" s="964"/>
      <c r="AV982" s="964"/>
    </row>
    <row r="983" spans="3:48" x14ac:dyDescent="0.25">
      <c r="C983" s="867"/>
      <c r="E983" s="868"/>
      <c r="F983" s="441"/>
      <c r="G983" s="868"/>
      <c r="H983" s="1005"/>
      <c r="I983" s="93"/>
      <c r="J983" s="869"/>
      <c r="K983" s="295"/>
      <c r="L983" s="546"/>
      <c r="M983" s="870"/>
      <c r="N983" s="870"/>
      <c r="O983" s="127">
        <f>COUNTA(Modificaciones!I983,Modificaciones!K983,Modificaciones!M983,Modificaciones!O983)</f>
        <v>0</v>
      </c>
      <c r="P983" s="128">
        <f>VLOOKUP(E983,Modificaciones!$B$7:$Q$1819,16,0)</f>
        <v>0</v>
      </c>
      <c r="Q983" s="129">
        <f>COUNTA(Modificaciones!S983,Modificaciones!U983,Modificaciones!W983,Modificaciones!Y983)</f>
        <v>0</v>
      </c>
      <c r="R983" s="130" t="str">
        <f>IF(Modificaciones!Z983=0,"",VLOOKUP(E983,Modificaciones!$B$7:$AA$1419,25,0))</f>
        <v/>
      </c>
      <c r="S983" s="131" t="str">
        <f>IF(Modificaciones!AA959=0,"",VLOOKUP(#REF!,Modificaciones!$B$7:$AA$1419,26,0))</f>
        <v/>
      </c>
      <c r="T983" s="855">
        <f t="shared" si="240"/>
        <v>0</v>
      </c>
      <c r="U983" s="62">
        <f t="shared" si="241"/>
        <v>0</v>
      </c>
      <c r="V983" s="172">
        <f>VLOOKUP(E983,Modificaciones!$B$7:$AU$819,46,0)</f>
        <v>0</v>
      </c>
      <c r="W983" s="93">
        <f t="shared" si="242"/>
        <v>0</v>
      </c>
      <c r="X983" s="1041"/>
      <c r="Y983" s="852" t="e">
        <f t="shared" si="243"/>
        <v>#DIV/0!</v>
      </c>
      <c r="Z983" s="42" t="e">
        <f t="shared" ca="1" si="244"/>
        <v>#DIV/0!</v>
      </c>
      <c r="AA983" s="43" t="e">
        <f t="shared" ca="1" si="245"/>
        <v>#DIV/0!</v>
      </c>
      <c r="AB983" s="202" t="e">
        <f t="shared" ca="1" si="246"/>
        <v>#DIV/0!</v>
      </c>
      <c r="AC983" s="44" t="e">
        <f t="shared" si="247"/>
        <v>#DIV/0!</v>
      </c>
      <c r="AD983" s="868"/>
      <c r="AE983" s="871"/>
      <c r="AF983" s="871"/>
      <c r="AG983" s="868"/>
      <c r="AH983" s="868"/>
      <c r="AI983" s="868"/>
      <c r="AJ983" s="868"/>
      <c r="AK983" s="181" t="str">
        <f t="shared" ca="1" si="248"/>
        <v>TERMINO</v>
      </c>
      <c r="AL983" s="441"/>
      <c r="AM983" s="433"/>
      <c r="AN983" s="848" t="str">
        <f>IFERROR(VLOOKUP(E983,'liquidaciones '!$B$2:$C$1048576,2,0),"NO")</f>
        <v>NO</v>
      </c>
      <c r="AO983" s="944" t="str">
        <f>IFERROR(VLOOKUP(E983,'liquidaciones '!$B$2:$I$1048576,8,0),"")</f>
        <v/>
      </c>
      <c r="AP983" s="433"/>
      <c r="AQ983" s="433"/>
      <c r="AR983" s="1069"/>
      <c r="AS983" s="1042"/>
      <c r="AT983" s="964"/>
      <c r="AU983" s="964"/>
      <c r="AV983" s="964"/>
    </row>
    <row r="984" spans="3:48" x14ac:dyDescent="0.25">
      <c r="C984" s="867"/>
      <c r="E984" s="868"/>
      <c r="F984" s="441"/>
      <c r="G984" s="868"/>
      <c r="H984" s="1005"/>
      <c r="I984" s="93"/>
      <c r="J984" s="869"/>
      <c r="K984" s="295"/>
      <c r="L984" s="546"/>
      <c r="M984" s="870"/>
      <c r="N984" s="870"/>
      <c r="O984" s="127">
        <f>COUNTA(Modificaciones!I984,Modificaciones!K984,Modificaciones!M984,Modificaciones!O984)</f>
        <v>0</v>
      </c>
      <c r="P984" s="128">
        <f>VLOOKUP(E984,Modificaciones!$B$7:$Q$1819,16,0)</f>
        <v>0</v>
      </c>
      <c r="Q984" s="129">
        <f>COUNTA(Modificaciones!S984,Modificaciones!U984,Modificaciones!W984,Modificaciones!Y984)</f>
        <v>0</v>
      </c>
      <c r="R984" s="130" t="str">
        <f>IF(Modificaciones!Z984=0,"",VLOOKUP(E984,Modificaciones!$B$7:$AA$1419,25,0))</f>
        <v/>
      </c>
      <c r="S984" s="131" t="str">
        <f>IF(Modificaciones!AA960=0,"",VLOOKUP(#REF!,Modificaciones!$B$7:$AA$1419,26,0))</f>
        <v/>
      </c>
      <c r="T984" s="855">
        <f t="shared" si="240"/>
        <v>0</v>
      </c>
      <c r="U984" s="62">
        <f t="shared" si="241"/>
        <v>0</v>
      </c>
      <c r="V984" s="172">
        <f>VLOOKUP(E984,Modificaciones!$B$7:$AU$819,46,0)</f>
        <v>0</v>
      </c>
      <c r="W984" s="93">
        <f t="shared" si="242"/>
        <v>0</v>
      </c>
      <c r="X984" s="1041"/>
      <c r="Y984" s="852" t="e">
        <f t="shared" si="243"/>
        <v>#DIV/0!</v>
      </c>
      <c r="Z984" s="42" t="e">
        <f t="shared" ca="1" si="244"/>
        <v>#DIV/0!</v>
      </c>
      <c r="AA984" s="43" t="e">
        <f t="shared" ca="1" si="245"/>
        <v>#DIV/0!</v>
      </c>
      <c r="AB984" s="202" t="e">
        <f t="shared" ca="1" si="246"/>
        <v>#DIV/0!</v>
      </c>
      <c r="AC984" s="44" t="e">
        <f t="shared" si="247"/>
        <v>#DIV/0!</v>
      </c>
      <c r="AD984" s="868"/>
      <c r="AE984" s="871"/>
      <c r="AF984" s="871"/>
      <c r="AG984" s="868"/>
      <c r="AH984" s="868"/>
      <c r="AI984" s="868"/>
      <c r="AJ984" s="868"/>
      <c r="AK984" s="181" t="str">
        <f t="shared" ca="1" si="248"/>
        <v>TERMINO</v>
      </c>
      <c r="AL984" s="441"/>
      <c r="AM984" s="433"/>
      <c r="AN984" s="848" t="str">
        <f>IFERROR(VLOOKUP(E984,'liquidaciones '!$B$2:$C$1048576,2,0),"NO")</f>
        <v>NO</v>
      </c>
      <c r="AO984" s="944" t="str">
        <f>IFERROR(VLOOKUP(E984,'liquidaciones '!$B$2:$I$1048576,8,0),"")</f>
        <v/>
      </c>
      <c r="AP984" s="433"/>
      <c r="AQ984" s="433"/>
      <c r="AR984" s="1069"/>
      <c r="AS984" s="1042"/>
      <c r="AT984" s="964"/>
      <c r="AU984" s="964"/>
      <c r="AV984" s="964"/>
    </row>
    <row r="985" spans="3:48" x14ac:dyDescent="0.25">
      <c r="C985" s="867"/>
      <c r="E985" s="868"/>
      <c r="F985" s="441"/>
      <c r="G985" s="868"/>
      <c r="H985" s="1005"/>
      <c r="I985" s="93"/>
      <c r="J985" s="869"/>
      <c r="K985" s="295"/>
      <c r="L985" s="546"/>
      <c r="M985" s="870"/>
      <c r="N985" s="870"/>
      <c r="O985" s="127">
        <f>COUNTA(Modificaciones!I985,Modificaciones!K985,Modificaciones!M985,Modificaciones!O985)</f>
        <v>0</v>
      </c>
      <c r="P985" s="128">
        <f>VLOOKUP(E985,Modificaciones!$B$7:$Q$1819,16,0)</f>
        <v>0</v>
      </c>
      <c r="Q985" s="129">
        <f>COUNTA(Modificaciones!S985,Modificaciones!U985,Modificaciones!W985,Modificaciones!Y985)</f>
        <v>0</v>
      </c>
      <c r="R985" s="130" t="str">
        <f>IF(Modificaciones!Z985=0,"",VLOOKUP(E985,Modificaciones!$B$7:$AA$1419,25,0))</f>
        <v/>
      </c>
      <c r="S985" s="131" t="str">
        <f>IF(Modificaciones!AA961=0,"",VLOOKUP(#REF!,Modificaciones!$B$7:$AA$1419,26,0))</f>
        <v/>
      </c>
      <c r="T985" s="855">
        <f t="shared" si="240"/>
        <v>0</v>
      </c>
      <c r="U985" s="62">
        <f t="shared" si="241"/>
        <v>0</v>
      </c>
      <c r="V985" s="172">
        <f>VLOOKUP(E985,Modificaciones!$B$7:$AU$819,46,0)</f>
        <v>0</v>
      </c>
      <c r="W985" s="93">
        <f t="shared" si="242"/>
        <v>0</v>
      </c>
      <c r="X985" s="1041"/>
      <c r="Y985" s="852" t="e">
        <f t="shared" si="243"/>
        <v>#DIV/0!</v>
      </c>
      <c r="Z985" s="42" t="e">
        <f t="shared" ca="1" si="244"/>
        <v>#DIV/0!</v>
      </c>
      <c r="AA985" s="43" t="e">
        <f t="shared" ca="1" si="245"/>
        <v>#DIV/0!</v>
      </c>
      <c r="AB985" s="202" t="e">
        <f t="shared" ca="1" si="246"/>
        <v>#DIV/0!</v>
      </c>
      <c r="AC985" s="44" t="e">
        <f t="shared" si="247"/>
        <v>#DIV/0!</v>
      </c>
      <c r="AD985" s="868"/>
      <c r="AE985" s="871"/>
      <c r="AF985" s="871"/>
      <c r="AG985" s="868"/>
      <c r="AH985" s="868"/>
      <c r="AI985" s="868"/>
      <c r="AJ985" s="868"/>
      <c r="AK985" s="181" t="str">
        <f t="shared" ca="1" si="248"/>
        <v>TERMINO</v>
      </c>
      <c r="AL985" s="441"/>
      <c r="AM985" s="433"/>
      <c r="AN985" s="848" t="str">
        <f>IFERROR(VLOOKUP(E985,'liquidaciones '!$B$2:$C$1048576,2,0),"NO")</f>
        <v>NO</v>
      </c>
      <c r="AO985" s="944" t="str">
        <f>IFERROR(VLOOKUP(E985,'liquidaciones '!$B$2:$I$1048576,8,0),"")</f>
        <v/>
      </c>
      <c r="AP985" s="433"/>
      <c r="AQ985" s="433"/>
      <c r="AR985" s="1069"/>
      <c r="AS985" s="1042"/>
      <c r="AT985" s="964"/>
      <c r="AU985" s="964"/>
      <c r="AV985" s="964"/>
    </row>
    <row r="986" spans="3:48" x14ac:dyDescent="0.25">
      <c r="C986" s="867"/>
      <c r="E986" s="868"/>
      <c r="F986" s="441"/>
      <c r="G986" s="868"/>
      <c r="H986" s="1005"/>
      <c r="I986" s="93"/>
      <c r="J986" s="869"/>
      <c r="K986" s="295"/>
      <c r="L986" s="546"/>
      <c r="M986" s="870"/>
      <c r="N986" s="870"/>
      <c r="O986" s="127">
        <f>COUNTA(Modificaciones!I986,Modificaciones!K986,Modificaciones!M986,Modificaciones!O986)</f>
        <v>0</v>
      </c>
      <c r="P986" s="128">
        <f>VLOOKUP(E986,Modificaciones!$B$7:$Q$1819,16,0)</f>
        <v>0</v>
      </c>
      <c r="Q986" s="129">
        <f>COUNTA(Modificaciones!S986,Modificaciones!U986,Modificaciones!W986,Modificaciones!Y986)</f>
        <v>0</v>
      </c>
      <c r="R986" s="130" t="str">
        <f>IF(Modificaciones!Z986=0,"",VLOOKUP(E986,Modificaciones!$B$7:$AA$1419,25,0))</f>
        <v/>
      </c>
      <c r="S986" s="131" t="str">
        <f>IF(Modificaciones!AA962=0,"",VLOOKUP(#REF!,Modificaciones!$B$7:$AA$1419,26,0))</f>
        <v/>
      </c>
      <c r="T986" s="855">
        <f t="shared" si="240"/>
        <v>0</v>
      </c>
      <c r="U986" s="62">
        <f t="shared" si="241"/>
        <v>0</v>
      </c>
      <c r="V986" s="172">
        <f>VLOOKUP(E986,Modificaciones!$B$7:$AU$819,46,0)</f>
        <v>0</v>
      </c>
      <c r="W986" s="93">
        <f t="shared" si="242"/>
        <v>0</v>
      </c>
      <c r="X986" s="1041"/>
      <c r="Y986" s="852" t="e">
        <f t="shared" si="243"/>
        <v>#DIV/0!</v>
      </c>
      <c r="Z986" s="42" t="e">
        <f t="shared" ca="1" si="244"/>
        <v>#DIV/0!</v>
      </c>
      <c r="AA986" s="43" t="e">
        <f t="shared" ca="1" si="245"/>
        <v>#DIV/0!</v>
      </c>
      <c r="AB986" s="202" t="e">
        <f t="shared" ca="1" si="246"/>
        <v>#DIV/0!</v>
      </c>
      <c r="AC986" s="44" t="e">
        <f t="shared" si="247"/>
        <v>#DIV/0!</v>
      </c>
      <c r="AD986" s="868"/>
      <c r="AE986" s="871"/>
      <c r="AF986" s="871"/>
      <c r="AG986" s="868"/>
      <c r="AH986" s="868"/>
      <c r="AI986" s="868"/>
      <c r="AJ986" s="868"/>
      <c r="AK986" s="181" t="str">
        <f t="shared" ca="1" si="248"/>
        <v>TERMINO</v>
      </c>
      <c r="AL986" s="441"/>
      <c r="AM986" s="433"/>
      <c r="AN986" s="848" t="str">
        <f>IFERROR(VLOOKUP(E986,'liquidaciones '!$B$2:$C$1048576,2,0),"NO")</f>
        <v>NO</v>
      </c>
      <c r="AO986" s="944" t="str">
        <f>IFERROR(VLOOKUP(E986,'liquidaciones '!$B$2:$I$1048576,8,0),"")</f>
        <v/>
      </c>
      <c r="AP986" s="433"/>
      <c r="AQ986" s="433"/>
      <c r="AR986" s="1069"/>
      <c r="AS986" s="1042"/>
      <c r="AT986" s="964"/>
      <c r="AU986" s="964"/>
      <c r="AV986" s="964"/>
    </row>
    <row r="987" spans="3:48" x14ac:dyDescent="0.25">
      <c r="C987" s="867"/>
      <c r="E987" s="868"/>
      <c r="F987" s="441"/>
      <c r="G987" s="868"/>
      <c r="H987" s="1005"/>
      <c r="I987" s="93"/>
      <c r="J987" s="869"/>
      <c r="K987" s="295"/>
      <c r="L987" s="546"/>
      <c r="M987" s="870"/>
      <c r="N987" s="870"/>
      <c r="O987" s="127">
        <f>COUNTA(Modificaciones!I987,Modificaciones!K987,Modificaciones!M987,Modificaciones!O987)</f>
        <v>0</v>
      </c>
      <c r="P987" s="128">
        <f>VLOOKUP(E987,Modificaciones!$B$7:$Q$1819,16,0)</f>
        <v>0</v>
      </c>
      <c r="Q987" s="129">
        <f>COUNTA(Modificaciones!S987,Modificaciones!U987,Modificaciones!W987,Modificaciones!Y987)</f>
        <v>0</v>
      </c>
      <c r="R987" s="130" t="str">
        <f>IF(Modificaciones!Z987=0,"",VLOOKUP(E987,Modificaciones!$B$7:$AA$1419,25,0))</f>
        <v/>
      </c>
      <c r="S987" s="131" t="str">
        <f>IF(Modificaciones!AA963=0,"",VLOOKUP(#REF!,Modificaciones!$B$7:$AA$1419,26,0))</f>
        <v/>
      </c>
      <c r="T987" s="855">
        <f t="shared" si="240"/>
        <v>0</v>
      </c>
      <c r="U987" s="62">
        <f t="shared" si="241"/>
        <v>0</v>
      </c>
      <c r="V987" s="172">
        <f>VLOOKUP(E987,Modificaciones!$B$7:$AU$819,46,0)</f>
        <v>0</v>
      </c>
      <c r="W987" s="93">
        <f t="shared" si="242"/>
        <v>0</v>
      </c>
      <c r="X987" s="1041"/>
      <c r="Y987" s="852" t="e">
        <f t="shared" si="243"/>
        <v>#DIV/0!</v>
      </c>
      <c r="Z987" s="42" t="e">
        <f t="shared" ca="1" si="244"/>
        <v>#DIV/0!</v>
      </c>
      <c r="AA987" s="43" t="e">
        <f t="shared" ca="1" si="245"/>
        <v>#DIV/0!</v>
      </c>
      <c r="AB987" s="202" t="e">
        <f t="shared" ca="1" si="246"/>
        <v>#DIV/0!</v>
      </c>
      <c r="AC987" s="44" t="e">
        <f t="shared" si="247"/>
        <v>#DIV/0!</v>
      </c>
      <c r="AD987" s="868"/>
      <c r="AE987" s="871"/>
      <c r="AF987" s="871"/>
      <c r="AG987" s="868"/>
      <c r="AH987" s="868"/>
      <c r="AI987" s="868"/>
      <c r="AJ987" s="868"/>
      <c r="AK987" s="181" t="str">
        <f t="shared" ca="1" si="248"/>
        <v>TERMINO</v>
      </c>
      <c r="AL987" s="441"/>
      <c r="AM987" s="433"/>
      <c r="AN987" s="848" t="str">
        <f>IFERROR(VLOOKUP(E987,'liquidaciones '!$B$2:$C$1048576,2,0),"NO")</f>
        <v>NO</v>
      </c>
      <c r="AO987" s="944" t="str">
        <f>IFERROR(VLOOKUP(E987,'liquidaciones '!$B$2:$I$1048576,8,0),"")</f>
        <v/>
      </c>
      <c r="AP987" s="433"/>
      <c r="AQ987" s="433"/>
      <c r="AR987" s="1069"/>
      <c r="AS987" s="1042"/>
      <c r="AT987" s="964"/>
      <c r="AU987" s="964"/>
      <c r="AV987" s="964"/>
    </row>
    <row r="988" spans="3:48" x14ac:dyDescent="0.25">
      <c r="C988" s="867"/>
      <c r="E988" s="868"/>
      <c r="F988" s="441"/>
      <c r="G988" s="868"/>
      <c r="H988" s="1005"/>
      <c r="I988" s="93"/>
      <c r="J988" s="869"/>
      <c r="K988" s="295"/>
      <c r="L988" s="546"/>
      <c r="M988" s="870"/>
      <c r="N988" s="870"/>
      <c r="O988" s="127">
        <f>COUNTA(Modificaciones!I988,Modificaciones!K988,Modificaciones!M988,Modificaciones!O988)</f>
        <v>0</v>
      </c>
      <c r="P988" s="128">
        <f>VLOOKUP(E988,Modificaciones!$B$7:$Q$1819,16,0)</f>
        <v>0</v>
      </c>
      <c r="Q988" s="129">
        <f>COUNTA(Modificaciones!S988,Modificaciones!U988,Modificaciones!W988,Modificaciones!Y988)</f>
        <v>0</v>
      </c>
      <c r="R988" s="130" t="str">
        <f>IF(Modificaciones!Z988=0,"",VLOOKUP(E988,Modificaciones!$B$7:$AA$1419,25,0))</f>
        <v/>
      </c>
      <c r="S988" s="131" t="str">
        <f>IF(Modificaciones!AA964=0,"",VLOOKUP(#REF!,Modificaciones!$B$7:$AA$1419,26,0))</f>
        <v/>
      </c>
      <c r="T988" s="855">
        <f t="shared" si="240"/>
        <v>0</v>
      </c>
      <c r="U988" s="62">
        <f t="shared" si="241"/>
        <v>0</v>
      </c>
      <c r="V988" s="172">
        <f>VLOOKUP(E988,Modificaciones!$B$7:$AU$819,46,0)</f>
        <v>0</v>
      </c>
      <c r="W988" s="93">
        <f t="shared" si="242"/>
        <v>0</v>
      </c>
      <c r="X988" s="1041"/>
      <c r="Y988" s="852" t="e">
        <f t="shared" si="243"/>
        <v>#DIV/0!</v>
      </c>
      <c r="Z988" s="42" t="e">
        <f t="shared" ca="1" si="244"/>
        <v>#DIV/0!</v>
      </c>
      <c r="AA988" s="43" t="e">
        <f t="shared" ca="1" si="245"/>
        <v>#DIV/0!</v>
      </c>
      <c r="AB988" s="202" t="e">
        <f t="shared" ca="1" si="246"/>
        <v>#DIV/0!</v>
      </c>
      <c r="AC988" s="44" t="e">
        <f t="shared" si="247"/>
        <v>#DIV/0!</v>
      </c>
      <c r="AD988" s="868"/>
      <c r="AE988" s="871"/>
      <c r="AF988" s="871"/>
      <c r="AG988" s="868"/>
      <c r="AH988" s="868"/>
      <c r="AI988" s="868"/>
      <c r="AJ988" s="868"/>
      <c r="AK988" s="181" t="str">
        <f t="shared" ca="1" si="248"/>
        <v>TERMINO</v>
      </c>
      <c r="AL988" s="441"/>
      <c r="AM988" s="433"/>
      <c r="AN988" s="848" t="str">
        <f>IFERROR(VLOOKUP(E988,'liquidaciones '!$B$2:$C$1048576,2,0),"NO")</f>
        <v>NO</v>
      </c>
      <c r="AO988" s="944" t="str">
        <f>IFERROR(VLOOKUP(E988,'liquidaciones '!$B$2:$I$1048576,8,0),"")</f>
        <v/>
      </c>
      <c r="AP988" s="433"/>
      <c r="AQ988" s="433"/>
      <c r="AR988" s="1069"/>
      <c r="AS988" s="1042"/>
      <c r="AT988" s="964"/>
      <c r="AU988" s="964"/>
      <c r="AV988" s="964"/>
    </row>
    <row r="989" spans="3:48" x14ac:dyDescent="0.25">
      <c r="C989" s="867"/>
      <c r="E989" s="868"/>
      <c r="F989" s="441"/>
      <c r="G989" s="868"/>
      <c r="H989" s="1005"/>
      <c r="I989" s="93"/>
      <c r="J989" s="869"/>
      <c r="K989" s="295"/>
      <c r="L989" s="546"/>
      <c r="M989" s="870"/>
      <c r="N989" s="870"/>
      <c r="O989" s="127">
        <f>COUNTA(Modificaciones!I989,Modificaciones!K989,Modificaciones!M989,Modificaciones!O989)</f>
        <v>0</v>
      </c>
      <c r="P989" s="128">
        <f>VLOOKUP(E989,Modificaciones!$B$7:$Q$1819,16,0)</f>
        <v>0</v>
      </c>
      <c r="Q989" s="129">
        <f>COUNTA(Modificaciones!S989,Modificaciones!U989,Modificaciones!W989,Modificaciones!Y989)</f>
        <v>0</v>
      </c>
      <c r="R989" s="130" t="str">
        <f>IF(Modificaciones!Z989=0,"",VLOOKUP(E989,Modificaciones!$B$7:$AA$1419,25,0))</f>
        <v/>
      </c>
      <c r="S989" s="131" t="str">
        <f>IF(Modificaciones!AA965=0,"",VLOOKUP(#REF!,Modificaciones!$B$7:$AA$1419,26,0))</f>
        <v/>
      </c>
      <c r="T989" s="855">
        <f t="shared" si="240"/>
        <v>0</v>
      </c>
      <c r="U989" s="62">
        <f t="shared" si="241"/>
        <v>0</v>
      </c>
      <c r="V989" s="172">
        <f>VLOOKUP(E989,Modificaciones!$B$7:$AU$819,46,0)</f>
        <v>0</v>
      </c>
      <c r="W989" s="93">
        <f t="shared" si="242"/>
        <v>0</v>
      </c>
      <c r="X989" s="1041"/>
      <c r="Y989" s="852" t="e">
        <f t="shared" si="243"/>
        <v>#DIV/0!</v>
      </c>
      <c r="Z989" s="42" t="e">
        <f t="shared" ca="1" si="244"/>
        <v>#DIV/0!</v>
      </c>
      <c r="AA989" s="43" t="e">
        <f t="shared" ca="1" si="245"/>
        <v>#DIV/0!</v>
      </c>
      <c r="AB989" s="202" t="e">
        <f t="shared" ca="1" si="246"/>
        <v>#DIV/0!</v>
      </c>
      <c r="AC989" s="44" t="e">
        <f t="shared" si="247"/>
        <v>#DIV/0!</v>
      </c>
      <c r="AD989" s="868"/>
      <c r="AE989" s="871"/>
      <c r="AF989" s="871"/>
      <c r="AG989" s="868"/>
      <c r="AH989" s="868"/>
      <c r="AI989" s="868"/>
      <c r="AJ989" s="868"/>
      <c r="AK989" s="181" t="str">
        <f t="shared" ca="1" si="248"/>
        <v>TERMINO</v>
      </c>
      <c r="AL989" s="441"/>
      <c r="AM989" s="433"/>
      <c r="AN989" s="848" t="str">
        <f>IFERROR(VLOOKUP(E989,'liquidaciones '!$B$2:$C$1048576,2,0),"NO")</f>
        <v>NO</v>
      </c>
      <c r="AO989" s="944" t="str">
        <f>IFERROR(VLOOKUP(E989,'liquidaciones '!$B$2:$I$1048576,8,0),"")</f>
        <v/>
      </c>
      <c r="AP989" s="433"/>
      <c r="AQ989" s="433"/>
      <c r="AR989" s="1069"/>
      <c r="AS989" s="1042"/>
      <c r="AT989" s="964"/>
      <c r="AU989" s="964"/>
      <c r="AV989" s="964"/>
    </row>
    <row r="990" spans="3:48" x14ac:dyDescent="0.25">
      <c r="C990" s="867"/>
      <c r="E990" s="868"/>
      <c r="F990" s="441"/>
      <c r="G990" s="868"/>
      <c r="H990" s="1005"/>
      <c r="I990" s="93"/>
      <c r="J990" s="869"/>
      <c r="K990" s="295"/>
      <c r="L990" s="546"/>
      <c r="M990" s="870"/>
      <c r="N990" s="870"/>
      <c r="O990" s="127">
        <f>COUNTA(Modificaciones!I990,Modificaciones!K990,Modificaciones!M990,Modificaciones!O990)</f>
        <v>0</v>
      </c>
      <c r="P990" s="128">
        <f>VLOOKUP(E990,Modificaciones!$B$7:$Q$1819,16,0)</f>
        <v>0</v>
      </c>
      <c r="Q990" s="129">
        <f>COUNTA(Modificaciones!S990,Modificaciones!U990,Modificaciones!W990,Modificaciones!Y990)</f>
        <v>0</v>
      </c>
      <c r="R990" s="130" t="str">
        <f>IF(Modificaciones!Z990=0,"",VLOOKUP(E990,Modificaciones!$B$7:$AA$1419,25,0))</f>
        <v/>
      </c>
      <c r="S990" s="131" t="str">
        <f>IF(Modificaciones!AA966=0,"",VLOOKUP(#REF!,Modificaciones!$B$7:$AA$1419,26,0))</f>
        <v/>
      </c>
      <c r="T990" s="855">
        <f t="shared" si="240"/>
        <v>0</v>
      </c>
      <c r="U990" s="62">
        <f t="shared" si="241"/>
        <v>0</v>
      </c>
      <c r="V990" s="172">
        <f>VLOOKUP(E990,Modificaciones!$B$7:$AU$819,46,0)</f>
        <v>0</v>
      </c>
      <c r="W990" s="93">
        <f t="shared" si="242"/>
        <v>0</v>
      </c>
      <c r="X990" s="1041"/>
      <c r="Y990" s="852" t="e">
        <f t="shared" si="243"/>
        <v>#DIV/0!</v>
      </c>
      <c r="Z990" s="42" t="e">
        <f t="shared" ca="1" si="244"/>
        <v>#DIV/0!</v>
      </c>
      <c r="AA990" s="43" t="e">
        <f t="shared" ca="1" si="245"/>
        <v>#DIV/0!</v>
      </c>
      <c r="AB990" s="202" t="e">
        <f t="shared" ca="1" si="246"/>
        <v>#DIV/0!</v>
      </c>
      <c r="AC990" s="44" t="e">
        <f t="shared" si="247"/>
        <v>#DIV/0!</v>
      </c>
      <c r="AD990" s="868"/>
      <c r="AE990" s="871"/>
      <c r="AF990" s="871"/>
      <c r="AG990" s="868"/>
      <c r="AH990" s="868"/>
      <c r="AI990" s="868"/>
      <c r="AJ990" s="868"/>
      <c r="AK990" s="181" t="str">
        <f t="shared" ca="1" si="248"/>
        <v>TERMINO</v>
      </c>
      <c r="AL990" s="441"/>
      <c r="AM990" s="433"/>
      <c r="AN990" s="848" t="str">
        <f>IFERROR(VLOOKUP(E990,'liquidaciones '!$B$2:$C$1048576,2,0),"NO")</f>
        <v>NO</v>
      </c>
      <c r="AO990" s="944" t="str">
        <f>IFERROR(VLOOKUP(E990,'liquidaciones '!$B$2:$I$1048576,8,0),"")</f>
        <v/>
      </c>
      <c r="AP990" s="433"/>
      <c r="AQ990" s="433"/>
      <c r="AR990" s="1069"/>
      <c r="AS990" s="1042"/>
      <c r="AT990" s="964"/>
      <c r="AU990" s="964"/>
      <c r="AV990" s="964"/>
    </row>
    <row r="991" spans="3:48" x14ac:dyDescent="0.25">
      <c r="C991" s="867"/>
      <c r="E991" s="868"/>
      <c r="F991" s="441"/>
      <c r="G991" s="868"/>
      <c r="H991" s="1005"/>
      <c r="I991" s="93"/>
      <c r="J991" s="869"/>
      <c r="K991" s="295"/>
      <c r="L991" s="546"/>
      <c r="M991" s="870"/>
      <c r="N991" s="870"/>
      <c r="O991" s="127">
        <f>COUNTA(Modificaciones!I991,Modificaciones!K991,Modificaciones!M991,Modificaciones!O991)</f>
        <v>0</v>
      </c>
      <c r="P991" s="128">
        <f>VLOOKUP(E991,Modificaciones!$B$7:$Q$1819,16,0)</f>
        <v>0</v>
      </c>
      <c r="Q991" s="129">
        <f>COUNTA(Modificaciones!S991,Modificaciones!U991,Modificaciones!W991,Modificaciones!Y991)</f>
        <v>0</v>
      </c>
      <c r="R991" s="130" t="str">
        <f>IF(Modificaciones!Z991=0,"",VLOOKUP(E991,Modificaciones!$B$7:$AA$1419,25,0))</f>
        <v/>
      </c>
      <c r="S991" s="131" t="str">
        <f>IF(Modificaciones!AA967=0,"",VLOOKUP(#REF!,Modificaciones!$B$7:$AA$1419,26,0))</f>
        <v/>
      </c>
      <c r="T991" s="855">
        <f t="shared" si="240"/>
        <v>0</v>
      </c>
      <c r="U991" s="62">
        <f t="shared" si="241"/>
        <v>0</v>
      </c>
      <c r="V991" s="172">
        <f>VLOOKUP(E991,Modificaciones!$B$7:$AU$819,46,0)</f>
        <v>0</v>
      </c>
      <c r="W991" s="93">
        <f t="shared" si="242"/>
        <v>0</v>
      </c>
      <c r="X991" s="1041"/>
      <c r="Y991" s="852" t="e">
        <f t="shared" si="243"/>
        <v>#DIV/0!</v>
      </c>
      <c r="Z991" s="42" t="e">
        <f t="shared" ca="1" si="244"/>
        <v>#DIV/0!</v>
      </c>
      <c r="AA991" s="43" t="e">
        <f t="shared" ca="1" si="245"/>
        <v>#DIV/0!</v>
      </c>
      <c r="AB991" s="202" t="e">
        <f t="shared" ca="1" si="246"/>
        <v>#DIV/0!</v>
      </c>
      <c r="AC991" s="44" t="e">
        <f t="shared" si="247"/>
        <v>#DIV/0!</v>
      </c>
      <c r="AD991" s="868"/>
      <c r="AE991" s="871"/>
      <c r="AF991" s="871"/>
      <c r="AG991" s="868"/>
      <c r="AH991" s="868"/>
      <c r="AI991" s="868"/>
      <c r="AJ991" s="868"/>
      <c r="AK991" s="181" t="str">
        <f t="shared" ca="1" si="248"/>
        <v>TERMINO</v>
      </c>
      <c r="AL991" s="441"/>
      <c r="AM991" s="433"/>
      <c r="AN991" s="848" t="str">
        <f>IFERROR(VLOOKUP(E991,'liquidaciones '!$B$2:$C$1048576,2,0),"NO")</f>
        <v>NO</v>
      </c>
      <c r="AO991" s="944" t="str">
        <f>IFERROR(VLOOKUP(E991,'liquidaciones '!$B$2:$I$1048576,8,0),"")</f>
        <v/>
      </c>
      <c r="AP991" s="433"/>
      <c r="AQ991" s="433"/>
      <c r="AR991" s="1069"/>
      <c r="AS991" s="1042"/>
      <c r="AT991" s="964"/>
      <c r="AU991" s="964"/>
      <c r="AV991" s="964"/>
    </row>
    <row r="992" spans="3:48" x14ac:dyDescent="0.25">
      <c r="C992" s="867"/>
      <c r="E992" s="868"/>
      <c r="F992" s="441"/>
      <c r="G992" s="868"/>
      <c r="H992" s="1005"/>
      <c r="I992" s="93"/>
      <c r="J992" s="869"/>
      <c r="K992" s="295"/>
      <c r="L992" s="546"/>
      <c r="M992" s="870"/>
      <c r="N992" s="870"/>
      <c r="O992" s="127">
        <f>COUNTA(Modificaciones!I992,Modificaciones!K992,Modificaciones!M992,Modificaciones!O992)</f>
        <v>0</v>
      </c>
      <c r="P992" s="128">
        <f>VLOOKUP(E992,Modificaciones!$B$7:$Q$1819,16,0)</f>
        <v>0</v>
      </c>
      <c r="Q992" s="129">
        <f>COUNTA(Modificaciones!S992,Modificaciones!U992,Modificaciones!W992,Modificaciones!Y992)</f>
        <v>0</v>
      </c>
      <c r="R992" s="130" t="str">
        <f>IF(Modificaciones!Z992=0,"",VLOOKUP(E992,Modificaciones!$B$7:$AA$1419,25,0))</f>
        <v/>
      </c>
      <c r="S992" s="131" t="str">
        <f>IF(Modificaciones!AA968=0,"",VLOOKUP(#REF!,Modificaciones!$B$7:$AA$1419,26,0))</f>
        <v/>
      </c>
      <c r="T992" s="855">
        <f t="shared" si="240"/>
        <v>0</v>
      </c>
      <c r="U992" s="62">
        <f t="shared" si="241"/>
        <v>0</v>
      </c>
      <c r="V992" s="172">
        <f>VLOOKUP(E992,Modificaciones!$B$7:$AU$819,46,0)</f>
        <v>0</v>
      </c>
      <c r="W992" s="93">
        <f t="shared" si="242"/>
        <v>0</v>
      </c>
      <c r="X992" s="1041"/>
      <c r="Y992" s="852" t="e">
        <f t="shared" si="243"/>
        <v>#DIV/0!</v>
      </c>
      <c r="Z992" s="42" t="e">
        <f t="shared" ca="1" si="244"/>
        <v>#DIV/0!</v>
      </c>
      <c r="AA992" s="43" t="e">
        <f t="shared" ca="1" si="245"/>
        <v>#DIV/0!</v>
      </c>
      <c r="AB992" s="202" t="e">
        <f t="shared" ca="1" si="246"/>
        <v>#DIV/0!</v>
      </c>
      <c r="AC992" s="44" t="e">
        <f t="shared" si="247"/>
        <v>#DIV/0!</v>
      </c>
      <c r="AD992" s="868"/>
      <c r="AE992" s="871"/>
      <c r="AF992" s="871"/>
      <c r="AG992" s="868"/>
      <c r="AH992" s="868"/>
      <c r="AI992" s="868"/>
      <c r="AJ992" s="868"/>
      <c r="AK992" s="181" t="str">
        <f t="shared" ca="1" si="248"/>
        <v>TERMINO</v>
      </c>
      <c r="AL992" s="441"/>
      <c r="AM992" s="433"/>
      <c r="AN992" s="848" t="str">
        <f>IFERROR(VLOOKUP(E992,'liquidaciones '!$B$2:$C$1048576,2,0),"NO")</f>
        <v>NO</v>
      </c>
      <c r="AO992" s="944" t="str">
        <f>IFERROR(VLOOKUP(E992,'liquidaciones '!$B$2:$I$1048576,8,0),"")</f>
        <v/>
      </c>
      <c r="AP992" s="433"/>
      <c r="AQ992" s="433"/>
      <c r="AR992" s="1069"/>
      <c r="AS992" s="1042"/>
      <c r="AT992" s="964"/>
      <c r="AU992" s="964"/>
      <c r="AV992" s="964"/>
    </row>
    <row r="993" spans="3:48" x14ac:dyDescent="0.25">
      <c r="C993" s="867"/>
      <c r="E993" s="868"/>
      <c r="F993" s="441"/>
      <c r="G993" s="868"/>
      <c r="H993" s="1005"/>
      <c r="I993" s="93"/>
      <c r="J993" s="869"/>
      <c r="K993" s="295"/>
      <c r="L993" s="546"/>
      <c r="M993" s="870"/>
      <c r="N993" s="870"/>
      <c r="O993" s="127">
        <f>COUNTA(Modificaciones!I993,Modificaciones!K993,Modificaciones!M993,Modificaciones!O993)</f>
        <v>0</v>
      </c>
      <c r="P993" s="128">
        <f>VLOOKUP(E993,Modificaciones!$B$7:$Q$1819,16,0)</f>
        <v>0</v>
      </c>
      <c r="Q993" s="129">
        <f>COUNTA(Modificaciones!S993,Modificaciones!U993,Modificaciones!W993,Modificaciones!Y993)</f>
        <v>0</v>
      </c>
      <c r="R993" s="130" t="str">
        <f>IF(Modificaciones!Z993=0,"",VLOOKUP(E993,Modificaciones!$B$7:$AA$1419,25,0))</f>
        <v/>
      </c>
      <c r="S993" s="131" t="str">
        <f>IF(Modificaciones!AA969=0,"",VLOOKUP(#REF!,Modificaciones!$B$7:$AA$1419,26,0))</f>
        <v/>
      </c>
      <c r="T993" s="855">
        <f t="shared" si="240"/>
        <v>0</v>
      </c>
      <c r="U993" s="62">
        <f t="shared" si="241"/>
        <v>0</v>
      </c>
      <c r="V993" s="172">
        <f>VLOOKUP(E993,Modificaciones!$B$7:$AU$819,46,0)</f>
        <v>0</v>
      </c>
      <c r="W993" s="93">
        <f t="shared" si="242"/>
        <v>0</v>
      </c>
      <c r="X993" s="1041"/>
      <c r="Y993" s="852" t="e">
        <f t="shared" si="243"/>
        <v>#DIV/0!</v>
      </c>
      <c r="Z993" s="42" t="e">
        <f t="shared" ca="1" si="244"/>
        <v>#DIV/0!</v>
      </c>
      <c r="AA993" s="43" t="e">
        <f t="shared" ca="1" si="245"/>
        <v>#DIV/0!</v>
      </c>
      <c r="AB993" s="202" t="e">
        <f t="shared" ca="1" si="246"/>
        <v>#DIV/0!</v>
      </c>
      <c r="AC993" s="44" t="e">
        <f t="shared" si="247"/>
        <v>#DIV/0!</v>
      </c>
      <c r="AD993" s="868"/>
      <c r="AE993" s="871"/>
      <c r="AF993" s="871"/>
      <c r="AG993" s="868"/>
      <c r="AH993" s="868"/>
      <c r="AI993" s="868"/>
      <c r="AJ993" s="868"/>
      <c r="AK993" s="181" t="str">
        <f t="shared" ca="1" si="248"/>
        <v>TERMINO</v>
      </c>
      <c r="AL993" s="441"/>
      <c r="AM993" s="433"/>
      <c r="AN993" s="848" t="str">
        <f>IFERROR(VLOOKUP(E993,'liquidaciones '!$B$2:$C$1048576,2,0),"NO")</f>
        <v>NO</v>
      </c>
      <c r="AO993" s="944" t="str">
        <f>IFERROR(VLOOKUP(E993,'liquidaciones '!$B$2:$I$1048576,8,0),"")</f>
        <v/>
      </c>
      <c r="AP993" s="433"/>
      <c r="AQ993" s="433"/>
      <c r="AR993" s="1069"/>
      <c r="AS993" s="1042"/>
      <c r="AT993" s="964"/>
      <c r="AU993" s="964"/>
      <c r="AV993" s="964"/>
    </row>
    <row r="994" spans="3:48" x14ac:dyDescent="0.25">
      <c r="C994" s="867"/>
      <c r="E994" s="868"/>
      <c r="F994" s="441"/>
      <c r="G994" s="868"/>
      <c r="H994" s="1005"/>
      <c r="I994" s="93"/>
      <c r="J994" s="869"/>
      <c r="K994" s="295"/>
      <c r="L994" s="546"/>
      <c r="M994" s="870"/>
      <c r="N994" s="870"/>
      <c r="O994" s="127">
        <f>COUNTA(Modificaciones!I994,Modificaciones!K994,Modificaciones!M994,Modificaciones!O994)</f>
        <v>0</v>
      </c>
      <c r="P994" s="128">
        <f>VLOOKUP(E994,Modificaciones!$B$7:$Q$1819,16,0)</f>
        <v>0</v>
      </c>
      <c r="Q994" s="129">
        <f>COUNTA(Modificaciones!S994,Modificaciones!U994,Modificaciones!W994,Modificaciones!Y994)</f>
        <v>0</v>
      </c>
      <c r="R994" s="130" t="str">
        <f>IF(Modificaciones!Z994=0,"",VLOOKUP(E994,Modificaciones!$B$7:$AA$1419,25,0))</f>
        <v/>
      </c>
      <c r="S994" s="131" t="str">
        <f>IF(Modificaciones!AA970=0,"",VLOOKUP(#REF!,Modificaciones!$B$7:$AA$1419,26,0))</f>
        <v/>
      </c>
      <c r="T994" s="855">
        <f t="shared" si="240"/>
        <v>0</v>
      </c>
      <c r="U994" s="62">
        <f t="shared" si="241"/>
        <v>0</v>
      </c>
      <c r="V994" s="172">
        <f>VLOOKUP(E994,Modificaciones!$B$7:$AU$819,46,0)</f>
        <v>0</v>
      </c>
      <c r="W994" s="93">
        <f t="shared" si="242"/>
        <v>0</v>
      </c>
      <c r="X994" s="1041"/>
      <c r="Y994" s="852" t="e">
        <f t="shared" si="243"/>
        <v>#DIV/0!</v>
      </c>
      <c r="Z994" s="42" t="e">
        <f t="shared" ca="1" si="244"/>
        <v>#DIV/0!</v>
      </c>
      <c r="AA994" s="43" t="e">
        <f t="shared" ca="1" si="245"/>
        <v>#DIV/0!</v>
      </c>
      <c r="AB994" s="202" t="e">
        <f t="shared" ca="1" si="246"/>
        <v>#DIV/0!</v>
      </c>
      <c r="AC994" s="44" t="e">
        <f t="shared" si="247"/>
        <v>#DIV/0!</v>
      </c>
      <c r="AD994" s="868"/>
      <c r="AE994" s="871"/>
      <c r="AF994" s="871"/>
      <c r="AG994" s="868"/>
      <c r="AH994" s="868"/>
      <c r="AI994" s="868"/>
      <c r="AJ994" s="868"/>
      <c r="AK994" s="181" t="str">
        <f t="shared" ca="1" si="248"/>
        <v>TERMINO</v>
      </c>
      <c r="AL994" s="441"/>
      <c r="AM994" s="433"/>
      <c r="AN994" s="848" t="str">
        <f>IFERROR(VLOOKUP(E994,'liquidaciones '!$B$2:$C$1048576,2,0),"NO")</f>
        <v>NO</v>
      </c>
      <c r="AO994" s="944" t="str">
        <f>IFERROR(VLOOKUP(E994,'liquidaciones '!$B$2:$I$1048576,8,0),"")</f>
        <v/>
      </c>
      <c r="AP994" s="433"/>
      <c r="AQ994" s="433"/>
      <c r="AR994" s="1069"/>
      <c r="AS994" s="1042"/>
      <c r="AT994" s="964"/>
      <c r="AU994" s="964"/>
      <c r="AV994" s="964"/>
    </row>
    <row r="995" spans="3:48" x14ac:dyDescent="0.25">
      <c r="C995" s="867"/>
      <c r="E995" s="868"/>
      <c r="F995" s="441"/>
      <c r="G995" s="868"/>
      <c r="H995" s="1005"/>
      <c r="I995" s="93"/>
      <c r="J995" s="869"/>
      <c r="K995" s="295"/>
      <c r="L995" s="546"/>
      <c r="M995" s="870"/>
      <c r="N995" s="870"/>
      <c r="O995" s="127">
        <f>COUNTA(Modificaciones!I995,Modificaciones!K995,Modificaciones!M995,Modificaciones!O995)</f>
        <v>0</v>
      </c>
      <c r="P995" s="128">
        <f>VLOOKUP(E995,Modificaciones!$B$7:$Q$1819,16,0)</f>
        <v>0</v>
      </c>
      <c r="Q995" s="129">
        <f>COUNTA(Modificaciones!S995,Modificaciones!U995,Modificaciones!W995,Modificaciones!Y995)</f>
        <v>0</v>
      </c>
      <c r="R995" s="130" t="str">
        <f>IF(Modificaciones!Z995=0,"",VLOOKUP(E995,Modificaciones!$B$7:$AA$1419,25,0))</f>
        <v/>
      </c>
      <c r="S995" s="131" t="str">
        <f>IF(Modificaciones!AA971=0,"",VLOOKUP(#REF!,Modificaciones!$B$7:$AA$1419,26,0))</f>
        <v/>
      </c>
      <c r="T995" s="855">
        <f t="shared" si="240"/>
        <v>0</v>
      </c>
      <c r="U995" s="62">
        <f t="shared" si="241"/>
        <v>0</v>
      </c>
      <c r="V995" s="172">
        <f>VLOOKUP(E995,Modificaciones!$B$7:$AU$819,46,0)</f>
        <v>0</v>
      </c>
      <c r="W995" s="93">
        <f t="shared" si="242"/>
        <v>0</v>
      </c>
      <c r="X995" s="1041"/>
      <c r="Y995" s="852" t="e">
        <f t="shared" si="243"/>
        <v>#DIV/0!</v>
      </c>
      <c r="Z995" s="42" t="e">
        <f t="shared" ca="1" si="244"/>
        <v>#DIV/0!</v>
      </c>
      <c r="AA995" s="43" t="e">
        <f t="shared" ca="1" si="245"/>
        <v>#DIV/0!</v>
      </c>
      <c r="AB995" s="202" t="e">
        <f t="shared" ca="1" si="246"/>
        <v>#DIV/0!</v>
      </c>
      <c r="AC995" s="44" t="e">
        <f t="shared" si="247"/>
        <v>#DIV/0!</v>
      </c>
      <c r="AD995" s="868"/>
      <c r="AE995" s="871"/>
      <c r="AF995" s="871"/>
      <c r="AG995" s="868"/>
      <c r="AH995" s="868"/>
      <c r="AI995" s="868"/>
      <c r="AJ995" s="868"/>
      <c r="AK995" s="181" t="str">
        <f t="shared" ca="1" si="248"/>
        <v>TERMINO</v>
      </c>
      <c r="AL995" s="441"/>
      <c r="AM995" s="433"/>
      <c r="AN995" s="848" t="str">
        <f>IFERROR(VLOOKUP(E995,'liquidaciones '!$B$2:$C$1048576,2,0),"NO")</f>
        <v>NO</v>
      </c>
      <c r="AO995" s="944" t="str">
        <f>IFERROR(VLOOKUP(E995,'liquidaciones '!$B$2:$I$1048576,8,0),"")</f>
        <v/>
      </c>
      <c r="AP995" s="433"/>
      <c r="AQ995" s="433"/>
      <c r="AR995" s="1069"/>
      <c r="AS995" s="1042"/>
      <c r="AT995" s="964"/>
      <c r="AU995" s="964"/>
      <c r="AV995" s="964"/>
    </row>
    <row r="996" spans="3:48" x14ac:dyDescent="0.25">
      <c r="C996" s="867"/>
      <c r="E996" s="868"/>
      <c r="F996" s="441"/>
      <c r="G996" s="868"/>
      <c r="H996" s="1005"/>
      <c r="I996" s="93"/>
      <c r="J996" s="869"/>
      <c r="K996" s="295"/>
      <c r="L996" s="546"/>
      <c r="M996" s="870"/>
      <c r="N996" s="870"/>
      <c r="O996" s="127">
        <f>COUNTA(Modificaciones!I996,Modificaciones!K996,Modificaciones!M996,Modificaciones!O996)</f>
        <v>0</v>
      </c>
      <c r="P996" s="128">
        <f>VLOOKUP(E996,Modificaciones!$B$7:$Q$1819,16,0)</f>
        <v>0</v>
      </c>
      <c r="Q996" s="129">
        <f>COUNTA(Modificaciones!S996,Modificaciones!U996,Modificaciones!W996,Modificaciones!Y996)</f>
        <v>0</v>
      </c>
      <c r="R996" s="130" t="str">
        <f>IF(Modificaciones!Z996=0,"",VLOOKUP(E996,Modificaciones!$B$7:$AA$1419,25,0))</f>
        <v/>
      </c>
      <c r="S996" s="131" t="str">
        <f>IF(Modificaciones!AA972=0,"",VLOOKUP(#REF!,Modificaciones!$B$7:$AA$1419,26,0))</f>
        <v/>
      </c>
      <c r="T996" s="855">
        <f t="shared" si="240"/>
        <v>0</v>
      </c>
      <c r="U996" s="62">
        <f t="shared" si="241"/>
        <v>0</v>
      </c>
      <c r="V996" s="172">
        <f>VLOOKUP(E996,Modificaciones!$B$7:$AU$819,46,0)</f>
        <v>0</v>
      </c>
      <c r="W996" s="93">
        <f t="shared" si="242"/>
        <v>0</v>
      </c>
      <c r="X996" s="1041"/>
      <c r="Y996" s="852" t="e">
        <f t="shared" si="243"/>
        <v>#DIV/0!</v>
      </c>
      <c r="Z996" s="42" t="e">
        <f t="shared" ca="1" si="244"/>
        <v>#DIV/0!</v>
      </c>
      <c r="AA996" s="43" t="e">
        <f t="shared" ca="1" si="245"/>
        <v>#DIV/0!</v>
      </c>
      <c r="AB996" s="202" t="e">
        <f t="shared" ca="1" si="246"/>
        <v>#DIV/0!</v>
      </c>
      <c r="AC996" s="44" t="e">
        <f t="shared" si="247"/>
        <v>#DIV/0!</v>
      </c>
      <c r="AD996" s="868"/>
      <c r="AE996" s="871"/>
      <c r="AF996" s="871"/>
      <c r="AG996" s="868"/>
      <c r="AH996" s="868"/>
      <c r="AI996" s="868"/>
      <c r="AJ996" s="868"/>
      <c r="AK996" s="181" t="str">
        <f t="shared" ca="1" si="248"/>
        <v>TERMINO</v>
      </c>
      <c r="AL996" s="441"/>
      <c r="AM996" s="433"/>
      <c r="AN996" s="848" t="str">
        <f>IFERROR(VLOOKUP(E996,'liquidaciones '!$B$2:$C$1048576,2,0),"NO")</f>
        <v>NO</v>
      </c>
      <c r="AO996" s="944" t="str">
        <f>IFERROR(VLOOKUP(E996,'liquidaciones '!$B$2:$I$1048576,8,0),"")</f>
        <v/>
      </c>
      <c r="AP996" s="433"/>
      <c r="AQ996" s="433"/>
      <c r="AR996" s="1069"/>
      <c r="AS996" s="1042"/>
      <c r="AT996" s="964"/>
      <c r="AU996" s="964"/>
      <c r="AV996" s="964"/>
    </row>
    <row r="997" spans="3:48" x14ac:dyDescent="0.25">
      <c r="C997" s="867"/>
      <c r="E997" s="868"/>
      <c r="F997" s="441"/>
      <c r="G997" s="868"/>
      <c r="H997" s="1005"/>
      <c r="I997" s="93"/>
      <c r="J997" s="869"/>
      <c r="K997" s="295"/>
      <c r="L997" s="546"/>
      <c r="M997" s="870"/>
      <c r="N997" s="870"/>
      <c r="O997" s="127">
        <f>COUNTA(Modificaciones!I997,Modificaciones!K997,Modificaciones!M997,Modificaciones!O997)</f>
        <v>0</v>
      </c>
      <c r="P997" s="128">
        <f>VLOOKUP(E997,Modificaciones!$B$7:$Q$1819,16,0)</f>
        <v>0</v>
      </c>
      <c r="Q997" s="129">
        <f>COUNTA(Modificaciones!S997,Modificaciones!U997,Modificaciones!W997,Modificaciones!Y997)</f>
        <v>0</v>
      </c>
      <c r="R997" s="130" t="str">
        <f>IF(Modificaciones!Z997=0,"",VLOOKUP(E997,Modificaciones!$B$7:$AA$1419,25,0))</f>
        <v/>
      </c>
      <c r="S997" s="131" t="str">
        <f>IF(Modificaciones!AA973=0,"",VLOOKUP(#REF!,Modificaciones!$B$7:$AA$1419,26,0))</f>
        <v/>
      </c>
      <c r="T997" s="855">
        <f t="shared" si="240"/>
        <v>0</v>
      </c>
      <c r="U997" s="62">
        <f t="shared" si="241"/>
        <v>0</v>
      </c>
      <c r="V997" s="172">
        <f>VLOOKUP(E997,Modificaciones!$B$7:$AU$819,46,0)</f>
        <v>0</v>
      </c>
      <c r="W997" s="93">
        <f t="shared" si="242"/>
        <v>0</v>
      </c>
      <c r="X997" s="1041"/>
      <c r="Y997" s="852" t="e">
        <f t="shared" si="243"/>
        <v>#DIV/0!</v>
      </c>
      <c r="Z997" s="42" t="e">
        <f t="shared" ca="1" si="244"/>
        <v>#DIV/0!</v>
      </c>
      <c r="AA997" s="43" t="e">
        <f t="shared" ca="1" si="245"/>
        <v>#DIV/0!</v>
      </c>
      <c r="AB997" s="202" t="e">
        <f t="shared" ca="1" si="246"/>
        <v>#DIV/0!</v>
      </c>
      <c r="AC997" s="44" t="e">
        <f t="shared" si="247"/>
        <v>#DIV/0!</v>
      </c>
      <c r="AD997" s="868"/>
      <c r="AE997" s="871"/>
      <c r="AF997" s="871"/>
      <c r="AG997" s="868"/>
      <c r="AH997" s="868"/>
      <c r="AI997" s="868"/>
      <c r="AJ997" s="868"/>
      <c r="AK997" s="181" t="str">
        <f t="shared" ca="1" si="248"/>
        <v>TERMINO</v>
      </c>
      <c r="AL997" s="441"/>
      <c r="AM997" s="433"/>
      <c r="AN997" s="848" t="str">
        <f>IFERROR(VLOOKUP(E997,'liquidaciones '!$B$2:$C$1048576,2,0),"NO")</f>
        <v>NO</v>
      </c>
      <c r="AO997" s="944" t="str">
        <f>IFERROR(VLOOKUP(E997,'liquidaciones '!$B$2:$I$1048576,8,0),"")</f>
        <v/>
      </c>
      <c r="AP997" s="433"/>
      <c r="AQ997" s="433"/>
      <c r="AR997" s="1069"/>
      <c r="AS997" s="1042"/>
      <c r="AT997" s="964"/>
      <c r="AU997" s="964"/>
      <c r="AV997" s="964"/>
    </row>
    <row r="998" spans="3:48" x14ac:dyDescent="0.25">
      <c r="C998" s="867"/>
      <c r="E998" s="868"/>
      <c r="F998" s="441"/>
      <c r="G998" s="868"/>
      <c r="H998" s="1005"/>
      <c r="I998" s="93"/>
      <c r="J998" s="869"/>
      <c r="K998" s="295"/>
      <c r="L998" s="546"/>
      <c r="M998" s="870"/>
      <c r="N998" s="870"/>
      <c r="O998" s="127">
        <f>COUNTA(Modificaciones!I998,Modificaciones!K998,Modificaciones!M998,Modificaciones!O998)</f>
        <v>0</v>
      </c>
      <c r="P998" s="128">
        <f>VLOOKUP(E998,Modificaciones!$B$7:$Q$1819,16,0)</f>
        <v>0</v>
      </c>
      <c r="Q998" s="129">
        <f>COUNTA(Modificaciones!S998,Modificaciones!U998,Modificaciones!W998,Modificaciones!Y998)</f>
        <v>0</v>
      </c>
      <c r="R998" s="130" t="str">
        <f>IF(Modificaciones!Z998=0,"",VLOOKUP(E998,Modificaciones!$B$7:$AA$1419,25,0))</f>
        <v/>
      </c>
      <c r="S998" s="131" t="str">
        <f>IF(Modificaciones!AA974=0,"",VLOOKUP(#REF!,Modificaciones!$B$7:$AA$1419,26,0))</f>
        <v/>
      </c>
      <c r="T998" s="855">
        <f t="shared" si="240"/>
        <v>0</v>
      </c>
      <c r="U998" s="62">
        <f t="shared" si="241"/>
        <v>0</v>
      </c>
      <c r="V998" s="172">
        <f>VLOOKUP(E998,Modificaciones!$B$7:$AU$819,46,0)</f>
        <v>0</v>
      </c>
      <c r="W998" s="93">
        <f t="shared" si="242"/>
        <v>0</v>
      </c>
      <c r="X998" s="1041"/>
      <c r="Y998" s="852" t="e">
        <f t="shared" si="243"/>
        <v>#DIV/0!</v>
      </c>
      <c r="Z998" s="42" t="e">
        <f t="shared" ca="1" si="244"/>
        <v>#DIV/0!</v>
      </c>
      <c r="AA998" s="43" t="e">
        <f t="shared" ca="1" si="245"/>
        <v>#DIV/0!</v>
      </c>
      <c r="AB998" s="202" t="e">
        <f t="shared" ca="1" si="246"/>
        <v>#DIV/0!</v>
      </c>
      <c r="AC998" s="44" t="e">
        <f t="shared" si="247"/>
        <v>#DIV/0!</v>
      </c>
      <c r="AD998" s="868"/>
      <c r="AE998" s="871"/>
      <c r="AF998" s="871"/>
      <c r="AG998" s="868"/>
      <c r="AH998" s="868"/>
      <c r="AI998" s="868"/>
      <c r="AJ998" s="868"/>
      <c r="AK998" s="181" t="str">
        <f t="shared" ca="1" si="248"/>
        <v>TERMINO</v>
      </c>
      <c r="AL998" s="441"/>
      <c r="AM998" s="433"/>
      <c r="AN998" s="848" t="str">
        <f>IFERROR(VLOOKUP(E998,'liquidaciones '!$B$2:$C$1048576,2,0),"NO")</f>
        <v>NO</v>
      </c>
      <c r="AO998" s="944" t="str">
        <f>IFERROR(VLOOKUP(E998,'liquidaciones '!$B$2:$I$1048576,8,0),"")</f>
        <v/>
      </c>
      <c r="AP998" s="433"/>
      <c r="AQ998" s="433"/>
      <c r="AR998" s="1069"/>
      <c r="AS998" s="1042"/>
      <c r="AT998" s="964"/>
      <c r="AU998" s="964"/>
      <c r="AV998" s="964"/>
    </row>
    <row r="999" spans="3:48" x14ac:dyDescent="0.25">
      <c r="C999" s="867"/>
      <c r="E999" s="868"/>
      <c r="F999" s="441"/>
      <c r="G999" s="868"/>
      <c r="H999" s="1005"/>
      <c r="I999" s="93"/>
      <c r="J999" s="869"/>
      <c r="K999" s="295"/>
      <c r="L999" s="546"/>
      <c r="M999" s="870"/>
      <c r="N999" s="870"/>
      <c r="O999" s="127">
        <f>COUNTA(Modificaciones!I999,Modificaciones!K999,Modificaciones!M999,Modificaciones!O999)</f>
        <v>0</v>
      </c>
      <c r="P999" s="128">
        <f>VLOOKUP(E999,Modificaciones!$B$7:$Q$1819,16,0)</f>
        <v>0</v>
      </c>
      <c r="Q999" s="129">
        <f>COUNTA(Modificaciones!S999,Modificaciones!U999,Modificaciones!W999,Modificaciones!Y999)</f>
        <v>0</v>
      </c>
      <c r="R999" s="130" t="str">
        <f>IF(Modificaciones!Z999=0,"",VLOOKUP(E999,Modificaciones!$B$7:$AA$1419,25,0))</f>
        <v/>
      </c>
      <c r="S999" s="131" t="str">
        <f>IF(Modificaciones!AA975=0,"",VLOOKUP(#REF!,Modificaciones!$B$7:$AA$1419,26,0))</f>
        <v/>
      </c>
      <c r="T999" s="855">
        <f t="shared" si="240"/>
        <v>0</v>
      </c>
      <c r="U999" s="62">
        <f t="shared" si="241"/>
        <v>0</v>
      </c>
      <c r="V999" s="172">
        <f>VLOOKUP(E999,Modificaciones!$B$7:$AU$819,46,0)</f>
        <v>0</v>
      </c>
      <c r="W999" s="93">
        <f t="shared" si="242"/>
        <v>0</v>
      </c>
      <c r="X999" s="1041"/>
      <c r="Y999" s="852" t="e">
        <f t="shared" si="243"/>
        <v>#DIV/0!</v>
      </c>
      <c r="Z999" s="42" t="e">
        <f t="shared" ca="1" si="244"/>
        <v>#DIV/0!</v>
      </c>
      <c r="AA999" s="43" t="e">
        <f t="shared" ca="1" si="245"/>
        <v>#DIV/0!</v>
      </c>
      <c r="AB999" s="202" t="e">
        <f t="shared" ca="1" si="246"/>
        <v>#DIV/0!</v>
      </c>
      <c r="AC999" s="44" t="e">
        <f t="shared" si="247"/>
        <v>#DIV/0!</v>
      </c>
      <c r="AD999" s="868"/>
      <c r="AE999" s="871"/>
      <c r="AF999" s="871"/>
      <c r="AG999" s="868"/>
      <c r="AH999" s="868"/>
      <c r="AI999" s="868"/>
      <c r="AJ999" s="868"/>
      <c r="AK999" s="181" t="str">
        <f t="shared" ca="1" si="248"/>
        <v>TERMINO</v>
      </c>
      <c r="AL999" s="441"/>
      <c r="AM999" s="433"/>
      <c r="AN999" s="848" t="str">
        <f>IFERROR(VLOOKUP(E999,'liquidaciones '!$B$2:$C$1048576,2,0),"NO")</f>
        <v>NO</v>
      </c>
      <c r="AO999" s="944" t="str">
        <f>IFERROR(VLOOKUP(E999,'liquidaciones '!$B$2:$I$1048576,8,0),"")</f>
        <v/>
      </c>
      <c r="AP999" s="433"/>
      <c r="AQ999" s="433"/>
      <c r="AR999" s="1069"/>
      <c r="AS999" s="1042"/>
      <c r="AT999" s="964"/>
      <c r="AU999" s="964"/>
      <c r="AV999" s="964"/>
    </row>
    <row r="1000" spans="3:48" x14ac:dyDescent="0.25">
      <c r="C1000" s="867"/>
      <c r="E1000" s="868"/>
      <c r="F1000" s="441"/>
      <c r="G1000" s="868"/>
      <c r="H1000" s="1005"/>
      <c r="I1000" s="93"/>
      <c r="J1000" s="869"/>
      <c r="K1000" s="295"/>
      <c r="L1000" s="546"/>
      <c r="M1000" s="870"/>
      <c r="N1000" s="870"/>
      <c r="O1000" s="127">
        <f>COUNTA(Modificaciones!I1000,Modificaciones!K1000,Modificaciones!M1000,Modificaciones!O1000)</f>
        <v>0</v>
      </c>
      <c r="P1000" s="128">
        <f>VLOOKUP(E1000,Modificaciones!$B$7:$Q$1819,16,0)</f>
        <v>0</v>
      </c>
      <c r="Q1000" s="129">
        <f>COUNTA(Modificaciones!S1000,Modificaciones!U1000,Modificaciones!W1000,Modificaciones!Y1000)</f>
        <v>0</v>
      </c>
      <c r="R1000" s="130" t="str">
        <f>IF(Modificaciones!Z1000=0,"",VLOOKUP(E1000,Modificaciones!$B$7:$AA$1419,25,0))</f>
        <v/>
      </c>
      <c r="S1000" s="131" t="str">
        <f>IF(Modificaciones!AA976=0,"",VLOOKUP(#REF!,Modificaciones!$B$7:$AA$1419,26,0))</f>
        <v/>
      </c>
      <c r="T1000" s="855">
        <f t="shared" si="240"/>
        <v>0</v>
      </c>
      <c r="U1000" s="62">
        <f t="shared" si="241"/>
        <v>0</v>
      </c>
      <c r="V1000" s="172">
        <f>VLOOKUP(E1000,Modificaciones!$B$7:$AU$819,46,0)</f>
        <v>0</v>
      </c>
      <c r="W1000" s="93">
        <f t="shared" si="242"/>
        <v>0</v>
      </c>
      <c r="X1000" s="1041"/>
      <c r="Y1000" s="852" t="e">
        <f t="shared" si="243"/>
        <v>#DIV/0!</v>
      </c>
      <c r="Z1000" s="42" t="e">
        <f t="shared" ca="1" si="244"/>
        <v>#DIV/0!</v>
      </c>
      <c r="AA1000" s="43" t="e">
        <f t="shared" ca="1" si="245"/>
        <v>#DIV/0!</v>
      </c>
      <c r="AB1000" s="202" t="e">
        <f t="shared" ca="1" si="246"/>
        <v>#DIV/0!</v>
      </c>
      <c r="AC1000" s="44" t="e">
        <f t="shared" si="247"/>
        <v>#DIV/0!</v>
      </c>
      <c r="AD1000" s="868"/>
      <c r="AE1000" s="871"/>
      <c r="AF1000" s="871"/>
      <c r="AG1000" s="868"/>
      <c r="AH1000" s="868"/>
      <c r="AI1000" s="868"/>
      <c r="AJ1000" s="868"/>
      <c r="AK1000" s="181" t="str">
        <f t="shared" ca="1" si="248"/>
        <v>TERMINO</v>
      </c>
      <c r="AL1000" s="441"/>
      <c r="AM1000" s="433"/>
      <c r="AN1000" s="848" t="str">
        <f>IFERROR(VLOOKUP(E1000,'liquidaciones '!$B$2:$C$1048576,2,0),"NO")</f>
        <v>NO</v>
      </c>
      <c r="AO1000" s="944" t="str">
        <f>IFERROR(VLOOKUP(E1000,'liquidaciones '!$B$2:$I$1048576,8,0),"")</f>
        <v/>
      </c>
      <c r="AP1000" s="433"/>
      <c r="AQ1000" s="433"/>
      <c r="AR1000" s="1069"/>
      <c r="AS1000" s="1042"/>
      <c r="AT1000" s="964"/>
      <c r="AU1000" s="964"/>
      <c r="AV1000" s="964"/>
    </row>
    <row r="1004" spans="3:48" x14ac:dyDescent="0.25">
      <c r="U1004" s="1073"/>
      <c r="V1004" s="1073"/>
      <c r="W1004" s="1073"/>
    </row>
    <row r="1048321" spans="24:39" x14ac:dyDescent="0.25">
      <c r="AK1048321" s="895"/>
    </row>
    <row r="1048323" spans="24:39" x14ac:dyDescent="0.25">
      <c r="X1048323" s="309"/>
      <c r="AH1048323" s="281"/>
      <c r="AL1048323" s="310"/>
      <c r="AM1048323" s="176"/>
    </row>
  </sheetData>
  <sheetProtection autoFilter="0" pivotTables="0"/>
  <autoFilter ref="A6:BA1000"/>
  <sortState ref="E223:L230">
    <sortCondition ref="E223:E230"/>
  </sortState>
  <mergeCells count="5">
    <mergeCell ref="H2:Y2"/>
    <mergeCell ref="H3:Y3"/>
    <mergeCell ref="O5:S5"/>
    <mergeCell ref="AM2:AR4"/>
    <mergeCell ref="V5:AC5"/>
  </mergeCells>
  <conditionalFormatting sqref="Y7:Y410 Y421:Y422 Y437:Y456 Y458 Y461:Y600 Y757:Y794">
    <cfRule type="cellIs" dxfId="848" priority="861" operator="equal">
      <formula>$AX$7</formula>
    </cfRule>
    <cfRule type="cellIs" dxfId="847" priority="862" operator="equal">
      <formula>$AX$7</formula>
    </cfRule>
  </conditionalFormatting>
  <conditionalFormatting sqref="AC7:AD270 AC271:AC410 AC421:AC422 AC455:AC456 AC460:AC600 AC757:AC794">
    <cfRule type="cellIs" dxfId="846" priority="860" operator="equal">
      <formula>$AY$7</formula>
    </cfRule>
  </conditionalFormatting>
  <conditionalFormatting sqref="AB7:AB410 AB421:AB422">
    <cfRule type="iconSet" priority="995">
      <iconSet iconSet="3Symbols">
        <cfvo type="percent" val="0"/>
        <cfvo type="num" val="20"/>
        <cfvo type="num" val="60"/>
      </iconSet>
    </cfRule>
    <cfRule type="iconSet" priority="996">
      <iconSet iconSet="3Symbols">
        <cfvo type="percent" val="0"/>
        <cfvo type="percent" val="33"/>
        <cfvo type="percent" val="67"/>
      </iconSet>
    </cfRule>
  </conditionalFormatting>
  <conditionalFormatting sqref="Y411:Y420">
    <cfRule type="cellIs" dxfId="845" priority="844" operator="equal">
      <formula>$AX$7</formula>
    </cfRule>
    <cfRule type="cellIs" dxfId="844" priority="845" operator="equal">
      <formula>$AX$7</formula>
    </cfRule>
  </conditionalFormatting>
  <conditionalFormatting sqref="AC411:AC420">
    <cfRule type="cellIs" dxfId="843" priority="843" operator="equal">
      <formula>$AY$7</formula>
    </cfRule>
  </conditionalFormatting>
  <conditionalFormatting sqref="AB411:AB420">
    <cfRule type="iconSet" priority="846">
      <iconSet iconSet="3Symbols">
        <cfvo type="percent" val="0"/>
        <cfvo type="num" val="20"/>
        <cfvo type="num" val="60"/>
      </iconSet>
    </cfRule>
    <cfRule type="iconSet" priority="847">
      <iconSet iconSet="3Symbols">
        <cfvo type="percent" val="0"/>
        <cfvo type="percent" val="33"/>
        <cfvo type="percent" val="67"/>
      </iconSet>
    </cfRule>
  </conditionalFormatting>
  <conditionalFormatting sqref="Y425:Y426">
    <cfRule type="cellIs" dxfId="842" priority="835" operator="equal">
      <formula>$AX$7</formula>
    </cfRule>
    <cfRule type="cellIs" dxfId="841" priority="836" operator="equal">
      <formula>$AX$7</formula>
    </cfRule>
  </conditionalFormatting>
  <conditionalFormatting sqref="AC425:AC426">
    <cfRule type="cellIs" dxfId="840" priority="834" operator="equal">
      <formula>$AY$7</formula>
    </cfRule>
  </conditionalFormatting>
  <conditionalFormatting sqref="AB425:AB426">
    <cfRule type="iconSet" priority="837">
      <iconSet iconSet="3Symbols">
        <cfvo type="percent" val="0"/>
        <cfvo type="num" val="20"/>
        <cfvo type="num" val="60"/>
      </iconSet>
    </cfRule>
    <cfRule type="iconSet" priority="838">
      <iconSet iconSet="3Symbols">
        <cfvo type="percent" val="0"/>
        <cfvo type="percent" val="33"/>
        <cfvo type="percent" val="67"/>
      </iconSet>
    </cfRule>
  </conditionalFormatting>
  <conditionalFormatting sqref="Y423:Y424">
    <cfRule type="cellIs" dxfId="839" priority="824" operator="equal">
      <formula>$AX$7</formula>
    </cfRule>
    <cfRule type="cellIs" dxfId="838" priority="825" operator="equal">
      <formula>$AX$7</formula>
    </cfRule>
  </conditionalFormatting>
  <conditionalFormatting sqref="AC423:AC424">
    <cfRule type="cellIs" dxfId="837" priority="823" operator="equal">
      <formula>$AY$7</formula>
    </cfRule>
  </conditionalFormatting>
  <conditionalFormatting sqref="AB423:AB424">
    <cfRule type="iconSet" priority="826">
      <iconSet iconSet="3Symbols">
        <cfvo type="percent" val="0"/>
        <cfvo type="num" val="20"/>
        <cfvo type="num" val="60"/>
      </iconSet>
    </cfRule>
    <cfRule type="iconSet" priority="827">
      <iconSet iconSet="3Symbols">
        <cfvo type="percent" val="0"/>
        <cfvo type="percent" val="33"/>
        <cfvo type="percent" val="67"/>
      </iconSet>
    </cfRule>
  </conditionalFormatting>
  <conditionalFormatting sqref="Y429:Y430">
    <cfRule type="cellIs" dxfId="836" priority="815" operator="equal">
      <formula>$AX$7</formula>
    </cfRule>
    <cfRule type="cellIs" dxfId="835" priority="816" operator="equal">
      <formula>$AX$7</formula>
    </cfRule>
  </conditionalFormatting>
  <conditionalFormatting sqref="AC429:AC430">
    <cfRule type="cellIs" dxfId="834" priority="814" operator="equal">
      <formula>$AY$7</formula>
    </cfRule>
  </conditionalFormatting>
  <conditionalFormatting sqref="AB429:AB430">
    <cfRule type="iconSet" priority="817">
      <iconSet iconSet="3Symbols">
        <cfvo type="percent" val="0"/>
        <cfvo type="num" val="20"/>
        <cfvo type="num" val="60"/>
      </iconSet>
    </cfRule>
    <cfRule type="iconSet" priority="818">
      <iconSet iconSet="3Symbols">
        <cfvo type="percent" val="0"/>
        <cfvo type="percent" val="33"/>
        <cfvo type="percent" val="67"/>
      </iconSet>
    </cfRule>
  </conditionalFormatting>
  <conditionalFormatting sqref="Y427:Y428">
    <cfRule type="cellIs" dxfId="833" priority="804" operator="equal">
      <formula>$AX$7</formula>
    </cfRule>
    <cfRule type="cellIs" dxfId="832" priority="805" operator="equal">
      <formula>$AX$7</formula>
    </cfRule>
  </conditionalFormatting>
  <conditionalFormatting sqref="AC427:AC428">
    <cfRule type="cellIs" dxfId="831" priority="803" operator="equal">
      <formula>$AY$7</formula>
    </cfRule>
  </conditionalFormatting>
  <conditionalFormatting sqref="AB427:AB428">
    <cfRule type="iconSet" priority="806">
      <iconSet iconSet="3Symbols">
        <cfvo type="percent" val="0"/>
        <cfvo type="num" val="20"/>
        <cfvo type="num" val="60"/>
      </iconSet>
    </cfRule>
    <cfRule type="iconSet" priority="807">
      <iconSet iconSet="3Symbols">
        <cfvo type="percent" val="0"/>
        <cfvo type="percent" val="33"/>
        <cfvo type="percent" val="67"/>
      </iconSet>
    </cfRule>
  </conditionalFormatting>
  <conditionalFormatting sqref="Y433:Y434">
    <cfRule type="cellIs" dxfId="830" priority="795" operator="equal">
      <formula>$AX$7</formula>
    </cfRule>
    <cfRule type="cellIs" dxfId="829" priority="796" operator="equal">
      <formula>$AX$7</formula>
    </cfRule>
  </conditionalFormatting>
  <conditionalFormatting sqref="AC433:AC434">
    <cfRule type="cellIs" dxfId="828" priority="794" operator="equal">
      <formula>$AY$7</formula>
    </cfRule>
  </conditionalFormatting>
  <conditionalFormatting sqref="AB433:AB434">
    <cfRule type="iconSet" priority="797">
      <iconSet iconSet="3Symbols">
        <cfvo type="percent" val="0"/>
        <cfvo type="num" val="20"/>
        <cfvo type="num" val="60"/>
      </iconSet>
    </cfRule>
    <cfRule type="iconSet" priority="798">
      <iconSet iconSet="3Symbols">
        <cfvo type="percent" val="0"/>
        <cfvo type="percent" val="33"/>
        <cfvo type="percent" val="67"/>
      </iconSet>
    </cfRule>
  </conditionalFormatting>
  <conditionalFormatting sqref="Y431:Y432">
    <cfRule type="cellIs" dxfId="827" priority="784" operator="equal">
      <formula>$AX$7</formula>
    </cfRule>
    <cfRule type="cellIs" dxfId="826" priority="785" operator="equal">
      <formula>$AX$7</formula>
    </cfRule>
  </conditionalFormatting>
  <conditionalFormatting sqref="AC431:AC432">
    <cfRule type="cellIs" dxfId="825" priority="783" operator="equal">
      <formula>$AY$7</formula>
    </cfRule>
  </conditionalFormatting>
  <conditionalFormatting sqref="AB431:AB432">
    <cfRule type="iconSet" priority="786">
      <iconSet iconSet="3Symbols">
        <cfvo type="percent" val="0"/>
        <cfvo type="num" val="20"/>
        <cfvo type="num" val="60"/>
      </iconSet>
    </cfRule>
    <cfRule type="iconSet" priority="787">
      <iconSet iconSet="3Symbols">
        <cfvo type="percent" val="0"/>
        <cfvo type="percent" val="33"/>
        <cfvo type="percent" val="67"/>
      </iconSet>
    </cfRule>
  </conditionalFormatting>
  <conditionalFormatting sqref="Y435:Y436">
    <cfRule type="cellIs" dxfId="824" priority="775" operator="equal">
      <formula>$AX$7</formula>
    </cfRule>
    <cfRule type="cellIs" dxfId="823" priority="776" operator="equal">
      <formula>$AX$7</formula>
    </cfRule>
  </conditionalFormatting>
  <conditionalFormatting sqref="AC435:AC436">
    <cfRule type="cellIs" dxfId="822" priority="774" operator="equal">
      <formula>$AY$7</formula>
    </cfRule>
  </conditionalFormatting>
  <conditionalFormatting sqref="AB435:AB436">
    <cfRule type="iconSet" priority="777">
      <iconSet iconSet="3Symbols">
        <cfvo type="percent" val="0"/>
        <cfvo type="num" val="20"/>
        <cfvo type="num" val="60"/>
      </iconSet>
    </cfRule>
    <cfRule type="iconSet" priority="778">
      <iconSet iconSet="3Symbols">
        <cfvo type="percent" val="0"/>
        <cfvo type="percent" val="33"/>
        <cfvo type="percent" val="67"/>
      </iconSet>
    </cfRule>
  </conditionalFormatting>
  <conditionalFormatting sqref="AC439:AC440">
    <cfRule type="cellIs" dxfId="821" priority="763" operator="equal">
      <formula>$AY$7</formula>
    </cfRule>
  </conditionalFormatting>
  <conditionalFormatting sqref="AC437:AC438">
    <cfRule type="cellIs" dxfId="820" priority="752" operator="equal">
      <formula>$AY$7</formula>
    </cfRule>
  </conditionalFormatting>
  <conditionalFormatting sqref="AC441:AC442">
    <cfRule type="cellIs" dxfId="819" priority="743" operator="equal">
      <formula>$AY$7</formula>
    </cfRule>
  </conditionalFormatting>
  <conditionalFormatting sqref="AC445:AC446">
    <cfRule type="cellIs" dxfId="818" priority="732" operator="equal">
      <formula>$AY$7</formula>
    </cfRule>
  </conditionalFormatting>
  <conditionalFormatting sqref="AC443:AC444">
    <cfRule type="cellIs" dxfId="817" priority="721" operator="equal">
      <formula>$AY$7</formula>
    </cfRule>
  </conditionalFormatting>
  <conditionalFormatting sqref="AC447:AC448">
    <cfRule type="cellIs" dxfId="816" priority="712" operator="equal">
      <formula>$AY$7</formula>
    </cfRule>
  </conditionalFormatting>
  <conditionalFormatting sqref="AC451:AC452">
    <cfRule type="cellIs" dxfId="815" priority="701" operator="equal">
      <formula>$AY$7</formula>
    </cfRule>
  </conditionalFormatting>
  <conditionalFormatting sqref="AC449:AC450">
    <cfRule type="cellIs" dxfId="814" priority="690" operator="equal">
      <formula>$AY$7</formula>
    </cfRule>
  </conditionalFormatting>
  <conditionalFormatting sqref="AC453:AC454">
    <cfRule type="cellIs" dxfId="813" priority="681" operator="equal">
      <formula>$AY$7</formula>
    </cfRule>
  </conditionalFormatting>
  <conditionalFormatting sqref="AC458">
    <cfRule type="cellIs" dxfId="812" priority="670" operator="equal">
      <formula>$AY$7</formula>
    </cfRule>
  </conditionalFormatting>
  <conditionalFormatting sqref="Y457">
    <cfRule type="cellIs" dxfId="811" priority="649" operator="equal">
      <formula>$AX$7</formula>
    </cfRule>
    <cfRule type="cellIs" dxfId="810" priority="650" operator="equal">
      <formula>$AX$7</formula>
    </cfRule>
  </conditionalFormatting>
  <conditionalFormatting sqref="AC457">
    <cfRule type="cellIs" dxfId="809" priority="642" operator="equal">
      <formula>$AY$7</formula>
    </cfRule>
  </conditionalFormatting>
  <conditionalFormatting sqref="Y459">
    <cfRule type="cellIs" dxfId="808" priority="638" operator="equal">
      <formula>$AX$7</formula>
    </cfRule>
    <cfRule type="cellIs" dxfId="807" priority="639" operator="equal">
      <formula>$AX$7</formula>
    </cfRule>
  </conditionalFormatting>
  <conditionalFormatting sqref="AC459">
    <cfRule type="cellIs" dxfId="806" priority="633" operator="equal">
      <formula>$AY$7</formula>
    </cfRule>
  </conditionalFormatting>
  <conditionalFormatting sqref="Y460">
    <cfRule type="cellIs" dxfId="805" priority="629" operator="equal">
      <formula>$AX$7</formula>
    </cfRule>
    <cfRule type="cellIs" dxfId="804" priority="630" operator="equal">
      <formula>$AX$7</formula>
    </cfRule>
  </conditionalFormatting>
  <conditionalFormatting sqref="AN7:AO600 AN757:AO794">
    <cfRule type="cellIs" dxfId="803" priority="583" operator="equal">
      <formula>"NO"</formula>
    </cfRule>
    <cfRule type="cellIs" dxfId="802" priority="584" operator="equal">
      <formula>"NO"</formula>
    </cfRule>
    <cfRule type="cellIs" dxfId="801" priority="585" operator="equal">
      <formula>"NO"</formula>
    </cfRule>
    <cfRule type="cellIs" dxfId="800" priority="586" operator="equal">
      <formula>"SI"</formula>
    </cfRule>
  </conditionalFormatting>
  <conditionalFormatting sqref="AN7:AO600 AN757:AO794">
    <cfRule type="cellIs" dxfId="799" priority="582" operator="equal">
      <formula>"NO"</formula>
    </cfRule>
  </conditionalFormatting>
  <conditionalFormatting sqref="AN115:AO600 AN757:AO794">
    <cfRule type="containsText" dxfId="798" priority="575" operator="containsText" text="SI">
      <formula>NOT(ISERROR(SEARCH("SI",AN115)))</formula>
    </cfRule>
  </conditionalFormatting>
  <conditionalFormatting sqref="AN7:AO600 AN757:AO794">
    <cfRule type="cellIs" dxfId="797" priority="573" operator="equal">
      <formula>"SI"</formula>
    </cfRule>
  </conditionalFormatting>
  <conditionalFormatting sqref="E7:E430 E432:E600 E716:E755">
    <cfRule type="expression" dxfId="796" priority="562">
      <formula>AN7="DEVUELTO"</formula>
    </cfRule>
    <cfRule type="expression" dxfId="795" priority="563">
      <formula>AN7="LIQUIDADO"</formula>
    </cfRule>
    <cfRule type="expression" dxfId="794" priority="564">
      <formula>AN7="EN TRÁMITE"</formula>
    </cfRule>
    <cfRule type="expression" dxfId="793" priority="565">
      <formula>T7&gt;=$F$3</formula>
    </cfRule>
    <cfRule type="expression" dxfId="792" priority="566">
      <formula>AN7="NO"</formula>
    </cfRule>
  </conditionalFormatting>
  <conditionalFormatting sqref="Y601:Y645">
    <cfRule type="cellIs" dxfId="791" priority="550" operator="equal">
      <formula>$AX$7</formula>
    </cfRule>
    <cfRule type="cellIs" dxfId="790" priority="551" operator="equal">
      <formula>$AX$7</formula>
    </cfRule>
  </conditionalFormatting>
  <conditionalFormatting sqref="AC601:AC645">
    <cfRule type="cellIs" dxfId="789" priority="549" operator="equal">
      <formula>$AY$7</formula>
    </cfRule>
  </conditionalFormatting>
  <conditionalFormatting sqref="AB601:AB645">
    <cfRule type="iconSet" priority="543">
      <iconSet iconSet="3Symbols">
        <cfvo type="percent" val="0"/>
        <cfvo type="num" val="20"/>
        <cfvo type="num" val="60"/>
      </iconSet>
    </cfRule>
    <cfRule type="iconSet" priority="544">
      <iconSet iconSet="3Symbols">
        <cfvo type="percent" val="0"/>
        <cfvo type="percent" val="33"/>
        <cfvo type="percent" val="67"/>
      </iconSet>
    </cfRule>
  </conditionalFormatting>
  <conditionalFormatting sqref="AN601:AO645">
    <cfRule type="cellIs" dxfId="788" priority="539" operator="equal">
      <formula>"NO"</formula>
    </cfRule>
    <cfRule type="cellIs" dxfId="787" priority="540" operator="equal">
      <formula>"NO"</formula>
    </cfRule>
    <cfRule type="cellIs" dxfId="786" priority="541" operator="equal">
      <formula>"NO"</formula>
    </cfRule>
    <cfRule type="cellIs" dxfId="785" priority="542" operator="equal">
      <formula>"SI"</formula>
    </cfRule>
  </conditionalFormatting>
  <conditionalFormatting sqref="AN601:AO645">
    <cfRule type="cellIs" dxfId="784" priority="538" operator="equal">
      <formula>"NO"</formula>
    </cfRule>
  </conditionalFormatting>
  <conditionalFormatting sqref="AN601:AO645">
    <cfRule type="containsText" dxfId="783" priority="537" operator="containsText" text="SI">
      <formula>NOT(ISERROR(SEARCH("SI",AN601)))</formula>
    </cfRule>
  </conditionalFormatting>
  <conditionalFormatting sqref="AN601:AO645">
    <cfRule type="cellIs" dxfId="782" priority="536" operator="equal">
      <formula>"SI"</formula>
    </cfRule>
  </conditionalFormatting>
  <conditionalFormatting sqref="E601:E645">
    <cfRule type="expression" dxfId="781" priority="531">
      <formula>AN601="DEVUELTO"</formula>
    </cfRule>
    <cfRule type="expression" dxfId="780" priority="532">
      <formula>AN601="LIQUIDADO"</formula>
    </cfRule>
    <cfRule type="expression" dxfId="779" priority="533">
      <formula>AN601="EN TRÁMITE"</formula>
    </cfRule>
    <cfRule type="expression" dxfId="778" priority="534">
      <formula>T601&gt;=$F$3</formula>
    </cfRule>
    <cfRule type="expression" dxfId="777" priority="535">
      <formula>AN601="NO"</formula>
    </cfRule>
  </conditionalFormatting>
  <conditionalFormatting sqref="Y646:Y675">
    <cfRule type="cellIs" dxfId="776" priority="504" operator="equal">
      <formula>$AX$7</formula>
    </cfRule>
    <cfRule type="cellIs" dxfId="775" priority="505" operator="equal">
      <formula>$AX$7</formula>
    </cfRule>
  </conditionalFormatting>
  <conditionalFormatting sqref="AC646:AC675">
    <cfRule type="cellIs" dxfId="774" priority="503" operator="equal">
      <formula>$AY$7</formula>
    </cfRule>
  </conditionalFormatting>
  <conditionalFormatting sqref="AB646:AB675">
    <cfRule type="iconSet" priority="497">
      <iconSet iconSet="3Symbols">
        <cfvo type="percent" val="0"/>
        <cfvo type="num" val="20"/>
        <cfvo type="num" val="60"/>
      </iconSet>
    </cfRule>
    <cfRule type="iconSet" priority="498">
      <iconSet iconSet="3Symbols">
        <cfvo type="percent" val="0"/>
        <cfvo type="percent" val="33"/>
        <cfvo type="percent" val="67"/>
      </iconSet>
    </cfRule>
  </conditionalFormatting>
  <conditionalFormatting sqref="AN646:AO675">
    <cfRule type="cellIs" dxfId="773" priority="493" operator="equal">
      <formula>"NO"</formula>
    </cfRule>
    <cfRule type="cellIs" dxfId="772" priority="494" operator="equal">
      <formula>"NO"</formula>
    </cfRule>
    <cfRule type="cellIs" dxfId="771" priority="495" operator="equal">
      <formula>"NO"</formula>
    </cfRule>
    <cfRule type="cellIs" dxfId="770" priority="496" operator="equal">
      <formula>"SI"</formula>
    </cfRule>
  </conditionalFormatting>
  <conditionalFormatting sqref="AN646:AO675">
    <cfRule type="cellIs" dxfId="769" priority="492" operator="equal">
      <formula>"NO"</formula>
    </cfRule>
  </conditionalFormatting>
  <conditionalFormatting sqref="AN646:AO675">
    <cfRule type="containsText" dxfId="768" priority="491" operator="containsText" text="SI">
      <formula>NOT(ISERROR(SEARCH("SI",AN646)))</formula>
    </cfRule>
  </conditionalFormatting>
  <conditionalFormatting sqref="AN646:AO675">
    <cfRule type="cellIs" dxfId="767" priority="490" operator="equal">
      <formula>"SI"</formula>
    </cfRule>
  </conditionalFormatting>
  <conditionalFormatting sqref="E646:E675">
    <cfRule type="expression" dxfId="766" priority="485">
      <formula>AN646="DEVUELTO"</formula>
    </cfRule>
    <cfRule type="expression" dxfId="765" priority="486">
      <formula>AN646="LIQUIDADO"</formula>
    </cfRule>
    <cfRule type="expression" dxfId="764" priority="487">
      <formula>AN646="EN TRÁMITE"</formula>
    </cfRule>
    <cfRule type="expression" dxfId="763" priority="488">
      <formula>T646&gt;=$F$3</formula>
    </cfRule>
    <cfRule type="expression" dxfId="762" priority="489">
      <formula>AN646="NO"</formula>
    </cfRule>
  </conditionalFormatting>
  <conditionalFormatting sqref="Y676:Y683">
    <cfRule type="cellIs" dxfId="761" priority="457" operator="equal">
      <formula>$AX$7</formula>
    </cfRule>
    <cfRule type="cellIs" dxfId="760" priority="458" operator="equal">
      <formula>$AX$7</formula>
    </cfRule>
  </conditionalFormatting>
  <conditionalFormatting sqref="AC676:AC683">
    <cfRule type="cellIs" dxfId="759" priority="456" operator="equal">
      <formula>$AY$7</formula>
    </cfRule>
  </conditionalFormatting>
  <conditionalFormatting sqref="AB676:AB683">
    <cfRule type="iconSet" priority="450">
      <iconSet iconSet="3Symbols">
        <cfvo type="percent" val="0"/>
        <cfvo type="num" val="20"/>
        <cfvo type="num" val="60"/>
      </iconSet>
    </cfRule>
    <cfRule type="iconSet" priority="451">
      <iconSet iconSet="3Symbols">
        <cfvo type="percent" val="0"/>
        <cfvo type="percent" val="33"/>
        <cfvo type="percent" val="67"/>
      </iconSet>
    </cfRule>
  </conditionalFormatting>
  <conditionalFormatting sqref="AN676:AO683">
    <cfRule type="cellIs" dxfId="758" priority="446" operator="equal">
      <formula>"NO"</formula>
    </cfRule>
    <cfRule type="cellIs" dxfId="757" priority="447" operator="equal">
      <formula>"NO"</formula>
    </cfRule>
    <cfRule type="cellIs" dxfId="756" priority="448" operator="equal">
      <formula>"NO"</formula>
    </cfRule>
    <cfRule type="cellIs" dxfId="755" priority="449" operator="equal">
      <formula>"SI"</formula>
    </cfRule>
  </conditionalFormatting>
  <conditionalFormatting sqref="AN676:AO683">
    <cfRule type="cellIs" dxfId="754" priority="445" operator="equal">
      <formula>"NO"</formula>
    </cfRule>
  </conditionalFormatting>
  <conditionalFormatting sqref="AN676:AO683">
    <cfRule type="containsText" dxfId="753" priority="444" operator="containsText" text="SI">
      <formula>NOT(ISERROR(SEARCH("SI",AN676)))</formula>
    </cfRule>
  </conditionalFormatting>
  <conditionalFormatting sqref="AN676:AO683">
    <cfRule type="cellIs" dxfId="752" priority="443" operator="equal">
      <formula>"SI"</formula>
    </cfRule>
  </conditionalFormatting>
  <conditionalFormatting sqref="E676:E683">
    <cfRule type="expression" dxfId="751" priority="438">
      <formula>AN676="DEVUELTO"</formula>
    </cfRule>
    <cfRule type="expression" dxfId="750" priority="439">
      <formula>AN676="LIQUIDADO"</formula>
    </cfRule>
    <cfRule type="expression" dxfId="749" priority="440">
      <formula>AN676="EN TRÁMITE"</formula>
    </cfRule>
    <cfRule type="expression" dxfId="748" priority="441">
      <formula>T676&gt;=$F$3</formula>
    </cfRule>
    <cfRule type="expression" dxfId="747" priority="442">
      <formula>AN676="NO"</formula>
    </cfRule>
  </conditionalFormatting>
  <conditionalFormatting sqref="Y684:Y691">
    <cfRule type="cellIs" dxfId="746" priority="436" operator="equal">
      <formula>$AX$7</formula>
    </cfRule>
    <cfRule type="cellIs" dxfId="745" priority="437" operator="equal">
      <formula>$AX$7</formula>
    </cfRule>
  </conditionalFormatting>
  <conditionalFormatting sqref="AC684:AC691">
    <cfRule type="cellIs" dxfId="744" priority="435" operator="equal">
      <formula>$AY$7</formula>
    </cfRule>
  </conditionalFormatting>
  <conditionalFormatting sqref="AB684:AB691">
    <cfRule type="iconSet" priority="429">
      <iconSet iconSet="3Symbols">
        <cfvo type="percent" val="0"/>
        <cfvo type="num" val="20"/>
        <cfvo type="num" val="60"/>
      </iconSet>
    </cfRule>
    <cfRule type="iconSet" priority="430">
      <iconSet iconSet="3Symbols">
        <cfvo type="percent" val="0"/>
        <cfvo type="percent" val="33"/>
        <cfvo type="percent" val="67"/>
      </iconSet>
    </cfRule>
  </conditionalFormatting>
  <conditionalFormatting sqref="AN684:AO691">
    <cfRule type="cellIs" dxfId="743" priority="425" operator="equal">
      <formula>"NO"</formula>
    </cfRule>
    <cfRule type="cellIs" dxfId="742" priority="426" operator="equal">
      <formula>"NO"</formula>
    </cfRule>
    <cfRule type="cellIs" dxfId="741" priority="427" operator="equal">
      <formula>"NO"</formula>
    </cfRule>
    <cfRule type="cellIs" dxfId="740" priority="428" operator="equal">
      <formula>"SI"</formula>
    </cfRule>
  </conditionalFormatting>
  <conditionalFormatting sqref="AN684:AO691">
    <cfRule type="cellIs" dxfId="739" priority="424" operator="equal">
      <formula>"NO"</formula>
    </cfRule>
  </conditionalFormatting>
  <conditionalFormatting sqref="AN684:AO691">
    <cfRule type="containsText" dxfId="738" priority="423" operator="containsText" text="SI">
      <formula>NOT(ISERROR(SEARCH("SI",AN684)))</formula>
    </cfRule>
  </conditionalFormatting>
  <conditionalFormatting sqref="AN684:AO691">
    <cfRule type="cellIs" dxfId="737" priority="422" operator="equal">
      <formula>"SI"</formula>
    </cfRule>
  </conditionalFormatting>
  <conditionalFormatting sqref="E684:E688">
    <cfRule type="expression" dxfId="736" priority="417">
      <formula>AN684="DEVUELTO"</formula>
    </cfRule>
    <cfRule type="expression" dxfId="735" priority="418">
      <formula>AN684="LIQUIDADO"</formula>
    </cfRule>
    <cfRule type="expression" dxfId="734" priority="419">
      <formula>AN684="EN TRÁMITE"</formula>
    </cfRule>
    <cfRule type="expression" dxfId="733" priority="420">
      <formula>T684&gt;=$F$3</formula>
    </cfRule>
    <cfRule type="expression" dxfId="732" priority="421">
      <formula>AN684="NO"</formula>
    </cfRule>
  </conditionalFormatting>
  <conditionalFormatting sqref="Y692:Y699">
    <cfRule type="cellIs" dxfId="731" priority="403" operator="equal">
      <formula>$AX$7</formula>
    </cfRule>
    <cfRule type="cellIs" dxfId="730" priority="404" operator="equal">
      <formula>$AX$7</formula>
    </cfRule>
  </conditionalFormatting>
  <conditionalFormatting sqref="AC692:AC699">
    <cfRule type="cellIs" dxfId="729" priority="402" operator="equal">
      <formula>$AY$7</formula>
    </cfRule>
  </conditionalFormatting>
  <conditionalFormatting sqref="AB692:AB699">
    <cfRule type="iconSet" priority="396">
      <iconSet iconSet="3Symbols">
        <cfvo type="percent" val="0"/>
        <cfvo type="num" val="20"/>
        <cfvo type="num" val="60"/>
      </iconSet>
    </cfRule>
    <cfRule type="iconSet" priority="397">
      <iconSet iconSet="3Symbols">
        <cfvo type="percent" val="0"/>
        <cfvo type="percent" val="33"/>
        <cfvo type="percent" val="67"/>
      </iconSet>
    </cfRule>
  </conditionalFormatting>
  <conditionalFormatting sqref="AN692:AO699">
    <cfRule type="cellIs" dxfId="728" priority="392" operator="equal">
      <formula>"NO"</formula>
    </cfRule>
    <cfRule type="cellIs" dxfId="727" priority="393" operator="equal">
      <formula>"NO"</formula>
    </cfRule>
    <cfRule type="cellIs" dxfId="726" priority="394" operator="equal">
      <formula>"NO"</formula>
    </cfRule>
    <cfRule type="cellIs" dxfId="725" priority="395" operator="equal">
      <formula>"SI"</formula>
    </cfRule>
  </conditionalFormatting>
  <conditionalFormatting sqref="AN692:AO699">
    <cfRule type="cellIs" dxfId="724" priority="391" operator="equal">
      <formula>"NO"</formula>
    </cfRule>
  </conditionalFormatting>
  <conditionalFormatting sqref="AN692:AO699">
    <cfRule type="containsText" dxfId="723" priority="390" operator="containsText" text="SI">
      <formula>NOT(ISERROR(SEARCH("SI",AN692)))</formula>
    </cfRule>
  </conditionalFormatting>
  <conditionalFormatting sqref="AN692:AO699">
    <cfRule type="cellIs" dxfId="722" priority="389" operator="equal">
      <formula>"SI"</formula>
    </cfRule>
  </conditionalFormatting>
  <conditionalFormatting sqref="E692:E699">
    <cfRule type="expression" dxfId="721" priority="384">
      <formula>AN692="DEVUELTO"</formula>
    </cfRule>
    <cfRule type="expression" dxfId="720" priority="385">
      <formula>AN692="LIQUIDADO"</formula>
    </cfRule>
    <cfRule type="expression" dxfId="719" priority="386">
      <formula>AN692="EN TRÁMITE"</formula>
    </cfRule>
    <cfRule type="expression" dxfId="718" priority="387">
      <formula>T692&gt;=$F$3</formula>
    </cfRule>
    <cfRule type="expression" dxfId="717" priority="388">
      <formula>AN692="NO"</formula>
    </cfRule>
  </conditionalFormatting>
  <conditionalFormatting sqref="Y700:Y707">
    <cfRule type="cellIs" dxfId="716" priority="382" operator="equal">
      <formula>$AX$7</formula>
    </cfRule>
    <cfRule type="cellIs" dxfId="715" priority="383" operator="equal">
      <formula>$AX$7</formula>
    </cfRule>
  </conditionalFormatting>
  <conditionalFormatting sqref="AC700:AC707">
    <cfRule type="cellIs" dxfId="714" priority="381" operator="equal">
      <formula>$AY$7</formula>
    </cfRule>
  </conditionalFormatting>
  <conditionalFormatting sqref="AB700:AB707">
    <cfRule type="iconSet" priority="375">
      <iconSet iconSet="3Symbols">
        <cfvo type="percent" val="0"/>
        <cfvo type="num" val="20"/>
        <cfvo type="num" val="60"/>
      </iconSet>
    </cfRule>
    <cfRule type="iconSet" priority="376">
      <iconSet iconSet="3Symbols">
        <cfvo type="percent" val="0"/>
        <cfvo type="percent" val="33"/>
        <cfvo type="percent" val="67"/>
      </iconSet>
    </cfRule>
  </conditionalFormatting>
  <conditionalFormatting sqref="AN700:AO707">
    <cfRule type="cellIs" dxfId="713" priority="371" operator="equal">
      <formula>"NO"</formula>
    </cfRule>
    <cfRule type="cellIs" dxfId="712" priority="372" operator="equal">
      <formula>"NO"</formula>
    </cfRule>
    <cfRule type="cellIs" dxfId="711" priority="373" operator="equal">
      <formula>"NO"</formula>
    </cfRule>
    <cfRule type="cellIs" dxfId="710" priority="374" operator="equal">
      <formula>"SI"</formula>
    </cfRule>
  </conditionalFormatting>
  <conditionalFormatting sqref="AN700:AO707">
    <cfRule type="cellIs" dxfId="709" priority="370" operator="equal">
      <formula>"NO"</formula>
    </cfRule>
  </conditionalFormatting>
  <conditionalFormatting sqref="AN700:AO707">
    <cfRule type="containsText" dxfId="708" priority="369" operator="containsText" text="SI">
      <formula>NOT(ISERROR(SEARCH("SI",AN700)))</formula>
    </cfRule>
  </conditionalFormatting>
  <conditionalFormatting sqref="AN700:AO707">
    <cfRule type="cellIs" dxfId="707" priority="368" operator="equal">
      <formula>"SI"</formula>
    </cfRule>
  </conditionalFormatting>
  <conditionalFormatting sqref="E700:E707">
    <cfRule type="expression" dxfId="706" priority="363">
      <formula>AN700="DEVUELTO"</formula>
    </cfRule>
    <cfRule type="expression" dxfId="705" priority="364">
      <formula>AN700="LIQUIDADO"</formula>
    </cfRule>
    <cfRule type="expression" dxfId="704" priority="365">
      <formula>AN700="EN TRÁMITE"</formula>
    </cfRule>
    <cfRule type="expression" dxfId="703" priority="366">
      <formula>T700&gt;=$F$3</formula>
    </cfRule>
    <cfRule type="expression" dxfId="702" priority="367">
      <formula>AN700="NO"</formula>
    </cfRule>
  </conditionalFormatting>
  <conditionalFormatting sqref="Y708:Y715">
    <cfRule type="cellIs" dxfId="701" priority="361" operator="equal">
      <formula>$AX$7</formula>
    </cfRule>
    <cfRule type="cellIs" dxfId="700" priority="362" operator="equal">
      <formula>$AX$7</formula>
    </cfRule>
  </conditionalFormatting>
  <conditionalFormatting sqref="AC708:AC715">
    <cfRule type="cellIs" dxfId="699" priority="360" operator="equal">
      <formula>$AY$7</formula>
    </cfRule>
  </conditionalFormatting>
  <conditionalFormatting sqref="AB708:AB715">
    <cfRule type="iconSet" priority="354">
      <iconSet iconSet="3Symbols">
        <cfvo type="percent" val="0"/>
        <cfvo type="num" val="20"/>
        <cfvo type="num" val="60"/>
      </iconSet>
    </cfRule>
    <cfRule type="iconSet" priority="355">
      <iconSet iconSet="3Symbols">
        <cfvo type="percent" val="0"/>
        <cfvo type="percent" val="33"/>
        <cfvo type="percent" val="67"/>
      </iconSet>
    </cfRule>
  </conditionalFormatting>
  <conditionalFormatting sqref="AN708:AO715">
    <cfRule type="cellIs" dxfId="698" priority="350" operator="equal">
      <formula>"NO"</formula>
    </cfRule>
    <cfRule type="cellIs" dxfId="697" priority="351" operator="equal">
      <formula>"NO"</formula>
    </cfRule>
    <cfRule type="cellIs" dxfId="696" priority="352" operator="equal">
      <formula>"NO"</formula>
    </cfRule>
    <cfRule type="cellIs" dxfId="695" priority="353" operator="equal">
      <formula>"SI"</formula>
    </cfRule>
  </conditionalFormatting>
  <conditionalFormatting sqref="AN708:AO715">
    <cfRule type="cellIs" dxfId="694" priority="349" operator="equal">
      <formula>"NO"</formula>
    </cfRule>
  </conditionalFormatting>
  <conditionalFormatting sqref="AN708:AO715">
    <cfRule type="containsText" dxfId="693" priority="348" operator="containsText" text="SI">
      <formula>NOT(ISERROR(SEARCH("SI",AN708)))</formula>
    </cfRule>
  </conditionalFormatting>
  <conditionalFormatting sqref="AN708:AO715">
    <cfRule type="cellIs" dxfId="692" priority="347" operator="equal">
      <formula>"SI"</formula>
    </cfRule>
  </conditionalFormatting>
  <conditionalFormatting sqref="E708:E715">
    <cfRule type="expression" dxfId="691" priority="342">
      <formula>AN708="DEVUELTO"</formula>
    </cfRule>
    <cfRule type="expression" dxfId="690" priority="343">
      <formula>AN708="LIQUIDADO"</formula>
    </cfRule>
    <cfRule type="expression" dxfId="689" priority="344">
      <formula>AN708="EN TRÁMITE"</formula>
    </cfRule>
    <cfRule type="expression" dxfId="688" priority="345">
      <formula>T708&gt;=$F$3</formula>
    </cfRule>
    <cfRule type="expression" dxfId="687" priority="346">
      <formula>AN708="NO"</formula>
    </cfRule>
  </conditionalFormatting>
  <conditionalFormatting sqref="E689:E691">
    <cfRule type="expression" dxfId="686" priority="335">
      <formula>AN689="DEVUELTO"</formula>
    </cfRule>
    <cfRule type="expression" dxfId="685" priority="336">
      <formula>AN689="LIQUIDADO"</formula>
    </cfRule>
    <cfRule type="expression" dxfId="684" priority="337">
      <formula>AN689="EN TRÁMITE"</formula>
    </cfRule>
    <cfRule type="expression" dxfId="683" priority="338">
      <formula>T689&gt;=$F$3</formula>
    </cfRule>
    <cfRule type="expression" dxfId="682" priority="339">
      <formula>AN689="NO"</formula>
    </cfRule>
  </conditionalFormatting>
  <conditionalFormatting sqref="Y716:Y756">
    <cfRule type="cellIs" dxfId="681" priority="325" operator="equal">
      <formula>$AX$7</formula>
    </cfRule>
    <cfRule type="cellIs" dxfId="680" priority="326" operator="equal">
      <formula>$AX$7</formula>
    </cfRule>
  </conditionalFormatting>
  <conditionalFormatting sqref="AC716:AC756">
    <cfRule type="cellIs" dxfId="679" priority="324" operator="equal">
      <formula>$AY$7</formula>
    </cfRule>
  </conditionalFormatting>
  <conditionalFormatting sqref="AN716:AO756">
    <cfRule type="cellIs" dxfId="678" priority="314" operator="equal">
      <formula>"NO"</formula>
    </cfRule>
    <cfRule type="cellIs" dxfId="677" priority="315" operator="equal">
      <formula>"NO"</formula>
    </cfRule>
    <cfRule type="cellIs" dxfId="676" priority="316" operator="equal">
      <formula>"NO"</formula>
    </cfRule>
    <cfRule type="cellIs" dxfId="675" priority="317" operator="equal">
      <formula>"SI"</formula>
    </cfRule>
  </conditionalFormatting>
  <conditionalFormatting sqref="AN716:AO756">
    <cfRule type="cellIs" dxfId="674" priority="313" operator="equal">
      <formula>"NO"</formula>
    </cfRule>
  </conditionalFormatting>
  <conditionalFormatting sqref="AN716:AO756">
    <cfRule type="containsText" dxfId="673" priority="312" operator="containsText" text="SI">
      <formula>NOT(ISERROR(SEARCH("SI",AN716)))</formula>
    </cfRule>
  </conditionalFormatting>
  <conditionalFormatting sqref="AN716:AO756">
    <cfRule type="cellIs" dxfId="672" priority="311" operator="equal">
      <formula>"SI"</formula>
    </cfRule>
  </conditionalFormatting>
  <conditionalFormatting sqref="E1001:E1048353">
    <cfRule type="expression" dxfId="671" priority="1010">
      <formula>AN1002="DEVUELTO"</formula>
    </cfRule>
    <cfRule type="expression" dxfId="670" priority="1011" stopIfTrue="1">
      <formula>AN1002="LIQUIDADO"</formula>
    </cfRule>
    <cfRule type="expression" dxfId="669" priority="1012">
      <formula>AN1002="EN TRÁMITE"</formula>
    </cfRule>
    <cfRule type="expression" dxfId="668" priority="1013">
      <formula>T1002&gt;=$F$3</formula>
    </cfRule>
    <cfRule type="expression" dxfId="667" priority="1014">
      <formula>AN1002="NO"</formula>
    </cfRule>
  </conditionalFormatting>
  <conditionalFormatting sqref="E1048354:E1048576">
    <cfRule type="expression" dxfId="666" priority="1044">
      <formula>AN1="DEVUELTO"</formula>
    </cfRule>
    <cfRule type="expression" dxfId="665" priority="1045" stopIfTrue="1">
      <formula>AN1="LIQUIDADO"</formula>
    </cfRule>
    <cfRule type="expression" dxfId="664" priority="1046">
      <formula>AN1="EN TRÁMITE"</formula>
    </cfRule>
    <cfRule type="expression" dxfId="663" priority="1047">
      <formula>T1&gt;=$F$3</formula>
    </cfRule>
    <cfRule type="expression" dxfId="662" priority="1048">
      <formula>AN1="NO"</formula>
    </cfRule>
  </conditionalFormatting>
  <conditionalFormatting sqref="E757:E766 E768:E794">
    <cfRule type="expression" dxfId="661" priority="250">
      <formula>AN757="DEVUELTO"</formula>
    </cfRule>
    <cfRule type="expression" dxfId="660" priority="251" stopIfTrue="1">
      <formula>AN757="LIQUIDADO"</formula>
    </cfRule>
    <cfRule type="expression" dxfId="659" priority="252">
      <formula>AN757="EN TRÁMITE"</formula>
    </cfRule>
    <cfRule type="expression" dxfId="658" priority="253">
      <formula>T757&gt;=$F$3</formula>
    </cfRule>
    <cfRule type="expression" dxfId="657" priority="254">
      <formula>AN757="NO"</formula>
    </cfRule>
  </conditionalFormatting>
  <conditionalFormatting sqref="AB716:AB756">
    <cfRule type="iconSet" priority="1064">
      <iconSet iconSet="3Symbols">
        <cfvo type="percent" val="0"/>
        <cfvo type="num" val="20"/>
        <cfvo type="num" val="60"/>
      </iconSet>
    </cfRule>
    <cfRule type="iconSet" priority="1065">
      <iconSet iconSet="3Symbols">
        <cfvo type="percent" val="0"/>
        <cfvo type="percent" val="33"/>
        <cfvo type="percent" val="67"/>
      </iconSet>
    </cfRule>
  </conditionalFormatting>
  <conditionalFormatting sqref="E756">
    <cfRule type="expression" dxfId="656" priority="245">
      <formula>AN756="DEVUELTO"</formula>
    </cfRule>
    <cfRule type="expression" dxfId="655" priority="246" stopIfTrue="1">
      <formula>AN756="LIQUIDADO"</formula>
    </cfRule>
    <cfRule type="expression" dxfId="654" priority="247">
      <formula>AN756="EN TRÁMITE"</formula>
    </cfRule>
    <cfRule type="expression" dxfId="653" priority="248">
      <formula>T756&gt;=$F$3</formula>
    </cfRule>
    <cfRule type="expression" dxfId="652" priority="249">
      <formula>AN756="NO"</formula>
    </cfRule>
  </conditionalFormatting>
  <conditionalFormatting sqref="AB437:AB600 AB757:AB794">
    <cfRule type="iconSet" priority="1074">
      <iconSet iconSet="3Symbols">
        <cfvo type="percent" val="0"/>
        <cfvo type="num" val="20"/>
        <cfvo type="num" val="60"/>
      </iconSet>
    </cfRule>
    <cfRule type="iconSet" priority="1075">
      <iconSet iconSet="3Symbols">
        <cfvo type="percent" val="0"/>
        <cfvo type="percent" val="33"/>
        <cfvo type="percent" val="67"/>
      </iconSet>
    </cfRule>
  </conditionalFormatting>
  <conditionalFormatting sqref="E767">
    <cfRule type="expression" dxfId="651" priority="236">
      <formula>AN767="DEVUELTO"</formula>
    </cfRule>
    <cfRule type="expression" dxfId="650" priority="237" stopIfTrue="1">
      <formula>AN767="LIQUIDADO"</formula>
    </cfRule>
    <cfRule type="expression" dxfId="649" priority="238">
      <formula>AN767="EN TRÁMITE"</formula>
    </cfRule>
    <cfRule type="expression" dxfId="648" priority="239">
      <formula>T767&gt;=$F$3</formula>
    </cfRule>
    <cfRule type="expression" dxfId="647" priority="240">
      <formula>AN767="NO"</formula>
    </cfRule>
  </conditionalFormatting>
  <conditionalFormatting sqref="Y795">
    <cfRule type="cellIs" dxfId="646" priority="226" operator="equal">
      <formula>$AX$7</formula>
    </cfRule>
    <cfRule type="cellIs" dxfId="645" priority="227" operator="equal">
      <formula>$AX$7</formula>
    </cfRule>
  </conditionalFormatting>
  <conditionalFormatting sqref="AC795">
    <cfRule type="cellIs" dxfId="644" priority="225" operator="equal">
      <formula>$AY$7</formula>
    </cfRule>
  </conditionalFormatting>
  <conditionalFormatting sqref="AN795:AO795">
    <cfRule type="cellIs" dxfId="643" priority="219" operator="equal">
      <formula>"NO"</formula>
    </cfRule>
    <cfRule type="cellIs" dxfId="642" priority="220" operator="equal">
      <formula>"NO"</formula>
    </cfRule>
    <cfRule type="cellIs" dxfId="641" priority="221" operator="equal">
      <formula>"NO"</formula>
    </cfRule>
    <cfRule type="cellIs" dxfId="640" priority="222" operator="equal">
      <formula>"SI"</formula>
    </cfRule>
  </conditionalFormatting>
  <conditionalFormatting sqref="AN795:AO795">
    <cfRule type="cellIs" dxfId="639" priority="218" operator="equal">
      <formula>"NO"</formula>
    </cfRule>
  </conditionalFormatting>
  <conditionalFormatting sqref="AN795:AO795">
    <cfRule type="containsText" dxfId="638" priority="217" operator="containsText" text="SI">
      <formula>NOT(ISERROR(SEARCH("SI",AN795)))</formula>
    </cfRule>
  </conditionalFormatting>
  <conditionalFormatting sqref="AN795:AO795">
    <cfRule type="cellIs" dxfId="637" priority="216" operator="equal">
      <formula>"SI"</formula>
    </cfRule>
  </conditionalFormatting>
  <conditionalFormatting sqref="E795">
    <cfRule type="expression" dxfId="636" priority="211">
      <formula>AN795="DEVUELTO"</formula>
    </cfRule>
    <cfRule type="expression" dxfId="635" priority="212" stopIfTrue="1">
      <formula>AN795="LIQUIDADO"</formula>
    </cfRule>
    <cfRule type="expression" dxfId="634" priority="213">
      <formula>AN795="EN TRÁMITE"</formula>
    </cfRule>
    <cfRule type="expression" dxfId="633" priority="214">
      <formula>T795&gt;=$F$3</formula>
    </cfRule>
    <cfRule type="expression" dxfId="632" priority="215">
      <formula>AN795="NO"</formula>
    </cfRule>
  </conditionalFormatting>
  <conditionalFormatting sqref="AB795">
    <cfRule type="iconSet" priority="228">
      <iconSet iconSet="3Symbols">
        <cfvo type="percent" val="0"/>
        <cfvo type="num" val="20"/>
        <cfvo type="num" val="60"/>
      </iconSet>
    </cfRule>
    <cfRule type="iconSet" priority="229">
      <iconSet iconSet="3Symbols">
        <cfvo type="percent" val="0"/>
        <cfvo type="percent" val="33"/>
        <cfvo type="percent" val="67"/>
      </iconSet>
    </cfRule>
  </conditionalFormatting>
  <conditionalFormatting sqref="Y796">
    <cfRule type="cellIs" dxfId="631" priority="205" operator="equal">
      <formula>$AX$7</formula>
    </cfRule>
    <cfRule type="cellIs" dxfId="630" priority="206" operator="equal">
      <formula>$AX$7</formula>
    </cfRule>
  </conditionalFormatting>
  <conditionalFormatting sqref="AC796">
    <cfRule type="cellIs" dxfId="629" priority="204" operator="equal">
      <formula>$AY$7</formula>
    </cfRule>
  </conditionalFormatting>
  <conditionalFormatting sqref="AN796:AO796">
    <cfRule type="cellIs" dxfId="628" priority="198" operator="equal">
      <formula>"NO"</formula>
    </cfRule>
    <cfRule type="cellIs" dxfId="627" priority="199" operator="equal">
      <formula>"NO"</formula>
    </cfRule>
    <cfRule type="cellIs" dxfId="626" priority="200" operator="equal">
      <formula>"NO"</formula>
    </cfRule>
    <cfRule type="cellIs" dxfId="625" priority="201" operator="equal">
      <formula>"SI"</formula>
    </cfRule>
  </conditionalFormatting>
  <conditionalFormatting sqref="AN796:AO796">
    <cfRule type="cellIs" dxfId="624" priority="197" operator="equal">
      <formula>"NO"</formula>
    </cfRule>
  </conditionalFormatting>
  <conditionalFormatting sqref="AN796:AO796">
    <cfRule type="containsText" dxfId="623" priority="196" operator="containsText" text="SI">
      <formula>NOT(ISERROR(SEARCH("SI",AN796)))</formula>
    </cfRule>
  </conditionalFormatting>
  <conditionalFormatting sqref="AN796:AO796">
    <cfRule type="cellIs" dxfId="622" priority="195" operator="equal">
      <formula>"SI"</formula>
    </cfRule>
  </conditionalFormatting>
  <conditionalFormatting sqref="E796">
    <cfRule type="expression" dxfId="621" priority="190">
      <formula>AN796="DEVUELTO"</formula>
    </cfRule>
    <cfRule type="expression" dxfId="620" priority="191" stopIfTrue="1">
      <formula>AN796="LIQUIDADO"</formula>
    </cfRule>
    <cfRule type="expression" dxfId="619" priority="192">
      <formula>AN796="EN TRÁMITE"</formula>
    </cfRule>
    <cfRule type="expression" dxfId="618" priority="193">
      <formula>T796&gt;=$F$3</formula>
    </cfRule>
    <cfRule type="expression" dxfId="617" priority="194">
      <formula>AN796="NO"</formula>
    </cfRule>
  </conditionalFormatting>
  <conditionalFormatting sqref="AB796">
    <cfRule type="iconSet" priority="207">
      <iconSet iconSet="3Symbols">
        <cfvo type="percent" val="0"/>
        <cfvo type="num" val="20"/>
        <cfvo type="num" val="60"/>
      </iconSet>
    </cfRule>
    <cfRule type="iconSet" priority="208">
      <iconSet iconSet="3Symbols">
        <cfvo type="percent" val="0"/>
        <cfvo type="percent" val="33"/>
        <cfvo type="percent" val="67"/>
      </iconSet>
    </cfRule>
  </conditionalFormatting>
  <conditionalFormatting sqref="Y797:Y799">
    <cfRule type="cellIs" dxfId="616" priority="184" operator="equal">
      <formula>$AX$7</formula>
    </cfRule>
    <cfRule type="cellIs" dxfId="615" priority="185" operator="equal">
      <formula>$AX$7</formula>
    </cfRule>
  </conditionalFormatting>
  <conditionalFormatting sqref="AC797:AC799">
    <cfRule type="cellIs" dxfId="614" priority="183" operator="equal">
      <formula>$AY$7</formula>
    </cfRule>
  </conditionalFormatting>
  <conditionalFormatting sqref="AN797:AO799">
    <cfRule type="cellIs" dxfId="613" priority="177" operator="equal">
      <formula>"NO"</formula>
    </cfRule>
    <cfRule type="cellIs" dxfId="612" priority="178" operator="equal">
      <formula>"NO"</formula>
    </cfRule>
    <cfRule type="cellIs" dxfId="611" priority="179" operator="equal">
      <formula>"NO"</formula>
    </cfRule>
    <cfRule type="cellIs" dxfId="610" priority="180" operator="equal">
      <formula>"SI"</formula>
    </cfRule>
  </conditionalFormatting>
  <conditionalFormatting sqref="AN797:AO799">
    <cfRule type="cellIs" dxfId="609" priority="176" operator="equal">
      <formula>"NO"</formula>
    </cfRule>
  </conditionalFormatting>
  <conditionalFormatting sqref="AN797:AO799">
    <cfRule type="containsText" dxfId="608" priority="175" operator="containsText" text="SI">
      <formula>NOT(ISERROR(SEARCH("SI",AN797)))</formula>
    </cfRule>
  </conditionalFormatting>
  <conditionalFormatting sqref="AN797:AO799">
    <cfRule type="cellIs" dxfId="607" priority="174" operator="equal">
      <formula>"SI"</formula>
    </cfRule>
  </conditionalFormatting>
  <conditionalFormatting sqref="E797:E799">
    <cfRule type="expression" dxfId="606" priority="169">
      <formula>AN797="DEVUELTO"</formula>
    </cfRule>
    <cfRule type="expression" dxfId="605" priority="170" stopIfTrue="1">
      <formula>AN797="LIQUIDADO"</formula>
    </cfRule>
    <cfRule type="expression" dxfId="604" priority="171">
      <formula>AN797="EN TRÁMITE"</formula>
    </cfRule>
    <cfRule type="expression" dxfId="603" priority="172">
      <formula>T797&gt;=$F$3</formula>
    </cfRule>
    <cfRule type="expression" dxfId="602" priority="173">
      <formula>AN797="NO"</formula>
    </cfRule>
  </conditionalFormatting>
  <conditionalFormatting sqref="AB797:AB799">
    <cfRule type="iconSet" priority="186">
      <iconSet iconSet="3Symbols">
        <cfvo type="percent" val="0"/>
        <cfvo type="num" val="20"/>
        <cfvo type="num" val="60"/>
      </iconSet>
    </cfRule>
    <cfRule type="iconSet" priority="187">
      <iconSet iconSet="3Symbols">
        <cfvo type="percent" val="0"/>
        <cfvo type="percent" val="33"/>
        <cfvo type="percent" val="67"/>
      </iconSet>
    </cfRule>
  </conditionalFormatting>
  <conditionalFormatting sqref="Y800:Y807">
    <cfRule type="cellIs" dxfId="601" priority="163" operator="equal">
      <formula>$AX$7</formula>
    </cfRule>
    <cfRule type="cellIs" dxfId="600" priority="164" operator="equal">
      <formula>$AX$7</formula>
    </cfRule>
  </conditionalFormatting>
  <conditionalFormatting sqref="AC800:AC807">
    <cfRule type="cellIs" dxfId="599" priority="162" operator="equal">
      <formula>$AY$7</formula>
    </cfRule>
  </conditionalFormatting>
  <conditionalFormatting sqref="AN800:AO807">
    <cfRule type="cellIs" dxfId="598" priority="156" operator="equal">
      <formula>"NO"</formula>
    </cfRule>
    <cfRule type="cellIs" dxfId="597" priority="157" operator="equal">
      <formula>"NO"</formula>
    </cfRule>
    <cfRule type="cellIs" dxfId="596" priority="158" operator="equal">
      <formula>"NO"</formula>
    </cfRule>
    <cfRule type="cellIs" dxfId="595" priority="159" operator="equal">
      <formula>"SI"</formula>
    </cfRule>
  </conditionalFormatting>
  <conditionalFormatting sqref="AN800:AO807">
    <cfRule type="cellIs" dxfId="594" priority="155" operator="equal">
      <formula>"NO"</formula>
    </cfRule>
  </conditionalFormatting>
  <conditionalFormatting sqref="AN800:AO807">
    <cfRule type="containsText" dxfId="593" priority="154" operator="containsText" text="SI">
      <formula>NOT(ISERROR(SEARCH("SI",AN800)))</formula>
    </cfRule>
  </conditionalFormatting>
  <conditionalFormatting sqref="AN800:AO807">
    <cfRule type="cellIs" dxfId="592" priority="153" operator="equal">
      <formula>"SI"</formula>
    </cfRule>
  </conditionalFormatting>
  <conditionalFormatting sqref="E800:E807">
    <cfRule type="expression" dxfId="591" priority="148">
      <formula>AN800="DEVUELTO"</formula>
    </cfRule>
    <cfRule type="expression" dxfId="590" priority="149" stopIfTrue="1">
      <formula>AN800="LIQUIDADO"</formula>
    </cfRule>
    <cfRule type="expression" dxfId="589" priority="150">
      <formula>AN800="EN TRÁMITE"</formula>
    </cfRule>
    <cfRule type="expression" dxfId="588" priority="151">
      <formula>T800&gt;=$F$3</formula>
    </cfRule>
    <cfRule type="expression" dxfId="587" priority="152">
      <formula>AN800="NO"</formula>
    </cfRule>
  </conditionalFormatting>
  <conditionalFormatting sqref="AB800:AB807">
    <cfRule type="iconSet" priority="165">
      <iconSet iconSet="3Symbols">
        <cfvo type="percent" val="0"/>
        <cfvo type="num" val="20"/>
        <cfvo type="num" val="60"/>
      </iconSet>
    </cfRule>
    <cfRule type="iconSet" priority="166">
      <iconSet iconSet="3Symbols">
        <cfvo type="percent" val="0"/>
        <cfvo type="percent" val="33"/>
        <cfvo type="percent" val="67"/>
      </iconSet>
    </cfRule>
  </conditionalFormatting>
  <conditionalFormatting sqref="Y808:Y822">
    <cfRule type="cellIs" dxfId="586" priority="142" operator="equal">
      <formula>$AX$7</formula>
    </cfRule>
    <cfRule type="cellIs" dxfId="585" priority="143" operator="equal">
      <formula>$AX$7</formula>
    </cfRule>
  </conditionalFormatting>
  <conditionalFormatting sqref="AC808:AC822">
    <cfRule type="cellIs" dxfId="584" priority="141" operator="equal">
      <formula>$AY$7</formula>
    </cfRule>
  </conditionalFormatting>
  <conditionalFormatting sqref="AN808:AO822">
    <cfRule type="cellIs" dxfId="583" priority="135" operator="equal">
      <formula>"NO"</formula>
    </cfRule>
    <cfRule type="cellIs" dxfId="582" priority="136" operator="equal">
      <formula>"NO"</formula>
    </cfRule>
    <cfRule type="cellIs" dxfId="581" priority="137" operator="equal">
      <formula>"NO"</formula>
    </cfRule>
    <cfRule type="cellIs" dxfId="580" priority="138" operator="equal">
      <formula>"SI"</formula>
    </cfRule>
  </conditionalFormatting>
  <conditionalFormatting sqref="AN808:AO822">
    <cfRule type="cellIs" dxfId="579" priority="134" operator="equal">
      <formula>"NO"</formula>
    </cfRule>
  </conditionalFormatting>
  <conditionalFormatting sqref="AN808:AO822">
    <cfRule type="containsText" dxfId="578" priority="133" operator="containsText" text="SI">
      <formula>NOT(ISERROR(SEARCH("SI",AN808)))</formula>
    </cfRule>
  </conditionalFormatting>
  <conditionalFormatting sqref="AN808:AO822">
    <cfRule type="cellIs" dxfId="577" priority="132" operator="equal">
      <formula>"SI"</formula>
    </cfRule>
  </conditionalFormatting>
  <conditionalFormatting sqref="E808:E822">
    <cfRule type="expression" dxfId="576" priority="127">
      <formula>AN808="DEVUELTO"</formula>
    </cfRule>
    <cfRule type="expression" dxfId="575" priority="128" stopIfTrue="1">
      <formula>AN808="LIQUIDADO"</formula>
    </cfRule>
    <cfRule type="expression" dxfId="574" priority="129">
      <formula>AN808="EN TRÁMITE"</formula>
    </cfRule>
    <cfRule type="expression" dxfId="573" priority="130">
      <formula>T808&gt;=$F$3</formula>
    </cfRule>
    <cfRule type="expression" dxfId="572" priority="131">
      <formula>AN808="NO"</formula>
    </cfRule>
  </conditionalFormatting>
  <conditionalFormatting sqref="AB808:AB822">
    <cfRule type="iconSet" priority="144">
      <iconSet iconSet="3Symbols">
        <cfvo type="percent" val="0"/>
        <cfvo type="num" val="20"/>
        <cfvo type="num" val="60"/>
      </iconSet>
    </cfRule>
    <cfRule type="iconSet" priority="145">
      <iconSet iconSet="3Symbols">
        <cfvo type="percent" val="0"/>
        <cfvo type="percent" val="33"/>
        <cfvo type="percent" val="67"/>
      </iconSet>
    </cfRule>
  </conditionalFormatting>
  <conditionalFormatting sqref="Y823:Y898">
    <cfRule type="cellIs" dxfId="571" priority="121" operator="equal">
      <formula>$AX$7</formula>
    </cfRule>
    <cfRule type="cellIs" dxfId="570" priority="122" operator="equal">
      <formula>$AX$7</formula>
    </cfRule>
  </conditionalFormatting>
  <conditionalFormatting sqref="AC823:AC898">
    <cfRule type="cellIs" dxfId="569" priority="120" operator="equal">
      <formula>$AY$7</formula>
    </cfRule>
  </conditionalFormatting>
  <conditionalFormatting sqref="AN823:AO898">
    <cfRule type="cellIs" dxfId="568" priority="114" operator="equal">
      <formula>"NO"</formula>
    </cfRule>
    <cfRule type="cellIs" dxfId="567" priority="115" operator="equal">
      <formula>"NO"</formula>
    </cfRule>
    <cfRule type="cellIs" dxfId="566" priority="116" operator="equal">
      <formula>"NO"</formula>
    </cfRule>
    <cfRule type="cellIs" dxfId="565" priority="117" operator="equal">
      <formula>"SI"</formula>
    </cfRule>
  </conditionalFormatting>
  <conditionalFormatting sqref="AN823:AO898">
    <cfRule type="cellIs" dxfId="564" priority="113" operator="equal">
      <formula>"NO"</formula>
    </cfRule>
  </conditionalFormatting>
  <conditionalFormatting sqref="AN823:AO898">
    <cfRule type="containsText" dxfId="563" priority="112" operator="containsText" text="SI">
      <formula>NOT(ISERROR(SEARCH("SI",AN823)))</formula>
    </cfRule>
  </conditionalFormatting>
  <conditionalFormatting sqref="AN823:AO898">
    <cfRule type="cellIs" dxfId="562" priority="111" operator="equal">
      <formula>"SI"</formula>
    </cfRule>
  </conditionalFormatting>
  <conditionalFormatting sqref="E823:E898">
    <cfRule type="expression" dxfId="561" priority="106">
      <formula>AN823="DEVUELTO"</formula>
    </cfRule>
    <cfRule type="expression" dxfId="560" priority="107" stopIfTrue="1">
      <formula>AN823="LIQUIDADO"</formula>
    </cfRule>
    <cfRule type="expression" dxfId="559" priority="108">
      <formula>AN823="EN TRÁMITE"</formula>
    </cfRule>
    <cfRule type="expression" dxfId="558" priority="109">
      <formula>T823&gt;=$F$3</formula>
    </cfRule>
    <cfRule type="expression" dxfId="557" priority="110">
      <formula>AN823="NO"</formula>
    </cfRule>
  </conditionalFormatting>
  <conditionalFormatting sqref="AB823:AB898">
    <cfRule type="iconSet" priority="123">
      <iconSet iconSet="3Symbols">
        <cfvo type="percent" val="0"/>
        <cfvo type="num" val="20"/>
        <cfvo type="num" val="60"/>
      </iconSet>
    </cfRule>
    <cfRule type="iconSet" priority="124">
      <iconSet iconSet="3Symbols">
        <cfvo type="percent" val="0"/>
        <cfvo type="percent" val="33"/>
        <cfvo type="percent" val="67"/>
      </iconSet>
    </cfRule>
  </conditionalFormatting>
  <conditionalFormatting sqref="Y899">
    <cfRule type="cellIs" dxfId="556" priority="100" operator="equal">
      <formula>$AX$7</formula>
    </cfRule>
    <cfRule type="cellIs" dxfId="555" priority="101" operator="equal">
      <formula>$AX$7</formula>
    </cfRule>
  </conditionalFormatting>
  <conditionalFormatting sqref="AC899">
    <cfRule type="cellIs" dxfId="554" priority="99" operator="equal">
      <formula>$AY$7</formula>
    </cfRule>
  </conditionalFormatting>
  <conditionalFormatting sqref="AN899:AO899">
    <cfRule type="cellIs" dxfId="553" priority="93" operator="equal">
      <formula>"NO"</formula>
    </cfRule>
    <cfRule type="cellIs" dxfId="552" priority="94" operator="equal">
      <formula>"NO"</formula>
    </cfRule>
    <cfRule type="cellIs" dxfId="551" priority="95" operator="equal">
      <formula>"NO"</formula>
    </cfRule>
    <cfRule type="cellIs" dxfId="550" priority="96" operator="equal">
      <formula>"SI"</formula>
    </cfRule>
  </conditionalFormatting>
  <conditionalFormatting sqref="AN899:AO899">
    <cfRule type="cellIs" dxfId="549" priority="92" operator="equal">
      <formula>"NO"</formula>
    </cfRule>
  </conditionalFormatting>
  <conditionalFormatting sqref="AN899:AO899">
    <cfRule type="containsText" dxfId="548" priority="91" operator="containsText" text="SI">
      <formula>NOT(ISERROR(SEARCH("SI",AN899)))</formula>
    </cfRule>
  </conditionalFormatting>
  <conditionalFormatting sqref="AN899:AO899">
    <cfRule type="cellIs" dxfId="547" priority="90" operator="equal">
      <formula>"SI"</formula>
    </cfRule>
  </conditionalFormatting>
  <conditionalFormatting sqref="E899">
    <cfRule type="expression" dxfId="546" priority="85">
      <formula>AN899="DEVUELTO"</formula>
    </cfRule>
    <cfRule type="expression" dxfId="545" priority="86" stopIfTrue="1">
      <formula>AN899="LIQUIDADO"</formula>
    </cfRule>
    <cfRule type="expression" dxfId="544" priority="87">
      <formula>AN899="EN TRÁMITE"</formula>
    </cfRule>
    <cfRule type="expression" dxfId="543" priority="88">
      <formula>T899&gt;=$F$3</formula>
    </cfRule>
    <cfRule type="expression" dxfId="542" priority="89">
      <formula>AN899="NO"</formula>
    </cfRule>
  </conditionalFormatting>
  <conditionalFormatting sqref="AB899">
    <cfRule type="iconSet" priority="102">
      <iconSet iconSet="3Symbols">
        <cfvo type="percent" val="0"/>
        <cfvo type="num" val="20"/>
        <cfvo type="num" val="60"/>
      </iconSet>
    </cfRule>
    <cfRule type="iconSet" priority="103">
      <iconSet iconSet="3Symbols">
        <cfvo type="percent" val="0"/>
        <cfvo type="percent" val="33"/>
        <cfvo type="percent" val="67"/>
      </iconSet>
    </cfRule>
  </conditionalFormatting>
  <conditionalFormatting sqref="Y900:Y918">
    <cfRule type="cellIs" dxfId="541" priority="79" operator="equal">
      <formula>$AX$7</formula>
    </cfRule>
    <cfRule type="cellIs" dxfId="540" priority="80" operator="equal">
      <formula>$AX$7</formula>
    </cfRule>
  </conditionalFormatting>
  <conditionalFormatting sqref="AC900:AC918">
    <cfRule type="cellIs" dxfId="539" priority="78" operator="equal">
      <formula>$AY$7</formula>
    </cfRule>
  </conditionalFormatting>
  <conditionalFormatting sqref="AN900:AO918">
    <cfRule type="cellIs" dxfId="538" priority="72" operator="equal">
      <formula>"NO"</formula>
    </cfRule>
    <cfRule type="cellIs" dxfId="537" priority="73" operator="equal">
      <formula>"NO"</formula>
    </cfRule>
    <cfRule type="cellIs" dxfId="536" priority="74" operator="equal">
      <formula>"NO"</formula>
    </cfRule>
    <cfRule type="cellIs" dxfId="535" priority="75" operator="equal">
      <formula>"SI"</formula>
    </cfRule>
  </conditionalFormatting>
  <conditionalFormatting sqref="AN900:AO918">
    <cfRule type="cellIs" dxfId="534" priority="71" operator="equal">
      <formula>"NO"</formula>
    </cfRule>
  </conditionalFormatting>
  <conditionalFormatting sqref="AN900:AO918">
    <cfRule type="containsText" dxfId="533" priority="70" operator="containsText" text="SI">
      <formula>NOT(ISERROR(SEARCH("SI",AN900)))</formula>
    </cfRule>
  </conditionalFormatting>
  <conditionalFormatting sqref="AN900:AO918">
    <cfRule type="cellIs" dxfId="532" priority="69" operator="equal">
      <formula>"SI"</formula>
    </cfRule>
  </conditionalFormatting>
  <conditionalFormatting sqref="E900:E918">
    <cfRule type="expression" dxfId="531" priority="64">
      <formula>AN900="DEVUELTO"</formula>
    </cfRule>
    <cfRule type="expression" dxfId="530" priority="65" stopIfTrue="1">
      <formula>AN900="LIQUIDADO"</formula>
    </cfRule>
    <cfRule type="expression" dxfId="529" priority="66">
      <formula>AN900="EN TRÁMITE"</formula>
    </cfRule>
    <cfRule type="expression" dxfId="528" priority="67">
      <formula>T900&gt;=$F$3</formula>
    </cfRule>
    <cfRule type="expression" dxfId="527" priority="68">
      <formula>AN900="NO"</formula>
    </cfRule>
  </conditionalFormatting>
  <conditionalFormatting sqref="AB900:AB918">
    <cfRule type="iconSet" priority="81">
      <iconSet iconSet="3Symbols">
        <cfvo type="percent" val="0"/>
        <cfvo type="num" val="20"/>
        <cfvo type="num" val="60"/>
      </iconSet>
    </cfRule>
    <cfRule type="iconSet" priority="82">
      <iconSet iconSet="3Symbols">
        <cfvo type="percent" val="0"/>
        <cfvo type="percent" val="33"/>
        <cfvo type="percent" val="67"/>
      </iconSet>
    </cfRule>
  </conditionalFormatting>
  <conditionalFormatting sqref="Y919:Y938">
    <cfRule type="cellIs" dxfId="526" priority="58" operator="equal">
      <formula>$AX$7</formula>
    </cfRule>
    <cfRule type="cellIs" dxfId="525" priority="59" operator="equal">
      <formula>$AX$7</formula>
    </cfRule>
  </conditionalFormatting>
  <conditionalFormatting sqref="AC919:AC938">
    <cfRule type="cellIs" dxfId="524" priority="57" operator="equal">
      <formula>$AY$7</formula>
    </cfRule>
  </conditionalFormatting>
  <conditionalFormatting sqref="AN919:AO938">
    <cfRule type="cellIs" dxfId="523" priority="51" operator="equal">
      <formula>"NO"</formula>
    </cfRule>
    <cfRule type="cellIs" dxfId="522" priority="52" operator="equal">
      <formula>"NO"</formula>
    </cfRule>
    <cfRule type="cellIs" dxfId="521" priority="53" operator="equal">
      <formula>"NO"</formula>
    </cfRule>
    <cfRule type="cellIs" dxfId="520" priority="54" operator="equal">
      <formula>"SI"</formula>
    </cfRule>
  </conditionalFormatting>
  <conditionalFormatting sqref="AN919:AO938">
    <cfRule type="cellIs" dxfId="519" priority="50" operator="equal">
      <formula>"NO"</formula>
    </cfRule>
  </conditionalFormatting>
  <conditionalFormatting sqref="AN919:AO938">
    <cfRule type="containsText" dxfId="518" priority="49" operator="containsText" text="SI">
      <formula>NOT(ISERROR(SEARCH("SI",AN919)))</formula>
    </cfRule>
  </conditionalFormatting>
  <conditionalFormatting sqref="AN919:AO938">
    <cfRule type="cellIs" dxfId="517" priority="48" operator="equal">
      <formula>"SI"</formula>
    </cfRule>
  </conditionalFormatting>
  <conditionalFormatting sqref="E919:E938">
    <cfRule type="expression" dxfId="516" priority="43">
      <formula>AN919="DEVUELTO"</formula>
    </cfRule>
    <cfRule type="expression" dxfId="515" priority="44" stopIfTrue="1">
      <formula>AN919="LIQUIDADO"</formula>
    </cfRule>
    <cfRule type="expression" dxfId="514" priority="45">
      <formula>AN919="EN TRÁMITE"</formula>
    </cfRule>
    <cfRule type="expression" dxfId="513" priority="46">
      <formula>T919&gt;=$F$3</formula>
    </cfRule>
    <cfRule type="expression" dxfId="512" priority="47">
      <formula>AN919="NO"</formula>
    </cfRule>
  </conditionalFormatting>
  <conditionalFormatting sqref="AB919:AB938">
    <cfRule type="iconSet" priority="60">
      <iconSet iconSet="3Symbols">
        <cfvo type="percent" val="0"/>
        <cfvo type="num" val="20"/>
        <cfvo type="num" val="60"/>
      </iconSet>
    </cfRule>
    <cfRule type="iconSet" priority="61">
      <iconSet iconSet="3Symbols">
        <cfvo type="percent" val="0"/>
        <cfvo type="percent" val="33"/>
        <cfvo type="percent" val="67"/>
      </iconSet>
    </cfRule>
  </conditionalFormatting>
  <conditionalFormatting sqref="Y939:Y969">
    <cfRule type="cellIs" dxfId="511" priority="37" operator="equal">
      <formula>$AX$7</formula>
    </cfRule>
    <cfRule type="cellIs" dxfId="510" priority="38" operator="equal">
      <formula>$AX$7</formula>
    </cfRule>
  </conditionalFormatting>
  <conditionalFormatting sqref="AC939:AC969">
    <cfRule type="cellIs" dxfId="509" priority="36" operator="equal">
      <formula>$AY$7</formula>
    </cfRule>
  </conditionalFormatting>
  <conditionalFormatting sqref="AN939:AO969">
    <cfRule type="cellIs" dxfId="508" priority="30" operator="equal">
      <formula>"NO"</formula>
    </cfRule>
    <cfRule type="cellIs" dxfId="507" priority="31" operator="equal">
      <formula>"NO"</formula>
    </cfRule>
    <cfRule type="cellIs" dxfId="506" priority="32" operator="equal">
      <formula>"NO"</formula>
    </cfRule>
    <cfRule type="cellIs" dxfId="505" priority="33" operator="equal">
      <formula>"SI"</formula>
    </cfRule>
  </conditionalFormatting>
  <conditionalFormatting sqref="AN939:AO969">
    <cfRule type="cellIs" dxfId="504" priority="29" operator="equal">
      <formula>"NO"</formula>
    </cfRule>
  </conditionalFormatting>
  <conditionalFormatting sqref="AN939:AO969">
    <cfRule type="containsText" dxfId="503" priority="28" operator="containsText" text="SI">
      <formula>NOT(ISERROR(SEARCH("SI",AN939)))</formula>
    </cfRule>
  </conditionalFormatting>
  <conditionalFormatting sqref="AN939:AO969">
    <cfRule type="cellIs" dxfId="502" priority="27" operator="equal">
      <formula>"SI"</formula>
    </cfRule>
  </conditionalFormatting>
  <conditionalFormatting sqref="E939:E969">
    <cfRule type="expression" dxfId="501" priority="22">
      <formula>AN939="DEVUELTO"</formula>
    </cfRule>
    <cfRule type="expression" dxfId="500" priority="23" stopIfTrue="1">
      <formula>AN939="LIQUIDADO"</formula>
    </cfRule>
    <cfRule type="expression" dxfId="499" priority="24">
      <formula>AN939="EN TRÁMITE"</formula>
    </cfRule>
    <cfRule type="expression" dxfId="498" priority="25">
      <formula>T939&gt;=$F$3</formula>
    </cfRule>
    <cfRule type="expression" dxfId="497" priority="26">
      <formula>AN939="NO"</formula>
    </cfRule>
  </conditionalFormatting>
  <conditionalFormatting sqref="AB939:AB969">
    <cfRule type="iconSet" priority="39">
      <iconSet iconSet="3Symbols">
        <cfvo type="percent" val="0"/>
        <cfvo type="num" val="20"/>
        <cfvo type="num" val="60"/>
      </iconSet>
    </cfRule>
    <cfRule type="iconSet" priority="40">
      <iconSet iconSet="3Symbols">
        <cfvo type="percent" val="0"/>
        <cfvo type="percent" val="33"/>
        <cfvo type="percent" val="67"/>
      </iconSet>
    </cfRule>
  </conditionalFormatting>
  <conditionalFormatting sqref="Y970:Y1000">
    <cfRule type="cellIs" dxfId="496" priority="16" operator="equal">
      <formula>$AX$7</formula>
    </cfRule>
    <cfRule type="cellIs" dxfId="495" priority="17" operator="equal">
      <formula>$AX$7</formula>
    </cfRule>
  </conditionalFormatting>
  <conditionalFormatting sqref="AC970:AC1000">
    <cfRule type="cellIs" dxfId="494" priority="15" operator="equal">
      <formula>$AY$7</formula>
    </cfRule>
  </conditionalFormatting>
  <conditionalFormatting sqref="AN970:AO1000">
    <cfRule type="cellIs" dxfId="493" priority="9" operator="equal">
      <formula>"NO"</formula>
    </cfRule>
    <cfRule type="cellIs" dxfId="492" priority="10" operator="equal">
      <formula>"NO"</formula>
    </cfRule>
    <cfRule type="cellIs" dxfId="491" priority="11" operator="equal">
      <formula>"NO"</formula>
    </cfRule>
    <cfRule type="cellIs" dxfId="490" priority="12" operator="equal">
      <formula>"SI"</formula>
    </cfRule>
  </conditionalFormatting>
  <conditionalFormatting sqref="AN970:AO1000">
    <cfRule type="cellIs" dxfId="489" priority="8" operator="equal">
      <formula>"NO"</formula>
    </cfRule>
  </conditionalFormatting>
  <conditionalFormatting sqref="AN970:AO1000">
    <cfRule type="containsText" dxfId="488" priority="7" operator="containsText" text="SI">
      <formula>NOT(ISERROR(SEARCH("SI",AN970)))</formula>
    </cfRule>
  </conditionalFormatting>
  <conditionalFormatting sqref="AN970:AO1000">
    <cfRule type="cellIs" dxfId="487" priority="6" operator="equal">
      <formula>"SI"</formula>
    </cfRule>
  </conditionalFormatting>
  <conditionalFormatting sqref="E970:E1000">
    <cfRule type="expression" dxfId="486" priority="1">
      <formula>AN970="DEVUELTO"</formula>
    </cfRule>
    <cfRule type="expression" dxfId="485" priority="2" stopIfTrue="1">
      <formula>AN970="LIQUIDADO"</formula>
    </cfRule>
    <cfRule type="expression" dxfId="484" priority="3">
      <formula>AN970="EN TRÁMITE"</formula>
    </cfRule>
    <cfRule type="expression" dxfId="483" priority="4">
      <formula>T970&gt;=$F$3</formula>
    </cfRule>
    <cfRule type="expression" dxfId="482" priority="5">
      <formula>AN970="NO"</formula>
    </cfRule>
  </conditionalFormatting>
  <conditionalFormatting sqref="AB970:AB1000">
    <cfRule type="iconSet" priority="18">
      <iconSet iconSet="3Symbols">
        <cfvo type="percent" val="0"/>
        <cfvo type="num" val="20"/>
        <cfvo type="num" val="60"/>
      </iconSet>
    </cfRule>
    <cfRule type="iconSet" priority="19">
      <iconSet iconSet="3Symbols">
        <cfvo type="percent" val="0"/>
        <cfvo type="percent" val="33"/>
        <cfvo type="percent" val="67"/>
      </iconSet>
    </cfRule>
  </conditionalFormatting>
  <dataValidations count="14">
    <dataValidation type="list" allowBlank="1" showInputMessage="1" showErrorMessage="1" sqref="AM7:AM22 AM542 AM536:AM537 AM24:AM481 AM492:AM493 AM495:AM496 AM498 AM504 AM506:AM507 AM1048323:AM1048576 AM509 AM511:AM515 AM517 AM519:AM520 AM523 AM526:AM527 AM529 AM531:AM533 AM551 AM555:AM556 AM560:AM561 AM570 AM577 AM602 AM605 AM607 AM613:AM614 AM618:AM621 AM629 AM632 AM639:AM640 AM648:AM649 AM651 AM653 AM658 AM660 AM667 AM669 AM671 AM675 AM680 AM682:AM683 AM687:AM691 AM698 AM711 AM736 AM739:AM740 AM744:AM746 AM748 AM761">
      <formula1>$AZ$7:$AZ$8</formula1>
    </dataValidation>
    <dataValidation allowBlank="1" showInputMessage="1" showErrorMessage="1" prompt="Corresponde al año de suscripción del contrato_x000a_" sqref="K6:L6"/>
    <dataValidation allowBlank="1" showInputMessage="1" showErrorMessage="1" prompt="Es la fecha de terminación estipulada en la acta de inicio_x000a_" sqref="N6"/>
    <dataValidation allowBlank="1" showInputMessage="1" showErrorMessage="1" prompt="Es el valor que resulta de la sumatoria entre el valor del contrato y las adiciones, si las hubo." sqref="U6"/>
    <dataValidation allowBlank="1" showInputMessage="1" showErrorMessage="1" prompt="Corresponde al grado de avance en la ejecución financiera del contrato" sqref="Y6"/>
    <dataValidation allowBlank="1" showInputMessage="1" showErrorMessage="1" prompt="Corresponde al grado de avance en el tiempo programado para la ejecución del contrato. " sqref="Z6"/>
    <dataValidation allowBlank="1" showInputMessage="1" showErrorMessage="1" prompt="Corresponde a la diferencia que hay entre el tiempo transcurrido del contrato, y la ejecución de los recursos_x000a_" sqref="AA6"/>
    <dataValidation type="list" allowBlank="1" showInputMessage="1" showErrorMessage="1" sqref="AL56 AL136 AL149 AL153 AL157:AL158 AL166 AL172 AL174 AL194:AL196 AL240 AL242 AL247 AL218 AL212 AL83 AL132 AL117 AL114 AL109 AL206 AL708 AL714">
      <formula1>$B$13:$B$28</formula1>
    </dataValidation>
    <dataValidation type="list" allowBlank="1" showInputMessage="1" showErrorMessage="1" sqref="AL110:AL113 AL219:AL236 AL57:AL75 AL295:AL299 AL88:AL108 AL213:AL217 AL197:AL205 AL167:AL171 AL118:AL131 AL77:AL82 AL84:AL86 AL243:AL246 AL241 AL238:AL239 AL207:AL211 AL175:AL193 AL173 AL159:AL165 AL154:AL156 AL137:AL148 AL150:AL152 AL133:AL135 AL248:AL256 AL276:AL283 AL285 AL290 AL293 AL7:AL22 AL24:AL55 AL304:AL306 AL301 AL308 AL320:AL321 AL324 AL344 AL352 AL354:AL355 AL367 AL388 AL391 AL395 AL398:AL400 AL402:AL403 AL406:AL407 AL413:AL414 AL421:AL423 AL426 AL428 AL430 AL433:AL434 AL441:AL446 AL450 AL454:AL456 AL458:AL460 AL474:AL475 AL488 AL491 AL496 AL498:AL500 AL504 AL506 AL513:AL514 AL517:AL518 AL521:AL522 AL524:AL525 AL527 AL529 AL537:AL538 AL540:AL541 AL548 AL551 AL554 AL564 AL574 AL580:AL581 AL584 AL591 AL605 AL607 AL609:AL611 AL626:AL627 AL629:AL631 AL633 AL635:AL638 AL642:AL645 AL650 AL654 AL658 AL661:AL663 AL668 AL670 AL672 AL679:AL680 AL682:AL683 AL685 AL687:AL691 AL695 AL697:AL698 AL711 AL713 AL737 AL739:AL741 AL745:AL747 AL749:AL751 AL755 AL762:AL763 AL767:AL771 AL773:AL775 AL777 AL779:AL782 AL785:AL790 AL794:AL797 AL799">
      <formula1>$B$13:$B$29</formula1>
    </dataValidation>
    <dataValidation type="list" allowBlank="1" showInputMessage="1" showErrorMessage="1" sqref="AG175:AG176 AG341 AG347 AG246 AG329:AG339 AG321:AG327 AG311:AG319 AG350 AG308:AG309 AG293:AG300 AG302:AG306 AG178:AG207 AG113 AG88:AG111 AG24:AG80 AG18 AG143:AG152 AG12:AG16 AG264:AG268 AG257:AG262 AG343:AG344 AG210:AG229 AG171:AG173 AG166:AG169 AG154:AG164 AG137:AG140 AG133:AG134 AG115:AG131 AG82:AG85 AG20:AG21 AG287 AG274:AG284 AG243 AG241 AG231:AG239 AG352:AG355 AG248:AG249 AG289:AG291 AG270:AG272 AG252 AG358 AG361 AG363 AG367 AG369 AG371 AG392:AG399 AG401:AG406 AG408 AG412:AG413 AG415:AG416 AG419:AG421 AG426 AG428 AG430:AG431 AG433 AG436 AG438 AG440:AG441 AG443:AG444 AG448:AG450 AG453 AG456:AG460 AG468 AG470 AG474:AG475 AG486 AG490:AG491 AG494 AG496 AG498:AG501 AG506:AG509 AG513:AG514 AG519 AG521 AG523 AG528 AG532:AG533 AG536:AG538 AG541 AG543 AG545 AG548:AG551 AG554 AG556 AG558 AG560:AG561 AG564 AG566 AG568 AG570 AG572 AG574:AG576 AG579 AG584 AG590 AG592:AG594 AG605 AG608 AG615 AG619:AG621 AG626 AG628:AG630 AG633 AG635:AG637 AG639 AG643 AG647 AG652:AG653 AG656 AG658:AG660 AG668:AG669 AG671:AG672 AG674:AG676 AG679:AG680 AG685 AG689:AG690 AG693:AG694 AG703 AG710:AG711 AG715 AG720:AG721 AG725 AG742 AG746:AG748 AG751 AG753 AG756 AG762 AG772 AG792:AG793 AG796">
      <formula1>$B$61:$B$75</formula1>
    </dataValidation>
    <dataValidation type="list" allowBlank="1" showInputMessage="1" showErrorMessage="1" sqref="AG17 AG340 AG328 AG345:AG346 AG348 AG351 AG356 AG320 AG301 AG307 AG342 AG292 AG288 AG285 AG273 AG269 AG263 AG19 AG250:AG251 AG247 AG244:AG245 AG242 AG240 AG230 AG208:AG209 AG177 AG174 AG170 AG165 AG153 AG141:AG142 AG135:AG136 AG132 AG114 AG112 AG86:AG87 AG81 AG22:AG23 AG253:AG255 AG400 AG407 AG427 AG442 AG447 AG451 AG461 AG463 AG478 AG480 AG482:AG484 AG493 AG510 AG517:AG518 AG529 AG531 AG534:AG535 AG540 AG546:AG547 AG559 AG563 AG567 AG578 AG586 AG588:AG589 AG591 AG597 AG600 AG609 AG612:AG613 AG632 AG634 AG638 AG779 AG645 AG650 AG664:AG665 AG678 AG681 AG695 AG698 AG701 AG706:AG708 AG713:AG714 AG718 AG722:AG724 AG726:AG728 AG730:AG731 AG733 AG750 AG757 AG760:AG761 AG763 AG769 AG640:AG641 AG781:AG783">
      <formula1>$B$58:$B$72</formula1>
    </dataValidation>
    <dataValidation type="list" allowBlank="1" showInputMessage="1" showErrorMessage="1" sqref="AG310">
      <formula1>$B$59:$B$73</formula1>
    </dataValidation>
    <dataValidation type="list" allowBlank="1" showInputMessage="1" showErrorMessage="1" sqref="AG349 AG372:AG379 AG357 AG370 AG368 AG364:AG366 AG362 AG359:AG360 AG256 AG437 AG452 AG462 AG464 AG489 AG492 AG505 AG542 AG552 AG557 AG585 AG587 AG617:AG618 AG700 AG705 AG709 AG716 AG754:AG755 AG778 AG789">
      <formula1>$B$62:$B$76</formula1>
    </dataValidation>
    <dataValidation type="list" allowBlank="1" showInputMessage="1" showErrorMessage="1" sqref="AG380:AG391 AG409:AG410 AG417:AG418 AG422:AG423 AG425 AG429 AG432 AG434:AG435 AG455 AG469 AG471:AG472 AG476:AG477 AG479 AG481 AG487:AG488 AG502:AG504 AG511:AG512 AG520 AG522 AG530 AG539 AG553 AG555 AG565 AG571 AG580:AG582 AG601 AG614 AG623 AG627 AG644 AG646 AG648 AG651 AG663 AG677 AG699 AG737 AG741 AG784">
      <formula1>$B$63:$B$77</formula1>
    </dataValidation>
  </dataValidations>
  <hyperlinks>
    <hyperlink ref="E234" r:id="rId1"/>
    <hyperlink ref="E235" r:id="rId2"/>
    <hyperlink ref="E236" r:id="rId3"/>
    <hyperlink ref="E237" r:id="rId4"/>
    <hyperlink ref="E238" r:id="rId5"/>
    <hyperlink ref="E239" r:id="rId6"/>
    <hyperlink ref="E240" r:id="rId7"/>
    <hyperlink ref="E241" r:id="rId8"/>
    <hyperlink ref="E242" r:id="rId9"/>
    <hyperlink ref="E243" r:id="rId10"/>
    <hyperlink ref="E244" r:id="rId11"/>
    <hyperlink ref="E245" r:id="rId12"/>
    <hyperlink ref="E246" r:id="rId13"/>
    <hyperlink ref="E247" r:id="rId14"/>
    <hyperlink ref="E248" r:id="rId15"/>
    <hyperlink ref="E249" r:id="rId16"/>
    <hyperlink ref="E250" r:id="rId17"/>
    <hyperlink ref="E251" r:id="rId18"/>
    <hyperlink ref="E252" r:id="rId19"/>
    <hyperlink ref="E253" r:id="rId20"/>
    <hyperlink ref="E254" r:id="rId21"/>
    <hyperlink ref="E256" r:id="rId22"/>
    <hyperlink ref="E257" r:id="rId23"/>
    <hyperlink ref="E258" r:id="rId24"/>
    <hyperlink ref="E259" r:id="rId25"/>
    <hyperlink ref="E261" r:id="rId26"/>
    <hyperlink ref="E262" r:id="rId27"/>
    <hyperlink ref="E263" r:id="rId28"/>
    <hyperlink ref="E267" r:id="rId29"/>
    <hyperlink ref="E269" r:id="rId30"/>
    <hyperlink ref="E270" r:id="rId31"/>
    <hyperlink ref="E233" r:id="rId32"/>
    <hyperlink ref="E232" r:id="rId33"/>
    <hyperlink ref="E231" r:id="rId34"/>
    <hyperlink ref="E230" r:id="rId35"/>
    <hyperlink ref="E229" r:id="rId36"/>
    <hyperlink ref="E228" r:id="rId37"/>
    <hyperlink ref="E227" r:id="rId38"/>
    <hyperlink ref="E226" r:id="rId39"/>
    <hyperlink ref="E225" r:id="rId40"/>
    <hyperlink ref="E224" r:id="rId41"/>
    <hyperlink ref="E223" r:id="rId42"/>
    <hyperlink ref="E219" r:id="rId43"/>
    <hyperlink ref="E218" r:id="rId44"/>
    <hyperlink ref="E217" r:id="rId45"/>
    <hyperlink ref="E214" r:id="rId46"/>
    <hyperlink ref="E213" r:id="rId47"/>
    <hyperlink ref="E212" r:id="rId48"/>
    <hyperlink ref="E202" r:id="rId49"/>
    <hyperlink ref="E287" r:id="rId50"/>
    <hyperlink ref="E292" r:id="rId51"/>
    <hyperlink ref="E288" r:id="rId52"/>
    <hyperlink ref="E291" r:id="rId53"/>
    <hyperlink ref="E286" r:id="rId54"/>
    <hyperlink ref="E285" r:id="rId55"/>
    <hyperlink ref="E283" r:id="rId56"/>
    <hyperlink ref="E282" r:id="rId57"/>
    <hyperlink ref="E281" r:id="rId58"/>
    <hyperlink ref="E280" r:id="rId59"/>
    <hyperlink ref="E279" r:id="rId60"/>
    <hyperlink ref="E278" r:id="rId61"/>
    <hyperlink ref="E277" r:id="rId62"/>
    <hyperlink ref="E276" r:id="rId63"/>
    <hyperlink ref="E273" r:id="rId64" display="140390-02014"/>
    <hyperlink ref="E272" r:id="rId65"/>
    <hyperlink ref="E271" r:id="rId66"/>
    <hyperlink ref="E295" r:id="rId67"/>
    <hyperlink ref="E296" r:id="rId68"/>
    <hyperlink ref="E201" r:id="rId69"/>
    <hyperlink ref="E294" r:id="rId70"/>
    <hyperlink ref="E298" r:id="rId71"/>
    <hyperlink ref="E139" r:id="rId72"/>
    <hyperlink ref="E305" r:id="rId73"/>
    <hyperlink ref="E307" r:id="rId74"/>
    <hyperlink ref="E302" r:id="rId75"/>
    <hyperlink ref="E301" r:id="rId76"/>
    <hyperlink ref="E308" r:id="rId77"/>
    <hyperlink ref="E157" r:id="rId78"/>
    <hyperlink ref="E313" r:id="rId79"/>
    <hyperlink ref="J271" r:id="rId80"/>
    <hyperlink ref="J278" r:id="rId81"/>
    <hyperlink ref="J277" r:id="rId82"/>
    <hyperlink ref="J276" r:id="rId83"/>
    <hyperlink ref="J282" r:id="rId84"/>
    <hyperlink ref="J281" r:id="rId85"/>
    <hyperlink ref="J280" r:id="rId86"/>
    <hyperlink ref="J279" r:id="rId87"/>
    <hyperlink ref="J283" r:id="rId88"/>
    <hyperlink ref="J287" r:id="rId89"/>
    <hyperlink ref="J288" r:id="rId90"/>
    <hyperlink ref="J286" r:id="rId91"/>
    <hyperlink ref="J285" r:id="rId92"/>
    <hyperlink ref="J291" r:id="rId93"/>
    <hyperlink ref="E293" r:id="rId94"/>
    <hyperlink ref="J293" r:id="rId95"/>
    <hyperlink ref="J294" r:id="rId96"/>
    <hyperlink ref="J295" r:id="rId97"/>
    <hyperlink ref="J296" r:id="rId98"/>
    <hyperlink ref="E297" r:id="rId99"/>
    <hyperlink ref="J297" r:id="rId100"/>
    <hyperlink ref="J298" r:id="rId101"/>
    <hyperlink ref="J301" r:id="rId102"/>
    <hyperlink ref="J302" r:id="rId103"/>
    <hyperlink ref="J305" r:id="rId104"/>
    <hyperlink ref="J307" r:id="rId105"/>
    <hyperlink ref="J308" r:id="rId106"/>
    <hyperlink ref="E309" r:id="rId107"/>
    <hyperlink ref="J309" r:id="rId108"/>
    <hyperlink ref="J313" r:id="rId109"/>
    <hyperlink ref="J314" r:id="rId110"/>
    <hyperlink ref="J315" r:id="rId111"/>
    <hyperlink ref="J316" r:id="rId112"/>
    <hyperlink ref="J317" r:id="rId113"/>
    <hyperlink ref="J310" r:id="rId114"/>
    <hyperlink ref="J311" r:id="rId115"/>
    <hyperlink ref="J312" r:id="rId116"/>
    <hyperlink ref="J318" r:id="rId117"/>
    <hyperlink ref="J300" r:id="rId118"/>
    <hyperlink ref="J299" r:id="rId119"/>
    <hyperlink ref="J303" r:id="rId120"/>
    <hyperlink ref="J304" r:id="rId121"/>
    <hyperlink ref="J306" r:id="rId122"/>
    <hyperlink ref="J292" r:id="rId123"/>
    <hyperlink ref="J319" r:id="rId124"/>
    <hyperlink ref="J320" r:id="rId125"/>
    <hyperlink ref="J321" r:id="rId126"/>
    <hyperlink ref="J322" r:id="rId127"/>
    <hyperlink ref="J323" r:id="rId128"/>
    <hyperlink ref="J325" r:id="rId129"/>
    <hyperlink ref="J324" r:id="rId130"/>
    <hyperlink ref="J326" r:id="rId131"/>
    <hyperlink ref="J327" r:id="rId132"/>
    <hyperlink ref="J333" r:id="rId133"/>
    <hyperlink ref="J334" r:id="rId134"/>
    <hyperlink ref="J335" r:id="rId135"/>
    <hyperlink ref="J336" r:id="rId136"/>
    <hyperlink ref="J337" r:id="rId137"/>
    <hyperlink ref="J338" r:id="rId138"/>
    <hyperlink ref="J339" r:id="rId139"/>
    <hyperlink ref="J340" r:id="rId140"/>
    <hyperlink ref="J341" r:id="rId141"/>
    <hyperlink ref="J342" r:id="rId142"/>
    <hyperlink ref="J343" r:id="rId143"/>
    <hyperlink ref="J272" r:id="rId144"/>
    <hyperlink ref="J289" r:id="rId145"/>
    <hyperlink ref="J344" r:id="rId146"/>
    <hyperlink ref="J345" r:id="rId147"/>
    <hyperlink ref="J346" r:id="rId148"/>
    <hyperlink ref="J347" r:id="rId149"/>
    <hyperlink ref="J348" r:id="rId150"/>
    <hyperlink ref="J349" r:id="rId151"/>
    <hyperlink ref="J350" r:id="rId152"/>
    <hyperlink ref="J352" r:id="rId153"/>
    <hyperlink ref="J353" r:id="rId154"/>
    <hyperlink ref="J354" r:id="rId155"/>
    <hyperlink ref="J355" r:id="rId156"/>
    <hyperlink ref="J356" r:id="rId157"/>
    <hyperlink ref="J357" r:id="rId158"/>
    <hyperlink ref="J358" r:id="rId159"/>
    <hyperlink ref="J359" r:id="rId160"/>
    <hyperlink ref="J360" r:id="rId161"/>
    <hyperlink ref="J361" r:id="rId162"/>
    <hyperlink ref="J362" r:id="rId163"/>
    <hyperlink ref="J363" r:id="rId164"/>
    <hyperlink ref="J364" r:id="rId165"/>
    <hyperlink ref="J365" r:id="rId166"/>
    <hyperlink ref="J366" r:id="rId167"/>
    <hyperlink ref="J367" r:id="rId168"/>
    <hyperlink ref="J368" r:id="rId169"/>
    <hyperlink ref="J369" r:id="rId170"/>
    <hyperlink ref="J233" r:id="rId171"/>
    <hyperlink ref="J221" r:id="rId172"/>
    <hyperlink ref="J370" r:id="rId173"/>
    <hyperlink ref="J371" r:id="rId174"/>
    <hyperlink ref="J372" r:id="rId175"/>
    <hyperlink ref="J374" r:id="rId176"/>
    <hyperlink ref="J373" r:id="rId177"/>
    <hyperlink ref="J375" r:id="rId178"/>
    <hyperlink ref="J376" r:id="rId179"/>
    <hyperlink ref="J377" r:id="rId180"/>
    <hyperlink ref="J378" r:id="rId181"/>
    <hyperlink ref="J379" r:id="rId182"/>
    <hyperlink ref="J329" r:id="rId183"/>
    <hyperlink ref="J330" r:id="rId184"/>
    <hyperlink ref="J331" r:id="rId185"/>
    <hyperlink ref="J332" r:id="rId186"/>
    <hyperlink ref="J202" r:id="rId187"/>
    <hyperlink ref="J383" r:id="rId188"/>
    <hyperlink ref="J384" r:id="rId189"/>
    <hyperlink ref="J386" r:id="rId190"/>
    <hyperlink ref="J385" r:id="rId191"/>
    <hyperlink ref="J387" r:id="rId192" tooltip="160066-0-2016"/>
    <hyperlink ref="J380" r:id="rId193"/>
    <hyperlink ref="J388" r:id="rId194"/>
    <hyperlink ref="J389" r:id="rId195"/>
    <hyperlink ref="J391" r:id="rId196"/>
    <hyperlink ref="J390" r:id="rId197"/>
    <hyperlink ref="J392" r:id="rId198"/>
    <hyperlink ref="J395" r:id="rId199"/>
    <hyperlink ref="J396" r:id="rId200"/>
    <hyperlink ref="J274" r:id="rId201"/>
    <hyperlink ref="J258" r:id="rId202"/>
    <hyperlink ref="J394" r:id="rId203"/>
    <hyperlink ref="J398" r:id="rId204"/>
    <hyperlink ref="J399" r:id="rId205"/>
    <hyperlink ref="J400" r:id="rId206"/>
    <hyperlink ref="J393" r:id="rId207"/>
    <hyperlink ref="J401" r:id="rId208"/>
    <hyperlink ref="J402" r:id="rId209"/>
    <hyperlink ref="J403" r:id="rId210"/>
    <hyperlink ref="J404" r:id="rId211"/>
    <hyperlink ref="J405" r:id="rId212"/>
    <hyperlink ref="J406" r:id="rId213"/>
    <hyperlink ref="J407" r:id="rId214"/>
    <hyperlink ref="J408" r:id="rId215"/>
    <hyperlink ref="J409" r:id="rId216"/>
    <hyperlink ref="J410" r:id="rId217"/>
    <hyperlink ref="J411" r:id="rId218"/>
    <hyperlink ref="J412" r:id="rId219"/>
    <hyperlink ref="J413" r:id="rId220"/>
    <hyperlink ref="J414" r:id="rId221"/>
    <hyperlink ref="J415" r:id="rId222"/>
    <hyperlink ref="J416" r:id="rId223"/>
    <hyperlink ref="J418" r:id="rId224"/>
    <hyperlink ref="J419" r:id="rId225"/>
    <hyperlink ref="J421" r:id="rId226"/>
    <hyperlink ref="J423" r:id="rId227"/>
    <hyperlink ref="J422" r:id="rId228"/>
    <hyperlink ref="J424" r:id="rId229"/>
    <hyperlink ref="J425" r:id="rId230"/>
    <hyperlink ref="J426" r:id="rId231"/>
    <hyperlink ref="J420" r:id="rId232"/>
    <hyperlink ref="J427" r:id="rId233"/>
    <hyperlink ref="J428" r:id="rId234"/>
    <hyperlink ref="J429" r:id="rId235"/>
    <hyperlink ref="J430" r:id="rId236"/>
    <hyperlink ref="J431" r:id="rId237"/>
    <hyperlink ref="J432" r:id="rId238"/>
    <hyperlink ref="J433" r:id="rId239"/>
    <hyperlink ref="J434" r:id="rId240"/>
    <hyperlink ref="J437" r:id="rId241"/>
    <hyperlink ref="J436" r:id="rId242"/>
    <hyperlink ref="J438" r:id="rId243"/>
    <hyperlink ref="J435" r:id="rId244"/>
    <hyperlink ref="J439" r:id="rId245"/>
    <hyperlink ref="J440" r:id="rId246"/>
    <hyperlink ref="J441" r:id="rId247"/>
    <hyperlink ref="J442" r:id="rId248"/>
    <hyperlink ref="J250" r:id="rId249"/>
    <hyperlink ref="J185" r:id="rId250"/>
    <hyperlink ref="J186" r:id="rId251"/>
    <hyperlink ref="J240" r:id="rId252"/>
    <hyperlink ref="J198" r:id="rId253"/>
    <hyperlink ref="J206" r:id="rId254"/>
    <hyperlink ref="J208" r:id="rId255"/>
    <hyperlink ref="J251" r:id="rId256"/>
    <hyperlink ref="J218" r:id="rId257"/>
    <hyperlink ref="J176" r:id="rId258" display=" 140034"/>
    <hyperlink ref="J235" r:id="rId259"/>
    <hyperlink ref="J273" r:id="rId260"/>
    <hyperlink ref="J249" r:id="rId261"/>
    <hyperlink ref="J443" r:id="rId262"/>
    <hyperlink ref="J444" r:id="rId263"/>
    <hyperlink ref="J445" r:id="rId264"/>
    <hyperlink ref="J447" r:id="rId265"/>
    <hyperlink ref="J446" r:id="rId266"/>
    <hyperlink ref="J449" r:id="rId267"/>
    <hyperlink ref="J448" r:id="rId268"/>
    <hyperlink ref="J397" r:id="rId269"/>
    <hyperlink ref="J382" r:id="rId270"/>
    <hyperlink ref="J451" r:id="rId271"/>
    <hyperlink ref="J452" r:id="rId272"/>
    <hyperlink ref="J450" r:id="rId273"/>
    <hyperlink ref="J453" r:id="rId274"/>
    <hyperlink ref="J175" r:id="rId275"/>
    <hyperlink ref="J197" r:id="rId276"/>
    <hyperlink ref="J199" r:id="rId277"/>
    <hyperlink ref="J200" r:id="rId278"/>
    <hyperlink ref="J203" r:id="rId279"/>
    <hyperlink ref="J204" r:id="rId280"/>
    <hyperlink ref="J454" r:id="rId281"/>
    <hyperlink ref="J456" r:id="rId282"/>
    <hyperlink ref="J455" r:id="rId283"/>
    <hyperlink ref="J457" r:id="rId284"/>
    <hyperlink ref="J458" r:id="rId285"/>
    <hyperlink ref="J459" r:id="rId286"/>
    <hyperlink ref="J460" r:id="rId287"/>
    <hyperlink ref="J461" r:id="rId288"/>
    <hyperlink ref="J462" r:id="rId289"/>
    <hyperlink ref="J463" r:id="rId290"/>
    <hyperlink ref="J464" r:id="rId291"/>
    <hyperlink ref="J465" r:id="rId292"/>
    <hyperlink ref="J466" r:id="rId293"/>
    <hyperlink ref="J467" r:id="rId294"/>
    <hyperlink ref="J468" r:id="rId295"/>
    <hyperlink ref="J469" r:id="rId296"/>
    <hyperlink ref="J470" r:id="rId297"/>
    <hyperlink ref="J471" r:id="rId298"/>
    <hyperlink ref="J472" r:id="rId299"/>
    <hyperlink ref="J473" r:id="rId300"/>
    <hyperlink ref="J474" r:id="rId301"/>
    <hyperlink ref="J475" r:id="rId302"/>
    <hyperlink ref="J476" r:id="rId303"/>
    <hyperlink ref="J477" r:id="rId304"/>
    <hyperlink ref="J478" r:id="rId305"/>
    <hyperlink ref="J479" r:id="rId306"/>
    <hyperlink ref="J480" r:id="rId307"/>
    <hyperlink ref="J483" r:id="rId308"/>
    <hyperlink ref="J482" r:id="rId309"/>
    <hyperlink ref="J481" r:id="rId310"/>
    <hyperlink ref="J484" r:id="rId311"/>
    <hyperlink ref="J485" r:id="rId312"/>
    <hyperlink ref="J486" r:id="rId313"/>
    <hyperlink ref="J488" r:id="rId314"/>
    <hyperlink ref="J328" r:id="rId315"/>
    <hyperlink ref="J351" r:id="rId316"/>
    <hyperlink ref="J489" r:id="rId317"/>
    <hyperlink ref="J491" r:id="rId318"/>
    <hyperlink ref="J490" r:id="rId319"/>
    <hyperlink ref="J492" r:id="rId320"/>
    <hyperlink ref="J493" r:id="rId321"/>
    <hyperlink ref="J152" r:id="rId322"/>
    <hyperlink ref="J496" r:id="rId323"/>
    <hyperlink ref="J497" r:id="rId324"/>
    <hyperlink ref="J498" r:id="rId325"/>
    <hyperlink ref="J495" r:id="rId326"/>
    <hyperlink ref="J499" r:id="rId327"/>
    <hyperlink ref="J500" r:id="rId328"/>
    <hyperlink ref="J501" r:id="rId329"/>
    <hyperlink ref="J502" r:id="rId330"/>
    <hyperlink ref="J510" r:id="rId331"/>
    <hyperlink ref="J503" r:id="rId332"/>
    <hyperlink ref="J504" r:id="rId333"/>
    <hyperlink ref="J506" r:id="rId334"/>
    <hyperlink ref="J507" r:id="rId335"/>
    <hyperlink ref="J508" r:id="rId336"/>
    <hyperlink ref="J509" r:id="rId337"/>
    <hyperlink ref="J511" r:id="rId338"/>
    <hyperlink ref="J512" r:id="rId339"/>
    <hyperlink ref="J513" r:id="rId340"/>
    <hyperlink ref="J514" r:id="rId341"/>
    <hyperlink ref="J515" r:id="rId342"/>
    <hyperlink ref="J505" r:id="rId343"/>
    <hyperlink ref="J517" r:id="rId344"/>
    <hyperlink ref="J518" r:id="rId345"/>
    <hyperlink ref="J519" r:id="rId346"/>
    <hyperlink ref="J520" r:id="rId347"/>
    <hyperlink ref="J521" r:id="rId348"/>
    <hyperlink ref="J522" r:id="rId349"/>
    <hyperlink ref="J523" r:id="rId350"/>
    <hyperlink ref="J487" r:id="rId351"/>
    <hyperlink ref="J524" r:id="rId352"/>
    <hyperlink ref="J525" r:id="rId353"/>
    <hyperlink ref="J526" r:id="rId354"/>
    <hyperlink ref="J527" r:id="rId355"/>
    <hyperlink ref="J528" r:id="rId356"/>
    <hyperlink ref="J516" r:id="rId357"/>
    <hyperlink ref="J529" r:id="rId358"/>
    <hyperlink ref="J530" r:id="rId359"/>
    <hyperlink ref="J531" r:id="rId360"/>
    <hyperlink ref="J532" r:id="rId361"/>
    <hyperlink ref="J533" r:id="rId362"/>
    <hyperlink ref="J534" r:id="rId363"/>
    <hyperlink ref="J535" r:id="rId364"/>
    <hyperlink ref="J536" r:id="rId365"/>
    <hyperlink ref="J538" r:id="rId366"/>
    <hyperlink ref="J537" r:id="rId367"/>
    <hyperlink ref="J539" r:id="rId368"/>
    <hyperlink ref="J540" r:id="rId369"/>
    <hyperlink ref="J541" r:id="rId370"/>
    <hyperlink ref="J542" r:id="rId371"/>
    <hyperlink ref="J543" r:id="rId372"/>
    <hyperlink ref="J545" r:id="rId373"/>
    <hyperlink ref="J546" r:id="rId374"/>
    <hyperlink ref="J547" r:id="rId375"/>
    <hyperlink ref="J548" r:id="rId376"/>
    <hyperlink ref="J549" r:id="rId377"/>
    <hyperlink ref="J550" r:id="rId378"/>
    <hyperlink ref="J551" r:id="rId379"/>
    <hyperlink ref="J553" r:id="rId380"/>
    <hyperlink ref="J554" r:id="rId381"/>
    <hyperlink ref="J555" r:id="rId382"/>
    <hyperlink ref="J557" r:id="rId383"/>
    <hyperlink ref="J558" r:id="rId384"/>
    <hyperlink ref="J559" r:id="rId385"/>
    <hyperlink ref="J561" r:id="rId386"/>
    <hyperlink ref="J560" r:id="rId387"/>
    <hyperlink ref="J563" r:id="rId388"/>
    <hyperlink ref="J562" r:id="rId389"/>
    <hyperlink ref="J565" r:id="rId390"/>
    <hyperlink ref="J566" r:id="rId391"/>
    <hyperlink ref="J556" r:id="rId392"/>
    <hyperlink ref="J567" r:id="rId393"/>
    <hyperlink ref="J568" r:id="rId394"/>
    <hyperlink ref="J569" r:id="rId395"/>
    <hyperlink ref="J570" r:id="rId396"/>
    <hyperlink ref="J572" r:id="rId397"/>
    <hyperlink ref="J571" r:id="rId398"/>
    <hyperlink ref="J573" r:id="rId399"/>
    <hyperlink ref="J574" r:id="rId400"/>
    <hyperlink ref="J575" r:id="rId401"/>
    <hyperlink ref="J576" r:id="rId402"/>
    <hyperlink ref="J577" r:id="rId403"/>
    <hyperlink ref="J578" r:id="rId404"/>
    <hyperlink ref="J580" r:id="rId405"/>
    <hyperlink ref="J581" r:id="rId406"/>
    <hyperlink ref="J579" r:id="rId407"/>
    <hyperlink ref="J582" r:id="rId408"/>
    <hyperlink ref="J583" r:id="rId409"/>
    <hyperlink ref="J552" r:id="rId410"/>
    <hyperlink ref="J584" r:id="rId411"/>
    <hyperlink ref="J585" r:id="rId412"/>
    <hyperlink ref="J586" r:id="rId413"/>
    <hyperlink ref="J588" r:id="rId414"/>
    <hyperlink ref="J590" r:id="rId415"/>
    <hyperlink ref="J589" r:id="rId416"/>
    <hyperlink ref="J591" r:id="rId417"/>
    <hyperlink ref="J592" r:id="rId418"/>
    <hyperlink ref="J593" r:id="rId419"/>
    <hyperlink ref="J587" r:id="rId420"/>
    <hyperlink ref="J594" r:id="rId421"/>
    <hyperlink ref="J596" r:id="rId422"/>
    <hyperlink ref="J595" r:id="rId423"/>
    <hyperlink ref="J597" r:id="rId424"/>
    <hyperlink ref="J599" r:id="rId425"/>
    <hyperlink ref="J600" r:id="rId426"/>
    <hyperlink ref="J598" r:id="rId427"/>
    <hyperlink ref="J601" r:id="rId428"/>
    <hyperlink ref="J602" r:id="rId429"/>
    <hyperlink ref="J603" r:id="rId430"/>
    <hyperlink ref="J604" r:id="rId431"/>
    <hyperlink ref="J605" r:id="rId432"/>
    <hyperlink ref="J606" r:id="rId433"/>
    <hyperlink ref="J607" r:id="rId434"/>
    <hyperlink ref="J608" r:id="rId435"/>
    <hyperlink ref="J609" r:id="rId436"/>
    <hyperlink ref="J610" r:id="rId437"/>
    <hyperlink ref="J611" r:id="rId438"/>
    <hyperlink ref="J612" r:id="rId439"/>
    <hyperlink ref="J615" r:id="rId440"/>
    <hyperlink ref="J614" r:id="rId441"/>
    <hyperlink ref="J613" r:id="rId442"/>
    <hyperlink ref="J616" r:id="rId443"/>
    <hyperlink ref="J617" r:id="rId444"/>
    <hyperlink ref="J618" r:id="rId445"/>
    <hyperlink ref="J619" r:id="rId446"/>
    <hyperlink ref="J620" r:id="rId447"/>
    <hyperlink ref="J621" r:id="rId448"/>
    <hyperlink ref="J623" r:id="rId449"/>
    <hyperlink ref="J622" r:id="rId450"/>
    <hyperlink ref="J624" r:id="rId451"/>
    <hyperlink ref="J626" r:id="rId452"/>
    <hyperlink ref="J625" r:id="rId453"/>
    <hyperlink ref="J627" r:id="rId454"/>
    <hyperlink ref="J144" r:id="rId455"/>
    <hyperlink ref="J99" r:id="rId456"/>
    <hyperlink ref="J22" r:id="rId457"/>
    <hyperlink ref="J544" r:id="rId458"/>
    <hyperlink ref="J628" r:id="rId459"/>
    <hyperlink ref="J629" r:id="rId460"/>
    <hyperlink ref="J217" r:id="rId461"/>
    <hyperlink ref="J172" r:id="rId462"/>
    <hyperlink ref="J23" r:id="rId463"/>
    <hyperlink ref="J630" r:id="rId464"/>
    <hyperlink ref="J87" r:id="rId465"/>
    <hyperlink ref="J94" r:id="rId466"/>
    <hyperlink ref="J631" r:id="rId467"/>
    <hyperlink ref="J103" r:id="rId468"/>
    <hyperlink ref="J110" r:id="rId469"/>
    <hyperlink ref="J129" r:id="rId470"/>
    <hyperlink ref="J69" r:id="rId471"/>
    <hyperlink ref="J104" r:id="rId472"/>
    <hyperlink ref="J148" r:id="rId473"/>
    <hyperlink ref="J74" r:id="rId474"/>
    <hyperlink ref="J32" r:id="rId475"/>
    <hyperlink ref="J157" r:id="rId476"/>
    <hyperlink ref="J85" r:id="rId477"/>
    <hyperlink ref="J12" r:id="rId478"/>
    <hyperlink ref="J18" r:id="rId479"/>
    <hyperlink ref="J633" r:id="rId480"/>
    <hyperlink ref="J634" r:id="rId481"/>
    <hyperlink ref="J635" r:id="rId482"/>
    <hyperlink ref="J632" r:id="rId483"/>
    <hyperlink ref="J636" r:id="rId484"/>
    <hyperlink ref="J637" r:id="rId485"/>
    <hyperlink ref="J638" r:id="rId486"/>
    <hyperlink ref="J639" r:id="rId487"/>
    <hyperlink ref="J640" r:id="rId488"/>
    <hyperlink ref="J641" r:id="rId489"/>
    <hyperlink ref="J642" r:id="rId490"/>
    <hyperlink ref="J651" r:id="rId491" display="SDH-CD-026-2018"/>
    <hyperlink ref="J645" r:id="rId492"/>
    <hyperlink ref="J652" r:id="rId493" display="SDH-CD-018-2018"/>
    <hyperlink ref="J654" r:id="rId494" display="SDH-CD-012-2018"/>
    <hyperlink ref="J643" r:id="rId495"/>
    <hyperlink ref="J650" r:id="rId496"/>
    <hyperlink ref="J653" r:id="rId497" display="SDH-CD-011-2018"/>
    <hyperlink ref="J644" r:id="rId498"/>
    <hyperlink ref="J646" r:id="rId499"/>
    <hyperlink ref="J649" r:id="rId500"/>
    <hyperlink ref="J648" r:id="rId501" display="SDH-CD-014-2018"/>
    <hyperlink ref="J647" r:id="rId502"/>
    <hyperlink ref="J655" r:id="rId503" display="SHD-CD-016-2018"/>
    <hyperlink ref="J656" r:id="rId504" display="SDH-CD-013-2018"/>
    <hyperlink ref="J659" r:id="rId505" display="SDH-CD-004-2018"/>
    <hyperlink ref="J658" r:id="rId506"/>
    <hyperlink ref="J657" r:id="rId507" display="SDH-CD-033-2018"/>
    <hyperlink ref="J660" r:id="rId508" display="SDH-SAMC-01-2018 "/>
    <hyperlink ref="J661" r:id="rId509" display="SDH-CD-032-2018"/>
    <hyperlink ref="J663" r:id="rId510" display="SDH-CD-030-2018"/>
    <hyperlink ref="J662" r:id="rId511" display="CD-SHD-036-2018"/>
    <hyperlink ref="J664" r:id="rId512" display="SDH-SIE-07-2018"/>
    <hyperlink ref="J665" r:id="rId513" display="SDH-CD-017-2018"/>
    <hyperlink ref="J666" r:id="rId514"/>
    <hyperlink ref="J667" r:id="rId515" display="SDH-CD-040-2018"/>
    <hyperlink ref="J668" r:id="rId516" display="SDH-CD-039-2018"/>
    <hyperlink ref="J669" r:id="rId517" display="SDH-SAMC-04-2018"/>
    <hyperlink ref="J670" r:id="rId518" display="SDH-CD-034-2018"/>
    <hyperlink ref="J671" r:id="rId519" display="SDH-CD-006-2018"/>
    <hyperlink ref="J672" r:id="rId520" display="SDH-CD-045-2018"/>
    <hyperlink ref="J673" r:id="rId521"/>
    <hyperlink ref="J674" r:id="rId522"/>
    <hyperlink ref="J675" r:id="rId523" display="SDH-CD-056-2018"/>
    <hyperlink ref="J676" r:id="rId524"/>
    <hyperlink ref="J677" r:id="rId525" display="SDH - CD -026-2018"/>
    <hyperlink ref="J678" r:id="rId526"/>
    <hyperlink ref="J680" r:id="rId527" display="SDH-CD-061-2018"/>
    <hyperlink ref="J679" r:id="rId528"/>
    <hyperlink ref="J681" r:id="rId529" display="SDH-SMINC-043-2018"/>
    <hyperlink ref="J682" r:id="rId530" display="SDH-CD-037-2018"/>
    <hyperlink ref="J683" r:id="rId531" display="SDH-CD-037-2018"/>
    <hyperlink ref="J68" r:id="rId532"/>
    <hyperlink ref="J143" r:id="rId533"/>
    <hyperlink ref="J67" r:id="rId534"/>
    <hyperlink ref="J124" r:id="rId535" display=" 130209"/>
    <hyperlink ref="J49" r:id="rId536"/>
    <hyperlink ref="J167" r:id="rId537"/>
    <hyperlink ref="J36" r:id="rId538"/>
    <hyperlink ref="J51" r:id="rId539"/>
    <hyperlink ref="J44" r:id="rId540"/>
    <hyperlink ref="J27" r:id="rId541"/>
    <hyperlink ref="J684" r:id="rId542"/>
    <hyperlink ref="J41" r:id="rId543"/>
    <hyperlink ref="J77" r:id="rId544"/>
    <hyperlink ref="J229" r:id="rId545"/>
    <hyperlink ref="J261" r:id="rId546"/>
    <hyperlink ref="J242" r:id="rId547"/>
    <hyperlink ref="J290" r:id="rId548"/>
    <hyperlink ref="J64" r:id="rId549"/>
    <hyperlink ref="J227" r:id="rId550"/>
    <hyperlink ref="J47" r:id="rId551"/>
    <hyperlink ref="J685" r:id="rId552" display="SDH-CD-054-2018"/>
    <hyperlink ref="J686" r:id="rId553" display="SDH-SMINC-047-2018"/>
    <hyperlink ref="J687" r:id="rId554" display="SDH-CD-075-2018"/>
    <hyperlink ref="J688" r:id="rId555"/>
    <hyperlink ref="J691" r:id="rId556" display="SDH-CD-078-2018"/>
    <hyperlink ref="J690" r:id="rId557" display="SDH-CD-079-2018"/>
    <hyperlink ref="J689" r:id="rId558"/>
    <hyperlink ref="J692" r:id="rId559" display="SDH-CD-074-2018"/>
    <hyperlink ref="J693" r:id="rId560" display="SDH-CD-055-2018"/>
    <hyperlink ref="J694" r:id="rId561" display="SDH-CD-051-2018"/>
    <hyperlink ref="J695" r:id="rId562"/>
    <hyperlink ref="J696" r:id="rId563" display="SDH-SAMC-06-2018"/>
    <hyperlink ref="J697" r:id="rId564"/>
    <hyperlink ref="J698" r:id="rId565" display="SDH-CD-080-2018"/>
    <hyperlink ref="J699" r:id="rId566"/>
    <hyperlink ref="J700" r:id="rId567"/>
    <hyperlink ref="J703" r:id="rId568"/>
    <hyperlink ref="J702" r:id="rId569"/>
    <hyperlink ref="J701" r:id="rId570"/>
    <hyperlink ref="J704" r:id="rId571" display="SDH-SAMC-07-2018"/>
    <hyperlink ref="J705" r:id="rId572" display="SDH-CD-076-2018"/>
    <hyperlink ref="J381" r:id="rId573"/>
    <hyperlink ref="J706" r:id="rId574"/>
    <hyperlink ref="J707" r:id="rId575"/>
    <hyperlink ref="J708" r:id="rId576" display="SDH-SIE-08-2018"/>
    <hyperlink ref="J709" r:id="rId577"/>
    <hyperlink ref="J126" r:id="rId578"/>
    <hyperlink ref="J109" r:id="rId579"/>
    <hyperlink ref="J98" r:id="rId580"/>
    <hyperlink ref="J245" r:id="rId581"/>
    <hyperlink ref="J710" r:id="rId582"/>
    <hyperlink ref="J173" r:id="rId583"/>
    <hyperlink ref="J101" r:id="rId584"/>
    <hyperlink ref="J196" r:id="rId585"/>
    <hyperlink ref="J88" r:id="rId586"/>
    <hyperlink ref="J53" r:id="rId587"/>
    <hyperlink ref="J65" r:id="rId588"/>
    <hyperlink ref="J163" r:id="rId589"/>
    <hyperlink ref="J711" r:id="rId590"/>
    <hyperlink ref="J712" r:id="rId591"/>
    <hyperlink ref="J21" r:id="rId592"/>
    <hyperlink ref="J713" r:id="rId593"/>
    <hyperlink ref="J714" r:id="rId594"/>
    <hyperlink ref="J715" r:id="rId595"/>
    <hyperlink ref="J716" r:id="rId596"/>
    <hyperlink ref="J717" r:id="rId597"/>
    <hyperlink ref="J718" r:id="rId598" display="SDH-CD-092-2018"/>
    <hyperlink ref="J719" r:id="rId599"/>
    <hyperlink ref="J720" r:id="rId600"/>
    <hyperlink ref="J721" r:id="rId601"/>
    <hyperlink ref="J725" r:id="rId602"/>
    <hyperlink ref="J727" r:id="rId603"/>
    <hyperlink ref="J724" r:id="rId604"/>
    <hyperlink ref="J723" r:id="rId605"/>
    <hyperlink ref="J722" r:id="rId606"/>
    <hyperlink ref="J726" r:id="rId607"/>
    <hyperlink ref="J728" r:id="rId608"/>
    <hyperlink ref="J729" r:id="rId609"/>
    <hyperlink ref="J733" r:id="rId610"/>
    <hyperlink ref="J731" r:id="rId611"/>
    <hyperlink ref="J730" r:id="rId612"/>
    <hyperlink ref="J732" r:id="rId613"/>
    <hyperlink ref="J564" r:id="rId614"/>
    <hyperlink ref="J268" r:id="rId615"/>
    <hyperlink ref="J734" r:id="rId616"/>
    <hyperlink ref="J735" r:id="rId617"/>
    <hyperlink ref="J80" r:id="rId618"/>
    <hyperlink ref="J225" r:id="rId619"/>
    <hyperlink ref="J736" r:id="rId620"/>
    <hyperlink ref="J737" r:id="rId621" display="SDH-CD-009-2019"/>
    <hyperlink ref="J738" r:id="rId622"/>
    <hyperlink ref="J171" r:id="rId623"/>
    <hyperlink ref="J164" r:id="rId624"/>
    <hyperlink ref="J160" r:id="rId625"/>
    <hyperlink ref="J159" r:id="rId626"/>
    <hyperlink ref="J153" r:id="rId627"/>
    <hyperlink ref="J155" r:id="rId628"/>
    <hyperlink ref="J165" r:id="rId629"/>
    <hyperlink ref="J130" r:id="rId630"/>
    <hyperlink ref="J128" r:id="rId631"/>
    <hyperlink ref="J95" r:id="rId632"/>
    <hyperlink ref="J739" r:id="rId633" display="SDH-CD-028-2019"/>
    <hyperlink ref="J740" r:id="rId634" display="SDH-CD-036-2019"/>
    <hyperlink ref="J741" r:id="rId635"/>
    <hyperlink ref="J743" r:id="rId636"/>
    <hyperlink ref="J742" r:id="rId637"/>
    <hyperlink ref="J744" r:id="rId638" display="SDH-CD-032-2019"/>
    <hyperlink ref="J745" r:id="rId639"/>
    <hyperlink ref="J746" r:id="rId640"/>
    <hyperlink ref="J747" r:id="rId641" display="SDH-CD-047-2019"/>
    <hyperlink ref="J748" r:id="rId642"/>
    <hyperlink ref="J749" r:id="rId643"/>
    <hyperlink ref="J750" r:id="rId644"/>
    <hyperlink ref="J751" r:id="rId645"/>
    <hyperlink ref="J752" r:id="rId646"/>
    <hyperlink ref="J753" r:id="rId647"/>
    <hyperlink ref="J754" r:id="rId648"/>
    <hyperlink ref="J755" r:id="rId649"/>
    <hyperlink ref="J270" r:id="rId650"/>
    <hyperlink ref="J230" r:id="rId651"/>
    <hyperlink ref="J267" r:id="rId652"/>
    <hyperlink ref="J192" r:id="rId653"/>
    <hyperlink ref="J145" r:id="rId654"/>
    <hyperlink ref="J168" r:id="rId655"/>
    <hyperlink ref="J246" r:id="rId656"/>
    <hyperlink ref="J210" r:id="rId657"/>
    <hyperlink ref="J756" r:id="rId658"/>
    <hyperlink ref="J757" r:id="rId659"/>
    <hyperlink ref="J758" r:id="rId660"/>
    <hyperlink ref="J759" r:id="rId661"/>
    <hyperlink ref="J222" r:id="rId662"/>
    <hyperlink ref="J760" r:id="rId663"/>
    <hyperlink ref="J194" r:id="rId664"/>
    <hyperlink ref="J174" r:id="rId665"/>
    <hyperlink ref="J170" r:id="rId666"/>
    <hyperlink ref="J162" r:id="rId667"/>
    <hyperlink ref="J149" r:id="rId668"/>
    <hyperlink ref="J147" r:id="rId669"/>
    <hyperlink ref="J146" r:id="rId670"/>
    <hyperlink ref="J141" r:id="rId671"/>
    <hyperlink ref="J140" r:id="rId672"/>
    <hyperlink ref="J138" r:id="rId673"/>
    <hyperlink ref="J137" r:id="rId674"/>
    <hyperlink ref="J761" r:id="rId675"/>
    <hyperlink ref="J762" r:id="rId676"/>
    <hyperlink ref="J763" r:id="rId677"/>
    <hyperlink ref="J764" r:id="rId678"/>
    <hyperlink ref="J767" r:id="rId679"/>
    <hyperlink ref="J766" r:id="rId680"/>
    <hyperlink ref="J765" r:id="rId681"/>
    <hyperlink ref="J768" r:id="rId682"/>
    <hyperlink ref="J770" r:id="rId683"/>
    <hyperlink ref="J769" r:id="rId684"/>
    <hyperlink ref="J771" r:id="rId685"/>
    <hyperlink ref="J773" r:id="rId686"/>
    <hyperlink ref="J772" r:id="rId687"/>
    <hyperlink ref="J774" r:id="rId688"/>
    <hyperlink ref="J776" r:id="rId689"/>
    <hyperlink ref="J775" r:id="rId690"/>
    <hyperlink ref="J777" r:id="rId691"/>
    <hyperlink ref="J778" r:id="rId692"/>
    <hyperlink ref="J780" r:id="rId693"/>
    <hyperlink ref="J779" r:id="rId694"/>
    <hyperlink ref="J781" r:id="rId695"/>
    <hyperlink ref="J782" r:id="rId696"/>
    <hyperlink ref="J783" r:id="rId697"/>
    <hyperlink ref="J59" r:id="rId698"/>
    <hyperlink ref="J70" r:id="rId699"/>
    <hyperlink ref="J154" r:id="rId700"/>
    <hyperlink ref="J127" r:id="rId701"/>
    <hyperlink ref="J50" r:id="rId702"/>
    <hyperlink ref="J93" r:id="rId703"/>
    <hyperlink ref="J122" r:id="rId704"/>
    <hyperlink ref="J784" r:id="rId705"/>
    <hyperlink ref="J786" r:id="rId706"/>
    <hyperlink ref="J785" r:id="rId707"/>
    <hyperlink ref="J787" r:id="rId708"/>
    <hyperlink ref="J788" r:id="rId709"/>
    <hyperlink ref="J789" r:id="rId710"/>
    <hyperlink ref="J790" r:id="rId711"/>
    <hyperlink ref="J791" r:id="rId712"/>
    <hyperlink ref="J792" r:id="rId713"/>
    <hyperlink ref="J793" r:id="rId714"/>
    <hyperlink ref="J794" r:id="rId715"/>
    <hyperlink ref="J795" r:id="rId716"/>
    <hyperlink ref="J797" r:id="rId717"/>
    <hyperlink ref="J796" r:id="rId718"/>
    <hyperlink ref="J798" r:id="rId719"/>
    <hyperlink ref="J799" r:id="rId720"/>
    <hyperlink ref="J800" r:id="rId721"/>
  </hyperlinks>
  <printOptions horizontalCentered="1" verticalCentered="1"/>
  <pageMargins left="0.31496062992125984" right="0.31496062992125984" top="0.74803149606299213" bottom="0.74803149606299213" header="0.31496062992125984" footer="0.31496062992125984"/>
  <pageSetup scale="75" orientation="landscape" r:id="rId722"/>
  <ignoredErrors>
    <ignoredError sqref="W377" formula="1"/>
  </ignoredErrors>
  <drawing r:id="rId723"/>
  <legacyDrawing r:id="rId724"/>
  <extLst>
    <ext xmlns:x14="http://schemas.microsoft.com/office/spreadsheetml/2009/9/main" uri="{78C0D931-6437-407d-A8EE-F0AAD7539E65}">
      <x14:conditionalFormattings>
        <x14:conditionalFormatting xmlns:xm="http://schemas.microsoft.com/office/excel/2006/main">
          <x14:cfRule type="containsText" priority="859" operator="containsText" id="{8A483957-BC96-43A3-8B20-2BAB30483389}">
            <xm:f>NOT(ISERROR(SEARCH($AY$8,AC7)))</xm:f>
            <xm:f>$AY$8</xm:f>
            <x14:dxf>
              <font>
                <b/>
                <i val="0"/>
                <color rgb="FFFF0000"/>
              </font>
            </x14:dxf>
          </x14:cfRule>
          <xm:sqref>AC7:AD270 AC271:AC410 AC421:AC422 AC455:AC456 AC460:AC600 AC757:AC794</xm:sqref>
        </x14:conditionalFormatting>
        <x14:conditionalFormatting xmlns:xm="http://schemas.microsoft.com/office/excel/2006/main">
          <x14:cfRule type="containsText" priority="858" operator="containsText" id="{003E9E27-F950-433F-8EDF-7F6B768A3E65}">
            <xm:f>NOT(ISERROR(SEARCH($AZ$7,AC7)))</xm:f>
            <xm:f>$AZ$7</xm:f>
            <x14:dxf>
              <font>
                <b/>
                <i val="0"/>
                <color rgb="FF00B050"/>
              </font>
            </x14:dxf>
          </x14:cfRule>
          <xm:sqref>AC7:AD270 AC271:AC410 AC421:AC422 AC455:AC456 AC460:AC600 AC757:AC794</xm:sqref>
        </x14:conditionalFormatting>
        <x14:conditionalFormatting xmlns:xm="http://schemas.microsoft.com/office/excel/2006/main">
          <x14:cfRule type="containsText" priority="856" operator="containsText" id="{8F57F5D0-8850-4230-949E-FFCAA930A9C1}">
            <xm:f>NOT(ISERROR(SEARCH($AZ$8,AQ7)))</xm:f>
            <xm:f>$AZ$8</xm:f>
            <x14:dxf>
              <font>
                <b/>
                <i val="0"/>
                <color rgb="FFFF0000"/>
              </font>
            </x14:dxf>
          </x14:cfRule>
          <x14:cfRule type="containsText" priority="857" operator="containsText" id="{F4914B39-D355-46A3-87E4-75B6BC2023A9}">
            <xm:f>NOT(ISERROR(SEARCH($AZ$7,AQ7)))</xm:f>
            <xm:f>$AZ$7</xm:f>
            <x14:dxf>
              <font>
                <b/>
                <i val="0"/>
                <color rgb="FF00B050"/>
              </font>
            </x14:dxf>
          </x14:cfRule>
          <xm:sqref>AQ7:AQ422 AQ455:AQ456 AQ458:AQ465 AQ467:AQ482 AQ484 AQ533:AQ535 AQ452</xm:sqref>
        </x14:conditionalFormatting>
        <x14:conditionalFormatting xmlns:xm="http://schemas.microsoft.com/office/excel/2006/main">
          <x14:cfRule type="iconSet" priority="1007" id="{8FA8387B-12EB-4159-81D4-A7A200E3A77A}">
            <x14:iconSet iconSet="3Symbols" custom="1">
              <x14:cfvo type="percent">
                <xm:f>0</xm:f>
              </x14:cfvo>
              <x14:cfvo type="percent">
                <xm:f>60</xm:f>
              </x14:cfvo>
              <x14:cfvo type="percent">
                <xm:f>90</xm:f>
              </x14:cfvo>
              <x14:cfIcon iconSet="3Symbols" iconId="2"/>
              <x14:cfIcon iconSet="3Symbols" iconId="1"/>
              <x14:cfIcon iconSet="3Symbols" iconId="0"/>
            </x14:iconSet>
          </x14:cfRule>
          <xm:sqref>Z7:Z410 Z421:Z422</xm:sqref>
        </x14:conditionalFormatting>
        <x14:conditionalFormatting xmlns:xm="http://schemas.microsoft.com/office/excel/2006/main">
          <x14:cfRule type="iconSet" priority="1009" id="{32A4E60B-58D2-4BF4-8A57-F7BA890C4428}">
            <x14:iconSet iconSet="3Symbols" custom="1">
              <x14:cfvo type="percent">
                <xm:f>0</xm:f>
              </x14:cfvo>
              <x14:cfvo type="percent">
                <xm:f>50</xm:f>
              </x14:cfvo>
              <x14:cfvo type="percent">
                <xm:f>90</xm:f>
              </x14:cfvo>
              <x14:cfIcon iconSet="3Symbols" iconId="2"/>
              <x14:cfIcon iconSet="3Symbols" iconId="1"/>
              <x14:cfIcon iconSet="3Symbols" iconId="0"/>
            </x14:iconSet>
          </x14:cfRule>
          <xm:sqref>Z7:Z410 Z421:Z422</xm:sqref>
        </x14:conditionalFormatting>
        <x14:conditionalFormatting xmlns:xm="http://schemas.microsoft.com/office/excel/2006/main">
          <x14:cfRule type="containsText" priority="842" operator="containsText" id="{DFEE3AE6-4C6D-4211-888A-B5D50B9F7265}">
            <xm:f>NOT(ISERROR(SEARCH($AY$8,AC411)))</xm:f>
            <xm:f>$AY$8</xm:f>
            <x14:dxf>
              <font>
                <b/>
                <i val="0"/>
                <color rgb="FFFF0000"/>
              </font>
            </x14:dxf>
          </x14:cfRule>
          <xm:sqref>AC411:AC420</xm:sqref>
        </x14:conditionalFormatting>
        <x14:conditionalFormatting xmlns:xm="http://schemas.microsoft.com/office/excel/2006/main">
          <x14:cfRule type="containsText" priority="841" operator="containsText" id="{44635632-36C2-4611-9827-0F7EA477A8A2}">
            <xm:f>NOT(ISERROR(SEARCH($AZ$7,AC411)))</xm:f>
            <xm:f>$AZ$7</xm:f>
            <x14:dxf>
              <font>
                <b/>
                <i val="0"/>
                <color rgb="FF00B050"/>
              </font>
            </x14:dxf>
          </x14:cfRule>
          <xm:sqref>AC411:AC420</xm:sqref>
        </x14:conditionalFormatting>
        <x14:conditionalFormatting xmlns:xm="http://schemas.microsoft.com/office/excel/2006/main">
          <x14:cfRule type="iconSet" priority="848" id="{FA8EB452-C4C6-4B8B-85E6-7B1B0CF8D675}">
            <x14:iconSet iconSet="3Symbols" custom="1">
              <x14:cfvo type="percent">
                <xm:f>0</xm:f>
              </x14:cfvo>
              <x14:cfvo type="percent">
                <xm:f>60</xm:f>
              </x14:cfvo>
              <x14:cfvo type="percent">
                <xm:f>90</xm:f>
              </x14:cfvo>
              <x14:cfIcon iconSet="3Symbols" iconId="2"/>
              <x14:cfIcon iconSet="3Symbols" iconId="1"/>
              <x14:cfIcon iconSet="3Symbols" iconId="0"/>
            </x14:iconSet>
          </x14:cfRule>
          <xm:sqref>Z411:Z420</xm:sqref>
        </x14:conditionalFormatting>
        <x14:conditionalFormatting xmlns:xm="http://schemas.microsoft.com/office/excel/2006/main">
          <x14:cfRule type="iconSet" priority="849" id="{3B2B309E-EA6C-433E-98CB-E9F7C82ACF35}">
            <x14:iconSet iconSet="3Symbols" custom="1">
              <x14:cfvo type="percent">
                <xm:f>0</xm:f>
              </x14:cfvo>
              <x14:cfvo type="percent">
                <xm:f>50</xm:f>
              </x14:cfvo>
              <x14:cfvo type="percent">
                <xm:f>90</xm:f>
              </x14:cfvo>
              <x14:cfIcon iconSet="3Symbols" iconId="2"/>
              <x14:cfIcon iconSet="3Symbols" iconId="1"/>
              <x14:cfIcon iconSet="3Symbols" iconId="0"/>
            </x14:iconSet>
          </x14:cfRule>
          <xm:sqref>Z411:Z420</xm:sqref>
        </x14:conditionalFormatting>
        <x14:conditionalFormatting xmlns:xm="http://schemas.microsoft.com/office/excel/2006/main">
          <x14:cfRule type="containsText" priority="833" operator="containsText" id="{9C1D7B37-3646-4B06-9050-F336EC8DBA9E}">
            <xm:f>NOT(ISERROR(SEARCH($AY$8,AC425)))</xm:f>
            <xm:f>$AY$8</xm:f>
            <x14:dxf>
              <font>
                <b/>
                <i val="0"/>
                <color rgb="FFFF0000"/>
              </font>
            </x14:dxf>
          </x14:cfRule>
          <xm:sqref>AC425:AC426</xm:sqref>
        </x14:conditionalFormatting>
        <x14:conditionalFormatting xmlns:xm="http://schemas.microsoft.com/office/excel/2006/main">
          <x14:cfRule type="containsText" priority="832" operator="containsText" id="{194E6919-A44F-4F80-BB0E-4D6F246A93DF}">
            <xm:f>NOT(ISERROR(SEARCH($AZ$7,AC425)))</xm:f>
            <xm:f>$AZ$7</xm:f>
            <x14:dxf>
              <font>
                <b/>
                <i val="0"/>
                <color rgb="FF00B050"/>
              </font>
            </x14:dxf>
          </x14:cfRule>
          <xm:sqref>AC425:AC426</xm:sqref>
        </x14:conditionalFormatting>
        <x14:conditionalFormatting xmlns:xm="http://schemas.microsoft.com/office/excel/2006/main">
          <x14:cfRule type="containsText" priority="830" operator="containsText" id="{08835A8B-8F33-4E2F-84F3-0C6229B664A7}">
            <xm:f>NOT(ISERROR(SEARCH($AZ$8,AQ423)))</xm:f>
            <xm:f>$AZ$8</xm:f>
            <x14:dxf>
              <font>
                <b/>
                <i val="0"/>
                <color rgb="FFFF0000"/>
              </font>
            </x14:dxf>
          </x14:cfRule>
          <x14:cfRule type="containsText" priority="831" operator="containsText" id="{E810883F-E2EA-4C42-8AD5-7D7D3EF80D10}">
            <xm:f>NOT(ISERROR(SEARCH($AZ$7,AQ423)))</xm:f>
            <xm:f>$AZ$7</xm:f>
            <x14:dxf>
              <font>
                <b/>
                <i val="0"/>
                <color rgb="FF00B050"/>
              </font>
            </x14:dxf>
          </x14:cfRule>
          <xm:sqref>AQ423:AQ426</xm:sqref>
        </x14:conditionalFormatting>
        <x14:conditionalFormatting xmlns:xm="http://schemas.microsoft.com/office/excel/2006/main">
          <x14:cfRule type="iconSet" priority="839" id="{232323CF-17BB-46DD-AA76-0DE6731D83C8}">
            <x14:iconSet iconSet="3Symbols" custom="1">
              <x14:cfvo type="percent">
                <xm:f>0</xm:f>
              </x14:cfvo>
              <x14:cfvo type="percent">
                <xm:f>60</xm:f>
              </x14:cfvo>
              <x14:cfvo type="percent">
                <xm:f>90</xm:f>
              </x14:cfvo>
              <x14:cfIcon iconSet="3Symbols" iconId="2"/>
              <x14:cfIcon iconSet="3Symbols" iconId="1"/>
              <x14:cfIcon iconSet="3Symbols" iconId="0"/>
            </x14:iconSet>
          </x14:cfRule>
          <xm:sqref>Z425:Z426</xm:sqref>
        </x14:conditionalFormatting>
        <x14:conditionalFormatting xmlns:xm="http://schemas.microsoft.com/office/excel/2006/main">
          <x14:cfRule type="iconSet" priority="840" id="{A82FA2CB-404F-42EB-9C92-48D7CD96D650}">
            <x14:iconSet iconSet="3Symbols" custom="1">
              <x14:cfvo type="percent">
                <xm:f>0</xm:f>
              </x14:cfvo>
              <x14:cfvo type="percent">
                <xm:f>50</xm:f>
              </x14:cfvo>
              <x14:cfvo type="percent">
                <xm:f>90</xm:f>
              </x14:cfvo>
              <x14:cfIcon iconSet="3Symbols" iconId="2"/>
              <x14:cfIcon iconSet="3Symbols" iconId="1"/>
              <x14:cfIcon iconSet="3Symbols" iconId="0"/>
            </x14:iconSet>
          </x14:cfRule>
          <xm:sqref>Z425:Z426</xm:sqref>
        </x14:conditionalFormatting>
        <x14:conditionalFormatting xmlns:xm="http://schemas.microsoft.com/office/excel/2006/main">
          <x14:cfRule type="containsText" priority="822" operator="containsText" id="{812B5566-A902-404F-8D47-8C997EE03544}">
            <xm:f>NOT(ISERROR(SEARCH($AY$8,AC423)))</xm:f>
            <xm:f>$AY$8</xm:f>
            <x14:dxf>
              <font>
                <b/>
                <i val="0"/>
                <color rgb="FFFF0000"/>
              </font>
            </x14:dxf>
          </x14:cfRule>
          <xm:sqref>AC423:AC424</xm:sqref>
        </x14:conditionalFormatting>
        <x14:conditionalFormatting xmlns:xm="http://schemas.microsoft.com/office/excel/2006/main">
          <x14:cfRule type="containsText" priority="821" operator="containsText" id="{31C5CF96-6647-4790-97B0-8A50ED70C8D0}">
            <xm:f>NOT(ISERROR(SEARCH($AZ$7,AC423)))</xm:f>
            <xm:f>$AZ$7</xm:f>
            <x14:dxf>
              <font>
                <b/>
                <i val="0"/>
                <color rgb="FF00B050"/>
              </font>
            </x14:dxf>
          </x14:cfRule>
          <xm:sqref>AC423:AC424</xm:sqref>
        </x14:conditionalFormatting>
        <x14:conditionalFormatting xmlns:xm="http://schemas.microsoft.com/office/excel/2006/main">
          <x14:cfRule type="iconSet" priority="828" id="{C6E27E1C-9186-49FB-8C86-5FFE90CBADDA}">
            <x14:iconSet iconSet="3Symbols" custom="1">
              <x14:cfvo type="percent">
                <xm:f>0</xm:f>
              </x14:cfvo>
              <x14:cfvo type="percent">
                <xm:f>60</xm:f>
              </x14:cfvo>
              <x14:cfvo type="percent">
                <xm:f>90</xm:f>
              </x14:cfvo>
              <x14:cfIcon iconSet="3Symbols" iconId="2"/>
              <x14:cfIcon iconSet="3Symbols" iconId="1"/>
              <x14:cfIcon iconSet="3Symbols" iconId="0"/>
            </x14:iconSet>
          </x14:cfRule>
          <xm:sqref>Z423:Z424</xm:sqref>
        </x14:conditionalFormatting>
        <x14:conditionalFormatting xmlns:xm="http://schemas.microsoft.com/office/excel/2006/main">
          <x14:cfRule type="iconSet" priority="829" id="{D6398631-9A76-48AA-B404-727721D4E017}">
            <x14:iconSet iconSet="3Symbols" custom="1">
              <x14:cfvo type="percent">
                <xm:f>0</xm:f>
              </x14:cfvo>
              <x14:cfvo type="percent">
                <xm:f>50</xm:f>
              </x14:cfvo>
              <x14:cfvo type="percent">
                <xm:f>90</xm:f>
              </x14:cfvo>
              <x14:cfIcon iconSet="3Symbols" iconId="2"/>
              <x14:cfIcon iconSet="3Symbols" iconId="1"/>
              <x14:cfIcon iconSet="3Symbols" iconId="0"/>
            </x14:iconSet>
          </x14:cfRule>
          <xm:sqref>Z423:Z424</xm:sqref>
        </x14:conditionalFormatting>
        <x14:conditionalFormatting xmlns:xm="http://schemas.microsoft.com/office/excel/2006/main">
          <x14:cfRule type="containsText" priority="813" operator="containsText" id="{F52796F3-2CBE-48A1-B01E-A114A9A52382}">
            <xm:f>NOT(ISERROR(SEARCH($AY$8,AC429)))</xm:f>
            <xm:f>$AY$8</xm:f>
            <x14:dxf>
              <font>
                <b/>
                <i val="0"/>
                <color rgb="FFFF0000"/>
              </font>
            </x14:dxf>
          </x14:cfRule>
          <xm:sqref>AC429:AC430</xm:sqref>
        </x14:conditionalFormatting>
        <x14:conditionalFormatting xmlns:xm="http://schemas.microsoft.com/office/excel/2006/main">
          <x14:cfRule type="containsText" priority="812" operator="containsText" id="{81E91FF9-49ED-4F21-8AAE-C2187E84FAC6}">
            <xm:f>NOT(ISERROR(SEARCH($AZ$7,AC429)))</xm:f>
            <xm:f>$AZ$7</xm:f>
            <x14:dxf>
              <font>
                <b/>
                <i val="0"/>
                <color rgb="FF00B050"/>
              </font>
            </x14:dxf>
          </x14:cfRule>
          <xm:sqref>AC429:AC430</xm:sqref>
        </x14:conditionalFormatting>
        <x14:conditionalFormatting xmlns:xm="http://schemas.microsoft.com/office/excel/2006/main">
          <x14:cfRule type="containsText" priority="810" operator="containsText" id="{4150BDEB-E016-4AA1-93AB-C80A820FF8E9}">
            <xm:f>NOT(ISERROR(SEARCH($AZ$8,AQ427)))</xm:f>
            <xm:f>$AZ$8</xm:f>
            <x14:dxf>
              <font>
                <b/>
                <i val="0"/>
                <color rgb="FFFF0000"/>
              </font>
            </x14:dxf>
          </x14:cfRule>
          <x14:cfRule type="containsText" priority="811" operator="containsText" id="{02DD7D48-8528-429F-AD61-72DC44B4A598}">
            <xm:f>NOT(ISERROR(SEARCH($AZ$7,AQ427)))</xm:f>
            <xm:f>$AZ$7</xm:f>
            <x14:dxf>
              <font>
                <b/>
                <i val="0"/>
                <color rgb="FF00B050"/>
              </font>
            </x14:dxf>
          </x14:cfRule>
          <xm:sqref>AQ427:AQ430</xm:sqref>
        </x14:conditionalFormatting>
        <x14:conditionalFormatting xmlns:xm="http://schemas.microsoft.com/office/excel/2006/main">
          <x14:cfRule type="iconSet" priority="819" id="{E6D05446-E5C1-46AC-855C-852241482B4B}">
            <x14:iconSet iconSet="3Symbols" custom="1">
              <x14:cfvo type="percent">
                <xm:f>0</xm:f>
              </x14:cfvo>
              <x14:cfvo type="percent">
                <xm:f>60</xm:f>
              </x14:cfvo>
              <x14:cfvo type="percent">
                <xm:f>90</xm:f>
              </x14:cfvo>
              <x14:cfIcon iconSet="3Symbols" iconId="2"/>
              <x14:cfIcon iconSet="3Symbols" iconId="1"/>
              <x14:cfIcon iconSet="3Symbols" iconId="0"/>
            </x14:iconSet>
          </x14:cfRule>
          <xm:sqref>Z429:Z430</xm:sqref>
        </x14:conditionalFormatting>
        <x14:conditionalFormatting xmlns:xm="http://schemas.microsoft.com/office/excel/2006/main">
          <x14:cfRule type="iconSet" priority="820" id="{B1AC7F73-656C-441F-B969-D978DF413480}">
            <x14:iconSet iconSet="3Symbols" custom="1">
              <x14:cfvo type="percent">
                <xm:f>0</xm:f>
              </x14:cfvo>
              <x14:cfvo type="percent">
                <xm:f>50</xm:f>
              </x14:cfvo>
              <x14:cfvo type="percent">
                <xm:f>90</xm:f>
              </x14:cfvo>
              <x14:cfIcon iconSet="3Symbols" iconId="2"/>
              <x14:cfIcon iconSet="3Symbols" iconId="1"/>
              <x14:cfIcon iconSet="3Symbols" iconId="0"/>
            </x14:iconSet>
          </x14:cfRule>
          <xm:sqref>Z429:Z430</xm:sqref>
        </x14:conditionalFormatting>
        <x14:conditionalFormatting xmlns:xm="http://schemas.microsoft.com/office/excel/2006/main">
          <x14:cfRule type="containsText" priority="802" operator="containsText" id="{2F2A19D7-C991-4D95-B290-FA90579EA105}">
            <xm:f>NOT(ISERROR(SEARCH($AY$8,AC427)))</xm:f>
            <xm:f>$AY$8</xm:f>
            <x14:dxf>
              <font>
                <b/>
                <i val="0"/>
                <color rgb="FFFF0000"/>
              </font>
            </x14:dxf>
          </x14:cfRule>
          <xm:sqref>AC427:AC428</xm:sqref>
        </x14:conditionalFormatting>
        <x14:conditionalFormatting xmlns:xm="http://schemas.microsoft.com/office/excel/2006/main">
          <x14:cfRule type="containsText" priority="801" operator="containsText" id="{5E88C617-F6DF-4363-B804-2CB435948757}">
            <xm:f>NOT(ISERROR(SEARCH($AZ$7,AC427)))</xm:f>
            <xm:f>$AZ$7</xm:f>
            <x14:dxf>
              <font>
                <b/>
                <i val="0"/>
                <color rgb="FF00B050"/>
              </font>
            </x14:dxf>
          </x14:cfRule>
          <xm:sqref>AC427:AC428</xm:sqref>
        </x14:conditionalFormatting>
        <x14:conditionalFormatting xmlns:xm="http://schemas.microsoft.com/office/excel/2006/main">
          <x14:cfRule type="iconSet" priority="808" id="{FFF6C7D5-DBCD-4234-8F90-88DB4B82B189}">
            <x14:iconSet iconSet="3Symbols" custom="1">
              <x14:cfvo type="percent">
                <xm:f>0</xm:f>
              </x14:cfvo>
              <x14:cfvo type="percent">
                <xm:f>60</xm:f>
              </x14:cfvo>
              <x14:cfvo type="percent">
                <xm:f>90</xm:f>
              </x14:cfvo>
              <x14:cfIcon iconSet="3Symbols" iconId="2"/>
              <x14:cfIcon iconSet="3Symbols" iconId="1"/>
              <x14:cfIcon iconSet="3Symbols" iconId="0"/>
            </x14:iconSet>
          </x14:cfRule>
          <xm:sqref>Z427:Z428</xm:sqref>
        </x14:conditionalFormatting>
        <x14:conditionalFormatting xmlns:xm="http://schemas.microsoft.com/office/excel/2006/main">
          <x14:cfRule type="iconSet" priority="809" id="{40C2AEB1-EB1A-4C9E-AA8C-4A2CADCB52A4}">
            <x14:iconSet iconSet="3Symbols" custom="1">
              <x14:cfvo type="percent">
                <xm:f>0</xm:f>
              </x14:cfvo>
              <x14:cfvo type="percent">
                <xm:f>50</xm:f>
              </x14:cfvo>
              <x14:cfvo type="percent">
                <xm:f>90</xm:f>
              </x14:cfvo>
              <x14:cfIcon iconSet="3Symbols" iconId="2"/>
              <x14:cfIcon iconSet="3Symbols" iconId="1"/>
              <x14:cfIcon iconSet="3Symbols" iconId="0"/>
            </x14:iconSet>
          </x14:cfRule>
          <xm:sqref>Z427:Z428</xm:sqref>
        </x14:conditionalFormatting>
        <x14:conditionalFormatting xmlns:xm="http://schemas.microsoft.com/office/excel/2006/main">
          <x14:cfRule type="containsText" priority="793" operator="containsText" id="{89E593FE-A074-4D1E-95EF-7DAB1E061880}">
            <xm:f>NOT(ISERROR(SEARCH($AY$8,AC433)))</xm:f>
            <xm:f>$AY$8</xm:f>
            <x14:dxf>
              <font>
                <b/>
                <i val="0"/>
                <color rgb="FFFF0000"/>
              </font>
            </x14:dxf>
          </x14:cfRule>
          <xm:sqref>AC433:AC434</xm:sqref>
        </x14:conditionalFormatting>
        <x14:conditionalFormatting xmlns:xm="http://schemas.microsoft.com/office/excel/2006/main">
          <x14:cfRule type="containsText" priority="792" operator="containsText" id="{2755045F-5F44-4CCA-B6F7-A967CCF7A2E9}">
            <xm:f>NOT(ISERROR(SEARCH($AZ$7,AC433)))</xm:f>
            <xm:f>$AZ$7</xm:f>
            <x14:dxf>
              <font>
                <b/>
                <i val="0"/>
                <color rgb="FF00B050"/>
              </font>
            </x14:dxf>
          </x14:cfRule>
          <xm:sqref>AC433:AC434</xm:sqref>
        </x14:conditionalFormatting>
        <x14:conditionalFormatting xmlns:xm="http://schemas.microsoft.com/office/excel/2006/main">
          <x14:cfRule type="containsText" priority="790" operator="containsText" id="{829CC1C1-22FF-409C-83D0-D07EE688D129}">
            <xm:f>NOT(ISERROR(SEARCH($AZ$8,AQ431)))</xm:f>
            <xm:f>$AZ$8</xm:f>
            <x14:dxf>
              <font>
                <b/>
                <i val="0"/>
                <color rgb="FFFF0000"/>
              </font>
            </x14:dxf>
          </x14:cfRule>
          <x14:cfRule type="containsText" priority="791" operator="containsText" id="{CE0D3C68-A043-49DD-A414-CDB80CD68CFD}">
            <xm:f>NOT(ISERROR(SEARCH($AZ$7,AQ431)))</xm:f>
            <xm:f>$AZ$7</xm:f>
            <x14:dxf>
              <font>
                <b/>
                <i val="0"/>
                <color rgb="FF00B050"/>
              </font>
            </x14:dxf>
          </x14:cfRule>
          <xm:sqref>AQ431:AQ434</xm:sqref>
        </x14:conditionalFormatting>
        <x14:conditionalFormatting xmlns:xm="http://schemas.microsoft.com/office/excel/2006/main">
          <x14:cfRule type="iconSet" priority="799" id="{4FB5CE77-5411-4BA4-AC65-FD9AC158EF48}">
            <x14:iconSet iconSet="3Symbols" custom="1">
              <x14:cfvo type="percent">
                <xm:f>0</xm:f>
              </x14:cfvo>
              <x14:cfvo type="percent">
                <xm:f>60</xm:f>
              </x14:cfvo>
              <x14:cfvo type="percent">
                <xm:f>90</xm:f>
              </x14:cfvo>
              <x14:cfIcon iconSet="3Symbols" iconId="2"/>
              <x14:cfIcon iconSet="3Symbols" iconId="1"/>
              <x14:cfIcon iconSet="3Symbols" iconId="0"/>
            </x14:iconSet>
          </x14:cfRule>
          <xm:sqref>Z433:Z434</xm:sqref>
        </x14:conditionalFormatting>
        <x14:conditionalFormatting xmlns:xm="http://schemas.microsoft.com/office/excel/2006/main">
          <x14:cfRule type="iconSet" priority="800" id="{31D6AE2D-2CDF-4529-9839-AD9FCF943ADC}">
            <x14:iconSet iconSet="3Symbols" custom="1">
              <x14:cfvo type="percent">
                <xm:f>0</xm:f>
              </x14:cfvo>
              <x14:cfvo type="percent">
                <xm:f>50</xm:f>
              </x14:cfvo>
              <x14:cfvo type="percent">
                <xm:f>90</xm:f>
              </x14:cfvo>
              <x14:cfIcon iconSet="3Symbols" iconId="2"/>
              <x14:cfIcon iconSet="3Symbols" iconId="1"/>
              <x14:cfIcon iconSet="3Symbols" iconId="0"/>
            </x14:iconSet>
          </x14:cfRule>
          <xm:sqref>Z433:Z434</xm:sqref>
        </x14:conditionalFormatting>
        <x14:conditionalFormatting xmlns:xm="http://schemas.microsoft.com/office/excel/2006/main">
          <x14:cfRule type="containsText" priority="782" operator="containsText" id="{0201FF66-8D33-4BF0-A894-2B8926D287BA}">
            <xm:f>NOT(ISERROR(SEARCH($AY$8,AC431)))</xm:f>
            <xm:f>$AY$8</xm:f>
            <x14:dxf>
              <font>
                <b/>
                <i val="0"/>
                <color rgb="FFFF0000"/>
              </font>
            </x14:dxf>
          </x14:cfRule>
          <xm:sqref>AC431:AC432</xm:sqref>
        </x14:conditionalFormatting>
        <x14:conditionalFormatting xmlns:xm="http://schemas.microsoft.com/office/excel/2006/main">
          <x14:cfRule type="containsText" priority="781" operator="containsText" id="{32BF9606-7C76-427E-9F0D-A7FB4ED2F9ED}">
            <xm:f>NOT(ISERROR(SEARCH($AZ$7,AC431)))</xm:f>
            <xm:f>$AZ$7</xm:f>
            <x14:dxf>
              <font>
                <b/>
                <i val="0"/>
                <color rgb="FF00B050"/>
              </font>
            </x14:dxf>
          </x14:cfRule>
          <xm:sqref>AC431:AC432</xm:sqref>
        </x14:conditionalFormatting>
        <x14:conditionalFormatting xmlns:xm="http://schemas.microsoft.com/office/excel/2006/main">
          <x14:cfRule type="iconSet" priority="788" id="{46CB750E-FC42-4EB9-BD48-AA2BC84E0B39}">
            <x14:iconSet iconSet="3Symbols" custom="1">
              <x14:cfvo type="percent">
                <xm:f>0</xm:f>
              </x14:cfvo>
              <x14:cfvo type="percent">
                <xm:f>60</xm:f>
              </x14:cfvo>
              <x14:cfvo type="percent">
                <xm:f>90</xm:f>
              </x14:cfvo>
              <x14:cfIcon iconSet="3Symbols" iconId="2"/>
              <x14:cfIcon iconSet="3Symbols" iconId="1"/>
              <x14:cfIcon iconSet="3Symbols" iconId="0"/>
            </x14:iconSet>
          </x14:cfRule>
          <xm:sqref>Z431:Z432</xm:sqref>
        </x14:conditionalFormatting>
        <x14:conditionalFormatting xmlns:xm="http://schemas.microsoft.com/office/excel/2006/main">
          <x14:cfRule type="iconSet" priority="789" id="{089EBEF8-3CED-4500-A827-F2ABE1C782E2}">
            <x14:iconSet iconSet="3Symbols" custom="1">
              <x14:cfvo type="percent">
                <xm:f>0</xm:f>
              </x14:cfvo>
              <x14:cfvo type="percent">
                <xm:f>50</xm:f>
              </x14:cfvo>
              <x14:cfvo type="percent">
                <xm:f>90</xm:f>
              </x14:cfvo>
              <x14:cfIcon iconSet="3Symbols" iconId="2"/>
              <x14:cfIcon iconSet="3Symbols" iconId="1"/>
              <x14:cfIcon iconSet="3Symbols" iconId="0"/>
            </x14:iconSet>
          </x14:cfRule>
          <xm:sqref>Z431:Z432</xm:sqref>
        </x14:conditionalFormatting>
        <x14:conditionalFormatting xmlns:xm="http://schemas.microsoft.com/office/excel/2006/main">
          <x14:cfRule type="containsText" priority="773" operator="containsText" id="{939F4DFD-77BD-417B-81E5-145496A88835}">
            <xm:f>NOT(ISERROR(SEARCH($AY$8,AC435)))</xm:f>
            <xm:f>$AY$8</xm:f>
            <x14:dxf>
              <font>
                <b/>
                <i val="0"/>
                <color rgb="FFFF0000"/>
              </font>
            </x14:dxf>
          </x14:cfRule>
          <xm:sqref>AC435:AC436</xm:sqref>
        </x14:conditionalFormatting>
        <x14:conditionalFormatting xmlns:xm="http://schemas.microsoft.com/office/excel/2006/main">
          <x14:cfRule type="containsText" priority="772" operator="containsText" id="{3B9B0FD4-C79A-4528-9BD2-7F4A0C53B172}">
            <xm:f>NOT(ISERROR(SEARCH($AZ$7,AC435)))</xm:f>
            <xm:f>$AZ$7</xm:f>
            <x14:dxf>
              <font>
                <b/>
                <i val="0"/>
                <color rgb="FF00B050"/>
              </font>
            </x14:dxf>
          </x14:cfRule>
          <xm:sqref>AC435:AC436</xm:sqref>
        </x14:conditionalFormatting>
        <x14:conditionalFormatting xmlns:xm="http://schemas.microsoft.com/office/excel/2006/main">
          <x14:cfRule type="containsText" priority="770" operator="containsText" id="{EBB1EEDF-EC1F-4AFE-9453-D6F0706CF8FF}">
            <xm:f>NOT(ISERROR(SEARCH($AZ$8,AQ435)))</xm:f>
            <xm:f>$AZ$8</xm:f>
            <x14:dxf>
              <font>
                <b/>
                <i val="0"/>
                <color rgb="FFFF0000"/>
              </font>
            </x14:dxf>
          </x14:cfRule>
          <x14:cfRule type="containsText" priority="771" operator="containsText" id="{F61C6EEB-9301-4CA3-A0C0-4B70F1A9831F}">
            <xm:f>NOT(ISERROR(SEARCH($AZ$7,AQ435)))</xm:f>
            <xm:f>$AZ$7</xm:f>
            <x14:dxf>
              <font>
                <b/>
                <i val="0"/>
                <color rgb="FF00B050"/>
              </font>
            </x14:dxf>
          </x14:cfRule>
          <xm:sqref>AQ435:AQ436</xm:sqref>
        </x14:conditionalFormatting>
        <x14:conditionalFormatting xmlns:xm="http://schemas.microsoft.com/office/excel/2006/main">
          <x14:cfRule type="iconSet" priority="779" id="{B4FDB90F-6CFB-4468-8452-36439FAF0EE8}">
            <x14:iconSet iconSet="3Symbols" custom="1">
              <x14:cfvo type="percent">
                <xm:f>0</xm:f>
              </x14:cfvo>
              <x14:cfvo type="percent">
                <xm:f>60</xm:f>
              </x14:cfvo>
              <x14:cfvo type="percent">
                <xm:f>90</xm:f>
              </x14:cfvo>
              <x14:cfIcon iconSet="3Symbols" iconId="2"/>
              <x14:cfIcon iconSet="3Symbols" iconId="1"/>
              <x14:cfIcon iconSet="3Symbols" iconId="0"/>
            </x14:iconSet>
          </x14:cfRule>
          <xm:sqref>Z435:Z436</xm:sqref>
        </x14:conditionalFormatting>
        <x14:conditionalFormatting xmlns:xm="http://schemas.microsoft.com/office/excel/2006/main">
          <x14:cfRule type="iconSet" priority="780" id="{D503D257-B8AF-468A-9E3F-527CB7DEEC09}">
            <x14:iconSet iconSet="3Symbols" custom="1">
              <x14:cfvo type="percent">
                <xm:f>0</xm:f>
              </x14:cfvo>
              <x14:cfvo type="percent">
                <xm:f>50</xm:f>
              </x14:cfvo>
              <x14:cfvo type="percent">
                <xm:f>90</xm:f>
              </x14:cfvo>
              <x14:cfIcon iconSet="3Symbols" iconId="2"/>
              <x14:cfIcon iconSet="3Symbols" iconId="1"/>
              <x14:cfIcon iconSet="3Symbols" iconId="0"/>
            </x14:iconSet>
          </x14:cfRule>
          <xm:sqref>Z435:Z436</xm:sqref>
        </x14:conditionalFormatting>
        <x14:conditionalFormatting xmlns:xm="http://schemas.microsoft.com/office/excel/2006/main">
          <x14:cfRule type="containsText" priority="762" operator="containsText" id="{BA3567D3-78E9-44EC-BA82-652335A4AD46}">
            <xm:f>NOT(ISERROR(SEARCH($AY$8,AC439)))</xm:f>
            <xm:f>$AY$8</xm:f>
            <x14:dxf>
              <font>
                <b/>
                <i val="0"/>
                <color rgb="FFFF0000"/>
              </font>
            </x14:dxf>
          </x14:cfRule>
          <xm:sqref>AC439:AC440</xm:sqref>
        </x14:conditionalFormatting>
        <x14:conditionalFormatting xmlns:xm="http://schemas.microsoft.com/office/excel/2006/main">
          <x14:cfRule type="containsText" priority="761" operator="containsText" id="{6473990B-B0D1-4992-A0A8-E6AEC88B83B4}">
            <xm:f>NOT(ISERROR(SEARCH($AZ$7,AC439)))</xm:f>
            <xm:f>$AZ$7</xm:f>
            <x14:dxf>
              <font>
                <b/>
                <i val="0"/>
                <color rgb="FF00B050"/>
              </font>
            </x14:dxf>
          </x14:cfRule>
          <xm:sqref>AC439:AC440</xm:sqref>
        </x14:conditionalFormatting>
        <x14:conditionalFormatting xmlns:xm="http://schemas.microsoft.com/office/excel/2006/main">
          <x14:cfRule type="containsText" priority="759" operator="containsText" id="{6EFBB90C-D06A-471F-A150-CFD8DB66BE75}">
            <xm:f>NOT(ISERROR(SEARCH($AZ$8,AQ437)))</xm:f>
            <xm:f>$AZ$8</xm:f>
            <x14:dxf>
              <font>
                <b/>
                <i val="0"/>
                <color rgb="FFFF0000"/>
              </font>
            </x14:dxf>
          </x14:cfRule>
          <x14:cfRule type="containsText" priority="760" operator="containsText" id="{EFAA6682-6C6F-4CFD-BC2B-87D635D06409}">
            <xm:f>NOT(ISERROR(SEARCH($AZ$7,AQ437)))</xm:f>
            <xm:f>$AZ$7</xm:f>
            <x14:dxf>
              <font>
                <b/>
                <i val="0"/>
                <color rgb="FF00B050"/>
              </font>
            </x14:dxf>
          </x14:cfRule>
          <xm:sqref>AQ437:AQ440</xm:sqref>
        </x14:conditionalFormatting>
        <x14:conditionalFormatting xmlns:xm="http://schemas.microsoft.com/office/excel/2006/main">
          <x14:cfRule type="containsText" priority="751" operator="containsText" id="{4068A207-84BA-4F47-9FEE-E8CB87EDF8AC}">
            <xm:f>NOT(ISERROR(SEARCH($AY$8,AC437)))</xm:f>
            <xm:f>$AY$8</xm:f>
            <x14:dxf>
              <font>
                <b/>
                <i val="0"/>
                <color rgb="FFFF0000"/>
              </font>
            </x14:dxf>
          </x14:cfRule>
          <xm:sqref>AC437:AC438</xm:sqref>
        </x14:conditionalFormatting>
        <x14:conditionalFormatting xmlns:xm="http://schemas.microsoft.com/office/excel/2006/main">
          <x14:cfRule type="containsText" priority="750" operator="containsText" id="{115FD359-93D4-4BB8-9939-71AC2B4B9D64}">
            <xm:f>NOT(ISERROR(SEARCH($AZ$7,AC437)))</xm:f>
            <xm:f>$AZ$7</xm:f>
            <x14:dxf>
              <font>
                <b/>
                <i val="0"/>
                <color rgb="FF00B050"/>
              </font>
            </x14:dxf>
          </x14:cfRule>
          <xm:sqref>AC437:AC438</xm:sqref>
        </x14:conditionalFormatting>
        <x14:conditionalFormatting xmlns:xm="http://schemas.microsoft.com/office/excel/2006/main">
          <x14:cfRule type="containsText" priority="742" operator="containsText" id="{3CFE7E39-EC06-4F1C-B4D2-A2948478410C}">
            <xm:f>NOT(ISERROR(SEARCH($AY$8,AC441)))</xm:f>
            <xm:f>$AY$8</xm:f>
            <x14:dxf>
              <font>
                <b/>
                <i val="0"/>
                <color rgb="FFFF0000"/>
              </font>
            </x14:dxf>
          </x14:cfRule>
          <xm:sqref>AC441:AC442</xm:sqref>
        </x14:conditionalFormatting>
        <x14:conditionalFormatting xmlns:xm="http://schemas.microsoft.com/office/excel/2006/main">
          <x14:cfRule type="containsText" priority="741" operator="containsText" id="{1C89DA7E-AA58-45E9-8B8D-CEBA5DDFA324}">
            <xm:f>NOT(ISERROR(SEARCH($AZ$7,AC441)))</xm:f>
            <xm:f>$AZ$7</xm:f>
            <x14:dxf>
              <font>
                <b/>
                <i val="0"/>
                <color rgb="FF00B050"/>
              </font>
            </x14:dxf>
          </x14:cfRule>
          <xm:sqref>AC441:AC442</xm:sqref>
        </x14:conditionalFormatting>
        <x14:conditionalFormatting xmlns:xm="http://schemas.microsoft.com/office/excel/2006/main">
          <x14:cfRule type="containsText" priority="739" operator="containsText" id="{AB3EE87F-D1D5-4762-9D8C-C8AD0923753E}">
            <xm:f>NOT(ISERROR(SEARCH($AZ$8,AQ441)))</xm:f>
            <xm:f>$AZ$8</xm:f>
            <x14:dxf>
              <font>
                <b/>
                <i val="0"/>
                <color rgb="FFFF0000"/>
              </font>
            </x14:dxf>
          </x14:cfRule>
          <x14:cfRule type="containsText" priority="740" operator="containsText" id="{BCD31B07-45AF-4B3E-9296-0CE2D6BCDCCC}">
            <xm:f>NOT(ISERROR(SEARCH($AZ$7,AQ441)))</xm:f>
            <xm:f>$AZ$7</xm:f>
            <x14:dxf>
              <font>
                <b/>
                <i val="0"/>
                <color rgb="FF00B050"/>
              </font>
            </x14:dxf>
          </x14:cfRule>
          <xm:sqref>AQ441:AQ442</xm:sqref>
        </x14:conditionalFormatting>
        <x14:conditionalFormatting xmlns:xm="http://schemas.microsoft.com/office/excel/2006/main">
          <x14:cfRule type="containsText" priority="731" operator="containsText" id="{9E578760-CB92-4CDF-BD39-BDC69BCB51FA}">
            <xm:f>NOT(ISERROR(SEARCH($AY$8,AC445)))</xm:f>
            <xm:f>$AY$8</xm:f>
            <x14:dxf>
              <font>
                <b/>
                <i val="0"/>
                <color rgb="FFFF0000"/>
              </font>
            </x14:dxf>
          </x14:cfRule>
          <xm:sqref>AC445:AC446</xm:sqref>
        </x14:conditionalFormatting>
        <x14:conditionalFormatting xmlns:xm="http://schemas.microsoft.com/office/excel/2006/main">
          <x14:cfRule type="containsText" priority="730" operator="containsText" id="{EA0EAC0A-3C21-4B12-A87C-7F7854895CBD}">
            <xm:f>NOT(ISERROR(SEARCH($AZ$7,AC445)))</xm:f>
            <xm:f>$AZ$7</xm:f>
            <x14:dxf>
              <font>
                <b/>
                <i val="0"/>
                <color rgb="FF00B050"/>
              </font>
            </x14:dxf>
          </x14:cfRule>
          <xm:sqref>AC445:AC446</xm:sqref>
        </x14:conditionalFormatting>
        <x14:conditionalFormatting xmlns:xm="http://schemas.microsoft.com/office/excel/2006/main">
          <x14:cfRule type="containsText" priority="728" operator="containsText" id="{CAA0316D-0344-4AA6-BDC4-6B9A0D167593}">
            <xm:f>NOT(ISERROR(SEARCH($AZ$8,AQ443)))</xm:f>
            <xm:f>$AZ$8</xm:f>
            <x14:dxf>
              <font>
                <b/>
                <i val="0"/>
                <color rgb="FFFF0000"/>
              </font>
            </x14:dxf>
          </x14:cfRule>
          <x14:cfRule type="containsText" priority="729" operator="containsText" id="{2E0A274C-4474-4B2A-88FE-7405083C6ACF}">
            <xm:f>NOT(ISERROR(SEARCH($AZ$7,AQ443)))</xm:f>
            <xm:f>$AZ$7</xm:f>
            <x14:dxf>
              <font>
                <b/>
                <i val="0"/>
                <color rgb="FF00B050"/>
              </font>
            </x14:dxf>
          </x14:cfRule>
          <xm:sqref>AQ443:AQ446</xm:sqref>
        </x14:conditionalFormatting>
        <x14:conditionalFormatting xmlns:xm="http://schemas.microsoft.com/office/excel/2006/main">
          <x14:cfRule type="containsText" priority="720" operator="containsText" id="{B2151934-7139-4BA1-BFCD-3724D6F2E3B5}">
            <xm:f>NOT(ISERROR(SEARCH($AY$8,AC443)))</xm:f>
            <xm:f>$AY$8</xm:f>
            <x14:dxf>
              <font>
                <b/>
                <i val="0"/>
                <color rgb="FFFF0000"/>
              </font>
            </x14:dxf>
          </x14:cfRule>
          <xm:sqref>AC443:AC444</xm:sqref>
        </x14:conditionalFormatting>
        <x14:conditionalFormatting xmlns:xm="http://schemas.microsoft.com/office/excel/2006/main">
          <x14:cfRule type="containsText" priority="719" operator="containsText" id="{3BDC5D37-9722-4B0B-9B13-0DC1F9BFF825}">
            <xm:f>NOT(ISERROR(SEARCH($AZ$7,AC443)))</xm:f>
            <xm:f>$AZ$7</xm:f>
            <x14:dxf>
              <font>
                <b/>
                <i val="0"/>
                <color rgb="FF00B050"/>
              </font>
            </x14:dxf>
          </x14:cfRule>
          <xm:sqref>AC443:AC444</xm:sqref>
        </x14:conditionalFormatting>
        <x14:conditionalFormatting xmlns:xm="http://schemas.microsoft.com/office/excel/2006/main">
          <x14:cfRule type="containsText" priority="711" operator="containsText" id="{142C0EA7-F002-4BB3-8CFC-F345996BDFC5}">
            <xm:f>NOT(ISERROR(SEARCH($AY$8,AC447)))</xm:f>
            <xm:f>$AY$8</xm:f>
            <x14:dxf>
              <font>
                <b/>
                <i val="0"/>
                <color rgb="FFFF0000"/>
              </font>
            </x14:dxf>
          </x14:cfRule>
          <xm:sqref>AC447:AC448</xm:sqref>
        </x14:conditionalFormatting>
        <x14:conditionalFormatting xmlns:xm="http://schemas.microsoft.com/office/excel/2006/main">
          <x14:cfRule type="containsText" priority="710" operator="containsText" id="{ED754564-70D4-4D33-8624-B7D4C993472D}">
            <xm:f>NOT(ISERROR(SEARCH($AZ$7,AC447)))</xm:f>
            <xm:f>$AZ$7</xm:f>
            <x14:dxf>
              <font>
                <b/>
                <i val="0"/>
                <color rgb="FF00B050"/>
              </font>
            </x14:dxf>
          </x14:cfRule>
          <xm:sqref>AC447:AC448</xm:sqref>
        </x14:conditionalFormatting>
        <x14:conditionalFormatting xmlns:xm="http://schemas.microsoft.com/office/excel/2006/main">
          <x14:cfRule type="containsText" priority="708" operator="containsText" id="{2786D6F3-BE3E-4D1A-8F50-A753CAF46C99}">
            <xm:f>NOT(ISERROR(SEARCH($AZ$8,AQ447)))</xm:f>
            <xm:f>$AZ$8</xm:f>
            <x14:dxf>
              <font>
                <b/>
                <i val="0"/>
                <color rgb="FFFF0000"/>
              </font>
            </x14:dxf>
          </x14:cfRule>
          <x14:cfRule type="containsText" priority="709" operator="containsText" id="{80063AAA-F19D-4CFD-B812-7BA8D02D7D8B}">
            <xm:f>NOT(ISERROR(SEARCH($AZ$7,AQ447)))</xm:f>
            <xm:f>$AZ$7</xm:f>
            <x14:dxf>
              <font>
                <b/>
                <i val="0"/>
                <color rgb="FF00B050"/>
              </font>
            </x14:dxf>
          </x14:cfRule>
          <xm:sqref>AQ447</xm:sqref>
        </x14:conditionalFormatting>
        <x14:conditionalFormatting xmlns:xm="http://schemas.microsoft.com/office/excel/2006/main">
          <x14:cfRule type="containsText" priority="700" operator="containsText" id="{C41B38F2-1731-4F0F-BFF7-E8CFDFF42F98}">
            <xm:f>NOT(ISERROR(SEARCH($AY$8,AC451)))</xm:f>
            <xm:f>$AY$8</xm:f>
            <x14:dxf>
              <font>
                <b/>
                <i val="0"/>
                <color rgb="FFFF0000"/>
              </font>
            </x14:dxf>
          </x14:cfRule>
          <xm:sqref>AC451:AC452</xm:sqref>
        </x14:conditionalFormatting>
        <x14:conditionalFormatting xmlns:xm="http://schemas.microsoft.com/office/excel/2006/main">
          <x14:cfRule type="containsText" priority="699" operator="containsText" id="{10266C8A-FB8C-49C5-B149-7069AE09A09C}">
            <xm:f>NOT(ISERROR(SEARCH($AZ$7,AC451)))</xm:f>
            <xm:f>$AZ$7</xm:f>
            <x14:dxf>
              <font>
                <b/>
                <i val="0"/>
                <color rgb="FF00B050"/>
              </font>
            </x14:dxf>
          </x14:cfRule>
          <xm:sqref>AC451:AC452</xm:sqref>
        </x14:conditionalFormatting>
        <x14:conditionalFormatting xmlns:xm="http://schemas.microsoft.com/office/excel/2006/main">
          <x14:cfRule type="containsText" priority="697" operator="containsText" id="{15FB0DE1-DB7B-4B87-98DE-C25A13E6811A}">
            <xm:f>NOT(ISERROR(SEARCH($AZ$8,AQ449)))</xm:f>
            <xm:f>$AZ$8</xm:f>
            <x14:dxf>
              <font>
                <b/>
                <i val="0"/>
                <color rgb="FFFF0000"/>
              </font>
            </x14:dxf>
          </x14:cfRule>
          <x14:cfRule type="containsText" priority="698" operator="containsText" id="{FA18A2F6-1EE0-4C73-83E0-372537C25B7B}">
            <xm:f>NOT(ISERROR(SEARCH($AZ$7,AQ449)))</xm:f>
            <xm:f>$AZ$7</xm:f>
            <x14:dxf>
              <font>
                <b/>
                <i val="0"/>
                <color rgb="FF00B050"/>
              </font>
            </x14:dxf>
          </x14:cfRule>
          <xm:sqref>AQ449:AQ450</xm:sqref>
        </x14:conditionalFormatting>
        <x14:conditionalFormatting xmlns:xm="http://schemas.microsoft.com/office/excel/2006/main">
          <x14:cfRule type="containsText" priority="689" operator="containsText" id="{5146BC85-9E07-4011-A329-066B8EADBF27}">
            <xm:f>NOT(ISERROR(SEARCH($AY$8,AC449)))</xm:f>
            <xm:f>$AY$8</xm:f>
            <x14:dxf>
              <font>
                <b/>
                <i val="0"/>
                <color rgb="FFFF0000"/>
              </font>
            </x14:dxf>
          </x14:cfRule>
          <xm:sqref>AC449:AC450</xm:sqref>
        </x14:conditionalFormatting>
        <x14:conditionalFormatting xmlns:xm="http://schemas.microsoft.com/office/excel/2006/main">
          <x14:cfRule type="containsText" priority="688" operator="containsText" id="{2ACC62F5-291C-42E7-92DC-6AF04B93CBE0}">
            <xm:f>NOT(ISERROR(SEARCH($AZ$7,AC449)))</xm:f>
            <xm:f>$AZ$7</xm:f>
            <x14:dxf>
              <font>
                <b/>
                <i val="0"/>
                <color rgb="FF00B050"/>
              </font>
            </x14:dxf>
          </x14:cfRule>
          <xm:sqref>AC449:AC450</xm:sqref>
        </x14:conditionalFormatting>
        <x14:conditionalFormatting xmlns:xm="http://schemas.microsoft.com/office/excel/2006/main">
          <x14:cfRule type="containsText" priority="680" operator="containsText" id="{EDE1144D-1FF4-4721-B1F9-2A71307AF50C}">
            <xm:f>NOT(ISERROR(SEARCH($AY$8,AC453)))</xm:f>
            <xm:f>$AY$8</xm:f>
            <x14:dxf>
              <font>
                <b/>
                <i val="0"/>
                <color rgb="FFFF0000"/>
              </font>
            </x14:dxf>
          </x14:cfRule>
          <xm:sqref>AC453:AC454</xm:sqref>
        </x14:conditionalFormatting>
        <x14:conditionalFormatting xmlns:xm="http://schemas.microsoft.com/office/excel/2006/main">
          <x14:cfRule type="containsText" priority="679" operator="containsText" id="{0812D729-E026-40B4-A654-2D51391C214B}">
            <xm:f>NOT(ISERROR(SEARCH($AZ$7,AC453)))</xm:f>
            <xm:f>$AZ$7</xm:f>
            <x14:dxf>
              <font>
                <b/>
                <i val="0"/>
                <color rgb="FF00B050"/>
              </font>
            </x14:dxf>
          </x14:cfRule>
          <xm:sqref>AC453:AC454</xm:sqref>
        </x14:conditionalFormatting>
        <x14:conditionalFormatting xmlns:xm="http://schemas.microsoft.com/office/excel/2006/main">
          <x14:cfRule type="containsText" priority="677" operator="containsText" id="{8B79D03C-8C8C-49A1-8200-5B870AEB97A0}">
            <xm:f>NOT(ISERROR(SEARCH($AZ$8,AQ453)))</xm:f>
            <xm:f>$AZ$8</xm:f>
            <x14:dxf>
              <font>
                <b/>
                <i val="0"/>
                <color rgb="FFFF0000"/>
              </font>
            </x14:dxf>
          </x14:cfRule>
          <x14:cfRule type="containsText" priority="678" operator="containsText" id="{5F59EA2A-C3A9-49A3-8CEB-7B8D24F16B45}">
            <xm:f>NOT(ISERROR(SEARCH($AZ$7,AQ453)))</xm:f>
            <xm:f>$AZ$7</xm:f>
            <x14:dxf>
              <font>
                <b/>
                <i val="0"/>
                <color rgb="FF00B050"/>
              </font>
            </x14:dxf>
          </x14:cfRule>
          <xm:sqref>AQ453:AQ454</xm:sqref>
        </x14:conditionalFormatting>
        <x14:conditionalFormatting xmlns:xm="http://schemas.microsoft.com/office/excel/2006/main">
          <x14:cfRule type="containsText" priority="669" operator="containsText" id="{B633DDB9-138E-4495-BB42-E90C217356B5}">
            <xm:f>NOT(ISERROR(SEARCH($AY$8,AC458)))</xm:f>
            <xm:f>$AY$8</xm:f>
            <x14:dxf>
              <font>
                <b/>
                <i val="0"/>
                <color rgb="FFFF0000"/>
              </font>
            </x14:dxf>
          </x14:cfRule>
          <xm:sqref>AC458</xm:sqref>
        </x14:conditionalFormatting>
        <x14:conditionalFormatting xmlns:xm="http://schemas.microsoft.com/office/excel/2006/main">
          <x14:cfRule type="containsText" priority="668" operator="containsText" id="{31975CDC-939E-4E4A-AB0B-4727AC9E7A02}">
            <xm:f>NOT(ISERROR(SEARCH($AZ$7,AC458)))</xm:f>
            <xm:f>$AZ$7</xm:f>
            <x14:dxf>
              <font>
                <b/>
                <i val="0"/>
                <color rgb="FF00B050"/>
              </font>
            </x14:dxf>
          </x14:cfRule>
          <xm:sqref>AC458</xm:sqref>
        </x14:conditionalFormatting>
        <x14:conditionalFormatting xmlns:xm="http://schemas.microsoft.com/office/excel/2006/main">
          <x14:cfRule type="containsText" priority="655" operator="containsText" id="{4BE44158-E1E6-4EC5-B8CE-17E79A17EA0C}">
            <xm:f>NOT(ISERROR(SEARCH($AZ$8,AQ448)))</xm:f>
            <xm:f>$AZ$8</xm:f>
            <x14:dxf>
              <font>
                <b/>
                <i val="0"/>
                <color rgb="FFFF0000"/>
              </font>
            </x14:dxf>
          </x14:cfRule>
          <x14:cfRule type="containsText" priority="656" operator="containsText" id="{444992E4-F86B-4652-949C-B82E71C0FFBF}">
            <xm:f>NOT(ISERROR(SEARCH($AZ$7,AQ448)))</xm:f>
            <xm:f>$AZ$7</xm:f>
            <x14:dxf>
              <font>
                <b/>
                <i val="0"/>
                <color rgb="FF00B050"/>
              </font>
            </x14:dxf>
          </x14:cfRule>
          <xm:sqref>AQ448</xm:sqref>
        </x14:conditionalFormatting>
        <x14:conditionalFormatting xmlns:xm="http://schemas.microsoft.com/office/excel/2006/main">
          <x14:cfRule type="containsText" priority="651" operator="containsText" id="{1DBB1C25-3310-4EDB-B60C-F02951E98347}">
            <xm:f>NOT(ISERROR(SEARCH($AZ$8,AQ451)))</xm:f>
            <xm:f>$AZ$8</xm:f>
            <x14:dxf>
              <font>
                <b/>
                <i val="0"/>
                <color rgb="FFFF0000"/>
              </font>
            </x14:dxf>
          </x14:cfRule>
          <x14:cfRule type="containsText" priority="652" operator="containsText" id="{0BC4F5E2-E2B4-4ED7-A3BE-13290A5EF2E0}">
            <xm:f>NOT(ISERROR(SEARCH($AZ$7,AQ451)))</xm:f>
            <xm:f>$AZ$7</xm:f>
            <x14:dxf>
              <font>
                <b/>
                <i val="0"/>
                <color rgb="FF00B050"/>
              </font>
            </x14:dxf>
          </x14:cfRule>
          <xm:sqref>AQ451</xm:sqref>
        </x14:conditionalFormatting>
        <x14:conditionalFormatting xmlns:xm="http://schemas.microsoft.com/office/excel/2006/main">
          <x14:cfRule type="containsText" priority="647" operator="containsText" id="{AC2E2BA2-08F4-4E35-8D1A-809AF892068E}">
            <xm:f>NOT(ISERROR(SEARCH($AZ$8,AQ457)))</xm:f>
            <xm:f>$AZ$8</xm:f>
            <x14:dxf>
              <font>
                <b/>
                <i val="0"/>
                <color rgb="FFFF0000"/>
              </font>
            </x14:dxf>
          </x14:cfRule>
          <x14:cfRule type="containsText" priority="648" operator="containsText" id="{8C14E674-DF55-4223-9076-8AB16DD9FF8D}">
            <xm:f>NOT(ISERROR(SEARCH($AZ$7,AQ457)))</xm:f>
            <xm:f>$AZ$7</xm:f>
            <x14:dxf>
              <font>
                <b/>
                <i val="0"/>
                <color rgb="FF00B050"/>
              </font>
            </x14:dxf>
          </x14:cfRule>
          <xm:sqref>AQ457</xm:sqref>
        </x14:conditionalFormatting>
        <x14:conditionalFormatting xmlns:xm="http://schemas.microsoft.com/office/excel/2006/main">
          <x14:cfRule type="containsText" priority="641" operator="containsText" id="{F7C7644E-58B8-45B2-99C0-241F0AD69EC3}">
            <xm:f>NOT(ISERROR(SEARCH($AY$8,AC457)))</xm:f>
            <xm:f>$AY$8</xm:f>
            <x14:dxf>
              <font>
                <b/>
                <i val="0"/>
                <color rgb="FFFF0000"/>
              </font>
            </x14:dxf>
          </x14:cfRule>
          <xm:sqref>AC457</xm:sqref>
        </x14:conditionalFormatting>
        <x14:conditionalFormatting xmlns:xm="http://schemas.microsoft.com/office/excel/2006/main">
          <x14:cfRule type="containsText" priority="640" operator="containsText" id="{37270AD6-C435-450A-8DBA-ED4EC5F55AC1}">
            <xm:f>NOT(ISERROR(SEARCH($AZ$7,AC457)))</xm:f>
            <xm:f>$AZ$7</xm:f>
            <x14:dxf>
              <font>
                <b/>
                <i val="0"/>
                <color rgb="FF00B050"/>
              </font>
            </x14:dxf>
          </x14:cfRule>
          <xm:sqref>AC457</xm:sqref>
        </x14:conditionalFormatting>
        <x14:conditionalFormatting xmlns:xm="http://schemas.microsoft.com/office/excel/2006/main">
          <x14:cfRule type="containsText" priority="632" operator="containsText" id="{3EC548AE-6347-491E-9FF9-2B1223D43982}">
            <xm:f>NOT(ISERROR(SEARCH($AY$8,AC459)))</xm:f>
            <xm:f>$AY$8</xm:f>
            <x14:dxf>
              <font>
                <b/>
                <i val="0"/>
                <color rgb="FFFF0000"/>
              </font>
            </x14:dxf>
          </x14:cfRule>
          <xm:sqref>AC459</xm:sqref>
        </x14:conditionalFormatting>
        <x14:conditionalFormatting xmlns:xm="http://schemas.microsoft.com/office/excel/2006/main">
          <x14:cfRule type="containsText" priority="631" operator="containsText" id="{4E74E979-DDCE-4A17-8031-D3C59E63D7CA}">
            <xm:f>NOT(ISERROR(SEARCH($AZ$7,AC459)))</xm:f>
            <xm:f>$AZ$7</xm:f>
            <x14:dxf>
              <font>
                <b/>
                <i val="0"/>
                <color rgb="FF00B050"/>
              </font>
            </x14:dxf>
          </x14:cfRule>
          <xm:sqref>AC459</xm:sqref>
        </x14:conditionalFormatting>
        <x14:conditionalFormatting xmlns:xm="http://schemas.microsoft.com/office/excel/2006/main">
          <x14:cfRule type="containsText" priority="627" operator="containsText" id="{A3446065-D273-42B4-8A1E-58DBA26AC02A}">
            <xm:f>NOT(ISERROR(SEARCH($AZ$8,AQ466)))</xm:f>
            <xm:f>$AZ$8</xm:f>
            <x14:dxf>
              <font>
                <b/>
                <i val="0"/>
                <color rgb="FFFF0000"/>
              </font>
            </x14:dxf>
          </x14:cfRule>
          <x14:cfRule type="containsText" priority="628" operator="containsText" id="{D7A774EF-946D-4DDB-87EB-52B075FFE697}">
            <xm:f>NOT(ISERROR(SEARCH($AZ$7,AQ466)))</xm:f>
            <xm:f>$AZ$7</xm:f>
            <x14:dxf>
              <font>
                <b/>
                <i val="0"/>
                <color rgb="FF00B050"/>
              </font>
            </x14:dxf>
          </x14:cfRule>
          <xm:sqref>AQ466</xm:sqref>
        </x14:conditionalFormatting>
        <x14:conditionalFormatting xmlns:xm="http://schemas.microsoft.com/office/excel/2006/main">
          <x14:cfRule type="containsText" priority="625" operator="containsText" id="{3B2B29B4-033A-4D92-BD11-E05459C06AD7}">
            <xm:f>NOT(ISERROR(SEARCH($AZ$8,AQ487)))</xm:f>
            <xm:f>$AZ$8</xm:f>
            <x14:dxf>
              <font>
                <b/>
                <i val="0"/>
                <color rgb="FFFF0000"/>
              </font>
            </x14:dxf>
          </x14:cfRule>
          <x14:cfRule type="containsText" priority="626" operator="containsText" id="{C599157B-17DE-44C5-B3AE-A22ED5BC1257}">
            <xm:f>NOT(ISERROR(SEARCH($AZ$7,AQ487)))</xm:f>
            <xm:f>$AZ$7</xm:f>
            <x14:dxf>
              <font>
                <b/>
                <i val="0"/>
                <color rgb="FF00B050"/>
              </font>
            </x14:dxf>
          </x14:cfRule>
          <xm:sqref>AQ487</xm:sqref>
        </x14:conditionalFormatting>
        <x14:conditionalFormatting xmlns:xm="http://schemas.microsoft.com/office/excel/2006/main">
          <x14:cfRule type="containsText" priority="621" operator="containsText" id="{3F8D53C8-AE9A-4802-BA82-977A736135C9}">
            <xm:f>NOT(ISERROR(SEARCH($AZ$8,AQ488)))</xm:f>
            <xm:f>$AZ$8</xm:f>
            <x14:dxf>
              <font>
                <b/>
                <i val="0"/>
                <color rgb="FFFF0000"/>
              </font>
            </x14:dxf>
          </x14:cfRule>
          <x14:cfRule type="containsText" priority="622" operator="containsText" id="{12740873-303D-4D4A-BCBB-0C195B38DD00}">
            <xm:f>NOT(ISERROR(SEARCH($AZ$7,AQ488)))</xm:f>
            <xm:f>$AZ$7</xm:f>
            <x14:dxf>
              <font>
                <b/>
                <i val="0"/>
                <color rgb="FF00B050"/>
              </font>
            </x14:dxf>
          </x14:cfRule>
          <xm:sqref>AQ488:AQ494</xm:sqref>
        </x14:conditionalFormatting>
        <x14:conditionalFormatting xmlns:xm="http://schemas.microsoft.com/office/excel/2006/main">
          <x14:cfRule type="containsText" priority="619" operator="containsText" id="{9A1A9CB4-9C90-4F48-A3A4-0A104E5F85E5}">
            <xm:f>NOT(ISERROR(SEARCH($AZ$8,AQ496)))</xm:f>
            <xm:f>$AZ$8</xm:f>
            <x14:dxf>
              <font>
                <b/>
                <i val="0"/>
                <color rgb="FFFF0000"/>
              </font>
            </x14:dxf>
          </x14:cfRule>
          <x14:cfRule type="containsText" priority="620" operator="containsText" id="{25B98FF3-0D9A-41F0-8328-074D54697379}">
            <xm:f>NOT(ISERROR(SEARCH($AZ$7,AQ496)))</xm:f>
            <xm:f>$AZ$7</xm:f>
            <x14:dxf>
              <font>
                <b/>
                <i val="0"/>
                <color rgb="FF00B050"/>
              </font>
            </x14:dxf>
          </x14:cfRule>
          <xm:sqref>AQ496</xm:sqref>
        </x14:conditionalFormatting>
        <x14:conditionalFormatting xmlns:xm="http://schemas.microsoft.com/office/excel/2006/main">
          <x14:cfRule type="containsText" priority="617" operator="containsText" id="{55AB6D91-FC48-43FD-B3C9-EDA7570DD788}">
            <xm:f>NOT(ISERROR(SEARCH($AZ$8,AQ498)))</xm:f>
            <xm:f>$AZ$8</xm:f>
            <x14:dxf>
              <font>
                <b/>
                <i val="0"/>
                <color rgb="FFFF0000"/>
              </font>
            </x14:dxf>
          </x14:cfRule>
          <x14:cfRule type="containsText" priority="618" operator="containsText" id="{D67296C9-F6DF-4F57-9A34-05A2CDDA259A}">
            <xm:f>NOT(ISERROR(SEARCH($AZ$7,AQ498)))</xm:f>
            <xm:f>$AZ$7</xm:f>
            <x14:dxf>
              <font>
                <b/>
                <i val="0"/>
                <color rgb="FF00B050"/>
              </font>
            </x14:dxf>
          </x14:cfRule>
          <xm:sqref>AQ498</xm:sqref>
        </x14:conditionalFormatting>
        <x14:conditionalFormatting xmlns:xm="http://schemas.microsoft.com/office/excel/2006/main">
          <x14:cfRule type="containsText" priority="615" operator="containsText" id="{F847D8D3-BFC3-42BB-97CE-F58346308D8C}">
            <xm:f>NOT(ISERROR(SEARCH($AZ$8,AQ504)))</xm:f>
            <xm:f>$AZ$8</xm:f>
            <x14:dxf>
              <font>
                <b/>
                <i val="0"/>
                <color rgb="FFFF0000"/>
              </font>
            </x14:dxf>
          </x14:cfRule>
          <x14:cfRule type="containsText" priority="616" operator="containsText" id="{5CFB4FD4-7BF0-4750-A0ED-73BA7737C6D5}">
            <xm:f>NOT(ISERROR(SEARCH($AZ$7,AQ504)))</xm:f>
            <xm:f>$AZ$7</xm:f>
            <x14:dxf>
              <font>
                <b/>
                <i val="0"/>
                <color rgb="FF00B050"/>
              </font>
            </x14:dxf>
          </x14:cfRule>
          <xm:sqref>AQ504</xm:sqref>
        </x14:conditionalFormatting>
        <x14:conditionalFormatting xmlns:xm="http://schemas.microsoft.com/office/excel/2006/main">
          <x14:cfRule type="containsText" priority="613" operator="containsText" id="{5A59EBF2-6DD1-4531-8991-A50C016A9EC4}">
            <xm:f>NOT(ISERROR(SEARCH($AZ$8,AQ506)))</xm:f>
            <xm:f>$AZ$8</xm:f>
            <x14:dxf>
              <font>
                <b/>
                <i val="0"/>
                <color rgb="FFFF0000"/>
              </font>
            </x14:dxf>
          </x14:cfRule>
          <x14:cfRule type="containsText" priority="614" operator="containsText" id="{65316007-8729-48A3-B592-86755CE5BFC3}">
            <xm:f>NOT(ISERROR(SEARCH($AZ$7,AQ506)))</xm:f>
            <xm:f>$AZ$7</xm:f>
            <x14:dxf>
              <font>
                <b/>
                <i val="0"/>
                <color rgb="FF00B050"/>
              </font>
            </x14:dxf>
          </x14:cfRule>
          <xm:sqref>AQ506</xm:sqref>
        </x14:conditionalFormatting>
        <x14:conditionalFormatting xmlns:xm="http://schemas.microsoft.com/office/excel/2006/main">
          <x14:cfRule type="containsText" priority="611" operator="containsText" id="{FE2E2239-0E23-4853-81FB-10E50706BA25}">
            <xm:f>NOT(ISERROR(SEARCH($AZ$8,AQ507)))</xm:f>
            <xm:f>$AZ$8</xm:f>
            <x14:dxf>
              <font>
                <b/>
                <i val="0"/>
                <color rgb="FFFF0000"/>
              </font>
            </x14:dxf>
          </x14:cfRule>
          <x14:cfRule type="containsText" priority="612" operator="containsText" id="{E5E26D11-5B53-4620-9F88-E9A88133E0B2}">
            <xm:f>NOT(ISERROR(SEARCH($AZ$7,AQ507)))</xm:f>
            <xm:f>$AZ$7</xm:f>
            <x14:dxf>
              <font>
                <b/>
                <i val="0"/>
                <color rgb="FF00B050"/>
              </font>
            </x14:dxf>
          </x14:cfRule>
          <xm:sqref>AQ507:AQ514</xm:sqref>
        </x14:conditionalFormatting>
        <x14:conditionalFormatting xmlns:xm="http://schemas.microsoft.com/office/excel/2006/main">
          <x14:cfRule type="containsText" priority="609" operator="containsText" id="{46FF7D3B-40E6-4A9D-8ABA-02A8F23B7BD4}">
            <xm:f>NOT(ISERROR(SEARCH($AZ$8,AQ515)))</xm:f>
            <xm:f>$AZ$8</xm:f>
            <x14:dxf>
              <font>
                <b/>
                <i val="0"/>
                <color rgb="FFFF0000"/>
              </font>
            </x14:dxf>
          </x14:cfRule>
          <x14:cfRule type="containsText" priority="610" operator="containsText" id="{4F359694-C950-4EDB-A9C6-1F5D98FF8195}">
            <xm:f>NOT(ISERROR(SEARCH($AZ$7,AQ515)))</xm:f>
            <xm:f>$AZ$7</xm:f>
            <x14:dxf>
              <font>
                <b/>
                <i val="0"/>
                <color rgb="FF00B050"/>
              </font>
            </x14:dxf>
          </x14:cfRule>
          <xm:sqref>AQ515</xm:sqref>
        </x14:conditionalFormatting>
        <x14:conditionalFormatting xmlns:xm="http://schemas.microsoft.com/office/excel/2006/main">
          <x14:cfRule type="containsText" priority="607" operator="containsText" id="{02C45C3A-1F42-487C-A423-B2E6567B95C0}">
            <xm:f>NOT(ISERROR(SEARCH($AZ$8,AQ505)))</xm:f>
            <xm:f>$AZ$8</xm:f>
            <x14:dxf>
              <font>
                <b/>
                <i val="0"/>
                <color rgb="FFFF0000"/>
              </font>
            </x14:dxf>
          </x14:cfRule>
          <x14:cfRule type="containsText" priority="608" operator="containsText" id="{B0959162-16F4-4715-A413-D87E130A0320}">
            <xm:f>NOT(ISERROR(SEARCH($AZ$7,AQ505)))</xm:f>
            <xm:f>$AZ$7</xm:f>
            <x14:dxf>
              <font>
                <b/>
                <i val="0"/>
                <color rgb="FF00B050"/>
              </font>
            </x14:dxf>
          </x14:cfRule>
          <xm:sqref>AQ505</xm:sqref>
        </x14:conditionalFormatting>
        <x14:conditionalFormatting xmlns:xm="http://schemas.microsoft.com/office/excel/2006/main">
          <x14:cfRule type="containsText" priority="605" operator="containsText" id="{C947782D-C581-4AEB-9B3E-A68E5C5F237A}">
            <xm:f>NOT(ISERROR(SEARCH($AZ$8,AQ517)))</xm:f>
            <xm:f>$AZ$8</xm:f>
            <x14:dxf>
              <font>
                <b/>
                <i val="0"/>
                <color rgb="FFFF0000"/>
              </font>
            </x14:dxf>
          </x14:cfRule>
          <x14:cfRule type="containsText" priority="606" operator="containsText" id="{9D6AAC61-E695-4807-BC40-A198CD390DC2}">
            <xm:f>NOT(ISERROR(SEARCH($AZ$7,AQ517)))</xm:f>
            <xm:f>$AZ$7</xm:f>
            <x14:dxf>
              <font>
                <b/>
                <i val="0"/>
                <color rgb="FF00B050"/>
              </font>
            </x14:dxf>
          </x14:cfRule>
          <xm:sqref>AQ517</xm:sqref>
        </x14:conditionalFormatting>
        <x14:conditionalFormatting xmlns:xm="http://schemas.microsoft.com/office/excel/2006/main">
          <x14:cfRule type="containsText" priority="603" operator="containsText" id="{4C782B14-859E-4BD3-AE09-E60B07E1A5AD}">
            <xm:f>NOT(ISERROR(SEARCH($AZ$8,AQ519)))</xm:f>
            <xm:f>$AZ$8</xm:f>
            <x14:dxf>
              <font>
                <b/>
                <i val="0"/>
                <color rgb="FFFF0000"/>
              </font>
            </x14:dxf>
          </x14:cfRule>
          <x14:cfRule type="containsText" priority="604" operator="containsText" id="{291E148C-FBE2-41E0-89CD-02EDF6332760}">
            <xm:f>NOT(ISERROR(SEARCH($AZ$7,AQ519)))</xm:f>
            <xm:f>$AZ$7</xm:f>
            <x14:dxf>
              <font>
                <b/>
                <i val="0"/>
                <color rgb="FF00B050"/>
              </font>
            </x14:dxf>
          </x14:cfRule>
          <xm:sqref>AQ519</xm:sqref>
        </x14:conditionalFormatting>
        <x14:conditionalFormatting xmlns:xm="http://schemas.microsoft.com/office/excel/2006/main">
          <x14:cfRule type="containsText" priority="601" operator="containsText" id="{8FC4316E-8B76-4EA6-9A46-B95B8A7A9DB5}">
            <xm:f>NOT(ISERROR(SEARCH($AZ$8,AQ520)))</xm:f>
            <xm:f>$AZ$8</xm:f>
            <x14:dxf>
              <font>
                <b/>
                <i val="0"/>
                <color rgb="FFFF0000"/>
              </font>
            </x14:dxf>
          </x14:cfRule>
          <x14:cfRule type="containsText" priority="602" operator="containsText" id="{C6A93A0D-DB62-4EDF-BB7D-AA9772F644C3}">
            <xm:f>NOT(ISERROR(SEARCH($AZ$7,AQ520)))</xm:f>
            <xm:f>$AZ$7</xm:f>
            <x14:dxf>
              <font>
                <b/>
                <i val="0"/>
                <color rgb="FF00B050"/>
              </font>
            </x14:dxf>
          </x14:cfRule>
          <xm:sqref>AQ520</xm:sqref>
        </x14:conditionalFormatting>
        <x14:conditionalFormatting xmlns:xm="http://schemas.microsoft.com/office/excel/2006/main">
          <x14:cfRule type="containsText" priority="599" operator="containsText" id="{617465D6-8116-4F4D-B148-8E69E29CD507}">
            <xm:f>NOT(ISERROR(SEARCH($AZ$8,AQ521)))</xm:f>
            <xm:f>$AZ$8</xm:f>
            <x14:dxf>
              <font>
                <b/>
                <i val="0"/>
                <color rgb="FFFF0000"/>
              </font>
            </x14:dxf>
          </x14:cfRule>
          <x14:cfRule type="containsText" priority="600" operator="containsText" id="{A5BD8C3B-AD08-440E-948F-9B08100BA4A0}">
            <xm:f>NOT(ISERROR(SEARCH($AZ$7,AQ521)))</xm:f>
            <xm:f>$AZ$7</xm:f>
            <x14:dxf>
              <font>
                <b/>
                <i val="0"/>
                <color rgb="FF00B050"/>
              </font>
            </x14:dxf>
          </x14:cfRule>
          <xm:sqref>AQ521</xm:sqref>
        </x14:conditionalFormatting>
        <x14:conditionalFormatting xmlns:xm="http://schemas.microsoft.com/office/excel/2006/main">
          <x14:cfRule type="containsText" priority="597" operator="containsText" id="{9E14E9FF-DB87-4545-902F-85D491E2C5F4}">
            <xm:f>NOT(ISERROR(SEARCH($AZ$8,AQ523)))</xm:f>
            <xm:f>$AZ$8</xm:f>
            <x14:dxf>
              <font>
                <b/>
                <i val="0"/>
                <color rgb="FFFF0000"/>
              </font>
            </x14:dxf>
          </x14:cfRule>
          <x14:cfRule type="containsText" priority="598" operator="containsText" id="{C3B88D40-D09D-4C63-80F3-982F85A6B9B7}">
            <xm:f>NOT(ISERROR(SEARCH($AZ$7,AQ523)))</xm:f>
            <xm:f>$AZ$7</xm:f>
            <x14:dxf>
              <font>
                <b/>
                <i val="0"/>
                <color rgb="FF00B050"/>
              </font>
            </x14:dxf>
          </x14:cfRule>
          <xm:sqref>AQ523</xm:sqref>
        </x14:conditionalFormatting>
        <x14:conditionalFormatting xmlns:xm="http://schemas.microsoft.com/office/excel/2006/main">
          <x14:cfRule type="containsText" priority="595" operator="containsText" id="{DF3ACB8D-624A-4CB6-A405-FCAFCFA18D78}">
            <xm:f>NOT(ISERROR(SEARCH($AZ$8,AQ524)))</xm:f>
            <xm:f>$AZ$8</xm:f>
            <x14:dxf>
              <font>
                <b/>
                <i val="0"/>
                <color rgb="FFFF0000"/>
              </font>
            </x14:dxf>
          </x14:cfRule>
          <x14:cfRule type="containsText" priority="596" operator="containsText" id="{0E060A82-93B5-4B9B-8814-0FBE3631125C}">
            <xm:f>NOT(ISERROR(SEARCH($AZ$7,AQ524)))</xm:f>
            <xm:f>$AZ$7</xm:f>
            <x14:dxf>
              <font>
                <b/>
                <i val="0"/>
                <color rgb="FF00B050"/>
              </font>
            </x14:dxf>
          </x14:cfRule>
          <xm:sqref>AQ524:AQ525</xm:sqref>
        </x14:conditionalFormatting>
        <x14:conditionalFormatting xmlns:xm="http://schemas.microsoft.com/office/excel/2006/main">
          <x14:cfRule type="containsText" priority="593" operator="containsText" id="{84F015BB-0F24-4571-BE43-26888FF653D0}">
            <xm:f>NOT(ISERROR(SEARCH($AZ$8,AQ526)))</xm:f>
            <xm:f>$AZ$8</xm:f>
            <x14:dxf>
              <font>
                <b/>
                <i val="0"/>
                <color rgb="FFFF0000"/>
              </font>
            </x14:dxf>
          </x14:cfRule>
          <x14:cfRule type="containsText" priority="594" operator="containsText" id="{F64908BA-3663-42A2-8681-831B0A26E93A}">
            <xm:f>NOT(ISERROR(SEARCH($AZ$7,AQ526)))</xm:f>
            <xm:f>$AZ$7</xm:f>
            <x14:dxf>
              <font>
                <b/>
                <i val="0"/>
                <color rgb="FF00B050"/>
              </font>
            </x14:dxf>
          </x14:cfRule>
          <xm:sqref>AQ526</xm:sqref>
        </x14:conditionalFormatting>
        <x14:conditionalFormatting xmlns:xm="http://schemas.microsoft.com/office/excel/2006/main">
          <x14:cfRule type="containsText" priority="591" operator="containsText" id="{E6F18C11-D5A5-424E-A0D1-20268EABE0FF}">
            <xm:f>NOT(ISERROR(SEARCH($AZ$8,AQ527)))</xm:f>
            <xm:f>$AZ$8</xm:f>
            <x14:dxf>
              <font>
                <b/>
                <i val="0"/>
                <color rgb="FFFF0000"/>
              </font>
            </x14:dxf>
          </x14:cfRule>
          <x14:cfRule type="containsText" priority="592" operator="containsText" id="{B2C51DF8-E0A5-4039-80E9-68867507000E}">
            <xm:f>NOT(ISERROR(SEARCH($AZ$7,AQ527)))</xm:f>
            <xm:f>$AZ$7</xm:f>
            <x14:dxf>
              <font>
                <b/>
                <i val="0"/>
                <color rgb="FF00B050"/>
              </font>
            </x14:dxf>
          </x14:cfRule>
          <xm:sqref>AQ527</xm:sqref>
        </x14:conditionalFormatting>
        <x14:conditionalFormatting xmlns:xm="http://schemas.microsoft.com/office/excel/2006/main">
          <x14:cfRule type="containsText" priority="589" operator="containsText" id="{5BA08E2E-457F-4EF2-B36A-64126030C5C9}">
            <xm:f>NOT(ISERROR(SEARCH($AZ$8,AQ528)))</xm:f>
            <xm:f>$AZ$8</xm:f>
            <x14:dxf>
              <font>
                <b/>
                <i val="0"/>
                <color rgb="FFFF0000"/>
              </font>
            </x14:dxf>
          </x14:cfRule>
          <x14:cfRule type="containsText" priority="590" operator="containsText" id="{8C0EA4FF-DA1D-4C92-AB0C-9E2ED691E8B9}">
            <xm:f>NOT(ISERROR(SEARCH($AZ$7,AQ528)))</xm:f>
            <xm:f>$AZ$7</xm:f>
            <x14:dxf>
              <font>
                <b/>
                <i val="0"/>
                <color rgb="FF00B050"/>
              </font>
            </x14:dxf>
          </x14:cfRule>
          <xm:sqref>AQ528</xm:sqref>
        </x14:conditionalFormatting>
        <x14:conditionalFormatting xmlns:xm="http://schemas.microsoft.com/office/excel/2006/main">
          <x14:cfRule type="containsText" priority="587" operator="containsText" id="{9E5C3296-A423-4E81-9574-630E6245EF49}">
            <xm:f>NOT(ISERROR(SEARCH($AZ$8,AQ529)))</xm:f>
            <xm:f>$AZ$8</xm:f>
            <x14:dxf>
              <font>
                <b/>
                <i val="0"/>
                <color rgb="FFFF0000"/>
              </font>
            </x14:dxf>
          </x14:cfRule>
          <x14:cfRule type="containsText" priority="588" operator="containsText" id="{CD668E1F-F4DE-4A12-A2DC-AD0F610AEDC6}">
            <xm:f>NOT(ISERROR(SEARCH($AZ$7,AQ529)))</xm:f>
            <xm:f>$AZ$7</xm:f>
            <x14:dxf>
              <font>
                <b/>
                <i val="0"/>
                <color rgb="FF00B050"/>
              </font>
            </x14:dxf>
          </x14:cfRule>
          <xm:sqref>AQ529</xm:sqref>
        </x14:conditionalFormatting>
        <x14:conditionalFormatting xmlns:xm="http://schemas.microsoft.com/office/excel/2006/main">
          <x14:cfRule type="containsText" priority="560" operator="containsText" id="{136E0FDB-B06C-4C7C-98E6-21344803C8A7}">
            <xm:f>NOT(ISERROR(SEARCH($AZ$8,AQ551)))</xm:f>
            <xm:f>$AZ$8</xm:f>
            <x14:dxf>
              <font>
                <b/>
                <i val="0"/>
                <color rgb="FFFF0000"/>
              </font>
            </x14:dxf>
          </x14:cfRule>
          <x14:cfRule type="containsText" priority="561" operator="containsText" id="{DDB4FE97-C8D6-41D9-8450-68786908935C}">
            <xm:f>NOT(ISERROR(SEARCH($AZ$7,AQ551)))</xm:f>
            <xm:f>$AZ$7</xm:f>
            <x14:dxf>
              <font>
                <b/>
                <i val="0"/>
                <color rgb="FF00B050"/>
              </font>
            </x14:dxf>
          </x14:cfRule>
          <xm:sqref>AQ551</xm:sqref>
        </x14:conditionalFormatting>
        <x14:conditionalFormatting xmlns:xm="http://schemas.microsoft.com/office/excel/2006/main">
          <x14:cfRule type="containsText" priority="558" operator="containsText" id="{F1AC245F-23D9-4E80-8071-EE31E446CC7D}">
            <xm:f>NOT(ISERROR(SEARCH($AZ$8,AQ555)))</xm:f>
            <xm:f>$AZ$8</xm:f>
            <x14:dxf>
              <font>
                <b/>
                <i val="0"/>
                <color rgb="FFFF0000"/>
              </font>
            </x14:dxf>
          </x14:cfRule>
          <x14:cfRule type="containsText" priority="559" operator="containsText" id="{8251E0F1-917D-408F-A94C-259DCD515F43}">
            <xm:f>NOT(ISERROR(SEARCH($AZ$7,AQ555)))</xm:f>
            <xm:f>$AZ$7</xm:f>
            <x14:dxf>
              <font>
                <b/>
                <i val="0"/>
                <color rgb="FF00B050"/>
              </font>
            </x14:dxf>
          </x14:cfRule>
          <xm:sqref>AQ555</xm:sqref>
        </x14:conditionalFormatting>
        <x14:conditionalFormatting xmlns:xm="http://schemas.microsoft.com/office/excel/2006/main">
          <x14:cfRule type="containsText" priority="556" operator="containsText" id="{F6A60626-8AFB-4517-8581-66CC2D24950E}">
            <xm:f>NOT(ISERROR(SEARCH($AZ$8,AQ561)))</xm:f>
            <xm:f>$AZ$8</xm:f>
            <x14:dxf>
              <font>
                <b/>
                <i val="0"/>
                <color rgb="FFFF0000"/>
              </font>
            </x14:dxf>
          </x14:cfRule>
          <x14:cfRule type="containsText" priority="557" operator="containsText" id="{E20F87AF-313E-4886-89F2-858CAAA63339}">
            <xm:f>NOT(ISERROR(SEARCH($AZ$7,AQ561)))</xm:f>
            <xm:f>$AZ$7</xm:f>
            <x14:dxf>
              <font>
                <b/>
                <i val="0"/>
                <color rgb="FF00B050"/>
              </font>
            </x14:dxf>
          </x14:cfRule>
          <xm:sqref>AQ561</xm:sqref>
        </x14:conditionalFormatting>
        <x14:conditionalFormatting xmlns:xm="http://schemas.microsoft.com/office/excel/2006/main">
          <x14:cfRule type="containsText" priority="554" operator="containsText" id="{036FA788-CB3A-45F4-A954-3FAE63494C9F}">
            <xm:f>NOT(ISERROR(SEARCH($AZ$8,AQ570)))</xm:f>
            <xm:f>$AZ$8</xm:f>
            <x14:dxf>
              <font>
                <b/>
                <i val="0"/>
                <color rgb="FFFF0000"/>
              </font>
            </x14:dxf>
          </x14:cfRule>
          <x14:cfRule type="containsText" priority="555" operator="containsText" id="{ACF6AB19-9E66-4D98-8674-5945AA29CD80}">
            <xm:f>NOT(ISERROR(SEARCH($AZ$7,AQ570)))</xm:f>
            <xm:f>$AZ$7</xm:f>
            <x14:dxf>
              <font>
                <b/>
                <i val="0"/>
                <color rgb="FF00B050"/>
              </font>
            </x14:dxf>
          </x14:cfRule>
          <xm:sqref>AQ570</xm:sqref>
        </x14:conditionalFormatting>
        <x14:conditionalFormatting xmlns:xm="http://schemas.microsoft.com/office/excel/2006/main">
          <x14:cfRule type="containsText" priority="552" operator="containsText" id="{4923CDF1-FF19-4F70-91C3-6AD3BBD08EAE}">
            <xm:f>NOT(ISERROR(SEARCH($AZ$8,AQ589)))</xm:f>
            <xm:f>$AZ$8</xm:f>
            <x14:dxf>
              <font>
                <b/>
                <i val="0"/>
                <color rgb="FFFF0000"/>
              </font>
            </x14:dxf>
          </x14:cfRule>
          <x14:cfRule type="containsText" priority="553" operator="containsText" id="{CD9C9915-A1D5-4F31-B1EA-4EE843593BB6}">
            <xm:f>NOT(ISERROR(SEARCH($AZ$7,AQ589)))</xm:f>
            <xm:f>$AZ$7</xm:f>
            <x14:dxf>
              <font>
                <b/>
                <i val="0"/>
                <color rgb="FF00B050"/>
              </font>
            </x14:dxf>
          </x14:cfRule>
          <xm:sqref>AQ589</xm:sqref>
        </x14:conditionalFormatting>
        <x14:conditionalFormatting xmlns:xm="http://schemas.microsoft.com/office/excel/2006/main">
          <x14:cfRule type="containsText" priority="548" operator="containsText" id="{B49A5E23-7E54-4B24-8AB6-8803EB9A07DC}">
            <xm:f>NOT(ISERROR(SEARCH($AY$8,AC601)))</xm:f>
            <xm:f>$AY$8</xm:f>
            <x14:dxf>
              <font>
                <b/>
                <i val="0"/>
                <color rgb="FFFF0000"/>
              </font>
            </x14:dxf>
          </x14:cfRule>
          <xm:sqref>AC601:AC645</xm:sqref>
        </x14:conditionalFormatting>
        <x14:conditionalFormatting xmlns:xm="http://schemas.microsoft.com/office/excel/2006/main">
          <x14:cfRule type="containsText" priority="547" operator="containsText" id="{89F6AC88-9B58-469B-A992-F001246B2E97}">
            <xm:f>NOT(ISERROR(SEARCH($AZ$7,AC601)))</xm:f>
            <xm:f>$AZ$7</xm:f>
            <x14:dxf>
              <font>
                <b/>
                <i val="0"/>
                <color rgb="FF00B050"/>
              </font>
            </x14:dxf>
          </x14:cfRule>
          <xm:sqref>AC601:AC645</xm:sqref>
        </x14:conditionalFormatting>
        <x14:conditionalFormatting xmlns:xm="http://schemas.microsoft.com/office/excel/2006/main">
          <x14:cfRule type="iconSet" priority="545" id="{8E5220C1-56D8-49BD-890B-5186BBB56C44}">
            <x14:iconSet iconSet="3Symbols" custom="1">
              <x14:cfvo type="percent">
                <xm:f>0</xm:f>
              </x14:cfvo>
              <x14:cfvo type="percent">
                <xm:f>60</xm:f>
              </x14:cfvo>
              <x14:cfvo type="percent">
                <xm:f>90</xm:f>
              </x14:cfvo>
              <x14:cfIcon iconSet="3Symbols" iconId="2"/>
              <x14:cfIcon iconSet="3Symbols" iconId="1"/>
              <x14:cfIcon iconSet="3Symbols" iconId="0"/>
            </x14:iconSet>
          </x14:cfRule>
          <xm:sqref>Z601:Z645</xm:sqref>
        </x14:conditionalFormatting>
        <x14:conditionalFormatting xmlns:xm="http://schemas.microsoft.com/office/excel/2006/main">
          <x14:cfRule type="iconSet" priority="546" id="{047A6337-EF80-4420-8274-9F273B11C006}">
            <x14:iconSet iconSet="3Symbols" custom="1">
              <x14:cfvo type="percent">
                <xm:f>0</xm:f>
              </x14:cfvo>
              <x14:cfvo type="percent">
                <xm:f>50</xm:f>
              </x14:cfvo>
              <x14:cfvo type="percent">
                <xm:f>90</xm:f>
              </x14:cfvo>
              <x14:cfIcon iconSet="3Symbols" iconId="2"/>
              <x14:cfIcon iconSet="3Symbols" iconId="1"/>
              <x14:cfIcon iconSet="3Symbols" iconId="0"/>
            </x14:iconSet>
          </x14:cfRule>
          <xm:sqref>Z601:Z645</xm:sqref>
        </x14:conditionalFormatting>
        <x14:conditionalFormatting xmlns:xm="http://schemas.microsoft.com/office/excel/2006/main">
          <x14:cfRule type="containsText" priority="529" operator="containsText" id="{E2568196-10FB-4E35-9352-6A667B11DA8A}">
            <xm:f>NOT(ISERROR(SEARCH($AZ$8,AQ601)))</xm:f>
            <xm:f>$AZ$8</xm:f>
            <x14:dxf>
              <font>
                <b/>
                <i val="0"/>
                <color rgb="FFFF0000"/>
              </font>
            </x14:dxf>
          </x14:cfRule>
          <x14:cfRule type="containsText" priority="530" operator="containsText" id="{81305879-EE79-490E-B5CA-C592B13E97F8}">
            <xm:f>NOT(ISERROR(SEARCH($AZ$7,AQ601)))</xm:f>
            <xm:f>$AZ$7</xm:f>
            <x14:dxf>
              <font>
                <b/>
                <i val="0"/>
                <color rgb="FF00B050"/>
              </font>
            </x14:dxf>
          </x14:cfRule>
          <xm:sqref>AQ601</xm:sqref>
        </x14:conditionalFormatting>
        <x14:conditionalFormatting xmlns:xm="http://schemas.microsoft.com/office/excel/2006/main">
          <x14:cfRule type="containsText" priority="527" operator="containsText" id="{44E2FE6B-CBCA-429B-B9F7-09AC6FE03AD4}">
            <xm:f>NOT(ISERROR(SEARCH($AZ$8,AQ605)))</xm:f>
            <xm:f>$AZ$8</xm:f>
            <x14:dxf>
              <font>
                <b/>
                <i val="0"/>
                <color rgb="FFFF0000"/>
              </font>
            </x14:dxf>
          </x14:cfRule>
          <x14:cfRule type="containsText" priority="528" operator="containsText" id="{D9E74B41-2B67-4765-A23A-4CD27BB1C1A1}">
            <xm:f>NOT(ISERROR(SEARCH($AZ$7,AQ605)))</xm:f>
            <xm:f>$AZ$7</xm:f>
            <x14:dxf>
              <font>
                <b/>
                <i val="0"/>
                <color rgb="FF00B050"/>
              </font>
            </x14:dxf>
          </x14:cfRule>
          <xm:sqref>AQ605</xm:sqref>
        </x14:conditionalFormatting>
        <x14:conditionalFormatting xmlns:xm="http://schemas.microsoft.com/office/excel/2006/main">
          <x14:cfRule type="containsText" priority="520" operator="containsText" id="{259063F6-A38B-462D-B2D9-70790262E95B}">
            <xm:f>NOT(ISERROR(SEARCH($AZ$8,AQ609)))</xm:f>
            <xm:f>$AZ$8</xm:f>
            <x14:dxf>
              <font>
                <b/>
                <i val="0"/>
                <color rgb="FFFF0000"/>
              </font>
            </x14:dxf>
          </x14:cfRule>
          <x14:cfRule type="containsText" priority="521" operator="containsText" id="{2D0D6EF3-C470-4C47-BF27-93331B44F21A}">
            <xm:f>NOT(ISERROR(SEARCH($AZ$7,AQ609)))</xm:f>
            <xm:f>$AZ$7</xm:f>
            <x14:dxf>
              <font>
                <b/>
                <i val="0"/>
                <color rgb="FF00B050"/>
              </font>
            </x14:dxf>
          </x14:cfRule>
          <xm:sqref>AQ609</xm:sqref>
        </x14:conditionalFormatting>
        <x14:conditionalFormatting xmlns:xm="http://schemas.microsoft.com/office/excel/2006/main">
          <x14:cfRule type="containsText" priority="518" operator="containsText" id="{15B4C141-EC7F-428A-8406-975F21B6500D}">
            <xm:f>NOT(ISERROR(SEARCH($AZ$8,AQ610)))</xm:f>
            <xm:f>$AZ$8</xm:f>
            <x14:dxf>
              <font>
                <b/>
                <i val="0"/>
                <color rgb="FFFF0000"/>
              </font>
            </x14:dxf>
          </x14:cfRule>
          <x14:cfRule type="containsText" priority="519" operator="containsText" id="{7DBFA14B-F04C-4350-B351-220B2D130935}">
            <xm:f>NOT(ISERROR(SEARCH($AZ$7,AQ610)))</xm:f>
            <xm:f>$AZ$7</xm:f>
            <x14:dxf>
              <font>
                <b/>
                <i val="0"/>
                <color rgb="FF00B050"/>
              </font>
            </x14:dxf>
          </x14:cfRule>
          <xm:sqref>AQ610</xm:sqref>
        </x14:conditionalFormatting>
        <x14:conditionalFormatting xmlns:xm="http://schemas.microsoft.com/office/excel/2006/main">
          <x14:cfRule type="containsText" priority="516" operator="containsText" id="{0EBA629B-4449-46D1-8D12-660903177B67}">
            <xm:f>NOT(ISERROR(SEARCH($AZ$8,AQ613)))</xm:f>
            <xm:f>$AZ$8</xm:f>
            <x14:dxf>
              <font>
                <b/>
                <i val="0"/>
                <color rgb="FFFF0000"/>
              </font>
            </x14:dxf>
          </x14:cfRule>
          <x14:cfRule type="containsText" priority="517" operator="containsText" id="{E9C540A2-BC43-4E8B-B9F7-78F3AA81F5C0}">
            <xm:f>NOT(ISERROR(SEARCH($AZ$7,AQ613)))</xm:f>
            <xm:f>$AZ$7</xm:f>
            <x14:dxf>
              <font>
                <b/>
                <i val="0"/>
                <color rgb="FF00B050"/>
              </font>
            </x14:dxf>
          </x14:cfRule>
          <xm:sqref>AQ613</xm:sqref>
        </x14:conditionalFormatting>
        <x14:conditionalFormatting xmlns:xm="http://schemas.microsoft.com/office/excel/2006/main">
          <x14:cfRule type="containsText" priority="514" operator="containsText" id="{B76ADF4F-26F3-4521-863F-1E4100A19E66}">
            <xm:f>NOT(ISERROR(SEARCH($AZ$8,AQ617)))</xm:f>
            <xm:f>$AZ$8</xm:f>
            <x14:dxf>
              <font>
                <b/>
                <i val="0"/>
                <color rgb="FFFF0000"/>
              </font>
            </x14:dxf>
          </x14:cfRule>
          <x14:cfRule type="containsText" priority="515" operator="containsText" id="{598A5BD6-1142-4FFE-AB7B-45A0CAE982F3}">
            <xm:f>NOT(ISERROR(SEARCH($AZ$7,AQ617)))</xm:f>
            <xm:f>$AZ$7</xm:f>
            <x14:dxf>
              <font>
                <b/>
                <i val="0"/>
                <color rgb="FF00B050"/>
              </font>
            </x14:dxf>
          </x14:cfRule>
          <xm:sqref>AQ617</xm:sqref>
        </x14:conditionalFormatting>
        <x14:conditionalFormatting xmlns:xm="http://schemas.microsoft.com/office/excel/2006/main">
          <x14:cfRule type="containsText" priority="512" operator="containsText" id="{28D387C4-6B85-4B53-AD53-685D0C9D9779}">
            <xm:f>NOT(ISERROR(SEARCH($AZ$8,AQ618)))</xm:f>
            <xm:f>$AZ$8</xm:f>
            <x14:dxf>
              <font>
                <b/>
                <i val="0"/>
                <color rgb="FFFF0000"/>
              </font>
            </x14:dxf>
          </x14:cfRule>
          <x14:cfRule type="containsText" priority="513" operator="containsText" id="{5AC35733-8FF6-4F8B-836A-03DEF4C0AD3F}">
            <xm:f>NOT(ISERROR(SEARCH($AZ$7,AQ618)))</xm:f>
            <xm:f>$AZ$7</xm:f>
            <x14:dxf>
              <font>
                <b/>
                <i val="0"/>
                <color rgb="FF00B050"/>
              </font>
            </x14:dxf>
          </x14:cfRule>
          <xm:sqref>AQ618</xm:sqref>
        </x14:conditionalFormatting>
        <x14:conditionalFormatting xmlns:xm="http://schemas.microsoft.com/office/excel/2006/main">
          <x14:cfRule type="containsText" priority="508" operator="containsText" id="{86B0E539-4C2E-4520-B995-34D8681052AA}">
            <xm:f>NOT(ISERROR(SEARCH($AZ$8,AQ620)))</xm:f>
            <xm:f>$AZ$8</xm:f>
            <x14:dxf>
              <font>
                <b/>
                <i val="0"/>
                <color rgb="FFFF0000"/>
              </font>
            </x14:dxf>
          </x14:cfRule>
          <x14:cfRule type="containsText" priority="509" operator="containsText" id="{A94E2F10-A365-4675-9B76-69CA686F5520}">
            <xm:f>NOT(ISERROR(SEARCH($AZ$7,AQ620)))</xm:f>
            <xm:f>$AZ$7</xm:f>
            <x14:dxf>
              <font>
                <b/>
                <i val="0"/>
                <color rgb="FF00B050"/>
              </font>
            </x14:dxf>
          </x14:cfRule>
          <xm:sqref>AQ620</xm:sqref>
        </x14:conditionalFormatting>
        <x14:conditionalFormatting xmlns:xm="http://schemas.microsoft.com/office/excel/2006/main">
          <x14:cfRule type="containsText" priority="506" operator="containsText" id="{F39A4451-B525-4E8C-8608-A632FAA077CC}">
            <xm:f>NOT(ISERROR(SEARCH($AZ$8,AQ621)))</xm:f>
            <xm:f>$AZ$8</xm:f>
            <x14:dxf>
              <font>
                <b/>
                <i val="0"/>
                <color rgb="FFFF0000"/>
              </font>
            </x14:dxf>
          </x14:cfRule>
          <x14:cfRule type="containsText" priority="507" operator="containsText" id="{5EC69244-915D-413D-944B-C07ACF6FF256}">
            <xm:f>NOT(ISERROR(SEARCH($AZ$7,AQ621)))</xm:f>
            <xm:f>$AZ$7</xm:f>
            <x14:dxf>
              <font>
                <b/>
                <i val="0"/>
                <color rgb="FF00B050"/>
              </font>
            </x14:dxf>
          </x14:cfRule>
          <xm:sqref>AQ621</xm:sqref>
        </x14:conditionalFormatting>
        <x14:conditionalFormatting xmlns:xm="http://schemas.microsoft.com/office/excel/2006/main">
          <x14:cfRule type="containsText" priority="502" operator="containsText" id="{42D4C8C7-14CF-49DB-A256-2F99C8291B07}">
            <xm:f>NOT(ISERROR(SEARCH($AY$8,AC646)))</xm:f>
            <xm:f>$AY$8</xm:f>
            <x14:dxf>
              <font>
                <b/>
                <i val="0"/>
                <color rgb="FFFF0000"/>
              </font>
            </x14:dxf>
          </x14:cfRule>
          <xm:sqref>AC646:AC675</xm:sqref>
        </x14:conditionalFormatting>
        <x14:conditionalFormatting xmlns:xm="http://schemas.microsoft.com/office/excel/2006/main">
          <x14:cfRule type="containsText" priority="501" operator="containsText" id="{E1BF0A17-5B25-4306-98A5-A926CC9BA4EF}">
            <xm:f>NOT(ISERROR(SEARCH($AZ$7,AC646)))</xm:f>
            <xm:f>$AZ$7</xm:f>
            <x14:dxf>
              <font>
                <b/>
                <i val="0"/>
                <color rgb="FF00B050"/>
              </font>
            </x14:dxf>
          </x14:cfRule>
          <xm:sqref>AC646:AC675</xm:sqref>
        </x14:conditionalFormatting>
        <x14:conditionalFormatting xmlns:xm="http://schemas.microsoft.com/office/excel/2006/main">
          <x14:cfRule type="iconSet" priority="499" id="{89980B62-740C-4D41-B0F4-1084437E56FC}">
            <x14:iconSet iconSet="3Symbols" custom="1">
              <x14:cfvo type="percent">
                <xm:f>0</xm:f>
              </x14:cfvo>
              <x14:cfvo type="percent">
                <xm:f>60</xm:f>
              </x14:cfvo>
              <x14:cfvo type="percent">
                <xm:f>90</xm:f>
              </x14:cfvo>
              <x14:cfIcon iconSet="3Symbols" iconId="2"/>
              <x14:cfIcon iconSet="3Symbols" iconId="1"/>
              <x14:cfIcon iconSet="3Symbols" iconId="0"/>
            </x14:iconSet>
          </x14:cfRule>
          <xm:sqref>Z646:Z675</xm:sqref>
        </x14:conditionalFormatting>
        <x14:conditionalFormatting xmlns:xm="http://schemas.microsoft.com/office/excel/2006/main">
          <x14:cfRule type="iconSet" priority="500" id="{0A056545-9056-4656-85F3-9D0DF3BCA640}">
            <x14:iconSet iconSet="3Symbols" custom="1">
              <x14:cfvo type="percent">
                <xm:f>0</xm:f>
              </x14:cfvo>
              <x14:cfvo type="percent">
                <xm:f>50</xm:f>
              </x14:cfvo>
              <x14:cfvo type="percent">
                <xm:f>90</xm:f>
              </x14:cfvo>
              <x14:cfIcon iconSet="3Symbols" iconId="2"/>
              <x14:cfIcon iconSet="3Symbols" iconId="1"/>
              <x14:cfIcon iconSet="3Symbols" iconId="0"/>
            </x14:iconSet>
          </x14:cfRule>
          <xm:sqref>Z646:Z675</xm:sqref>
        </x14:conditionalFormatting>
        <x14:conditionalFormatting xmlns:xm="http://schemas.microsoft.com/office/excel/2006/main">
          <x14:cfRule type="containsText" priority="483" operator="containsText" id="{AE1399F5-0B8B-48B6-918D-944E0C5EB1DB}">
            <xm:f>NOT(ISERROR(SEARCH($AZ$8,AQ634)))</xm:f>
            <xm:f>$AZ$8</xm:f>
            <x14:dxf>
              <font>
                <b/>
                <i val="0"/>
                <color rgb="FFFF0000"/>
              </font>
            </x14:dxf>
          </x14:cfRule>
          <x14:cfRule type="containsText" priority="484" operator="containsText" id="{A04A00C6-A23F-4A02-87F1-B2E74340CF76}">
            <xm:f>NOT(ISERROR(SEARCH($AZ$7,AQ634)))</xm:f>
            <xm:f>$AZ$7</xm:f>
            <x14:dxf>
              <font>
                <b/>
                <i val="0"/>
                <color rgb="FF00B050"/>
              </font>
            </x14:dxf>
          </x14:cfRule>
          <xm:sqref>AQ634</xm:sqref>
        </x14:conditionalFormatting>
        <x14:conditionalFormatting xmlns:xm="http://schemas.microsoft.com/office/excel/2006/main">
          <x14:cfRule type="containsText" priority="481" operator="containsText" id="{7CCCC73C-FE15-4643-8997-A9E68E49F261}">
            <xm:f>NOT(ISERROR(SEARCH($AZ$8,AQ639)))</xm:f>
            <xm:f>$AZ$8</xm:f>
            <x14:dxf>
              <font>
                <b/>
                <i val="0"/>
                <color rgb="FFFF0000"/>
              </font>
            </x14:dxf>
          </x14:cfRule>
          <x14:cfRule type="containsText" priority="482" operator="containsText" id="{FCD25B82-BD3C-45EE-97AC-9EB001D4473B}">
            <xm:f>NOT(ISERROR(SEARCH($AZ$7,AQ639)))</xm:f>
            <xm:f>$AZ$7</xm:f>
            <x14:dxf>
              <font>
                <b/>
                <i val="0"/>
                <color rgb="FF00B050"/>
              </font>
            </x14:dxf>
          </x14:cfRule>
          <xm:sqref>AQ639</xm:sqref>
        </x14:conditionalFormatting>
        <x14:conditionalFormatting xmlns:xm="http://schemas.microsoft.com/office/excel/2006/main">
          <x14:cfRule type="containsText" priority="479" operator="containsText" id="{CB51F844-1E82-459B-8B98-7BDB39D5C8D2}">
            <xm:f>NOT(ISERROR(SEARCH($AZ$8,AQ649)))</xm:f>
            <xm:f>$AZ$8</xm:f>
            <x14:dxf>
              <font>
                <b/>
                <i val="0"/>
                <color rgb="FFFF0000"/>
              </font>
            </x14:dxf>
          </x14:cfRule>
          <x14:cfRule type="containsText" priority="480" operator="containsText" id="{7DF39AC7-503F-4813-9E82-E0534483196E}">
            <xm:f>NOT(ISERROR(SEARCH($AZ$7,AQ649)))</xm:f>
            <xm:f>$AZ$7</xm:f>
            <x14:dxf>
              <font>
                <b/>
                <i val="0"/>
                <color rgb="FF00B050"/>
              </font>
            </x14:dxf>
          </x14:cfRule>
          <xm:sqref>AQ649</xm:sqref>
        </x14:conditionalFormatting>
        <x14:conditionalFormatting xmlns:xm="http://schemas.microsoft.com/office/excel/2006/main">
          <x14:cfRule type="containsText" priority="475" operator="containsText" id="{657DF7FB-F2C4-4850-A09C-3ED699049A3E}">
            <xm:f>NOT(ISERROR(SEARCH($AZ$8,AQ650)))</xm:f>
            <xm:f>$AZ$8</xm:f>
            <x14:dxf>
              <font>
                <b/>
                <i val="0"/>
                <color rgb="FFFF0000"/>
              </font>
            </x14:dxf>
          </x14:cfRule>
          <x14:cfRule type="containsText" priority="476" operator="containsText" id="{9CEF9895-1FF9-414D-B0AA-73617C0204C2}">
            <xm:f>NOT(ISERROR(SEARCH($AZ$7,AQ650)))</xm:f>
            <xm:f>$AZ$7</xm:f>
            <x14:dxf>
              <font>
                <b/>
                <i val="0"/>
                <color rgb="FF00B050"/>
              </font>
            </x14:dxf>
          </x14:cfRule>
          <xm:sqref>AQ650</xm:sqref>
        </x14:conditionalFormatting>
        <x14:conditionalFormatting xmlns:xm="http://schemas.microsoft.com/office/excel/2006/main">
          <x14:cfRule type="containsText" priority="473" operator="containsText" id="{25F170FB-E789-4B44-AD5B-8ACB4A77EF48}">
            <xm:f>NOT(ISERROR(SEARCH($AZ$8,AQ651)))</xm:f>
            <xm:f>$AZ$8</xm:f>
            <x14:dxf>
              <font>
                <b/>
                <i val="0"/>
                <color rgb="FFFF0000"/>
              </font>
            </x14:dxf>
          </x14:cfRule>
          <x14:cfRule type="containsText" priority="474" operator="containsText" id="{4686BBFF-315D-4ADF-9FBB-6428BADC6734}">
            <xm:f>NOT(ISERROR(SEARCH($AZ$7,AQ651)))</xm:f>
            <xm:f>$AZ$7</xm:f>
            <x14:dxf>
              <font>
                <b/>
                <i val="0"/>
                <color rgb="FF00B050"/>
              </font>
            </x14:dxf>
          </x14:cfRule>
          <xm:sqref>AQ651</xm:sqref>
        </x14:conditionalFormatting>
        <x14:conditionalFormatting xmlns:xm="http://schemas.microsoft.com/office/excel/2006/main">
          <x14:cfRule type="containsText" priority="471" operator="containsText" id="{88121ED9-6F70-4F45-90D3-277494D5FEF8}">
            <xm:f>NOT(ISERROR(SEARCH($AZ$8,AQ652)))</xm:f>
            <xm:f>$AZ$8</xm:f>
            <x14:dxf>
              <font>
                <b/>
                <i val="0"/>
                <color rgb="FFFF0000"/>
              </font>
            </x14:dxf>
          </x14:cfRule>
          <x14:cfRule type="containsText" priority="472" operator="containsText" id="{D55AFF90-AA81-4085-ACFF-ECAE6180C776}">
            <xm:f>NOT(ISERROR(SEARCH($AZ$7,AQ652)))</xm:f>
            <xm:f>$AZ$7</xm:f>
            <x14:dxf>
              <font>
                <b/>
                <i val="0"/>
                <color rgb="FF00B050"/>
              </font>
            </x14:dxf>
          </x14:cfRule>
          <xm:sqref>AQ652</xm:sqref>
        </x14:conditionalFormatting>
        <x14:conditionalFormatting xmlns:xm="http://schemas.microsoft.com/office/excel/2006/main">
          <x14:cfRule type="containsText" priority="469" operator="containsText" id="{57220EFA-1A92-4043-9926-C17E7E7671AE}">
            <xm:f>NOT(ISERROR(SEARCH($AZ$8,AQ653)))</xm:f>
            <xm:f>$AZ$8</xm:f>
            <x14:dxf>
              <font>
                <b/>
                <i val="0"/>
                <color rgb="FFFF0000"/>
              </font>
            </x14:dxf>
          </x14:cfRule>
          <x14:cfRule type="containsText" priority="470" operator="containsText" id="{447D6F01-D9F6-4BA8-A0B9-C9CF147221E7}">
            <xm:f>NOT(ISERROR(SEARCH($AZ$7,AQ653)))</xm:f>
            <xm:f>$AZ$7</xm:f>
            <x14:dxf>
              <font>
                <b/>
                <i val="0"/>
                <color rgb="FF00B050"/>
              </font>
            </x14:dxf>
          </x14:cfRule>
          <xm:sqref>AQ653</xm:sqref>
        </x14:conditionalFormatting>
        <x14:conditionalFormatting xmlns:xm="http://schemas.microsoft.com/office/excel/2006/main">
          <x14:cfRule type="containsText" priority="467" operator="containsText" id="{A6E1126B-7EA2-4791-AE8D-42E3DFE4E678}">
            <xm:f>NOT(ISERROR(SEARCH($AZ$8,AQ654)))</xm:f>
            <xm:f>$AZ$8</xm:f>
            <x14:dxf>
              <font>
                <b/>
                <i val="0"/>
                <color rgb="FFFF0000"/>
              </font>
            </x14:dxf>
          </x14:cfRule>
          <x14:cfRule type="containsText" priority="468" operator="containsText" id="{A1805698-76A5-4138-B48C-84FDDEF0830A}">
            <xm:f>NOT(ISERROR(SEARCH($AZ$7,AQ654)))</xm:f>
            <xm:f>$AZ$7</xm:f>
            <x14:dxf>
              <font>
                <b/>
                <i val="0"/>
                <color rgb="FF00B050"/>
              </font>
            </x14:dxf>
          </x14:cfRule>
          <xm:sqref>AQ654</xm:sqref>
        </x14:conditionalFormatting>
        <x14:conditionalFormatting xmlns:xm="http://schemas.microsoft.com/office/excel/2006/main">
          <x14:cfRule type="containsText" priority="465" operator="containsText" id="{5E2ABFAB-715F-411F-B88C-DFCA46CFA4B9}">
            <xm:f>NOT(ISERROR(SEARCH($AZ$8,AQ658)))</xm:f>
            <xm:f>$AZ$8</xm:f>
            <x14:dxf>
              <font>
                <b/>
                <i val="0"/>
                <color rgb="FFFF0000"/>
              </font>
            </x14:dxf>
          </x14:cfRule>
          <x14:cfRule type="containsText" priority="466" operator="containsText" id="{96A256E8-E9F1-4B00-8BCF-F90F034D60AE}">
            <xm:f>NOT(ISERROR(SEARCH($AZ$7,AQ658)))</xm:f>
            <xm:f>$AZ$7</xm:f>
            <x14:dxf>
              <font>
                <b/>
                <i val="0"/>
                <color rgb="FF00B050"/>
              </font>
            </x14:dxf>
          </x14:cfRule>
          <xm:sqref>AQ658</xm:sqref>
        </x14:conditionalFormatting>
        <x14:conditionalFormatting xmlns:xm="http://schemas.microsoft.com/office/excel/2006/main">
          <x14:cfRule type="containsText" priority="463" operator="containsText" id="{4CC726F3-3126-48D5-920F-3BDF0AF324C4}">
            <xm:f>NOT(ISERROR(SEARCH($AZ$8,AQ660)))</xm:f>
            <xm:f>$AZ$8</xm:f>
            <x14:dxf>
              <font>
                <b/>
                <i val="0"/>
                <color rgb="FFFF0000"/>
              </font>
            </x14:dxf>
          </x14:cfRule>
          <x14:cfRule type="containsText" priority="464" operator="containsText" id="{0703D4DA-99FF-4107-BB01-C9D248E2B013}">
            <xm:f>NOT(ISERROR(SEARCH($AZ$7,AQ660)))</xm:f>
            <xm:f>$AZ$7</xm:f>
            <x14:dxf>
              <font>
                <b/>
                <i val="0"/>
                <color rgb="FF00B050"/>
              </font>
            </x14:dxf>
          </x14:cfRule>
          <xm:sqref>AQ660</xm:sqref>
        </x14:conditionalFormatting>
        <x14:conditionalFormatting xmlns:xm="http://schemas.microsoft.com/office/excel/2006/main">
          <x14:cfRule type="containsText" priority="461" operator="containsText" id="{D2D67178-28F2-4A96-B64D-C270B5A1C6B8}">
            <xm:f>NOT(ISERROR(SEARCH($AZ$8,AQ661)))</xm:f>
            <xm:f>$AZ$8</xm:f>
            <x14:dxf>
              <font>
                <b/>
                <i val="0"/>
                <color rgb="FFFF0000"/>
              </font>
            </x14:dxf>
          </x14:cfRule>
          <x14:cfRule type="containsText" priority="462" operator="containsText" id="{7A7506BD-1CFE-4EA7-92F5-17C3DC60571E}">
            <xm:f>NOT(ISERROR(SEARCH($AZ$7,AQ661)))</xm:f>
            <xm:f>$AZ$7</xm:f>
            <x14:dxf>
              <font>
                <b/>
                <i val="0"/>
                <color rgb="FF00B050"/>
              </font>
            </x14:dxf>
          </x14:cfRule>
          <xm:sqref>AQ661</xm:sqref>
        </x14:conditionalFormatting>
        <x14:conditionalFormatting xmlns:xm="http://schemas.microsoft.com/office/excel/2006/main">
          <x14:cfRule type="containsText" priority="459" operator="containsText" id="{2BBEFE9D-5D3C-448A-B4F0-B7789C55F937}">
            <xm:f>NOT(ISERROR(SEARCH($AZ$8,AQ667)))</xm:f>
            <xm:f>$AZ$8</xm:f>
            <x14:dxf>
              <font>
                <b/>
                <i val="0"/>
                <color rgb="FFFF0000"/>
              </font>
            </x14:dxf>
          </x14:cfRule>
          <x14:cfRule type="containsText" priority="460" operator="containsText" id="{9621780B-0D48-4BD2-BF91-B7DC306A8464}">
            <xm:f>NOT(ISERROR(SEARCH($AZ$7,AQ667)))</xm:f>
            <xm:f>$AZ$7</xm:f>
            <x14:dxf>
              <font>
                <b/>
                <i val="0"/>
                <color rgb="FF00B050"/>
              </font>
            </x14:dxf>
          </x14:cfRule>
          <xm:sqref>AQ667</xm:sqref>
        </x14:conditionalFormatting>
        <x14:conditionalFormatting xmlns:xm="http://schemas.microsoft.com/office/excel/2006/main">
          <x14:cfRule type="containsText" priority="455" operator="containsText" id="{A2FE8673-EB1B-44F4-8CD0-61239F1C9ED0}">
            <xm:f>NOT(ISERROR(SEARCH($AY$8,AC676)))</xm:f>
            <xm:f>$AY$8</xm:f>
            <x14:dxf>
              <font>
                <b/>
                <i val="0"/>
                <color rgb="FFFF0000"/>
              </font>
            </x14:dxf>
          </x14:cfRule>
          <xm:sqref>AC676:AC683</xm:sqref>
        </x14:conditionalFormatting>
        <x14:conditionalFormatting xmlns:xm="http://schemas.microsoft.com/office/excel/2006/main">
          <x14:cfRule type="containsText" priority="454" operator="containsText" id="{FCAB47C4-360D-480A-B0B3-8C9D8EB86EB1}">
            <xm:f>NOT(ISERROR(SEARCH($AZ$7,AC676)))</xm:f>
            <xm:f>$AZ$7</xm:f>
            <x14:dxf>
              <font>
                <b/>
                <i val="0"/>
                <color rgb="FF00B050"/>
              </font>
            </x14:dxf>
          </x14:cfRule>
          <xm:sqref>AC676:AC683</xm:sqref>
        </x14:conditionalFormatting>
        <x14:conditionalFormatting xmlns:xm="http://schemas.microsoft.com/office/excel/2006/main">
          <x14:cfRule type="iconSet" priority="452" id="{1C276CAF-105F-4270-A4D3-2CD96AFC6E20}">
            <x14:iconSet iconSet="3Symbols" custom="1">
              <x14:cfvo type="percent">
                <xm:f>0</xm:f>
              </x14:cfvo>
              <x14:cfvo type="percent">
                <xm:f>60</xm:f>
              </x14:cfvo>
              <x14:cfvo type="percent">
                <xm:f>90</xm:f>
              </x14:cfvo>
              <x14:cfIcon iconSet="3Symbols" iconId="2"/>
              <x14:cfIcon iconSet="3Symbols" iconId="1"/>
              <x14:cfIcon iconSet="3Symbols" iconId="0"/>
            </x14:iconSet>
          </x14:cfRule>
          <xm:sqref>Z676:Z683</xm:sqref>
        </x14:conditionalFormatting>
        <x14:conditionalFormatting xmlns:xm="http://schemas.microsoft.com/office/excel/2006/main">
          <x14:cfRule type="iconSet" priority="453" id="{0920A985-2DDE-4288-AF07-76C1BED30143}">
            <x14:iconSet iconSet="3Symbols" custom="1">
              <x14:cfvo type="percent">
                <xm:f>0</xm:f>
              </x14:cfvo>
              <x14:cfvo type="percent">
                <xm:f>50</xm:f>
              </x14:cfvo>
              <x14:cfvo type="percent">
                <xm:f>90</xm:f>
              </x14:cfvo>
              <x14:cfIcon iconSet="3Symbols" iconId="2"/>
              <x14:cfIcon iconSet="3Symbols" iconId="1"/>
              <x14:cfIcon iconSet="3Symbols" iconId="0"/>
            </x14:iconSet>
          </x14:cfRule>
          <xm:sqref>Z676:Z683</xm:sqref>
        </x14:conditionalFormatting>
        <x14:conditionalFormatting xmlns:xm="http://schemas.microsoft.com/office/excel/2006/main">
          <x14:cfRule type="containsText" priority="434" operator="containsText" id="{DFF91060-2942-40AA-97D9-A04050C38200}">
            <xm:f>NOT(ISERROR(SEARCH($AY$8,AC684)))</xm:f>
            <xm:f>$AY$8</xm:f>
            <x14:dxf>
              <font>
                <b/>
                <i val="0"/>
                <color rgb="FFFF0000"/>
              </font>
            </x14:dxf>
          </x14:cfRule>
          <xm:sqref>AC684:AC691</xm:sqref>
        </x14:conditionalFormatting>
        <x14:conditionalFormatting xmlns:xm="http://schemas.microsoft.com/office/excel/2006/main">
          <x14:cfRule type="containsText" priority="433" operator="containsText" id="{5BC6126E-C96D-433D-860F-547966E649BD}">
            <xm:f>NOT(ISERROR(SEARCH($AZ$7,AC684)))</xm:f>
            <xm:f>$AZ$7</xm:f>
            <x14:dxf>
              <font>
                <b/>
                <i val="0"/>
                <color rgb="FF00B050"/>
              </font>
            </x14:dxf>
          </x14:cfRule>
          <xm:sqref>AC684:AC691</xm:sqref>
        </x14:conditionalFormatting>
        <x14:conditionalFormatting xmlns:xm="http://schemas.microsoft.com/office/excel/2006/main">
          <x14:cfRule type="iconSet" priority="431" id="{FB490492-A9EA-4065-9BA0-A40AC6C41476}">
            <x14:iconSet iconSet="3Symbols" custom="1">
              <x14:cfvo type="percent">
                <xm:f>0</xm:f>
              </x14:cfvo>
              <x14:cfvo type="percent">
                <xm:f>60</xm:f>
              </x14:cfvo>
              <x14:cfvo type="percent">
                <xm:f>90</xm:f>
              </x14:cfvo>
              <x14:cfIcon iconSet="3Symbols" iconId="2"/>
              <x14:cfIcon iconSet="3Symbols" iconId="1"/>
              <x14:cfIcon iconSet="3Symbols" iconId="0"/>
            </x14:iconSet>
          </x14:cfRule>
          <xm:sqref>Z684:Z691</xm:sqref>
        </x14:conditionalFormatting>
        <x14:conditionalFormatting xmlns:xm="http://schemas.microsoft.com/office/excel/2006/main">
          <x14:cfRule type="iconSet" priority="432" id="{FAFB47F5-19B7-4A79-A2DD-1C92EAB38573}">
            <x14:iconSet iconSet="3Symbols" custom="1">
              <x14:cfvo type="percent">
                <xm:f>0</xm:f>
              </x14:cfvo>
              <x14:cfvo type="percent">
                <xm:f>50</xm:f>
              </x14:cfvo>
              <x14:cfvo type="percent">
                <xm:f>90</xm:f>
              </x14:cfvo>
              <x14:cfIcon iconSet="3Symbols" iconId="2"/>
              <x14:cfIcon iconSet="3Symbols" iconId="1"/>
              <x14:cfIcon iconSet="3Symbols" iconId="0"/>
            </x14:iconSet>
          </x14:cfRule>
          <xm:sqref>Z684:Z691</xm:sqref>
        </x14:conditionalFormatting>
        <x14:conditionalFormatting xmlns:xm="http://schemas.microsoft.com/office/excel/2006/main">
          <x14:cfRule type="containsText" priority="415" operator="containsText" id="{E16CA5A5-8144-4F0D-B745-94D025D868BC}">
            <xm:f>NOT(ISERROR(SEARCH($AZ$8,AQ668)))</xm:f>
            <xm:f>$AZ$8</xm:f>
            <x14:dxf>
              <font>
                <b/>
                <i val="0"/>
                <color rgb="FFFF0000"/>
              </font>
            </x14:dxf>
          </x14:cfRule>
          <x14:cfRule type="containsText" priority="416" operator="containsText" id="{C7F0CC63-A57F-4CDB-932C-01C958EE217B}">
            <xm:f>NOT(ISERROR(SEARCH($AZ$7,AQ668)))</xm:f>
            <xm:f>$AZ$7</xm:f>
            <x14:dxf>
              <font>
                <b/>
                <i val="0"/>
                <color rgb="FF00B050"/>
              </font>
            </x14:dxf>
          </x14:cfRule>
          <xm:sqref>AQ668</xm:sqref>
        </x14:conditionalFormatting>
        <x14:conditionalFormatting xmlns:xm="http://schemas.microsoft.com/office/excel/2006/main">
          <x14:cfRule type="containsText" priority="413" operator="containsText" id="{B1BD5675-D7F9-49E7-A2E5-962FA508F9BC}">
            <xm:f>NOT(ISERROR(SEARCH($AZ$8,AQ671)))</xm:f>
            <xm:f>$AZ$8</xm:f>
            <x14:dxf>
              <font>
                <b/>
                <i val="0"/>
                <color rgb="FFFF0000"/>
              </font>
            </x14:dxf>
          </x14:cfRule>
          <x14:cfRule type="containsText" priority="414" operator="containsText" id="{705AC2F1-13AA-46C5-AA54-2DDAF251DCE1}">
            <xm:f>NOT(ISERROR(SEARCH($AZ$7,AQ671)))</xm:f>
            <xm:f>$AZ$7</xm:f>
            <x14:dxf>
              <font>
                <b/>
                <i val="0"/>
                <color rgb="FF00B050"/>
              </font>
            </x14:dxf>
          </x14:cfRule>
          <xm:sqref>AQ671</xm:sqref>
        </x14:conditionalFormatting>
        <x14:conditionalFormatting xmlns:xm="http://schemas.microsoft.com/office/excel/2006/main">
          <x14:cfRule type="containsText" priority="411" operator="containsText" id="{7A979777-DEE2-49D3-8708-E6DDE0D19975}">
            <xm:f>NOT(ISERROR(SEARCH($AZ$8,AQ672)))</xm:f>
            <xm:f>$AZ$8</xm:f>
            <x14:dxf>
              <font>
                <b/>
                <i val="0"/>
                <color rgb="FFFF0000"/>
              </font>
            </x14:dxf>
          </x14:cfRule>
          <x14:cfRule type="containsText" priority="412" operator="containsText" id="{4FEBC1FB-B4C5-420D-BEB4-433BD02E8F78}">
            <xm:f>NOT(ISERROR(SEARCH($AZ$7,AQ672)))</xm:f>
            <xm:f>$AZ$7</xm:f>
            <x14:dxf>
              <font>
                <b/>
                <i val="0"/>
                <color rgb="FF00B050"/>
              </font>
            </x14:dxf>
          </x14:cfRule>
          <xm:sqref>AQ672</xm:sqref>
        </x14:conditionalFormatting>
        <x14:conditionalFormatting xmlns:xm="http://schemas.microsoft.com/office/excel/2006/main">
          <x14:cfRule type="containsText" priority="409" operator="containsText" id="{DC2890AF-5887-4351-BB9A-C390AF6DF78F}">
            <xm:f>NOT(ISERROR(SEARCH($AZ$8,AQ675)))</xm:f>
            <xm:f>$AZ$8</xm:f>
            <x14:dxf>
              <font>
                <b/>
                <i val="0"/>
                <color rgb="FFFF0000"/>
              </font>
            </x14:dxf>
          </x14:cfRule>
          <x14:cfRule type="containsText" priority="410" operator="containsText" id="{DDCCE217-7CAE-4E68-B093-DE7E7222C48D}">
            <xm:f>NOT(ISERROR(SEARCH($AZ$7,AQ675)))</xm:f>
            <xm:f>$AZ$7</xm:f>
            <x14:dxf>
              <font>
                <b/>
                <i val="0"/>
                <color rgb="FF00B050"/>
              </font>
            </x14:dxf>
          </x14:cfRule>
          <xm:sqref>AQ675</xm:sqref>
        </x14:conditionalFormatting>
        <x14:conditionalFormatting xmlns:xm="http://schemas.microsoft.com/office/excel/2006/main">
          <x14:cfRule type="containsText" priority="407" operator="containsText" id="{E23A5C6F-97F6-4326-A797-2CFCE2CEFEF7}">
            <xm:f>NOT(ISERROR(SEARCH($AZ$8,AQ676)))</xm:f>
            <xm:f>$AZ$8</xm:f>
            <x14:dxf>
              <font>
                <b/>
                <i val="0"/>
                <color rgb="FFFF0000"/>
              </font>
            </x14:dxf>
          </x14:cfRule>
          <x14:cfRule type="containsText" priority="408" operator="containsText" id="{1BFBB7D2-3D99-45FC-AF20-063DF4863149}">
            <xm:f>NOT(ISERROR(SEARCH($AZ$7,AQ676)))</xm:f>
            <xm:f>$AZ$7</xm:f>
            <x14:dxf>
              <font>
                <b/>
                <i val="0"/>
                <color rgb="FF00B050"/>
              </font>
            </x14:dxf>
          </x14:cfRule>
          <xm:sqref>AQ676</xm:sqref>
        </x14:conditionalFormatting>
        <x14:conditionalFormatting xmlns:xm="http://schemas.microsoft.com/office/excel/2006/main">
          <x14:cfRule type="containsText" priority="405" operator="containsText" id="{F00FBF28-EE8D-4CD3-AF97-E29DE6F9D1C6}">
            <xm:f>NOT(ISERROR(SEARCH($AZ$8,AQ680)))</xm:f>
            <xm:f>$AZ$8</xm:f>
            <x14:dxf>
              <font>
                <b/>
                <i val="0"/>
                <color rgb="FFFF0000"/>
              </font>
            </x14:dxf>
          </x14:cfRule>
          <x14:cfRule type="containsText" priority="406" operator="containsText" id="{BA5FA787-B704-4718-ACDB-42DE35CF21BB}">
            <xm:f>NOT(ISERROR(SEARCH($AZ$7,AQ680)))</xm:f>
            <xm:f>$AZ$7</xm:f>
            <x14:dxf>
              <font>
                <b/>
                <i val="0"/>
                <color rgb="FF00B050"/>
              </font>
            </x14:dxf>
          </x14:cfRule>
          <xm:sqref>AQ680</xm:sqref>
        </x14:conditionalFormatting>
        <x14:conditionalFormatting xmlns:xm="http://schemas.microsoft.com/office/excel/2006/main">
          <x14:cfRule type="containsText" priority="401" operator="containsText" id="{057C1395-5A5A-43B6-B37D-A94855F2FAAB}">
            <xm:f>NOT(ISERROR(SEARCH($AY$8,AC692)))</xm:f>
            <xm:f>$AY$8</xm:f>
            <x14:dxf>
              <font>
                <b/>
                <i val="0"/>
                <color rgb="FFFF0000"/>
              </font>
            </x14:dxf>
          </x14:cfRule>
          <xm:sqref>AC692:AC699</xm:sqref>
        </x14:conditionalFormatting>
        <x14:conditionalFormatting xmlns:xm="http://schemas.microsoft.com/office/excel/2006/main">
          <x14:cfRule type="containsText" priority="400" operator="containsText" id="{E9926C29-0757-4CF7-B802-DE6AD283005B}">
            <xm:f>NOT(ISERROR(SEARCH($AZ$7,AC692)))</xm:f>
            <xm:f>$AZ$7</xm:f>
            <x14:dxf>
              <font>
                <b/>
                <i val="0"/>
                <color rgb="FF00B050"/>
              </font>
            </x14:dxf>
          </x14:cfRule>
          <xm:sqref>AC692:AC699</xm:sqref>
        </x14:conditionalFormatting>
        <x14:conditionalFormatting xmlns:xm="http://schemas.microsoft.com/office/excel/2006/main">
          <x14:cfRule type="iconSet" priority="398" id="{0C5B5BB4-106F-48DB-9B51-E6A0021B874B}">
            <x14:iconSet iconSet="3Symbols" custom="1">
              <x14:cfvo type="percent">
                <xm:f>0</xm:f>
              </x14:cfvo>
              <x14:cfvo type="percent">
                <xm:f>60</xm:f>
              </x14:cfvo>
              <x14:cfvo type="percent">
                <xm:f>90</xm:f>
              </x14:cfvo>
              <x14:cfIcon iconSet="3Symbols" iconId="2"/>
              <x14:cfIcon iconSet="3Symbols" iconId="1"/>
              <x14:cfIcon iconSet="3Symbols" iconId="0"/>
            </x14:iconSet>
          </x14:cfRule>
          <xm:sqref>Z692:Z699</xm:sqref>
        </x14:conditionalFormatting>
        <x14:conditionalFormatting xmlns:xm="http://schemas.microsoft.com/office/excel/2006/main">
          <x14:cfRule type="iconSet" priority="399" id="{25C480E6-E37D-46AC-9E9D-4A830A620220}">
            <x14:iconSet iconSet="3Symbols" custom="1">
              <x14:cfvo type="percent">
                <xm:f>0</xm:f>
              </x14:cfvo>
              <x14:cfvo type="percent">
                <xm:f>50</xm:f>
              </x14:cfvo>
              <x14:cfvo type="percent">
                <xm:f>90</xm:f>
              </x14:cfvo>
              <x14:cfIcon iconSet="3Symbols" iconId="2"/>
              <x14:cfIcon iconSet="3Symbols" iconId="1"/>
              <x14:cfIcon iconSet="3Symbols" iconId="0"/>
            </x14:iconSet>
          </x14:cfRule>
          <xm:sqref>Z692:Z699</xm:sqref>
        </x14:conditionalFormatting>
        <x14:conditionalFormatting xmlns:xm="http://schemas.microsoft.com/office/excel/2006/main">
          <x14:cfRule type="containsText" priority="380" operator="containsText" id="{2F3E9CB6-D2FF-4583-A6DA-03CCC78AF22E}">
            <xm:f>NOT(ISERROR(SEARCH($AY$8,AC700)))</xm:f>
            <xm:f>$AY$8</xm:f>
            <x14:dxf>
              <font>
                <b/>
                <i val="0"/>
                <color rgb="FFFF0000"/>
              </font>
            </x14:dxf>
          </x14:cfRule>
          <xm:sqref>AC700:AC707</xm:sqref>
        </x14:conditionalFormatting>
        <x14:conditionalFormatting xmlns:xm="http://schemas.microsoft.com/office/excel/2006/main">
          <x14:cfRule type="containsText" priority="379" operator="containsText" id="{C7798011-F2BB-4BD3-8506-76CA33545B65}">
            <xm:f>NOT(ISERROR(SEARCH($AZ$7,AC700)))</xm:f>
            <xm:f>$AZ$7</xm:f>
            <x14:dxf>
              <font>
                <b/>
                <i val="0"/>
                <color rgb="FF00B050"/>
              </font>
            </x14:dxf>
          </x14:cfRule>
          <xm:sqref>AC700:AC707</xm:sqref>
        </x14:conditionalFormatting>
        <x14:conditionalFormatting xmlns:xm="http://schemas.microsoft.com/office/excel/2006/main">
          <x14:cfRule type="iconSet" priority="377" id="{67D59568-41E2-4554-A53C-E41FC796B269}">
            <x14:iconSet iconSet="3Symbols" custom="1">
              <x14:cfvo type="percent">
                <xm:f>0</xm:f>
              </x14:cfvo>
              <x14:cfvo type="percent">
                <xm:f>60</xm:f>
              </x14:cfvo>
              <x14:cfvo type="percent">
                <xm:f>90</xm:f>
              </x14:cfvo>
              <x14:cfIcon iconSet="3Symbols" iconId="2"/>
              <x14:cfIcon iconSet="3Symbols" iconId="1"/>
              <x14:cfIcon iconSet="3Symbols" iconId="0"/>
            </x14:iconSet>
          </x14:cfRule>
          <xm:sqref>Z700:Z707</xm:sqref>
        </x14:conditionalFormatting>
        <x14:conditionalFormatting xmlns:xm="http://schemas.microsoft.com/office/excel/2006/main">
          <x14:cfRule type="iconSet" priority="378" id="{D584A9D5-377A-47FB-883B-959B8A0C334D}">
            <x14:iconSet iconSet="3Symbols" custom="1">
              <x14:cfvo type="percent">
                <xm:f>0</xm:f>
              </x14:cfvo>
              <x14:cfvo type="percent">
                <xm:f>50</xm:f>
              </x14:cfvo>
              <x14:cfvo type="percent">
                <xm:f>90</xm:f>
              </x14:cfvo>
              <x14:cfIcon iconSet="3Symbols" iconId="2"/>
              <x14:cfIcon iconSet="3Symbols" iconId="1"/>
              <x14:cfIcon iconSet="3Symbols" iconId="0"/>
            </x14:iconSet>
          </x14:cfRule>
          <xm:sqref>Z700:Z707</xm:sqref>
        </x14:conditionalFormatting>
        <x14:conditionalFormatting xmlns:xm="http://schemas.microsoft.com/office/excel/2006/main">
          <x14:cfRule type="containsText" priority="359" operator="containsText" id="{0562A848-8CC1-45B4-9A2E-D45185B77974}">
            <xm:f>NOT(ISERROR(SEARCH($AY$8,AC708)))</xm:f>
            <xm:f>$AY$8</xm:f>
            <x14:dxf>
              <font>
                <b/>
                <i val="0"/>
                <color rgb="FFFF0000"/>
              </font>
            </x14:dxf>
          </x14:cfRule>
          <xm:sqref>AC708:AC715</xm:sqref>
        </x14:conditionalFormatting>
        <x14:conditionalFormatting xmlns:xm="http://schemas.microsoft.com/office/excel/2006/main">
          <x14:cfRule type="containsText" priority="358" operator="containsText" id="{8F508045-C918-4151-8C93-1F05A439B8E8}">
            <xm:f>NOT(ISERROR(SEARCH($AZ$7,AC708)))</xm:f>
            <xm:f>$AZ$7</xm:f>
            <x14:dxf>
              <font>
                <b/>
                <i val="0"/>
                <color rgb="FF00B050"/>
              </font>
            </x14:dxf>
          </x14:cfRule>
          <xm:sqref>AC708:AC715</xm:sqref>
        </x14:conditionalFormatting>
        <x14:conditionalFormatting xmlns:xm="http://schemas.microsoft.com/office/excel/2006/main">
          <x14:cfRule type="iconSet" priority="356" id="{10669006-9A63-41C5-B5FD-A71230C62DD8}">
            <x14:iconSet iconSet="3Symbols" custom="1">
              <x14:cfvo type="percent">
                <xm:f>0</xm:f>
              </x14:cfvo>
              <x14:cfvo type="percent">
                <xm:f>60</xm:f>
              </x14:cfvo>
              <x14:cfvo type="percent">
                <xm:f>90</xm:f>
              </x14:cfvo>
              <x14:cfIcon iconSet="3Symbols" iconId="2"/>
              <x14:cfIcon iconSet="3Symbols" iconId="1"/>
              <x14:cfIcon iconSet="3Symbols" iconId="0"/>
            </x14:iconSet>
          </x14:cfRule>
          <xm:sqref>Z708:Z715</xm:sqref>
        </x14:conditionalFormatting>
        <x14:conditionalFormatting xmlns:xm="http://schemas.microsoft.com/office/excel/2006/main">
          <x14:cfRule type="iconSet" priority="357" id="{28F4B834-FEF0-416B-B72E-44499BB2CF3A}">
            <x14:iconSet iconSet="3Symbols" custom="1">
              <x14:cfvo type="percent">
                <xm:f>0</xm:f>
              </x14:cfvo>
              <x14:cfvo type="percent">
                <xm:f>50</xm:f>
              </x14:cfvo>
              <x14:cfvo type="percent">
                <xm:f>90</xm:f>
              </x14:cfvo>
              <x14:cfIcon iconSet="3Symbols" iconId="2"/>
              <x14:cfIcon iconSet="3Symbols" iconId="1"/>
              <x14:cfIcon iconSet="3Symbols" iconId="0"/>
            </x14:iconSet>
          </x14:cfRule>
          <xm:sqref>Z708:Z715</xm:sqref>
        </x14:conditionalFormatting>
        <x14:conditionalFormatting xmlns:xm="http://schemas.microsoft.com/office/excel/2006/main">
          <x14:cfRule type="containsText" priority="340" operator="containsText" id="{F9CE73CC-AFA1-4429-B0FF-2889F5F429B6}">
            <xm:f>NOT(ISERROR(SEARCH($AZ$8,AQ684)))</xm:f>
            <xm:f>$AZ$8</xm:f>
            <x14:dxf>
              <font>
                <b/>
                <i val="0"/>
                <color rgb="FFFF0000"/>
              </font>
            </x14:dxf>
          </x14:cfRule>
          <x14:cfRule type="containsText" priority="341" operator="containsText" id="{B162DFC8-B74C-413E-8696-97CEA3E6BF06}">
            <xm:f>NOT(ISERROR(SEARCH($AZ$7,AQ684)))</xm:f>
            <xm:f>$AZ$7</xm:f>
            <x14:dxf>
              <font>
                <b/>
                <i val="0"/>
                <color rgb="FF00B050"/>
              </font>
            </x14:dxf>
          </x14:cfRule>
          <xm:sqref>AQ684</xm:sqref>
        </x14:conditionalFormatting>
        <x14:conditionalFormatting xmlns:xm="http://schemas.microsoft.com/office/excel/2006/main">
          <x14:cfRule type="containsText" priority="333" operator="containsText" id="{2D2BDCD4-0EAA-4564-92BB-D42281424C96}">
            <xm:f>NOT(ISERROR(SEARCH($AZ$8,AQ689)))</xm:f>
            <xm:f>$AZ$8</xm:f>
            <x14:dxf>
              <font>
                <b/>
                <i val="0"/>
                <color rgb="FFFF0000"/>
              </font>
            </x14:dxf>
          </x14:cfRule>
          <x14:cfRule type="containsText" priority="334" operator="containsText" id="{1FE3503D-73C1-49A6-948D-E8C507FE850F}">
            <xm:f>NOT(ISERROR(SEARCH($AZ$7,AQ689)))</xm:f>
            <xm:f>$AZ$7</xm:f>
            <x14:dxf>
              <font>
                <b/>
                <i val="0"/>
                <color rgb="FF00B050"/>
              </font>
            </x14:dxf>
          </x14:cfRule>
          <xm:sqref>AQ689</xm:sqref>
        </x14:conditionalFormatting>
        <x14:conditionalFormatting xmlns:xm="http://schemas.microsoft.com/office/excel/2006/main">
          <x14:cfRule type="containsText" priority="331" operator="containsText" id="{FA423471-DD26-478D-86A3-F96865CF837C}">
            <xm:f>NOT(ISERROR(SEARCH($AZ$8,AQ690)))</xm:f>
            <xm:f>$AZ$8</xm:f>
            <x14:dxf>
              <font>
                <b/>
                <i val="0"/>
                <color rgb="FFFF0000"/>
              </font>
            </x14:dxf>
          </x14:cfRule>
          <x14:cfRule type="containsText" priority="332" operator="containsText" id="{3BEA5FE4-F654-4875-96A7-52E8900CB079}">
            <xm:f>NOT(ISERROR(SEARCH($AZ$7,AQ690)))</xm:f>
            <xm:f>$AZ$7</xm:f>
            <x14:dxf>
              <font>
                <b/>
                <i val="0"/>
                <color rgb="FF00B050"/>
              </font>
            </x14:dxf>
          </x14:cfRule>
          <xm:sqref>AQ690</xm:sqref>
        </x14:conditionalFormatting>
        <x14:conditionalFormatting xmlns:xm="http://schemas.microsoft.com/office/excel/2006/main">
          <x14:cfRule type="containsText" priority="329" operator="containsText" id="{66E499BD-7F38-46F4-BCAC-4B2DBF797BB4}">
            <xm:f>NOT(ISERROR(SEARCH($AZ$8,AQ691)))</xm:f>
            <xm:f>$AZ$8</xm:f>
            <x14:dxf>
              <font>
                <b/>
                <i val="0"/>
                <color rgb="FFFF0000"/>
              </font>
            </x14:dxf>
          </x14:cfRule>
          <x14:cfRule type="containsText" priority="330" operator="containsText" id="{2D1507D1-FC4F-4BC5-8625-45083D14176C}">
            <xm:f>NOT(ISERROR(SEARCH($AZ$7,AQ691)))</xm:f>
            <xm:f>$AZ$7</xm:f>
            <x14:dxf>
              <font>
                <b/>
                <i val="0"/>
                <color rgb="FF00B050"/>
              </font>
            </x14:dxf>
          </x14:cfRule>
          <xm:sqref>AQ691</xm:sqref>
        </x14:conditionalFormatting>
        <x14:conditionalFormatting xmlns:xm="http://schemas.microsoft.com/office/excel/2006/main">
          <x14:cfRule type="containsText" priority="327" operator="containsText" id="{17EB7F50-40AC-44CA-B349-69272A5ADF38}">
            <xm:f>NOT(ISERROR(SEARCH($AZ$8,AQ698)))</xm:f>
            <xm:f>$AZ$8</xm:f>
            <x14:dxf>
              <font>
                <b/>
                <i val="0"/>
                <color rgb="FFFF0000"/>
              </font>
            </x14:dxf>
          </x14:cfRule>
          <x14:cfRule type="containsText" priority="328" operator="containsText" id="{C9C8196D-332C-4924-B292-009E3CEA257A}">
            <xm:f>NOT(ISERROR(SEARCH($AZ$7,AQ698)))</xm:f>
            <xm:f>$AZ$7</xm:f>
            <x14:dxf>
              <font>
                <b/>
                <i val="0"/>
                <color rgb="FF00B050"/>
              </font>
            </x14:dxf>
          </x14:cfRule>
          <xm:sqref>AQ698</xm:sqref>
        </x14:conditionalFormatting>
        <x14:conditionalFormatting xmlns:xm="http://schemas.microsoft.com/office/excel/2006/main">
          <x14:cfRule type="containsText" priority="323" operator="containsText" id="{2D58EB9E-6D81-4D09-990A-8F9B4C53B4BD}">
            <xm:f>NOT(ISERROR(SEARCH($AY$8,AC716)))</xm:f>
            <xm:f>$AY$8</xm:f>
            <x14:dxf>
              <font>
                <b/>
                <i val="0"/>
                <color rgb="FFFF0000"/>
              </font>
            </x14:dxf>
          </x14:cfRule>
          <xm:sqref>AC716:AC756</xm:sqref>
        </x14:conditionalFormatting>
        <x14:conditionalFormatting xmlns:xm="http://schemas.microsoft.com/office/excel/2006/main">
          <x14:cfRule type="containsText" priority="322" operator="containsText" id="{ADEA8641-72E0-4BEB-AF3D-D66F1B7CF798}">
            <xm:f>NOT(ISERROR(SEARCH($AZ$7,AC716)))</xm:f>
            <xm:f>$AZ$7</xm:f>
            <x14:dxf>
              <font>
                <b/>
                <i val="0"/>
                <color rgb="FF00B050"/>
              </font>
            </x14:dxf>
          </x14:cfRule>
          <xm:sqref>AC716:AC756</xm:sqref>
        </x14:conditionalFormatting>
        <x14:conditionalFormatting xmlns:xm="http://schemas.microsoft.com/office/excel/2006/main">
          <x14:cfRule type="containsText" priority="290" operator="containsText" id="{BDAF6E4B-A4D5-4D17-BFC3-E98D45D1C2F0}">
            <xm:f>NOT(ISERROR(SEARCH($AZ$8,AQ736)))</xm:f>
            <xm:f>$AZ$8</xm:f>
            <x14:dxf>
              <font>
                <b/>
                <i val="0"/>
                <color rgb="FFFF0000"/>
              </font>
            </x14:dxf>
          </x14:cfRule>
          <x14:cfRule type="containsText" priority="291" operator="containsText" id="{5791F8F9-0301-43A0-AB42-EE8AAC61FC6B}">
            <xm:f>NOT(ISERROR(SEARCH($AZ$7,AQ736)))</xm:f>
            <xm:f>$AZ$7</xm:f>
            <x14:dxf>
              <font>
                <b/>
                <i val="0"/>
                <color rgb="FF00B050"/>
              </font>
            </x14:dxf>
          </x14:cfRule>
          <xm:sqref>AQ736</xm:sqref>
        </x14:conditionalFormatting>
        <x14:conditionalFormatting xmlns:xm="http://schemas.microsoft.com/office/excel/2006/main">
          <x14:cfRule type="containsText" priority="288" operator="containsText" id="{F2290418-A132-4862-ABA4-D260A93D362B}">
            <xm:f>NOT(ISERROR(SEARCH($AZ$8,AQ738)))</xm:f>
            <xm:f>$AZ$8</xm:f>
            <x14:dxf>
              <font>
                <b/>
                <i val="0"/>
                <color rgb="FFFF0000"/>
              </font>
            </x14:dxf>
          </x14:cfRule>
          <x14:cfRule type="containsText" priority="289" operator="containsText" id="{5E6D00BD-54C7-4A9D-9CE5-78B8016449F3}">
            <xm:f>NOT(ISERROR(SEARCH($AZ$7,AQ738)))</xm:f>
            <xm:f>$AZ$7</xm:f>
            <x14:dxf>
              <font>
                <b/>
                <i val="0"/>
                <color rgb="FF00B050"/>
              </font>
            </x14:dxf>
          </x14:cfRule>
          <xm:sqref>AQ738</xm:sqref>
        </x14:conditionalFormatting>
        <x14:conditionalFormatting xmlns:xm="http://schemas.microsoft.com/office/excel/2006/main">
          <x14:cfRule type="containsText" priority="286" operator="containsText" id="{E05ECB5F-2E96-4B26-AD20-B391D3270E91}">
            <xm:f>NOT(ISERROR(SEARCH($AZ$8,AQ745)))</xm:f>
            <xm:f>$AZ$8</xm:f>
            <x14:dxf>
              <font>
                <b/>
                <i val="0"/>
                <color rgb="FFFF0000"/>
              </font>
            </x14:dxf>
          </x14:cfRule>
          <x14:cfRule type="containsText" priority="287" operator="containsText" id="{2D7DF3C7-7D40-4EBC-B68F-EB7FE43B489D}">
            <xm:f>NOT(ISERROR(SEARCH($AZ$7,AQ745)))</xm:f>
            <xm:f>$AZ$7</xm:f>
            <x14:dxf>
              <font>
                <b/>
                <i val="0"/>
                <color rgb="FF00B050"/>
              </font>
            </x14:dxf>
          </x14:cfRule>
          <xm:sqref>AQ745</xm:sqref>
        </x14:conditionalFormatting>
        <x14:conditionalFormatting xmlns:xm="http://schemas.microsoft.com/office/excel/2006/main">
          <x14:cfRule type="containsText" priority="284" operator="containsText" id="{7F3C5158-82D8-4997-931B-F3EA8980CE09}">
            <xm:f>NOT(ISERROR(SEARCH($AZ$8,AQ746)))</xm:f>
            <xm:f>$AZ$8</xm:f>
            <x14:dxf>
              <font>
                <b/>
                <i val="0"/>
                <color rgb="FFFF0000"/>
              </font>
            </x14:dxf>
          </x14:cfRule>
          <x14:cfRule type="containsText" priority="285" operator="containsText" id="{B9012ECE-D1C8-4788-BA17-DC22566EBA99}">
            <xm:f>NOT(ISERROR(SEARCH($AZ$7,AQ746)))</xm:f>
            <xm:f>$AZ$7</xm:f>
            <x14:dxf>
              <font>
                <b/>
                <i val="0"/>
                <color rgb="FF00B050"/>
              </font>
            </x14:dxf>
          </x14:cfRule>
          <xm:sqref>AQ746</xm:sqref>
        </x14:conditionalFormatting>
        <x14:conditionalFormatting xmlns:xm="http://schemas.microsoft.com/office/excel/2006/main">
          <x14:cfRule type="containsText" priority="282" operator="containsText" id="{FC1EBFE4-52E5-4E6F-A6BD-939E99D5B6A3}">
            <xm:f>NOT(ISERROR(SEARCH($AZ$8,AQ748)))</xm:f>
            <xm:f>$AZ$8</xm:f>
            <x14:dxf>
              <font>
                <b/>
                <i val="0"/>
                <color rgb="FFFF0000"/>
              </font>
            </x14:dxf>
          </x14:cfRule>
          <x14:cfRule type="containsText" priority="283" operator="containsText" id="{8BB08CD1-32AB-456C-AB3A-7BF4DA935412}">
            <xm:f>NOT(ISERROR(SEARCH($AZ$7,AQ748)))</xm:f>
            <xm:f>$AZ$7</xm:f>
            <x14:dxf>
              <font>
                <b/>
                <i val="0"/>
                <color rgb="FF00B050"/>
              </font>
            </x14:dxf>
          </x14:cfRule>
          <xm:sqref>AQ748</xm:sqref>
        </x14:conditionalFormatting>
        <x14:conditionalFormatting xmlns:xm="http://schemas.microsoft.com/office/excel/2006/main">
          <x14:cfRule type="containsText" priority="280" operator="containsText" id="{C45FE429-400D-403B-8ED7-CE7AB9BC0379}">
            <xm:f>NOT(ISERROR(SEARCH($AZ$8,AQ751)))</xm:f>
            <xm:f>$AZ$8</xm:f>
            <x14:dxf>
              <font>
                <b/>
                <i val="0"/>
                <color rgb="FFFF0000"/>
              </font>
            </x14:dxf>
          </x14:cfRule>
          <x14:cfRule type="containsText" priority="281" operator="containsText" id="{51F6B01C-56D4-462D-A0FB-98C7A818B53F}">
            <xm:f>NOT(ISERROR(SEARCH($AZ$7,AQ751)))</xm:f>
            <xm:f>$AZ$7</xm:f>
            <x14:dxf>
              <font>
                <b/>
                <i val="0"/>
                <color rgb="FF00B050"/>
              </font>
            </x14:dxf>
          </x14:cfRule>
          <xm:sqref>AQ751</xm:sqref>
        </x14:conditionalFormatting>
        <x14:conditionalFormatting xmlns:xm="http://schemas.microsoft.com/office/excel/2006/main">
          <x14:cfRule type="containsText" priority="278" operator="containsText" id="{64F3E921-DF90-4852-92CE-E7F398F2D0B6}">
            <xm:f>NOT(ISERROR(SEARCH($AZ$8,AQ753)))</xm:f>
            <xm:f>$AZ$8</xm:f>
            <x14:dxf>
              <font>
                <b/>
                <i val="0"/>
                <color rgb="FFFF0000"/>
              </font>
            </x14:dxf>
          </x14:cfRule>
          <x14:cfRule type="containsText" priority="279" operator="containsText" id="{7028B24F-B78C-409F-8C9C-33C70115F209}">
            <xm:f>NOT(ISERROR(SEARCH($AZ$7,AQ753)))</xm:f>
            <xm:f>$AZ$7</xm:f>
            <x14:dxf>
              <font>
                <b/>
                <i val="0"/>
                <color rgb="FF00B050"/>
              </font>
            </x14:dxf>
          </x14:cfRule>
          <xm:sqref>AQ753:AQ755</xm:sqref>
        </x14:conditionalFormatting>
        <x14:conditionalFormatting xmlns:xm="http://schemas.microsoft.com/office/excel/2006/main">
          <x14:cfRule type="containsText" priority="255" operator="containsText" id="{DB528A5F-3F70-4C0F-8552-92A62699AC06}">
            <xm:f>NOT(ISERROR(SEARCH($AZ$8,AQ756)))</xm:f>
            <xm:f>$AZ$8</xm:f>
            <x14:dxf>
              <font>
                <b/>
                <i val="0"/>
                <color rgb="FFFF0000"/>
              </font>
            </x14:dxf>
          </x14:cfRule>
          <x14:cfRule type="containsText" priority="256" operator="containsText" id="{87C75BDB-F368-42E3-A86B-1A00A80E6181}">
            <xm:f>NOT(ISERROR(SEARCH($AZ$7,AQ756)))</xm:f>
            <xm:f>$AZ$7</xm:f>
            <x14:dxf>
              <font>
                <b/>
                <i val="0"/>
                <color rgb="FF00B050"/>
              </font>
            </x14:dxf>
          </x14:cfRule>
          <xm:sqref>AQ756</xm:sqref>
        </x14:conditionalFormatting>
        <x14:conditionalFormatting xmlns:xm="http://schemas.microsoft.com/office/excel/2006/main">
          <x14:cfRule type="iconSet" priority="1066" id="{12B50F83-475D-40C8-9601-D1FC9359378A}">
            <x14:iconSet iconSet="3Symbols" custom="1">
              <x14:cfvo type="percent">
                <xm:f>0</xm:f>
              </x14:cfvo>
              <x14:cfvo type="percent">
                <xm:f>60</xm:f>
              </x14:cfvo>
              <x14:cfvo type="percent">
                <xm:f>90</xm:f>
              </x14:cfvo>
              <x14:cfIcon iconSet="3Symbols" iconId="2"/>
              <x14:cfIcon iconSet="3Symbols" iconId="1"/>
              <x14:cfIcon iconSet="3Symbols" iconId="0"/>
            </x14:iconSet>
          </x14:cfRule>
          <xm:sqref>Z716:Z756</xm:sqref>
        </x14:conditionalFormatting>
        <x14:conditionalFormatting xmlns:xm="http://schemas.microsoft.com/office/excel/2006/main">
          <x14:cfRule type="iconSet" priority="1067" id="{533E6515-AA2B-42F6-9484-2BD01BC7EFA9}">
            <x14:iconSet iconSet="3Symbols" custom="1">
              <x14:cfvo type="percent">
                <xm:f>0</xm:f>
              </x14:cfvo>
              <x14:cfvo type="percent">
                <xm:f>50</xm:f>
              </x14:cfvo>
              <x14:cfvo type="percent">
                <xm:f>90</xm:f>
              </x14:cfvo>
              <x14:cfIcon iconSet="3Symbols" iconId="2"/>
              <x14:cfIcon iconSet="3Symbols" iconId="1"/>
              <x14:cfIcon iconSet="3Symbols" iconId="0"/>
            </x14:iconSet>
          </x14:cfRule>
          <xm:sqref>Z716:Z756</xm:sqref>
        </x14:conditionalFormatting>
        <x14:conditionalFormatting xmlns:xm="http://schemas.microsoft.com/office/excel/2006/main">
          <x14:cfRule type="containsText" priority="243" operator="containsText" id="{9E8A49C1-8F7D-4CAF-BF17-BBD68FF22A50}">
            <xm:f>NOT(ISERROR(SEARCH($AZ$8,AQ757)))</xm:f>
            <xm:f>$AZ$8</xm:f>
            <x14:dxf>
              <font>
                <b/>
                <i val="0"/>
                <color rgb="FFFF0000"/>
              </font>
            </x14:dxf>
          </x14:cfRule>
          <x14:cfRule type="containsText" priority="244" operator="containsText" id="{65708CF7-7B5C-441C-BB7E-5414004F30EA}">
            <xm:f>NOT(ISERROR(SEARCH($AZ$7,AQ757)))</xm:f>
            <xm:f>$AZ$7</xm:f>
            <x14:dxf>
              <font>
                <b/>
                <i val="0"/>
                <color rgb="FF00B050"/>
              </font>
            </x14:dxf>
          </x14:cfRule>
          <xm:sqref>AQ757:AQ758</xm:sqref>
        </x14:conditionalFormatting>
        <x14:conditionalFormatting xmlns:xm="http://schemas.microsoft.com/office/excel/2006/main">
          <x14:cfRule type="containsText" priority="241" operator="containsText" id="{4E280B29-65D0-4AEE-957B-E329F956E9C4}">
            <xm:f>NOT(ISERROR(SEARCH($AZ$8,AQ759)))</xm:f>
            <xm:f>$AZ$8</xm:f>
            <x14:dxf>
              <font>
                <b/>
                <i val="0"/>
                <color rgb="FFFF0000"/>
              </font>
            </x14:dxf>
          </x14:cfRule>
          <x14:cfRule type="containsText" priority="242" operator="containsText" id="{A7A13319-5FAE-4EF6-AB21-0E8A19595D1F}">
            <xm:f>NOT(ISERROR(SEARCH($AZ$7,AQ759)))</xm:f>
            <xm:f>$AZ$7</xm:f>
            <x14:dxf>
              <font>
                <b/>
                <i val="0"/>
                <color rgb="FF00B050"/>
              </font>
            </x14:dxf>
          </x14:cfRule>
          <xm:sqref>AQ759</xm:sqref>
        </x14:conditionalFormatting>
        <x14:conditionalFormatting xmlns:xm="http://schemas.microsoft.com/office/excel/2006/main">
          <x14:cfRule type="iconSet" priority="1108" id="{A645A10F-9F2A-4627-899B-4C6E773A9F8E}">
            <x14:iconSet iconSet="3Symbols" custom="1">
              <x14:cfvo type="percent">
                <xm:f>0</xm:f>
              </x14:cfvo>
              <x14:cfvo type="percent">
                <xm:f>60</xm:f>
              </x14:cfvo>
              <x14:cfvo type="percent">
                <xm:f>90</xm:f>
              </x14:cfvo>
              <x14:cfIcon iconSet="3Symbols" iconId="2"/>
              <x14:cfIcon iconSet="3Symbols" iconId="1"/>
              <x14:cfIcon iconSet="3Symbols" iconId="0"/>
            </x14:iconSet>
          </x14:cfRule>
          <xm:sqref>Z437:Z600 Z757:Z794</xm:sqref>
        </x14:conditionalFormatting>
        <x14:conditionalFormatting xmlns:xm="http://schemas.microsoft.com/office/excel/2006/main">
          <x14:cfRule type="iconSet" priority="1111" id="{84F1E01F-47A6-4E3A-81D5-46F81BA7CD07}">
            <x14:iconSet iconSet="3Symbols" custom="1">
              <x14:cfvo type="percent">
                <xm:f>0</xm:f>
              </x14:cfvo>
              <x14:cfvo type="percent">
                <xm:f>50</xm:f>
              </x14:cfvo>
              <x14:cfvo type="percent">
                <xm:f>90</xm:f>
              </x14:cfvo>
              <x14:cfIcon iconSet="3Symbols" iconId="2"/>
              <x14:cfIcon iconSet="3Symbols" iconId="1"/>
              <x14:cfIcon iconSet="3Symbols" iconId="0"/>
            </x14:iconSet>
          </x14:cfRule>
          <xm:sqref>Z437:Z600 Z757:Z794</xm:sqref>
        </x14:conditionalFormatting>
        <x14:conditionalFormatting xmlns:xm="http://schemas.microsoft.com/office/excel/2006/main">
          <x14:cfRule type="containsText" priority="234" operator="containsText" id="{466EEC96-ACEC-4D21-89D9-FED869FD8354}">
            <xm:f>NOT(ISERROR(SEARCH($AZ$8,AQ767)))</xm:f>
            <xm:f>$AZ$8</xm:f>
            <x14:dxf>
              <font>
                <b/>
                <i val="0"/>
                <color rgb="FFFF0000"/>
              </font>
            </x14:dxf>
          </x14:cfRule>
          <x14:cfRule type="containsText" priority="235" operator="containsText" id="{F1018DF5-3E4F-420F-934E-BDD0C6581DFE}">
            <xm:f>NOT(ISERROR(SEARCH($AZ$7,AQ767)))</xm:f>
            <xm:f>$AZ$7</xm:f>
            <x14:dxf>
              <font>
                <b/>
                <i val="0"/>
                <color rgb="FF00B050"/>
              </font>
            </x14:dxf>
          </x14:cfRule>
          <xm:sqref>AQ767</xm:sqref>
        </x14:conditionalFormatting>
        <x14:conditionalFormatting xmlns:xm="http://schemas.microsoft.com/office/excel/2006/main">
          <x14:cfRule type="containsText" priority="232" operator="containsText" id="{D1DB3713-966D-42AE-89A9-6C0F8CBDF0EC}">
            <xm:f>NOT(ISERROR(SEARCH($AZ$8,AQ768)))</xm:f>
            <xm:f>$AZ$8</xm:f>
            <x14:dxf>
              <font>
                <b/>
                <i val="0"/>
                <color rgb="FFFF0000"/>
              </font>
            </x14:dxf>
          </x14:cfRule>
          <x14:cfRule type="containsText" priority="233" operator="containsText" id="{5E3C3E4B-9BFE-443D-A97C-9B465BC18B0F}">
            <xm:f>NOT(ISERROR(SEARCH($AZ$7,AQ768)))</xm:f>
            <xm:f>$AZ$7</xm:f>
            <x14:dxf>
              <font>
                <b/>
                <i val="0"/>
                <color rgb="FF00B050"/>
              </font>
            </x14:dxf>
          </x14:cfRule>
          <xm:sqref>AQ768</xm:sqref>
        </x14:conditionalFormatting>
        <x14:conditionalFormatting xmlns:xm="http://schemas.microsoft.com/office/excel/2006/main">
          <x14:cfRule type="containsText" priority="224" operator="containsText" id="{58E500BE-CC49-4A22-AA6F-BBC0965E1A08}">
            <xm:f>NOT(ISERROR(SEARCH($AY$8,AC795)))</xm:f>
            <xm:f>$AY$8</xm:f>
            <x14:dxf>
              <font>
                <b/>
                <i val="0"/>
                <color rgb="FFFF0000"/>
              </font>
            </x14:dxf>
          </x14:cfRule>
          <xm:sqref>AC795</xm:sqref>
        </x14:conditionalFormatting>
        <x14:conditionalFormatting xmlns:xm="http://schemas.microsoft.com/office/excel/2006/main">
          <x14:cfRule type="containsText" priority="223" operator="containsText" id="{9EF17F27-D2D6-4B92-8674-5F7F54A1B10F}">
            <xm:f>NOT(ISERROR(SEARCH($AZ$7,AC795)))</xm:f>
            <xm:f>$AZ$7</xm:f>
            <x14:dxf>
              <font>
                <b/>
                <i val="0"/>
                <color rgb="FF00B050"/>
              </font>
            </x14:dxf>
          </x14:cfRule>
          <xm:sqref>AC795</xm:sqref>
        </x14:conditionalFormatting>
        <x14:conditionalFormatting xmlns:xm="http://schemas.microsoft.com/office/excel/2006/main">
          <x14:cfRule type="iconSet" priority="230" id="{024F7C3B-1290-46AF-B7F6-703242E49DE6}">
            <x14:iconSet iconSet="3Symbols" custom="1">
              <x14:cfvo type="percent">
                <xm:f>0</xm:f>
              </x14:cfvo>
              <x14:cfvo type="percent">
                <xm:f>60</xm:f>
              </x14:cfvo>
              <x14:cfvo type="percent">
                <xm:f>90</xm:f>
              </x14:cfvo>
              <x14:cfIcon iconSet="3Symbols" iconId="2"/>
              <x14:cfIcon iconSet="3Symbols" iconId="1"/>
              <x14:cfIcon iconSet="3Symbols" iconId="0"/>
            </x14:iconSet>
          </x14:cfRule>
          <xm:sqref>Z795</xm:sqref>
        </x14:conditionalFormatting>
        <x14:conditionalFormatting xmlns:xm="http://schemas.microsoft.com/office/excel/2006/main">
          <x14:cfRule type="iconSet" priority="231" id="{A00677CD-7B37-48A2-A669-9E7261F55E60}">
            <x14:iconSet iconSet="3Symbols" custom="1">
              <x14:cfvo type="percent">
                <xm:f>0</xm:f>
              </x14:cfvo>
              <x14:cfvo type="percent">
                <xm:f>50</xm:f>
              </x14:cfvo>
              <x14:cfvo type="percent">
                <xm:f>90</xm:f>
              </x14:cfvo>
              <x14:cfIcon iconSet="3Symbols" iconId="2"/>
              <x14:cfIcon iconSet="3Symbols" iconId="1"/>
              <x14:cfIcon iconSet="3Symbols" iconId="0"/>
            </x14:iconSet>
          </x14:cfRule>
          <xm:sqref>Z795</xm:sqref>
        </x14:conditionalFormatting>
        <x14:conditionalFormatting xmlns:xm="http://schemas.microsoft.com/office/excel/2006/main">
          <x14:cfRule type="containsText" priority="203" operator="containsText" id="{2D2F05E6-5665-4195-B093-C3AD5C096082}">
            <xm:f>NOT(ISERROR(SEARCH($AY$8,AC796)))</xm:f>
            <xm:f>$AY$8</xm:f>
            <x14:dxf>
              <font>
                <b/>
                <i val="0"/>
                <color rgb="FFFF0000"/>
              </font>
            </x14:dxf>
          </x14:cfRule>
          <xm:sqref>AC796</xm:sqref>
        </x14:conditionalFormatting>
        <x14:conditionalFormatting xmlns:xm="http://schemas.microsoft.com/office/excel/2006/main">
          <x14:cfRule type="containsText" priority="202" operator="containsText" id="{B1555E52-4738-40A1-A83C-9671E6C77A15}">
            <xm:f>NOT(ISERROR(SEARCH($AZ$7,AC796)))</xm:f>
            <xm:f>$AZ$7</xm:f>
            <x14:dxf>
              <font>
                <b/>
                <i val="0"/>
                <color rgb="FF00B050"/>
              </font>
            </x14:dxf>
          </x14:cfRule>
          <xm:sqref>AC796</xm:sqref>
        </x14:conditionalFormatting>
        <x14:conditionalFormatting xmlns:xm="http://schemas.microsoft.com/office/excel/2006/main">
          <x14:cfRule type="iconSet" priority="209" id="{563827BC-472E-4CFF-92DB-F21A30ACFA25}">
            <x14:iconSet iconSet="3Symbols" custom="1">
              <x14:cfvo type="percent">
                <xm:f>0</xm:f>
              </x14:cfvo>
              <x14:cfvo type="percent">
                <xm:f>60</xm:f>
              </x14:cfvo>
              <x14:cfvo type="percent">
                <xm:f>90</xm:f>
              </x14:cfvo>
              <x14:cfIcon iconSet="3Symbols" iconId="2"/>
              <x14:cfIcon iconSet="3Symbols" iconId="1"/>
              <x14:cfIcon iconSet="3Symbols" iconId="0"/>
            </x14:iconSet>
          </x14:cfRule>
          <xm:sqref>Z796</xm:sqref>
        </x14:conditionalFormatting>
        <x14:conditionalFormatting xmlns:xm="http://schemas.microsoft.com/office/excel/2006/main">
          <x14:cfRule type="iconSet" priority="210" id="{5F54E55D-82CC-467E-8097-5A6D4BE08B6B}">
            <x14:iconSet iconSet="3Symbols" custom="1">
              <x14:cfvo type="percent">
                <xm:f>0</xm:f>
              </x14:cfvo>
              <x14:cfvo type="percent">
                <xm:f>50</xm:f>
              </x14:cfvo>
              <x14:cfvo type="percent">
                <xm:f>90</xm:f>
              </x14:cfvo>
              <x14:cfIcon iconSet="3Symbols" iconId="2"/>
              <x14:cfIcon iconSet="3Symbols" iconId="1"/>
              <x14:cfIcon iconSet="3Symbols" iconId="0"/>
            </x14:iconSet>
          </x14:cfRule>
          <xm:sqref>Z796</xm:sqref>
        </x14:conditionalFormatting>
        <x14:conditionalFormatting xmlns:xm="http://schemas.microsoft.com/office/excel/2006/main">
          <x14:cfRule type="containsText" priority="182" operator="containsText" id="{FDE7E608-E162-4601-BED0-209EA685C27A}">
            <xm:f>NOT(ISERROR(SEARCH($AY$8,AC797)))</xm:f>
            <xm:f>$AY$8</xm:f>
            <x14:dxf>
              <font>
                <b/>
                <i val="0"/>
                <color rgb="FFFF0000"/>
              </font>
            </x14:dxf>
          </x14:cfRule>
          <xm:sqref>AC797:AC799</xm:sqref>
        </x14:conditionalFormatting>
        <x14:conditionalFormatting xmlns:xm="http://schemas.microsoft.com/office/excel/2006/main">
          <x14:cfRule type="containsText" priority="181" operator="containsText" id="{E2912770-D710-4D65-AEDB-2057D770B28A}">
            <xm:f>NOT(ISERROR(SEARCH($AZ$7,AC797)))</xm:f>
            <xm:f>$AZ$7</xm:f>
            <x14:dxf>
              <font>
                <b/>
                <i val="0"/>
                <color rgb="FF00B050"/>
              </font>
            </x14:dxf>
          </x14:cfRule>
          <xm:sqref>AC797:AC799</xm:sqref>
        </x14:conditionalFormatting>
        <x14:conditionalFormatting xmlns:xm="http://schemas.microsoft.com/office/excel/2006/main">
          <x14:cfRule type="iconSet" priority="188" id="{05A344C0-6BD3-42CC-85EC-0674F9AAF097}">
            <x14:iconSet iconSet="3Symbols" custom="1">
              <x14:cfvo type="percent">
                <xm:f>0</xm:f>
              </x14:cfvo>
              <x14:cfvo type="percent">
                <xm:f>60</xm:f>
              </x14:cfvo>
              <x14:cfvo type="percent">
                <xm:f>90</xm:f>
              </x14:cfvo>
              <x14:cfIcon iconSet="3Symbols" iconId="2"/>
              <x14:cfIcon iconSet="3Symbols" iconId="1"/>
              <x14:cfIcon iconSet="3Symbols" iconId="0"/>
            </x14:iconSet>
          </x14:cfRule>
          <xm:sqref>Z797:Z799</xm:sqref>
        </x14:conditionalFormatting>
        <x14:conditionalFormatting xmlns:xm="http://schemas.microsoft.com/office/excel/2006/main">
          <x14:cfRule type="iconSet" priority="189" id="{53CAA65A-E8A3-473B-8822-2E23A17C4226}">
            <x14:iconSet iconSet="3Symbols" custom="1">
              <x14:cfvo type="percent">
                <xm:f>0</xm:f>
              </x14:cfvo>
              <x14:cfvo type="percent">
                <xm:f>50</xm:f>
              </x14:cfvo>
              <x14:cfvo type="percent">
                <xm:f>90</xm:f>
              </x14:cfvo>
              <x14:cfIcon iconSet="3Symbols" iconId="2"/>
              <x14:cfIcon iconSet="3Symbols" iconId="1"/>
              <x14:cfIcon iconSet="3Symbols" iconId="0"/>
            </x14:iconSet>
          </x14:cfRule>
          <xm:sqref>Z797:Z799</xm:sqref>
        </x14:conditionalFormatting>
        <x14:conditionalFormatting xmlns:xm="http://schemas.microsoft.com/office/excel/2006/main">
          <x14:cfRule type="containsText" priority="161" operator="containsText" id="{4598F0BE-2582-4CF5-9301-AFEC92715BC3}">
            <xm:f>NOT(ISERROR(SEARCH($AY$8,AC800)))</xm:f>
            <xm:f>$AY$8</xm:f>
            <x14:dxf>
              <font>
                <b/>
                <i val="0"/>
                <color rgb="FFFF0000"/>
              </font>
            </x14:dxf>
          </x14:cfRule>
          <xm:sqref>AC800:AC807</xm:sqref>
        </x14:conditionalFormatting>
        <x14:conditionalFormatting xmlns:xm="http://schemas.microsoft.com/office/excel/2006/main">
          <x14:cfRule type="containsText" priority="160" operator="containsText" id="{C7893D04-D4CC-41D9-9383-E06AE5F36B1B}">
            <xm:f>NOT(ISERROR(SEARCH($AZ$7,AC800)))</xm:f>
            <xm:f>$AZ$7</xm:f>
            <x14:dxf>
              <font>
                <b/>
                <i val="0"/>
                <color rgb="FF00B050"/>
              </font>
            </x14:dxf>
          </x14:cfRule>
          <xm:sqref>AC800:AC807</xm:sqref>
        </x14:conditionalFormatting>
        <x14:conditionalFormatting xmlns:xm="http://schemas.microsoft.com/office/excel/2006/main">
          <x14:cfRule type="iconSet" priority="167" id="{4D206FAC-4A95-4431-B925-29FA3FC5369D}">
            <x14:iconSet iconSet="3Symbols" custom="1">
              <x14:cfvo type="percent">
                <xm:f>0</xm:f>
              </x14:cfvo>
              <x14:cfvo type="percent">
                <xm:f>60</xm:f>
              </x14:cfvo>
              <x14:cfvo type="percent">
                <xm:f>90</xm:f>
              </x14:cfvo>
              <x14:cfIcon iconSet="3Symbols" iconId="2"/>
              <x14:cfIcon iconSet="3Symbols" iconId="1"/>
              <x14:cfIcon iconSet="3Symbols" iconId="0"/>
            </x14:iconSet>
          </x14:cfRule>
          <xm:sqref>Z800:Z807</xm:sqref>
        </x14:conditionalFormatting>
        <x14:conditionalFormatting xmlns:xm="http://schemas.microsoft.com/office/excel/2006/main">
          <x14:cfRule type="iconSet" priority="168" id="{A8C402AE-23E5-40BF-B434-335D829E5C4F}">
            <x14:iconSet iconSet="3Symbols" custom="1">
              <x14:cfvo type="percent">
                <xm:f>0</xm:f>
              </x14:cfvo>
              <x14:cfvo type="percent">
                <xm:f>50</xm:f>
              </x14:cfvo>
              <x14:cfvo type="percent">
                <xm:f>90</xm:f>
              </x14:cfvo>
              <x14:cfIcon iconSet="3Symbols" iconId="2"/>
              <x14:cfIcon iconSet="3Symbols" iconId="1"/>
              <x14:cfIcon iconSet="3Symbols" iconId="0"/>
            </x14:iconSet>
          </x14:cfRule>
          <xm:sqref>Z800:Z807</xm:sqref>
        </x14:conditionalFormatting>
        <x14:conditionalFormatting xmlns:xm="http://schemas.microsoft.com/office/excel/2006/main">
          <x14:cfRule type="containsText" priority="140" operator="containsText" id="{3E645FF0-5927-4838-9758-025FE9A4A027}">
            <xm:f>NOT(ISERROR(SEARCH($AY$8,AC808)))</xm:f>
            <xm:f>$AY$8</xm:f>
            <x14:dxf>
              <font>
                <b/>
                <i val="0"/>
                <color rgb="FFFF0000"/>
              </font>
            </x14:dxf>
          </x14:cfRule>
          <xm:sqref>AC808:AC822</xm:sqref>
        </x14:conditionalFormatting>
        <x14:conditionalFormatting xmlns:xm="http://schemas.microsoft.com/office/excel/2006/main">
          <x14:cfRule type="containsText" priority="139" operator="containsText" id="{98D61A21-3A48-49D1-BF6C-8D9BF9013792}">
            <xm:f>NOT(ISERROR(SEARCH($AZ$7,AC808)))</xm:f>
            <xm:f>$AZ$7</xm:f>
            <x14:dxf>
              <font>
                <b/>
                <i val="0"/>
                <color rgb="FF00B050"/>
              </font>
            </x14:dxf>
          </x14:cfRule>
          <xm:sqref>AC808:AC822</xm:sqref>
        </x14:conditionalFormatting>
        <x14:conditionalFormatting xmlns:xm="http://schemas.microsoft.com/office/excel/2006/main">
          <x14:cfRule type="iconSet" priority="146" id="{A37DF390-09F1-4F25-A262-881688D98BE2}">
            <x14:iconSet iconSet="3Symbols" custom="1">
              <x14:cfvo type="percent">
                <xm:f>0</xm:f>
              </x14:cfvo>
              <x14:cfvo type="percent">
                <xm:f>60</xm:f>
              </x14:cfvo>
              <x14:cfvo type="percent">
                <xm:f>90</xm:f>
              </x14:cfvo>
              <x14:cfIcon iconSet="3Symbols" iconId="2"/>
              <x14:cfIcon iconSet="3Symbols" iconId="1"/>
              <x14:cfIcon iconSet="3Symbols" iconId="0"/>
            </x14:iconSet>
          </x14:cfRule>
          <xm:sqref>Z808:Z822</xm:sqref>
        </x14:conditionalFormatting>
        <x14:conditionalFormatting xmlns:xm="http://schemas.microsoft.com/office/excel/2006/main">
          <x14:cfRule type="iconSet" priority="147" id="{1BB5B434-7F3D-44F5-9793-1B0462383224}">
            <x14:iconSet iconSet="3Symbols" custom="1">
              <x14:cfvo type="percent">
                <xm:f>0</xm:f>
              </x14:cfvo>
              <x14:cfvo type="percent">
                <xm:f>50</xm:f>
              </x14:cfvo>
              <x14:cfvo type="percent">
                <xm:f>90</xm:f>
              </x14:cfvo>
              <x14:cfIcon iconSet="3Symbols" iconId="2"/>
              <x14:cfIcon iconSet="3Symbols" iconId="1"/>
              <x14:cfIcon iconSet="3Symbols" iconId="0"/>
            </x14:iconSet>
          </x14:cfRule>
          <xm:sqref>Z808:Z822</xm:sqref>
        </x14:conditionalFormatting>
        <x14:conditionalFormatting xmlns:xm="http://schemas.microsoft.com/office/excel/2006/main">
          <x14:cfRule type="containsText" priority="119" operator="containsText" id="{CD338629-C5D1-4ED5-A6B5-0A70F5849834}">
            <xm:f>NOT(ISERROR(SEARCH($AY$8,AC823)))</xm:f>
            <xm:f>$AY$8</xm:f>
            <x14:dxf>
              <font>
                <b/>
                <i val="0"/>
                <color rgb="FFFF0000"/>
              </font>
            </x14:dxf>
          </x14:cfRule>
          <xm:sqref>AC823:AC898</xm:sqref>
        </x14:conditionalFormatting>
        <x14:conditionalFormatting xmlns:xm="http://schemas.microsoft.com/office/excel/2006/main">
          <x14:cfRule type="containsText" priority="118" operator="containsText" id="{8BB12B9C-6CDF-48E2-9617-35B435AE467E}">
            <xm:f>NOT(ISERROR(SEARCH($AZ$7,AC823)))</xm:f>
            <xm:f>$AZ$7</xm:f>
            <x14:dxf>
              <font>
                <b/>
                <i val="0"/>
                <color rgb="FF00B050"/>
              </font>
            </x14:dxf>
          </x14:cfRule>
          <xm:sqref>AC823:AC898</xm:sqref>
        </x14:conditionalFormatting>
        <x14:conditionalFormatting xmlns:xm="http://schemas.microsoft.com/office/excel/2006/main">
          <x14:cfRule type="iconSet" priority="125" id="{CCD92BE6-0F80-4BC7-B4AE-7121FA4973D5}">
            <x14:iconSet iconSet="3Symbols" custom="1">
              <x14:cfvo type="percent">
                <xm:f>0</xm:f>
              </x14:cfvo>
              <x14:cfvo type="percent">
                <xm:f>60</xm:f>
              </x14:cfvo>
              <x14:cfvo type="percent">
                <xm:f>90</xm:f>
              </x14:cfvo>
              <x14:cfIcon iconSet="3Symbols" iconId="2"/>
              <x14:cfIcon iconSet="3Symbols" iconId="1"/>
              <x14:cfIcon iconSet="3Symbols" iconId="0"/>
            </x14:iconSet>
          </x14:cfRule>
          <xm:sqref>Z823:Z898</xm:sqref>
        </x14:conditionalFormatting>
        <x14:conditionalFormatting xmlns:xm="http://schemas.microsoft.com/office/excel/2006/main">
          <x14:cfRule type="iconSet" priority="126" id="{8726BBAE-3A3B-47A5-BCBF-3FA3454C3FD7}">
            <x14:iconSet iconSet="3Symbols" custom="1">
              <x14:cfvo type="percent">
                <xm:f>0</xm:f>
              </x14:cfvo>
              <x14:cfvo type="percent">
                <xm:f>50</xm:f>
              </x14:cfvo>
              <x14:cfvo type="percent">
                <xm:f>90</xm:f>
              </x14:cfvo>
              <x14:cfIcon iconSet="3Symbols" iconId="2"/>
              <x14:cfIcon iconSet="3Symbols" iconId="1"/>
              <x14:cfIcon iconSet="3Symbols" iconId="0"/>
            </x14:iconSet>
          </x14:cfRule>
          <xm:sqref>Z823:Z898</xm:sqref>
        </x14:conditionalFormatting>
        <x14:conditionalFormatting xmlns:xm="http://schemas.microsoft.com/office/excel/2006/main">
          <x14:cfRule type="containsText" priority="98" operator="containsText" id="{89109BF3-585D-49ED-8783-1CBF3BEC16EE}">
            <xm:f>NOT(ISERROR(SEARCH($AY$8,AC899)))</xm:f>
            <xm:f>$AY$8</xm:f>
            <x14:dxf>
              <font>
                <b/>
                <i val="0"/>
                <color rgb="FFFF0000"/>
              </font>
            </x14:dxf>
          </x14:cfRule>
          <xm:sqref>AC899</xm:sqref>
        </x14:conditionalFormatting>
        <x14:conditionalFormatting xmlns:xm="http://schemas.microsoft.com/office/excel/2006/main">
          <x14:cfRule type="containsText" priority="97" operator="containsText" id="{305C70AA-91F1-40B5-87FA-EE4B944A26B5}">
            <xm:f>NOT(ISERROR(SEARCH($AZ$7,AC899)))</xm:f>
            <xm:f>$AZ$7</xm:f>
            <x14:dxf>
              <font>
                <b/>
                <i val="0"/>
                <color rgb="FF00B050"/>
              </font>
            </x14:dxf>
          </x14:cfRule>
          <xm:sqref>AC899</xm:sqref>
        </x14:conditionalFormatting>
        <x14:conditionalFormatting xmlns:xm="http://schemas.microsoft.com/office/excel/2006/main">
          <x14:cfRule type="iconSet" priority="104" id="{C0E77912-0694-4FD0-AD9C-BDBE9D812F05}">
            <x14:iconSet iconSet="3Symbols" custom="1">
              <x14:cfvo type="percent">
                <xm:f>0</xm:f>
              </x14:cfvo>
              <x14:cfvo type="percent">
                <xm:f>60</xm:f>
              </x14:cfvo>
              <x14:cfvo type="percent">
                <xm:f>90</xm:f>
              </x14:cfvo>
              <x14:cfIcon iconSet="3Symbols" iconId="2"/>
              <x14:cfIcon iconSet="3Symbols" iconId="1"/>
              <x14:cfIcon iconSet="3Symbols" iconId="0"/>
            </x14:iconSet>
          </x14:cfRule>
          <xm:sqref>Z899</xm:sqref>
        </x14:conditionalFormatting>
        <x14:conditionalFormatting xmlns:xm="http://schemas.microsoft.com/office/excel/2006/main">
          <x14:cfRule type="iconSet" priority="105" id="{6A8BB58E-9C30-45CA-A30D-13C48007E9B4}">
            <x14:iconSet iconSet="3Symbols" custom="1">
              <x14:cfvo type="percent">
                <xm:f>0</xm:f>
              </x14:cfvo>
              <x14:cfvo type="percent">
                <xm:f>50</xm:f>
              </x14:cfvo>
              <x14:cfvo type="percent">
                <xm:f>90</xm:f>
              </x14:cfvo>
              <x14:cfIcon iconSet="3Symbols" iconId="2"/>
              <x14:cfIcon iconSet="3Symbols" iconId="1"/>
              <x14:cfIcon iconSet="3Symbols" iconId="0"/>
            </x14:iconSet>
          </x14:cfRule>
          <xm:sqref>Z899</xm:sqref>
        </x14:conditionalFormatting>
        <x14:conditionalFormatting xmlns:xm="http://schemas.microsoft.com/office/excel/2006/main">
          <x14:cfRule type="containsText" priority="77" operator="containsText" id="{DA6E2D7B-9F46-48FB-8ECE-45EA95F1D45E}">
            <xm:f>NOT(ISERROR(SEARCH($AY$8,AC900)))</xm:f>
            <xm:f>$AY$8</xm:f>
            <x14:dxf>
              <font>
                <b/>
                <i val="0"/>
                <color rgb="FFFF0000"/>
              </font>
            </x14:dxf>
          </x14:cfRule>
          <xm:sqref>AC900:AC918</xm:sqref>
        </x14:conditionalFormatting>
        <x14:conditionalFormatting xmlns:xm="http://schemas.microsoft.com/office/excel/2006/main">
          <x14:cfRule type="containsText" priority="76" operator="containsText" id="{2E02B3E1-2F61-4BBB-B4C8-798C795AB8D2}">
            <xm:f>NOT(ISERROR(SEARCH($AZ$7,AC900)))</xm:f>
            <xm:f>$AZ$7</xm:f>
            <x14:dxf>
              <font>
                <b/>
                <i val="0"/>
                <color rgb="FF00B050"/>
              </font>
            </x14:dxf>
          </x14:cfRule>
          <xm:sqref>AC900:AC918</xm:sqref>
        </x14:conditionalFormatting>
        <x14:conditionalFormatting xmlns:xm="http://schemas.microsoft.com/office/excel/2006/main">
          <x14:cfRule type="iconSet" priority="83" id="{EC5A92B2-48D0-4787-8025-8AA16254C50B}">
            <x14:iconSet iconSet="3Symbols" custom="1">
              <x14:cfvo type="percent">
                <xm:f>0</xm:f>
              </x14:cfvo>
              <x14:cfvo type="percent">
                <xm:f>60</xm:f>
              </x14:cfvo>
              <x14:cfvo type="percent">
                <xm:f>90</xm:f>
              </x14:cfvo>
              <x14:cfIcon iconSet="3Symbols" iconId="2"/>
              <x14:cfIcon iconSet="3Symbols" iconId="1"/>
              <x14:cfIcon iconSet="3Symbols" iconId="0"/>
            </x14:iconSet>
          </x14:cfRule>
          <xm:sqref>Z900:Z918</xm:sqref>
        </x14:conditionalFormatting>
        <x14:conditionalFormatting xmlns:xm="http://schemas.microsoft.com/office/excel/2006/main">
          <x14:cfRule type="iconSet" priority="84" id="{265DEBF2-04AE-4262-9155-CB2EB2CD7155}">
            <x14:iconSet iconSet="3Symbols" custom="1">
              <x14:cfvo type="percent">
                <xm:f>0</xm:f>
              </x14:cfvo>
              <x14:cfvo type="percent">
                <xm:f>50</xm:f>
              </x14:cfvo>
              <x14:cfvo type="percent">
                <xm:f>90</xm:f>
              </x14:cfvo>
              <x14:cfIcon iconSet="3Symbols" iconId="2"/>
              <x14:cfIcon iconSet="3Symbols" iconId="1"/>
              <x14:cfIcon iconSet="3Symbols" iconId="0"/>
            </x14:iconSet>
          </x14:cfRule>
          <xm:sqref>Z900:Z918</xm:sqref>
        </x14:conditionalFormatting>
        <x14:conditionalFormatting xmlns:xm="http://schemas.microsoft.com/office/excel/2006/main">
          <x14:cfRule type="containsText" priority="56" operator="containsText" id="{4CEE3647-3AC2-4BD6-8AC7-C30C1489F20B}">
            <xm:f>NOT(ISERROR(SEARCH($AY$8,AC919)))</xm:f>
            <xm:f>$AY$8</xm:f>
            <x14:dxf>
              <font>
                <b/>
                <i val="0"/>
                <color rgb="FFFF0000"/>
              </font>
            </x14:dxf>
          </x14:cfRule>
          <xm:sqref>AC919:AC938</xm:sqref>
        </x14:conditionalFormatting>
        <x14:conditionalFormatting xmlns:xm="http://schemas.microsoft.com/office/excel/2006/main">
          <x14:cfRule type="containsText" priority="55" operator="containsText" id="{20715C07-0697-4C10-BA7E-717CE7EE6ADB}">
            <xm:f>NOT(ISERROR(SEARCH($AZ$7,AC919)))</xm:f>
            <xm:f>$AZ$7</xm:f>
            <x14:dxf>
              <font>
                <b/>
                <i val="0"/>
                <color rgb="FF00B050"/>
              </font>
            </x14:dxf>
          </x14:cfRule>
          <xm:sqref>AC919:AC938</xm:sqref>
        </x14:conditionalFormatting>
        <x14:conditionalFormatting xmlns:xm="http://schemas.microsoft.com/office/excel/2006/main">
          <x14:cfRule type="iconSet" priority="62" id="{0791CAE0-754C-417C-B842-08D2FB2C53E4}">
            <x14:iconSet iconSet="3Symbols" custom="1">
              <x14:cfvo type="percent">
                <xm:f>0</xm:f>
              </x14:cfvo>
              <x14:cfvo type="percent">
                <xm:f>60</xm:f>
              </x14:cfvo>
              <x14:cfvo type="percent">
                <xm:f>90</xm:f>
              </x14:cfvo>
              <x14:cfIcon iconSet="3Symbols" iconId="2"/>
              <x14:cfIcon iconSet="3Symbols" iconId="1"/>
              <x14:cfIcon iconSet="3Symbols" iconId="0"/>
            </x14:iconSet>
          </x14:cfRule>
          <xm:sqref>Z919:Z938</xm:sqref>
        </x14:conditionalFormatting>
        <x14:conditionalFormatting xmlns:xm="http://schemas.microsoft.com/office/excel/2006/main">
          <x14:cfRule type="iconSet" priority="63" id="{8BF5DB14-469A-4DB3-959D-3F4424311C98}">
            <x14:iconSet iconSet="3Symbols" custom="1">
              <x14:cfvo type="percent">
                <xm:f>0</xm:f>
              </x14:cfvo>
              <x14:cfvo type="percent">
                <xm:f>50</xm:f>
              </x14:cfvo>
              <x14:cfvo type="percent">
                <xm:f>90</xm:f>
              </x14:cfvo>
              <x14:cfIcon iconSet="3Symbols" iconId="2"/>
              <x14:cfIcon iconSet="3Symbols" iconId="1"/>
              <x14:cfIcon iconSet="3Symbols" iconId="0"/>
            </x14:iconSet>
          </x14:cfRule>
          <xm:sqref>Z919:Z938</xm:sqref>
        </x14:conditionalFormatting>
        <x14:conditionalFormatting xmlns:xm="http://schemas.microsoft.com/office/excel/2006/main">
          <x14:cfRule type="containsText" priority="35" operator="containsText" id="{7C346DFE-8613-43E7-80C0-13522E480E6E}">
            <xm:f>NOT(ISERROR(SEARCH($AY$8,AC939)))</xm:f>
            <xm:f>$AY$8</xm:f>
            <x14:dxf>
              <font>
                <b/>
                <i val="0"/>
                <color rgb="FFFF0000"/>
              </font>
            </x14:dxf>
          </x14:cfRule>
          <xm:sqref>AC939:AC969</xm:sqref>
        </x14:conditionalFormatting>
        <x14:conditionalFormatting xmlns:xm="http://schemas.microsoft.com/office/excel/2006/main">
          <x14:cfRule type="containsText" priority="34" operator="containsText" id="{AE988F17-A532-4FB7-BB38-C8DC96526F57}">
            <xm:f>NOT(ISERROR(SEARCH($AZ$7,AC939)))</xm:f>
            <xm:f>$AZ$7</xm:f>
            <x14:dxf>
              <font>
                <b/>
                <i val="0"/>
                <color rgb="FF00B050"/>
              </font>
            </x14:dxf>
          </x14:cfRule>
          <xm:sqref>AC939:AC969</xm:sqref>
        </x14:conditionalFormatting>
        <x14:conditionalFormatting xmlns:xm="http://schemas.microsoft.com/office/excel/2006/main">
          <x14:cfRule type="iconSet" priority="41" id="{4A4EF04B-B9E3-49FF-BF36-CDA00335E233}">
            <x14:iconSet iconSet="3Symbols" custom="1">
              <x14:cfvo type="percent">
                <xm:f>0</xm:f>
              </x14:cfvo>
              <x14:cfvo type="percent">
                <xm:f>60</xm:f>
              </x14:cfvo>
              <x14:cfvo type="percent">
                <xm:f>90</xm:f>
              </x14:cfvo>
              <x14:cfIcon iconSet="3Symbols" iconId="2"/>
              <x14:cfIcon iconSet="3Symbols" iconId="1"/>
              <x14:cfIcon iconSet="3Symbols" iconId="0"/>
            </x14:iconSet>
          </x14:cfRule>
          <xm:sqref>Z939:Z969</xm:sqref>
        </x14:conditionalFormatting>
        <x14:conditionalFormatting xmlns:xm="http://schemas.microsoft.com/office/excel/2006/main">
          <x14:cfRule type="iconSet" priority="42" id="{07B2BD42-E4AF-44D9-BD73-C0C317681EB5}">
            <x14:iconSet iconSet="3Symbols" custom="1">
              <x14:cfvo type="percent">
                <xm:f>0</xm:f>
              </x14:cfvo>
              <x14:cfvo type="percent">
                <xm:f>50</xm:f>
              </x14:cfvo>
              <x14:cfvo type="percent">
                <xm:f>90</xm:f>
              </x14:cfvo>
              <x14:cfIcon iconSet="3Symbols" iconId="2"/>
              <x14:cfIcon iconSet="3Symbols" iconId="1"/>
              <x14:cfIcon iconSet="3Symbols" iconId="0"/>
            </x14:iconSet>
          </x14:cfRule>
          <xm:sqref>Z939:Z969</xm:sqref>
        </x14:conditionalFormatting>
        <x14:conditionalFormatting xmlns:xm="http://schemas.microsoft.com/office/excel/2006/main">
          <x14:cfRule type="containsText" priority="14" operator="containsText" id="{DAE0C6C9-224F-4DB9-B307-2C0D34ECF87F}">
            <xm:f>NOT(ISERROR(SEARCH($AY$8,AC970)))</xm:f>
            <xm:f>$AY$8</xm:f>
            <x14:dxf>
              <font>
                <b/>
                <i val="0"/>
                <color rgb="FFFF0000"/>
              </font>
            </x14:dxf>
          </x14:cfRule>
          <xm:sqref>AC970:AC1000</xm:sqref>
        </x14:conditionalFormatting>
        <x14:conditionalFormatting xmlns:xm="http://schemas.microsoft.com/office/excel/2006/main">
          <x14:cfRule type="containsText" priority="13" operator="containsText" id="{15AC1351-5838-42E3-9372-7F8F43BDC01E}">
            <xm:f>NOT(ISERROR(SEARCH($AZ$7,AC970)))</xm:f>
            <xm:f>$AZ$7</xm:f>
            <x14:dxf>
              <font>
                <b/>
                <i val="0"/>
                <color rgb="FF00B050"/>
              </font>
            </x14:dxf>
          </x14:cfRule>
          <xm:sqref>AC970:AC1000</xm:sqref>
        </x14:conditionalFormatting>
        <x14:conditionalFormatting xmlns:xm="http://schemas.microsoft.com/office/excel/2006/main">
          <x14:cfRule type="iconSet" priority="20" id="{5EE4DB13-2F56-4BB7-9B56-70F46850D4B5}">
            <x14:iconSet iconSet="3Symbols" custom="1">
              <x14:cfvo type="percent">
                <xm:f>0</xm:f>
              </x14:cfvo>
              <x14:cfvo type="percent">
                <xm:f>60</xm:f>
              </x14:cfvo>
              <x14:cfvo type="percent">
                <xm:f>90</xm:f>
              </x14:cfvo>
              <x14:cfIcon iconSet="3Symbols" iconId="2"/>
              <x14:cfIcon iconSet="3Symbols" iconId="1"/>
              <x14:cfIcon iconSet="3Symbols" iconId="0"/>
            </x14:iconSet>
          </x14:cfRule>
          <xm:sqref>Z970:Z1000</xm:sqref>
        </x14:conditionalFormatting>
        <x14:conditionalFormatting xmlns:xm="http://schemas.microsoft.com/office/excel/2006/main">
          <x14:cfRule type="iconSet" priority="21" id="{6E7CF6F6-E5B6-4DD5-BECD-F93A96BD3950}">
            <x14:iconSet iconSet="3Symbols" custom="1">
              <x14:cfvo type="percent">
                <xm:f>0</xm:f>
              </x14:cfvo>
              <x14:cfvo type="percent">
                <xm:f>50</xm:f>
              </x14:cfvo>
              <x14:cfvo type="percent">
                <xm:f>90</xm:f>
              </x14:cfvo>
              <x14:cfIcon iconSet="3Symbols" iconId="2"/>
              <x14:cfIcon iconSet="3Symbols" iconId="1"/>
              <x14:cfIcon iconSet="3Symbols" iconId="0"/>
            </x14:iconSet>
          </x14:cfRule>
          <xm:sqref>Z970:Z1000</xm:sqref>
        </x14:conditionalFormatting>
      </x14:conditionalFormattings>
    </ext>
    <ext xmlns:x14="http://schemas.microsoft.com/office/spreadsheetml/2009/9/main" uri="{CCE6A557-97BC-4b89-ADB6-D9C93CAAB3DF}">
      <x14:dataValidations xmlns:xm="http://schemas.microsoft.com/office/excel/2006/main" count="10">
        <x14:dataValidation type="list" allowBlank="1" showInputMessage="1" showErrorMessage="1">
          <x14:formula1>
            <xm:f>Hoja1!$B$13:$B$28</xm:f>
          </x14:formula1>
          <xm:sqref>AL76 AL237 AL420 AL532 AL664 AL669</xm:sqref>
        </x14:dataValidation>
        <x14:dataValidation type="list" allowBlank="1" showInputMessage="1" showErrorMessage="1">
          <x14:formula1>
            <xm:f>Hoja1!$B$13:$B$29</xm:f>
          </x14:formula1>
          <xm:sqref>AL115:AL116 AL87 AL257:AL275 AL284 AL286:AL289 AL291:AL292 AL294 AL23 AL302:AL303 AL300 AL307 AL309:AL319 AL322:AL323 AL325:AL343 AL345:AL351 AL353 AL356:AL366 AL368:AL387 AL389:AL390 AL392:AL394 AL396:AL397 AL401 AL404:AL405 AL408:AL412 AL415:AL419 AL424:AL425 AL427 AL429 AL431:AL432 AL435:AL440 AL447:AL449 AL507:AL509 AL451:AL453 AL457 AL461:AL466 AL468:AL471 AL473 AL476:AL478 AL480:AL481 AL485 AL489:AL490 AL492:AL495 AL497 AL501:AL503 AL515:AL516 AL511:AL512 AL519:AL520 AL523 AL526 AL528 AL530:AL531 AL533:AL534 AL536 AL539 AL542:AL543 AL545:AL547 AL549:AL550 AL552:AL553 AL555:AL558 AL560:AL563 AL565:AL566 AL568:AL573 AL575:AL579 AL582:AL583 AL588:AL589 AL592:AL594 AL596 AL599 AL602:AL604 AL608 AL613:AL615 AL617:AL623 AL632 AL634 AL639:AL641 AL646:AL649 AL651:AL653 AL655:AL657 AL659:AL660 AL665 AL667 AL671 AL674:AL678 AL686 AL692:AL694 AL699:AL700 AL703:AL705 AL709 AL712 AL716:AL717 AL720:AL721 AL725 AL734 AL736 AL742:AL744 AL748 AL753 AL760:AL761 AL764 AL766 AL772 AL783</xm:sqref>
        </x14:dataValidation>
        <x14:dataValidation type="list" allowBlank="1" showInputMessage="1" showErrorMessage="1">
          <x14:formula1>
            <xm:f>Hoja1!$B$63:$B$77</xm:f>
          </x14:formula1>
          <xm:sqref>AG7</xm:sqref>
        </x14:dataValidation>
        <x14:dataValidation type="list" allowBlank="1" showInputMessage="1" showErrorMessage="1">
          <x14:formula1>
            <xm:f>Hoja1!$B$60:$B$74</xm:f>
          </x14:formula1>
          <xm:sqref>AG8:AG11</xm:sqref>
        </x14:dataValidation>
        <x14:dataValidation type="list" allowBlank="1" showInputMessage="1" showErrorMessage="1">
          <x14:formula1>
            <xm:f>Hoja1!$B$61:$B$75</xm:f>
          </x14:formula1>
          <xm:sqref>AG286</xm:sqref>
        </x14:dataValidation>
        <x14:dataValidation type="list" allowBlank="1" showInputMessage="1" showErrorMessage="1">
          <x14:formula1>
            <xm:f>Hoja1!$B$32:$B$55</xm:f>
          </x14:formula1>
          <xm:sqref>AR481 AR477 AR153:AR167 AR269:AR326 AR408:AR420 AR169:AR206 AR454:AR455 AR353:AR359 AR361:AR384 AR328:AR351 AR398:AR401 AR403:AR406 AR208:AR267 AR7:AR151 AR458:AR460 AR392:AR396 AR437:AR440 AR445:AR446 AR432:AR434 AR422:AR424 AR462 AR465:AR474 AR426 AR479 AR386:AR389</xm:sqref>
        </x14:dataValidation>
        <x14:dataValidation type="list" allowBlank="1" showInputMessage="1" showErrorMessage="1">
          <x14:formula1>
            <xm:f>Hoja1!$B$3:$B$9</xm:f>
          </x14:formula1>
          <xm:sqref>AH738:AH742 AH1048323:AH1048576 AH486:AH525 AH545:AH576 AH527:AH543 AH578:AH582 AH596:AH597 AH584:AH594 AH412:AH484 AH745:AH773 AH617:AH643 AH7:AH410 AH650:AH665 AH599:AH601 AH603:AH615 AH667:AH689 AH691:AH701 AH645:AH648 AH703:AH735 AH775:AH784 AH789 AH792:AH793 AH796:AH798 AH800</xm:sqref>
        </x14:dataValidation>
        <x14:dataValidation type="list" allowBlank="1" showInputMessage="1" showErrorMessage="1">
          <x14:formula1>
            <xm:f>Hoja1!$B$57:$B$58</xm:f>
          </x14:formula1>
          <xm:sqref>AE7:AE482 AE486:AE493 AE496:AE509 AE511:AE533 AE536:AE543 AE545:AE549 AE551:AE558 AE560:AE566 AE568:AE574 AE576:AE582 AE584:AE597 AE600:AE605 AE608:AE611 AE613:AE615 AE617:AE621 AE623 AE626:AE630 AE632 AE635:AE636 AE639:AE640 AE642:AE655 AE658:AE663 AE665:AE672 AE674:AE675 AE677:AE680 AE684:AE686 AE692:AE700 AE703:AE705 AE711:AE712 AE716:AE717 AE719:AE721 AE725 AE727 AE729 AE732:AE733 AE736:AE738 AE741:AE744 AE746:AE757 AE760:AE761 AE763:AE764 AE766 AE769 AE772 AE778:AE779 AE784</xm:sqref>
        </x14:dataValidation>
        <x14:dataValidation type="list" allowBlank="1" showInputMessage="1" showErrorMessage="1">
          <x14:formula1>
            <xm:f>[1]Hoja1!#REF!</xm:f>
          </x14:formula1>
          <xm:sqref>AE689:AE691 AE745 AH690</xm:sqref>
        </x14:dataValidation>
        <x14:dataValidation type="list" allowBlank="1" showInputMessage="1" showErrorMessage="1">
          <x14:formula1>
            <xm:f>[3]Hoja1!#REF!</xm:f>
          </x14:formula1>
          <xm:sqref>AE767:AE768</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604"/>
  <sheetViews>
    <sheetView topLeftCell="A46" workbookViewId="0">
      <selection activeCell="B34" sqref="B34"/>
    </sheetView>
  </sheetViews>
  <sheetFormatPr baseColWidth="10" defaultRowHeight="15" x14ac:dyDescent="0.25"/>
  <cols>
    <col min="2" max="2" width="32.5703125" customWidth="1"/>
    <col min="6" max="6" width="47.28515625" style="16" customWidth="1"/>
    <col min="7" max="8" width="16.42578125" style="16" bestFit="1" customWidth="1"/>
    <col min="9" max="15" width="11.42578125" style="16"/>
    <col min="16" max="16" width="15.28515625" style="16" customWidth="1"/>
    <col min="17" max="17" width="37.140625" style="16" customWidth="1"/>
    <col min="18" max="19" width="11.42578125" style="16"/>
    <col min="20" max="20" width="16.28515625" style="58" customWidth="1"/>
    <col min="21" max="21" width="11.42578125" style="57"/>
    <col min="22" max="25" width="11.42578125" style="16"/>
    <col min="26" max="26" width="17.140625" style="57" customWidth="1"/>
    <col min="27" max="27" width="11.42578125" style="59"/>
    <col min="28" max="30" width="11.42578125" style="16"/>
    <col min="31" max="31" width="17.85546875" style="16" customWidth="1"/>
    <col min="32" max="32" width="18.7109375" style="16" customWidth="1"/>
    <col min="33" max="38" width="11.42578125" style="16"/>
  </cols>
  <sheetData>
    <row r="1" spans="1:38" x14ac:dyDescent="0.25">
      <c r="F1"/>
      <c r="G1"/>
      <c r="H1"/>
      <c r="I1"/>
      <c r="J1"/>
      <c r="K1"/>
      <c r="L1"/>
      <c r="M1"/>
      <c r="N1"/>
      <c r="O1"/>
      <c r="S1"/>
      <c r="T1" s="58" t="s">
        <v>591</v>
      </c>
      <c r="U1" s="57" t="s">
        <v>907</v>
      </c>
      <c r="V1"/>
      <c r="W1"/>
      <c r="X1"/>
      <c r="Y1"/>
      <c r="Z1" s="58" t="s">
        <v>591</v>
      </c>
      <c r="AA1" s="59" t="s">
        <v>907</v>
      </c>
      <c r="AB1"/>
      <c r="AC1"/>
      <c r="AD1"/>
      <c r="AE1" s="58" t="s">
        <v>591</v>
      </c>
      <c r="AF1" s="59" t="s">
        <v>592</v>
      </c>
      <c r="AG1"/>
      <c r="AH1"/>
      <c r="AI1"/>
      <c r="AJ1"/>
      <c r="AK1"/>
      <c r="AL1"/>
    </row>
    <row r="2" spans="1:38" x14ac:dyDescent="0.25">
      <c r="B2" s="53" t="s">
        <v>558</v>
      </c>
      <c r="D2" t="s">
        <v>570</v>
      </c>
      <c r="H2"/>
      <c r="I2"/>
      <c r="J2" t="s">
        <v>390</v>
      </c>
      <c r="K2"/>
      <c r="L2"/>
      <c r="M2"/>
      <c r="N2"/>
      <c r="O2"/>
      <c r="S2"/>
      <c r="T2" s="57" t="s">
        <v>601</v>
      </c>
      <c r="U2" s="57" t="s">
        <v>908</v>
      </c>
      <c r="V2"/>
      <c r="W2"/>
      <c r="X2"/>
      <c r="Y2"/>
      <c r="Z2" s="58" t="s">
        <v>278</v>
      </c>
      <c r="AA2" s="59" t="s">
        <v>908</v>
      </c>
      <c r="AB2"/>
      <c r="AC2"/>
      <c r="AD2"/>
      <c r="AE2" s="58" t="s">
        <v>278</v>
      </c>
      <c r="AF2" s="59" t="s">
        <v>899</v>
      </c>
      <c r="AG2"/>
      <c r="AH2"/>
      <c r="AI2"/>
      <c r="AJ2"/>
      <c r="AK2"/>
      <c r="AL2"/>
    </row>
    <row r="3" spans="1:38" x14ac:dyDescent="0.25">
      <c r="B3" s="52" t="s">
        <v>559</v>
      </c>
      <c r="D3" t="s">
        <v>571</v>
      </c>
      <c r="F3" s="97" t="s">
        <v>1686</v>
      </c>
      <c r="G3" s="474">
        <v>29809977000</v>
      </c>
      <c r="H3" s="424">
        <f>G4+G40</f>
        <v>29809977000</v>
      </c>
      <c r="I3"/>
      <c r="J3" t="s">
        <v>391</v>
      </c>
      <c r="M3"/>
      <c r="N3"/>
      <c r="O3"/>
      <c r="S3"/>
      <c r="T3" s="57" t="s">
        <v>602</v>
      </c>
      <c r="U3" s="57" t="s">
        <v>909</v>
      </c>
      <c r="V3"/>
      <c r="W3"/>
      <c r="X3"/>
      <c r="Y3"/>
      <c r="Z3" s="58" t="s">
        <v>270</v>
      </c>
      <c r="AA3" s="59" t="s">
        <v>908</v>
      </c>
      <c r="AB3"/>
      <c r="AC3"/>
      <c r="AD3"/>
      <c r="AE3" s="58" t="s">
        <v>270</v>
      </c>
      <c r="AF3" s="59" t="s">
        <v>898</v>
      </c>
      <c r="AG3"/>
      <c r="AH3"/>
      <c r="AI3"/>
      <c r="AJ3"/>
      <c r="AK3"/>
      <c r="AL3"/>
    </row>
    <row r="4" spans="1:38" x14ac:dyDescent="0.25">
      <c r="A4" s="47"/>
      <c r="B4" s="52" t="s">
        <v>560</v>
      </c>
      <c r="C4" s="38"/>
      <c r="F4" s="428" t="s">
        <v>1684</v>
      </c>
      <c r="G4" s="475">
        <v>22267500000</v>
      </c>
      <c r="H4" s="424">
        <f>G5+G11</f>
        <v>22267500000</v>
      </c>
      <c r="J4" s="54"/>
      <c r="T4" s="57" t="s">
        <v>603</v>
      </c>
      <c r="U4" s="57" t="s">
        <v>908</v>
      </c>
      <c r="Z4" s="58" t="s">
        <v>267</v>
      </c>
      <c r="AA4" s="59" t="s">
        <v>908</v>
      </c>
      <c r="AE4" s="58" t="s">
        <v>267</v>
      </c>
      <c r="AF4" s="59" t="s">
        <v>901</v>
      </c>
    </row>
    <row r="5" spans="1:38" x14ac:dyDescent="0.25">
      <c r="A5" s="47"/>
      <c r="B5" s="52" t="s">
        <v>561</v>
      </c>
      <c r="C5" s="38"/>
      <c r="F5" s="97" t="s">
        <v>1683</v>
      </c>
      <c r="G5" s="474">
        <v>13495500000</v>
      </c>
      <c r="J5" s="16">
        <v>2015</v>
      </c>
      <c r="T5" s="57" t="s">
        <v>604</v>
      </c>
      <c r="U5" s="57" t="s">
        <v>908</v>
      </c>
      <c r="Z5" s="58" t="s">
        <v>245</v>
      </c>
      <c r="AA5" s="59" t="s">
        <v>908</v>
      </c>
      <c r="AE5" s="58" t="s">
        <v>245</v>
      </c>
      <c r="AF5" s="59" t="s">
        <v>898</v>
      </c>
    </row>
    <row r="6" spans="1:38" x14ac:dyDescent="0.25">
      <c r="A6" s="47"/>
      <c r="B6" s="52" t="s">
        <v>563</v>
      </c>
      <c r="C6" s="38"/>
      <c r="F6" s="425" t="s">
        <v>1682</v>
      </c>
      <c r="G6" s="474">
        <v>13495500000</v>
      </c>
      <c r="J6" s="16">
        <v>2016</v>
      </c>
      <c r="T6" s="57" t="s">
        <v>605</v>
      </c>
      <c r="U6" s="57" t="s">
        <v>908</v>
      </c>
      <c r="Z6" s="58" t="s">
        <v>247</v>
      </c>
      <c r="AA6" s="59" t="s">
        <v>908</v>
      </c>
      <c r="AE6" s="58" t="s">
        <v>247</v>
      </c>
      <c r="AF6" s="59" t="s">
        <v>898</v>
      </c>
    </row>
    <row r="7" spans="1:38" x14ac:dyDescent="0.25">
      <c r="A7" s="48"/>
      <c r="B7" s="52" t="s">
        <v>564</v>
      </c>
      <c r="C7" s="38"/>
      <c r="F7" s="426" t="s">
        <v>1681</v>
      </c>
      <c r="G7" s="476">
        <v>13475500000</v>
      </c>
      <c r="J7" s="54"/>
      <c r="T7" s="57" t="s">
        <v>606</v>
      </c>
      <c r="U7" s="57" t="s">
        <v>908</v>
      </c>
      <c r="Z7" s="58" t="s">
        <v>248</v>
      </c>
      <c r="AA7" s="59" t="s">
        <v>908</v>
      </c>
      <c r="AE7" s="58" t="s">
        <v>248</v>
      </c>
      <c r="AF7" s="59" t="s">
        <v>898</v>
      </c>
    </row>
    <row r="8" spans="1:38" x14ac:dyDescent="0.25">
      <c r="A8" s="48"/>
      <c r="B8" s="52" t="s">
        <v>565</v>
      </c>
      <c r="C8" s="38"/>
      <c r="F8" s="423" t="s">
        <v>1643</v>
      </c>
      <c r="G8" s="476">
        <v>730500000</v>
      </c>
      <c r="T8" s="57" t="s">
        <v>607</v>
      </c>
      <c r="U8" s="57" t="s">
        <v>908</v>
      </c>
      <c r="Z8" s="58" t="s">
        <v>268</v>
      </c>
      <c r="AA8" s="59" t="s">
        <v>908</v>
      </c>
      <c r="AE8" s="58" t="s">
        <v>268</v>
      </c>
      <c r="AF8" s="59" t="s">
        <v>898</v>
      </c>
    </row>
    <row r="9" spans="1:38" x14ac:dyDescent="0.25">
      <c r="A9" s="48"/>
      <c r="B9" s="52" t="s">
        <v>562</v>
      </c>
      <c r="C9" s="38"/>
      <c r="F9" s="423" t="s">
        <v>1644</v>
      </c>
      <c r="G9" s="476">
        <v>12745000000</v>
      </c>
      <c r="T9" s="57" t="s">
        <v>608</v>
      </c>
      <c r="U9" s="57" t="s">
        <v>908</v>
      </c>
      <c r="Z9" s="58" t="s">
        <v>253</v>
      </c>
      <c r="AA9" s="59" t="s">
        <v>908</v>
      </c>
      <c r="AE9" s="58" t="s">
        <v>253</v>
      </c>
      <c r="AF9" s="59" t="s">
        <v>951</v>
      </c>
    </row>
    <row r="10" spans="1:38" x14ac:dyDescent="0.25">
      <c r="A10" s="48"/>
      <c r="B10" s="48"/>
      <c r="C10" s="38"/>
      <c r="F10" s="423" t="s">
        <v>1645</v>
      </c>
      <c r="G10" s="476">
        <v>20000000</v>
      </c>
      <c r="J10" s="54"/>
      <c r="T10" s="57" t="s">
        <v>609</v>
      </c>
      <c r="U10" s="57" t="s">
        <v>908</v>
      </c>
      <c r="Z10" s="58" t="s">
        <v>255</v>
      </c>
      <c r="AA10" s="59" t="s">
        <v>908</v>
      </c>
      <c r="AE10" s="58" t="s">
        <v>255</v>
      </c>
      <c r="AF10" s="59" t="s">
        <v>898</v>
      </c>
    </row>
    <row r="11" spans="1:38" x14ac:dyDescent="0.25">
      <c r="A11" s="48"/>
      <c r="B11" s="48"/>
      <c r="C11" s="38"/>
      <c r="F11" s="427" t="s">
        <v>1646</v>
      </c>
      <c r="G11" s="477">
        <v>8772000000</v>
      </c>
      <c r="J11" s="54"/>
      <c r="T11" s="57" t="s">
        <v>610</v>
      </c>
      <c r="U11" s="57" t="s">
        <v>908</v>
      </c>
      <c r="Z11" s="58" t="s">
        <v>250</v>
      </c>
      <c r="AA11" s="59" t="s">
        <v>908</v>
      </c>
      <c r="AE11" s="58" t="s">
        <v>250</v>
      </c>
      <c r="AF11" s="59" t="s">
        <v>898</v>
      </c>
    </row>
    <row r="12" spans="1:38" x14ac:dyDescent="0.25">
      <c r="A12" s="48"/>
      <c r="B12" s="56" t="s">
        <v>572</v>
      </c>
      <c r="C12" s="38"/>
      <c r="D12" s="432" t="s">
        <v>1685</v>
      </c>
      <c r="F12" s="423" t="s">
        <v>1647</v>
      </c>
      <c r="G12" s="476">
        <v>1589000000</v>
      </c>
      <c r="J12" s="54"/>
      <c r="T12" s="57" t="s">
        <v>611</v>
      </c>
      <c r="U12" s="57" t="s">
        <v>908</v>
      </c>
      <c r="Z12" s="58" t="s">
        <v>256</v>
      </c>
      <c r="AA12" s="59" t="s">
        <v>908</v>
      </c>
      <c r="AE12" s="58" t="s">
        <v>256</v>
      </c>
      <c r="AF12" s="59" t="s">
        <v>898</v>
      </c>
    </row>
    <row r="13" spans="1:38" x14ac:dyDescent="0.25">
      <c r="A13" s="48"/>
      <c r="B13" s="2" t="s">
        <v>573</v>
      </c>
      <c r="C13" s="38"/>
      <c r="D13" s="52" t="s">
        <v>1675</v>
      </c>
      <c r="F13" s="423" t="s">
        <v>1648</v>
      </c>
      <c r="G13" s="476">
        <v>914000000</v>
      </c>
      <c r="J13" s="54"/>
      <c r="T13" s="57" t="s">
        <v>612</v>
      </c>
      <c r="U13" s="57" t="s">
        <v>908</v>
      </c>
      <c r="Z13" s="58" t="s">
        <v>260</v>
      </c>
      <c r="AA13" s="59" t="s">
        <v>910</v>
      </c>
      <c r="AE13" s="58" t="s">
        <v>260</v>
      </c>
      <c r="AF13" s="59" t="s">
        <v>899</v>
      </c>
    </row>
    <row r="14" spans="1:38" ht="22.5" x14ac:dyDescent="0.25">
      <c r="A14" s="48"/>
      <c r="B14" s="2" t="s">
        <v>574</v>
      </c>
      <c r="C14" s="38"/>
      <c r="D14" s="52" t="s">
        <v>1642</v>
      </c>
      <c r="F14" s="423" t="s">
        <v>1649</v>
      </c>
      <c r="G14" s="476">
        <v>452000000</v>
      </c>
      <c r="J14" s="54"/>
      <c r="T14" s="57" t="s">
        <v>613</v>
      </c>
      <c r="U14" s="57" t="s">
        <v>908</v>
      </c>
      <c r="Z14" s="58" t="s">
        <v>271</v>
      </c>
      <c r="AA14" s="59" t="s">
        <v>909</v>
      </c>
      <c r="AE14" s="58" t="s">
        <v>271</v>
      </c>
      <c r="AF14" s="59" t="s">
        <v>901</v>
      </c>
    </row>
    <row r="15" spans="1:38" x14ac:dyDescent="0.25">
      <c r="A15" s="47"/>
      <c r="B15" s="10" t="s">
        <v>575</v>
      </c>
      <c r="C15" s="38"/>
      <c r="F15" s="423" t="s">
        <v>1650</v>
      </c>
      <c r="G15" s="476">
        <v>223000000</v>
      </c>
      <c r="J15" s="54"/>
      <c r="T15" s="57" t="s">
        <v>614</v>
      </c>
      <c r="U15" s="57" t="s">
        <v>908</v>
      </c>
      <c r="Z15" s="58" t="s">
        <v>400</v>
      </c>
      <c r="AA15" s="59" t="s">
        <v>909</v>
      </c>
      <c r="AE15" s="58" t="s">
        <v>400</v>
      </c>
      <c r="AF15" s="59" t="s">
        <v>899</v>
      </c>
    </row>
    <row r="16" spans="1:38" x14ac:dyDescent="0.25">
      <c r="A16" s="49"/>
      <c r="B16" s="10" t="s">
        <v>576</v>
      </c>
      <c r="C16" s="38"/>
      <c r="F16" s="423" t="s">
        <v>1651</v>
      </c>
      <c r="G16" s="476">
        <v>7182000000</v>
      </c>
      <c r="J16" s="54"/>
      <c r="T16" s="57" t="s">
        <v>615</v>
      </c>
      <c r="U16" s="57" t="s">
        <v>908</v>
      </c>
      <c r="Z16" s="58" t="s">
        <v>279</v>
      </c>
      <c r="AA16" s="59" t="s">
        <v>909</v>
      </c>
      <c r="AE16" s="58" t="s">
        <v>279</v>
      </c>
      <c r="AF16" s="59" t="s">
        <v>899</v>
      </c>
    </row>
    <row r="17" spans="1:32" x14ac:dyDescent="0.25">
      <c r="A17" s="50"/>
      <c r="B17" s="5" t="s">
        <v>577</v>
      </c>
      <c r="C17" s="38"/>
      <c r="D17" t="s">
        <v>1068</v>
      </c>
      <c r="F17" s="423" t="s">
        <v>1652</v>
      </c>
      <c r="G17" s="476">
        <v>229000000</v>
      </c>
      <c r="J17" s="54"/>
      <c r="T17" s="57" t="s">
        <v>616</v>
      </c>
      <c r="U17" s="57" t="s">
        <v>908</v>
      </c>
      <c r="Z17" s="58" t="s">
        <v>283</v>
      </c>
      <c r="AA17" s="59" t="s">
        <v>910</v>
      </c>
      <c r="AE17" s="58" t="s">
        <v>283</v>
      </c>
      <c r="AF17" s="59" t="s">
        <v>898</v>
      </c>
    </row>
    <row r="18" spans="1:32" x14ac:dyDescent="0.25">
      <c r="A18" s="50"/>
      <c r="B18" s="2" t="s">
        <v>578</v>
      </c>
      <c r="C18" s="38"/>
      <c r="D18" t="s">
        <v>927</v>
      </c>
      <c r="F18" s="423" t="s">
        <v>1653</v>
      </c>
      <c r="G18" s="476">
        <v>54000000</v>
      </c>
      <c r="J18" s="54"/>
      <c r="T18" s="57" t="s">
        <v>617</v>
      </c>
      <c r="U18" s="57" t="s">
        <v>908</v>
      </c>
      <c r="Z18" s="58" t="s">
        <v>401</v>
      </c>
      <c r="AA18" s="59" t="s">
        <v>913</v>
      </c>
      <c r="AE18" s="58" t="s">
        <v>401</v>
      </c>
      <c r="AF18" s="59" t="s">
        <v>590</v>
      </c>
    </row>
    <row r="19" spans="1:32" x14ac:dyDescent="0.25">
      <c r="A19" s="50"/>
      <c r="B19" s="2" t="s">
        <v>579</v>
      </c>
      <c r="C19" s="38"/>
      <c r="F19" s="423" t="s">
        <v>1654</v>
      </c>
      <c r="G19" s="476">
        <v>1243000000</v>
      </c>
      <c r="T19" s="57" t="s">
        <v>618</v>
      </c>
      <c r="U19" s="57" t="s">
        <v>908</v>
      </c>
      <c r="Z19" s="58" t="s">
        <v>291</v>
      </c>
      <c r="AA19" s="59" t="s">
        <v>908</v>
      </c>
      <c r="AE19" s="58" t="s">
        <v>291</v>
      </c>
      <c r="AF19" s="59" t="s">
        <v>901</v>
      </c>
    </row>
    <row r="20" spans="1:32" x14ac:dyDescent="0.25">
      <c r="A20" s="50"/>
      <c r="B20" s="2" t="s">
        <v>580</v>
      </c>
      <c r="C20" s="38"/>
      <c r="F20" s="423" t="s">
        <v>1655</v>
      </c>
      <c r="G20" s="476">
        <v>1243000000</v>
      </c>
      <c r="J20" s="54"/>
      <c r="T20" s="57" t="s">
        <v>619</v>
      </c>
      <c r="U20" s="57" t="s">
        <v>908</v>
      </c>
      <c r="Z20" s="58" t="s">
        <v>285</v>
      </c>
      <c r="AA20" s="59" t="s">
        <v>920</v>
      </c>
      <c r="AE20" s="58" t="s">
        <v>285</v>
      </c>
      <c r="AF20" s="59" t="s">
        <v>900</v>
      </c>
    </row>
    <row r="21" spans="1:32" x14ac:dyDescent="0.25">
      <c r="A21" s="49"/>
      <c r="B21" s="10" t="s">
        <v>581</v>
      </c>
      <c r="C21" s="38"/>
      <c r="F21" s="423" t="s">
        <v>1656</v>
      </c>
      <c r="G21" s="476">
        <v>1488000000</v>
      </c>
      <c r="J21" s="54"/>
      <c r="T21" s="58" t="s">
        <v>78</v>
      </c>
      <c r="U21" s="57" t="s">
        <v>910</v>
      </c>
      <c r="Z21" s="58" t="s">
        <v>292</v>
      </c>
      <c r="AA21" s="59" t="s">
        <v>909</v>
      </c>
      <c r="AE21" s="58" t="s">
        <v>292</v>
      </c>
      <c r="AF21" s="59" t="s">
        <v>899</v>
      </c>
    </row>
    <row r="22" spans="1:32" x14ac:dyDescent="0.25">
      <c r="A22" s="50"/>
      <c r="B22" s="2" t="s">
        <v>582</v>
      </c>
      <c r="C22" s="38"/>
      <c r="F22" s="423" t="s">
        <v>1657</v>
      </c>
      <c r="G22" s="476">
        <v>194693000</v>
      </c>
      <c r="J22" s="54"/>
      <c r="T22" s="58" t="s">
        <v>78</v>
      </c>
      <c r="U22" s="57" t="s">
        <v>910</v>
      </c>
      <c r="Z22" s="58" t="s">
        <v>297</v>
      </c>
      <c r="AA22" s="59" t="s">
        <v>913</v>
      </c>
      <c r="AE22" s="58" t="s">
        <v>297</v>
      </c>
      <c r="AF22" s="59" t="s">
        <v>899</v>
      </c>
    </row>
    <row r="23" spans="1:32" x14ac:dyDescent="0.25">
      <c r="A23" s="50"/>
      <c r="B23" s="2" t="s">
        <v>583</v>
      </c>
      <c r="C23" s="38"/>
      <c r="F23" s="423" t="s">
        <v>1658</v>
      </c>
      <c r="G23" s="476">
        <v>212307000</v>
      </c>
      <c r="J23" s="54"/>
      <c r="T23" s="57" t="s">
        <v>620</v>
      </c>
      <c r="U23" s="57" t="s">
        <v>908</v>
      </c>
      <c r="Z23" s="58" t="s">
        <v>919</v>
      </c>
      <c r="AA23" s="59" t="s">
        <v>920</v>
      </c>
      <c r="AE23" s="58" t="s">
        <v>919</v>
      </c>
      <c r="AF23" s="59" t="s">
        <v>899</v>
      </c>
    </row>
    <row r="24" spans="1:32" x14ac:dyDescent="0.25">
      <c r="A24" s="50"/>
      <c r="B24" s="2" t="s">
        <v>584</v>
      </c>
      <c r="C24" s="38"/>
      <c r="F24" s="423" t="s">
        <v>1659</v>
      </c>
      <c r="G24" s="476">
        <v>1081000000</v>
      </c>
      <c r="J24" s="54"/>
      <c r="T24" s="57" t="s">
        <v>621</v>
      </c>
      <c r="U24" s="57" t="s">
        <v>908</v>
      </c>
      <c r="Z24" s="58" t="s">
        <v>304</v>
      </c>
      <c r="AA24" s="59" t="s">
        <v>908</v>
      </c>
      <c r="AE24" s="58" t="s">
        <v>304</v>
      </c>
      <c r="AF24" s="59" t="s">
        <v>899</v>
      </c>
    </row>
    <row r="25" spans="1:32" x14ac:dyDescent="0.25">
      <c r="A25" s="49"/>
      <c r="B25" s="10" t="s">
        <v>585</v>
      </c>
      <c r="C25" s="38"/>
      <c r="F25" s="423" t="s">
        <v>1660</v>
      </c>
      <c r="G25" s="476">
        <v>430000000</v>
      </c>
      <c r="J25" s="54"/>
      <c r="T25" s="57" t="s">
        <v>622</v>
      </c>
      <c r="U25" s="57" t="s">
        <v>909</v>
      </c>
      <c r="Z25" s="58" t="s">
        <v>307</v>
      </c>
      <c r="AA25" s="59" t="s">
        <v>908</v>
      </c>
      <c r="AE25" s="58" t="s">
        <v>307</v>
      </c>
      <c r="AF25" s="59" t="s">
        <v>952</v>
      </c>
    </row>
    <row r="26" spans="1:32" ht="22.5" x14ac:dyDescent="0.25">
      <c r="A26" s="51"/>
      <c r="B26" s="2" t="s">
        <v>586</v>
      </c>
      <c r="C26" s="38"/>
      <c r="F26" s="423" t="s">
        <v>1661</v>
      </c>
      <c r="G26" s="476">
        <v>206250000</v>
      </c>
      <c r="J26" s="54"/>
      <c r="T26" s="58" t="s">
        <v>80</v>
      </c>
      <c r="U26" s="57" t="s">
        <v>909</v>
      </c>
      <c r="Z26" s="58" t="s">
        <v>590</v>
      </c>
      <c r="AA26" s="59" t="s">
        <v>908</v>
      </c>
      <c r="AE26" s="58" t="s">
        <v>590</v>
      </c>
      <c r="AF26" s="59" t="s">
        <v>898</v>
      </c>
    </row>
    <row r="27" spans="1:32" ht="22.5" x14ac:dyDescent="0.25">
      <c r="B27" s="2" t="s">
        <v>587</v>
      </c>
      <c r="F27" s="423" t="s">
        <v>1662</v>
      </c>
      <c r="G27" s="476">
        <v>36750000</v>
      </c>
      <c r="J27" s="54"/>
      <c r="T27" s="57" t="s">
        <v>623</v>
      </c>
      <c r="U27" s="57" t="s">
        <v>908</v>
      </c>
      <c r="Z27" s="58" t="s">
        <v>590</v>
      </c>
      <c r="AA27" s="59" t="s">
        <v>908</v>
      </c>
      <c r="AE27" s="58" t="s">
        <v>590</v>
      </c>
      <c r="AF27" s="59" t="s">
        <v>953</v>
      </c>
    </row>
    <row r="28" spans="1:32" x14ac:dyDescent="0.25">
      <c r="B28" s="2" t="s">
        <v>588</v>
      </c>
      <c r="F28" s="423" t="s">
        <v>1663</v>
      </c>
      <c r="G28" s="476">
        <v>58000000</v>
      </c>
      <c r="J28" s="54"/>
      <c r="T28" s="57" t="s">
        <v>624</v>
      </c>
      <c r="U28" s="57" t="s">
        <v>908</v>
      </c>
      <c r="Z28" s="58"/>
    </row>
    <row r="29" spans="1:32" ht="22.5" x14ac:dyDescent="0.25">
      <c r="B29" s="2" t="s">
        <v>921</v>
      </c>
      <c r="F29" s="423" t="s">
        <v>1664</v>
      </c>
      <c r="G29" s="476">
        <v>129000000</v>
      </c>
      <c r="J29" s="54"/>
      <c r="T29" s="57" t="s">
        <v>625</v>
      </c>
      <c r="U29" s="57" t="s">
        <v>908</v>
      </c>
      <c r="Z29" s="58"/>
    </row>
    <row r="30" spans="1:32" x14ac:dyDescent="0.25">
      <c r="F30" s="423" t="s">
        <v>1665</v>
      </c>
      <c r="G30" s="476">
        <v>478000000</v>
      </c>
      <c r="J30" s="54"/>
      <c r="T30" s="57" t="s">
        <v>626</v>
      </c>
      <c r="U30" s="57" t="s">
        <v>908</v>
      </c>
      <c r="Z30" s="58"/>
    </row>
    <row r="31" spans="1:32" x14ac:dyDescent="0.25">
      <c r="B31" s="76" t="s">
        <v>980</v>
      </c>
      <c r="F31" s="423" t="s">
        <v>1666</v>
      </c>
      <c r="G31" s="476">
        <v>478000000</v>
      </c>
      <c r="J31" s="54"/>
      <c r="T31" s="57" t="s">
        <v>627</v>
      </c>
      <c r="U31" s="57" t="s">
        <v>909</v>
      </c>
      <c r="Z31" s="58"/>
    </row>
    <row r="32" spans="1:32" x14ac:dyDescent="0.25">
      <c r="F32" s="423" t="s">
        <v>1667</v>
      </c>
      <c r="G32" s="476">
        <v>834000000</v>
      </c>
      <c r="T32" s="57" t="s">
        <v>628</v>
      </c>
      <c r="U32" s="57" t="s">
        <v>908</v>
      </c>
      <c r="Z32" s="58"/>
    </row>
    <row r="33" spans="2:38" x14ac:dyDescent="0.25">
      <c r="B33" t="s">
        <v>2603</v>
      </c>
      <c r="F33" s="423" t="s">
        <v>1668</v>
      </c>
      <c r="G33" s="476">
        <v>478000000</v>
      </c>
      <c r="J33" s="54"/>
      <c r="T33" s="57" t="s">
        <v>629</v>
      </c>
      <c r="U33" s="57" t="s">
        <v>908</v>
      </c>
      <c r="Z33" s="58"/>
    </row>
    <row r="34" spans="2:38" x14ac:dyDescent="0.25">
      <c r="B34" t="s">
        <v>2605</v>
      </c>
      <c r="F34" s="423" t="s">
        <v>1669</v>
      </c>
      <c r="G34" s="476">
        <v>108000000</v>
      </c>
      <c r="J34" s="54"/>
      <c r="T34" s="57" t="s">
        <v>630</v>
      </c>
      <c r="U34" s="57" t="s">
        <v>908</v>
      </c>
    </row>
    <row r="35" spans="2:38" x14ac:dyDescent="0.25">
      <c r="B35" t="s">
        <v>2604</v>
      </c>
      <c r="F35" s="423" t="s">
        <v>1670</v>
      </c>
      <c r="G35" s="476">
        <v>40000000</v>
      </c>
      <c r="T35" s="57" t="s">
        <v>631</v>
      </c>
      <c r="U35" s="57" t="s">
        <v>908</v>
      </c>
    </row>
    <row r="36" spans="2:38" ht="30" x14ac:dyDescent="0.25">
      <c r="B36" s="52" t="s">
        <v>981</v>
      </c>
      <c r="F36" s="423" t="s">
        <v>1671</v>
      </c>
      <c r="G36" s="476">
        <v>40000000</v>
      </c>
      <c r="J36" s="54"/>
      <c r="T36" s="57" t="s">
        <v>632</v>
      </c>
      <c r="U36" s="57" t="s">
        <v>908</v>
      </c>
    </row>
    <row r="37" spans="2:38" x14ac:dyDescent="0.25">
      <c r="B37" s="52" t="s">
        <v>1392</v>
      </c>
      <c r="F37" s="423" t="s">
        <v>1672</v>
      </c>
      <c r="G37" s="476">
        <v>1800000000</v>
      </c>
      <c r="J37" s="54"/>
      <c r="T37" s="57" t="s">
        <v>632</v>
      </c>
      <c r="U37" s="57" t="s">
        <v>908</v>
      </c>
    </row>
    <row r="38" spans="2:38" s="57" customFormat="1" x14ac:dyDescent="0.25">
      <c r="B38" s="52" t="s">
        <v>1443</v>
      </c>
      <c r="F38" s="423" t="s">
        <v>1673</v>
      </c>
      <c r="G38" s="476">
        <v>1000000</v>
      </c>
      <c r="H38" s="16"/>
      <c r="I38" s="16"/>
      <c r="J38" s="54"/>
      <c r="K38" s="16"/>
      <c r="L38" s="16"/>
      <c r="M38" s="16"/>
      <c r="N38" s="16"/>
      <c r="O38" s="16"/>
      <c r="P38" s="16"/>
      <c r="Q38" s="16"/>
      <c r="R38" s="16"/>
      <c r="S38" s="16"/>
      <c r="V38" s="16"/>
      <c r="W38" s="16"/>
      <c r="X38" s="16"/>
      <c r="Y38" s="16"/>
      <c r="AA38" s="59"/>
      <c r="AB38" s="16"/>
      <c r="AC38" s="16"/>
      <c r="AD38" s="16"/>
      <c r="AE38" s="16"/>
      <c r="AF38" s="16"/>
      <c r="AG38" s="16"/>
      <c r="AH38" s="16"/>
      <c r="AI38" s="16"/>
      <c r="AJ38" s="16"/>
      <c r="AK38" s="16"/>
      <c r="AL38" s="16"/>
    </row>
    <row r="39" spans="2:38" ht="30" x14ac:dyDescent="0.25">
      <c r="B39" s="52" t="s">
        <v>1151</v>
      </c>
      <c r="F39" s="423" t="s">
        <v>1674</v>
      </c>
      <c r="G39" s="476">
        <v>1000000</v>
      </c>
      <c r="J39" s="54"/>
      <c r="T39" s="57" t="s">
        <v>633</v>
      </c>
      <c r="U39" s="57" t="s">
        <v>908</v>
      </c>
    </row>
    <row r="40" spans="2:38" x14ac:dyDescent="0.25">
      <c r="B40" s="52" t="s">
        <v>1510</v>
      </c>
      <c r="F40" s="478" t="s">
        <v>1688</v>
      </c>
      <c r="G40" s="475">
        <v>7542477000</v>
      </c>
      <c r="J40" s="54"/>
      <c r="T40" s="57" t="s">
        <v>634</v>
      </c>
      <c r="U40" s="57" t="s">
        <v>908</v>
      </c>
    </row>
    <row r="41" spans="2:38" x14ac:dyDescent="0.25">
      <c r="B41" s="52" t="s">
        <v>983</v>
      </c>
      <c r="F41" s="479" t="s">
        <v>1687</v>
      </c>
      <c r="G41" s="474">
        <v>7542477000</v>
      </c>
      <c r="J41" s="54"/>
      <c r="T41" s="57" t="s">
        <v>82</v>
      </c>
      <c r="U41" s="57" t="s">
        <v>909</v>
      </c>
    </row>
    <row r="42" spans="2:38" s="57" customFormat="1" x14ac:dyDescent="0.25">
      <c r="B42" s="52" t="s">
        <v>1992</v>
      </c>
      <c r="F42" s="423" t="s">
        <v>1676</v>
      </c>
      <c r="G42" s="476">
        <v>7542477000</v>
      </c>
      <c r="H42" s="16"/>
      <c r="I42" s="16"/>
      <c r="J42" s="54"/>
      <c r="K42" s="16"/>
      <c r="L42" s="16"/>
      <c r="M42" s="16"/>
      <c r="N42" s="16"/>
      <c r="O42" s="16"/>
      <c r="P42" s="16"/>
      <c r="Q42" s="16"/>
      <c r="R42" s="16"/>
      <c r="S42" s="16"/>
      <c r="V42" s="16"/>
      <c r="W42" s="16"/>
      <c r="X42" s="16"/>
      <c r="Y42" s="16"/>
      <c r="AA42" s="59"/>
      <c r="AB42" s="16"/>
      <c r="AC42" s="16"/>
      <c r="AD42" s="16"/>
      <c r="AE42" s="16"/>
      <c r="AF42" s="16"/>
      <c r="AG42" s="16"/>
      <c r="AH42" s="16"/>
      <c r="AI42" s="16"/>
      <c r="AJ42" s="16"/>
      <c r="AK42" s="16"/>
      <c r="AL42" s="16"/>
    </row>
    <row r="43" spans="2:38" s="57" customFormat="1" ht="30" x14ac:dyDescent="0.25">
      <c r="B43" s="52" t="s">
        <v>1569</v>
      </c>
      <c r="F43" s="423" t="s">
        <v>1677</v>
      </c>
      <c r="G43" s="476">
        <v>7542477000</v>
      </c>
      <c r="H43" s="16"/>
      <c r="I43" s="16"/>
      <c r="J43" s="54"/>
      <c r="K43" s="16"/>
      <c r="L43" s="16"/>
      <c r="M43" s="16"/>
      <c r="N43" s="16"/>
      <c r="O43" s="16"/>
      <c r="P43" s="16"/>
      <c r="Q43" s="16"/>
      <c r="R43" s="16"/>
      <c r="S43" s="16"/>
      <c r="V43" s="16"/>
      <c r="W43" s="16"/>
      <c r="X43" s="16"/>
      <c r="Y43" s="16"/>
      <c r="AA43" s="59"/>
      <c r="AB43" s="16"/>
      <c r="AC43" s="16"/>
      <c r="AD43" s="16"/>
      <c r="AE43" s="16"/>
      <c r="AF43" s="16"/>
      <c r="AG43" s="16"/>
      <c r="AH43" s="16"/>
      <c r="AI43" s="16"/>
      <c r="AJ43" s="16"/>
      <c r="AK43" s="16"/>
      <c r="AL43" s="16"/>
    </row>
    <row r="44" spans="2:38" s="57" customFormat="1" ht="30" x14ac:dyDescent="0.25">
      <c r="B44" s="52" t="s">
        <v>1570</v>
      </c>
      <c r="F44" s="423" t="s">
        <v>1678</v>
      </c>
      <c r="G44" s="476">
        <v>7542477000</v>
      </c>
      <c r="H44" s="16"/>
      <c r="I44" s="16"/>
      <c r="J44" s="54"/>
      <c r="K44" s="16"/>
      <c r="L44" s="16"/>
      <c r="M44" s="16"/>
      <c r="N44" s="16"/>
      <c r="O44" s="16"/>
      <c r="P44" s="16"/>
      <c r="Q44" s="16"/>
      <c r="R44" s="16"/>
      <c r="S44" s="16"/>
      <c r="V44" s="16"/>
      <c r="W44" s="16"/>
      <c r="X44" s="16"/>
      <c r="Y44" s="16"/>
      <c r="AA44" s="59"/>
      <c r="AB44" s="16"/>
      <c r="AC44" s="16"/>
      <c r="AD44" s="16"/>
      <c r="AE44" s="16"/>
      <c r="AF44" s="16"/>
      <c r="AG44" s="16"/>
      <c r="AH44" s="16"/>
      <c r="AI44" s="16"/>
      <c r="AJ44" s="16"/>
      <c r="AK44" s="16"/>
      <c r="AL44" s="16"/>
    </row>
    <row r="45" spans="2:38" s="57" customFormat="1" ht="30" x14ac:dyDescent="0.25">
      <c r="B45" s="52" t="s">
        <v>1571</v>
      </c>
      <c r="F45" s="423" t="s">
        <v>1679</v>
      </c>
      <c r="G45" s="476">
        <v>7542477000</v>
      </c>
      <c r="H45" s="16"/>
      <c r="I45" s="16"/>
      <c r="J45" s="54"/>
      <c r="K45" s="16"/>
      <c r="L45" s="16"/>
      <c r="M45" s="16"/>
      <c r="N45" s="16"/>
      <c r="O45" s="16"/>
      <c r="P45" s="16"/>
      <c r="Q45" s="16"/>
      <c r="R45" s="16"/>
      <c r="S45" s="16"/>
      <c r="V45" s="16"/>
      <c r="W45" s="16"/>
      <c r="X45" s="16"/>
      <c r="Y45" s="16"/>
      <c r="AA45" s="59"/>
      <c r="AB45" s="16"/>
      <c r="AC45" s="16"/>
      <c r="AD45" s="16"/>
      <c r="AE45" s="16"/>
      <c r="AF45" s="16"/>
      <c r="AG45" s="16"/>
      <c r="AH45" s="16"/>
      <c r="AI45" s="16"/>
      <c r="AJ45" s="16"/>
      <c r="AK45" s="16"/>
      <c r="AL45" s="16"/>
    </row>
    <row r="46" spans="2:38" ht="30" x14ac:dyDescent="0.25">
      <c r="B46" s="52" t="s">
        <v>1165</v>
      </c>
      <c r="F46" s="423" t="s">
        <v>1680</v>
      </c>
      <c r="G46" s="476">
        <v>7542477000</v>
      </c>
      <c r="J46" s="54"/>
      <c r="T46" s="57" t="s">
        <v>635</v>
      </c>
      <c r="U46" s="57" t="s">
        <v>908</v>
      </c>
    </row>
    <row r="47" spans="2:38" s="57" customFormat="1" x14ac:dyDescent="0.25">
      <c r="B47" s="52" t="s">
        <v>2390</v>
      </c>
      <c r="F47" s="837"/>
      <c r="G47" s="838"/>
      <c r="H47" s="16"/>
      <c r="I47" s="16"/>
      <c r="J47" s="54"/>
      <c r="K47" s="16"/>
      <c r="L47" s="16"/>
      <c r="M47" s="16"/>
      <c r="N47" s="16"/>
      <c r="O47" s="16"/>
      <c r="P47" s="16"/>
      <c r="Q47" s="16"/>
      <c r="R47" s="16"/>
      <c r="S47" s="16"/>
      <c r="V47" s="16"/>
      <c r="W47" s="16"/>
      <c r="X47" s="16"/>
      <c r="Y47" s="16"/>
      <c r="AA47" s="59"/>
      <c r="AB47" s="16"/>
      <c r="AC47" s="16"/>
      <c r="AD47" s="16"/>
      <c r="AE47" s="16"/>
      <c r="AF47" s="16"/>
      <c r="AG47" s="16"/>
      <c r="AH47" s="16"/>
      <c r="AI47" s="16"/>
      <c r="AJ47" s="16"/>
      <c r="AK47" s="16"/>
      <c r="AL47" s="16"/>
    </row>
    <row r="48" spans="2:38" x14ac:dyDescent="0.25">
      <c r="B48" s="52" t="s">
        <v>982</v>
      </c>
      <c r="J48" s="54"/>
      <c r="T48" s="57" t="s">
        <v>636</v>
      </c>
      <c r="U48" s="57" t="s">
        <v>908</v>
      </c>
    </row>
    <row r="49" spans="2:38" x14ac:dyDescent="0.25">
      <c r="B49" s="97" t="s">
        <v>1056</v>
      </c>
      <c r="J49" s="54"/>
      <c r="T49" s="57" t="s">
        <v>637</v>
      </c>
      <c r="U49" s="57" t="s">
        <v>911</v>
      </c>
    </row>
    <row r="50" spans="2:38" x14ac:dyDescent="0.25">
      <c r="B50" s="97" t="s">
        <v>1148</v>
      </c>
      <c r="J50" s="54"/>
      <c r="T50" s="57" t="s">
        <v>638</v>
      </c>
      <c r="U50" s="57" t="s">
        <v>908</v>
      </c>
    </row>
    <row r="51" spans="2:38" s="57" customFormat="1" x14ac:dyDescent="0.25">
      <c r="B51" s="211" t="s">
        <v>2076</v>
      </c>
      <c r="F51" s="16"/>
      <c r="G51" s="16"/>
      <c r="H51" s="16"/>
      <c r="I51" s="16"/>
      <c r="J51" s="54"/>
      <c r="K51" s="16"/>
      <c r="L51" s="16"/>
      <c r="M51" s="16"/>
      <c r="N51" s="16"/>
      <c r="O51" s="16"/>
      <c r="P51" s="16"/>
      <c r="Q51" s="16"/>
      <c r="R51" s="16"/>
      <c r="S51" s="16"/>
      <c r="V51" s="16"/>
      <c r="W51" s="16"/>
      <c r="X51" s="16"/>
      <c r="Y51" s="16"/>
      <c r="AA51" s="59"/>
      <c r="AB51" s="16"/>
      <c r="AC51" s="16"/>
      <c r="AD51" s="16"/>
      <c r="AE51" s="16"/>
      <c r="AF51" s="16"/>
      <c r="AG51" s="16"/>
      <c r="AH51" s="16"/>
      <c r="AI51" s="16"/>
      <c r="AJ51" s="16"/>
      <c r="AK51" s="16"/>
      <c r="AL51" s="16"/>
    </row>
    <row r="52" spans="2:38" s="57" customFormat="1" x14ac:dyDescent="0.25">
      <c r="B52" s="211" t="s">
        <v>2601</v>
      </c>
      <c r="F52" s="16"/>
      <c r="G52" s="16"/>
      <c r="H52" s="16"/>
      <c r="I52" s="16"/>
      <c r="J52" s="54"/>
      <c r="K52" s="16"/>
      <c r="L52" s="16"/>
      <c r="M52" s="16"/>
      <c r="N52" s="16"/>
      <c r="O52" s="16"/>
      <c r="P52" s="16"/>
      <c r="Q52" s="16"/>
      <c r="R52" s="16"/>
      <c r="S52" s="16"/>
      <c r="V52" s="16"/>
      <c r="W52" s="16"/>
      <c r="X52" s="16"/>
      <c r="Y52" s="16"/>
      <c r="AA52" s="59"/>
      <c r="AB52" s="16"/>
      <c r="AC52" s="16"/>
      <c r="AD52" s="16"/>
      <c r="AE52" s="16"/>
      <c r="AF52" s="16"/>
      <c r="AG52" s="16"/>
      <c r="AH52" s="16"/>
      <c r="AI52" s="16"/>
      <c r="AJ52" s="16"/>
      <c r="AK52" s="16"/>
      <c r="AL52" s="16"/>
    </row>
    <row r="53" spans="2:38" s="57" customFormat="1" x14ac:dyDescent="0.25">
      <c r="B53" s="211" t="s">
        <v>1607</v>
      </c>
      <c r="F53" s="16"/>
      <c r="G53" s="16"/>
      <c r="H53" s="16"/>
      <c r="I53" s="16"/>
      <c r="J53" s="54"/>
      <c r="K53" s="16"/>
      <c r="L53" s="16"/>
      <c r="M53" s="16"/>
      <c r="N53" s="16"/>
      <c r="O53" s="16"/>
      <c r="R53" s="16"/>
      <c r="S53" s="16"/>
      <c r="V53" s="16"/>
      <c r="W53" s="16"/>
      <c r="X53" s="16"/>
      <c r="Y53" s="16"/>
      <c r="AA53" s="59"/>
      <c r="AB53" s="16"/>
      <c r="AC53" s="16"/>
      <c r="AD53" s="16"/>
      <c r="AE53" s="16"/>
      <c r="AF53" s="16"/>
      <c r="AG53" s="16"/>
      <c r="AH53" s="16"/>
      <c r="AI53" s="16"/>
      <c r="AJ53" s="16"/>
      <c r="AK53" s="16"/>
      <c r="AL53" s="16"/>
    </row>
    <row r="54" spans="2:38" x14ac:dyDescent="0.25">
      <c r="B54" s="211" t="s">
        <v>1150</v>
      </c>
      <c r="J54" s="54"/>
      <c r="T54" s="57" t="s">
        <v>639</v>
      </c>
      <c r="U54" s="57" t="s">
        <v>908</v>
      </c>
    </row>
    <row r="55" spans="2:38" x14ac:dyDescent="0.25">
      <c r="B55" s="211" t="s">
        <v>2602</v>
      </c>
      <c r="J55" s="54"/>
      <c r="T55" s="57" t="s">
        <v>640</v>
      </c>
      <c r="U55" s="57" t="s">
        <v>908</v>
      </c>
    </row>
    <row r="56" spans="2:38" x14ac:dyDescent="0.25">
      <c r="T56" s="57" t="s">
        <v>641</v>
      </c>
      <c r="U56" s="57" t="s">
        <v>908</v>
      </c>
    </row>
    <row r="57" spans="2:38" x14ac:dyDescent="0.25">
      <c r="B57" t="s">
        <v>1256</v>
      </c>
      <c r="T57" s="58" t="s">
        <v>83</v>
      </c>
      <c r="U57" s="57" t="s">
        <v>908</v>
      </c>
    </row>
    <row r="58" spans="2:38" x14ac:dyDescent="0.25">
      <c r="B58" t="s">
        <v>1257</v>
      </c>
      <c r="J58" s="54"/>
      <c r="T58" s="57" t="s">
        <v>642</v>
      </c>
      <c r="U58" s="57" t="s">
        <v>908</v>
      </c>
    </row>
    <row r="59" spans="2:38" x14ac:dyDescent="0.25">
      <c r="J59" s="54"/>
      <c r="T59" s="57" t="s">
        <v>643</v>
      </c>
      <c r="U59" s="57" t="s">
        <v>908</v>
      </c>
    </row>
    <row r="60" spans="2:38" x14ac:dyDescent="0.25">
      <c r="J60" s="54"/>
      <c r="T60" s="57" t="s">
        <v>644</v>
      </c>
      <c r="U60" s="57" t="s">
        <v>908</v>
      </c>
    </row>
    <row r="61" spans="2:38" x14ac:dyDescent="0.25">
      <c r="T61" s="58" t="s">
        <v>85</v>
      </c>
      <c r="U61" s="57" t="s">
        <v>908</v>
      </c>
    </row>
    <row r="62" spans="2:38" x14ac:dyDescent="0.25">
      <c r="B62" s="315" t="s">
        <v>1428</v>
      </c>
      <c r="T62" s="57" t="s">
        <v>645</v>
      </c>
      <c r="U62" s="57" t="s">
        <v>908</v>
      </c>
    </row>
    <row r="63" spans="2:38" x14ac:dyDescent="0.25">
      <c r="B63" t="s">
        <v>1429</v>
      </c>
      <c r="T63" s="57" t="s">
        <v>646</v>
      </c>
      <c r="U63" s="57" t="s">
        <v>908</v>
      </c>
    </row>
    <row r="64" spans="2:38" x14ac:dyDescent="0.25">
      <c r="B64" t="s">
        <v>1430</v>
      </c>
      <c r="T64" s="57" t="s">
        <v>647</v>
      </c>
      <c r="U64" s="57" t="s">
        <v>908</v>
      </c>
    </row>
    <row r="65" spans="2:21" x14ac:dyDescent="0.25">
      <c r="B65" t="s">
        <v>1431</v>
      </c>
      <c r="T65" s="57" t="s">
        <v>648</v>
      </c>
      <c r="U65" s="57" t="s">
        <v>908</v>
      </c>
    </row>
    <row r="66" spans="2:21" x14ac:dyDescent="0.25">
      <c r="B66" t="s">
        <v>1432</v>
      </c>
      <c r="T66" s="57" t="s">
        <v>649</v>
      </c>
      <c r="U66" s="57" t="s">
        <v>908</v>
      </c>
    </row>
    <row r="67" spans="2:21" x14ac:dyDescent="0.25">
      <c r="B67" t="s">
        <v>1433</v>
      </c>
      <c r="D67" s="16"/>
      <c r="E67" s="16"/>
      <c r="F67" s="55"/>
      <c r="T67" s="57" t="s">
        <v>650</v>
      </c>
      <c r="U67" s="57" t="s">
        <v>908</v>
      </c>
    </row>
    <row r="68" spans="2:21" x14ac:dyDescent="0.25">
      <c r="B68" t="s">
        <v>1434</v>
      </c>
      <c r="D68" s="16"/>
      <c r="E68" s="16"/>
      <c r="F68" s="55"/>
      <c r="T68" s="57" t="s">
        <v>651</v>
      </c>
      <c r="U68" s="57" t="s">
        <v>908</v>
      </c>
    </row>
    <row r="69" spans="2:21" x14ac:dyDescent="0.25">
      <c r="B69" t="s">
        <v>1435</v>
      </c>
      <c r="D69" s="16"/>
      <c r="E69" s="16"/>
      <c r="F69" s="55"/>
      <c r="T69" s="57" t="s">
        <v>652</v>
      </c>
      <c r="U69" s="57" t="s">
        <v>908</v>
      </c>
    </row>
    <row r="70" spans="2:21" x14ac:dyDescent="0.25">
      <c r="B70" t="s">
        <v>1436</v>
      </c>
      <c r="D70" s="16"/>
      <c r="E70" s="16"/>
      <c r="F70" s="55"/>
      <c r="T70" s="57" t="s">
        <v>653</v>
      </c>
      <c r="U70" s="57" t="s">
        <v>908</v>
      </c>
    </row>
    <row r="71" spans="2:21" x14ac:dyDescent="0.25">
      <c r="B71" t="s">
        <v>1437</v>
      </c>
      <c r="D71" s="16"/>
      <c r="E71" s="16"/>
      <c r="F71" s="55"/>
      <c r="T71" s="57" t="s">
        <v>654</v>
      </c>
      <c r="U71" s="57" t="s">
        <v>908</v>
      </c>
    </row>
    <row r="72" spans="2:21" x14ac:dyDescent="0.25">
      <c r="B72" t="s">
        <v>1438</v>
      </c>
      <c r="D72" s="16"/>
      <c r="E72" s="16"/>
      <c r="F72" s="55"/>
      <c r="T72" s="57" t="s">
        <v>655</v>
      </c>
      <c r="U72" s="57" t="s">
        <v>908</v>
      </c>
    </row>
    <row r="73" spans="2:21" x14ac:dyDescent="0.25">
      <c r="B73" t="s">
        <v>1442</v>
      </c>
      <c r="D73" s="16"/>
      <c r="E73" s="16"/>
      <c r="F73" s="55"/>
      <c r="T73" s="57" t="s">
        <v>656</v>
      </c>
      <c r="U73" s="57" t="s">
        <v>908</v>
      </c>
    </row>
    <row r="74" spans="2:21" x14ac:dyDescent="0.25">
      <c r="B74" t="s">
        <v>1439</v>
      </c>
      <c r="D74" s="16"/>
      <c r="E74" s="16"/>
      <c r="F74" s="55"/>
      <c r="T74" s="57" t="s">
        <v>657</v>
      </c>
      <c r="U74" s="57" t="s">
        <v>908</v>
      </c>
    </row>
    <row r="75" spans="2:21" x14ac:dyDescent="0.25">
      <c r="B75" t="s">
        <v>1440</v>
      </c>
      <c r="D75" s="16"/>
      <c r="E75" s="16"/>
      <c r="F75" s="55"/>
      <c r="T75" s="57" t="s">
        <v>658</v>
      </c>
      <c r="U75" s="57" t="s">
        <v>908</v>
      </c>
    </row>
    <row r="76" spans="2:21" x14ac:dyDescent="0.25">
      <c r="B76" t="s">
        <v>1177</v>
      </c>
      <c r="D76" s="16"/>
      <c r="E76" s="16"/>
      <c r="F76" s="55"/>
      <c r="T76" s="57" t="s">
        <v>659</v>
      </c>
      <c r="U76" s="57" t="s">
        <v>908</v>
      </c>
    </row>
    <row r="77" spans="2:21" x14ac:dyDescent="0.25">
      <c r="B77" t="s">
        <v>1441</v>
      </c>
      <c r="D77" s="16"/>
      <c r="E77" s="16"/>
      <c r="F77" s="55"/>
      <c r="T77" s="57" t="s">
        <v>660</v>
      </c>
      <c r="U77" s="57" t="s">
        <v>908</v>
      </c>
    </row>
    <row r="78" spans="2:21" x14ac:dyDescent="0.25">
      <c r="D78" s="16"/>
      <c r="E78" s="16"/>
      <c r="F78" s="55"/>
      <c r="T78" s="57" t="s">
        <v>661</v>
      </c>
      <c r="U78" s="57" t="s">
        <v>908</v>
      </c>
    </row>
    <row r="79" spans="2:21" x14ac:dyDescent="0.25">
      <c r="D79" s="16"/>
      <c r="E79" s="16"/>
      <c r="F79" s="55"/>
      <c r="T79" s="57" t="s">
        <v>662</v>
      </c>
      <c r="U79" s="57" t="s">
        <v>908</v>
      </c>
    </row>
    <row r="80" spans="2:21" x14ac:dyDescent="0.25">
      <c r="D80" s="16"/>
      <c r="E80" s="16"/>
      <c r="F80" s="55"/>
      <c r="T80" s="57" t="s">
        <v>663</v>
      </c>
      <c r="U80" s="57" t="s">
        <v>908</v>
      </c>
    </row>
    <row r="81" spans="4:21" x14ac:dyDescent="0.25">
      <c r="D81" s="16"/>
      <c r="E81" s="16"/>
      <c r="F81" s="55"/>
      <c r="T81" s="57" t="s">
        <v>664</v>
      </c>
      <c r="U81" s="57" t="s">
        <v>908</v>
      </c>
    </row>
    <row r="82" spans="4:21" x14ac:dyDescent="0.25">
      <c r="D82" s="16"/>
      <c r="E82" s="16"/>
      <c r="F82" s="55"/>
      <c r="T82" s="57" t="s">
        <v>665</v>
      </c>
      <c r="U82" s="57" t="s">
        <v>908</v>
      </c>
    </row>
    <row r="83" spans="4:21" x14ac:dyDescent="0.25">
      <c r="D83" s="16"/>
      <c r="E83" s="16"/>
      <c r="F83" s="55"/>
      <c r="T83" s="57" t="s">
        <v>666</v>
      </c>
      <c r="U83" s="57" t="s">
        <v>908</v>
      </c>
    </row>
    <row r="84" spans="4:21" x14ac:dyDescent="0.25">
      <c r="D84" s="16"/>
      <c r="E84" s="16"/>
      <c r="F84" s="55"/>
      <c r="T84" s="57" t="s">
        <v>667</v>
      </c>
      <c r="U84" s="57" t="s">
        <v>908</v>
      </c>
    </row>
    <row r="85" spans="4:21" x14ac:dyDescent="0.25">
      <c r="D85" s="16"/>
      <c r="E85" s="16"/>
      <c r="F85" s="55"/>
      <c r="T85" s="57" t="s">
        <v>668</v>
      </c>
      <c r="U85" s="57" t="s">
        <v>908</v>
      </c>
    </row>
    <row r="86" spans="4:21" x14ac:dyDescent="0.25">
      <c r="D86" s="16"/>
      <c r="E86" s="16"/>
      <c r="F86" s="55"/>
      <c r="T86" s="57" t="s">
        <v>669</v>
      </c>
      <c r="U86" s="57" t="s">
        <v>908</v>
      </c>
    </row>
    <row r="87" spans="4:21" x14ac:dyDescent="0.25">
      <c r="D87" s="16"/>
      <c r="E87" s="16"/>
      <c r="F87" s="55"/>
      <c r="T87" s="57" t="s">
        <v>670</v>
      </c>
      <c r="U87" s="57" t="s">
        <v>908</v>
      </c>
    </row>
    <row r="88" spans="4:21" x14ac:dyDescent="0.25">
      <c r="D88" s="16"/>
      <c r="E88" s="16"/>
      <c r="F88" s="55"/>
      <c r="T88" s="57" t="s">
        <v>671</v>
      </c>
      <c r="U88" s="57" t="s">
        <v>908</v>
      </c>
    </row>
    <row r="89" spans="4:21" x14ac:dyDescent="0.25">
      <c r="D89" s="16"/>
      <c r="E89" s="16"/>
      <c r="F89" s="55"/>
      <c r="T89" s="57" t="s">
        <v>672</v>
      </c>
      <c r="U89" s="57" t="s">
        <v>908</v>
      </c>
    </row>
    <row r="90" spans="4:21" x14ac:dyDescent="0.25">
      <c r="D90" s="16"/>
      <c r="E90" s="16"/>
      <c r="F90" s="55"/>
      <c r="T90" s="57" t="s">
        <v>673</v>
      </c>
      <c r="U90" s="57" t="s">
        <v>908</v>
      </c>
    </row>
    <row r="91" spans="4:21" x14ac:dyDescent="0.25">
      <c r="D91" s="16"/>
      <c r="E91" s="16"/>
      <c r="F91" s="55"/>
      <c r="T91" s="57" t="s">
        <v>674</v>
      </c>
      <c r="U91" s="57" t="s">
        <v>908</v>
      </c>
    </row>
    <row r="92" spans="4:21" x14ac:dyDescent="0.25">
      <c r="D92" s="16"/>
      <c r="E92" s="16"/>
      <c r="F92" s="55"/>
      <c r="T92" s="57" t="s">
        <v>674</v>
      </c>
      <c r="U92" s="57" t="s">
        <v>908</v>
      </c>
    </row>
    <row r="93" spans="4:21" x14ac:dyDescent="0.25">
      <c r="D93" s="16"/>
      <c r="E93" s="16"/>
      <c r="F93" s="55"/>
      <c r="T93" s="57" t="s">
        <v>675</v>
      </c>
      <c r="U93" s="57" t="s">
        <v>908</v>
      </c>
    </row>
    <row r="94" spans="4:21" x14ac:dyDescent="0.25">
      <c r="D94" s="16"/>
      <c r="E94" s="16"/>
      <c r="F94" s="55"/>
      <c r="T94" s="57" t="s">
        <v>676</v>
      </c>
      <c r="U94" s="57" t="s">
        <v>908</v>
      </c>
    </row>
    <row r="95" spans="4:21" x14ac:dyDescent="0.25">
      <c r="D95" s="16"/>
      <c r="E95" s="16"/>
      <c r="F95" s="55"/>
      <c r="T95" s="57" t="s">
        <v>677</v>
      </c>
      <c r="U95" s="57" t="s">
        <v>908</v>
      </c>
    </row>
    <row r="96" spans="4:21" x14ac:dyDescent="0.25">
      <c r="D96" s="16"/>
      <c r="E96" s="16"/>
      <c r="F96" s="55"/>
      <c r="T96" s="57" t="s">
        <v>678</v>
      </c>
      <c r="U96" s="57" t="s">
        <v>908</v>
      </c>
    </row>
    <row r="97" spans="4:21" x14ac:dyDescent="0.25">
      <c r="D97" s="16"/>
      <c r="E97" s="16"/>
      <c r="F97" s="55"/>
      <c r="T97" s="57" t="s">
        <v>679</v>
      </c>
      <c r="U97" s="57" t="s">
        <v>908</v>
      </c>
    </row>
    <row r="98" spans="4:21" x14ac:dyDescent="0.25">
      <c r="D98" s="16"/>
      <c r="E98" s="16"/>
      <c r="F98" s="55"/>
      <c r="T98" s="57" t="s">
        <v>680</v>
      </c>
      <c r="U98" s="57" t="s">
        <v>908</v>
      </c>
    </row>
    <row r="99" spans="4:21" x14ac:dyDescent="0.25">
      <c r="D99" s="16"/>
      <c r="E99" s="16"/>
      <c r="F99" s="55"/>
      <c r="T99" s="57" t="s">
        <v>681</v>
      </c>
      <c r="U99" s="57" t="s">
        <v>908</v>
      </c>
    </row>
    <row r="100" spans="4:21" x14ac:dyDescent="0.25">
      <c r="D100" s="16"/>
      <c r="E100" s="16"/>
      <c r="F100" s="55"/>
      <c r="T100" s="57" t="s">
        <v>682</v>
      </c>
      <c r="U100" s="57" t="s">
        <v>908</v>
      </c>
    </row>
    <row r="101" spans="4:21" x14ac:dyDescent="0.25">
      <c r="D101" s="16"/>
      <c r="E101" s="16"/>
      <c r="F101" s="55"/>
      <c r="T101" s="57" t="s">
        <v>683</v>
      </c>
      <c r="U101" s="57" t="s">
        <v>908</v>
      </c>
    </row>
    <row r="102" spans="4:21" x14ac:dyDescent="0.25">
      <c r="D102" s="16"/>
      <c r="E102" s="16"/>
      <c r="F102" s="55"/>
      <c r="T102" s="57" t="s">
        <v>684</v>
      </c>
      <c r="U102" s="57" t="s">
        <v>908</v>
      </c>
    </row>
    <row r="103" spans="4:21" x14ac:dyDescent="0.25">
      <c r="T103" s="58" t="s">
        <v>87</v>
      </c>
      <c r="U103" s="57" t="s">
        <v>909</v>
      </c>
    </row>
    <row r="104" spans="4:21" x14ac:dyDescent="0.25">
      <c r="T104" s="57" t="s">
        <v>685</v>
      </c>
      <c r="U104" s="57" t="s">
        <v>909</v>
      </c>
    </row>
    <row r="105" spans="4:21" x14ac:dyDescent="0.25">
      <c r="T105" s="57" t="s">
        <v>686</v>
      </c>
      <c r="U105" s="57" t="s">
        <v>909</v>
      </c>
    </row>
    <row r="106" spans="4:21" x14ac:dyDescent="0.25">
      <c r="T106" s="57" t="s">
        <v>687</v>
      </c>
      <c r="U106" s="57" t="s">
        <v>908</v>
      </c>
    </row>
    <row r="107" spans="4:21" x14ac:dyDescent="0.25">
      <c r="T107" s="57" t="s">
        <v>688</v>
      </c>
      <c r="U107" s="57" t="s">
        <v>908</v>
      </c>
    </row>
    <row r="108" spans="4:21" x14ac:dyDescent="0.25">
      <c r="D108" s="16"/>
      <c r="E108" s="16"/>
      <c r="T108" s="57" t="s">
        <v>689</v>
      </c>
      <c r="U108" s="57" t="s">
        <v>908</v>
      </c>
    </row>
    <row r="109" spans="4:21" x14ac:dyDescent="0.25">
      <c r="D109" s="16"/>
      <c r="E109" s="16"/>
      <c r="T109" s="57" t="s">
        <v>690</v>
      </c>
      <c r="U109" s="57" t="s">
        <v>912</v>
      </c>
    </row>
    <row r="110" spans="4:21" x14ac:dyDescent="0.25">
      <c r="D110" s="16"/>
      <c r="E110" s="16"/>
      <c r="T110" s="57" t="s">
        <v>691</v>
      </c>
      <c r="U110" s="57" t="s">
        <v>908</v>
      </c>
    </row>
    <row r="111" spans="4:21" x14ac:dyDescent="0.25">
      <c r="D111" s="16"/>
      <c r="E111" s="16"/>
      <c r="T111" s="57" t="s">
        <v>692</v>
      </c>
      <c r="U111" s="57" t="s">
        <v>908</v>
      </c>
    </row>
    <row r="112" spans="4:21" x14ac:dyDescent="0.25">
      <c r="D112" s="16"/>
      <c r="E112" s="16"/>
      <c r="T112" s="57" t="s">
        <v>693</v>
      </c>
      <c r="U112" s="57" t="s">
        <v>908</v>
      </c>
    </row>
    <row r="113" spans="4:21" x14ac:dyDescent="0.25">
      <c r="D113" s="16"/>
      <c r="E113" s="16"/>
      <c r="T113" s="57" t="s">
        <v>694</v>
      </c>
      <c r="U113" s="57" t="s">
        <v>908</v>
      </c>
    </row>
    <row r="114" spans="4:21" x14ac:dyDescent="0.25">
      <c r="D114" s="16"/>
      <c r="E114" s="16"/>
      <c r="T114" s="57" t="s">
        <v>695</v>
      </c>
      <c r="U114" s="57" t="s">
        <v>908</v>
      </c>
    </row>
    <row r="115" spans="4:21" x14ac:dyDescent="0.25">
      <c r="D115" s="16"/>
      <c r="E115" s="16"/>
      <c r="T115" s="57" t="s">
        <v>696</v>
      </c>
      <c r="U115" s="57" t="s">
        <v>912</v>
      </c>
    </row>
    <row r="116" spans="4:21" x14ac:dyDescent="0.25">
      <c r="D116" s="16"/>
      <c r="E116" s="16"/>
      <c r="T116" s="57" t="s">
        <v>697</v>
      </c>
      <c r="U116" s="57" t="s">
        <v>908</v>
      </c>
    </row>
    <row r="117" spans="4:21" x14ac:dyDescent="0.25">
      <c r="D117" s="16"/>
      <c r="E117" s="16"/>
      <c r="T117" s="57" t="s">
        <v>698</v>
      </c>
      <c r="U117" s="57" t="s">
        <v>908</v>
      </c>
    </row>
    <row r="118" spans="4:21" x14ac:dyDescent="0.25">
      <c r="D118" s="16"/>
      <c r="E118" s="16"/>
      <c r="T118" s="58" t="s">
        <v>88</v>
      </c>
      <c r="U118" s="57" t="s">
        <v>908</v>
      </c>
    </row>
    <row r="119" spans="4:21" x14ac:dyDescent="0.25">
      <c r="D119" s="16"/>
      <c r="E119" s="16"/>
      <c r="T119" s="57" t="s">
        <v>699</v>
      </c>
      <c r="U119" s="57" t="s">
        <v>908</v>
      </c>
    </row>
    <row r="120" spans="4:21" x14ac:dyDescent="0.25">
      <c r="D120" s="16"/>
      <c r="E120" s="16"/>
      <c r="T120" s="57" t="s">
        <v>700</v>
      </c>
      <c r="U120" s="57" t="s">
        <v>908</v>
      </c>
    </row>
    <row r="121" spans="4:21" x14ac:dyDescent="0.25">
      <c r="D121" s="16"/>
      <c r="E121" s="16"/>
      <c r="T121" s="57" t="s">
        <v>701</v>
      </c>
      <c r="U121" s="57" t="s">
        <v>908</v>
      </c>
    </row>
    <row r="122" spans="4:21" x14ac:dyDescent="0.25">
      <c r="D122" s="16"/>
      <c r="E122" s="16"/>
      <c r="T122" s="57" t="s">
        <v>702</v>
      </c>
      <c r="U122" s="57" t="s">
        <v>908</v>
      </c>
    </row>
    <row r="123" spans="4:21" x14ac:dyDescent="0.25">
      <c r="D123" s="16"/>
      <c r="E123" s="16"/>
      <c r="T123" s="57" t="s">
        <v>703</v>
      </c>
      <c r="U123" s="57" t="s">
        <v>908</v>
      </c>
    </row>
    <row r="124" spans="4:21" x14ac:dyDescent="0.25">
      <c r="D124" s="16"/>
      <c r="E124" s="16"/>
      <c r="T124" s="57" t="s">
        <v>704</v>
      </c>
      <c r="U124" s="57" t="s">
        <v>908</v>
      </c>
    </row>
    <row r="125" spans="4:21" x14ac:dyDescent="0.25">
      <c r="D125" s="16"/>
      <c r="E125" s="16"/>
      <c r="T125" s="57" t="s">
        <v>705</v>
      </c>
      <c r="U125" s="57" t="s">
        <v>908</v>
      </c>
    </row>
    <row r="126" spans="4:21" x14ac:dyDescent="0.25">
      <c r="D126" s="16"/>
      <c r="E126" s="16"/>
      <c r="T126" s="57" t="s">
        <v>706</v>
      </c>
      <c r="U126" s="57" t="s">
        <v>908</v>
      </c>
    </row>
    <row r="127" spans="4:21" x14ac:dyDescent="0.25">
      <c r="D127" s="16"/>
      <c r="E127" s="16"/>
      <c r="T127" s="57" t="s">
        <v>707</v>
      </c>
      <c r="U127" s="57" t="s">
        <v>908</v>
      </c>
    </row>
    <row r="128" spans="4:21" x14ac:dyDescent="0.25">
      <c r="D128" s="16"/>
      <c r="E128" s="16"/>
      <c r="T128" s="57" t="s">
        <v>91</v>
      </c>
      <c r="U128" s="57" t="s">
        <v>912</v>
      </c>
    </row>
    <row r="129" spans="2:21" x14ac:dyDescent="0.25">
      <c r="D129" s="16"/>
      <c r="E129" s="16"/>
      <c r="T129" s="57" t="s">
        <v>708</v>
      </c>
      <c r="U129" s="57" t="s">
        <v>908</v>
      </c>
    </row>
    <row r="130" spans="2:21" x14ac:dyDescent="0.25">
      <c r="D130" s="16"/>
      <c r="E130" s="16"/>
      <c r="T130" s="57" t="s">
        <v>709</v>
      </c>
      <c r="U130" s="57" t="s">
        <v>908</v>
      </c>
    </row>
    <row r="131" spans="2:21" x14ac:dyDescent="0.25">
      <c r="D131" s="16"/>
      <c r="E131" s="16"/>
      <c r="T131" s="57" t="s">
        <v>710</v>
      </c>
      <c r="U131" s="57" t="s">
        <v>908</v>
      </c>
    </row>
    <row r="132" spans="2:21" x14ac:dyDescent="0.25">
      <c r="D132" s="16"/>
      <c r="E132" s="16"/>
      <c r="T132" s="57" t="s">
        <v>711</v>
      </c>
      <c r="U132" s="57" t="s">
        <v>912</v>
      </c>
    </row>
    <row r="133" spans="2:21" x14ac:dyDescent="0.25">
      <c r="D133" s="16"/>
      <c r="E133" s="16"/>
      <c r="T133" s="57" t="s">
        <v>93</v>
      </c>
      <c r="U133" s="57" t="s">
        <v>912</v>
      </c>
    </row>
    <row r="134" spans="2:21" x14ac:dyDescent="0.25">
      <c r="T134" s="57" t="s">
        <v>712</v>
      </c>
      <c r="U134" s="57" t="s">
        <v>908</v>
      </c>
    </row>
    <row r="135" spans="2:21" x14ac:dyDescent="0.25">
      <c r="T135" s="57" t="s">
        <v>713</v>
      </c>
      <c r="U135" s="57" t="s">
        <v>912</v>
      </c>
    </row>
    <row r="136" spans="2:21" x14ac:dyDescent="0.25">
      <c r="T136" s="57" t="s">
        <v>714</v>
      </c>
      <c r="U136" s="57" t="s">
        <v>908</v>
      </c>
    </row>
    <row r="137" spans="2:21" x14ac:dyDescent="0.25">
      <c r="B137" s="16"/>
      <c r="C137" s="16"/>
      <c r="D137" s="16"/>
      <c r="E137" s="16"/>
      <c r="F137" s="54"/>
      <c r="T137" s="57" t="s">
        <v>715</v>
      </c>
      <c r="U137" s="57" t="s">
        <v>908</v>
      </c>
    </row>
    <row r="138" spans="2:21" x14ac:dyDescent="0.25">
      <c r="B138" s="16"/>
      <c r="C138" s="16"/>
      <c r="D138" s="16"/>
      <c r="E138" s="16"/>
      <c r="T138" s="57" t="s">
        <v>94</v>
      </c>
      <c r="U138" s="57" t="s">
        <v>908</v>
      </c>
    </row>
    <row r="139" spans="2:21" x14ac:dyDescent="0.25">
      <c r="B139" s="16"/>
      <c r="C139" s="16"/>
      <c r="D139" s="16"/>
      <c r="E139" s="16"/>
      <c r="T139" s="57" t="s">
        <v>716</v>
      </c>
      <c r="U139" s="57" t="s">
        <v>908</v>
      </c>
    </row>
    <row r="140" spans="2:21" x14ac:dyDescent="0.25">
      <c r="B140" s="16"/>
      <c r="C140" s="16"/>
      <c r="D140" s="16"/>
      <c r="E140" s="16"/>
      <c r="T140" s="57" t="s">
        <v>717</v>
      </c>
      <c r="U140" s="57" t="s">
        <v>913</v>
      </c>
    </row>
    <row r="141" spans="2:21" x14ac:dyDescent="0.25">
      <c r="B141" s="16"/>
      <c r="C141" s="16"/>
      <c r="D141" s="16"/>
      <c r="E141" s="16"/>
      <c r="T141" s="57" t="s">
        <v>717</v>
      </c>
      <c r="U141" s="57" t="s">
        <v>913</v>
      </c>
    </row>
    <row r="142" spans="2:21" x14ac:dyDescent="0.25">
      <c r="B142" s="16"/>
      <c r="C142" s="16"/>
      <c r="D142" s="16"/>
      <c r="E142" s="16"/>
      <c r="T142" s="58" t="s">
        <v>95</v>
      </c>
      <c r="U142" s="57" t="s">
        <v>913</v>
      </c>
    </row>
    <row r="143" spans="2:21" x14ac:dyDescent="0.25">
      <c r="B143" s="16"/>
      <c r="C143" s="16"/>
      <c r="D143" s="16"/>
      <c r="E143" s="16"/>
      <c r="T143" s="58" t="s">
        <v>95</v>
      </c>
      <c r="U143" s="57" t="s">
        <v>913</v>
      </c>
    </row>
    <row r="144" spans="2:21" x14ac:dyDescent="0.25">
      <c r="B144" s="16"/>
      <c r="C144" s="16"/>
      <c r="D144" s="16"/>
      <c r="E144" s="16"/>
      <c r="T144" s="58" t="s">
        <v>96</v>
      </c>
      <c r="U144" s="57" t="s">
        <v>913</v>
      </c>
    </row>
    <row r="145" spans="2:21" x14ac:dyDescent="0.25">
      <c r="B145" s="16"/>
      <c r="C145" s="16"/>
      <c r="D145" s="16"/>
      <c r="E145" s="16"/>
      <c r="T145" s="57" t="s">
        <v>718</v>
      </c>
      <c r="U145" s="57" t="s">
        <v>913</v>
      </c>
    </row>
    <row r="146" spans="2:21" x14ac:dyDescent="0.25">
      <c r="B146" s="16"/>
      <c r="C146" s="16"/>
      <c r="D146" s="16"/>
      <c r="E146" s="16"/>
      <c r="T146" s="57" t="s">
        <v>719</v>
      </c>
      <c r="U146" s="57" t="s">
        <v>909</v>
      </c>
    </row>
    <row r="147" spans="2:21" x14ac:dyDescent="0.25">
      <c r="B147" s="16"/>
      <c r="C147" s="16"/>
      <c r="D147" s="16"/>
      <c r="E147" s="16"/>
      <c r="T147" s="57" t="s">
        <v>97</v>
      </c>
      <c r="U147" s="57" t="s">
        <v>909</v>
      </c>
    </row>
    <row r="148" spans="2:21" x14ac:dyDescent="0.25">
      <c r="B148" s="16"/>
      <c r="C148" s="16"/>
      <c r="D148" s="16"/>
      <c r="E148" s="16"/>
      <c r="T148" s="57" t="s">
        <v>720</v>
      </c>
      <c r="U148" s="57" t="s">
        <v>912</v>
      </c>
    </row>
    <row r="149" spans="2:21" x14ac:dyDescent="0.25">
      <c r="B149" s="16"/>
      <c r="C149" s="16"/>
      <c r="D149" s="16"/>
      <c r="E149" s="16"/>
      <c r="T149" s="57" t="s">
        <v>721</v>
      </c>
      <c r="U149" s="57" t="s">
        <v>912</v>
      </c>
    </row>
    <row r="150" spans="2:21" x14ac:dyDescent="0.25">
      <c r="B150" s="16"/>
      <c r="C150" s="16"/>
      <c r="D150" s="16"/>
      <c r="E150" s="16"/>
      <c r="T150" s="57" t="s">
        <v>99</v>
      </c>
      <c r="U150" s="57" t="s">
        <v>909</v>
      </c>
    </row>
    <row r="151" spans="2:21" x14ac:dyDescent="0.25">
      <c r="B151" s="16"/>
      <c r="C151" s="16"/>
      <c r="D151" s="16"/>
      <c r="E151" s="16"/>
      <c r="T151" s="57" t="s">
        <v>99</v>
      </c>
      <c r="U151" s="57" t="s">
        <v>909</v>
      </c>
    </row>
    <row r="152" spans="2:21" x14ac:dyDescent="0.25">
      <c r="B152" s="16"/>
      <c r="C152" s="16"/>
      <c r="D152" s="16"/>
      <c r="E152" s="16"/>
      <c r="T152" s="57" t="s">
        <v>722</v>
      </c>
      <c r="U152" s="57" t="s">
        <v>912</v>
      </c>
    </row>
    <row r="153" spans="2:21" x14ac:dyDescent="0.25">
      <c r="B153" s="16"/>
      <c r="C153" s="16"/>
      <c r="D153" s="16"/>
      <c r="E153" s="16"/>
      <c r="T153" s="57" t="s">
        <v>723</v>
      </c>
      <c r="U153" s="57" t="s">
        <v>908</v>
      </c>
    </row>
    <row r="154" spans="2:21" x14ac:dyDescent="0.25">
      <c r="B154" s="16"/>
      <c r="C154" s="16"/>
      <c r="D154" s="16"/>
      <c r="E154" s="16"/>
      <c r="T154" s="57" t="s">
        <v>121</v>
      </c>
      <c r="U154" s="57" t="s">
        <v>912</v>
      </c>
    </row>
    <row r="155" spans="2:21" x14ac:dyDescent="0.25">
      <c r="B155" s="16"/>
      <c r="C155" s="16"/>
      <c r="D155" s="16"/>
      <c r="E155" s="16"/>
      <c r="T155" s="57" t="s">
        <v>724</v>
      </c>
      <c r="U155" s="57" t="s">
        <v>908</v>
      </c>
    </row>
    <row r="156" spans="2:21" x14ac:dyDescent="0.25">
      <c r="B156" s="16"/>
      <c r="C156" s="16"/>
      <c r="D156" s="16"/>
      <c r="E156" s="16"/>
      <c r="F156" s="54"/>
      <c r="T156" s="58" t="s">
        <v>123</v>
      </c>
      <c r="U156" s="57" t="s">
        <v>908</v>
      </c>
    </row>
    <row r="157" spans="2:21" x14ac:dyDescent="0.25">
      <c r="B157" s="16"/>
      <c r="C157" s="16"/>
      <c r="D157" s="16"/>
      <c r="E157" s="16"/>
      <c r="F157" s="54"/>
      <c r="T157" s="57" t="s">
        <v>125</v>
      </c>
      <c r="U157" s="57" t="s">
        <v>909</v>
      </c>
    </row>
    <row r="158" spans="2:21" x14ac:dyDescent="0.25">
      <c r="B158" s="16"/>
      <c r="C158" s="16"/>
      <c r="D158" s="16"/>
      <c r="E158" s="16"/>
      <c r="T158" s="57" t="s">
        <v>725</v>
      </c>
      <c r="U158" s="57" t="s">
        <v>908</v>
      </c>
    </row>
    <row r="159" spans="2:21" x14ac:dyDescent="0.25">
      <c r="B159" s="16"/>
      <c r="C159" s="16"/>
      <c r="D159" s="16"/>
      <c r="E159" s="16"/>
      <c r="T159" s="57" t="s">
        <v>726</v>
      </c>
      <c r="U159" s="57" t="s">
        <v>912</v>
      </c>
    </row>
    <row r="160" spans="2:21" x14ac:dyDescent="0.25">
      <c r="B160" s="16"/>
      <c r="C160" s="16"/>
      <c r="D160" s="16"/>
      <c r="E160" s="16"/>
      <c r="T160" s="57" t="s">
        <v>727</v>
      </c>
      <c r="U160" s="57" t="s">
        <v>913</v>
      </c>
    </row>
    <row r="161" spans="2:21" x14ac:dyDescent="0.25">
      <c r="B161" s="16"/>
      <c r="C161" s="16"/>
      <c r="D161" s="16"/>
      <c r="E161" s="16"/>
      <c r="T161" s="58" t="s">
        <v>129</v>
      </c>
      <c r="U161" s="57" t="s">
        <v>913</v>
      </c>
    </row>
    <row r="162" spans="2:21" x14ac:dyDescent="0.25">
      <c r="B162" s="16"/>
      <c r="C162" s="16"/>
      <c r="D162" s="16"/>
      <c r="E162" s="16"/>
      <c r="T162" s="57" t="s">
        <v>89</v>
      </c>
      <c r="U162" s="57" t="s">
        <v>909</v>
      </c>
    </row>
    <row r="163" spans="2:21" x14ac:dyDescent="0.25">
      <c r="B163" s="16"/>
      <c r="C163" s="16"/>
      <c r="D163" s="16"/>
      <c r="E163" s="16"/>
      <c r="F163" s="54"/>
      <c r="T163" s="57" t="s">
        <v>728</v>
      </c>
      <c r="U163" s="57" t="s">
        <v>909</v>
      </c>
    </row>
    <row r="164" spans="2:21" x14ac:dyDescent="0.25">
      <c r="B164" s="16"/>
      <c r="C164" s="16"/>
      <c r="D164" s="16"/>
      <c r="E164" s="16"/>
      <c r="F164" s="54"/>
      <c r="T164" s="57" t="s">
        <v>729</v>
      </c>
      <c r="U164" s="57" t="s">
        <v>912</v>
      </c>
    </row>
    <row r="165" spans="2:21" x14ac:dyDescent="0.25">
      <c r="B165" s="16"/>
      <c r="C165" s="16"/>
      <c r="D165" s="16"/>
      <c r="E165" s="16"/>
      <c r="T165" s="57" t="s">
        <v>130</v>
      </c>
      <c r="U165" s="57" t="s">
        <v>908</v>
      </c>
    </row>
    <row r="166" spans="2:21" x14ac:dyDescent="0.25">
      <c r="B166" s="16"/>
      <c r="C166" s="16"/>
      <c r="D166" s="16"/>
      <c r="E166" s="16"/>
      <c r="F166" s="54"/>
      <c r="T166" s="57" t="s">
        <v>730</v>
      </c>
      <c r="U166" s="57" t="s">
        <v>908</v>
      </c>
    </row>
    <row r="167" spans="2:21" x14ac:dyDescent="0.25">
      <c r="B167" s="16"/>
      <c r="C167" s="16"/>
      <c r="D167" s="16"/>
      <c r="E167" s="16"/>
      <c r="F167" s="54"/>
      <c r="T167" s="57" t="s">
        <v>132</v>
      </c>
      <c r="U167" s="57" t="s">
        <v>908</v>
      </c>
    </row>
    <row r="168" spans="2:21" x14ac:dyDescent="0.25">
      <c r="B168" s="16"/>
      <c r="C168" s="16"/>
      <c r="D168" s="16"/>
      <c r="E168" s="16"/>
      <c r="F168" s="54"/>
      <c r="T168" s="57" t="s">
        <v>731</v>
      </c>
      <c r="U168" s="57" t="s">
        <v>909</v>
      </c>
    </row>
    <row r="169" spans="2:21" x14ac:dyDescent="0.25">
      <c r="B169" s="16"/>
      <c r="C169" s="16"/>
      <c r="D169" s="16"/>
      <c r="E169" s="16"/>
      <c r="F169" s="54"/>
      <c r="T169" s="57" t="s">
        <v>133</v>
      </c>
      <c r="U169" s="57" t="s">
        <v>909</v>
      </c>
    </row>
    <row r="170" spans="2:21" x14ac:dyDescent="0.25">
      <c r="B170" s="16"/>
      <c r="C170" s="16"/>
      <c r="D170" s="16"/>
      <c r="E170" s="16"/>
      <c r="F170" s="54"/>
      <c r="T170" s="57" t="s">
        <v>732</v>
      </c>
      <c r="U170" s="57" t="s">
        <v>909</v>
      </c>
    </row>
    <row r="171" spans="2:21" x14ac:dyDescent="0.25">
      <c r="B171" s="16"/>
      <c r="C171" s="16"/>
      <c r="D171" s="16"/>
      <c r="E171" s="16"/>
      <c r="F171" s="54"/>
      <c r="T171" s="58" t="s">
        <v>135</v>
      </c>
      <c r="U171" s="57" t="s">
        <v>914</v>
      </c>
    </row>
    <row r="172" spans="2:21" x14ac:dyDescent="0.25">
      <c r="B172" s="16"/>
      <c r="C172" s="16"/>
      <c r="D172" s="16"/>
      <c r="E172" s="16"/>
      <c r="F172" s="54"/>
      <c r="T172" s="57" t="s">
        <v>733</v>
      </c>
      <c r="U172" s="57" t="s">
        <v>914</v>
      </c>
    </row>
    <row r="173" spans="2:21" x14ac:dyDescent="0.25">
      <c r="B173" s="16"/>
      <c r="C173" s="16"/>
      <c r="D173" s="16"/>
      <c r="E173" s="16"/>
      <c r="F173" s="54"/>
      <c r="T173" s="57" t="s">
        <v>734</v>
      </c>
      <c r="U173" s="57" t="s">
        <v>909</v>
      </c>
    </row>
    <row r="174" spans="2:21" x14ac:dyDescent="0.25">
      <c r="B174" s="16"/>
      <c r="C174" s="16"/>
      <c r="D174" s="16"/>
      <c r="E174" s="16"/>
      <c r="F174" s="54"/>
      <c r="T174" s="57" t="s">
        <v>735</v>
      </c>
      <c r="U174" s="57" t="s">
        <v>908</v>
      </c>
    </row>
    <row r="175" spans="2:21" x14ac:dyDescent="0.25">
      <c r="B175" s="16"/>
      <c r="C175" s="16"/>
      <c r="D175" s="16"/>
      <c r="E175" s="16"/>
      <c r="T175" s="57" t="s">
        <v>736</v>
      </c>
      <c r="U175" s="57" t="s">
        <v>908</v>
      </c>
    </row>
    <row r="176" spans="2:21" x14ac:dyDescent="0.25">
      <c r="B176" s="16"/>
      <c r="C176" s="16"/>
      <c r="D176" s="16"/>
      <c r="E176" s="16"/>
      <c r="F176" s="54"/>
      <c r="T176" s="57" t="s">
        <v>136</v>
      </c>
      <c r="U176" s="57" t="s">
        <v>912</v>
      </c>
    </row>
    <row r="177" spans="2:21" x14ac:dyDescent="0.25">
      <c r="B177" s="16"/>
      <c r="C177" s="16"/>
      <c r="D177" s="16"/>
      <c r="E177" s="16"/>
      <c r="F177" s="54"/>
      <c r="T177" s="57" t="s">
        <v>202</v>
      </c>
      <c r="U177" s="57" t="s">
        <v>912</v>
      </c>
    </row>
    <row r="178" spans="2:21" x14ac:dyDescent="0.25">
      <c r="B178" s="16"/>
      <c r="C178" s="16"/>
      <c r="D178" s="16"/>
      <c r="E178" s="16"/>
      <c r="F178" s="54"/>
      <c r="T178" s="58" t="s">
        <v>138</v>
      </c>
      <c r="U178" s="57" t="s">
        <v>908</v>
      </c>
    </row>
    <row r="179" spans="2:21" x14ac:dyDescent="0.25">
      <c r="B179" s="16"/>
      <c r="C179" s="16"/>
      <c r="D179" s="16"/>
      <c r="E179" s="16"/>
      <c r="F179" s="54"/>
      <c r="T179" s="58" t="s">
        <v>139</v>
      </c>
      <c r="U179" s="57" t="s">
        <v>908</v>
      </c>
    </row>
    <row r="180" spans="2:21" x14ac:dyDescent="0.25">
      <c r="B180" s="16"/>
      <c r="C180" s="16"/>
      <c r="D180" s="16"/>
      <c r="E180" s="16"/>
      <c r="F180" s="54"/>
      <c r="T180" s="57" t="s">
        <v>737</v>
      </c>
      <c r="U180" s="57" t="s">
        <v>910</v>
      </c>
    </row>
    <row r="181" spans="2:21" x14ac:dyDescent="0.25">
      <c r="B181" s="16"/>
      <c r="C181" s="16"/>
      <c r="D181" s="16"/>
      <c r="E181" s="16"/>
      <c r="F181" s="54"/>
      <c r="T181" s="57" t="s">
        <v>141</v>
      </c>
      <c r="U181" s="57" t="s">
        <v>910</v>
      </c>
    </row>
    <row r="182" spans="2:21" x14ac:dyDescent="0.25">
      <c r="B182" s="16"/>
      <c r="C182" s="16"/>
      <c r="D182" s="16"/>
      <c r="E182" s="16"/>
      <c r="F182" s="54"/>
      <c r="T182" s="57" t="s">
        <v>738</v>
      </c>
      <c r="U182" s="57" t="s">
        <v>908</v>
      </c>
    </row>
    <row r="183" spans="2:21" x14ac:dyDescent="0.25">
      <c r="B183" s="16"/>
      <c r="C183" s="16"/>
      <c r="D183" s="16"/>
      <c r="E183" s="16"/>
      <c r="F183" s="54"/>
      <c r="T183" s="57" t="s">
        <v>739</v>
      </c>
      <c r="U183" s="57" t="s">
        <v>908</v>
      </c>
    </row>
    <row r="184" spans="2:21" x14ac:dyDescent="0.25">
      <c r="B184" s="16"/>
      <c r="C184" s="16"/>
      <c r="D184" s="16"/>
      <c r="E184" s="16"/>
      <c r="F184" s="54"/>
      <c r="T184" s="57" t="s">
        <v>740</v>
      </c>
      <c r="U184" s="57" t="s">
        <v>908</v>
      </c>
    </row>
    <row r="185" spans="2:21" x14ac:dyDescent="0.25">
      <c r="B185" s="16"/>
      <c r="C185" s="16"/>
      <c r="D185" s="16"/>
      <c r="E185" s="16"/>
      <c r="F185" s="54"/>
      <c r="T185" s="57" t="s">
        <v>741</v>
      </c>
      <c r="U185" s="57" t="s">
        <v>908</v>
      </c>
    </row>
    <row r="186" spans="2:21" x14ac:dyDescent="0.25">
      <c r="B186" s="16"/>
      <c r="C186" s="16"/>
      <c r="D186" s="16"/>
      <c r="E186" s="16"/>
      <c r="F186" s="54"/>
      <c r="T186" s="57" t="s">
        <v>742</v>
      </c>
      <c r="U186" s="57" t="s">
        <v>908</v>
      </c>
    </row>
    <row r="187" spans="2:21" x14ac:dyDescent="0.25">
      <c r="B187" s="16"/>
      <c r="C187" s="16"/>
      <c r="D187" s="16"/>
      <c r="E187" s="16"/>
      <c r="F187" s="54"/>
      <c r="T187" s="57" t="s">
        <v>743</v>
      </c>
      <c r="U187" s="57" t="s">
        <v>908</v>
      </c>
    </row>
    <row r="188" spans="2:21" x14ac:dyDescent="0.25">
      <c r="B188" s="16"/>
      <c r="C188" s="16"/>
      <c r="D188" s="16"/>
      <c r="E188" s="16"/>
      <c r="F188" s="54"/>
      <c r="T188" s="57" t="s">
        <v>744</v>
      </c>
      <c r="U188" s="57" t="s">
        <v>908</v>
      </c>
    </row>
    <row r="189" spans="2:21" x14ac:dyDescent="0.25">
      <c r="B189" s="16"/>
      <c r="C189" s="16"/>
      <c r="D189" s="16"/>
      <c r="E189" s="16"/>
      <c r="F189" s="54"/>
      <c r="T189" s="57" t="s">
        <v>745</v>
      </c>
      <c r="U189" s="57" t="s">
        <v>909</v>
      </c>
    </row>
    <row r="190" spans="2:21" x14ac:dyDescent="0.25">
      <c r="B190" s="16"/>
      <c r="C190" s="16"/>
      <c r="D190" s="16"/>
      <c r="E190" s="16"/>
      <c r="F190" s="54"/>
      <c r="T190" s="57" t="s">
        <v>746</v>
      </c>
      <c r="U190" s="57" t="s">
        <v>912</v>
      </c>
    </row>
    <row r="191" spans="2:21" x14ac:dyDescent="0.25">
      <c r="B191" s="16"/>
      <c r="C191" s="16"/>
      <c r="D191" s="16"/>
      <c r="E191" s="16"/>
      <c r="F191" s="54"/>
      <c r="T191" s="57" t="s">
        <v>747</v>
      </c>
      <c r="U191" s="57" t="s">
        <v>909</v>
      </c>
    </row>
    <row r="192" spans="2:21" x14ac:dyDescent="0.25">
      <c r="B192" s="16"/>
      <c r="C192" s="16"/>
      <c r="D192" s="16"/>
      <c r="E192" s="16"/>
      <c r="F192" s="54"/>
      <c r="T192" s="57" t="s">
        <v>748</v>
      </c>
      <c r="U192" s="57" t="s">
        <v>908</v>
      </c>
    </row>
    <row r="193" spans="2:21" x14ac:dyDescent="0.25">
      <c r="B193" s="16"/>
      <c r="C193" s="16"/>
      <c r="D193" s="16"/>
      <c r="E193" s="16"/>
      <c r="F193" s="54"/>
      <c r="T193" s="57" t="s">
        <v>749</v>
      </c>
      <c r="U193" s="57" t="s">
        <v>908</v>
      </c>
    </row>
    <row r="194" spans="2:21" x14ac:dyDescent="0.25">
      <c r="B194" s="16"/>
      <c r="C194" s="16"/>
      <c r="D194" s="16"/>
      <c r="E194" s="16"/>
      <c r="F194" s="54"/>
      <c r="T194" s="57" t="s">
        <v>750</v>
      </c>
      <c r="U194" s="57" t="s">
        <v>908</v>
      </c>
    </row>
    <row r="195" spans="2:21" x14ac:dyDescent="0.25">
      <c r="B195" s="16"/>
      <c r="C195" s="16"/>
      <c r="D195" s="16"/>
      <c r="E195" s="16"/>
      <c r="F195" s="54"/>
      <c r="T195" s="57" t="s">
        <v>751</v>
      </c>
      <c r="U195" s="57" t="s">
        <v>912</v>
      </c>
    </row>
    <row r="196" spans="2:21" x14ac:dyDescent="0.25">
      <c r="B196" s="16"/>
      <c r="C196" s="16"/>
      <c r="D196" s="16"/>
      <c r="E196" s="16"/>
      <c r="F196" s="54"/>
      <c r="T196" s="57" t="s">
        <v>752</v>
      </c>
      <c r="U196" s="57" t="s">
        <v>908</v>
      </c>
    </row>
    <row r="197" spans="2:21" x14ac:dyDescent="0.25">
      <c r="B197" s="16"/>
      <c r="C197" s="16"/>
      <c r="D197" s="16"/>
      <c r="E197" s="16"/>
      <c r="F197" s="54"/>
      <c r="T197" s="57" t="s">
        <v>753</v>
      </c>
      <c r="U197" s="57" t="s">
        <v>911</v>
      </c>
    </row>
    <row r="198" spans="2:21" x14ac:dyDescent="0.25">
      <c r="B198" s="16"/>
      <c r="C198" s="16"/>
      <c r="D198" s="16"/>
      <c r="E198" s="16"/>
      <c r="F198" s="54"/>
      <c r="T198" s="57" t="s">
        <v>754</v>
      </c>
      <c r="U198" s="57" t="s">
        <v>912</v>
      </c>
    </row>
    <row r="199" spans="2:21" x14ac:dyDescent="0.25">
      <c r="B199" s="16"/>
      <c r="C199" s="16"/>
      <c r="D199" s="16"/>
      <c r="E199" s="16"/>
      <c r="F199" s="54"/>
      <c r="T199" s="57" t="s">
        <v>755</v>
      </c>
      <c r="U199" s="57" t="s">
        <v>909</v>
      </c>
    </row>
    <row r="200" spans="2:21" x14ac:dyDescent="0.25">
      <c r="B200" s="16"/>
      <c r="C200" s="16"/>
      <c r="D200" s="16"/>
      <c r="E200" s="16"/>
      <c r="F200" s="54"/>
      <c r="T200" s="57" t="s">
        <v>756</v>
      </c>
      <c r="U200" s="57" t="s">
        <v>908</v>
      </c>
    </row>
    <row r="201" spans="2:21" x14ac:dyDescent="0.25">
      <c r="B201" s="16"/>
      <c r="C201" s="16"/>
      <c r="D201" s="16"/>
      <c r="E201" s="16"/>
      <c r="F201" s="54"/>
      <c r="T201" s="57" t="s">
        <v>143</v>
      </c>
      <c r="U201" s="57" t="s">
        <v>908</v>
      </c>
    </row>
    <row r="202" spans="2:21" x14ac:dyDescent="0.25">
      <c r="B202" s="16"/>
      <c r="C202" s="16"/>
      <c r="D202" s="16"/>
      <c r="E202" s="16"/>
      <c r="F202" s="54"/>
      <c r="T202" s="57" t="s">
        <v>757</v>
      </c>
      <c r="U202" s="57" t="s">
        <v>908</v>
      </c>
    </row>
    <row r="203" spans="2:21" x14ac:dyDescent="0.25">
      <c r="B203" s="16"/>
      <c r="C203" s="16"/>
      <c r="D203" s="16"/>
      <c r="E203" s="16"/>
      <c r="F203" s="54"/>
      <c r="T203" s="57" t="s">
        <v>758</v>
      </c>
      <c r="U203" s="57" t="s">
        <v>912</v>
      </c>
    </row>
    <row r="204" spans="2:21" x14ac:dyDescent="0.25">
      <c r="B204" s="16"/>
      <c r="C204" s="16"/>
      <c r="D204" s="16"/>
      <c r="E204" s="16"/>
      <c r="F204" s="54"/>
      <c r="T204" s="57" t="s">
        <v>759</v>
      </c>
      <c r="U204" s="57" t="s">
        <v>915</v>
      </c>
    </row>
    <row r="205" spans="2:21" x14ac:dyDescent="0.25">
      <c r="B205" s="16"/>
      <c r="C205" s="16"/>
      <c r="D205" s="16"/>
      <c r="E205" s="16"/>
      <c r="F205" s="54"/>
      <c r="T205" s="57" t="s">
        <v>145</v>
      </c>
      <c r="U205" s="57" t="s">
        <v>909</v>
      </c>
    </row>
    <row r="206" spans="2:21" x14ac:dyDescent="0.25">
      <c r="B206" s="16"/>
      <c r="C206" s="16"/>
      <c r="D206" s="16"/>
      <c r="E206" s="16"/>
      <c r="F206" s="54"/>
      <c r="T206" s="57" t="s">
        <v>760</v>
      </c>
      <c r="U206" s="57" t="s">
        <v>912</v>
      </c>
    </row>
    <row r="207" spans="2:21" x14ac:dyDescent="0.25">
      <c r="B207" s="16"/>
      <c r="C207" s="16"/>
      <c r="D207" s="16"/>
      <c r="E207" s="16"/>
      <c r="F207" s="54"/>
      <c r="T207" s="57" t="s">
        <v>761</v>
      </c>
      <c r="U207" s="57" t="s">
        <v>908</v>
      </c>
    </row>
    <row r="208" spans="2:21" x14ac:dyDescent="0.25">
      <c r="B208" s="16"/>
      <c r="C208" s="16"/>
      <c r="D208" s="16"/>
      <c r="E208" s="16"/>
      <c r="F208" s="54"/>
      <c r="T208" s="57" t="s">
        <v>761</v>
      </c>
      <c r="U208" s="57" t="s">
        <v>908</v>
      </c>
    </row>
    <row r="209" spans="2:21" x14ac:dyDescent="0.25">
      <c r="B209" s="16"/>
      <c r="C209" s="16"/>
      <c r="D209" s="16"/>
      <c r="E209" s="16"/>
      <c r="F209" s="54"/>
      <c r="T209" s="57" t="s">
        <v>762</v>
      </c>
      <c r="U209" s="57" t="s">
        <v>908</v>
      </c>
    </row>
    <row r="210" spans="2:21" x14ac:dyDescent="0.25">
      <c r="B210" s="16"/>
      <c r="C210" s="16"/>
      <c r="D210" s="16"/>
      <c r="E210" s="16"/>
      <c r="F210" s="54"/>
      <c r="T210" s="58" t="s">
        <v>146</v>
      </c>
      <c r="U210" s="57" t="s">
        <v>910</v>
      </c>
    </row>
    <row r="211" spans="2:21" x14ac:dyDescent="0.25">
      <c r="B211" s="16"/>
      <c r="C211" s="16"/>
      <c r="D211" s="16"/>
      <c r="E211" s="16"/>
      <c r="F211" s="54"/>
      <c r="T211" s="57" t="s">
        <v>763</v>
      </c>
      <c r="U211" s="57" t="s">
        <v>910</v>
      </c>
    </row>
    <row r="212" spans="2:21" x14ac:dyDescent="0.25">
      <c r="B212" s="16"/>
      <c r="C212" s="16"/>
      <c r="D212" s="16"/>
      <c r="E212" s="16"/>
      <c r="F212" s="54"/>
      <c r="T212" s="57" t="s">
        <v>147</v>
      </c>
      <c r="U212" s="57" t="s">
        <v>909</v>
      </c>
    </row>
    <row r="213" spans="2:21" x14ac:dyDescent="0.25">
      <c r="B213" s="16"/>
      <c r="C213" s="16"/>
      <c r="D213" s="16"/>
      <c r="E213" s="16"/>
      <c r="F213" s="54"/>
      <c r="T213" s="57" t="s">
        <v>764</v>
      </c>
      <c r="U213" s="57" t="s">
        <v>912</v>
      </c>
    </row>
    <row r="214" spans="2:21" x14ac:dyDescent="0.25">
      <c r="B214" s="16"/>
      <c r="C214" s="16"/>
      <c r="D214" s="16"/>
      <c r="E214" s="16"/>
      <c r="F214" s="54"/>
      <c r="T214" s="57" t="s">
        <v>155</v>
      </c>
      <c r="U214" s="57" t="s">
        <v>912</v>
      </c>
    </row>
    <row r="215" spans="2:21" x14ac:dyDescent="0.25">
      <c r="B215" s="16"/>
      <c r="C215" s="16"/>
      <c r="D215" s="16"/>
      <c r="E215" s="16"/>
      <c r="F215" s="54"/>
      <c r="T215" s="57" t="s">
        <v>765</v>
      </c>
      <c r="U215" s="57" t="s">
        <v>909</v>
      </c>
    </row>
    <row r="216" spans="2:21" x14ac:dyDescent="0.25">
      <c r="B216" s="16"/>
      <c r="C216" s="16"/>
      <c r="D216" s="16"/>
      <c r="E216" s="16"/>
      <c r="F216" s="54"/>
      <c r="T216" s="57" t="s">
        <v>156</v>
      </c>
      <c r="U216" s="57" t="s">
        <v>909</v>
      </c>
    </row>
    <row r="217" spans="2:21" x14ac:dyDescent="0.25">
      <c r="B217" s="16"/>
      <c r="C217" s="16"/>
      <c r="D217" s="16"/>
      <c r="E217" s="16"/>
      <c r="F217" s="54"/>
      <c r="T217" s="57" t="s">
        <v>766</v>
      </c>
      <c r="U217" s="57" t="s">
        <v>912</v>
      </c>
    </row>
    <row r="218" spans="2:21" x14ac:dyDescent="0.25">
      <c r="B218" s="16"/>
      <c r="C218" s="16"/>
      <c r="D218" s="16"/>
      <c r="E218" s="16"/>
      <c r="F218" s="54"/>
      <c r="T218" s="57" t="s">
        <v>157</v>
      </c>
      <c r="U218" s="57" t="s">
        <v>909</v>
      </c>
    </row>
    <row r="219" spans="2:21" x14ac:dyDescent="0.25">
      <c r="B219" s="16"/>
      <c r="C219" s="16"/>
      <c r="D219" s="16"/>
      <c r="E219" s="16"/>
      <c r="F219" s="54"/>
      <c r="T219" s="57" t="s">
        <v>767</v>
      </c>
      <c r="U219" s="57" t="s">
        <v>912</v>
      </c>
    </row>
    <row r="220" spans="2:21" x14ac:dyDescent="0.25">
      <c r="B220" s="16"/>
      <c r="C220" s="16"/>
      <c r="D220" s="16"/>
      <c r="E220" s="16"/>
      <c r="F220" s="54"/>
      <c r="T220" s="57" t="s">
        <v>767</v>
      </c>
      <c r="U220" s="57" t="s">
        <v>912</v>
      </c>
    </row>
    <row r="221" spans="2:21" x14ac:dyDescent="0.25">
      <c r="B221" s="16"/>
      <c r="C221" s="16"/>
      <c r="D221" s="16"/>
      <c r="E221" s="16"/>
      <c r="F221" s="54"/>
      <c r="T221" s="58" t="s">
        <v>159</v>
      </c>
      <c r="U221" s="57" t="s">
        <v>909</v>
      </c>
    </row>
    <row r="222" spans="2:21" x14ac:dyDescent="0.25">
      <c r="B222" s="16"/>
      <c r="C222" s="16"/>
      <c r="D222" s="16"/>
      <c r="E222" s="16"/>
      <c r="F222" s="54"/>
      <c r="T222" s="57" t="s">
        <v>768</v>
      </c>
      <c r="U222" s="57" t="s">
        <v>916</v>
      </c>
    </row>
    <row r="223" spans="2:21" x14ac:dyDescent="0.25">
      <c r="B223" s="16"/>
      <c r="C223" s="16"/>
      <c r="D223" s="16"/>
      <c r="E223" s="16"/>
      <c r="F223" s="54"/>
      <c r="T223" s="57" t="s">
        <v>769</v>
      </c>
      <c r="U223" s="57" t="s">
        <v>913</v>
      </c>
    </row>
    <row r="224" spans="2:21" x14ac:dyDescent="0.25">
      <c r="B224" s="16"/>
      <c r="C224" s="16"/>
      <c r="D224" s="16"/>
      <c r="E224" s="16"/>
      <c r="F224" s="54"/>
      <c r="T224" s="57" t="s">
        <v>769</v>
      </c>
      <c r="U224" s="57" t="s">
        <v>913</v>
      </c>
    </row>
    <row r="225" spans="2:21" x14ac:dyDescent="0.25">
      <c r="B225" s="16"/>
      <c r="C225" s="16"/>
      <c r="D225" s="16"/>
      <c r="E225" s="16"/>
      <c r="F225" s="54"/>
      <c r="T225" s="57" t="s">
        <v>164</v>
      </c>
      <c r="U225" s="57" t="s">
        <v>913</v>
      </c>
    </row>
    <row r="226" spans="2:21" x14ac:dyDescent="0.25">
      <c r="B226" s="16"/>
      <c r="C226" s="16"/>
      <c r="D226" s="16"/>
      <c r="E226" s="16"/>
      <c r="F226" s="54"/>
      <c r="T226" s="57" t="s">
        <v>164</v>
      </c>
      <c r="U226" s="57" t="s">
        <v>913</v>
      </c>
    </row>
    <row r="227" spans="2:21" x14ac:dyDescent="0.25">
      <c r="B227" s="16"/>
      <c r="C227" s="16"/>
      <c r="D227" s="16"/>
      <c r="E227" s="16"/>
      <c r="F227" s="54"/>
      <c r="T227" s="57" t="s">
        <v>770</v>
      </c>
      <c r="U227" s="57" t="s">
        <v>916</v>
      </c>
    </row>
    <row r="228" spans="2:21" x14ac:dyDescent="0.25">
      <c r="B228" s="16"/>
      <c r="C228" s="16"/>
      <c r="D228" s="16"/>
      <c r="E228" s="16"/>
      <c r="F228" s="54"/>
      <c r="T228" s="57" t="s">
        <v>190</v>
      </c>
      <c r="U228" s="57" t="s">
        <v>912</v>
      </c>
    </row>
    <row r="229" spans="2:21" x14ac:dyDescent="0.25">
      <c r="B229" s="16"/>
      <c r="C229" s="16"/>
      <c r="D229" s="16"/>
      <c r="E229" s="16"/>
      <c r="F229" s="54"/>
      <c r="T229" s="57" t="s">
        <v>771</v>
      </c>
      <c r="U229" s="57" t="s">
        <v>909</v>
      </c>
    </row>
    <row r="230" spans="2:21" x14ac:dyDescent="0.25">
      <c r="B230" s="16"/>
      <c r="C230" s="16"/>
      <c r="D230" s="16"/>
      <c r="E230" s="16"/>
      <c r="F230" s="54"/>
      <c r="T230" s="58" t="s">
        <v>166</v>
      </c>
      <c r="U230" s="57" t="s">
        <v>909</v>
      </c>
    </row>
    <row r="231" spans="2:21" x14ac:dyDescent="0.25">
      <c r="B231" s="16"/>
      <c r="C231" s="16"/>
      <c r="D231" s="16"/>
      <c r="E231" s="16"/>
      <c r="F231" s="54"/>
      <c r="T231" s="57" t="s">
        <v>772</v>
      </c>
      <c r="U231" s="57" t="s">
        <v>912</v>
      </c>
    </row>
    <row r="232" spans="2:21" x14ac:dyDescent="0.25">
      <c r="B232" s="16"/>
      <c r="C232" s="16"/>
      <c r="D232" s="16"/>
      <c r="E232" s="16"/>
      <c r="F232" s="54"/>
      <c r="T232" s="57" t="s">
        <v>773</v>
      </c>
      <c r="U232" s="57" t="s">
        <v>909</v>
      </c>
    </row>
    <row r="233" spans="2:21" x14ac:dyDescent="0.25">
      <c r="B233" s="16"/>
      <c r="C233" s="16"/>
      <c r="D233" s="16"/>
      <c r="E233" s="16"/>
      <c r="F233" s="54"/>
      <c r="T233" s="58" t="s">
        <v>175</v>
      </c>
      <c r="U233" s="57" t="s">
        <v>909</v>
      </c>
    </row>
    <row r="234" spans="2:21" x14ac:dyDescent="0.25">
      <c r="B234" s="16"/>
      <c r="C234" s="16"/>
      <c r="D234" s="16"/>
      <c r="E234" s="16"/>
      <c r="F234" s="54"/>
      <c r="T234" s="57" t="s">
        <v>774</v>
      </c>
      <c r="U234" s="57" t="s">
        <v>911</v>
      </c>
    </row>
    <row r="235" spans="2:21" x14ac:dyDescent="0.25">
      <c r="B235" s="16"/>
      <c r="C235" s="16"/>
      <c r="D235" s="16"/>
      <c r="E235" s="16"/>
      <c r="F235" s="54"/>
      <c r="T235" s="57" t="s">
        <v>775</v>
      </c>
      <c r="U235" s="57" t="s">
        <v>909</v>
      </c>
    </row>
    <row r="236" spans="2:21" x14ac:dyDescent="0.25">
      <c r="B236" s="16"/>
      <c r="C236" s="16"/>
      <c r="D236" s="16"/>
      <c r="E236" s="16"/>
      <c r="T236" s="57" t="s">
        <v>197</v>
      </c>
      <c r="U236" s="57" t="s">
        <v>909</v>
      </c>
    </row>
    <row r="237" spans="2:21" x14ac:dyDescent="0.25">
      <c r="B237" s="16"/>
      <c r="C237" s="16"/>
      <c r="D237" s="16"/>
      <c r="E237" s="16"/>
      <c r="F237" s="54"/>
      <c r="T237" s="57" t="s">
        <v>776</v>
      </c>
      <c r="U237" s="57" t="s">
        <v>908</v>
      </c>
    </row>
    <row r="238" spans="2:21" x14ac:dyDescent="0.25">
      <c r="B238" s="16"/>
      <c r="C238" s="16"/>
      <c r="D238" s="16"/>
      <c r="E238" s="16"/>
      <c r="F238" s="54"/>
      <c r="T238" s="57" t="s">
        <v>777</v>
      </c>
      <c r="U238" s="57" t="s">
        <v>910</v>
      </c>
    </row>
    <row r="239" spans="2:21" x14ac:dyDescent="0.25">
      <c r="B239" s="16"/>
      <c r="C239" s="16"/>
      <c r="D239" s="16"/>
      <c r="E239" s="16"/>
      <c r="F239" s="54"/>
      <c r="T239" s="57" t="s">
        <v>167</v>
      </c>
      <c r="U239" s="57" t="s">
        <v>912</v>
      </c>
    </row>
    <row r="240" spans="2:21" x14ac:dyDescent="0.25">
      <c r="B240" s="16"/>
      <c r="C240" s="16"/>
      <c r="D240" s="16"/>
      <c r="E240" s="16"/>
      <c r="F240" s="54"/>
      <c r="T240" s="57" t="s">
        <v>778</v>
      </c>
      <c r="U240" s="57" t="s">
        <v>909</v>
      </c>
    </row>
    <row r="241" spans="2:21" x14ac:dyDescent="0.25">
      <c r="B241" s="16"/>
      <c r="C241" s="16"/>
      <c r="D241" s="16"/>
      <c r="E241" s="16"/>
      <c r="F241" s="54"/>
      <c r="T241" s="57" t="s">
        <v>779</v>
      </c>
      <c r="U241" s="57" t="s">
        <v>912</v>
      </c>
    </row>
    <row r="242" spans="2:21" x14ac:dyDescent="0.25">
      <c r="B242" s="16"/>
      <c r="C242" s="16"/>
      <c r="D242" s="16"/>
      <c r="E242" s="16"/>
      <c r="F242" s="54"/>
      <c r="T242" s="57" t="s">
        <v>780</v>
      </c>
      <c r="U242" s="57" t="s">
        <v>908</v>
      </c>
    </row>
    <row r="243" spans="2:21" x14ac:dyDescent="0.25">
      <c r="B243" s="16"/>
      <c r="C243" s="16"/>
      <c r="D243" s="16"/>
      <c r="E243" s="16"/>
      <c r="F243" s="54"/>
      <c r="T243" s="57" t="s">
        <v>781</v>
      </c>
      <c r="U243" s="57" t="s">
        <v>910</v>
      </c>
    </row>
    <row r="244" spans="2:21" x14ac:dyDescent="0.25">
      <c r="B244" s="16"/>
      <c r="C244" s="16"/>
      <c r="D244" s="16"/>
      <c r="E244" s="16"/>
      <c r="F244" s="54"/>
      <c r="T244" s="57" t="s">
        <v>782</v>
      </c>
      <c r="U244" s="57" t="s">
        <v>908</v>
      </c>
    </row>
    <row r="245" spans="2:21" x14ac:dyDescent="0.25">
      <c r="B245" s="16"/>
      <c r="C245" s="16"/>
      <c r="D245" s="16"/>
      <c r="E245" s="16"/>
      <c r="F245" s="54"/>
      <c r="T245" s="57" t="s">
        <v>783</v>
      </c>
      <c r="U245" s="57" t="s">
        <v>909</v>
      </c>
    </row>
    <row r="246" spans="2:21" x14ac:dyDescent="0.25">
      <c r="B246" s="16"/>
      <c r="C246" s="16"/>
      <c r="D246" s="16"/>
      <c r="E246" s="16"/>
      <c r="F246" s="54"/>
      <c r="T246" s="57" t="s">
        <v>178</v>
      </c>
      <c r="U246" s="57" t="s">
        <v>912</v>
      </c>
    </row>
    <row r="247" spans="2:21" x14ac:dyDescent="0.25">
      <c r="B247" s="16"/>
      <c r="C247" s="16"/>
      <c r="D247" s="16"/>
      <c r="E247" s="16"/>
      <c r="F247" s="54"/>
      <c r="T247" s="58" t="s">
        <v>189</v>
      </c>
      <c r="U247" s="57" t="s">
        <v>908</v>
      </c>
    </row>
    <row r="248" spans="2:21" x14ac:dyDescent="0.25">
      <c r="B248" s="16"/>
      <c r="C248" s="16"/>
      <c r="D248" s="16"/>
      <c r="E248" s="16"/>
      <c r="F248" s="54"/>
      <c r="T248" s="57" t="s">
        <v>168</v>
      </c>
      <c r="U248" s="57" t="s">
        <v>912</v>
      </c>
    </row>
    <row r="249" spans="2:21" x14ac:dyDescent="0.25">
      <c r="B249" s="16"/>
      <c r="C249" s="16"/>
      <c r="D249" s="16"/>
      <c r="E249" s="16"/>
      <c r="T249" s="57" t="s">
        <v>784</v>
      </c>
      <c r="U249" s="57" t="s">
        <v>909</v>
      </c>
    </row>
    <row r="250" spans="2:21" x14ac:dyDescent="0.25">
      <c r="B250" s="16"/>
      <c r="C250" s="16"/>
      <c r="D250" s="16"/>
      <c r="E250" s="16"/>
      <c r="T250" s="57" t="s">
        <v>785</v>
      </c>
      <c r="U250" s="57" t="s">
        <v>908</v>
      </c>
    </row>
    <row r="251" spans="2:21" x14ac:dyDescent="0.25">
      <c r="B251" s="16"/>
      <c r="C251" s="16"/>
      <c r="D251" s="16"/>
      <c r="E251" s="16"/>
      <c r="F251" s="54"/>
      <c r="T251" s="57" t="s">
        <v>786</v>
      </c>
      <c r="U251" s="57" t="s">
        <v>908</v>
      </c>
    </row>
    <row r="252" spans="2:21" x14ac:dyDescent="0.25">
      <c r="B252" s="16"/>
      <c r="C252" s="16"/>
      <c r="D252" s="16"/>
      <c r="E252" s="16"/>
      <c r="F252" s="54"/>
      <c r="T252" s="57" t="s">
        <v>787</v>
      </c>
      <c r="U252" s="57" t="s">
        <v>908</v>
      </c>
    </row>
    <row r="253" spans="2:21" x14ac:dyDescent="0.25">
      <c r="B253" s="16"/>
      <c r="C253" s="16"/>
      <c r="D253" s="16"/>
      <c r="E253" s="16"/>
      <c r="F253" s="54"/>
      <c r="T253" s="57" t="s">
        <v>788</v>
      </c>
      <c r="U253" s="57" t="s">
        <v>909</v>
      </c>
    </row>
    <row r="254" spans="2:21" x14ac:dyDescent="0.25">
      <c r="B254" s="16"/>
      <c r="C254" s="16"/>
      <c r="D254" s="16"/>
      <c r="E254" s="16"/>
      <c r="T254" s="57" t="s">
        <v>789</v>
      </c>
      <c r="U254" s="57" t="s">
        <v>908</v>
      </c>
    </row>
    <row r="255" spans="2:21" x14ac:dyDescent="0.25">
      <c r="B255" s="16"/>
      <c r="C255" s="16"/>
      <c r="D255" s="16"/>
      <c r="E255" s="16"/>
      <c r="F255" s="54"/>
      <c r="T255" s="57" t="s">
        <v>790</v>
      </c>
      <c r="U255" s="57" t="s">
        <v>910</v>
      </c>
    </row>
    <row r="256" spans="2:21" x14ac:dyDescent="0.25">
      <c r="B256" s="16"/>
      <c r="C256" s="16"/>
      <c r="D256" s="16"/>
      <c r="E256" s="16"/>
      <c r="F256" s="54"/>
      <c r="T256" s="57" t="s">
        <v>172</v>
      </c>
      <c r="U256" s="57" t="s">
        <v>910</v>
      </c>
    </row>
    <row r="257" spans="2:21" x14ac:dyDescent="0.25">
      <c r="B257" s="16"/>
      <c r="C257" s="16"/>
      <c r="D257" s="16"/>
      <c r="E257" s="16"/>
      <c r="F257" s="54"/>
      <c r="T257" s="57" t="s">
        <v>791</v>
      </c>
      <c r="U257" s="57" t="s">
        <v>917</v>
      </c>
    </row>
    <row r="258" spans="2:21" x14ac:dyDescent="0.25">
      <c r="B258" s="16"/>
      <c r="C258" s="16"/>
      <c r="D258" s="16"/>
      <c r="E258" s="16"/>
      <c r="T258" s="57" t="s">
        <v>792</v>
      </c>
      <c r="U258" s="57" t="s">
        <v>917</v>
      </c>
    </row>
    <row r="259" spans="2:21" x14ac:dyDescent="0.25">
      <c r="B259" s="16"/>
      <c r="C259" s="16"/>
      <c r="D259" s="16"/>
      <c r="E259" s="16"/>
      <c r="T259" s="57" t="s">
        <v>793</v>
      </c>
      <c r="U259" s="57" t="s">
        <v>909</v>
      </c>
    </row>
    <row r="260" spans="2:21" x14ac:dyDescent="0.25">
      <c r="B260" s="16"/>
      <c r="C260" s="16"/>
      <c r="D260" s="16"/>
      <c r="E260" s="16"/>
      <c r="T260" s="57" t="s">
        <v>173</v>
      </c>
      <c r="U260" s="57" t="s">
        <v>909</v>
      </c>
    </row>
    <row r="261" spans="2:21" x14ac:dyDescent="0.25">
      <c r="B261" s="16"/>
      <c r="C261" s="16"/>
      <c r="D261" s="16"/>
      <c r="E261" s="16"/>
      <c r="T261" s="58" t="s">
        <v>187</v>
      </c>
      <c r="U261" s="57" t="s">
        <v>909</v>
      </c>
    </row>
    <row r="262" spans="2:21" x14ac:dyDescent="0.25">
      <c r="B262" s="16"/>
      <c r="C262" s="16"/>
      <c r="D262" s="16"/>
      <c r="E262" s="16"/>
      <c r="F262" s="54"/>
      <c r="T262" s="57" t="s">
        <v>794</v>
      </c>
      <c r="U262" s="57" t="s">
        <v>909</v>
      </c>
    </row>
    <row r="263" spans="2:21" x14ac:dyDescent="0.25">
      <c r="B263" s="16"/>
      <c r="C263" s="16"/>
      <c r="D263" s="16"/>
      <c r="E263" s="16"/>
      <c r="T263" s="57" t="s">
        <v>183</v>
      </c>
      <c r="U263" s="57" t="s">
        <v>910</v>
      </c>
    </row>
    <row r="264" spans="2:21" x14ac:dyDescent="0.25">
      <c r="B264" s="16"/>
      <c r="C264" s="16"/>
      <c r="D264" s="16"/>
      <c r="E264" s="16"/>
      <c r="T264" s="57" t="s">
        <v>795</v>
      </c>
      <c r="U264" s="57" t="s">
        <v>908</v>
      </c>
    </row>
    <row r="265" spans="2:21" x14ac:dyDescent="0.25">
      <c r="B265" s="16"/>
      <c r="C265" s="16"/>
      <c r="D265" s="16"/>
      <c r="E265" s="16"/>
      <c r="F265" s="54"/>
      <c r="T265" s="57" t="s">
        <v>796</v>
      </c>
      <c r="U265" s="57" t="s">
        <v>910</v>
      </c>
    </row>
    <row r="266" spans="2:21" x14ac:dyDescent="0.25">
      <c r="B266" s="16"/>
      <c r="C266" s="16"/>
      <c r="D266" s="16"/>
      <c r="E266" s="16"/>
      <c r="F266" s="54"/>
      <c r="T266" s="57" t="s">
        <v>797</v>
      </c>
      <c r="U266" s="57" t="s">
        <v>910</v>
      </c>
    </row>
    <row r="267" spans="2:21" x14ac:dyDescent="0.25">
      <c r="B267" s="16"/>
      <c r="C267" s="16"/>
      <c r="D267" s="16"/>
      <c r="E267" s="16"/>
      <c r="F267" s="54"/>
      <c r="T267" s="57" t="s">
        <v>798</v>
      </c>
      <c r="U267" s="57" t="s">
        <v>908</v>
      </c>
    </row>
    <row r="268" spans="2:21" x14ac:dyDescent="0.25">
      <c r="B268" s="16"/>
      <c r="C268" s="16"/>
      <c r="D268" s="16"/>
      <c r="E268" s="16"/>
      <c r="F268" s="54"/>
      <c r="T268" s="58" t="s">
        <v>185</v>
      </c>
      <c r="U268" s="57" t="s">
        <v>910</v>
      </c>
    </row>
    <row r="269" spans="2:21" x14ac:dyDescent="0.25">
      <c r="B269" s="16"/>
      <c r="C269" s="16"/>
      <c r="D269" s="16"/>
      <c r="E269" s="16"/>
      <c r="F269" s="54"/>
      <c r="T269" s="57" t="s">
        <v>799</v>
      </c>
      <c r="U269" s="57" t="s">
        <v>910</v>
      </c>
    </row>
    <row r="270" spans="2:21" x14ac:dyDescent="0.25">
      <c r="B270" s="16"/>
      <c r="C270" s="16"/>
      <c r="D270" s="16"/>
      <c r="E270" s="16"/>
      <c r="F270" s="54"/>
      <c r="T270" s="57" t="s">
        <v>800</v>
      </c>
      <c r="U270" s="57" t="s">
        <v>910</v>
      </c>
    </row>
    <row r="271" spans="2:21" x14ac:dyDescent="0.25">
      <c r="B271" s="16"/>
      <c r="C271" s="16"/>
      <c r="D271" s="16"/>
      <c r="E271" s="16"/>
      <c r="F271" s="54"/>
      <c r="T271" s="57" t="s">
        <v>800</v>
      </c>
      <c r="U271" s="57" t="s">
        <v>910</v>
      </c>
    </row>
    <row r="272" spans="2:21" x14ac:dyDescent="0.25">
      <c r="B272" s="16"/>
      <c r="C272" s="16"/>
      <c r="D272" s="16"/>
      <c r="E272" s="16"/>
      <c r="F272" s="54"/>
      <c r="T272" s="57" t="s">
        <v>801</v>
      </c>
      <c r="U272" s="57" t="s">
        <v>908</v>
      </c>
    </row>
    <row r="273" spans="2:21" x14ac:dyDescent="0.25">
      <c r="B273" s="16"/>
      <c r="C273" s="16"/>
      <c r="D273" s="16"/>
      <c r="E273" s="16"/>
      <c r="F273" s="54"/>
      <c r="T273" s="57" t="s">
        <v>802</v>
      </c>
      <c r="U273" s="57" t="s">
        <v>913</v>
      </c>
    </row>
    <row r="274" spans="2:21" x14ac:dyDescent="0.25">
      <c r="B274" s="16"/>
      <c r="C274" s="16"/>
      <c r="D274" s="16"/>
      <c r="E274" s="16"/>
      <c r="F274" s="54"/>
      <c r="T274" s="57" t="s">
        <v>195</v>
      </c>
      <c r="U274" s="57" t="s">
        <v>913</v>
      </c>
    </row>
    <row r="275" spans="2:21" x14ac:dyDescent="0.25">
      <c r="B275" s="16"/>
      <c r="C275" s="16"/>
      <c r="D275" s="16"/>
      <c r="E275" s="16"/>
      <c r="F275" s="54"/>
      <c r="T275" s="57" t="s">
        <v>803</v>
      </c>
      <c r="U275" s="57" t="s">
        <v>908</v>
      </c>
    </row>
    <row r="276" spans="2:21" x14ac:dyDescent="0.25">
      <c r="B276" s="16"/>
      <c r="C276" s="16"/>
      <c r="D276" s="16"/>
      <c r="E276" s="16"/>
      <c r="F276" s="54"/>
      <c r="T276" s="57" t="s">
        <v>804</v>
      </c>
      <c r="U276" s="57" t="s">
        <v>915</v>
      </c>
    </row>
    <row r="277" spans="2:21" x14ac:dyDescent="0.25">
      <c r="B277" s="16"/>
      <c r="C277" s="16"/>
      <c r="D277" s="16"/>
      <c r="E277" s="16"/>
      <c r="F277" s="54"/>
      <c r="T277" s="57" t="s">
        <v>805</v>
      </c>
      <c r="U277" s="57" t="s">
        <v>913</v>
      </c>
    </row>
    <row r="278" spans="2:21" x14ac:dyDescent="0.25">
      <c r="B278" s="16"/>
      <c r="C278" s="16"/>
      <c r="D278" s="16"/>
      <c r="E278" s="16"/>
      <c r="F278" s="54"/>
      <c r="T278" s="57" t="s">
        <v>806</v>
      </c>
      <c r="U278" s="57" t="s">
        <v>909</v>
      </c>
    </row>
    <row r="279" spans="2:21" x14ac:dyDescent="0.25">
      <c r="B279" s="16"/>
      <c r="C279" s="16"/>
      <c r="D279" s="16"/>
      <c r="E279" s="16"/>
      <c r="T279" s="57" t="s">
        <v>807</v>
      </c>
      <c r="U279" s="57" t="s">
        <v>910</v>
      </c>
    </row>
    <row r="280" spans="2:21" x14ac:dyDescent="0.25">
      <c r="B280" s="16"/>
      <c r="C280" s="16"/>
      <c r="D280" s="16"/>
      <c r="E280" s="16"/>
      <c r="T280" s="58" t="s">
        <v>191</v>
      </c>
      <c r="U280" s="57" t="s">
        <v>909</v>
      </c>
    </row>
    <row r="281" spans="2:21" x14ac:dyDescent="0.25">
      <c r="B281" s="16"/>
      <c r="C281" s="16"/>
      <c r="D281" s="16"/>
      <c r="E281" s="16"/>
      <c r="T281" s="57" t="s">
        <v>199</v>
      </c>
      <c r="U281" s="57" t="s">
        <v>911</v>
      </c>
    </row>
    <row r="282" spans="2:21" x14ac:dyDescent="0.25">
      <c r="B282" s="16"/>
      <c r="C282" s="16"/>
      <c r="D282" s="16"/>
      <c r="E282" s="16"/>
      <c r="T282" s="57" t="s">
        <v>808</v>
      </c>
      <c r="U282" s="57" t="s">
        <v>917</v>
      </c>
    </row>
    <row r="283" spans="2:21" x14ac:dyDescent="0.25">
      <c r="B283" s="16"/>
      <c r="C283" s="16"/>
      <c r="D283" s="16"/>
      <c r="E283" s="16"/>
      <c r="F283" s="54"/>
      <c r="T283" s="57" t="s">
        <v>809</v>
      </c>
      <c r="U283" s="57" t="s">
        <v>908</v>
      </c>
    </row>
    <row r="284" spans="2:21" x14ac:dyDescent="0.25">
      <c r="B284" s="16"/>
      <c r="C284" s="16"/>
      <c r="D284" s="16"/>
      <c r="E284" s="16"/>
      <c r="T284" s="57" t="s">
        <v>810</v>
      </c>
      <c r="U284" s="57" t="s">
        <v>908</v>
      </c>
    </row>
    <row r="285" spans="2:21" x14ac:dyDescent="0.25">
      <c r="B285" s="16"/>
      <c r="C285" s="16"/>
      <c r="D285" s="16"/>
      <c r="E285" s="16"/>
      <c r="F285" s="54"/>
      <c r="T285" s="57" t="s">
        <v>177</v>
      </c>
      <c r="U285" s="57" t="s">
        <v>909</v>
      </c>
    </row>
    <row r="286" spans="2:21" x14ac:dyDescent="0.25">
      <c r="B286" s="16"/>
      <c r="C286" s="16"/>
      <c r="D286" s="16"/>
      <c r="E286" s="16"/>
      <c r="F286" s="54"/>
      <c r="T286" s="57" t="s">
        <v>811</v>
      </c>
      <c r="U286" s="57" t="s">
        <v>908</v>
      </c>
    </row>
    <row r="287" spans="2:21" x14ac:dyDescent="0.25">
      <c r="B287" s="16"/>
      <c r="C287" s="16"/>
      <c r="D287" s="16"/>
      <c r="E287" s="16"/>
      <c r="F287" s="54"/>
      <c r="T287" s="57" t="s">
        <v>812</v>
      </c>
      <c r="U287" s="57" t="s">
        <v>908</v>
      </c>
    </row>
    <row r="288" spans="2:21" x14ac:dyDescent="0.25">
      <c r="B288" s="16"/>
      <c r="C288" s="16"/>
      <c r="D288" s="16"/>
      <c r="E288" s="16"/>
      <c r="F288" s="54"/>
      <c r="T288" s="57" t="s">
        <v>813</v>
      </c>
      <c r="U288" s="57" t="s">
        <v>908</v>
      </c>
    </row>
    <row r="289" spans="2:21" x14ac:dyDescent="0.25">
      <c r="B289" s="16"/>
      <c r="C289" s="16"/>
      <c r="D289" s="16"/>
      <c r="E289" s="16"/>
      <c r="F289" s="54"/>
      <c r="T289" s="57" t="s">
        <v>814</v>
      </c>
      <c r="U289" s="57" t="s">
        <v>908</v>
      </c>
    </row>
    <row r="290" spans="2:21" x14ac:dyDescent="0.25">
      <c r="B290" s="16"/>
      <c r="C290" s="16"/>
      <c r="D290" s="16"/>
      <c r="E290" s="16"/>
      <c r="T290" s="58" t="s">
        <v>193</v>
      </c>
      <c r="U290" s="57" t="s">
        <v>909</v>
      </c>
    </row>
    <row r="291" spans="2:21" x14ac:dyDescent="0.25">
      <c r="B291" s="16"/>
      <c r="C291" s="16"/>
      <c r="D291" s="16"/>
      <c r="E291" s="16"/>
      <c r="F291" s="54"/>
      <c r="T291" s="57" t="s">
        <v>815</v>
      </c>
      <c r="U291" s="57" t="s">
        <v>908</v>
      </c>
    </row>
    <row r="292" spans="2:21" x14ac:dyDescent="0.25">
      <c r="B292" s="16"/>
      <c r="C292" s="16"/>
      <c r="D292" s="16"/>
      <c r="E292" s="16"/>
      <c r="F292" s="54"/>
      <c r="T292" s="57" t="s">
        <v>816</v>
      </c>
      <c r="U292" s="57" t="s">
        <v>908</v>
      </c>
    </row>
    <row r="293" spans="2:21" x14ac:dyDescent="0.25">
      <c r="B293" s="16"/>
      <c r="C293" s="16"/>
      <c r="D293" s="16"/>
      <c r="E293" s="16"/>
      <c r="T293" s="57" t="s">
        <v>817</v>
      </c>
      <c r="U293" s="57" t="s">
        <v>908</v>
      </c>
    </row>
    <row r="294" spans="2:21" x14ac:dyDescent="0.25">
      <c r="B294" s="16"/>
      <c r="C294" s="16"/>
      <c r="D294" s="16"/>
      <c r="E294" s="16"/>
      <c r="T294" s="57" t="s">
        <v>818</v>
      </c>
      <c r="U294" s="57" t="s">
        <v>908</v>
      </c>
    </row>
    <row r="295" spans="2:21" x14ac:dyDescent="0.25">
      <c r="B295" s="16"/>
      <c r="C295" s="16"/>
      <c r="D295" s="16"/>
      <c r="E295" s="16"/>
      <c r="F295" s="54"/>
      <c r="T295" s="57" t="s">
        <v>819</v>
      </c>
      <c r="U295" s="57" t="s">
        <v>908</v>
      </c>
    </row>
    <row r="296" spans="2:21" x14ac:dyDescent="0.25">
      <c r="B296" s="16"/>
      <c r="C296" s="16"/>
      <c r="D296" s="16"/>
      <c r="E296" s="16"/>
      <c r="F296" s="54"/>
      <c r="T296" s="57" t="s">
        <v>196</v>
      </c>
      <c r="U296" s="57" t="s">
        <v>908</v>
      </c>
    </row>
    <row r="297" spans="2:21" x14ac:dyDescent="0.25">
      <c r="B297" s="16"/>
      <c r="C297" s="16"/>
      <c r="D297" s="16"/>
      <c r="E297" s="16"/>
      <c r="F297" s="54"/>
      <c r="T297" s="57" t="s">
        <v>820</v>
      </c>
      <c r="U297" s="57" t="s">
        <v>908</v>
      </c>
    </row>
    <row r="298" spans="2:21" x14ac:dyDescent="0.25">
      <c r="B298" s="16"/>
      <c r="C298" s="16"/>
      <c r="D298" s="16"/>
      <c r="E298" s="16"/>
      <c r="F298" s="54"/>
      <c r="T298" s="57" t="s">
        <v>821</v>
      </c>
      <c r="U298" s="57" t="s">
        <v>908</v>
      </c>
    </row>
    <row r="299" spans="2:21" x14ac:dyDescent="0.25">
      <c r="B299" s="16"/>
      <c r="C299" s="16"/>
      <c r="D299" s="16"/>
      <c r="E299" s="16"/>
      <c r="F299" s="54"/>
      <c r="T299" s="57" t="s">
        <v>822</v>
      </c>
      <c r="U299" s="57" t="s">
        <v>912</v>
      </c>
    </row>
    <row r="300" spans="2:21" x14ac:dyDescent="0.25">
      <c r="B300" s="16"/>
      <c r="C300" s="16"/>
      <c r="D300" s="16"/>
      <c r="E300" s="16"/>
      <c r="T300" s="57" t="s">
        <v>823</v>
      </c>
      <c r="U300" s="57" t="s">
        <v>909</v>
      </c>
    </row>
    <row r="301" spans="2:21" x14ac:dyDescent="0.25">
      <c r="B301" s="16"/>
      <c r="C301" s="16"/>
      <c r="D301" s="16"/>
      <c r="E301" s="16"/>
      <c r="F301" s="54"/>
      <c r="T301" s="57" t="s">
        <v>200</v>
      </c>
      <c r="U301" s="57" t="s">
        <v>909</v>
      </c>
    </row>
    <row r="302" spans="2:21" x14ac:dyDescent="0.25">
      <c r="B302" s="16"/>
      <c r="C302" s="16"/>
      <c r="D302" s="16"/>
      <c r="E302" s="16"/>
      <c r="T302" s="57" t="s">
        <v>824</v>
      </c>
      <c r="U302" s="57" t="s">
        <v>908</v>
      </c>
    </row>
    <row r="303" spans="2:21" x14ac:dyDescent="0.25">
      <c r="B303" s="16"/>
      <c r="C303" s="16"/>
      <c r="D303" s="16"/>
      <c r="E303" s="16"/>
      <c r="T303" s="57" t="s">
        <v>825</v>
      </c>
      <c r="U303" s="57" t="s">
        <v>912</v>
      </c>
    </row>
    <row r="304" spans="2:21" x14ac:dyDescent="0.25">
      <c r="B304" s="16"/>
      <c r="C304" s="16"/>
      <c r="D304" s="16"/>
      <c r="E304" s="16"/>
      <c r="F304" s="54"/>
      <c r="T304" s="57" t="s">
        <v>826</v>
      </c>
      <c r="U304" s="57" t="s">
        <v>917</v>
      </c>
    </row>
    <row r="305" spans="2:21" x14ac:dyDescent="0.25">
      <c r="B305" s="16"/>
      <c r="C305" s="16"/>
      <c r="D305" s="16"/>
      <c r="E305" s="16"/>
      <c r="F305" s="54"/>
      <c r="T305" s="57" t="s">
        <v>827</v>
      </c>
      <c r="U305" s="57" t="s">
        <v>909</v>
      </c>
    </row>
    <row r="306" spans="2:21" x14ac:dyDescent="0.25">
      <c r="B306" s="16"/>
      <c r="C306" s="16"/>
      <c r="D306" s="16"/>
      <c r="E306" s="16"/>
      <c r="F306" s="54"/>
      <c r="T306" s="57" t="s">
        <v>204</v>
      </c>
      <c r="U306" s="57" t="s">
        <v>909</v>
      </c>
    </row>
    <row r="307" spans="2:21" x14ac:dyDescent="0.25">
      <c r="B307" s="16"/>
      <c r="C307" s="16"/>
      <c r="D307" s="16"/>
      <c r="E307" s="16"/>
      <c r="F307" s="54"/>
      <c r="T307" s="57" t="s">
        <v>828</v>
      </c>
      <c r="U307" s="57" t="s">
        <v>908</v>
      </c>
    </row>
    <row r="308" spans="2:21" x14ac:dyDescent="0.25">
      <c r="B308" s="16"/>
      <c r="C308" s="16"/>
      <c r="D308" s="16"/>
      <c r="E308" s="16"/>
      <c r="F308" s="54"/>
      <c r="T308" s="57" t="s">
        <v>829</v>
      </c>
      <c r="U308" s="57" t="s">
        <v>909</v>
      </c>
    </row>
    <row r="309" spans="2:21" x14ac:dyDescent="0.25">
      <c r="B309" s="16"/>
      <c r="C309" s="16"/>
      <c r="D309" s="16"/>
      <c r="E309" s="16"/>
      <c r="F309" s="54"/>
      <c r="T309" s="57" t="s">
        <v>830</v>
      </c>
      <c r="U309" s="57" t="s">
        <v>908</v>
      </c>
    </row>
    <row r="310" spans="2:21" x14ac:dyDescent="0.25">
      <c r="B310" s="16"/>
      <c r="C310" s="16"/>
      <c r="D310" s="16"/>
      <c r="E310" s="16"/>
      <c r="F310" s="54"/>
      <c r="T310" s="57" t="s">
        <v>831</v>
      </c>
      <c r="U310" s="57" t="s">
        <v>908</v>
      </c>
    </row>
    <row r="311" spans="2:21" x14ac:dyDescent="0.25">
      <c r="B311" s="16"/>
      <c r="C311" s="16"/>
      <c r="D311" s="16"/>
      <c r="E311" s="16"/>
      <c r="F311" s="54"/>
      <c r="T311" s="57" t="s">
        <v>832</v>
      </c>
      <c r="U311" s="57" t="s">
        <v>908</v>
      </c>
    </row>
    <row r="312" spans="2:21" x14ac:dyDescent="0.25">
      <c r="B312" s="16"/>
      <c r="C312" s="16"/>
      <c r="D312" s="16"/>
      <c r="E312" s="16"/>
      <c r="F312" s="54"/>
      <c r="T312" s="57" t="s">
        <v>833</v>
      </c>
      <c r="U312" s="57" t="s">
        <v>908</v>
      </c>
    </row>
    <row r="313" spans="2:21" x14ac:dyDescent="0.25">
      <c r="B313" s="16"/>
      <c r="C313" s="16"/>
      <c r="D313" s="16"/>
      <c r="E313" s="16"/>
      <c r="F313" s="54"/>
      <c r="T313" s="57" t="s">
        <v>834</v>
      </c>
      <c r="U313" s="57" t="s">
        <v>908</v>
      </c>
    </row>
    <row r="314" spans="2:21" x14ac:dyDescent="0.25">
      <c r="B314" s="16"/>
      <c r="C314" s="16"/>
      <c r="D314" s="16"/>
      <c r="E314" s="16"/>
      <c r="F314" s="54"/>
      <c r="T314" s="57" t="s">
        <v>835</v>
      </c>
      <c r="U314" s="57" t="s">
        <v>914</v>
      </c>
    </row>
    <row r="315" spans="2:21" x14ac:dyDescent="0.25">
      <c r="B315" s="16"/>
      <c r="C315" s="16"/>
      <c r="D315" s="16"/>
      <c r="E315" s="16"/>
      <c r="T315" s="57" t="s">
        <v>836</v>
      </c>
      <c r="U315" s="57" t="s">
        <v>914</v>
      </c>
    </row>
    <row r="316" spans="2:21" x14ac:dyDescent="0.25">
      <c r="B316" s="16"/>
      <c r="C316" s="16"/>
      <c r="D316" s="16"/>
      <c r="E316" s="16"/>
      <c r="F316" s="54"/>
      <c r="T316" s="57" t="s">
        <v>837</v>
      </c>
      <c r="U316" s="57" t="s">
        <v>914</v>
      </c>
    </row>
    <row r="317" spans="2:21" x14ac:dyDescent="0.25">
      <c r="B317" s="16"/>
      <c r="C317" s="16"/>
      <c r="D317" s="16"/>
      <c r="E317" s="16"/>
      <c r="T317" s="57" t="s">
        <v>206</v>
      </c>
      <c r="U317" s="57" t="s">
        <v>908</v>
      </c>
    </row>
    <row r="318" spans="2:21" x14ac:dyDescent="0.25">
      <c r="B318" s="16"/>
      <c r="C318" s="16"/>
      <c r="D318" s="16"/>
      <c r="E318" s="16"/>
      <c r="F318" s="54"/>
      <c r="T318" s="58" t="s">
        <v>211</v>
      </c>
      <c r="U318" s="57" t="s">
        <v>909</v>
      </c>
    </row>
    <row r="319" spans="2:21" x14ac:dyDescent="0.25">
      <c r="B319" s="16"/>
      <c r="C319" s="16"/>
      <c r="D319" s="16"/>
      <c r="E319" s="16"/>
      <c r="F319" s="54"/>
      <c r="T319" s="58" t="s">
        <v>209</v>
      </c>
      <c r="U319" s="57" t="s">
        <v>909</v>
      </c>
    </row>
    <row r="320" spans="2:21" x14ac:dyDescent="0.25">
      <c r="B320" s="16"/>
      <c r="C320" s="16"/>
      <c r="D320" s="16"/>
      <c r="E320" s="16"/>
      <c r="F320" s="54"/>
      <c r="T320" s="57" t="s">
        <v>838</v>
      </c>
      <c r="U320" s="57" t="s">
        <v>908</v>
      </c>
    </row>
    <row r="321" spans="2:21" x14ac:dyDescent="0.25">
      <c r="B321" s="16"/>
      <c r="C321" s="16"/>
      <c r="D321" s="16"/>
      <c r="E321" s="16"/>
      <c r="F321" s="54"/>
      <c r="T321" s="57" t="s">
        <v>207</v>
      </c>
      <c r="U321" s="57" t="s">
        <v>908</v>
      </c>
    </row>
    <row r="322" spans="2:21" x14ac:dyDescent="0.25">
      <c r="B322" s="16"/>
      <c r="C322" s="16"/>
      <c r="D322" s="16"/>
      <c r="E322" s="16"/>
      <c r="F322" s="54"/>
      <c r="T322" s="57" t="s">
        <v>839</v>
      </c>
      <c r="U322" s="57" t="s">
        <v>908</v>
      </c>
    </row>
    <row r="323" spans="2:21" x14ac:dyDescent="0.25">
      <c r="B323" s="16"/>
      <c r="C323" s="16"/>
      <c r="D323" s="16"/>
      <c r="E323" s="16"/>
      <c r="F323" s="54"/>
      <c r="T323" s="57" t="s">
        <v>840</v>
      </c>
      <c r="U323" s="57" t="s">
        <v>908</v>
      </c>
    </row>
    <row r="324" spans="2:21" x14ac:dyDescent="0.25">
      <c r="B324" s="16"/>
      <c r="C324" s="16"/>
      <c r="D324" s="16"/>
      <c r="E324" s="16"/>
      <c r="F324" s="54"/>
      <c r="T324" s="57" t="s">
        <v>841</v>
      </c>
      <c r="U324" s="57" t="s">
        <v>908</v>
      </c>
    </row>
    <row r="325" spans="2:21" x14ac:dyDescent="0.25">
      <c r="B325" s="16"/>
      <c r="C325" s="16"/>
      <c r="D325" s="16"/>
      <c r="E325" s="16"/>
      <c r="T325" s="57" t="s">
        <v>842</v>
      </c>
      <c r="U325" s="57" t="s">
        <v>908</v>
      </c>
    </row>
    <row r="326" spans="2:21" x14ac:dyDescent="0.25">
      <c r="B326" s="16"/>
      <c r="C326" s="16"/>
      <c r="D326" s="16"/>
      <c r="E326" s="16"/>
      <c r="F326" s="54"/>
      <c r="T326" s="57" t="s">
        <v>843</v>
      </c>
      <c r="U326" s="57" t="s">
        <v>908</v>
      </c>
    </row>
    <row r="327" spans="2:21" x14ac:dyDescent="0.25">
      <c r="B327" s="16"/>
      <c r="C327" s="16"/>
      <c r="D327" s="16"/>
      <c r="E327" s="16"/>
      <c r="F327" s="54"/>
      <c r="T327" s="57" t="s">
        <v>844</v>
      </c>
      <c r="U327" s="57" t="s">
        <v>908</v>
      </c>
    </row>
    <row r="328" spans="2:21" x14ac:dyDescent="0.25">
      <c r="B328" s="16"/>
      <c r="C328" s="16"/>
      <c r="D328" s="16"/>
      <c r="E328" s="16"/>
      <c r="F328" s="54"/>
      <c r="T328" s="57" t="s">
        <v>845</v>
      </c>
      <c r="U328" s="57" t="s">
        <v>910</v>
      </c>
    </row>
    <row r="329" spans="2:21" x14ac:dyDescent="0.25">
      <c r="B329" s="16"/>
      <c r="C329" s="16"/>
      <c r="D329" s="16"/>
      <c r="E329" s="16"/>
      <c r="F329" s="54"/>
      <c r="T329" s="58" t="s">
        <v>213</v>
      </c>
      <c r="U329" s="57" t="s">
        <v>910</v>
      </c>
    </row>
    <row r="330" spans="2:21" x14ac:dyDescent="0.25">
      <c r="B330" s="16"/>
      <c r="C330" s="16"/>
      <c r="D330" s="16"/>
      <c r="E330" s="16"/>
      <c r="F330" s="54"/>
      <c r="T330" s="57" t="s">
        <v>846</v>
      </c>
      <c r="U330" s="57" t="s">
        <v>909</v>
      </c>
    </row>
    <row r="331" spans="2:21" x14ac:dyDescent="0.25">
      <c r="B331" s="16"/>
      <c r="C331" s="16"/>
      <c r="D331" s="16"/>
      <c r="E331" s="16"/>
      <c r="F331" s="54"/>
      <c r="T331" s="57" t="s">
        <v>847</v>
      </c>
      <c r="U331" s="57" t="s">
        <v>908</v>
      </c>
    </row>
    <row r="332" spans="2:21" x14ac:dyDescent="0.25">
      <c r="B332" s="16"/>
      <c r="C332" s="16"/>
      <c r="D332" s="16"/>
      <c r="E332" s="16"/>
      <c r="F332" s="54"/>
      <c r="T332" s="57" t="s">
        <v>848</v>
      </c>
      <c r="U332" s="57" t="s">
        <v>908</v>
      </c>
    </row>
    <row r="333" spans="2:21" x14ac:dyDescent="0.25">
      <c r="B333" s="16"/>
      <c r="C333" s="16"/>
      <c r="D333" s="16"/>
      <c r="E333" s="16"/>
      <c r="F333" s="54"/>
      <c r="T333" s="57" t="s">
        <v>849</v>
      </c>
      <c r="U333" s="57" t="s">
        <v>908</v>
      </c>
    </row>
    <row r="334" spans="2:21" x14ac:dyDescent="0.25">
      <c r="B334" s="16"/>
      <c r="C334" s="16"/>
      <c r="D334" s="16"/>
      <c r="E334" s="16"/>
      <c r="F334" s="54"/>
      <c r="T334" s="57" t="s">
        <v>850</v>
      </c>
      <c r="U334" s="57" t="s">
        <v>908</v>
      </c>
    </row>
    <row r="335" spans="2:21" x14ac:dyDescent="0.25">
      <c r="B335" s="16"/>
      <c r="C335" s="16"/>
      <c r="D335" s="16"/>
      <c r="E335" s="16"/>
      <c r="F335" s="54"/>
      <c r="T335" s="57" t="s">
        <v>851</v>
      </c>
      <c r="U335" s="57" t="s">
        <v>908</v>
      </c>
    </row>
    <row r="336" spans="2:21" x14ac:dyDescent="0.25">
      <c r="B336" s="16"/>
      <c r="C336" s="16"/>
      <c r="D336" s="16"/>
      <c r="E336" s="16"/>
      <c r="F336" s="54"/>
      <c r="T336" s="57" t="s">
        <v>852</v>
      </c>
      <c r="U336" s="57" t="s">
        <v>908</v>
      </c>
    </row>
    <row r="337" spans="2:21" x14ac:dyDescent="0.25">
      <c r="B337" s="16"/>
      <c r="C337" s="16"/>
      <c r="D337" s="16"/>
      <c r="E337" s="16"/>
      <c r="F337" s="54"/>
      <c r="T337" s="57" t="s">
        <v>853</v>
      </c>
      <c r="U337" s="57" t="s">
        <v>917</v>
      </c>
    </row>
    <row r="338" spans="2:21" x14ac:dyDescent="0.25">
      <c r="B338" s="16"/>
      <c r="C338" s="16"/>
      <c r="D338" s="16"/>
      <c r="E338" s="16"/>
      <c r="T338" s="57" t="s">
        <v>854</v>
      </c>
      <c r="U338" s="57" t="s">
        <v>908</v>
      </c>
    </row>
    <row r="339" spans="2:21" x14ac:dyDescent="0.25">
      <c r="B339" s="16"/>
      <c r="C339" s="16"/>
      <c r="D339" s="16"/>
      <c r="E339" s="16"/>
      <c r="F339" s="54"/>
      <c r="T339" s="57" t="s">
        <v>855</v>
      </c>
      <c r="U339" s="57" t="s">
        <v>908</v>
      </c>
    </row>
    <row r="340" spans="2:21" x14ac:dyDescent="0.25">
      <c r="B340" s="16"/>
      <c r="C340" s="16"/>
      <c r="D340" s="16"/>
      <c r="E340" s="16"/>
      <c r="F340" s="54"/>
      <c r="T340" s="57" t="s">
        <v>856</v>
      </c>
      <c r="U340" s="57" t="s">
        <v>908</v>
      </c>
    </row>
    <row r="341" spans="2:21" x14ac:dyDescent="0.25">
      <c r="B341" s="16"/>
      <c r="C341" s="16"/>
      <c r="D341" s="16"/>
      <c r="E341" s="16"/>
      <c r="F341" s="54"/>
      <c r="T341" s="57" t="s">
        <v>857</v>
      </c>
      <c r="U341" s="57" t="s">
        <v>908</v>
      </c>
    </row>
    <row r="342" spans="2:21" x14ac:dyDescent="0.25">
      <c r="B342" s="16"/>
      <c r="C342" s="16"/>
      <c r="D342" s="16"/>
      <c r="E342" s="16"/>
      <c r="F342" s="54"/>
      <c r="T342" s="57" t="s">
        <v>858</v>
      </c>
      <c r="U342" s="57" t="s">
        <v>911</v>
      </c>
    </row>
    <row r="343" spans="2:21" x14ac:dyDescent="0.25">
      <c r="B343" s="16"/>
      <c r="C343" s="16"/>
      <c r="D343" s="16"/>
      <c r="E343" s="16"/>
      <c r="F343" s="54"/>
      <c r="T343" s="57" t="s">
        <v>859</v>
      </c>
      <c r="U343" s="57" t="s">
        <v>909</v>
      </c>
    </row>
    <row r="344" spans="2:21" x14ac:dyDescent="0.25">
      <c r="B344" s="16"/>
      <c r="C344" s="16"/>
      <c r="D344" s="16"/>
      <c r="E344" s="16"/>
      <c r="F344" s="54"/>
      <c r="T344" s="57" t="s">
        <v>860</v>
      </c>
      <c r="U344" s="57" t="s">
        <v>917</v>
      </c>
    </row>
    <row r="345" spans="2:21" x14ac:dyDescent="0.25">
      <c r="B345" s="16"/>
      <c r="C345" s="16"/>
      <c r="D345" s="16"/>
      <c r="E345" s="16"/>
      <c r="F345" s="54"/>
      <c r="T345" s="57" t="s">
        <v>258</v>
      </c>
      <c r="U345" s="57" t="s">
        <v>911</v>
      </c>
    </row>
    <row r="346" spans="2:21" x14ac:dyDescent="0.25">
      <c r="B346" s="16"/>
      <c r="C346" s="16"/>
      <c r="D346" s="16"/>
      <c r="E346" s="16"/>
      <c r="F346" s="54"/>
      <c r="T346" s="58" t="s">
        <v>309</v>
      </c>
      <c r="U346" s="57" t="s">
        <v>911</v>
      </c>
    </row>
    <row r="347" spans="2:21" x14ac:dyDescent="0.25">
      <c r="B347" s="16"/>
      <c r="C347" s="16"/>
      <c r="D347" s="16"/>
      <c r="E347" s="16"/>
      <c r="T347" s="57" t="s">
        <v>861</v>
      </c>
      <c r="U347" s="57" t="s">
        <v>908</v>
      </c>
    </row>
    <row r="348" spans="2:21" x14ac:dyDescent="0.25">
      <c r="B348" s="16"/>
      <c r="C348" s="16"/>
      <c r="D348" s="16"/>
      <c r="E348" s="16"/>
      <c r="F348" s="54"/>
      <c r="T348" s="57" t="s">
        <v>862</v>
      </c>
      <c r="U348" s="57" t="s">
        <v>911</v>
      </c>
    </row>
    <row r="349" spans="2:21" x14ac:dyDescent="0.25">
      <c r="B349" s="16"/>
      <c r="C349" s="16"/>
      <c r="D349" s="16"/>
      <c r="E349" s="16"/>
      <c r="F349" s="54"/>
      <c r="T349" s="57" t="s">
        <v>863</v>
      </c>
      <c r="U349" s="57" t="s">
        <v>913</v>
      </c>
    </row>
    <row r="350" spans="2:21" x14ac:dyDescent="0.25">
      <c r="B350" s="16"/>
      <c r="C350" s="16"/>
      <c r="D350" s="16"/>
      <c r="E350" s="16"/>
      <c r="F350" s="54"/>
      <c r="T350" s="57" t="s">
        <v>864</v>
      </c>
      <c r="U350" s="57" t="s">
        <v>908</v>
      </c>
    </row>
    <row r="351" spans="2:21" x14ac:dyDescent="0.25">
      <c r="B351" s="16"/>
      <c r="C351" s="16"/>
      <c r="D351" s="16"/>
      <c r="E351" s="16"/>
      <c r="F351" s="54"/>
      <c r="T351" s="57" t="s">
        <v>865</v>
      </c>
      <c r="U351" s="57" t="s">
        <v>908</v>
      </c>
    </row>
    <row r="352" spans="2:21" x14ac:dyDescent="0.25">
      <c r="B352" s="16"/>
      <c r="C352" s="16"/>
      <c r="D352" s="16"/>
      <c r="E352" s="16"/>
      <c r="F352" s="54"/>
      <c r="T352" s="57" t="s">
        <v>866</v>
      </c>
      <c r="U352" s="57" t="s">
        <v>914</v>
      </c>
    </row>
    <row r="353" spans="2:21" x14ac:dyDescent="0.25">
      <c r="B353" s="16"/>
      <c r="C353" s="16"/>
      <c r="D353" s="16"/>
      <c r="E353" s="16"/>
      <c r="F353" s="54"/>
      <c r="T353" s="57" t="s">
        <v>234</v>
      </c>
      <c r="U353" s="57" t="s">
        <v>914</v>
      </c>
    </row>
    <row r="354" spans="2:21" x14ac:dyDescent="0.25">
      <c r="B354" s="16"/>
      <c r="C354" s="16"/>
      <c r="D354" s="16"/>
      <c r="E354" s="16"/>
      <c r="F354" s="54"/>
      <c r="T354" s="57" t="s">
        <v>867</v>
      </c>
      <c r="U354" s="57" t="s">
        <v>908</v>
      </c>
    </row>
    <row r="355" spans="2:21" x14ac:dyDescent="0.25">
      <c r="B355" s="16"/>
      <c r="C355" s="16"/>
      <c r="D355" s="16"/>
      <c r="E355" s="16"/>
      <c r="F355" s="54"/>
      <c r="T355" s="58" t="s">
        <v>214</v>
      </c>
      <c r="U355" s="57" t="s">
        <v>908</v>
      </c>
    </row>
    <row r="356" spans="2:21" x14ac:dyDescent="0.25">
      <c r="B356" s="16"/>
      <c r="C356" s="16"/>
      <c r="D356" s="16"/>
      <c r="E356" s="16"/>
      <c r="F356" s="54"/>
      <c r="T356" s="57" t="s">
        <v>868</v>
      </c>
      <c r="U356" s="57" t="s">
        <v>918</v>
      </c>
    </row>
    <row r="357" spans="2:21" x14ac:dyDescent="0.25">
      <c r="B357" s="16"/>
      <c r="C357" s="16"/>
      <c r="D357" s="16"/>
      <c r="E357" s="16"/>
      <c r="F357" s="54"/>
      <c r="T357" s="57" t="s">
        <v>869</v>
      </c>
      <c r="U357" s="57" t="s">
        <v>908</v>
      </c>
    </row>
    <row r="358" spans="2:21" x14ac:dyDescent="0.25">
      <c r="B358" s="16"/>
      <c r="C358" s="16"/>
      <c r="D358" s="16"/>
      <c r="E358" s="16"/>
      <c r="F358" s="54"/>
      <c r="T358" s="57" t="s">
        <v>870</v>
      </c>
      <c r="U358" s="57" t="s">
        <v>909</v>
      </c>
    </row>
    <row r="359" spans="2:21" x14ac:dyDescent="0.25">
      <c r="B359" s="16"/>
      <c r="C359" s="16"/>
      <c r="D359" s="16"/>
      <c r="E359" s="16"/>
      <c r="F359" s="54"/>
      <c r="T359" s="57" t="s">
        <v>232</v>
      </c>
      <c r="U359" s="57" t="s">
        <v>909</v>
      </c>
    </row>
    <row r="360" spans="2:21" x14ac:dyDescent="0.25">
      <c r="B360" s="16"/>
      <c r="C360" s="16"/>
      <c r="D360" s="16"/>
      <c r="E360" s="16"/>
      <c r="F360" s="54"/>
      <c r="T360" s="57" t="s">
        <v>871</v>
      </c>
      <c r="U360" s="57" t="s">
        <v>908</v>
      </c>
    </row>
    <row r="361" spans="2:21" x14ac:dyDescent="0.25">
      <c r="B361" s="16"/>
      <c r="C361" s="16"/>
      <c r="D361" s="16"/>
      <c r="E361" s="16"/>
      <c r="T361" s="57" t="s">
        <v>872</v>
      </c>
      <c r="U361" s="57" t="s">
        <v>916</v>
      </c>
    </row>
    <row r="362" spans="2:21" x14ac:dyDescent="0.25">
      <c r="B362" s="16"/>
      <c r="C362" s="16"/>
      <c r="D362" s="16"/>
      <c r="E362" s="16"/>
      <c r="T362" s="57" t="s">
        <v>873</v>
      </c>
      <c r="U362" s="57" t="s">
        <v>908</v>
      </c>
    </row>
    <row r="363" spans="2:21" x14ac:dyDescent="0.25">
      <c r="B363" s="16"/>
      <c r="C363" s="16"/>
      <c r="D363" s="16"/>
      <c r="E363" s="16"/>
      <c r="F363" s="54"/>
      <c r="T363" s="57" t="s">
        <v>874</v>
      </c>
      <c r="U363" s="57" t="s">
        <v>908</v>
      </c>
    </row>
    <row r="364" spans="2:21" x14ac:dyDescent="0.25">
      <c r="B364" s="16"/>
      <c r="C364" s="16"/>
      <c r="D364" s="16"/>
      <c r="E364" s="16"/>
      <c r="T364" s="57" t="s">
        <v>875</v>
      </c>
      <c r="U364" s="57" t="s">
        <v>908</v>
      </c>
    </row>
    <row r="365" spans="2:21" x14ac:dyDescent="0.25">
      <c r="B365" s="16"/>
      <c r="C365" s="16"/>
      <c r="D365" s="16"/>
      <c r="E365" s="16"/>
      <c r="F365" s="54"/>
      <c r="T365" s="58" t="s">
        <v>215</v>
      </c>
      <c r="U365" s="57" t="s">
        <v>909</v>
      </c>
    </row>
    <row r="366" spans="2:21" x14ac:dyDescent="0.25">
      <c r="B366" s="16"/>
      <c r="C366" s="16"/>
      <c r="D366" s="16"/>
      <c r="E366" s="16"/>
      <c r="F366" s="54"/>
      <c r="T366" s="57" t="s">
        <v>876</v>
      </c>
      <c r="U366" s="57" t="s">
        <v>908</v>
      </c>
    </row>
    <row r="367" spans="2:21" x14ac:dyDescent="0.25">
      <c r="B367" s="16"/>
      <c r="C367" s="16"/>
      <c r="D367" s="16"/>
      <c r="E367" s="16"/>
      <c r="F367" s="54"/>
      <c r="T367" s="57" t="s">
        <v>877</v>
      </c>
      <c r="U367" s="57" t="s">
        <v>910</v>
      </c>
    </row>
    <row r="368" spans="2:21" x14ac:dyDescent="0.25">
      <c r="B368" s="16"/>
      <c r="C368" s="16"/>
      <c r="D368" s="16"/>
      <c r="E368" s="16"/>
      <c r="F368" s="54"/>
      <c r="T368" s="57" t="s">
        <v>216</v>
      </c>
      <c r="U368" s="57" t="s">
        <v>914</v>
      </c>
    </row>
    <row r="369" spans="2:21" x14ac:dyDescent="0.25">
      <c r="B369" s="16"/>
      <c r="C369" s="16"/>
      <c r="D369" s="16"/>
      <c r="E369" s="16"/>
      <c r="T369" s="57" t="s">
        <v>878</v>
      </c>
      <c r="U369" s="57" t="s">
        <v>913</v>
      </c>
    </row>
    <row r="370" spans="2:21" x14ac:dyDescent="0.25">
      <c r="B370" s="16"/>
      <c r="C370" s="16"/>
      <c r="D370" s="16"/>
      <c r="E370" s="16"/>
      <c r="F370" s="54"/>
      <c r="T370" s="57" t="s">
        <v>879</v>
      </c>
      <c r="U370" s="57" t="s">
        <v>914</v>
      </c>
    </row>
    <row r="371" spans="2:21" x14ac:dyDescent="0.25">
      <c r="B371" s="16"/>
      <c r="C371" s="16"/>
      <c r="D371" s="16"/>
      <c r="E371" s="16"/>
      <c r="F371" s="54"/>
      <c r="T371" s="57" t="s">
        <v>218</v>
      </c>
      <c r="U371" s="57" t="s">
        <v>914</v>
      </c>
    </row>
    <row r="372" spans="2:21" x14ac:dyDescent="0.25">
      <c r="B372" s="16"/>
      <c r="C372" s="16"/>
      <c r="D372" s="16"/>
      <c r="E372" s="16"/>
      <c r="F372" s="54"/>
      <c r="T372" s="57" t="s">
        <v>880</v>
      </c>
      <c r="U372" s="57" t="s">
        <v>908</v>
      </c>
    </row>
    <row r="373" spans="2:21" x14ac:dyDescent="0.25">
      <c r="B373" s="16"/>
      <c r="C373" s="16"/>
      <c r="D373" s="16"/>
      <c r="E373" s="16"/>
      <c r="F373" s="54"/>
      <c r="T373" s="57" t="s">
        <v>881</v>
      </c>
      <c r="U373" s="57" t="s">
        <v>913</v>
      </c>
    </row>
    <row r="374" spans="2:21" x14ac:dyDescent="0.25">
      <c r="B374" s="16"/>
      <c r="C374" s="16"/>
      <c r="D374" s="16"/>
      <c r="E374" s="16"/>
      <c r="F374" s="54"/>
      <c r="T374" s="57" t="s">
        <v>220</v>
      </c>
      <c r="U374" s="57" t="s">
        <v>913</v>
      </c>
    </row>
    <row r="375" spans="2:21" x14ac:dyDescent="0.25">
      <c r="B375" s="16"/>
      <c r="C375" s="16"/>
      <c r="D375" s="16"/>
      <c r="E375" s="16"/>
      <c r="F375" s="54"/>
      <c r="T375" s="57" t="s">
        <v>882</v>
      </c>
      <c r="U375" s="57" t="s">
        <v>908</v>
      </c>
    </row>
    <row r="376" spans="2:21" x14ac:dyDescent="0.25">
      <c r="B376" s="16"/>
      <c r="C376" s="16"/>
      <c r="D376" s="16"/>
      <c r="E376" s="16"/>
      <c r="F376" s="54"/>
      <c r="T376" s="57" t="s">
        <v>883</v>
      </c>
      <c r="U376" s="57" t="s">
        <v>908</v>
      </c>
    </row>
    <row r="377" spans="2:21" x14ac:dyDescent="0.25">
      <c r="B377" s="16"/>
      <c r="C377" s="16"/>
      <c r="D377" s="16"/>
      <c r="E377" s="16"/>
      <c r="F377" s="54"/>
      <c r="T377" s="57" t="s">
        <v>884</v>
      </c>
      <c r="U377" s="57" t="s">
        <v>908</v>
      </c>
    </row>
    <row r="378" spans="2:21" x14ac:dyDescent="0.25">
      <c r="B378" s="16"/>
      <c r="C378" s="16"/>
      <c r="D378" s="16"/>
      <c r="E378" s="16"/>
      <c r="F378" s="54"/>
      <c r="T378" s="57" t="s">
        <v>885</v>
      </c>
      <c r="U378" s="57" t="s">
        <v>909</v>
      </c>
    </row>
    <row r="379" spans="2:21" x14ac:dyDescent="0.25">
      <c r="B379" s="16"/>
      <c r="C379" s="16"/>
      <c r="D379" s="16"/>
      <c r="E379" s="16"/>
      <c r="F379" s="54"/>
      <c r="T379" s="57" t="s">
        <v>886</v>
      </c>
      <c r="U379" s="57" t="s">
        <v>909</v>
      </c>
    </row>
    <row r="380" spans="2:21" x14ac:dyDescent="0.25">
      <c r="B380" s="16"/>
      <c r="C380" s="16"/>
      <c r="D380" s="16"/>
      <c r="E380" s="16"/>
      <c r="F380" s="54"/>
      <c r="T380" s="57" t="s">
        <v>227</v>
      </c>
      <c r="U380" s="57" t="s">
        <v>912</v>
      </c>
    </row>
    <row r="381" spans="2:21" x14ac:dyDescent="0.25">
      <c r="B381" s="16"/>
      <c r="C381" s="16"/>
      <c r="D381" s="16"/>
      <c r="E381" s="16"/>
      <c r="T381" s="58" t="s">
        <v>223</v>
      </c>
      <c r="U381" s="57" t="s">
        <v>908</v>
      </c>
    </row>
    <row r="382" spans="2:21" x14ac:dyDescent="0.25">
      <c r="B382" s="16"/>
      <c r="C382" s="16"/>
      <c r="D382" s="16"/>
      <c r="E382" s="16"/>
      <c r="T382" s="58" t="s">
        <v>231</v>
      </c>
      <c r="U382" s="57" t="s">
        <v>913</v>
      </c>
    </row>
    <row r="383" spans="2:21" x14ac:dyDescent="0.25">
      <c r="B383" s="16"/>
      <c r="C383" s="16"/>
      <c r="D383" s="16"/>
      <c r="E383" s="16"/>
      <c r="F383" s="54"/>
      <c r="T383" s="57" t="s">
        <v>225</v>
      </c>
      <c r="U383" s="57" t="s">
        <v>908</v>
      </c>
    </row>
    <row r="384" spans="2:21" x14ac:dyDescent="0.25">
      <c r="B384" s="16"/>
      <c r="C384" s="16"/>
      <c r="D384" s="16"/>
      <c r="E384" s="16"/>
      <c r="T384" s="57" t="s">
        <v>221</v>
      </c>
      <c r="U384" s="57" t="s">
        <v>912</v>
      </c>
    </row>
    <row r="385" spans="2:21" x14ac:dyDescent="0.25">
      <c r="B385" s="16"/>
      <c r="C385" s="16"/>
      <c r="D385" s="16"/>
      <c r="E385" s="16"/>
      <c r="F385" s="54"/>
      <c r="T385" s="57" t="s">
        <v>887</v>
      </c>
      <c r="U385" s="57" t="s">
        <v>909</v>
      </c>
    </row>
    <row r="386" spans="2:21" x14ac:dyDescent="0.25">
      <c r="B386" s="16"/>
      <c r="C386" s="16"/>
      <c r="D386" s="16"/>
      <c r="E386" s="16"/>
      <c r="F386" s="54"/>
      <c r="T386" s="57" t="s">
        <v>888</v>
      </c>
      <c r="U386" s="57" t="s">
        <v>908</v>
      </c>
    </row>
    <row r="387" spans="2:21" x14ac:dyDescent="0.25">
      <c r="B387" s="16"/>
      <c r="C387" s="16"/>
      <c r="D387" s="16"/>
      <c r="E387" s="16"/>
      <c r="F387" s="54"/>
      <c r="T387" s="58" t="s">
        <v>242</v>
      </c>
      <c r="U387" s="57" t="s">
        <v>909</v>
      </c>
    </row>
    <row r="388" spans="2:21" x14ac:dyDescent="0.25">
      <c r="B388" s="16"/>
      <c r="C388" s="16"/>
      <c r="D388" s="16"/>
      <c r="E388" s="16"/>
      <c r="F388" s="54"/>
      <c r="T388" s="57" t="s">
        <v>889</v>
      </c>
      <c r="U388" s="57" t="s">
        <v>912</v>
      </c>
    </row>
    <row r="389" spans="2:21" x14ac:dyDescent="0.25">
      <c r="B389" s="16"/>
      <c r="C389" s="16"/>
      <c r="D389" s="16"/>
      <c r="E389" s="16"/>
      <c r="F389" s="54"/>
      <c r="T389" s="57" t="s">
        <v>240</v>
      </c>
      <c r="U389" s="57" t="s">
        <v>910</v>
      </c>
    </row>
    <row r="390" spans="2:21" x14ac:dyDescent="0.25">
      <c r="B390" s="16"/>
      <c r="C390" s="16"/>
      <c r="D390" s="16"/>
      <c r="E390" s="16"/>
      <c r="T390" s="57" t="s">
        <v>890</v>
      </c>
      <c r="U390" s="57" t="s">
        <v>910</v>
      </c>
    </row>
    <row r="391" spans="2:21" x14ac:dyDescent="0.25">
      <c r="B391" s="16"/>
      <c r="C391" s="16"/>
      <c r="D391" s="16"/>
      <c r="E391" s="16"/>
      <c r="F391" s="54"/>
      <c r="T391" s="57" t="s">
        <v>229</v>
      </c>
      <c r="U391" s="57" t="s">
        <v>912</v>
      </c>
    </row>
    <row r="392" spans="2:21" x14ac:dyDescent="0.25">
      <c r="B392" s="16"/>
      <c r="C392" s="16"/>
      <c r="D392" s="16"/>
      <c r="E392" s="16"/>
      <c r="F392" s="54"/>
      <c r="T392" s="57" t="s">
        <v>239</v>
      </c>
      <c r="U392" s="57" t="s">
        <v>909</v>
      </c>
    </row>
    <row r="393" spans="2:21" x14ac:dyDescent="0.25">
      <c r="B393" s="16"/>
      <c r="C393" s="16"/>
      <c r="D393" s="16"/>
      <c r="E393" s="16"/>
      <c r="T393" s="57" t="s">
        <v>891</v>
      </c>
      <c r="U393" s="57" t="s">
        <v>909</v>
      </c>
    </row>
    <row r="394" spans="2:21" x14ac:dyDescent="0.25">
      <c r="B394" s="16"/>
      <c r="C394" s="16"/>
      <c r="D394" s="16"/>
      <c r="E394" s="16"/>
      <c r="F394" s="54"/>
      <c r="T394" s="57" t="s">
        <v>405</v>
      </c>
      <c r="U394" s="57" t="s">
        <v>909</v>
      </c>
    </row>
    <row r="395" spans="2:21" x14ac:dyDescent="0.25">
      <c r="B395" s="16"/>
      <c r="C395" s="16"/>
      <c r="D395" s="16"/>
      <c r="E395" s="16"/>
      <c r="F395" s="54"/>
      <c r="T395" s="57" t="s">
        <v>892</v>
      </c>
      <c r="U395" s="57" t="s">
        <v>916</v>
      </c>
    </row>
    <row r="396" spans="2:21" x14ac:dyDescent="0.25">
      <c r="B396" s="16"/>
      <c r="C396" s="16"/>
      <c r="D396" s="16"/>
      <c r="E396" s="16"/>
      <c r="F396" s="54"/>
      <c r="T396" s="57" t="s">
        <v>893</v>
      </c>
      <c r="U396" s="57" t="s">
        <v>909</v>
      </c>
    </row>
    <row r="397" spans="2:21" x14ac:dyDescent="0.25">
      <c r="B397" s="16"/>
      <c r="C397" s="16"/>
      <c r="D397" s="16"/>
      <c r="E397" s="16"/>
      <c r="F397" s="54"/>
      <c r="T397" s="58" t="s">
        <v>236</v>
      </c>
      <c r="U397" s="57" t="s">
        <v>909</v>
      </c>
    </row>
    <row r="398" spans="2:21" x14ac:dyDescent="0.25">
      <c r="B398" s="16"/>
      <c r="C398" s="16"/>
      <c r="D398" s="16"/>
      <c r="E398" s="16"/>
      <c r="T398" s="57" t="s">
        <v>894</v>
      </c>
      <c r="U398" s="57" t="s">
        <v>908</v>
      </c>
    </row>
    <row r="399" spans="2:21" x14ac:dyDescent="0.25">
      <c r="B399" s="16"/>
      <c r="C399" s="16"/>
      <c r="D399" s="16"/>
      <c r="E399" s="16"/>
      <c r="F399" s="54"/>
      <c r="T399" s="57" t="s">
        <v>241</v>
      </c>
      <c r="U399" s="57" t="s">
        <v>909</v>
      </c>
    </row>
    <row r="400" spans="2:21" x14ac:dyDescent="0.25">
      <c r="B400" s="16"/>
      <c r="C400" s="16"/>
      <c r="D400" s="16"/>
      <c r="E400" s="16"/>
      <c r="F400" s="54"/>
      <c r="T400" s="57" t="s">
        <v>895</v>
      </c>
      <c r="U400" s="57" t="s">
        <v>915</v>
      </c>
    </row>
    <row r="401" spans="2:21" x14ac:dyDescent="0.25">
      <c r="B401" s="16"/>
      <c r="C401" s="16"/>
      <c r="D401" s="16"/>
      <c r="E401" s="16"/>
      <c r="F401" s="54"/>
      <c r="T401" s="57" t="s">
        <v>896</v>
      </c>
      <c r="U401" s="57" t="s">
        <v>909</v>
      </c>
    </row>
    <row r="402" spans="2:21" x14ac:dyDescent="0.25">
      <c r="B402" s="16"/>
      <c r="C402" s="16"/>
      <c r="D402" s="16"/>
      <c r="E402" s="16"/>
      <c r="F402" s="54"/>
      <c r="T402" s="57" t="s">
        <v>897</v>
      </c>
      <c r="U402" s="57" t="s">
        <v>910</v>
      </c>
    </row>
    <row r="403" spans="2:21" x14ac:dyDescent="0.25">
      <c r="B403" s="16"/>
      <c r="C403" s="16"/>
      <c r="D403" s="16"/>
      <c r="E403" s="16"/>
      <c r="F403" s="54"/>
      <c r="T403" s="57" t="s">
        <v>237</v>
      </c>
      <c r="U403" s="57" t="s">
        <v>910</v>
      </c>
    </row>
    <row r="404" spans="2:21" x14ac:dyDescent="0.25">
      <c r="B404" s="16"/>
      <c r="C404" s="16"/>
      <c r="D404" s="16"/>
      <c r="E404" s="16"/>
      <c r="T404" s="58" t="s">
        <v>230</v>
      </c>
      <c r="U404" s="57" t="s">
        <v>908</v>
      </c>
    </row>
    <row r="405" spans="2:21" x14ac:dyDescent="0.25">
      <c r="B405" s="16"/>
      <c r="C405" s="16"/>
      <c r="D405" s="16"/>
      <c r="E405" s="16"/>
      <c r="F405" s="54"/>
      <c r="T405" s="57" t="s">
        <v>243</v>
      </c>
      <c r="U405" s="57" t="s">
        <v>910</v>
      </c>
    </row>
    <row r="406" spans="2:21" x14ac:dyDescent="0.25">
      <c r="B406" s="16"/>
      <c r="C406" s="16"/>
      <c r="D406" s="16"/>
      <c r="E406" s="16"/>
      <c r="F406" s="54"/>
      <c r="T406" s="57" t="s">
        <v>590</v>
      </c>
      <c r="U406" s="57" t="s">
        <v>910</v>
      </c>
    </row>
    <row r="407" spans="2:21" x14ac:dyDescent="0.25">
      <c r="B407" s="16"/>
      <c r="C407" s="16"/>
      <c r="D407" s="16"/>
      <c r="E407" s="16"/>
      <c r="T407" s="57" t="s">
        <v>590</v>
      </c>
      <c r="U407" s="57" t="s">
        <v>590</v>
      </c>
    </row>
    <row r="408" spans="2:21" x14ac:dyDescent="0.25">
      <c r="B408" s="16"/>
      <c r="C408" s="16"/>
      <c r="D408" s="16"/>
      <c r="E408" s="16"/>
      <c r="T408" s="57" t="s">
        <v>590</v>
      </c>
      <c r="U408" s="57" t="s">
        <v>590</v>
      </c>
    </row>
    <row r="409" spans="2:21" x14ac:dyDescent="0.25">
      <c r="B409" s="16"/>
      <c r="C409" s="16"/>
      <c r="D409" s="16"/>
      <c r="E409" s="16"/>
      <c r="F409" s="54"/>
      <c r="T409" s="57" t="s">
        <v>590</v>
      </c>
      <c r="U409" s="57" t="s">
        <v>590</v>
      </c>
    </row>
    <row r="410" spans="2:21" x14ac:dyDescent="0.25">
      <c r="B410" s="16"/>
      <c r="C410" s="16"/>
      <c r="D410" s="16"/>
      <c r="E410" s="16"/>
      <c r="F410" s="54"/>
      <c r="T410" s="57" t="s">
        <v>590</v>
      </c>
      <c r="U410" s="57" t="s">
        <v>590</v>
      </c>
    </row>
    <row r="411" spans="2:21" x14ac:dyDescent="0.25">
      <c r="B411" s="16"/>
      <c r="C411" s="16"/>
      <c r="D411" s="16"/>
      <c r="E411" s="16"/>
      <c r="F411" s="54"/>
      <c r="T411" s="57" t="s">
        <v>590</v>
      </c>
      <c r="U411" s="57" t="s">
        <v>590</v>
      </c>
    </row>
    <row r="412" spans="2:21" x14ac:dyDescent="0.25">
      <c r="B412" s="16"/>
      <c r="C412" s="16"/>
      <c r="D412" s="16"/>
      <c r="E412" s="16"/>
      <c r="T412" s="57" t="s">
        <v>590</v>
      </c>
      <c r="U412" s="57" t="s">
        <v>590</v>
      </c>
    </row>
    <row r="413" spans="2:21" x14ac:dyDescent="0.25">
      <c r="B413" s="16"/>
      <c r="C413" s="16"/>
      <c r="D413" s="16"/>
      <c r="E413" s="16"/>
      <c r="T413" s="57" t="s">
        <v>590</v>
      </c>
      <c r="U413" s="57" t="s">
        <v>590</v>
      </c>
    </row>
    <row r="414" spans="2:21" x14ac:dyDescent="0.25">
      <c r="B414" s="16"/>
      <c r="C414" s="16"/>
      <c r="D414" s="16"/>
      <c r="E414" s="16"/>
      <c r="F414" s="54"/>
      <c r="T414" s="57" t="s">
        <v>590</v>
      </c>
      <c r="U414" s="57" t="s">
        <v>590</v>
      </c>
    </row>
    <row r="415" spans="2:21" x14ac:dyDescent="0.25">
      <c r="B415" s="16"/>
      <c r="C415" s="16"/>
      <c r="D415" s="16"/>
      <c r="E415" s="16"/>
      <c r="F415" s="54"/>
      <c r="T415" s="57" t="s">
        <v>590</v>
      </c>
      <c r="U415" s="57" t="s">
        <v>590</v>
      </c>
    </row>
    <row r="416" spans="2:21" x14ac:dyDescent="0.25">
      <c r="B416" s="16"/>
      <c r="C416" s="16"/>
      <c r="D416" s="16"/>
      <c r="E416" s="16"/>
      <c r="F416" s="54"/>
      <c r="T416" s="57" t="s">
        <v>590</v>
      </c>
      <c r="U416" s="57" t="s">
        <v>590</v>
      </c>
    </row>
    <row r="417" spans="2:21" x14ac:dyDescent="0.25">
      <c r="B417" s="16"/>
      <c r="C417" s="16"/>
      <c r="D417" s="16"/>
      <c r="E417" s="16"/>
      <c r="F417" s="54"/>
      <c r="T417" s="57" t="s">
        <v>590</v>
      </c>
      <c r="U417" s="57" t="s">
        <v>590</v>
      </c>
    </row>
    <row r="418" spans="2:21" x14ac:dyDescent="0.25">
      <c r="B418" s="16"/>
      <c r="C418" s="16"/>
      <c r="D418" s="16"/>
      <c r="E418" s="16"/>
      <c r="T418" s="57" t="s">
        <v>590</v>
      </c>
      <c r="U418" s="57" t="s">
        <v>590</v>
      </c>
    </row>
    <row r="419" spans="2:21" x14ac:dyDescent="0.25">
      <c r="B419" s="16"/>
      <c r="C419" s="16"/>
      <c r="D419" s="16"/>
      <c r="E419" s="16"/>
      <c r="F419" s="54"/>
      <c r="T419" s="57" t="s">
        <v>590</v>
      </c>
      <c r="U419" s="57" t="s">
        <v>590</v>
      </c>
    </row>
    <row r="420" spans="2:21" x14ac:dyDescent="0.25">
      <c r="B420" s="16"/>
      <c r="C420" s="16"/>
      <c r="D420" s="16"/>
      <c r="E420" s="16"/>
      <c r="T420" s="57" t="s">
        <v>590</v>
      </c>
      <c r="U420" s="57" t="s">
        <v>590</v>
      </c>
    </row>
    <row r="421" spans="2:21" x14ac:dyDescent="0.25">
      <c r="B421" s="16"/>
      <c r="C421" s="16"/>
      <c r="D421" s="16"/>
      <c r="E421" s="16"/>
      <c r="T421" s="57" t="s">
        <v>590</v>
      </c>
      <c r="U421" s="57" t="s">
        <v>590</v>
      </c>
    </row>
    <row r="422" spans="2:21" x14ac:dyDescent="0.25">
      <c r="B422" s="16"/>
      <c r="C422" s="16"/>
      <c r="D422" s="16"/>
      <c r="E422" s="16"/>
      <c r="F422" s="54"/>
      <c r="T422" s="57" t="s">
        <v>590</v>
      </c>
      <c r="U422" s="57" t="s">
        <v>590</v>
      </c>
    </row>
    <row r="423" spans="2:21" x14ac:dyDescent="0.25">
      <c r="B423" s="16"/>
      <c r="C423" s="16"/>
      <c r="D423" s="16"/>
      <c r="E423" s="16"/>
      <c r="F423" s="54"/>
      <c r="T423" s="57" t="s">
        <v>590</v>
      </c>
      <c r="U423" s="57" t="s">
        <v>590</v>
      </c>
    </row>
    <row r="424" spans="2:21" x14ac:dyDescent="0.25">
      <c r="B424" s="16"/>
      <c r="C424" s="16"/>
      <c r="D424" s="16"/>
      <c r="E424" s="16"/>
      <c r="T424" s="57" t="s">
        <v>590</v>
      </c>
      <c r="U424" s="57" t="s">
        <v>590</v>
      </c>
    </row>
    <row r="425" spans="2:21" x14ac:dyDescent="0.25">
      <c r="B425" s="16"/>
      <c r="C425" s="16"/>
      <c r="D425" s="16"/>
      <c r="E425" s="16"/>
      <c r="F425" s="54"/>
      <c r="T425" s="57" t="s">
        <v>590</v>
      </c>
      <c r="U425" s="57" t="s">
        <v>590</v>
      </c>
    </row>
    <row r="426" spans="2:21" x14ac:dyDescent="0.25">
      <c r="B426" s="16"/>
      <c r="C426" s="16"/>
      <c r="D426" s="16"/>
      <c r="E426" s="16"/>
      <c r="T426" s="57" t="s">
        <v>590</v>
      </c>
      <c r="U426" s="57" t="s">
        <v>590</v>
      </c>
    </row>
    <row r="427" spans="2:21" x14ac:dyDescent="0.25">
      <c r="B427" s="16"/>
      <c r="C427" s="16"/>
      <c r="D427" s="16"/>
      <c r="E427" s="16"/>
      <c r="T427" s="57" t="s">
        <v>590</v>
      </c>
      <c r="U427" s="57" t="s">
        <v>590</v>
      </c>
    </row>
    <row r="428" spans="2:21" x14ac:dyDescent="0.25">
      <c r="B428" s="16"/>
      <c r="C428" s="16"/>
      <c r="D428" s="16"/>
      <c r="E428" s="16"/>
      <c r="F428" s="54"/>
      <c r="T428" s="57" t="s">
        <v>590</v>
      </c>
      <c r="U428" s="57" t="s">
        <v>590</v>
      </c>
    </row>
    <row r="429" spans="2:21" x14ac:dyDescent="0.25">
      <c r="B429" s="16"/>
      <c r="C429" s="16"/>
      <c r="D429" s="16"/>
      <c r="E429" s="16"/>
      <c r="F429" s="54"/>
      <c r="T429" s="57" t="s">
        <v>590</v>
      </c>
      <c r="U429" s="57" t="s">
        <v>590</v>
      </c>
    </row>
    <row r="430" spans="2:21" x14ac:dyDescent="0.25">
      <c r="B430" s="16"/>
      <c r="C430" s="16"/>
      <c r="D430" s="16"/>
      <c r="E430" s="16"/>
      <c r="F430" s="54"/>
      <c r="T430" s="57" t="s">
        <v>590</v>
      </c>
      <c r="U430" s="57" t="s">
        <v>590</v>
      </c>
    </row>
    <row r="431" spans="2:21" x14ac:dyDescent="0.25">
      <c r="B431" s="16"/>
      <c r="C431" s="16"/>
      <c r="D431" s="16"/>
      <c r="E431" s="16"/>
      <c r="F431" s="54"/>
      <c r="T431" s="57" t="s">
        <v>590</v>
      </c>
      <c r="U431" s="57" t="s">
        <v>590</v>
      </c>
    </row>
    <row r="432" spans="2:21" x14ac:dyDescent="0.25">
      <c r="B432" s="16"/>
      <c r="C432" s="16"/>
      <c r="D432" s="16"/>
      <c r="E432" s="16"/>
      <c r="F432" s="54"/>
      <c r="T432" s="57" t="s">
        <v>590</v>
      </c>
      <c r="U432" s="57" t="s">
        <v>590</v>
      </c>
    </row>
    <row r="433" spans="2:21" x14ac:dyDescent="0.25">
      <c r="B433" s="16"/>
      <c r="C433" s="16"/>
      <c r="D433" s="16"/>
      <c r="E433" s="16"/>
      <c r="F433" s="54"/>
      <c r="T433" s="57" t="s">
        <v>590</v>
      </c>
      <c r="U433" s="57" t="s">
        <v>590</v>
      </c>
    </row>
    <row r="434" spans="2:21" x14ac:dyDescent="0.25">
      <c r="B434" s="16"/>
      <c r="C434" s="16"/>
      <c r="D434" s="16"/>
      <c r="E434" s="16"/>
      <c r="T434" s="57" t="s">
        <v>590</v>
      </c>
      <c r="U434" s="57" t="s">
        <v>590</v>
      </c>
    </row>
    <row r="435" spans="2:21" x14ac:dyDescent="0.25">
      <c r="B435" s="16"/>
      <c r="C435" s="16"/>
      <c r="D435" s="16"/>
      <c r="E435" s="16"/>
      <c r="F435" s="54"/>
      <c r="T435" s="57" t="s">
        <v>590</v>
      </c>
      <c r="U435" s="57" t="s">
        <v>590</v>
      </c>
    </row>
    <row r="436" spans="2:21" x14ac:dyDescent="0.25">
      <c r="B436" s="16"/>
      <c r="C436" s="16"/>
      <c r="D436" s="16"/>
      <c r="E436" s="16"/>
      <c r="F436" s="54"/>
      <c r="T436" s="57" t="s">
        <v>590</v>
      </c>
      <c r="U436" s="57" t="s">
        <v>590</v>
      </c>
    </row>
    <row r="437" spans="2:21" x14ac:dyDescent="0.25">
      <c r="B437" s="16"/>
      <c r="C437" s="16"/>
      <c r="D437" s="16"/>
      <c r="E437" s="16"/>
      <c r="F437" s="54"/>
      <c r="T437" s="57" t="s">
        <v>590</v>
      </c>
      <c r="U437" s="57" t="s">
        <v>590</v>
      </c>
    </row>
    <row r="438" spans="2:21" x14ac:dyDescent="0.25">
      <c r="B438" s="16"/>
      <c r="C438" s="16"/>
      <c r="D438" s="16"/>
      <c r="E438" s="16"/>
      <c r="F438" s="54"/>
      <c r="T438" s="57" t="s">
        <v>590</v>
      </c>
      <c r="U438" s="57" t="s">
        <v>590</v>
      </c>
    </row>
    <row r="439" spans="2:21" x14ac:dyDescent="0.25">
      <c r="B439" s="16"/>
      <c r="C439" s="16"/>
      <c r="D439" s="16"/>
      <c r="E439" s="16"/>
      <c r="F439" s="54"/>
      <c r="T439" s="57" t="s">
        <v>590</v>
      </c>
      <c r="U439" s="57" t="s">
        <v>590</v>
      </c>
    </row>
    <row r="440" spans="2:21" x14ac:dyDescent="0.25">
      <c r="B440" s="16"/>
      <c r="C440" s="16"/>
      <c r="D440" s="16"/>
      <c r="E440" s="16"/>
      <c r="F440" s="54"/>
      <c r="T440" s="57" t="s">
        <v>590</v>
      </c>
      <c r="U440" s="57" t="s">
        <v>590</v>
      </c>
    </row>
    <row r="441" spans="2:21" x14ac:dyDescent="0.25">
      <c r="B441" s="16"/>
      <c r="C441" s="16"/>
      <c r="D441" s="16"/>
      <c r="E441" s="16"/>
      <c r="F441" s="54"/>
      <c r="T441" s="57" t="s">
        <v>590</v>
      </c>
      <c r="U441" s="57" t="s">
        <v>590</v>
      </c>
    </row>
    <row r="442" spans="2:21" x14ac:dyDescent="0.25">
      <c r="B442" s="16"/>
      <c r="C442" s="16"/>
      <c r="D442" s="16"/>
      <c r="E442" s="16"/>
      <c r="F442" s="54"/>
      <c r="T442" s="57" t="s">
        <v>590</v>
      </c>
      <c r="U442" s="57" t="s">
        <v>590</v>
      </c>
    </row>
    <row r="443" spans="2:21" x14ac:dyDescent="0.25">
      <c r="B443" s="16"/>
      <c r="C443" s="16"/>
      <c r="D443" s="16"/>
      <c r="E443" s="16"/>
      <c r="F443" s="54"/>
      <c r="T443" s="57" t="s">
        <v>590</v>
      </c>
      <c r="U443" s="57" t="s">
        <v>590</v>
      </c>
    </row>
    <row r="444" spans="2:21" x14ac:dyDescent="0.25">
      <c r="B444" s="16"/>
      <c r="C444" s="16"/>
      <c r="D444" s="16"/>
      <c r="E444" s="16"/>
      <c r="T444" s="57" t="s">
        <v>590</v>
      </c>
      <c r="U444" s="57" t="s">
        <v>590</v>
      </c>
    </row>
    <row r="445" spans="2:21" x14ac:dyDescent="0.25">
      <c r="B445" s="16"/>
      <c r="C445" s="16"/>
      <c r="D445" s="16"/>
      <c r="E445" s="16"/>
      <c r="T445" s="57" t="s">
        <v>590</v>
      </c>
      <c r="U445" s="57" t="s">
        <v>590</v>
      </c>
    </row>
    <row r="446" spans="2:21" x14ac:dyDescent="0.25">
      <c r="B446" s="16"/>
      <c r="C446" s="16"/>
      <c r="D446" s="16"/>
      <c r="E446" s="16"/>
      <c r="F446" s="54"/>
      <c r="T446" s="57" t="s">
        <v>590</v>
      </c>
      <c r="U446" s="57" t="s">
        <v>590</v>
      </c>
    </row>
    <row r="447" spans="2:21" x14ac:dyDescent="0.25">
      <c r="B447" s="16"/>
      <c r="C447" s="16"/>
      <c r="D447" s="16"/>
      <c r="E447" s="16"/>
      <c r="F447" s="54"/>
      <c r="T447" s="57" t="s">
        <v>590</v>
      </c>
      <c r="U447" s="57" t="s">
        <v>590</v>
      </c>
    </row>
    <row r="448" spans="2:21" x14ac:dyDescent="0.25">
      <c r="B448" s="16"/>
      <c r="C448" s="16"/>
      <c r="D448" s="16"/>
      <c r="E448" s="16"/>
      <c r="F448" s="54"/>
      <c r="T448" s="57" t="s">
        <v>590</v>
      </c>
      <c r="U448" s="57" t="s">
        <v>590</v>
      </c>
    </row>
    <row r="449" spans="2:21" x14ac:dyDescent="0.25">
      <c r="B449" s="16"/>
      <c r="C449" s="16"/>
      <c r="D449" s="16"/>
      <c r="E449" s="16"/>
      <c r="T449" s="57" t="s">
        <v>590</v>
      </c>
      <c r="U449" s="57" t="s">
        <v>590</v>
      </c>
    </row>
    <row r="450" spans="2:21" x14ac:dyDescent="0.25">
      <c r="B450" s="16"/>
      <c r="C450" s="16"/>
      <c r="D450" s="16"/>
      <c r="E450" s="16"/>
      <c r="F450" s="54"/>
      <c r="T450" s="57" t="s">
        <v>590</v>
      </c>
      <c r="U450" s="57" t="s">
        <v>590</v>
      </c>
    </row>
    <row r="451" spans="2:21" x14ac:dyDescent="0.25">
      <c r="B451" s="16"/>
      <c r="C451" s="16"/>
      <c r="D451" s="16"/>
      <c r="E451" s="16"/>
      <c r="F451" s="54"/>
      <c r="T451" s="57" t="s">
        <v>590</v>
      </c>
      <c r="U451" s="57" t="s">
        <v>590</v>
      </c>
    </row>
    <row r="452" spans="2:21" x14ac:dyDescent="0.25">
      <c r="B452" s="16"/>
      <c r="C452" s="16"/>
      <c r="D452" s="16"/>
      <c r="E452" s="16"/>
      <c r="F452" s="54"/>
      <c r="T452" s="57" t="s">
        <v>590</v>
      </c>
      <c r="U452" s="57" t="s">
        <v>590</v>
      </c>
    </row>
    <row r="453" spans="2:21" x14ac:dyDescent="0.25">
      <c r="B453" s="16"/>
      <c r="C453" s="16"/>
      <c r="D453" s="16"/>
      <c r="E453" s="16"/>
      <c r="F453" s="54"/>
      <c r="T453" s="58" t="s">
        <v>590</v>
      </c>
      <c r="U453" s="57" t="s">
        <v>908</v>
      </c>
    </row>
    <row r="454" spans="2:21" x14ac:dyDescent="0.25">
      <c r="B454" s="16"/>
      <c r="C454" s="16"/>
      <c r="D454" s="16"/>
      <c r="E454" s="16"/>
      <c r="T454" s="57" t="s">
        <v>590</v>
      </c>
      <c r="U454" s="57" t="s">
        <v>590</v>
      </c>
    </row>
    <row r="455" spans="2:21" x14ac:dyDescent="0.25">
      <c r="B455" s="16"/>
      <c r="C455" s="16"/>
      <c r="D455" s="16"/>
      <c r="E455" s="16"/>
      <c r="T455" s="57" t="s">
        <v>590</v>
      </c>
      <c r="U455" s="57" t="s">
        <v>911</v>
      </c>
    </row>
    <row r="456" spans="2:21" x14ac:dyDescent="0.25">
      <c r="B456" s="16"/>
      <c r="C456" s="16"/>
      <c r="D456" s="16"/>
      <c r="E456" s="16"/>
      <c r="T456" s="57" t="s">
        <v>590</v>
      </c>
      <c r="U456" s="57" t="s">
        <v>590</v>
      </c>
    </row>
    <row r="457" spans="2:21" x14ac:dyDescent="0.25">
      <c r="B457" s="16"/>
      <c r="C457" s="16"/>
      <c r="D457" s="16"/>
      <c r="E457" s="16"/>
      <c r="F457" s="54"/>
      <c r="T457" s="57" t="s">
        <v>590</v>
      </c>
      <c r="U457" s="57" t="s">
        <v>590</v>
      </c>
    </row>
    <row r="458" spans="2:21" x14ac:dyDescent="0.25">
      <c r="B458" s="16"/>
      <c r="C458" s="16"/>
      <c r="D458" s="16"/>
      <c r="E458" s="16"/>
      <c r="F458" s="54"/>
      <c r="T458" s="57" t="s">
        <v>590</v>
      </c>
      <c r="U458" s="57" t="s">
        <v>590</v>
      </c>
    </row>
    <row r="459" spans="2:21" x14ac:dyDescent="0.25">
      <c r="B459" s="16"/>
      <c r="C459" s="16"/>
      <c r="D459" s="16"/>
      <c r="E459" s="16"/>
      <c r="F459" s="54"/>
      <c r="T459" s="57" t="s">
        <v>590</v>
      </c>
      <c r="U459" s="57" t="s">
        <v>590</v>
      </c>
    </row>
    <row r="460" spans="2:21" x14ac:dyDescent="0.25">
      <c r="B460" s="16"/>
      <c r="C460" s="16"/>
      <c r="D460" s="16"/>
      <c r="E460" s="16"/>
      <c r="F460" s="54"/>
      <c r="T460" s="57" t="s">
        <v>590</v>
      </c>
      <c r="U460" s="57" t="s">
        <v>590</v>
      </c>
    </row>
    <row r="461" spans="2:21" x14ac:dyDescent="0.25">
      <c r="B461" s="16"/>
      <c r="C461" s="16"/>
      <c r="D461" s="16"/>
      <c r="E461" s="16"/>
      <c r="F461" s="54"/>
      <c r="T461" s="57" t="s">
        <v>590</v>
      </c>
      <c r="U461" s="57" t="s">
        <v>590</v>
      </c>
    </row>
    <row r="462" spans="2:21" x14ac:dyDescent="0.25">
      <c r="B462" s="16"/>
      <c r="C462" s="16"/>
      <c r="D462" s="16"/>
      <c r="E462" s="16"/>
      <c r="F462" s="54"/>
      <c r="T462" s="57" t="s">
        <v>590</v>
      </c>
      <c r="U462" s="57" t="s">
        <v>590</v>
      </c>
    </row>
    <row r="463" spans="2:21" x14ac:dyDescent="0.25">
      <c r="B463" s="16"/>
      <c r="C463" s="16"/>
      <c r="D463" s="16"/>
      <c r="E463" s="16"/>
      <c r="F463" s="54"/>
      <c r="T463" s="57" t="s">
        <v>590</v>
      </c>
      <c r="U463" s="57" t="s">
        <v>590</v>
      </c>
    </row>
    <row r="464" spans="2:21" x14ac:dyDescent="0.25">
      <c r="B464" s="16"/>
      <c r="C464" s="16"/>
      <c r="D464" s="16"/>
      <c r="E464" s="16"/>
      <c r="F464" s="54"/>
      <c r="T464" s="57" t="s">
        <v>590</v>
      </c>
      <c r="U464" s="57" t="s">
        <v>590</v>
      </c>
    </row>
    <row r="465" spans="2:21" x14ac:dyDescent="0.25">
      <c r="B465" s="16"/>
      <c r="C465" s="16"/>
      <c r="D465" s="16"/>
      <c r="E465" s="16"/>
      <c r="F465" s="54"/>
      <c r="T465" s="57" t="s">
        <v>590</v>
      </c>
      <c r="U465" s="57" t="s">
        <v>590</v>
      </c>
    </row>
    <row r="466" spans="2:21" x14ac:dyDescent="0.25">
      <c r="B466" s="16"/>
      <c r="C466" s="16"/>
      <c r="D466" s="16"/>
      <c r="E466" s="16"/>
      <c r="F466" s="54"/>
      <c r="T466" s="57" t="s">
        <v>590</v>
      </c>
      <c r="U466" s="57" t="s">
        <v>908</v>
      </c>
    </row>
    <row r="467" spans="2:21" x14ac:dyDescent="0.25">
      <c r="B467" s="16"/>
      <c r="C467" s="16"/>
      <c r="D467" s="16"/>
      <c r="E467" s="16"/>
      <c r="F467" s="54"/>
      <c r="T467" s="57" t="s">
        <v>590</v>
      </c>
      <c r="U467" s="57" t="s">
        <v>916</v>
      </c>
    </row>
    <row r="468" spans="2:21" x14ac:dyDescent="0.25">
      <c r="B468" s="16"/>
      <c r="C468" s="16"/>
      <c r="D468" s="16"/>
      <c r="E468" s="16"/>
      <c r="F468" s="54"/>
      <c r="T468" s="57" t="s">
        <v>590</v>
      </c>
      <c r="U468" s="57" t="s">
        <v>590</v>
      </c>
    </row>
    <row r="469" spans="2:21" x14ac:dyDescent="0.25">
      <c r="B469" s="16"/>
      <c r="C469" s="16"/>
      <c r="D469" s="16"/>
      <c r="E469" s="16"/>
      <c r="F469" s="54"/>
      <c r="T469" s="57" t="s">
        <v>590</v>
      </c>
      <c r="U469" s="57" t="s">
        <v>910</v>
      </c>
    </row>
    <row r="470" spans="2:21" x14ac:dyDescent="0.25">
      <c r="B470" s="16"/>
      <c r="C470" s="16"/>
      <c r="D470" s="16"/>
      <c r="E470" s="16"/>
      <c r="F470" s="54"/>
      <c r="T470" s="57" t="s">
        <v>590</v>
      </c>
      <c r="U470" s="57" t="s">
        <v>590</v>
      </c>
    </row>
    <row r="471" spans="2:21" x14ac:dyDescent="0.25">
      <c r="B471" s="16"/>
      <c r="C471" s="16"/>
      <c r="D471" s="16"/>
      <c r="E471" s="16"/>
      <c r="F471" s="54"/>
      <c r="T471" s="57" t="s">
        <v>590</v>
      </c>
      <c r="U471" s="57" t="s">
        <v>590</v>
      </c>
    </row>
    <row r="472" spans="2:21" x14ac:dyDescent="0.25">
      <c r="B472" s="16"/>
      <c r="C472" s="16"/>
      <c r="D472" s="16"/>
      <c r="E472" s="16"/>
      <c r="F472" s="54"/>
      <c r="T472" s="57" t="s">
        <v>590</v>
      </c>
      <c r="U472" s="57" t="s">
        <v>590</v>
      </c>
    </row>
    <row r="473" spans="2:21" x14ac:dyDescent="0.25">
      <c r="B473" s="16"/>
      <c r="C473" s="16"/>
      <c r="D473" s="16"/>
      <c r="E473" s="16"/>
      <c r="F473" s="54"/>
      <c r="T473" s="57" t="s">
        <v>590</v>
      </c>
      <c r="U473" s="57" t="s">
        <v>590</v>
      </c>
    </row>
    <row r="474" spans="2:21" x14ac:dyDescent="0.25">
      <c r="B474" s="16"/>
      <c r="C474" s="16"/>
      <c r="D474" s="16"/>
      <c r="E474" s="16"/>
      <c r="F474" s="54"/>
      <c r="T474" s="57" t="s">
        <v>590</v>
      </c>
      <c r="U474" s="57" t="s">
        <v>590</v>
      </c>
    </row>
    <row r="475" spans="2:21" x14ac:dyDescent="0.25">
      <c r="B475" s="16"/>
      <c r="C475" s="16"/>
      <c r="D475" s="16"/>
      <c r="E475" s="16"/>
      <c r="F475" s="54"/>
      <c r="T475" s="57" t="s">
        <v>590</v>
      </c>
      <c r="U475" s="57" t="s">
        <v>590</v>
      </c>
    </row>
    <row r="476" spans="2:21" x14ac:dyDescent="0.25">
      <c r="B476" s="16"/>
      <c r="C476" s="16"/>
      <c r="D476" s="16"/>
      <c r="E476" s="16"/>
      <c r="F476" s="54"/>
      <c r="T476" s="57" t="s">
        <v>590</v>
      </c>
      <c r="U476" s="57" t="s">
        <v>590</v>
      </c>
    </row>
    <row r="477" spans="2:21" x14ac:dyDescent="0.25">
      <c r="B477" s="16"/>
      <c r="C477" s="16"/>
      <c r="D477" s="16"/>
      <c r="E477" s="16"/>
      <c r="F477" s="54"/>
      <c r="T477" s="57" t="s">
        <v>590</v>
      </c>
      <c r="U477" s="57" t="s">
        <v>917</v>
      </c>
    </row>
    <row r="478" spans="2:21" x14ac:dyDescent="0.25">
      <c r="B478" s="16"/>
      <c r="C478" s="16"/>
      <c r="D478" s="16"/>
      <c r="E478" s="16"/>
      <c r="F478" s="54"/>
      <c r="T478" s="57" t="s">
        <v>590</v>
      </c>
      <c r="U478" s="57" t="s">
        <v>909</v>
      </c>
    </row>
    <row r="479" spans="2:21" x14ac:dyDescent="0.25">
      <c r="B479" s="16"/>
      <c r="C479" s="16"/>
      <c r="D479" s="16"/>
      <c r="E479" s="16"/>
      <c r="F479" s="54"/>
    </row>
    <row r="480" spans="2:21" x14ac:dyDescent="0.25">
      <c r="B480" s="16"/>
      <c r="C480" s="16"/>
      <c r="D480" s="16"/>
      <c r="E480" s="16"/>
      <c r="F480" s="54"/>
    </row>
    <row r="481" spans="2:6" x14ac:dyDescent="0.25">
      <c r="B481" s="16"/>
      <c r="C481" s="16"/>
      <c r="D481" s="16"/>
      <c r="E481" s="16"/>
      <c r="F481" s="54"/>
    </row>
    <row r="482" spans="2:6" x14ac:dyDescent="0.25">
      <c r="B482" s="16"/>
      <c r="C482" s="16"/>
      <c r="D482" s="16"/>
      <c r="E482" s="16"/>
      <c r="F482" s="54"/>
    </row>
    <row r="483" spans="2:6" x14ac:dyDescent="0.25">
      <c r="B483" s="16"/>
      <c r="C483" s="16"/>
      <c r="D483" s="16"/>
      <c r="E483" s="16"/>
      <c r="F483" s="54"/>
    </row>
    <row r="484" spans="2:6" x14ac:dyDescent="0.25">
      <c r="B484" s="16"/>
      <c r="C484" s="16"/>
      <c r="D484" s="16"/>
      <c r="E484" s="16"/>
      <c r="F484" s="54"/>
    </row>
    <row r="485" spans="2:6" x14ac:dyDescent="0.25">
      <c r="B485" s="16"/>
      <c r="C485" s="16"/>
      <c r="D485" s="16"/>
      <c r="E485" s="16"/>
      <c r="F485" s="54"/>
    </row>
    <row r="486" spans="2:6" x14ac:dyDescent="0.25">
      <c r="B486" s="16"/>
      <c r="C486" s="16"/>
      <c r="D486" s="16"/>
      <c r="E486" s="16"/>
      <c r="F486" s="54"/>
    </row>
    <row r="487" spans="2:6" x14ac:dyDescent="0.25">
      <c r="B487" s="16"/>
      <c r="C487" s="16"/>
      <c r="D487" s="16"/>
      <c r="E487" s="16"/>
      <c r="F487" s="54"/>
    </row>
    <row r="488" spans="2:6" x14ac:dyDescent="0.25">
      <c r="B488" s="16"/>
      <c r="C488" s="16"/>
      <c r="D488" s="16"/>
      <c r="E488" s="16"/>
      <c r="F488" s="54"/>
    </row>
    <row r="489" spans="2:6" x14ac:dyDescent="0.25">
      <c r="B489" s="16"/>
      <c r="C489" s="16"/>
      <c r="D489" s="16"/>
      <c r="E489" s="16"/>
      <c r="F489" s="54"/>
    </row>
    <row r="490" spans="2:6" x14ac:dyDescent="0.25">
      <c r="B490" s="16"/>
      <c r="C490" s="16"/>
      <c r="D490" s="16"/>
      <c r="E490" s="16"/>
      <c r="F490" s="54"/>
    </row>
    <row r="491" spans="2:6" x14ac:dyDescent="0.25">
      <c r="B491" s="16"/>
      <c r="C491" s="16"/>
      <c r="D491" s="16"/>
      <c r="E491" s="16"/>
      <c r="F491" s="54"/>
    </row>
    <row r="492" spans="2:6" x14ac:dyDescent="0.25">
      <c r="B492" s="16"/>
      <c r="C492" s="16"/>
      <c r="D492" s="16"/>
      <c r="E492" s="16"/>
      <c r="F492" s="54"/>
    </row>
    <row r="493" spans="2:6" x14ac:dyDescent="0.25">
      <c r="B493" s="16"/>
      <c r="C493" s="16"/>
      <c r="D493" s="16"/>
      <c r="E493" s="16"/>
    </row>
    <row r="494" spans="2:6" x14ac:dyDescent="0.25">
      <c r="B494" s="16"/>
      <c r="C494" s="16"/>
      <c r="D494" s="16"/>
      <c r="E494" s="16"/>
    </row>
    <row r="495" spans="2:6" x14ac:dyDescent="0.25">
      <c r="B495" s="16"/>
      <c r="C495" s="16"/>
      <c r="D495" s="16"/>
      <c r="E495" s="16"/>
    </row>
    <row r="496" spans="2:6" x14ac:dyDescent="0.25">
      <c r="B496" s="16"/>
      <c r="C496" s="16"/>
      <c r="D496" s="16"/>
      <c r="E496" s="16"/>
      <c r="F496" s="54"/>
    </row>
    <row r="497" spans="2:6" x14ac:dyDescent="0.25">
      <c r="B497" s="16"/>
      <c r="C497" s="16"/>
      <c r="D497" s="16"/>
      <c r="E497" s="16"/>
      <c r="F497" s="54"/>
    </row>
    <row r="498" spans="2:6" x14ac:dyDescent="0.25">
      <c r="B498" s="16"/>
      <c r="C498" s="16"/>
      <c r="D498" s="16"/>
      <c r="E498" s="16"/>
      <c r="F498" s="54"/>
    </row>
    <row r="499" spans="2:6" x14ac:dyDescent="0.25">
      <c r="B499" s="16"/>
      <c r="C499" s="16"/>
      <c r="D499" s="16"/>
      <c r="E499" s="16"/>
    </row>
    <row r="500" spans="2:6" x14ac:dyDescent="0.25">
      <c r="B500" s="16"/>
      <c r="C500" s="16"/>
      <c r="D500" s="16"/>
      <c r="E500" s="16"/>
    </row>
    <row r="501" spans="2:6" x14ac:dyDescent="0.25">
      <c r="B501" s="16"/>
      <c r="C501" s="16"/>
      <c r="D501" s="16"/>
      <c r="E501" s="16"/>
      <c r="F501" s="54"/>
    </row>
    <row r="502" spans="2:6" x14ac:dyDescent="0.25">
      <c r="B502" s="16"/>
      <c r="C502" s="16"/>
      <c r="D502" s="16"/>
      <c r="E502" s="16"/>
      <c r="F502" s="54"/>
    </row>
    <row r="503" spans="2:6" x14ac:dyDescent="0.25">
      <c r="B503" s="16"/>
      <c r="C503" s="16"/>
      <c r="D503" s="16"/>
      <c r="E503" s="16"/>
      <c r="F503" s="54"/>
    </row>
    <row r="504" spans="2:6" x14ac:dyDescent="0.25">
      <c r="B504" s="16"/>
      <c r="C504" s="16"/>
      <c r="D504" s="16"/>
      <c r="E504" s="16"/>
      <c r="F504" s="54"/>
    </row>
    <row r="505" spans="2:6" x14ac:dyDescent="0.25">
      <c r="B505" s="16"/>
      <c r="C505" s="16"/>
      <c r="D505" s="16"/>
      <c r="E505" s="16"/>
      <c r="F505" s="54"/>
    </row>
    <row r="506" spans="2:6" x14ac:dyDescent="0.25">
      <c r="B506" s="16"/>
      <c r="C506" s="16"/>
      <c r="D506" s="16"/>
      <c r="E506" s="16"/>
    </row>
    <row r="507" spans="2:6" x14ac:dyDescent="0.25">
      <c r="B507" s="16"/>
      <c r="C507" s="16"/>
      <c r="D507" s="16"/>
      <c r="E507" s="16"/>
    </row>
    <row r="508" spans="2:6" x14ac:dyDescent="0.25">
      <c r="B508" s="16"/>
      <c r="C508" s="16"/>
      <c r="D508" s="16"/>
      <c r="E508" s="16"/>
      <c r="F508" s="54"/>
    </row>
    <row r="509" spans="2:6" x14ac:dyDescent="0.25">
      <c r="B509" s="16"/>
      <c r="C509" s="16"/>
      <c r="D509" s="16"/>
      <c r="E509" s="16"/>
    </row>
    <row r="510" spans="2:6" x14ac:dyDescent="0.25">
      <c r="B510" s="16"/>
      <c r="C510" s="16"/>
      <c r="D510" s="16"/>
      <c r="E510" s="16"/>
    </row>
    <row r="511" spans="2:6" x14ac:dyDescent="0.25">
      <c r="B511" s="16"/>
      <c r="C511" s="16"/>
      <c r="D511" s="16"/>
      <c r="E511" s="16"/>
      <c r="F511" s="54"/>
    </row>
    <row r="512" spans="2:6" x14ac:dyDescent="0.25">
      <c r="B512" s="16"/>
      <c r="C512" s="16"/>
      <c r="D512" s="16"/>
      <c r="E512" s="16"/>
    </row>
    <row r="513" spans="2:6" x14ac:dyDescent="0.25">
      <c r="B513" s="16"/>
      <c r="C513" s="16"/>
      <c r="D513" s="16"/>
      <c r="E513" s="16"/>
      <c r="F513" s="54"/>
    </row>
    <row r="514" spans="2:6" x14ac:dyDescent="0.25">
      <c r="B514" s="16"/>
      <c r="C514" s="16"/>
      <c r="D514" s="16"/>
      <c r="E514" s="16"/>
      <c r="F514" s="54"/>
    </row>
    <row r="515" spans="2:6" x14ac:dyDescent="0.25">
      <c r="B515" s="16"/>
      <c r="C515" s="16"/>
      <c r="D515" s="16"/>
      <c r="E515" s="16"/>
      <c r="F515" s="54"/>
    </row>
    <row r="516" spans="2:6" x14ac:dyDescent="0.25">
      <c r="B516" s="16"/>
      <c r="C516" s="16"/>
      <c r="D516" s="16"/>
      <c r="E516" s="16"/>
      <c r="F516" s="54"/>
    </row>
    <row r="517" spans="2:6" x14ac:dyDescent="0.25">
      <c r="B517" s="16"/>
      <c r="C517" s="16"/>
      <c r="D517" s="16"/>
      <c r="E517" s="16"/>
    </row>
    <row r="518" spans="2:6" x14ac:dyDescent="0.25">
      <c r="B518" s="16"/>
      <c r="C518" s="16"/>
      <c r="D518" s="16"/>
      <c r="E518" s="16"/>
      <c r="F518" s="54"/>
    </row>
    <row r="519" spans="2:6" x14ac:dyDescent="0.25">
      <c r="B519" s="16"/>
      <c r="C519" s="16"/>
      <c r="D519" s="16"/>
      <c r="E519" s="16"/>
      <c r="F519" s="54"/>
    </row>
    <row r="520" spans="2:6" x14ac:dyDescent="0.25">
      <c r="B520" s="16"/>
      <c r="C520" s="16"/>
      <c r="D520" s="16"/>
      <c r="E520" s="16"/>
      <c r="F520" s="54"/>
    </row>
    <row r="521" spans="2:6" x14ac:dyDescent="0.25">
      <c r="B521" s="16"/>
      <c r="C521" s="16"/>
      <c r="D521" s="16"/>
      <c r="E521" s="16"/>
      <c r="F521" s="54"/>
    </row>
    <row r="522" spans="2:6" x14ac:dyDescent="0.25">
      <c r="B522" s="16"/>
      <c r="C522" s="16"/>
      <c r="D522" s="16"/>
      <c r="E522" s="16"/>
      <c r="F522" s="54"/>
    </row>
    <row r="523" spans="2:6" x14ac:dyDescent="0.25">
      <c r="B523" s="16"/>
      <c r="C523" s="16"/>
      <c r="D523" s="16"/>
      <c r="E523" s="16"/>
    </row>
    <row r="524" spans="2:6" x14ac:dyDescent="0.25">
      <c r="B524" s="16"/>
      <c r="C524" s="16"/>
      <c r="D524" s="16"/>
      <c r="E524" s="16"/>
    </row>
    <row r="525" spans="2:6" x14ac:dyDescent="0.25">
      <c r="B525" s="16"/>
      <c r="C525" s="16"/>
      <c r="D525" s="16"/>
      <c r="E525" s="16"/>
    </row>
    <row r="526" spans="2:6" x14ac:dyDescent="0.25">
      <c r="B526" s="16"/>
      <c r="C526" s="16"/>
      <c r="D526" s="16"/>
      <c r="E526" s="16"/>
      <c r="F526" s="54"/>
    </row>
    <row r="527" spans="2:6" x14ac:dyDescent="0.25">
      <c r="B527" s="16"/>
      <c r="C527" s="16"/>
      <c r="D527" s="16"/>
      <c r="E527" s="16"/>
    </row>
    <row r="528" spans="2:6" x14ac:dyDescent="0.25">
      <c r="B528" s="16"/>
      <c r="C528" s="16"/>
      <c r="D528" s="16"/>
      <c r="E528" s="16"/>
      <c r="F528" s="54"/>
    </row>
    <row r="529" spans="2:6" x14ac:dyDescent="0.25">
      <c r="B529" s="16"/>
      <c r="C529" s="16"/>
      <c r="D529" s="16"/>
      <c r="E529" s="16"/>
      <c r="F529" s="54"/>
    </row>
    <row r="530" spans="2:6" x14ac:dyDescent="0.25">
      <c r="B530" s="16"/>
      <c r="C530" s="16"/>
      <c r="D530" s="16"/>
      <c r="E530" s="16"/>
    </row>
    <row r="531" spans="2:6" x14ac:dyDescent="0.25">
      <c r="B531" s="16"/>
      <c r="C531" s="16"/>
      <c r="D531" s="16"/>
      <c r="E531" s="16"/>
      <c r="F531" s="54"/>
    </row>
    <row r="532" spans="2:6" x14ac:dyDescent="0.25">
      <c r="B532" s="16"/>
      <c r="C532" s="16"/>
      <c r="D532" s="16"/>
      <c r="E532" s="16"/>
    </row>
    <row r="533" spans="2:6" x14ac:dyDescent="0.25">
      <c r="B533" s="16"/>
      <c r="C533" s="16"/>
      <c r="D533" s="16"/>
      <c r="E533" s="16"/>
    </row>
    <row r="534" spans="2:6" x14ac:dyDescent="0.25">
      <c r="B534" s="16"/>
      <c r="C534" s="16"/>
      <c r="D534" s="16"/>
      <c r="E534" s="16"/>
      <c r="F534" s="54"/>
    </row>
    <row r="535" spans="2:6" x14ac:dyDescent="0.25">
      <c r="B535" s="16"/>
      <c r="C535" s="16"/>
      <c r="D535" s="16"/>
      <c r="E535" s="16"/>
      <c r="F535" s="54"/>
    </row>
    <row r="536" spans="2:6" x14ac:dyDescent="0.25">
      <c r="B536" s="16"/>
      <c r="C536" s="16"/>
      <c r="D536" s="16"/>
      <c r="E536" s="16"/>
    </row>
    <row r="537" spans="2:6" x14ac:dyDescent="0.25">
      <c r="B537" s="16"/>
      <c r="C537" s="16"/>
      <c r="D537" s="16"/>
      <c r="E537" s="16"/>
    </row>
    <row r="538" spans="2:6" x14ac:dyDescent="0.25">
      <c r="B538" s="16"/>
      <c r="C538" s="16"/>
      <c r="D538" s="16"/>
      <c r="E538" s="16"/>
    </row>
    <row r="539" spans="2:6" x14ac:dyDescent="0.25">
      <c r="B539" s="16"/>
      <c r="C539" s="16"/>
      <c r="D539" s="16"/>
      <c r="E539" s="16"/>
    </row>
    <row r="540" spans="2:6" x14ac:dyDescent="0.25">
      <c r="B540" s="16"/>
      <c r="C540" s="16"/>
      <c r="D540" s="16"/>
      <c r="E540" s="16"/>
    </row>
    <row r="541" spans="2:6" x14ac:dyDescent="0.25">
      <c r="B541" s="16"/>
      <c r="C541" s="16"/>
      <c r="D541" s="16"/>
      <c r="E541" s="16"/>
      <c r="F541" s="54"/>
    </row>
    <row r="542" spans="2:6" x14ac:dyDescent="0.25">
      <c r="B542" s="16"/>
      <c r="C542" s="16"/>
      <c r="D542" s="16"/>
      <c r="E542" s="16"/>
      <c r="F542" s="54"/>
    </row>
    <row r="543" spans="2:6" x14ac:dyDescent="0.25">
      <c r="B543" s="16"/>
      <c r="C543" s="16"/>
      <c r="D543" s="16"/>
      <c r="E543" s="16"/>
    </row>
    <row r="544" spans="2:6" x14ac:dyDescent="0.25">
      <c r="B544" s="16"/>
      <c r="C544" s="16"/>
      <c r="D544" s="16"/>
      <c r="E544" s="16"/>
      <c r="F544" s="54"/>
    </row>
    <row r="545" spans="2:6" x14ac:dyDescent="0.25">
      <c r="B545" s="16"/>
      <c r="C545" s="16"/>
      <c r="D545" s="16"/>
      <c r="E545" s="16"/>
      <c r="F545" s="54"/>
    </row>
    <row r="546" spans="2:6" x14ac:dyDescent="0.25">
      <c r="B546" s="16"/>
      <c r="C546" s="16"/>
      <c r="D546" s="16"/>
      <c r="E546" s="16"/>
    </row>
    <row r="547" spans="2:6" x14ac:dyDescent="0.25">
      <c r="B547" s="16"/>
      <c r="C547" s="16"/>
      <c r="D547" s="16"/>
      <c r="E547" s="16"/>
      <c r="F547" s="54"/>
    </row>
    <row r="548" spans="2:6" x14ac:dyDescent="0.25">
      <c r="B548" s="16"/>
      <c r="C548" s="16"/>
      <c r="D548" s="16"/>
      <c r="E548" s="16"/>
      <c r="F548" s="54"/>
    </row>
    <row r="549" spans="2:6" x14ac:dyDescent="0.25">
      <c r="B549" s="16"/>
      <c r="C549" s="16"/>
      <c r="D549" s="16"/>
      <c r="E549" s="16"/>
    </row>
    <row r="550" spans="2:6" x14ac:dyDescent="0.25">
      <c r="B550" s="16"/>
      <c r="C550" s="16"/>
      <c r="D550" s="16"/>
      <c r="E550" s="16"/>
      <c r="F550" s="54"/>
    </row>
    <row r="551" spans="2:6" x14ac:dyDescent="0.25">
      <c r="B551" s="16"/>
      <c r="C551" s="16"/>
      <c r="D551" s="16"/>
      <c r="E551" s="16"/>
      <c r="F551" s="54"/>
    </row>
    <row r="552" spans="2:6" x14ac:dyDescent="0.25">
      <c r="B552" s="16"/>
      <c r="C552" s="16"/>
      <c r="D552" s="16"/>
      <c r="E552" s="16"/>
    </row>
    <row r="553" spans="2:6" x14ac:dyDescent="0.25">
      <c r="B553" s="16"/>
      <c r="C553" s="16"/>
      <c r="D553" s="16"/>
      <c r="E553" s="16"/>
      <c r="F553" s="54"/>
    </row>
    <row r="554" spans="2:6" x14ac:dyDescent="0.25">
      <c r="B554" s="16"/>
      <c r="C554" s="16"/>
      <c r="D554" s="16"/>
      <c r="E554" s="16"/>
      <c r="F554" s="54"/>
    </row>
    <row r="555" spans="2:6" x14ac:dyDescent="0.25">
      <c r="B555" s="16"/>
      <c r="C555" s="16"/>
      <c r="D555" s="16"/>
      <c r="E555" s="16"/>
    </row>
    <row r="556" spans="2:6" x14ac:dyDescent="0.25">
      <c r="B556" s="16"/>
      <c r="C556" s="16"/>
      <c r="D556" s="16"/>
      <c r="E556" s="16"/>
      <c r="F556" s="54"/>
    </row>
    <row r="557" spans="2:6" x14ac:dyDescent="0.25">
      <c r="B557" s="16"/>
      <c r="C557" s="16"/>
      <c r="D557" s="16"/>
      <c r="E557" s="16"/>
      <c r="F557" s="54"/>
    </row>
    <row r="558" spans="2:6" x14ac:dyDescent="0.25">
      <c r="B558" s="16"/>
      <c r="C558" s="16"/>
      <c r="D558" s="16"/>
      <c r="E558" s="16"/>
    </row>
    <row r="559" spans="2:6" x14ac:dyDescent="0.25">
      <c r="B559" s="16"/>
      <c r="C559" s="16"/>
      <c r="D559" s="16"/>
      <c r="E559" s="16"/>
    </row>
    <row r="560" spans="2:6" x14ac:dyDescent="0.25">
      <c r="B560" s="16"/>
      <c r="C560" s="16"/>
      <c r="D560" s="16"/>
      <c r="E560" s="16"/>
      <c r="F560" s="54"/>
    </row>
    <row r="561" spans="2:6" x14ac:dyDescent="0.25">
      <c r="B561" s="16"/>
      <c r="C561" s="16"/>
      <c r="D561" s="16"/>
      <c r="E561" s="16"/>
    </row>
    <row r="562" spans="2:6" x14ac:dyDescent="0.25">
      <c r="B562" s="16"/>
      <c r="C562" s="16"/>
      <c r="D562" s="16"/>
      <c r="E562" s="16"/>
      <c r="F562" s="54"/>
    </row>
    <row r="563" spans="2:6" x14ac:dyDescent="0.25">
      <c r="B563" s="16"/>
      <c r="C563" s="16"/>
      <c r="D563" s="16"/>
      <c r="E563" s="16"/>
      <c r="F563" s="54"/>
    </row>
    <row r="564" spans="2:6" x14ac:dyDescent="0.25">
      <c r="B564" s="16"/>
      <c r="C564" s="16"/>
      <c r="D564" s="16"/>
      <c r="E564" s="16"/>
      <c r="F564" s="54"/>
    </row>
    <row r="565" spans="2:6" x14ac:dyDescent="0.25">
      <c r="B565" s="16"/>
      <c r="C565" s="16"/>
      <c r="D565" s="16"/>
      <c r="E565" s="16"/>
    </row>
    <row r="566" spans="2:6" x14ac:dyDescent="0.25">
      <c r="B566" s="16"/>
      <c r="C566" s="16"/>
      <c r="D566" s="16"/>
      <c r="E566" s="16"/>
    </row>
    <row r="567" spans="2:6" x14ac:dyDescent="0.25">
      <c r="B567" s="16"/>
      <c r="C567" s="16"/>
      <c r="D567" s="16"/>
      <c r="E567" s="16"/>
    </row>
    <row r="568" spans="2:6" x14ac:dyDescent="0.25">
      <c r="B568" s="16"/>
      <c r="C568" s="16"/>
      <c r="D568" s="16"/>
      <c r="E568" s="16"/>
      <c r="F568" s="54"/>
    </row>
    <row r="569" spans="2:6" x14ac:dyDescent="0.25">
      <c r="B569" s="16"/>
      <c r="C569" s="16"/>
      <c r="D569" s="16"/>
      <c r="E569" s="16"/>
    </row>
    <row r="570" spans="2:6" x14ac:dyDescent="0.25">
      <c r="B570" s="16"/>
      <c r="C570" s="16"/>
      <c r="D570" s="16"/>
      <c r="E570" s="16"/>
    </row>
    <row r="571" spans="2:6" x14ac:dyDescent="0.25">
      <c r="B571" s="16"/>
      <c r="C571" s="16"/>
      <c r="D571" s="16"/>
      <c r="E571" s="16"/>
      <c r="F571" s="54"/>
    </row>
    <row r="572" spans="2:6" x14ac:dyDescent="0.25">
      <c r="B572" s="16"/>
      <c r="C572" s="16"/>
      <c r="D572" s="16"/>
      <c r="E572" s="16"/>
    </row>
    <row r="573" spans="2:6" x14ac:dyDescent="0.25">
      <c r="B573" s="16"/>
      <c r="C573" s="16"/>
      <c r="D573" s="16"/>
      <c r="E573" s="16"/>
    </row>
    <row r="574" spans="2:6" x14ac:dyDescent="0.25">
      <c r="B574" s="16"/>
      <c r="C574" s="16"/>
      <c r="D574" s="16"/>
      <c r="E574" s="16"/>
    </row>
    <row r="575" spans="2:6" x14ac:dyDescent="0.25">
      <c r="B575" s="16"/>
      <c r="C575" s="16"/>
      <c r="D575" s="16"/>
      <c r="E575" s="16"/>
      <c r="F575" s="54"/>
    </row>
    <row r="576" spans="2:6" x14ac:dyDescent="0.25">
      <c r="B576" s="16"/>
      <c r="C576" s="16"/>
      <c r="D576" s="16"/>
      <c r="E576" s="16"/>
    </row>
    <row r="577" spans="2:6" x14ac:dyDescent="0.25">
      <c r="B577" s="16"/>
      <c r="C577" s="16"/>
      <c r="D577" s="16"/>
      <c r="E577" s="16"/>
    </row>
    <row r="578" spans="2:6" x14ac:dyDescent="0.25">
      <c r="B578" s="16"/>
      <c r="C578" s="16"/>
      <c r="D578" s="16"/>
      <c r="E578" s="16"/>
      <c r="F578" s="54"/>
    </row>
    <row r="579" spans="2:6" x14ac:dyDescent="0.25">
      <c r="B579" s="16"/>
      <c r="C579" s="16"/>
      <c r="D579" s="16"/>
      <c r="E579" s="16"/>
    </row>
    <row r="580" spans="2:6" x14ac:dyDescent="0.25">
      <c r="B580" s="16"/>
      <c r="C580" s="16"/>
      <c r="D580" s="16"/>
      <c r="E580" s="16"/>
      <c r="F580" s="54"/>
    </row>
    <row r="581" spans="2:6" x14ac:dyDescent="0.25">
      <c r="B581" s="16"/>
      <c r="C581" s="16"/>
      <c r="D581" s="16"/>
      <c r="E581" s="16"/>
      <c r="F581" s="54"/>
    </row>
    <row r="582" spans="2:6" x14ac:dyDescent="0.25">
      <c r="B582" s="16"/>
      <c r="C582" s="16"/>
      <c r="D582" s="16"/>
      <c r="E582" s="16"/>
    </row>
    <row r="583" spans="2:6" x14ac:dyDescent="0.25">
      <c r="B583" s="16"/>
      <c r="C583" s="16"/>
      <c r="D583" s="16"/>
      <c r="E583" s="16"/>
    </row>
    <row r="584" spans="2:6" x14ac:dyDescent="0.25">
      <c r="B584" s="16"/>
      <c r="C584" s="16"/>
      <c r="D584" s="16"/>
      <c r="E584" s="16"/>
      <c r="F584" s="54"/>
    </row>
    <row r="585" spans="2:6" x14ac:dyDescent="0.25">
      <c r="B585" s="16"/>
      <c r="C585" s="16"/>
      <c r="D585" s="16"/>
      <c r="E585" s="16"/>
      <c r="F585" s="54"/>
    </row>
    <row r="586" spans="2:6" x14ac:dyDescent="0.25">
      <c r="B586" s="16"/>
      <c r="C586" s="16"/>
      <c r="D586" s="16"/>
      <c r="E586" s="16"/>
    </row>
    <row r="587" spans="2:6" x14ac:dyDescent="0.25">
      <c r="B587" s="16"/>
      <c r="C587" s="16"/>
      <c r="D587" s="16"/>
      <c r="E587" s="16"/>
      <c r="F587" s="54"/>
    </row>
    <row r="588" spans="2:6" x14ac:dyDescent="0.25">
      <c r="B588" s="16"/>
      <c r="C588" s="16"/>
      <c r="D588" s="16"/>
      <c r="E588" s="16"/>
    </row>
    <row r="589" spans="2:6" x14ac:dyDescent="0.25">
      <c r="B589" s="16"/>
      <c r="C589" s="16"/>
      <c r="D589" s="16"/>
      <c r="E589" s="16"/>
    </row>
    <row r="590" spans="2:6" x14ac:dyDescent="0.25">
      <c r="B590" s="16"/>
      <c r="C590" s="16"/>
      <c r="D590" s="16"/>
      <c r="E590" s="16"/>
      <c r="F590" s="54"/>
    </row>
    <row r="591" spans="2:6" x14ac:dyDescent="0.25">
      <c r="B591" s="16"/>
      <c r="C591" s="16"/>
      <c r="D591" s="16"/>
      <c r="E591" s="16"/>
      <c r="F591" s="54"/>
    </row>
    <row r="592" spans="2:6" x14ac:dyDescent="0.25">
      <c r="B592" s="16"/>
      <c r="C592" s="16"/>
      <c r="D592" s="16"/>
      <c r="E592" s="16"/>
    </row>
    <row r="593" spans="2:6" x14ac:dyDescent="0.25">
      <c r="B593" s="16"/>
      <c r="C593" s="16"/>
      <c r="D593" s="16"/>
      <c r="E593" s="16"/>
      <c r="F593" s="54"/>
    </row>
    <row r="594" spans="2:6" x14ac:dyDescent="0.25">
      <c r="B594" s="16"/>
      <c r="C594" s="16"/>
      <c r="D594" s="16"/>
      <c r="E594" s="16"/>
      <c r="F594" s="54"/>
    </row>
    <row r="595" spans="2:6" x14ac:dyDescent="0.25">
      <c r="B595" s="16"/>
      <c r="C595" s="16"/>
      <c r="D595" s="16"/>
      <c r="E595" s="16"/>
    </row>
    <row r="596" spans="2:6" x14ac:dyDescent="0.25">
      <c r="B596" s="16"/>
      <c r="C596" s="16"/>
      <c r="D596" s="16"/>
      <c r="E596" s="16"/>
    </row>
    <row r="597" spans="2:6" x14ac:dyDescent="0.25">
      <c r="B597" s="16"/>
      <c r="C597" s="16"/>
      <c r="D597" s="16"/>
      <c r="E597" s="16"/>
      <c r="F597" s="54"/>
    </row>
    <row r="598" spans="2:6" x14ac:dyDescent="0.25">
      <c r="B598" s="16"/>
      <c r="C598" s="16"/>
      <c r="D598" s="16"/>
      <c r="E598" s="16"/>
      <c r="F598" s="54"/>
    </row>
    <row r="599" spans="2:6" x14ac:dyDescent="0.25">
      <c r="B599" s="16"/>
      <c r="C599" s="16"/>
      <c r="D599" s="16"/>
      <c r="E599" s="16"/>
    </row>
    <row r="600" spans="2:6" x14ac:dyDescent="0.25">
      <c r="B600" s="16"/>
      <c r="C600" s="16"/>
      <c r="D600" s="16"/>
      <c r="E600" s="16"/>
    </row>
    <row r="601" spans="2:6" x14ac:dyDescent="0.25">
      <c r="B601" s="16"/>
      <c r="C601" s="16"/>
      <c r="D601" s="16"/>
      <c r="E601" s="16"/>
      <c r="F601" s="54"/>
    </row>
    <row r="602" spans="2:6" x14ac:dyDescent="0.25">
      <c r="B602" s="16"/>
      <c r="C602" s="16"/>
      <c r="D602" s="16"/>
      <c r="E602" s="16"/>
      <c r="F602" s="54"/>
    </row>
    <row r="603" spans="2:6" x14ac:dyDescent="0.25">
      <c r="B603" s="16"/>
      <c r="C603" s="16"/>
      <c r="D603" s="16"/>
      <c r="E603" s="16"/>
    </row>
    <row r="604" spans="2:6" x14ac:dyDescent="0.25">
      <c r="B604" s="16"/>
      <c r="C604" s="16"/>
      <c r="D604" s="16"/>
      <c r="E604" s="16"/>
    </row>
  </sheetData>
  <sortState ref="B36:B42">
    <sortCondition ref="B36"/>
  </sortState>
  <pageMargins left="0.7" right="0.7" top="0.75" bottom="0.75" header="0.3" footer="0.3"/>
  <pageSetup orientation="portrait" horizontalDpi="4294967293" verticalDpi="4294967293"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53"/>
  <sheetViews>
    <sheetView topLeftCell="A13" zoomScaleNormal="100" workbookViewId="0">
      <selection activeCell="B476" sqref="B476"/>
    </sheetView>
  </sheetViews>
  <sheetFormatPr baseColWidth="10" defaultColWidth="0" defaultRowHeight="15" customHeight="1" zeroHeight="1" x14ac:dyDescent="0.25"/>
  <cols>
    <col min="1" max="1" width="4.5703125" customWidth="1"/>
    <col min="2" max="2" width="1.28515625" customWidth="1"/>
    <col min="3" max="3" width="4.5703125" customWidth="1"/>
    <col min="4" max="4" width="5.28515625" customWidth="1"/>
    <col min="5" max="5" width="4.140625" customWidth="1"/>
    <col min="6" max="6" width="13" customWidth="1"/>
    <col min="7" max="7" width="1.5703125" customWidth="1"/>
    <col min="8" max="8" width="1.7109375" customWidth="1"/>
    <col min="9" max="9" width="10" customWidth="1"/>
    <col min="10" max="10" width="9.85546875" customWidth="1"/>
    <col min="11" max="12" width="10.140625" customWidth="1"/>
    <col min="13" max="13" width="10.28515625" customWidth="1"/>
    <col min="14" max="14" width="10.5703125" customWidth="1"/>
    <col min="15" max="15" width="10.28515625" customWidth="1"/>
    <col min="16" max="16" width="3" customWidth="1"/>
    <col min="17" max="17" width="1.5703125" customWidth="1"/>
    <col min="18" max="18" width="4.42578125" customWidth="1"/>
    <col min="19" max="19" width="11.42578125" style="21" hidden="1" customWidth="1"/>
    <col min="20" max="22" width="11.42578125" hidden="1" customWidth="1"/>
    <col min="23" max="25" width="0" hidden="1" customWidth="1"/>
    <col min="26" max="16384" width="11.42578125" hidden="1"/>
  </cols>
  <sheetData>
    <row r="1" spans="1:19" x14ac:dyDescent="0.25">
      <c r="A1" s="21"/>
      <c r="B1" s="21"/>
      <c r="C1" s="21"/>
      <c r="D1" s="21"/>
      <c r="E1" s="21"/>
      <c r="F1" s="21"/>
      <c r="G1" s="21"/>
      <c r="H1" s="21"/>
      <c r="I1" s="21"/>
      <c r="J1" s="21"/>
      <c r="K1" s="21"/>
      <c r="L1" s="21"/>
      <c r="M1" s="21"/>
      <c r="N1" s="21"/>
      <c r="O1" s="21"/>
      <c r="P1" s="21"/>
      <c r="Q1" s="21"/>
      <c r="R1" s="21"/>
      <c r="S1"/>
    </row>
    <row r="2" spans="1:19" ht="12" customHeight="1" x14ac:dyDescent="0.25">
      <c r="A2" s="21"/>
      <c r="B2" s="27"/>
      <c r="C2" s="27"/>
      <c r="D2" s="27"/>
      <c r="E2" s="27"/>
      <c r="F2" s="27"/>
      <c r="G2" s="27"/>
      <c r="H2" s="27"/>
      <c r="I2" s="27"/>
      <c r="J2" s="27"/>
      <c r="K2" s="27"/>
      <c r="L2" s="27"/>
      <c r="M2" s="27"/>
      <c r="N2" s="27"/>
      <c r="O2" s="27"/>
      <c r="P2" s="27"/>
      <c r="Q2" s="27"/>
      <c r="R2" s="21"/>
      <c r="S2"/>
    </row>
    <row r="3" spans="1:19" ht="15.75" thickBot="1" x14ac:dyDescent="0.3">
      <c r="A3" s="21"/>
      <c r="B3" s="27"/>
      <c r="C3" s="21"/>
      <c r="D3" s="21"/>
      <c r="E3" s="21"/>
      <c r="F3" s="21"/>
      <c r="G3" s="27"/>
      <c r="H3" s="21"/>
      <c r="I3" s="21"/>
      <c r="J3" s="21"/>
      <c r="K3" s="21"/>
      <c r="L3" s="21"/>
      <c r="M3" s="21"/>
      <c r="N3" s="21"/>
      <c r="O3" s="21"/>
      <c r="P3" s="21"/>
      <c r="Q3" s="27"/>
      <c r="R3" s="21"/>
      <c r="S3"/>
    </row>
    <row r="4" spans="1:19" ht="14.25" customHeight="1" thickTop="1" x14ac:dyDescent="0.25">
      <c r="A4" s="21"/>
      <c r="B4" s="27"/>
      <c r="C4" s="21"/>
      <c r="D4" s="21"/>
      <c r="E4" s="21"/>
      <c r="F4" s="21"/>
      <c r="G4" s="27"/>
      <c r="H4" s="28"/>
      <c r="I4" s="1124" t="s">
        <v>411</v>
      </c>
      <c r="J4" s="1125"/>
      <c r="K4" s="1125"/>
      <c r="L4" s="1125"/>
      <c r="M4" s="1125"/>
      <c r="N4" s="1125"/>
      <c r="O4" s="1126"/>
      <c r="P4" s="21"/>
      <c r="Q4" s="27"/>
      <c r="R4" s="21"/>
      <c r="S4"/>
    </row>
    <row r="5" spans="1:19" ht="15" hidden="1" customHeight="1" x14ac:dyDescent="0.25">
      <c r="A5" s="21"/>
      <c r="B5" s="27"/>
      <c r="C5" s="21"/>
      <c r="D5" s="21"/>
      <c r="E5" s="21"/>
      <c r="F5" s="21"/>
      <c r="G5" s="27"/>
      <c r="H5" s="28"/>
      <c r="I5" s="1127"/>
      <c r="J5" s="1128"/>
      <c r="K5" s="1128"/>
      <c r="L5" s="1128"/>
      <c r="M5" s="1128"/>
      <c r="N5" s="1128"/>
      <c r="O5" s="1129"/>
      <c r="P5" s="21"/>
      <c r="Q5" s="27"/>
      <c r="R5" s="21"/>
      <c r="S5"/>
    </row>
    <row r="6" spans="1:19" x14ac:dyDescent="0.25">
      <c r="A6" s="21"/>
      <c r="B6" s="27"/>
      <c r="C6" s="21"/>
      <c r="D6" s="21"/>
      <c r="E6" s="21"/>
      <c r="F6" s="21"/>
      <c r="G6" s="27"/>
      <c r="H6" s="28"/>
      <c r="I6" s="1127"/>
      <c r="J6" s="1128"/>
      <c r="K6" s="1128"/>
      <c r="L6" s="1128"/>
      <c r="M6" s="1128"/>
      <c r="N6" s="1128"/>
      <c r="O6" s="1129"/>
      <c r="P6" s="21"/>
      <c r="Q6" s="27"/>
      <c r="R6" s="21"/>
      <c r="S6"/>
    </row>
    <row r="7" spans="1:19" ht="10.5" customHeight="1" x14ac:dyDescent="0.25">
      <c r="A7" s="21"/>
      <c r="B7" s="27"/>
      <c r="C7" s="21"/>
      <c r="D7" s="21"/>
      <c r="E7" s="21"/>
      <c r="F7" s="21"/>
      <c r="G7" s="27"/>
      <c r="H7" s="28"/>
      <c r="I7" s="1127" t="s">
        <v>412</v>
      </c>
      <c r="J7" s="1128"/>
      <c r="K7" s="1128"/>
      <c r="L7" s="1128"/>
      <c r="M7" s="1128"/>
      <c r="N7" s="1128"/>
      <c r="O7" s="1129"/>
      <c r="P7" s="21"/>
      <c r="Q7" s="27"/>
      <c r="R7" s="21"/>
      <c r="S7"/>
    </row>
    <row r="8" spans="1:19" x14ac:dyDescent="0.25">
      <c r="A8" s="21"/>
      <c r="B8" s="27"/>
      <c r="C8" s="21"/>
      <c r="D8" s="21"/>
      <c r="E8" s="21"/>
      <c r="F8" s="21"/>
      <c r="G8" s="27"/>
      <c r="H8" s="28"/>
      <c r="I8" s="1127"/>
      <c r="J8" s="1128"/>
      <c r="K8" s="1128"/>
      <c r="L8" s="1128"/>
      <c r="M8" s="1128"/>
      <c r="N8" s="1128"/>
      <c r="O8" s="1129"/>
      <c r="P8" s="21"/>
      <c r="Q8" s="27"/>
      <c r="R8" s="21"/>
      <c r="S8"/>
    </row>
    <row r="9" spans="1:19" x14ac:dyDescent="0.25">
      <c r="A9" s="21"/>
      <c r="B9" s="27"/>
      <c r="C9" s="21"/>
      <c r="D9" s="21"/>
      <c r="E9" s="21"/>
      <c r="F9" s="21"/>
      <c r="G9" s="27"/>
      <c r="H9" s="28"/>
      <c r="I9" s="1127"/>
      <c r="J9" s="1128"/>
      <c r="K9" s="1128"/>
      <c r="L9" s="1128"/>
      <c r="M9" s="1128"/>
      <c r="N9" s="1128"/>
      <c r="O9" s="1129"/>
      <c r="P9" s="21"/>
      <c r="Q9" s="27"/>
      <c r="R9" s="21"/>
      <c r="S9"/>
    </row>
    <row r="10" spans="1:19" ht="8.25" customHeight="1" thickBot="1" x14ac:dyDescent="0.3">
      <c r="A10" s="21"/>
      <c r="B10" s="27"/>
      <c r="C10" s="27"/>
      <c r="D10" s="27"/>
      <c r="E10" s="27"/>
      <c r="F10" s="27"/>
      <c r="G10" s="27"/>
      <c r="H10" s="28"/>
      <c r="I10" s="1130"/>
      <c r="J10" s="1131"/>
      <c r="K10" s="1131"/>
      <c r="L10" s="1131"/>
      <c r="M10" s="1131"/>
      <c r="N10" s="1131"/>
      <c r="O10" s="1132"/>
      <c r="P10" s="21"/>
      <c r="Q10" s="27"/>
      <c r="R10" s="21"/>
      <c r="S10"/>
    </row>
    <row r="11" spans="1:19" ht="16.5" thickTop="1" x14ac:dyDescent="0.25">
      <c r="A11" s="21"/>
      <c r="B11" s="27"/>
      <c r="C11" s="1133" t="s">
        <v>406</v>
      </c>
      <c r="D11" s="1133"/>
      <c r="E11" s="1133"/>
      <c r="F11" s="1133"/>
      <c r="G11" s="27"/>
      <c r="H11" s="21"/>
      <c r="I11" s="21"/>
      <c r="J11" s="21"/>
      <c r="K11" s="21"/>
      <c r="L11" s="21"/>
      <c r="M11" s="21"/>
      <c r="N11" s="21"/>
      <c r="O11" s="21"/>
      <c r="P11" s="21"/>
      <c r="Q11" s="27"/>
      <c r="R11" s="21"/>
      <c r="S11"/>
    </row>
    <row r="12" spans="1:19" ht="7.5" customHeight="1" x14ac:dyDescent="0.25">
      <c r="A12" s="21"/>
      <c r="B12" s="27"/>
      <c r="C12" s="27"/>
      <c r="D12" s="27"/>
      <c r="E12" s="27"/>
      <c r="F12" s="27"/>
      <c r="G12" s="27"/>
      <c r="H12" s="27"/>
      <c r="I12" s="27"/>
      <c r="J12" s="27"/>
      <c r="K12" s="27"/>
      <c r="L12" s="27"/>
      <c r="M12" s="27"/>
      <c r="N12" s="27"/>
      <c r="O12" s="27"/>
      <c r="P12" s="27"/>
      <c r="Q12" s="27"/>
      <c r="R12" s="21"/>
      <c r="S12"/>
    </row>
    <row r="13" spans="1:19" x14ac:dyDescent="0.25">
      <c r="A13" s="21"/>
      <c r="B13" s="21"/>
      <c r="C13" s="21"/>
      <c r="D13" s="21"/>
      <c r="E13" s="21"/>
      <c r="F13" s="21"/>
      <c r="G13" s="21"/>
      <c r="H13" s="21"/>
      <c r="I13" s="21"/>
      <c r="J13" s="21"/>
      <c r="K13" s="21"/>
      <c r="L13" s="21"/>
      <c r="M13" s="21"/>
      <c r="N13" s="21"/>
      <c r="O13" s="21"/>
      <c r="P13" s="21"/>
      <c r="Q13" s="21"/>
      <c r="R13" s="21"/>
      <c r="S13"/>
    </row>
    <row r="14" spans="1:19" ht="9" customHeight="1" x14ac:dyDescent="0.25">
      <c r="A14" s="21"/>
      <c r="B14" s="27"/>
      <c r="C14" s="27"/>
      <c r="D14" s="27"/>
      <c r="E14" s="27"/>
      <c r="F14" s="27"/>
      <c r="G14" s="27"/>
      <c r="H14" s="27"/>
      <c r="I14" s="27"/>
      <c r="J14" s="27"/>
      <c r="K14" s="27"/>
      <c r="L14" s="27"/>
      <c r="M14" s="27"/>
      <c r="N14" s="27"/>
      <c r="O14" s="27"/>
      <c r="P14" s="27"/>
      <c r="Q14" s="27"/>
      <c r="R14" s="21"/>
      <c r="S14"/>
    </row>
    <row r="15" spans="1:19" ht="21" x14ac:dyDescent="0.25">
      <c r="A15" s="21"/>
      <c r="B15" s="27"/>
      <c r="C15" s="1134" t="s">
        <v>413</v>
      </c>
      <c r="D15" s="1134"/>
      <c r="E15" s="1134"/>
      <c r="F15" s="1134"/>
      <c r="G15" s="1134"/>
      <c r="H15" s="1134"/>
      <c r="I15" s="1134"/>
      <c r="J15" s="1134"/>
      <c r="K15" s="1134"/>
      <c r="L15" s="1134"/>
      <c r="M15" s="1134"/>
      <c r="N15" s="1134"/>
      <c r="O15" s="1134"/>
      <c r="P15" s="1134"/>
      <c r="Q15" s="27"/>
      <c r="R15" s="21"/>
      <c r="S15"/>
    </row>
    <row r="16" spans="1:19" ht="8.25" customHeight="1" x14ac:dyDescent="0.25">
      <c r="A16" s="21"/>
      <c r="B16" s="27"/>
      <c r="C16" s="27"/>
      <c r="D16" s="27"/>
      <c r="E16" s="27"/>
      <c r="F16" s="27"/>
      <c r="G16" s="27"/>
      <c r="H16" s="27"/>
      <c r="I16" s="27"/>
      <c r="J16" s="27"/>
      <c r="K16" s="27"/>
      <c r="L16" s="27"/>
      <c r="M16" s="27"/>
      <c r="N16" s="27"/>
      <c r="O16" s="27"/>
      <c r="P16" s="27"/>
      <c r="Q16" s="27"/>
      <c r="R16" s="21"/>
      <c r="S16"/>
    </row>
    <row r="17" spans="1:19" x14ac:dyDescent="0.25">
      <c r="A17" s="21"/>
      <c r="B17" s="27"/>
      <c r="C17" s="21"/>
      <c r="D17" s="21"/>
      <c r="E17" s="21"/>
      <c r="F17" s="21"/>
      <c r="G17" s="21"/>
      <c r="H17" s="21"/>
      <c r="I17" s="21"/>
      <c r="J17" s="21"/>
      <c r="K17" s="21"/>
      <c r="L17" s="21"/>
      <c r="M17" s="21"/>
      <c r="N17" s="21"/>
      <c r="O17" s="21"/>
      <c r="P17" s="21"/>
      <c r="Q17" s="27"/>
      <c r="R17" s="21"/>
      <c r="S17"/>
    </row>
    <row r="18" spans="1:19" ht="18.75" customHeight="1" x14ac:dyDescent="0.25">
      <c r="A18" s="21"/>
      <c r="B18" s="27"/>
      <c r="C18" s="21"/>
      <c r="D18" s="1135" t="s">
        <v>1076</v>
      </c>
      <c r="E18" s="1135"/>
      <c r="F18" s="1135"/>
      <c r="G18" s="1135"/>
      <c r="H18" s="1135"/>
      <c r="I18" s="1135"/>
      <c r="J18" s="1135"/>
      <c r="K18" s="1135"/>
      <c r="L18" s="1135"/>
      <c r="M18" s="1135"/>
      <c r="N18" s="1135"/>
      <c r="O18" s="1135"/>
      <c r="P18" s="21"/>
      <c r="Q18" s="27"/>
      <c r="R18" s="21"/>
      <c r="S18"/>
    </row>
    <row r="19" spans="1:19" x14ac:dyDescent="0.25">
      <c r="A19" s="21"/>
      <c r="B19" s="27"/>
      <c r="C19" s="21"/>
      <c r="D19" s="1135"/>
      <c r="E19" s="1135"/>
      <c r="F19" s="1135"/>
      <c r="G19" s="1135"/>
      <c r="H19" s="1135"/>
      <c r="I19" s="1135"/>
      <c r="J19" s="1135"/>
      <c r="K19" s="1135"/>
      <c r="L19" s="1135"/>
      <c r="M19" s="1135"/>
      <c r="N19" s="1135"/>
      <c r="O19" s="1135"/>
      <c r="P19" s="21"/>
      <c r="Q19" s="27"/>
      <c r="R19" s="21"/>
      <c r="S19"/>
    </row>
    <row r="20" spans="1:19" ht="18.75" x14ac:dyDescent="0.3">
      <c r="A20" s="21"/>
      <c r="B20" s="27"/>
      <c r="C20" s="21"/>
      <c r="D20" s="21"/>
      <c r="E20" s="37"/>
      <c r="F20" s="36"/>
      <c r="G20" s="21"/>
      <c r="H20" s="21"/>
      <c r="I20" s="21"/>
      <c r="J20" s="21"/>
      <c r="K20" s="21"/>
      <c r="L20" s="21"/>
      <c r="M20" s="21"/>
      <c r="N20" s="21"/>
      <c r="O20" s="21"/>
      <c r="P20" s="21"/>
      <c r="Q20" s="27"/>
      <c r="R20" s="21"/>
      <c r="S20"/>
    </row>
    <row r="21" spans="1:19" ht="18.75" x14ac:dyDescent="0.3">
      <c r="A21" s="21"/>
      <c r="B21" s="27"/>
      <c r="C21" s="21"/>
      <c r="E21" s="191" t="s">
        <v>1078</v>
      </c>
      <c r="F21" s="36"/>
      <c r="G21" s="21"/>
      <c r="H21" s="21"/>
      <c r="I21" s="21"/>
      <c r="J21" s="21"/>
      <c r="K21" s="21"/>
      <c r="L21" s="21"/>
      <c r="M21" s="21"/>
      <c r="N21" s="21"/>
      <c r="O21" s="21"/>
      <c r="P21" s="21"/>
      <c r="Q21" s="27"/>
      <c r="R21" s="21"/>
      <c r="S21"/>
    </row>
    <row r="22" spans="1:19" ht="18.75" customHeight="1" x14ac:dyDescent="0.25">
      <c r="A22" s="21"/>
      <c r="B22" s="27"/>
      <c r="C22" s="21"/>
      <c r="D22" s="21"/>
      <c r="E22" s="1123" t="s">
        <v>1079</v>
      </c>
      <c r="F22" s="1123"/>
      <c r="G22" s="1123"/>
      <c r="H22" s="1123"/>
      <c r="I22" s="1123"/>
      <c r="J22" s="1123"/>
      <c r="K22" s="1123"/>
      <c r="L22" s="1123"/>
      <c r="M22" s="1123"/>
      <c r="N22" s="1123"/>
      <c r="O22" s="1123"/>
      <c r="P22" s="21"/>
      <c r="Q22" s="27"/>
      <c r="R22" s="21"/>
      <c r="S22"/>
    </row>
    <row r="23" spans="1:19" ht="18.75" customHeight="1" x14ac:dyDescent="0.25">
      <c r="A23" s="21"/>
      <c r="B23" s="27"/>
      <c r="C23" s="21"/>
      <c r="D23" s="21"/>
      <c r="E23" s="1123"/>
      <c r="F23" s="1123"/>
      <c r="G23" s="1123"/>
      <c r="H23" s="1123"/>
      <c r="I23" s="1123"/>
      <c r="J23" s="1123"/>
      <c r="K23" s="1123"/>
      <c r="L23" s="1123"/>
      <c r="M23" s="1123"/>
      <c r="N23" s="1123"/>
      <c r="O23" s="1123"/>
      <c r="P23" s="21"/>
      <c r="Q23" s="27"/>
      <c r="R23" s="21"/>
      <c r="S23"/>
    </row>
    <row r="24" spans="1:19" ht="18.75" x14ac:dyDescent="0.3">
      <c r="A24" s="21"/>
      <c r="B24" s="27"/>
      <c r="C24" s="21"/>
      <c r="D24" s="21"/>
      <c r="E24" s="36"/>
      <c r="F24" s="36"/>
      <c r="G24" s="21"/>
      <c r="H24" s="21"/>
      <c r="I24" s="21"/>
      <c r="J24" s="21"/>
      <c r="K24" s="21"/>
      <c r="L24" s="21"/>
      <c r="M24" s="21"/>
      <c r="N24" s="21"/>
      <c r="O24" s="21"/>
      <c r="P24" s="21"/>
      <c r="Q24" s="27"/>
      <c r="R24" s="21"/>
      <c r="S24"/>
    </row>
    <row r="25" spans="1:19" x14ac:dyDescent="0.25">
      <c r="A25" s="21"/>
      <c r="B25" s="27"/>
      <c r="C25" s="21"/>
      <c r="D25" s="192" t="s">
        <v>1077</v>
      </c>
      <c r="E25" s="191" t="s">
        <v>403</v>
      </c>
      <c r="F25" s="190"/>
      <c r="G25" s="193"/>
      <c r="H25" s="193"/>
      <c r="I25" s="193"/>
      <c r="J25" s="193"/>
      <c r="K25" s="193"/>
      <c r="L25" s="193"/>
      <c r="M25" s="193"/>
      <c r="N25" s="193"/>
      <c r="O25" s="193"/>
      <c r="P25" s="21"/>
      <c r="Q25" s="27"/>
      <c r="R25" s="21"/>
      <c r="S25"/>
    </row>
    <row r="26" spans="1:19" x14ac:dyDescent="0.25">
      <c r="A26" s="21"/>
      <c r="B26" s="27"/>
      <c r="C26" s="21"/>
      <c r="D26" s="21"/>
      <c r="E26" s="190" t="s">
        <v>1080</v>
      </c>
      <c r="F26" s="190"/>
      <c r="G26" s="193"/>
      <c r="H26" s="193"/>
      <c r="I26" s="193"/>
      <c r="J26" s="193"/>
      <c r="K26" s="193"/>
      <c r="L26" s="193"/>
      <c r="M26" s="193"/>
      <c r="N26" s="193"/>
      <c r="O26" s="193"/>
      <c r="P26" s="21"/>
      <c r="Q26" s="27"/>
      <c r="R26" s="21"/>
      <c r="S26"/>
    </row>
    <row r="27" spans="1:19" x14ac:dyDescent="0.25">
      <c r="A27" s="21"/>
      <c r="B27" s="27"/>
      <c r="C27" s="21"/>
      <c r="D27" s="21"/>
      <c r="E27" s="190"/>
      <c r="F27" s="190"/>
      <c r="G27" s="193"/>
      <c r="H27" s="193"/>
      <c r="I27" s="193"/>
      <c r="J27" s="193"/>
      <c r="K27" s="193"/>
      <c r="L27" s="193"/>
      <c r="M27" s="193"/>
      <c r="N27" s="193"/>
      <c r="O27" s="193"/>
      <c r="P27" s="21"/>
      <c r="Q27" s="27"/>
      <c r="R27" s="21"/>
      <c r="S27"/>
    </row>
    <row r="28" spans="1:19" x14ac:dyDescent="0.25">
      <c r="A28" s="21"/>
      <c r="B28" s="27"/>
      <c r="C28" s="21"/>
      <c r="D28" s="192" t="s">
        <v>1081</v>
      </c>
      <c r="E28" s="191" t="s">
        <v>1082</v>
      </c>
      <c r="F28" s="190"/>
      <c r="G28" s="193"/>
      <c r="H28" s="193"/>
      <c r="I28" s="193"/>
      <c r="J28" s="193"/>
      <c r="K28" s="193"/>
      <c r="L28" s="193"/>
      <c r="M28" s="193"/>
      <c r="N28" s="193"/>
      <c r="O28" s="193"/>
      <c r="P28" s="21"/>
      <c r="Q28" s="27"/>
      <c r="R28" s="21"/>
      <c r="S28"/>
    </row>
    <row r="29" spans="1:19" x14ac:dyDescent="0.25">
      <c r="A29" s="21"/>
      <c r="B29" s="27"/>
      <c r="C29" s="21"/>
      <c r="D29" s="21"/>
      <c r="E29" s="190" t="s">
        <v>1083</v>
      </c>
      <c r="F29" s="190"/>
      <c r="G29" s="193"/>
      <c r="H29" s="193"/>
      <c r="I29" s="193"/>
      <c r="J29" s="193"/>
      <c r="K29" s="193"/>
      <c r="L29" s="193"/>
      <c r="M29" s="193"/>
      <c r="N29" s="193"/>
      <c r="O29" s="193"/>
      <c r="P29" s="21"/>
      <c r="Q29" s="27"/>
      <c r="R29" s="21"/>
      <c r="S29"/>
    </row>
    <row r="30" spans="1:19" x14ac:dyDescent="0.25">
      <c r="A30" s="21"/>
      <c r="B30" s="27"/>
      <c r="C30" s="21"/>
      <c r="D30" s="21"/>
      <c r="E30" s="190" t="s">
        <v>1084</v>
      </c>
      <c r="F30" s="190"/>
      <c r="G30" s="193"/>
      <c r="H30" s="193"/>
      <c r="I30" s="193"/>
      <c r="J30" s="193"/>
      <c r="K30" s="193"/>
      <c r="L30" s="193"/>
      <c r="M30" s="193"/>
      <c r="N30" s="193"/>
      <c r="O30" s="193"/>
      <c r="P30" s="21"/>
      <c r="Q30" s="27"/>
      <c r="R30" s="21"/>
      <c r="S30"/>
    </row>
    <row r="31" spans="1:19" x14ac:dyDescent="0.25">
      <c r="A31" s="21"/>
      <c r="B31" s="27"/>
      <c r="C31" s="21"/>
      <c r="D31" s="21"/>
      <c r="E31" s="190"/>
      <c r="F31" s="190"/>
      <c r="G31" s="193"/>
      <c r="H31" s="193"/>
      <c r="I31" s="193"/>
      <c r="J31" s="193"/>
      <c r="K31" s="193"/>
      <c r="L31" s="193"/>
      <c r="M31" s="193"/>
      <c r="N31" s="193"/>
      <c r="O31" s="193"/>
      <c r="P31" s="21"/>
      <c r="Q31" s="27"/>
      <c r="R31" s="21"/>
      <c r="S31"/>
    </row>
    <row r="32" spans="1:19" x14ac:dyDescent="0.25">
      <c r="A32" s="21"/>
      <c r="B32" s="27"/>
      <c r="C32" s="21"/>
      <c r="D32" s="192" t="s">
        <v>1085</v>
      </c>
      <c r="E32" s="191" t="s">
        <v>1086</v>
      </c>
      <c r="F32" s="190"/>
      <c r="G32" s="193"/>
      <c r="H32" s="193"/>
      <c r="I32" s="193"/>
      <c r="J32" s="193"/>
      <c r="K32" s="193"/>
      <c r="L32" s="193"/>
      <c r="M32" s="193"/>
      <c r="N32" s="193"/>
      <c r="O32" s="193"/>
      <c r="P32" s="21"/>
      <c r="Q32" s="27"/>
      <c r="R32" s="21"/>
      <c r="S32"/>
    </row>
    <row r="33" spans="1:19" x14ac:dyDescent="0.25">
      <c r="A33" s="21"/>
      <c r="B33" s="27"/>
      <c r="C33" s="21"/>
      <c r="D33" s="21"/>
      <c r="E33" s="190" t="s">
        <v>1087</v>
      </c>
      <c r="F33" s="190"/>
      <c r="G33" s="193"/>
      <c r="H33" s="193"/>
      <c r="I33" s="193"/>
      <c r="J33" s="193"/>
      <c r="K33" s="193"/>
      <c r="L33" s="193"/>
      <c r="M33" s="193"/>
      <c r="N33" s="193"/>
      <c r="O33" s="193"/>
      <c r="P33" s="21"/>
      <c r="Q33" s="27"/>
      <c r="R33" s="21"/>
      <c r="S33"/>
    </row>
    <row r="34" spans="1:19" x14ac:dyDescent="0.25">
      <c r="A34" s="21"/>
      <c r="B34" s="27"/>
      <c r="C34" s="21"/>
      <c r="D34" s="21" t="s">
        <v>1088</v>
      </c>
      <c r="E34" s="1123" t="s">
        <v>1089</v>
      </c>
      <c r="F34" s="1123"/>
      <c r="G34" s="1123"/>
      <c r="H34" s="1123"/>
      <c r="I34" s="1123"/>
      <c r="J34" s="1123"/>
      <c r="K34" s="1123"/>
      <c r="L34" s="1123"/>
      <c r="M34" s="1123"/>
      <c r="N34" s="1123"/>
      <c r="O34" s="1123"/>
      <c r="P34" s="21"/>
      <c r="Q34" s="27"/>
      <c r="R34" s="21"/>
      <c r="S34"/>
    </row>
    <row r="35" spans="1:19" ht="18.75" x14ac:dyDescent="0.3">
      <c r="A35" s="21"/>
      <c r="B35" s="27"/>
      <c r="C35" s="21"/>
      <c r="D35" s="36"/>
      <c r="E35" s="1123"/>
      <c r="F35" s="1123"/>
      <c r="G35" s="1123"/>
      <c r="H35" s="1123"/>
      <c r="I35" s="1123"/>
      <c r="J35" s="1123"/>
      <c r="K35" s="1123"/>
      <c r="L35" s="1123"/>
      <c r="M35" s="1123"/>
      <c r="N35" s="1123"/>
      <c r="O35" s="1123"/>
      <c r="P35" s="21"/>
      <c r="Q35" s="27"/>
      <c r="R35" s="21"/>
      <c r="S35"/>
    </row>
    <row r="36" spans="1:19" s="57" customFormat="1" ht="18.75" x14ac:dyDescent="0.3">
      <c r="A36" s="59"/>
      <c r="B36" s="27"/>
      <c r="C36" s="59"/>
      <c r="D36" s="36"/>
      <c r="E36" s="1123" t="s">
        <v>1090</v>
      </c>
      <c r="F36" s="1123"/>
      <c r="G36" s="1123"/>
      <c r="H36" s="1123"/>
      <c r="I36" s="1123"/>
      <c r="J36" s="1123"/>
      <c r="K36" s="1123"/>
      <c r="L36" s="1123"/>
      <c r="M36" s="1123"/>
      <c r="N36" s="1123"/>
      <c r="O36" s="1123"/>
      <c r="P36" s="59"/>
      <c r="Q36" s="27"/>
      <c r="R36" s="59"/>
    </row>
    <row r="37" spans="1:19" s="57" customFormat="1" ht="18.75" x14ac:dyDescent="0.3">
      <c r="A37" s="59"/>
      <c r="B37" s="27"/>
      <c r="C37" s="59"/>
      <c r="D37" s="36"/>
      <c r="E37" s="1123"/>
      <c r="F37" s="1123"/>
      <c r="G37" s="1123"/>
      <c r="H37" s="1123"/>
      <c r="I37" s="1123"/>
      <c r="J37" s="1123"/>
      <c r="K37" s="1123"/>
      <c r="L37" s="1123"/>
      <c r="M37" s="1123"/>
      <c r="N37" s="1123"/>
      <c r="O37" s="1123"/>
      <c r="P37" s="59"/>
      <c r="Q37" s="27"/>
      <c r="R37" s="59"/>
    </row>
    <row r="38" spans="1:19" s="57" customFormat="1" ht="18.75" x14ac:dyDescent="0.3">
      <c r="A38" s="59"/>
      <c r="B38" s="27"/>
      <c r="C38" s="59"/>
      <c r="D38" s="36"/>
      <c r="E38" s="1123" t="s">
        <v>1091</v>
      </c>
      <c r="F38" s="1123"/>
      <c r="G38" s="1123"/>
      <c r="H38" s="1123"/>
      <c r="I38" s="1123"/>
      <c r="J38" s="1123"/>
      <c r="K38" s="1123"/>
      <c r="L38" s="1123"/>
      <c r="M38" s="1123"/>
      <c r="N38" s="1123"/>
      <c r="O38" s="1123"/>
      <c r="P38" s="59"/>
      <c r="Q38" s="27"/>
      <c r="R38" s="59"/>
    </row>
    <row r="39" spans="1:19" s="57" customFormat="1" ht="18.75" x14ac:dyDescent="0.3">
      <c r="A39" s="59"/>
      <c r="B39" s="27"/>
      <c r="C39" s="59"/>
      <c r="D39" s="36"/>
      <c r="E39" s="1123"/>
      <c r="F39" s="1123"/>
      <c r="G39" s="1123"/>
      <c r="H39" s="1123"/>
      <c r="I39" s="1123"/>
      <c r="J39" s="1123"/>
      <c r="K39" s="1123"/>
      <c r="L39" s="1123"/>
      <c r="M39" s="1123"/>
      <c r="N39" s="1123"/>
      <c r="O39" s="1123"/>
      <c r="P39" s="59"/>
      <c r="Q39" s="27"/>
      <c r="R39" s="59"/>
    </row>
    <row r="40" spans="1:19" x14ac:dyDescent="0.25">
      <c r="A40" s="21"/>
      <c r="B40" s="27"/>
      <c r="C40" s="21"/>
      <c r="E40" s="190"/>
      <c r="F40" s="193"/>
      <c r="G40" s="193"/>
      <c r="H40" s="193"/>
      <c r="I40" s="193"/>
      <c r="J40" s="193"/>
      <c r="K40" s="193"/>
      <c r="L40" s="193"/>
      <c r="M40" s="193"/>
      <c r="N40" s="193"/>
      <c r="O40" s="193"/>
      <c r="P40" s="21"/>
      <c r="Q40" s="27"/>
      <c r="R40" s="21"/>
      <c r="S40"/>
    </row>
    <row r="41" spans="1:19" x14ac:dyDescent="0.25">
      <c r="A41" s="21"/>
      <c r="B41" s="27"/>
      <c r="C41" s="21"/>
      <c r="D41" s="192" t="s">
        <v>1092</v>
      </c>
      <c r="E41" s="194" t="s">
        <v>1093</v>
      </c>
      <c r="F41" s="193"/>
      <c r="G41" s="193"/>
      <c r="H41" s="193"/>
      <c r="I41" s="193"/>
      <c r="J41" s="193"/>
      <c r="K41" s="193"/>
      <c r="L41" s="193"/>
      <c r="M41" s="193"/>
      <c r="N41" s="193"/>
      <c r="O41" s="193"/>
      <c r="P41" s="21"/>
      <c r="Q41" s="27"/>
      <c r="R41" s="21"/>
      <c r="S41"/>
    </row>
    <row r="42" spans="1:19" s="57" customFormat="1" x14ac:dyDescent="0.25">
      <c r="A42" s="59"/>
      <c r="B42" s="27"/>
      <c r="C42" s="59"/>
      <c r="D42" s="192"/>
      <c r="E42" s="194"/>
      <c r="F42" s="193"/>
      <c r="G42" s="193"/>
      <c r="H42" s="193"/>
      <c r="I42" s="193"/>
      <c r="J42" s="193"/>
      <c r="K42" s="193"/>
      <c r="L42" s="193"/>
      <c r="M42" s="193"/>
      <c r="N42" s="193"/>
      <c r="O42" s="193"/>
      <c r="P42" s="59"/>
      <c r="Q42" s="27"/>
      <c r="R42" s="59"/>
    </row>
    <row r="43" spans="1:19" x14ac:dyDescent="0.25">
      <c r="A43" s="21"/>
      <c r="B43" s="27"/>
      <c r="C43" s="21"/>
      <c r="D43" s="21"/>
      <c r="E43" s="193"/>
      <c r="F43" s="193"/>
      <c r="G43" s="193"/>
      <c r="H43" s="193"/>
      <c r="I43" s="193"/>
      <c r="J43" s="193"/>
      <c r="K43" s="193"/>
      <c r="L43" s="193"/>
      <c r="M43" s="193"/>
      <c r="N43" s="193"/>
      <c r="O43" s="193"/>
      <c r="P43" s="21"/>
      <c r="Q43" s="27"/>
      <c r="R43" s="21"/>
      <c r="S43"/>
    </row>
    <row r="44" spans="1:19" x14ac:dyDescent="0.25">
      <c r="A44" s="21"/>
      <c r="B44" s="27"/>
      <c r="C44" s="21"/>
      <c r="D44" s="21"/>
      <c r="E44" s="193"/>
      <c r="F44" s="193"/>
      <c r="G44" s="193"/>
      <c r="H44" s="193"/>
      <c r="I44" s="193"/>
      <c r="J44" s="193"/>
      <c r="K44" s="193"/>
      <c r="L44" s="193"/>
      <c r="M44" s="193"/>
      <c r="N44" s="193"/>
      <c r="O44" s="193"/>
      <c r="P44" s="21"/>
      <c r="Q44" s="27"/>
      <c r="R44" s="21"/>
      <c r="S44"/>
    </row>
    <row r="45" spans="1:19" x14ac:dyDescent="0.25">
      <c r="A45" s="21"/>
      <c r="B45" s="27"/>
      <c r="C45" s="21"/>
      <c r="D45" s="21"/>
      <c r="E45" s="193"/>
      <c r="F45" s="193"/>
      <c r="G45" s="193"/>
      <c r="H45" s="193"/>
      <c r="I45" s="193"/>
      <c r="J45" s="193"/>
      <c r="K45" s="193"/>
      <c r="L45" s="193"/>
      <c r="M45" s="193"/>
      <c r="N45" s="193"/>
      <c r="O45" s="193"/>
      <c r="P45" s="21"/>
      <c r="Q45" s="27"/>
      <c r="R45" s="21"/>
      <c r="S45"/>
    </row>
    <row r="46" spans="1:19" ht="9.75" customHeight="1" x14ac:dyDescent="0.25">
      <c r="A46" s="21"/>
      <c r="B46" s="27"/>
      <c r="C46" s="27"/>
      <c r="D46" s="27"/>
      <c r="E46" s="27"/>
      <c r="F46" s="27"/>
      <c r="G46" s="27"/>
      <c r="H46" s="27"/>
      <c r="I46" s="27"/>
      <c r="J46" s="27"/>
      <c r="K46" s="27"/>
      <c r="L46" s="27"/>
      <c r="M46" s="27"/>
      <c r="N46" s="27"/>
      <c r="O46" s="27"/>
      <c r="P46" s="27"/>
      <c r="Q46" s="27"/>
      <c r="R46" s="21"/>
      <c r="S46"/>
    </row>
    <row r="47" spans="1:19" x14ac:dyDescent="0.25">
      <c r="A47" s="21"/>
      <c r="B47" s="21"/>
      <c r="C47" s="21"/>
      <c r="D47" s="21"/>
      <c r="E47" s="21"/>
      <c r="F47" s="21"/>
      <c r="G47" s="21"/>
      <c r="H47" s="21"/>
      <c r="I47" s="21"/>
      <c r="J47" s="21"/>
      <c r="K47" s="21"/>
      <c r="L47" s="21"/>
      <c r="M47" s="21"/>
      <c r="N47" s="21"/>
      <c r="O47" s="21"/>
      <c r="P47" s="21"/>
      <c r="Q47" s="21"/>
      <c r="R47" s="21"/>
      <c r="S47"/>
    </row>
    <row r="48" spans="1:19" x14ac:dyDescent="0.25">
      <c r="A48" s="21"/>
      <c r="B48" s="21"/>
      <c r="C48" s="21"/>
      <c r="D48" s="21"/>
      <c r="E48" s="21"/>
      <c r="F48" s="21"/>
      <c r="G48" s="21"/>
      <c r="H48" s="21"/>
      <c r="I48" s="21"/>
      <c r="J48" s="21"/>
      <c r="K48" s="21"/>
      <c r="L48" s="21"/>
      <c r="M48" s="21"/>
      <c r="N48" s="21"/>
      <c r="O48" s="21"/>
      <c r="P48" s="21"/>
      <c r="Q48" s="21"/>
      <c r="R48" s="21"/>
      <c r="S48"/>
    </row>
    <row r="49" spans="1:19" x14ac:dyDescent="0.25">
      <c r="A49" s="21"/>
      <c r="B49" s="21"/>
      <c r="C49" s="21"/>
      <c r="D49" s="21"/>
      <c r="E49" s="21"/>
      <c r="F49" s="21"/>
      <c r="G49" s="21"/>
      <c r="H49" s="21"/>
      <c r="I49" s="21"/>
      <c r="J49" s="21"/>
      <c r="K49" s="21"/>
      <c r="L49" s="21"/>
      <c r="M49" s="21"/>
      <c r="N49" s="21"/>
      <c r="O49" s="21"/>
      <c r="P49" s="21"/>
      <c r="Q49" s="21"/>
      <c r="R49" s="21"/>
      <c r="S49"/>
    </row>
    <row r="50" spans="1:19" x14ac:dyDescent="0.25">
      <c r="A50" s="21"/>
      <c r="B50" s="21"/>
      <c r="C50" s="21"/>
      <c r="D50" s="21"/>
      <c r="E50" s="21"/>
      <c r="F50" s="21"/>
      <c r="G50" s="21"/>
      <c r="H50" s="21"/>
      <c r="I50" s="21"/>
      <c r="J50" s="21"/>
      <c r="K50" s="21"/>
      <c r="L50" s="21"/>
      <c r="M50" s="21"/>
      <c r="N50" s="21"/>
      <c r="O50" s="21"/>
      <c r="P50" s="21"/>
      <c r="Q50" s="21"/>
      <c r="R50" s="21"/>
      <c r="S50"/>
    </row>
    <row r="51" spans="1:19" x14ac:dyDescent="0.25">
      <c r="A51" s="21"/>
      <c r="B51" s="21"/>
      <c r="C51" s="21"/>
      <c r="D51" s="21"/>
      <c r="E51" s="21"/>
      <c r="F51" s="21"/>
      <c r="G51" s="21"/>
      <c r="H51" s="21"/>
      <c r="I51" s="21"/>
      <c r="J51" s="21"/>
      <c r="K51" s="21"/>
      <c r="L51" s="21"/>
      <c r="M51" s="21"/>
      <c r="N51" s="21"/>
      <c r="O51" s="21"/>
      <c r="P51" s="21"/>
      <c r="Q51" s="21"/>
      <c r="R51" s="21"/>
      <c r="S51"/>
    </row>
    <row r="52" spans="1:19" x14ac:dyDescent="0.25">
      <c r="A52" s="21"/>
      <c r="B52" s="21"/>
      <c r="C52" s="21"/>
      <c r="D52" s="21"/>
      <c r="E52" s="21"/>
      <c r="F52" s="21"/>
      <c r="G52" s="21"/>
      <c r="H52" s="21"/>
      <c r="I52" s="21"/>
      <c r="J52" s="21"/>
      <c r="K52" s="21"/>
      <c r="L52" s="21"/>
      <c r="M52" s="21"/>
      <c r="N52" s="21"/>
      <c r="O52" s="21"/>
      <c r="P52" s="21"/>
      <c r="Q52" s="21"/>
      <c r="R52" s="21"/>
      <c r="S52"/>
    </row>
    <row r="53" spans="1:19" x14ac:dyDescent="0.25">
      <c r="A53" s="21"/>
      <c r="B53" s="21"/>
      <c r="C53" s="21"/>
      <c r="D53" s="21"/>
      <c r="E53" s="21"/>
      <c r="F53" s="21"/>
      <c r="G53" s="21"/>
      <c r="H53" s="21"/>
      <c r="I53" s="21"/>
      <c r="J53" s="21"/>
      <c r="K53" s="21"/>
      <c r="L53" s="21"/>
      <c r="M53" s="21"/>
      <c r="N53" s="21"/>
      <c r="O53" s="21"/>
      <c r="P53" s="21"/>
      <c r="Q53" s="21"/>
      <c r="R53" s="21"/>
      <c r="S53"/>
    </row>
  </sheetData>
  <mergeCells count="9">
    <mergeCell ref="E22:O23"/>
    <mergeCell ref="E34:O35"/>
    <mergeCell ref="E36:O37"/>
    <mergeCell ref="E38:O39"/>
    <mergeCell ref="I4:O6"/>
    <mergeCell ref="I7:O10"/>
    <mergeCell ref="C11:F11"/>
    <mergeCell ref="C15:P15"/>
    <mergeCell ref="D18:O19"/>
  </mergeCells>
  <pageMargins left="0.7" right="0.7" top="0.75" bottom="0.75" header="0.3" footer="0.3"/>
  <pageSetup orientation="portrait" horizontalDpi="4294967293" verticalDpi="4294967293" r:id="rId1"/>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tabColor rgb="FFFF0000"/>
  </sheetPr>
  <dimension ref="A1:AW920"/>
  <sheetViews>
    <sheetView zoomScaleNormal="100" workbookViewId="0">
      <pane xSplit="2" ySplit="6" topLeftCell="AF771" activePane="bottomRight" state="frozen"/>
      <selection activeCell="AT677" sqref="AT677"/>
      <selection pane="topRight" activeCell="AT677" sqref="AT677"/>
      <selection pane="bottomLeft" activeCell="AT677" sqref="AT677"/>
      <selection pane="bottomRight" activeCell="AT921" sqref="AT921"/>
    </sheetView>
  </sheetViews>
  <sheetFormatPr baseColWidth="10" defaultRowHeight="15" x14ac:dyDescent="0.25"/>
  <cols>
    <col min="1" max="1" width="4.5703125" style="59" customWidth="1"/>
    <col min="2" max="2" width="17.5703125" customWidth="1"/>
    <col min="3" max="3" width="27.7109375" customWidth="1"/>
    <col min="4" max="4" width="17.140625" style="1" customWidth="1"/>
    <col min="5" max="5" width="42" style="1" customWidth="1"/>
    <col min="6" max="6" width="15.28515625" style="1" customWidth="1"/>
    <col min="7" max="8" width="12.85546875" style="1" customWidth="1"/>
    <col min="9" max="9" width="13.7109375" style="1" bestFit="1" customWidth="1"/>
    <col min="10" max="10" width="9.85546875" style="361" bestFit="1" customWidth="1"/>
    <col min="11" max="11" width="13.7109375" style="285" bestFit="1" customWidth="1"/>
    <col min="12" max="12" width="9.85546875" style="364" bestFit="1" customWidth="1"/>
    <col min="13" max="13" width="12" style="1" bestFit="1" customWidth="1"/>
    <col min="14" max="14" width="9.85546875" style="361" bestFit="1" customWidth="1"/>
    <col min="15" max="15" width="11.42578125" style="1"/>
    <col min="16" max="16" width="9.85546875" style="361" bestFit="1" customWidth="1"/>
    <col min="17" max="17" width="16.28515625" style="1" customWidth="1"/>
    <col min="18" max="18" width="11.42578125" style="286"/>
    <col min="19" max="19" width="11.42578125" style="368"/>
    <col min="20" max="20" width="11.42578125" style="286"/>
    <col min="21" max="21" width="11.42578125" style="368"/>
    <col min="22" max="22" width="11.42578125" style="286"/>
    <col min="23" max="23" width="11.42578125" style="368"/>
    <col min="24" max="24" width="11.42578125" style="286"/>
    <col min="25" max="25" width="11.42578125" style="368"/>
    <col min="26" max="26" width="11.42578125" style="355"/>
    <col min="27" max="27" width="11.42578125" style="1"/>
    <col min="28" max="28" width="15" style="287" bestFit="1" customWidth="1"/>
    <col min="29" max="29" width="16" style="287" bestFit="1" customWidth="1"/>
    <col min="30" max="33" width="15" style="287" bestFit="1" customWidth="1"/>
    <col min="34" max="34" width="13.7109375" style="287" customWidth="1"/>
    <col min="35" max="39" width="15" style="287" bestFit="1" customWidth="1"/>
    <col min="40" max="40" width="14.85546875" style="287" bestFit="1" customWidth="1"/>
    <col min="41" max="43" width="13.85546875" style="287" customWidth="1"/>
    <col min="44" max="44" width="14" style="287" bestFit="1" customWidth="1"/>
    <col min="45" max="45" width="14" style="287" customWidth="1"/>
    <col min="46" max="46" width="14" style="368" customWidth="1"/>
    <col min="47" max="47" width="15.28515625" style="1" bestFit="1" customWidth="1"/>
    <col min="48" max="48" width="11.42578125" style="14"/>
    <col min="49" max="49" width="15.140625" style="1" customWidth="1"/>
  </cols>
  <sheetData>
    <row r="1" spans="1:49" ht="15.75" thickBot="1" x14ac:dyDescent="0.3">
      <c r="B1" s="59"/>
      <c r="C1" s="59"/>
      <c r="D1" s="14"/>
      <c r="E1" s="14"/>
      <c r="F1" s="14"/>
      <c r="G1" s="14"/>
      <c r="H1" s="14"/>
      <c r="I1" s="14"/>
      <c r="J1" s="358"/>
      <c r="K1" s="283"/>
      <c r="L1" s="362"/>
      <c r="M1" s="14"/>
      <c r="N1" s="358"/>
      <c r="O1" s="14"/>
      <c r="P1" s="358"/>
      <c r="Q1" s="14"/>
      <c r="R1" s="14"/>
      <c r="S1" s="358"/>
      <c r="T1" s="14"/>
      <c r="U1" s="358"/>
      <c r="V1" s="14"/>
      <c r="W1" s="358"/>
      <c r="X1" s="14"/>
      <c r="Y1" s="358"/>
      <c r="Z1" s="273"/>
      <c r="AA1" s="14"/>
      <c r="AB1" s="14"/>
      <c r="AC1" s="14"/>
      <c r="AD1" s="14"/>
      <c r="AE1" s="14"/>
      <c r="AF1" s="14"/>
      <c r="AG1" s="14"/>
      <c r="AH1" s="14"/>
      <c r="AI1" s="14"/>
      <c r="AJ1" s="14"/>
      <c r="AK1" s="14"/>
      <c r="AL1" s="14"/>
      <c r="AM1" s="14"/>
      <c r="AN1" s="14"/>
      <c r="AO1" s="14"/>
      <c r="AP1" s="14"/>
      <c r="AQ1" s="14"/>
      <c r="AR1" s="14"/>
      <c r="AS1" s="14"/>
      <c r="AT1" s="358"/>
      <c r="AU1" s="14"/>
    </row>
    <row r="2" spans="1:49" ht="23.25" x14ac:dyDescent="0.25">
      <c r="B2" s="104"/>
      <c r="C2" s="105"/>
      <c r="D2" s="216"/>
      <c r="E2" s="1136" t="s">
        <v>387</v>
      </c>
      <c r="F2" s="1136"/>
      <c r="G2" s="1136"/>
      <c r="H2" s="1136"/>
      <c r="I2" s="1136"/>
      <c r="J2" s="1136"/>
      <c r="K2" s="1136"/>
      <c r="L2" s="1136"/>
      <c r="M2" s="1136"/>
      <c r="N2" s="1136"/>
      <c r="O2" s="1136"/>
      <c r="P2" s="1136"/>
      <c r="Q2" s="1136"/>
      <c r="R2" s="1136"/>
      <c r="S2" s="1136"/>
      <c r="T2" s="1136"/>
      <c r="U2" s="1136"/>
      <c r="V2" s="1136"/>
      <c r="W2" s="1136"/>
      <c r="X2" s="1136"/>
      <c r="Y2" s="1136"/>
      <c r="Z2" s="1136"/>
      <c r="AA2" s="1136"/>
      <c r="AB2" s="1136"/>
      <c r="AC2" s="216"/>
      <c r="AD2" s="216"/>
      <c r="AE2" s="216"/>
      <c r="AF2" s="216"/>
      <c r="AG2" s="216"/>
      <c r="AH2" s="216"/>
      <c r="AI2" s="216"/>
      <c r="AJ2" s="216"/>
      <c r="AK2" s="216"/>
      <c r="AL2" s="216"/>
      <c r="AM2" s="216"/>
      <c r="AN2" s="216"/>
      <c r="AO2" s="1137" t="s">
        <v>1059</v>
      </c>
      <c r="AP2" s="1138"/>
      <c r="AQ2" s="1138"/>
      <c r="AR2" s="1138"/>
      <c r="AS2" s="1138"/>
      <c r="AT2" s="1138"/>
      <c r="AU2" s="1139"/>
    </row>
    <row r="3" spans="1:49" s="57" customFormat="1" ht="24" thickBot="1" x14ac:dyDescent="0.3">
      <c r="A3" s="59"/>
      <c r="B3" s="106"/>
      <c r="C3" s="107"/>
      <c r="D3" s="217"/>
      <c r="E3" s="1143" t="s">
        <v>961</v>
      </c>
      <c r="F3" s="1143"/>
      <c r="G3" s="1143"/>
      <c r="H3" s="1143"/>
      <c r="I3" s="1143"/>
      <c r="J3" s="1143"/>
      <c r="K3" s="1143"/>
      <c r="L3" s="1143"/>
      <c r="M3" s="1143"/>
      <c r="N3" s="1143"/>
      <c r="O3" s="1143"/>
      <c r="P3" s="1143"/>
      <c r="Q3" s="1143"/>
      <c r="R3" s="1143"/>
      <c r="S3" s="1143"/>
      <c r="T3" s="1143"/>
      <c r="U3" s="1143"/>
      <c r="V3" s="1143"/>
      <c r="W3" s="1143"/>
      <c r="X3" s="1143"/>
      <c r="Y3" s="1143"/>
      <c r="Z3" s="1143"/>
      <c r="AA3" s="1143"/>
      <c r="AB3" s="1143"/>
      <c r="AC3" s="217"/>
      <c r="AD3" s="217"/>
      <c r="AE3" s="217"/>
      <c r="AF3" s="217"/>
      <c r="AG3" s="217"/>
      <c r="AH3" s="217"/>
      <c r="AI3" s="217"/>
      <c r="AJ3" s="217"/>
      <c r="AK3" s="217"/>
      <c r="AL3" s="217"/>
      <c r="AM3" s="217"/>
      <c r="AN3" s="217"/>
      <c r="AO3" s="1140"/>
      <c r="AP3" s="1141"/>
      <c r="AQ3" s="1141"/>
      <c r="AR3" s="1141"/>
      <c r="AS3" s="1141"/>
      <c r="AT3" s="1141"/>
      <c r="AU3" s="1142"/>
      <c r="AV3" s="14"/>
      <c r="AW3" s="1"/>
    </row>
    <row r="4" spans="1:49" ht="15.75" thickBot="1" x14ac:dyDescent="0.3">
      <c r="B4" s="59"/>
      <c r="C4" s="59"/>
      <c r="D4" s="14"/>
      <c r="E4" s="14"/>
      <c r="F4" s="14"/>
      <c r="G4" s="14"/>
      <c r="H4" s="14"/>
      <c r="I4" s="14"/>
      <c r="J4" s="358"/>
      <c r="K4" s="283"/>
      <c r="L4" s="362"/>
      <c r="M4" s="14"/>
      <c r="N4" s="358"/>
      <c r="O4" s="14"/>
      <c r="P4" s="358"/>
      <c r="Q4" s="14"/>
      <c r="R4" s="14"/>
      <c r="S4" s="358"/>
      <c r="T4" s="14"/>
      <c r="U4" s="358"/>
      <c r="V4" s="14"/>
      <c r="W4" s="358"/>
      <c r="X4" s="14"/>
      <c r="Y4" s="358"/>
      <c r="Z4" s="273"/>
      <c r="AA4" s="14"/>
      <c r="AB4" s="14"/>
      <c r="AC4" s="14"/>
      <c r="AD4" s="14"/>
      <c r="AE4" s="14"/>
      <c r="AF4" s="14"/>
      <c r="AG4" s="14"/>
      <c r="AH4" s="14"/>
      <c r="AI4" s="14"/>
      <c r="AJ4" s="14"/>
      <c r="AK4" s="14"/>
      <c r="AL4" s="14"/>
      <c r="AM4" s="14"/>
      <c r="AN4" s="14"/>
      <c r="AO4" s="14"/>
      <c r="AP4" s="14"/>
      <c r="AQ4" s="14"/>
      <c r="AR4" s="14"/>
      <c r="AS4" s="14"/>
      <c r="AT4" s="358"/>
      <c r="AU4" s="14"/>
    </row>
    <row r="5" spans="1:49" ht="15" customHeight="1" thickTop="1" thickBot="1" x14ac:dyDescent="0.3">
      <c r="B5" s="59"/>
      <c r="C5" s="59"/>
      <c r="D5" s="14"/>
      <c r="E5" s="14"/>
      <c r="F5" s="14"/>
      <c r="G5" s="14"/>
      <c r="H5" s="14"/>
      <c r="I5" s="1149" t="s">
        <v>970</v>
      </c>
      <c r="J5" s="1149"/>
      <c r="K5" s="1149"/>
      <c r="L5" s="1149"/>
      <c r="M5" s="1149"/>
      <c r="N5" s="1149"/>
      <c r="O5" s="1149"/>
      <c r="P5" s="1149"/>
      <c r="Q5" s="1144" t="s">
        <v>942</v>
      </c>
      <c r="R5" s="1148" t="s">
        <v>944</v>
      </c>
      <c r="S5" s="1149"/>
      <c r="T5" s="1149" t="s">
        <v>945</v>
      </c>
      <c r="U5" s="1149"/>
      <c r="V5" s="1149" t="s">
        <v>946</v>
      </c>
      <c r="W5" s="1149"/>
      <c r="X5" s="1149" t="s">
        <v>947</v>
      </c>
      <c r="Y5" s="1150"/>
      <c r="Z5" s="1151" t="s">
        <v>948</v>
      </c>
      <c r="AA5" s="1151"/>
      <c r="AB5" s="1153" t="s">
        <v>950</v>
      </c>
      <c r="AC5" s="1154"/>
      <c r="AD5" s="1154"/>
      <c r="AE5" s="1154"/>
      <c r="AF5" s="1154"/>
      <c r="AG5" s="1154"/>
      <c r="AH5" s="1154"/>
      <c r="AI5" s="1154"/>
      <c r="AJ5" s="1154"/>
      <c r="AK5" s="1154"/>
      <c r="AL5" s="1154"/>
      <c r="AM5" s="1154"/>
      <c r="AN5" s="1154"/>
      <c r="AO5" s="1154"/>
      <c r="AP5" s="1154"/>
      <c r="AQ5" s="1154"/>
      <c r="AR5" s="1154"/>
      <c r="AS5" s="1155"/>
      <c r="AT5" s="1152" t="s">
        <v>1395</v>
      </c>
      <c r="AU5" s="1146" t="s">
        <v>943</v>
      </c>
    </row>
    <row r="6" spans="1:49" ht="45" customHeight="1" thickTop="1" thickBot="1" x14ac:dyDescent="0.3">
      <c r="B6" s="33" t="s">
        <v>0</v>
      </c>
      <c r="C6" s="33" t="s">
        <v>1</v>
      </c>
      <c r="D6" s="33" t="s">
        <v>394</v>
      </c>
      <c r="E6" s="33" t="s">
        <v>311</v>
      </c>
      <c r="F6" s="34" t="s">
        <v>386</v>
      </c>
      <c r="G6" s="35" t="s">
        <v>374</v>
      </c>
      <c r="H6" s="35" t="s">
        <v>375</v>
      </c>
      <c r="I6" s="46" t="s">
        <v>922</v>
      </c>
      <c r="J6" s="288" t="s">
        <v>1370</v>
      </c>
      <c r="K6" s="78" t="s">
        <v>923</v>
      </c>
      <c r="L6" s="288" t="s">
        <v>1370</v>
      </c>
      <c r="M6" s="46" t="s">
        <v>924</v>
      </c>
      <c r="N6" s="288" t="s">
        <v>1370</v>
      </c>
      <c r="O6" s="74" t="s">
        <v>925</v>
      </c>
      <c r="P6" s="288" t="s">
        <v>1370</v>
      </c>
      <c r="Q6" s="1145"/>
      <c r="R6" s="72" t="s">
        <v>926</v>
      </c>
      <c r="S6" s="366" t="s">
        <v>949</v>
      </c>
      <c r="T6" s="60" t="s">
        <v>926</v>
      </c>
      <c r="U6" s="366" t="s">
        <v>949</v>
      </c>
      <c r="V6" s="60" t="s">
        <v>926</v>
      </c>
      <c r="W6" s="366" t="s">
        <v>949</v>
      </c>
      <c r="X6" s="60" t="s">
        <v>926</v>
      </c>
      <c r="Y6" s="367" t="s">
        <v>949</v>
      </c>
      <c r="Z6" s="92" t="s">
        <v>926</v>
      </c>
      <c r="AA6" s="92" t="s">
        <v>949</v>
      </c>
      <c r="AB6" s="72" t="s">
        <v>928</v>
      </c>
      <c r="AC6" s="60" t="s">
        <v>929</v>
      </c>
      <c r="AD6" s="60" t="s">
        <v>930</v>
      </c>
      <c r="AE6" s="60" t="s">
        <v>931</v>
      </c>
      <c r="AF6" s="60" t="s">
        <v>932</v>
      </c>
      <c r="AG6" s="60" t="s">
        <v>933</v>
      </c>
      <c r="AH6" s="60" t="s">
        <v>934</v>
      </c>
      <c r="AI6" s="60" t="s">
        <v>935</v>
      </c>
      <c r="AJ6" s="60" t="s">
        <v>936</v>
      </c>
      <c r="AK6" s="60" t="s">
        <v>937</v>
      </c>
      <c r="AL6" s="60" t="s">
        <v>938</v>
      </c>
      <c r="AM6" s="60" t="s">
        <v>939</v>
      </c>
      <c r="AN6" s="60" t="s">
        <v>940</v>
      </c>
      <c r="AO6" s="60" t="s">
        <v>941</v>
      </c>
      <c r="AP6" s="60" t="s">
        <v>967</v>
      </c>
      <c r="AQ6" s="60" t="s">
        <v>968</v>
      </c>
      <c r="AR6" s="73" t="s">
        <v>969</v>
      </c>
      <c r="AS6" s="73" t="s">
        <v>1490</v>
      </c>
      <c r="AT6" s="1152"/>
      <c r="AU6" s="1147"/>
    </row>
    <row r="7" spans="1:49" ht="34.5" hidden="1" customHeight="1" x14ac:dyDescent="0.25">
      <c r="A7" s="85">
        <v>1</v>
      </c>
      <c r="B7" s="2" t="str">
        <f>+'Base de Datos'!E7</f>
        <v>010000-768-0-2008</v>
      </c>
      <c r="C7" s="2" t="str">
        <f>+'Base de Datos'!F7</f>
        <v>FONDO DE VIGILANCIA Y SEGURIDAD DE BOGOTÁ</v>
      </c>
      <c r="D7" s="2">
        <f>+'Base de Datos'!G7</f>
        <v>0</v>
      </c>
      <c r="E7" s="2" t="str">
        <f>+'Base de Datos'!H7</f>
        <v>La SDH y el Fondo de Vigilancia y Seguridad social de Bogotá D.C. se asocian con el fin de realizar de manera conjunta la contratación del arrendamiento operativo de vehículos para garantizar la movilidad de los Honorables Concejales y adelantar el proceso de selección  y las etapas precontractual y postcontractual, que redunden en una eficiente gestión administrativa y ahorro de esfuerzos económicos, logísticos y técnicos en los términos y condiciones que establece en el presente convenio interadministrativo de asociación.</v>
      </c>
      <c r="F7" s="356">
        <f>+'Base de Datos'!I7</f>
        <v>7329236109</v>
      </c>
      <c r="G7" s="357">
        <f>+'Base de Datos'!M7</f>
        <v>39724</v>
      </c>
      <c r="H7" s="357">
        <f>+'Base de Datos'!N7</f>
        <v>41673</v>
      </c>
      <c r="I7" s="183"/>
      <c r="J7" s="359"/>
      <c r="K7" s="183"/>
      <c r="L7" s="359"/>
      <c r="M7" s="183"/>
      <c r="N7" s="359"/>
      <c r="O7" s="183"/>
      <c r="P7" s="359"/>
      <c r="Q7" s="86">
        <f>SUM(I7,K7,M7,O7)</f>
        <v>0</v>
      </c>
      <c r="R7" s="372"/>
      <c r="S7" s="370"/>
      <c r="T7" s="372"/>
      <c r="U7" s="370"/>
      <c r="V7" s="372"/>
      <c r="W7" s="370"/>
      <c r="X7" s="372"/>
      <c r="Y7" s="370"/>
      <c r="Z7" s="374"/>
      <c r="AA7" s="87">
        <f>MAX(S7,U7,W7,Y7)</f>
        <v>0</v>
      </c>
      <c r="AB7" s="236">
        <v>6218260556</v>
      </c>
      <c r="AC7" s="236"/>
      <c r="AD7" s="236"/>
      <c r="AE7" s="236"/>
      <c r="AF7" s="236"/>
      <c r="AG7" s="236"/>
      <c r="AH7" s="236"/>
      <c r="AI7" s="236"/>
      <c r="AJ7" s="236"/>
      <c r="AK7" s="236"/>
      <c r="AL7" s="236"/>
      <c r="AM7" s="236"/>
      <c r="AN7" s="236"/>
      <c r="AO7" s="236"/>
      <c r="AP7" s="236"/>
      <c r="AQ7" s="236"/>
      <c r="AR7" s="236"/>
      <c r="AS7" s="236"/>
      <c r="AT7" s="369">
        <v>0</v>
      </c>
      <c r="AU7" s="90">
        <f>SUM(AB7:AS7)</f>
        <v>6218260556</v>
      </c>
    </row>
    <row r="8" spans="1:49" ht="34.5" hidden="1" customHeight="1" x14ac:dyDescent="0.25">
      <c r="A8" s="85">
        <v>2</v>
      </c>
      <c r="B8" s="2" t="str">
        <f>+'Base de Datos'!E8</f>
        <v>040000-1118-7-2008</v>
      </c>
      <c r="C8" s="2" t="str">
        <f>+'Base de Datos'!F8</f>
        <v>COLOMBIANA DE SOFTWARE Y HARDWARE COLSOF S.A.</v>
      </c>
      <c r="D8" s="2">
        <f>+'Base de Datos'!G8</f>
        <v>800015583</v>
      </c>
      <c r="E8" s="2" t="str">
        <f>+'Base de Datos'!H8</f>
        <v>Contratar la gestión integral de servicios de mesas de ayuda, soporte informático, mantenimiento preventivo y correctivo de la infraestructura tecnológica con suministro de repuestos para la Secretaria Distrital de Hacienda .</v>
      </c>
      <c r="F8" s="3">
        <v>2770400677</v>
      </c>
      <c r="G8" s="6">
        <v>39904</v>
      </c>
      <c r="H8" s="6">
        <v>41409</v>
      </c>
      <c r="I8" s="183">
        <v>1073825676</v>
      </c>
      <c r="J8" s="359"/>
      <c r="K8" s="183"/>
      <c r="L8" s="359"/>
      <c r="M8" s="183"/>
      <c r="N8" s="359"/>
      <c r="O8" s="183"/>
      <c r="P8" s="359"/>
      <c r="Q8" s="86">
        <f t="shared" ref="Q8:Q71" si="0">SUM(I8,K8,M8,O8)</f>
        <v>1073825676</v>
      </c>
      <c r="R8" s="372"/>
      <c r="S8" s="370"/>
      <c r="T8" s="372"/>
      <c r="U8" s="370"/>
      <c r="V8" s="372"/>
      <c r="W8" s="370"/>
      <c r="X8" s="372"/>
      <c r="Y8" s="370"/>
      <c r="Z8" s="375"/>
      <c r="AA8" s="88">
        <f t="shared" ref="AA8:AA71" si="1">MAX(S8,U8,W8,Y8)</f>
        <v>0</v>
      </c>
      <c r="AB8" s="236">
        <v>3066561119</v>
      </c>
      <c r="AC8" s="236"/>
      <c r="AD8" s="236"/>
      <c r="AE8" s="236"/>
      <c r="AF8" s="236"/>
      <c r="AG8" s="236"/>
      <c r="AH8" s="236"/>
      <c r="AI8" s="236"/>
      <c r="AJ8" s="236"/>
      <c r="AK8" s="236"/>
      <c r="AL8" s="236"/>
      <c r="AM8" s="236"/>
      <c r="AN8" s="236"/>
      <c r="AO8" s="236"/>
      <c r="AP8" s="236"/>
      <c r="AQ8" s="236"/>
      <c r="AR8" s="236"/>
      <c r="AS8" s="236"/>
      <c r="AT8" s="369">
        <v>0</v>
      </c>
      <c r="AU8" s="90">
        <f t="shared" ref="AU8:AU71" si="2">SUM(AB8:AS8)</f>
        <v>3066561119</v>
      </c>
    </row>
    <row r="9" spans="1:49" ht="34.5" hidden="1" customHeight="1" x14ac:dyDescent="0.25">
      <c r="A9" s="85">
        <v>3</v>
      </c>
      <c r="B9" s="2" t="str">
        <f>+'Base de Datos'!E9</f>
        <v>040000-1120-0-2008</v>
      </c>
      <c r="C9" s="2" t="str">
        <f>+'Base de Datos'!F9</f>
        <v>COMPUFACIL</v>
      </c>
      <c r="D9" s="2">
        <f>+'Base de Datos'!G9</f>
        <v>0</v>
      </c>
      <c r="E9" s="2" t="str">
        <f>+'Base de Datos'!H9</f>
        <v>Contratar la gestión integral de servicios de impresión, para la secretaria de Distrital de Hacienda, de conformidad con los requerimientos establecidos en el pliego de condiciones del proceso de selección Abreviada SDH-SIP-015-2008 ÍTEM 2 y en el acta de audiencia de adjudicación</v>
      </c>
      <c r="F9" s="3">
        <v>2909992591</v>
      </c>
      <c r="G9" s="6">
        <v>39864</v>
      </c>
      <c r="H9" s="6">
        <v>41476</v>
      </c>
      <c r="I9" s="183"/>
      <c r="J9" s="359"/>
      <c r="K9" s="183"/>
      <c r="L9" s="359"/>
      <c r="M9" s="183"/>
      <c r="N9" s="359"/>
      <c r="O9" s="183"/>
      <c r="P9" s="359"/>
      <c r="Q9" s="86">
        <f t="shared" si="0"/>
        <v>0</v>
      </c>
      <c r="R9" s="372"/>
      <c r="S9" s="370"/>
      <c r="T9" s="372"/>
      <c r="U9" s="370"/>
      <c r="V9" s="372"/>
      <c r="W9" s="370"/>
      <c r="X9" s="372"/>
      <c r="Y9" s="370"/>
      <c r="Z9" s="186"/>
      <c r="AA9" s="88">
        <f t="shared" si="1"/>
        <v>0</v>
      </c>
      <c r="AB9" s="236">
        <v>13400894</v>
      </c>
      <c r="AC9" s="236"/>
      <c r="AD9" s="236"/>
      <c r="AE9" s="236"/>
      <c r="AF9" s="236"/>
      <c r="AG9" s="236"/>
      <c r="AH9" s="236"/>
      <c r="AI9" s="236"/>
      <c r="AJ9" s="236"/>
      <c r="AK9" s="236"/>
      <c r="AL9" s="236"/>
      <c r="AM9" s="236"/>
      <c r="AN9" s="236"/>
      <c r="AO9" s="236"/>
      <c r="AP9" s="236"/>
      <c r="AQ9" s="236"/>
      <c r="AR9" s="236"/>
      <c r="AS9" s="236"/>
      <c r="AT9" s="369">
        <v>0</v>
      </c>
      <c r="AU9" s="90">
        <f t="shared" si="2"/>
        <v>13400894</v>
      </c>
    </row>
    <row r="10" spans="1:49" ht="34.5" hidden="1" customHeight="1" x14ac:dyDescent="0.25">
      <c r="A10" s="85">
        <v>4</v>
      </c>
      <c r="B10" s="2" t="str">
        <f>+'Base de Datos'!E10</f>
        <v>040000-821-0-2009</v>
      </c>
      <c r="C10" s="2" t="str">
        <f>+'Base de Datos'!F10</f>
        <v>DATAPOINT DE COLOMBIA S A S</v>
      </c>
      <c r="D10" s="2">
        <f>+'Base de Datos'!G10</f>
        <v>0</v>
      </c>
      <c r="E10" s="2" t="str">
        <f>+'Base de Datos'!H10</f>
        <v>Adquisición de elementos de Tecnología Informática como estaciones de trabajo entre computadores de escritorio y computadores portátiles, con destino al Concejo de Bogotá, con el fin de efectuar la renovación de la infraestructura tecnológica de conformidad con lo establecido en el pliego de condiciones, los estudios previos y el acta de adjudicación del proceso SDH-SIE-018-2009.</v>
      </c>
      <c r="F10" s="8">
        <v>234495075</v>
      </c>
      <c r="G10" s="6">
        <v>40197</v>
      </c>
      <c r="H10" s="6">
        <v>41323</v>
      </c>
      <c r="I10" s="183"/>
      <c r="J10" s="359"/>
      <c r="K10" s="183"/>
      <c r="L10" s="359"/>
      <c r="M10" s="183"/>
      <c r="N10" s="359"/>
      <c r="O10" s="183"/>
      <c r="P10" s="359"/>
      <c r="Q10" s="86">
        <f t="shared" si="0"/>
        <v>0</v>
      </c>
      <c r="R10" s="372"/>
      <c r="S10" s="370"/>
      <c r="T10" s="372"/>
      <c r="U10" s="370"/>
      <c r="V10" s="372"/>
      <c r="W10" s="370"/>
      <c r="X10" s="372"/>
      <c r="Y10" s="370"/>
      <c r="Z10" s="376"/>
      <c r="AA10" s="88">
        <f t="shared" si="1"/>
        <v>0</v>
      </c>
      <c r="AB10" s="236">
        <v>234495075</v>
      </c>
      <c r="AC10" s="236"/>
      <c r="AD10" s="236"/>
      <c r="AE10" s="236"/>
      <c r="AF10" s="236"/>
      <c r="AG10" s="236"/>
      <c r="AH10" s="236"/>
      <c r="AI10" s="236"/>
      <c r="AJ10" s="236"/>
      <c r="AK10" s="236"/>
      <c r="AL10" s="236"/>
      <c r="AM10" s="236"/>
      <c r="AN10" s="236"/>
      <c r="AO10" s="236"/>
      <c r="AP10" s="236"/>
      <c r="AQ10" s="236"/>
      <c r="AR10" s="236"/>
      <c r="AS10" s="236"/>
      <c r="AT10" s="369">
        <v>0</v>
      </c>
      <c r="AU10" s="90">
        <f t="shared" si="2"/>
        <v>234495075</v>
      </c>
    </row>
    <row r="11" spans="1:49" ht="34.5" hidden="1" customHeight="1" x14ac:dyDescent="0.25">
      <c r="A11" s="85">
        <v>5</v>
      </c>
      <c r="B11" s="2" t="str">
        <f>+'Base de Datos'!E11</f>
        <v>120000-727-0-2009</v>
      </c>
      <c r="C11" s="2" t="str">
        <f>+'Base de Datos'!F11</f>
        <v>COLOMBIANA DE SOFTWARE Y HARDWARE COLSOF S.A.</v>
      </c>
      <c r="D11" s="2">
        <f>+'Base de Datos'!G11</f>
        <v>800015583</v>
      </c>
      <c r="E11" s="2" t="str">
        <f>+'Base de Datos'!H11</f>
        <v>Contratar la adquisición de elementos de tecnología y Licencias de Software, con destino al Concejo de Bogotá para atender las necesidades de procesamiento y almacenamiento de conformidad con lo establecido en el pliego de condiciones y los estudios previos del proceso SDH-SIE-013-2009</v>
      </c>
      <c r="F11" s="8">
        <v>507000000</v>
      </c>
      <c r="G11" s="6">
        <v>40150</v>
      </c>
      <c r="H11" s="6">
        <v>41336</v>
      </c>
      <c r="I11" s="183"/>
      <c r="J11" s="359"/>
      <c r="K11" s="183"/>
      <c r="L11" s="359"/>
      <c r="M11" s="183"/>
      <c r="N11" s="359"/>
      <c r="O11" s="183"/>
      <c r="P11" s="359"/>
      <c r="Q11" s="86">
        <f t="shared" si="0"/>
        <v>0</v>
      </c>
      <c r="R11" s="372"/>
      <c r="S11" s="370"/>
      <c r="T11" s="372"/>
      <c r="U11" s="370"/>
      <c r="V11" s="372"/>
      <c r="W11" s="370"/>
      <c r="X11" s="372"/>
      <c r="Y11" s="370"/>
      <c r="Z11" s="376"/>
      <c r="AA11" s="88">
        <f t="shared" si="1"/>
        <v>0</v>
      </c>
      <c r="AB11" s="236">
        <v>471070424</v>
      </c>
      <c r="AC11" s="236"/>
      <c r="AD11" s="236"/>
      <c r="AE11" s="236"/>
      <c r="AF11" s="236"/>
      <c r="AG11" s="236"/>
      <c r="AH11" s="236"/>
      <c r="AI11" s="236"/>
      <c r="AJ11" s="236"/>
      <c r="AK11" s="236"/>
      <c r="AL11" s="236"/>
      <c r="AM11" s="236"/>
      <c r="AN11" s="236"/>
      <c r="AO11" s="236"/>
      <c r="AP11" s="236"/>
      <c r="AQ11" s="236"/>
      <c r="AR11" s="236"/>
      <c r="AS11" s="236"/>
      <c r="AT11" s="369">
        <v>0</v>
      </c>
      <c r="AU11" s="90">
        <f t="shared" si="2"/>
        <v>471070424</v>
      </c>
    </row>
    <row r="12" spans="1:49" ht="34.5" hidden="1" customHeight="1" x14ac:dyDescent="0.25">
      <c r="A12" s="85">
        <v>6</v>
      </c>
      <c r="B12" s="2" t="str">
        <f>+'Base de Datos'!E12</f>
        <v>120000-436-0-2011</v>
      </c>
      <c r="C12" s="2" t="str">
        <f>+'Base de Datos'!F12</f>
        <v>D&amp;D AIRE ACONDICIONADO LTDA.</v>
      </c>
      <c r="D12" s="2">
        <f>+'Base de Datos'!G12</f>
        <v>900231022</v>
      </c>
      <c r="E12" s="2" t="str">
        <f>+'Base de Datos'!H12</f>
        <v>Contratar los servicios de mantenimiento preventivo y correctivo, soporte técnico especializado y suministro de repuestos por demanda, de los sistemas de aire acondicionado del Concejo de Bogotá.</v>
      </c>
      <c r="F12" s="3">
        <v>12835200</v>
      </c>
      <c r="G12" s="6">
        <v>40966</v>
      </c>
      <c r="H12" s="6">
        <v>41332</v>
      </c>
      <c r="I12" s="183"/>
      <c r="J12" s="359"/>
      <c r="K12" s="183"/>
      <c r="L12" s="359"/>
      <c r="M12" s="183"/>
      <c r="N12" s="359"/>
      <c r="O12" s="183"/>
      <c r="P12" s="359"/>
      <c r="Q12" s="86">
        <f t="shared" si="0"/>
        <v>0</v>
      </c>
      <c r="R12" s="372"/>
      <c r="S12" s="370"/>
      <c r="T12" s="372"/>
      <c r="U12" s="370"/>
      <c r="V12" s="372"/>
      <c r="W12" s="370"/>
      <c r="X12" s="372"/>
      <c r="Y12" s="370"/>
      <c r="Z12" s="376"/>
      <c r="AA12" s="88">
        <f t="shared" si="1"/>
        <v>0</v>
      </c>
      <c r="AB12" s="236">
        <v>1092200</v>
      </c>
      <c r="AC12" s="236"/>
      <c r="AD12" s="236"/>
      <c r="AE12" s="236"/>
      <c r="AF12" s="236"/>
      <c r="AG12" s="236"/>
      <c r="AH12" s="236"/>
      <c r="AI12" s="236"/>
      <c r="AJ12" s="236"/>
      <c r="AK12" s="236"/>
      <c r="AL12" s="236"/>
      <c r="AM12" s="236"/>
      <c r="AN12" s="236"/>
      <c r="AO12" s="236"/>
      <c r="AP12" s="236"/>
      <c r="AQ12" s="236"/>
      <c r="AR12" s="236"/>
      <c r="AS12" s="236"/>
      <c r="AT12" s="369">
        <v>0</v>
      </c>
      <c r="AU12" s="90">
        <f t="shared" si="2"/>
        <v>1092200</v>
      </c>
    </row>
    <row r="13" spans="1:49" ht="34.5" hidden="1" customHeight="1" x14ac:dyDescent="0.25">
      <c r="A13" s="85">
        <v>7</v>
      </c>
      <c r="B13" s="2" t="str">
        <f>+'Base de Datos'!E13</f>
        <v>050000-275-0-2011</v>
      </c>
      <c r="C13" s="2" t="str">
        <f>+'Base de Datos'!F13</f>
        <v>POLÍTICAS MEDIOS E INVESTIGACIONES</v>
      </c>
      <c r="D13" s="2">
        <f>+'Base de Datos'!G13</f>
        <v>800109177</v>
      </c>
      <c r="E13" s="2" t="str">
        <f>+'Base de Datos'!H13</f>
        <v>Suscripción al servicio de información jurídica a través de boletines informativos por correo electrónico, consultas en página WEB y biblioteca digital de legislación y jurisprudencia colombiana actualizada.</v>
      </c>
      <c r="F13" s="12">
        <v>1750000</v>
      </c>
      <c r="G13" s="13">
        <v>40822</v>
      </c>
      <c r="H13" s="13">
        <v>41370</v>
      </c>
      <c r="I13" s="183">
        <v>875000</v>
      </c>
      <c r="J13" s="359"/>
      <c r="K13" s="183"/>
      <c r="L13" s="359"/>
      <c r="M13" s="183"/>
      <c r="N13" s="359"/>
      <c r="O13" s="183"/>
      <c r="P13" s="359"/>
      <c r="Q13" s="86">
        <f t="shared" si="0"/>
        <v>875000</v>
      </c>
      <c r="R13" s="372" t="s">
        <v>382</v>
      </c>
      <c r="S13" s="370">
        <v>41370</v>
      </c>
      <c r="T13" s="372"/>
      <c r="U13" s="370"/>
      <c r="V13" s="372"/>
      <c r="W13" s="370"/>
      <c r="X13" s="372"/>
      <c r="Y13" s="370"/>
      <c r="Z13" s="186" t="s">
        <v>382</v>
      </c>
      <c r="AA13" s="88">
        <f t="shared" si="1"/>
        <v>41370</v>
      </c>
      <c r="AB13" s="236"/>
      <c r="AC13" s="236"/>
      <c r="AD13" s="236"/>
      <c r="AE13" s="236"/>
      <c r="AF13" s="236"/>
      <c r="AG13" s="236"/>
      <c r="AH13" s="236"/>
      <c r="AI13" s="236"/>
      <c r="AJ13" s="236"/>
      <c r="AK13" s="236"/>
      <c r="AL13" s="236"/>
      <c r="AM13" s="236"/>
      <c r="AN13" s="236"/>
      <c r="AO13" s="236"/>
      <c r="AP13" s="236"/>
      <c r="AQ13" s="236"/>
      <c r="AR13" s="236"/>
      <c r="AS13" s="236"/>
      <c r="AT13" s="369">
        <v>0</v>
      </c>
      <c r="AU13" s="90">
        <f t="shared" si="2"/>
        <v>0</v>
      </c>
    </row>
    <row r="14" spans="1:49" ht="34.5" hidden="1" customHeight="1" x14ac:dyDescent="0.25">
      <c r="A14" s="85">
        <v>8</v>
      </c>
      <c r="B14" s="2" t="str">
        <f>+'Base de Datos'!E14</f>
        <v>120000-255-0-2011</v>
      </c>
      <c r="C14" s="2" t="str">
        <f>+'Base de Datos'!F14</f>
        <v>J.A. ZABALA &amp; CONSULTORES ASOCIADOS LTDA.</v>
      </c>
      <c r="D14" s="2">
        <f>+'Base de Datos'!G14</f>
        <v>830050919</v>
      </c>
      <c r="E14" s="2" t="str">
        <f>+'Base de Datos'!H14</f>
        <v>Desarrollar las actividades contenidas en los planes de bienestar  e incentivos del Concejo de Bogotá de conformidad con los requerimientos establecidos en los pliegos de Condiciones del proceso de selección Abreviada de Menor Cuantía SDH-SAMC-001-2011</v>
      </c>
      <c r="F14" s="8">
        <v>497000000</v>
      </c>
      <c r="G14" s="6">
        <v>40746</v>
      </c>
      <c r="H14" s="6">
        <v>41112</v>
      </c>
      <c r="I14" s="183"/>
      <c r="J14" s="359"/>
      <c r="K14" s="183"/>
      <c r="L14" s="359"/>
      <c r="M14" s="183"/>
      <c r="N14" s="359"/>
      <c r="O14" s="183"/>
      <c r="P14" s="359"/>
      <c r="Q14" s="86">
        <f t="shared" si="0"/>
        <v>0</v>
      </c>
      <c r="R14" s="372"/>
      <c r="S14" s="370"/>
      <c r="T14" s="372"/>
      <c r="U14" s="370"/>
      <c r="V14" s="372"/>
      <c r="W14" s="370"/>
      <c r="X14" s="372"/>
      <c r="Y14" s="370"/>
      <c r="Z14" s="376"/>
      <c r="AA14" s="88">
        <f t="shared" si="1"/>
        <v>0</v>
      </c>
      <c r="AB14" s="236">
        <v>495932967</v>
      </c>
      <c r="AC14" s="236"/>
      <c r="AD14" s="236"/>
      <c r="AE14" s="236"/>
      <c r="AF14" s="236"/>
      <c r="AG14" s="236"/>
      <c r="AH14" s="236"/>
      <c r="AI14" s="236"/>
      <c r="AJ14" s="236"/>
      <c r="AK14" s="236"/>
      <c r="AL14" s="236"/>
      <c r="AM14" s="236"/>
      <c r="AN14" s="236"/>
      <c r="AO14" s="236"/>
      <c r="AP14" s="236"/>
      <c r="AQ14" s="236"/>
      <c r="AR14" s="236"/>
      <c r="AS14" s="236"/>
      <c r="AT14" s="369">
        <v>0</v>
      </c>
      <c r="AU14" s="90">
        <f t="shared" si="2"/>
        <v>495932967</v>
      </c>
    </row>
    <row r="15" spans="1:49" ht="34.5" hidden="1" customHeight="1" x14ac:dyDescent="0.25">
      <c r="A15" s="85">
        <v>9</v>
      </c>
      <c r="B15" s="2" t="str">
        <f>+'Base de Datos'!E15</f>
        <v>120000-260-0-2011</v>
      </c>
      <c r="C15" s="2" t="str">
        <f>+'Base de Datos'!F15</f>
        <v>COTECNA CERTIFICADORA SEVICES LIMITADA</v>
      </c>
      <c r="D15" s="2">
        <f>+'Base de Datos'!G15</f>
        <v>830040274</v>
      </c>
      <c r="E15" s="2" t="str">
        <f>+'Base de Datos'!H15</f>
        <v>Realizar las pre-auditorias, auditorias y certificación al Sistema de Gestión Ambiental bajo los estándares de calidad de la norma ISO 14001: 2004 y el Sistema de Gestión de Seguridad y Salud Ocupacional cumpliendo con la norma OHSAS 18001: 2007 respectivamente para el Concejo de Bogotá D.C., de conformidad con lo establecido en el anexo definitivo de los estudios previos del Proceso No. SDH-SAMC-002-2011.</v>
      </c>
      <c r="F15" s="8">
        <v>9425000</v>
      </c>
      <c r="G15" s="6">
        <v>40870</v>
      </c>
      <c r="H15" s="6">
        <v>41356</v>
      </c>
      <c r="I15" s="183"/>
      <c r="J15" s="359"/>
      <c r="K15" s="183"/>
      <c r="L15" s="359"/>
      <c r="M15" s="183"/>
      <c r="N15" s="359"/>
      <c r="O15" s="183"/>
      <c r="P15" s="359"/>
      <c r="Q15" s="86">
        <f t="shared" si="0"/>
        <v>0</v>
      </c>
      <c r="R15" s="372" t="s">
        <v>380</v>
      </c>
      <c r="S15" s="370">
        <v>41356</v>
      </c>
      <c r="T15" s="372"/>
      <c r="U15" s="370"/>
      <c r="V15" s="372"/>
      <c r="W15" s="370"/>
      <c r="X15" s="372"/>
      <c r="Y15" s="370"/>
      <c r="Z15" s="376" t="s">
        <v>380</v>
      </c>
      <c r="AA15" s="88">
        <f t="shared" si="1"/>
        <v>41356</v>
      </c>
      <c r="AB15" s="236">
        <v>9425000</v>
      </c>
      <c r="AC15" s="236"/>
      <c r="AD15" s="236"/>
      <c r="AE15" s="236"/>
      <c r="AF15" s="236"/>
      <c r="AG15" s="236"/>
      <c r="AH15" s="236"/>
      <c r="AI15" s="236"/>
      <c r="AJ15" s="236"/>
      <c r="AK15" s="236"/>
      <c r="AL15" s="236"/>
      <c r="AM15" s="236"/>
      <c r="AN15" s="236"/>
      <c r="AO15" s="236"/>
      <c r="AP15" s="236"/>
      <c r="AQ15" s="236"/>
      <c r="AR15" s="236"/>
      <c r="AS15" s="236"/>
      <c r="AT15" s="369">
        <v>0</v>
      </c>
      <c r="AU15" s="90">
        <f t="shared" si="2"/>
        <v>9425000</v>
      </c>
    </row>
    <row r="16" spans="1:49" ht="34.5" hidden="1" customHeight="1" x14ac:dyDescent="0.25">
      <c r="A16" s="85">
        <v>10</v>
      </c>
      <c r="B16" s="2" t="str">
        <f>+'Base de Datos'!E16</f>
        <v>120000-281-0-2011</v>
      </c>
      <c r="C16" s="2" t="str">
        <f>+'Base de Datos'!F16</f>
        <v>CONSERAUTO</v>
      </c>
      <c r="D16" s="2">
        <f>+'Base de Datos'!G16</f>
        <v>900340597</v>
      </c>
      <c r="E16" s="2" t="str">
        <f>+'Base de Datos'!H16</f>
        <v>Prestar el servicio de mantenimiento correctivo con suministro de repuestos de los automotores marca MITSUBISHI al servicio del Concejo de Bogotá.</v>
      </c>
      <c r="F16" s="12">
        <v>15000000</v>
      </c>
      <c r="G16" s="11">
        <v>40863</v>
      </c>
      <c r="H16" s="11">
        <v>41364</v>
      </c>
      <c r="I16" s="183">
        <v>7930000</v>
      </c>
      <c r="J16" s="359"/>
      <c r="K16" s="183"/>
      <c r="L16" s="359"/>
      <c r="M16" s="183"/>
      <c r="N16" s="359"/>
      <c r="O16" s="183"/>
      <c r="P16" s="359"/>
      <c r="Q16" s="86">
        <f t="shared" si="0"/>
        <v>7930000</v>
      </c>
      <c r="R16" s="372"/>
      <c r="S16" s="370"/>
      <c r="T16" s="372"/>
      <c r="U16" s="370"/>
      <c r="V16" s="372"/>
      <c r="W16" s="370"/>
      <c r="X16" s="372"/>
      <c r="Y16" s="370"/>
      <c r="Z16" s="377"/>
      <c r="AA16" s="88">
        <f t="shared" si="1"/>
        <v>0</v>
      </c>
      <c r="AB16" s="236">
        <v>18432731</v>
      </c>
      <c r="AC16" s="236"/>
      <c r="AD16" s="236"/>
      <c r="AE16" s="236"/>
      <c r="AF16" s="236"/>
      <c r="AG16" s="236"/>
      <c r="AH16" s="236"/>
      <c r="AI16" s="236"/>
      <c r="AJ16" s="236"/>
      <c r="AK16" s="236"/>
      <c r="AL16" s="236"/>
      <c r="AM16" s="236"/>
      <c r="AN16" s="236"/>
      <c r="AO16" s="236"/>
      <c r="AP16" s="236"/>
      <c r="AQ16" s="236"/>
      <c r="AR16" s="236"/>
      <c r="AS16" s="236"/>
      <c r="AT16" s="369">
        <v>0</v>
      </c>
      <c r="AU16" s="90">
        <f t="shared" si="2"/>
        <v>18432731</v>
      </c>
    </row>
    <row r="17" spans="1:49" ht="34.5" hidden="1" customHeight="1" x14ac:dyDescent="0.25">
      <c r="A17" s="85">
        <v>11</v>
      </c>
      <c r="B17" s="2" t="str">
        <f>+'Base de Datos'!E17</f>
        <v>120000-297-0-2011</v>
      </c>
      <c r="C17" s="2" t="str">
        <f>+'Base de Datos'!F17</f>
        <v>PC MICROS LTDA.</v>
      </c>
      <c r="D17" s="2">
        <f>+'Base de Datos'!G17</f>
        <v>860403052</v>
      </c>
      <c r="E17" s="2" t="str">
        <f>+'Base de Datos'!H17</f>
        <v>Adquisición y /o actualización, mantenimiento y soporte de licencias de software antivirus para el Concejo de Bogotá, de conformidad con lo establecido en la presente invitación pública.</v>
      </c>
      <c r="F17" s="3">
        <v>15063760</v>
      </c>
      <c r="G17" s="4">
        <v>40862</v>
      </c>
      <c r="H17" s="4">
        <v>41362</v>
      </c>
      <c r="I17" s="183">
        <v>4981040</v>
      </c>
      <c r="J17" s="359">
        <v>41239</v>
      </c>
      <c r="K17" s="183"/>
      <c r="L17" s="359"/>
      <c r="M17" s="183"/>
      <c r="N17" s="359"/>
      <c r="O17" s="183"/>
      <c r="P17" s="359"/>
      <c r="Q17" s="86">
        <f t="shared" si="0"/>
        <v>4981040</v>
      </c>
      <c r="R17" s="372" t="s">
        <v>380</v>
      </c>
      <c r="S17" s="370">
        <v>41362</v>
      </c>
      <c r="T17" s="372"/>
      <c r="U17" s="370"/>
      <c r="V17" s="372"/>
      <c r="W17" s="370"/>
      <c r="X17" s="372"/>
      <c r="Y17" s="370"/>
      <c r="Z17" s="186"/>
      <c r="AA17" s="88">
        <f t="shared" si="1"/>
        <v>41362</v>
      </c>
      <c r="AB17" s="236">
        <v>20044800</v>
      </c>
      <c r="AC17" s="236"/>
      <c r="AD17" s="236"/>
      <c r="AE17" s="236"/>
      <c r="AF17" s="236"/>
      <c r="AG17" s="236"/>
      <c r="AH17" s="236"/>
      <c r="AI17" s="236"/>
      <c r="AJ17" s="236"/>
      <c r="AK17" s="236"/>
      <c r="AL17" s="236"/>
      <c r="AM17" s="236"/>
      <c r="AN17" s="236"/>
      <c r="AO17" s="236"/>
      <c r="AP17" s="236"/>
      <c r="AQ17" s="236"/>
      <c r="AR17" s="236"/>
      <c r="AS17" s="236"/>
      <c r="AT17" s="369">
        <v>0</v>
      </c>
      <c r="AU17" s="90">
        <f t="shared" si="2"/>
        <v>20044800</v>
      </c>
    </row>
    <row r="18" spans="1:49" ht="34.5" hidden="1" customHeight="1" x14ac:dyDescent="0.25">
      <c r="A18" s="85">
        <v>12</v>
      </c>
      <c r="B18" s="2" t="str">
        <f>+'Base de Datos'!E18</f>
        <v>120000-307-0-2011</v>
      </c>
      <c r="C18" s="2" t="str">
        <f>+'Base de Datos'!F18</f>
        <v>ELECTRIMEK LTDA.</v>
      </c>
      <c r="D18" s="2">
        <f>+'Base de Datos'!G18</f>
        <v>800045609</v>
      </c>
      <c r="E18" s="2" t="str">
        <f>+'Base de Datos'!H18</f>
        <v>Prestar el servicio de mantenimiento preventivo y correctivo (incluyendo repuestos), de los equipos de aseo (brilladoras y aspiradoras) del Concejo de Bogotá D.C., de conformidad con lo establecido en la invitación pública del proceso citado en asusto y la propuesta presentada por la firma que usted representa.</v>
      </c>
      <c r="F18" s="12">
        <v>8506800</v>
      </c>
      <c r="G18" s="13">
        <v>40865</v>
      </c>
      <c r="H18" s="13">
        <v>41323</v>
      </c>
      <c r="I18" s="183">
        <v>1470000</v>
      </c>
      <c r="J18" s="359">
        <v>41228</v>
      </c>
      <c r="K18" s="183"/>
      <c r="L18" s="359"/>
      <c r="M18" s="183"/>
      <c r="N18" s="359"/>
      <c r="O18" s="183"/>
      <c r="P18" s="359"/>
      <c r="Q18" s="86">
        <f t="shared" si="0"/>
        <v>1470000</v>
      </c>
      <c r="R18" s="372" t="s">
        <v>379</v>
      </c>
      <c r="S18" s="370">
        <v>41323</v>
      </c>
      <c r="T18" s="372"/>
      <c r="U18" s="370"/>
      <c r="V18" s="372"/>
      <c r="W18" s="370"/>
      <c r="X18" s="372"/>
      <c r="Y18" s="370"/>
      <c r="Z18" s="186"/>
      <c r="AA18" s="88">
        <f t="shared" si="1"/>
        <v>41323</v>
      </c>
      <c r="AB18" s="236">
        <v>9976596</v>
      </c>
      <c r="AC18" s="236"/>
      <c r="AD18" s="236"/>
      <c r="AE18" s="236"/>
      <c r="AF18" s="236"/>
      <c r="AG18" s="236"/>
      <c r="AH18" s="236"/>
      <c r="AI18" s="236"/>
      <c r="AJ18" s="236"/>
      <c r="AK18" s="236"/>
      <c r="AL18" s="236"/>
      <c r="AM18" s="236"/>
      <c r="AN18" s="236"/>
      <c r="AO18" s="236"/>
      <c r="AP18" s="236"/>
      <c r="AQ18" s="236"/>
      <c r="AR18" s="236"/>
      <c r="AS18" s="236"/>
      <c r="AT18" s="369">
        <v>0</v>
      </c>
      <c r="AU18" s="90">
        <f t="shared" si="2"/>
        <v>9976596</v>
      </c>
    </row>
    <row r="19" spans="1:49" ht="34.5" hidden="1" customHeight="1" x14ac:dyDescent="0.25">
      <c r="A19" s="85">
        <v>13</v>
      </c>
      <c r="B19" s="2" t="str">
        <f>+'Base de Datos'!E19</f>
        <v>120000-331-0-2011</v>
      </c>
      <c r="C19" s="2" t="str">
        <f>+'Base de Datos'!F19</f>
        <v>KEY MARKEY S.A.</v>
      </c>
      <c r="D19" s="2">
        <f>+'Base de Datos'!G19</f>
        <v>830073623</v>
      </c>
      <c r="E19" s="2" t="str">
        <f>+'Base de Datos'!H19</f>
        <v>Adquirir medios de almacenamiento cintas Tape Backup y CD, para garantizar la protección a la información.</v>
      </c>
      <c r="F19" s="3">
        <v>1306508</v>
      </c>
      <c r="G19" s="6">
        <v>40891</v>
      </c>
      <c r="H19" s="6">
        <v>40922</v>
      </c>
      <c r="I19" s="183"/>
      <c r="J19" s="359"/>
      <c r="K19" s="183"/>
      <c r="L19" s="359"/>
      <c r="M19" s="183"/>
      <c r="N19" s="359"/>
      <c r="O19" s="183"/>
      <c r="P19" s="359"/>
      <c r="Q19" s="86">
        <f t="shared" si="0"/>
        <v>0</v>
      </c>
      <c r="R19" s="372"/>
      <c r="S19" s="370"/>
      <c r="T19" s="372"/>
      <c r="U19" s="370"/>
      <c r="V19" s="372"/>
      <c r="W19" s="370"/>
      <c r="X19" s="372"/>
      <c r="Y19" s="370"/>
      <c r="Z19" s="376"/>
      <c r="AA19" s="88">
        <f t="shared" si="1"/>
        <v>0</v>
      </c>
      <c r="AB19" s="236">
        <v>1306508</v>
      </c>
      <c r="AC19" s="236"/>
      <c r="AD19" s="236"/>
      <c r="AE19" s="236"/>
      <c r="AF19" s="236"/>
      <c r="AG19" s="236"/>
      <c r="AH19" s="236"/>
      <c r="AI19" s="236"/>
      <c r="AJ19" s="236"/>
      <c r="AK19" s="236"/>
      <c r="AL19" s="236"/>
      <c r="AM19" s="236"/>
      <c r="AN19" s="236"/>
      <c r="AO19" s="236"/>
      <c r="AP19" s="236"/>
      <c r="AQ19" s="236"/>
      <c r="AR19" s="236"/>
      <c r="AS19" s="236"/>
      <c r="AT19" s="369">
        <v>0</v>
      </c>
      <c r="AU19" s="90">
        <f t="shared" si="2"/>
        <v>1306508</v>
      </c>
    </row>
    <row r="20" spans="1:49" ht="34.5" hidden="1" customHeight="1" x14ac:dyDescent="0.25">
      <c r="A20" s="85">
        <v>14</v>
      </c>
      <c r="B20" s="2" t="str">
        <f>+'Base de Datos'!E20</f>
        <v>120000-361-0-2011</v>
      </c>
      <c r="C20" s="2" t="str">
        <f>+'Base de Datos'!F20</f>
        <v>PAPELERÍA  LOS  LAGOS  LTDA.</v>
      </c>
      <c r="D20" s="2">
        <f>+'Base de Datos'!G20</f>
        <v>860053274</v>
      </c>
      <c r="E20" s="2" t="str">
        <f>+'Base de Datos'!H20</f>
        <v xml:space="preserve">Suministrar papelería y útiles de escritorio por el sistema de precios unitarios fijos, en la modalidad de proveeduría integral (outsourcing) para el Concejo de Bogotá D.C., de conformidad con los requerimientos establecidos en el pliego de condiciones y </v>
      </c>
      <c r="F20" s="12">
        <v>102786079</v>
      </c>
      <c r="G20" s="13">
        <v>40897</v>
      </c>
      <c r="H20" s="13">
        <v>41110</v>
      </c>
      <c r="I20" s="183"/>
      <c r="J20" s="359"/>
      <c r="K20" s="183"/>
      <c r="L20" s="359"/>
      <c r="M20" s="183"/>
      <c r="N20" s="359"/>
      <c r="O20" s="183"/>
      <c r="P20" s="359"/>
      <c r="Q20" s="86">
        <f t="shared" si="0"/>
        <v>0</v>
      </c>
      <c r="R20" s="372" t="s">
        <v>1534</v>
      </c>
      <c r="S20" s="370">
        <v>41243</v>
      </c>
      <c r="T20" s="372"/>
      <c r="U20" s="370"/>
      <c r="V20" s="372"/>
      <c r="W20" s="370"/>
      <c r="X20" s="372"/>
      <c r="Y20" s="370"/>
      <c r="Z20" s="186" t="s">
        <v>1534</v>
      </c>
      <c r="AA20" s="88">
        <f t="shared" si="1"/>
        <v>41243</v>
      </c>
      <c r="AB20" s="236">
        <v>20163045</v>
      </c>
      <c r="AC20" s="236">
        <v>7922244</v>
      </c>
      <c r="AD20" s="236">
        <v>3457160</v>
      </c>
      <c r="AE20" s="236">
        <v>4795816</v>
      </c>
      <c r="AF20" s="236">
        <v>5037116</v>
      </c>
      <c r="AG20" s="236">
        <v>9132552</v>
      </c>
      <c r="AH20" s="236">
        <v>33358440</v>
      </c>
      <c r="AI20" s="415">
        <v>180000</v>
      </c>
      <c r="AJ20" s="236"/>
      <c r="AK20" s="236"/>
      <c r="AL20" s="236"/>
      <c r="AM20" s="236"/>
      <c r="AN20" s="236"/>
      <c r="AO20" s="236"/>
      <c r="AP20" s="236"/>
      <c r="AQ20" s="236"/>
      <c r="AR20" s="236"/>
      <c r="AS20" s="236"/>
      <c r="AT20" s="369">
        <v>41227</v>
      </c>
      <c r="AU20" s="90">
        <f t="shared" si="2"/>
        <v>84046373</v>
      </c>
      <c r="AW20" s="1">
        <v>84046373</v>
      </c>
    </row>
    <row r="21" spans="1:49" ht="34.5" hidden="1" customHeight="1" x14ac:dyDescent="0.25">
      <c r="A21" s="85">
        <v>15</v>
      </c>
      <c r="B21" s="2" t="str">
        <f>+'Base de Datos'!E21</f>
        <v>120000-440-0-2011</v>
      </c>
      <c r="C21" s="2" t="str">
        <f>+'Base de Datos'!F21</f>
        <v>CONTROL SISTEMAS DE COMUNICACIONES C.S.C. LTDA.</v>
      </c>
      <c r="D21" s="2">
        <f>+'Base de Datos'!G21</f>
        <v>860518574</v>
      </c>
      <c r="E21" s="2" t="str">
        <f>+'Base de Datos'!H21</f>
        <v>Adquirir un sistema biométrico de control de acceso y control de horarios para  el Concejo de Bogotá, D.C. de conformidad con lo establecido en la invitación pública del proceso de selección citado en el asunto.</v>
      </c>
      <c r="F21" s="3">
        <v>49376272</v>
      </c>
      <c r="G21" s="6">
        <v>40946</v>
      </c>
      <c r="H21" s="6">
        <v>41312</v>
      </c>
      <c r="I21" s="183"/>
      <c r="J21" s="359"/>
      <c r="K21" s="183"/>
      <c r="L21" s="359"/>
      <c r="M21" s="183"/>
      <c r="N21" s="359"/>
      <c r="O21" s="183"/>
      <c r="P21" s="359"/>
      <c r="Q21" s="86">
        <f t="shared" si="0"/>
        <v>0</v>
      </c>
      <c r="R21" s="372"/>
      <c r="S21" s="370"/>
      <c r="T21" s="372"/>
      <c r="U21" s="370"/>
      <c r="V21" s="372"/>
      <c r="W21" s="370"/>
      <c r="X21" s="372"/>
      <c r="Y21" s="370"/>
      <c r="Z21" s="376"/>
      <c r="AA21" s="88">
        <f t="shared" si="1"/>
        <v>0</v>
      </c>
      <c r="AB21" s="236">
        <v>34563390</v>
      </c>
      <c r="AC21" s="236">
        <v>14812882</v>
      </c>
      <c r="AD21" s="236"/>
      <c r="AE21" s="236"/>
      <c r="AF21" s="236"/>
      <c r="AG21" s="236"/>
      <c r="AH21" s="236"/>
      <c r="AI21" s="236"/>
      <c r="AJ21" s="236"/>
      <c r="AK21" s="236"/>
      <c r="AL21" s="236"/>
      <c r="AM21" s="236"/>
      <c r="AN21" s="236"/>
      <c r="AO21" s="236"/>
      <c r="AP21" s="236"/>
      <c r="AQ21" s="236"/>
      <c r="AR21" s="236"/>
      <c r="AS21" s="236"/>
      <c r="AT21" s="369">
        <v>41520</v>
      </c>
      <c r="AU21" s="90">
        <f t="shared" si="2"/>
        <v>49376272</v>
      </c>
    </row>
    <row r="22" spans="1:49" ht="34.5" hidden="1" customHeight="1" x14ac:dyDescent="0.25">
      <c r="A22" s="85">
        <v>16</v>
      </c>
      <c r="B22" s="2" t="str">
        <f>+'Base de Datos'!E22</f>
        <v>040000-221-0-2012</v>
      </c>
      <c r="C22" s="2" t="str">
        <f>+'Base de Datos'!F22</f>
        <v>FACTOR VISUAL EAT</v>
      </c>
      <c r="D22" s="2">
        <f>+'Base de Datos'!G22</f>
        <v>830112518</v>
      </c>
      <c r="E22" s="2" t="str">
        <f>+'Base de Datos'!H22</f>
        <v>Mantenimiento, soporte y actualización al software Prontus (Página web e Intranet)</v>
      </c>
      <c r="F22" s="3">
        <v>79634000</v>
      </c>
      <c r="G22" s="6">
        <v>41087</v>
      </c>
      <c r="H22" s="6">
        <v>41452</v>
      </c>
      <c r="I22" s="183"/>
      <c r="J22" s="359"/>
      <c r="K22" s="183"/>
      <c r="L22" s="359"/>
      <c r="M22" s="183"/>
      <c r="N22" s="359"/>
      <c r="O22" s="183"/>
      <c r="P22" s="359"/>
      <c r="Q22" s="86">
        <f t="shared" si="0"/>
        <v>0</v>
      </c>
      <c r="R22" s="372" t="s">
        <v>378</v>
      </c>
      <c r="S22" s="370">
        <v>41513</v>
      </c>
      <c r="T22" s="372"/>
      <c r="U22" s="370"/>
      <c r="V22" s="372"/>
      <c r="W22" s="370"/>
      <c r="X22" s="372"/>
      <c r="Y22" s="370"/>
      <c r="Z22" s="186" t="s">
        <v>378</v>
      </c>
      <c r="AA22" s="88">
        <f t="shared" si="1"/>
        <v>41513</v>
      </c>
      <c r="AB22" s="236">
        <v>10730000</v>
      </c>
      <c r="AC22" s="236">
        <v>2900000</v>
      </c>
      <c r="AD22" s="236">
        <v>2900000</v>
      </c>
      <c r="AE22" s="236">
        <v>2900000</v>
      </c>
      <c r="AF22" s="236">
        <v>2900000</v>
      </c>
      <c r="AG22" s="236">
        <v>34104000</v>
      </c>
      <c r="AH22" s="236">
        <v>2900000</v>
      </c>
      <c r="AI22" s="236">
        <v>2900000</v>
      </c>
      <c r="AJ22" s="236">
        <v>2900000</v>
      </c>
      <c r="AK22" s="236">
        <v>2900000</v>
      </c>
      <c r="AL22" s="236">
        <v>2900000</v>
      </c>
      <c r="AM22" s="236">
        <v>2900000</v>
      </c>
      <c r="AN22" s="236">
        <v>2900000</v>
      </c>
      <c r="AO22" s="236">
        <v>2900000</v>
      </c>
      <c r="AP22" s="236"/>
      <c r="AQ22" s="236"/>
      <c r="AR22" s="236"/>
      <c r="AS22" s="236"/>
      <c r="AT22" s="369">
        <v>0</v>
      </c>
      <c r="AU22" s="90">
        <f t="shared" si="2"/>
        <v>79634000</v>
      </c>
    </row>
    <row r="23" spans="1:49" ht="34.5" hidden="1" customHeight="1" x14ac:dyDescent="0.25">
      <c r="A23" s="85">
        <v>17</v>
      </c>
      <c r="B23" s="2" t="str">
        <f>+'Base de Datos'!E23</f>
        <v>040000-357-0-2012</v>
      </c>
      <c r="C23" s="2" t="str">
        <f>+'Base de Datos'!F23</f>
        <v>LILIA FANNY GUEVARA PARRADO</v>
      </c>
      <c r="D23" s="2">
        <f>+'Base de Datos'!G23</f>
        <v>20546554</v>
      </c>
      <c r="E23" s="2" t="str">
        <f>+'Base de Datos'!H23</f>
        <v>Adquirir medios de almacenamiento (CD, DVD, DVD/R) para el Concejo de Bogotá, de conformidad con las especificaciones técnicas previstas en la Invitación Pública del proceso de selección SDH-SMINC-026-2012.</v>
      </c>
      <c r="F23" s="3">
        <v>4206160</v>
      </c>
      <c r="G23" s="4">
        <v>41213</v>
      </c>
      <c r="H23" s="4">
        <v>41274</v>
      </c>
      <c r="I23" s="183"/>
      <c r="J23" s="359"/>
      <c r="K23" s="183"/>
      <c r="L23" s="359"/>
      <c r="M23" s="183"/>
      <c r="N23" s="359"/>
      <c r="O23" s="183"/>
      <c r="P23" s="359"/>
      <c r="Q23" s="86">
        <f t="shared" si="0"/>
        <v>0</v>
      </c>
      <c r="R23" s="372"/>
      <c r="S23" s="370"/>
      <c r="T23" s="372"/>
      <c r="U23" s="370"/>
      <c r="V23" s="372"/>
      <c r="W23" s="370"/>
      <c r="X23" s="372"/>
      <c r="Y23" s="370"/>
      <c r="Z23" s="186"/>
      <c r="AA23" s="88">
        <f t="shared" si="1"/>
        <v>0</v>
      </c>
      <c r="AB23" s="236"/>
      <c r="AC23" s="236"/>
      <c r="AD23" s="236"/>
      <c r="AE23" s="236"/>
      <c r="AF23" s="236"/>
      <c r="AG23" s="236"/>
      <c r="AH23" s="236"/>
      <c r="AI23" s="236"/>
      <c r="AJ23" s="236"/>
      <c r="AK23" s="236"/>
      <c r="AL23" s="236"/>
      <c r="AM23" s="236"/>
      <c r="AN23" s="236"/>
      <c r="AO23" s="236"/>
      <c r="AP23" s="236"/>
      <c r="AQ23" s="236"/>
      <c r="AR23" s="236"/>
      <c r="AS23" s="236"/>
      <c r="AT23" s="369">
        <v>0</v>
      </c>
      <c r="AU23" s="90">
        <f t="shared" si="2"/>
        <v>0</v>
      </c>
    </row>
    <row r="24" spans="1:49" ht="34.5" hidden="1" customHeight="1" x14ac:dyDescent="0.25">
      <c r="A24" s="85">
        <v>18</v>
      </c>
      <c r="B24" s="2" t="str">
        <f>+'Base de Datos'!E24</f>
        <v>040000-410-0-2012</v>
      </c>
      <c r="C24" s="2" t="str">
        <f>+'Base de Datos'!F24</f>
        <v>EMPRESA DE TELECOMUNICACIONES DE BOGOTÁ S.A.-ETB-ESP</v>
      </c>
      <c r="D24" s="2">
        <f>+'Base de Datos'!G24</f>
        <v>899999115</v>
      </c>
      <c r="E24" s="2" t="str">
        <f>+'Base de Datos'!H24</f>
        <v>Prestar los servicios de conectividad de canales de comunicación, dedicados e internet y servicios complementarios para la secretaria Distrital de Hacienda y Concejo de Bogotá, de conformidad con lo establecido en los estudios previos.</v>
      </c>
      <c r="F24" s="8">
        <v>726335435</v>
      </c>
      <c r="G24" s="6">
        <v>41206</v>
      </c>
      <c r="H24" s="6">
        <v>41609</v>
      </c>
      <c r="I24" s="183"/>
      <c r="J24" s="359"/>
      <c r="K24" s="183"/>
      <c r="L24" s="359"/>
      <c r="M24" s="183"/>
      <c r="N24" s="359"/>
      <c r="O24" s="183"/>
      <c r="P24" s="359"/>
      <c r="Q24" s="86">
        <f t="shared" si="0"/>
        <v>0</v>
      </c>
      <c r="R24" s="372"/>
      <c r="S24" s="370"/>
      <c r="T24" s="372"/>
      <c r="U24" s="370"/>
      <c r="V24" s="372"/>
      <c r="W24" s="370"/>
      <c r="X24" s="372"/>
      <c r="Y24" s="370"/>
      <c r="Z24" s="186"/>
      <c r="AA24" s="88">
        <f t="shared" si="1"/>
        <v>0</v>
      </c>
      <c r="AB24" s="236">
        <v>38873613</v>
      </c>
      <c r="AC24" s="236">
        <v>37780170</v>
      </c>
      <c r="AD24" s="236">
        <v>226381204</v>
      </c>
      <c r="AE24" s="236">
        <v>43503937</v>
      </c>
      <c r="AF24" s="236">
        <v>96751874</v>
      </c>
      <c r="AG24" s="236">
        <v>44895937</v>
      </c>
      <c r="AH24" s="236">
        <v>89791874</v>
      </c>
      <c r="AI24" s="236"/>
      <c r="AJ24" s="236"/>
      <c r="AK24" s="236"/>
      <c r="AL24" s="236"/>
      <c r="AM24" s="236"/>
      <c r="AN24" s="236"/>
      <c r="AO24" s="236"/>
      <c r="AP24" s="236"/>
      <c r="AQ24" s="236"/>
      <c r="AR24" s="236"/>
      <c r="AS24" s="236"/>
      <c r="AT24" s="369">
        <v>41627</v>
      </c>
      <c r="AU24" s="90">
        <f t="shared" si="2"/>
        <v>577978609</v>
      </c>
    </row>
    <row r="25" spans="1:49" ht="34.5" hidden="1" customHeight="1" x14ac:dyDescent="0.25">
      <c r="A25" s="85">
        <v>19</v>
      </c>
      <c r="B25" s="2" t="str">
        <f>+'Base de Datos'!E25</f>
        <v>050000-120-0-2012</v>
      </c>
      <c r="C25" s="2" t="str">
        <f>+'Base de Datos'!F25</f>
        <v>ACE SEGUROS S.A.</v>
      </c>
      <c r="D25" s="2">
        <f>+'Base de Datos'!G25</f>
        <v>860026518</v>
      </c>
      <c r="E25" s="2" t="str">
        <f>+'Base de Datos'!H25</f>
        <v>Contratar la Póliza de Responsabilidad Civil Servidores Públicos para el Concejo de Bogotá D.C.</v>
      </c>
      <c r="F25" s="3">
        <v>48720000</v>
      </c>
      <c r="G25" s="4">
        <v>41025</v>
      </c>
      <c r="H25" s="4">
        <v>41608</v>
      </c>
      <c r="I25" s="183">
        <v>2436000</v>
      </c>
      <c r="J25" s="359">
        <v>41394</v>
      </c>
      <c r="K25" s="183">
        <v>18159786</v>
      </c>
      <c r="L25" s="359">
        <v>41451</v>
      </c>
      <c r="M25" s="183">
        <v>1780371</v>
      </c>
      <c r="N25" s="359">
        <v>41607</v>
      </c>
      <c r="O25" s="183"/>
      <c r="P25" s="359"/>
      <c r="Q25" s="86">
        <f t="shared" si="0"/>
        <v>22376157</v>
      </c>
      <c r="R25" s="372" t="s">
        <v>544</v>
      </c>
      <c r="S25" s="370">
        <v>41608</v>
      </c>
      <c r="T25" s="372" t="s">
        <v>962</v>
      </c>
      <c r="U25" s="370">
        <v>41623</v>
      </c>
      <c r="V25" s="372"/>
      <c r="W25" s="370"/>
      <c r="X25" s="372"/>
      <c r="Y25" s="370"/>
      <c r="Z25" s="186" t="s">
        <v>1561</v>
      </c>
      <c r="AA25" s="88">
        <f t="shared" si="1"/>
        <v>41623</v>
      </c>
      <c r="AB25" s="236">
        <v>71096157</v>
      </c>
      <c r="AC25" s="236"/>
      <c r="AD25" s="236"/>
      <c r="AE25" s="236"/>
      <c r="AF25" s="236"/>
      <c r="AG25" s="236"/>
      <c r="AH25" s="236"/>
      <c r="AI25" s="236"/>
      <c r="AJ25" s="236"/>
      <c r="AK25" s="236"/>
      <c r="AL25" s="236"/>
      <c r="AM25" s="236"/>
      <c r="AN25" s="236"/>
      <c r="AO25" s="236"/>
      <c r="AP25" s="236"/>
      <c r="AQ25" s="236"/>
      <c r="AR25" s="236"/>
      <c r="AS25" s="236"/>
      <c r="AT25" s="369">
        <v>0</v>
      </c>
      <c r="AU25" s="90">
        <f t="shared" si="2"/>
        <v>71096157</v>
      </c>
    </row>
    <row r="26" spans="1:49" ht="34.5" hidden="1" customHeight="1" x14ac:dyDescent="0.25">
      <c r="A26" s="85">
        <v>20</v>
      </c>
      <c r="B26" s="2" t="str">
        <f>+'Base de Datos'!E26</f>
        <v>050000-131-0-2012</v>
      </c>
      <c r="C26" s="2" t="str">
        <f>+'Base de Datos'!F26</f>
        <v xml:space="preserve">MELCO DE COLOMBIA LIMITADA </v>
      </c>
      <c r="D26" s="2">
        <f>+'Base de Datos'!G26</f>
        <v>860025639</v>
      </c>
      <c r="E26" s="2" t="str">
        <f>+'Base de Datos'!H26</f>
        <v>Prestar el servicio de mantenimiento preventivo y correctivo ocasional a los ascensores marca Mitsubishi ubicados en el Concejo de Bogotá.</v>
      </c>
      <c r="F26" s="12">
        <v>11587500</v>
      </c>
      <c r="G26" s="11">
        <v>41074</v>
      </c>
      <c r="H26" s="11">
        <v>41347</v>
      </c>
      <c r="I26" s="183"/>
      <c r="J26" s="359"/>
      <c r="K26" s="183"/>
      <c r="L26" s="359"/>
      <c r="M26" s="183"/>
      <c r="N26" s="359"/>
      <c r="O26" s="183"/>
      <c r="P26" s="359"/>
      <c r="Q26" s="86">
        <f t="shared" si="0"/>
        <v>0</v>
      </c>
      <c r="R26" s="372"/>
      <c r="S26" s="370"/>
      <c r="T26" s="372"/>
      <c r="U26" s="370"/>
      <c r="V26" s="372"/>
      <c r="W26" s="370"/>
      <c r="X26" s="372"/>
      <c r="Y26" s="370"/>
      <c r="Z26" s="186"/>
      <c r="AA26" s="88">
        <f t="shared" si="1"/>
        <v>0</v>
      </c>
      <c r="AB26" s="236">
        <v>1146312</v>
      </c>
      <c r="AC26" s="236">
        <v>1146312</v>
      </c>
      <c r="AD26" s="236">
        <v>1146312</v>
      </c>
      <c r="AE26" s="236">
        <v>1146312</v>
      </c>
      <c r="AF26" s="236">
        <v>1146312</v>
      </c>
      <c r="AG26" s="236">
        <v>1146312</v>
      </c>
      <c r="AH26" s="236">
        <v>1146312</v>
      </c>
      <c r="AI26" s="236">
        <v>1146312</v>
      </c>
      <c r="AJ26" s="236">
        <v>1146312</v>
      </c>
      <c r="AK26" s="236"/>
      <c r="AL26" s="236"/>
      <c r="AM26" s="236"/>
      <c r="AN26" s="236"/>
      <c r="AO26" s="236"/>
      <c r="AP26" s="236"/>
      <c r="AQ26" s="236"/>
      <c r="AR26" s="236"/>
      <c r="AS26" s="236"/>
      <c r="AT26" s="369">
        <v>0</v>
      </c>
      <c r="AU26" s="90">
        <f t="shared" si="2"/>
        <v>10316808</v>
      </c>
    </row>
    <row r="27" spans="1:49" ht="34.5" hidden="1" customHeight="1" x14ac:dyDescent="0.25">
      <c r="A27" s="85">
        <v>21</v>
      </c>
      <c r="B27" s="2" t="str">
        <f>+'Base de Datos'!E27</f>
        <v>120000-463-0-2012</v>
      </c>
      <c r="C27" s="2" t="str">
        <f>+'Base de Datos'!F27</f>
        <v>ALPUNTO SOLUCIONES SAS 12000-463-0-2012</v>
      </c>
      <c r="D27" s="2">
        <f>+'Base de Datos'!G27</f>
        <v>900281089</v>
      </c>
      <c r="E27" s="2" t="str">
        <f>+'Base de Datos'!H27</f>
        <v>CONTRATAR  EL MANTENIMIENTO (CON SUMINISTRO DE REPUESTOS) Y RECARGA DE LOS EXTINTORES Y LA REVISIÓN Y MANTENIMIENTO DE LOS GABINETES CONTRA INCENDIO DE LAS SEDES DEL CONCEJO DE BOGOTÁ.</v>
      </c>
      <c r="F27" s="3">
        <v>4452000</v>
      </c>
      <c r="G27" s="6">
        <v>41235</v>
      </c>
      <c r="H27" s="6">
        <v>41278</v>
      </c>
      <c r="I27" s="183"/>
      <c r="J27" s="359"/>
      <c r="K27" s="183"/>
      <c r="L27" s="359"/>
      <c r="M27" s="183"/>
      <c r="N27" s="359"/>
      <c r="O27" s="183"/>
      <c r="P27" s="359"/>
      <c r="Q27" s="86">
        <f t="shared" si="0"/>
        <v>0</v>
      </c>
      <c r="R27" s="372"/>
      <c r="S27" s="370"/>
      <c r="T27" s="372"/>
      <c r="U27" s="370"/>
      <c r="V27" s="372"/>
      <c r="W27" s="370"/>
      <c r="X27" s="372"/>
      <c r="Y27" s="370"/>
      <c r="Z27" s="186"/>
      <c r="AA27" s="88">
        <f t="shared" si="1"/>
        <v>0</v>
      </c>
      <c r="AB27" s="236">
        <v>4452000</v>
      </c>
      <c r="AC27" s="236"/>
      <c r="AD27" s="236"/>
      <c r="AE27" s="236"/>
      <c r="AF27" s="236"/>
      <c r="AG27" s="236"/>
      <c r="AH27" s="236"/>
      <c r="AI27" s="236"/>
      <c r="AJ27" s="236"/>
      <c r="AK27" s="236"/>
      <c r="AL27" s="236"/>
      <c r="AM27" s="236"/>
      <c r="AN27" s="236"/>
      <c r="AO27" s="236"/>
      <c r="AP27" s="236"/>
      <c r="AQ27" s="236"/>
      <c r="AR27" s="236"/>
      <c r="AS27" s="236"/>
      <c r="AT27" s="369">
        <v>0</v>
      </c>
      <c r="AU27" s="90">
        <f t="shared" si="2"/>
        <v>4452000</v>
      </c>
    </row>
    <row r="28" spans="1:49" ht="34.5" hidden="1" customHeight="1" x14ac:dyDescent="0.25">
      <c r="A28" s="85">
        <v>22</v>
      </c>
      <c r="B28" s="2" t="str">
        <f>+'Base de Datos'!E28</f>
        <v>050000-155-0-2012</v>
      </c>
      <c r="C28" s="2" t="str">
        <f>+'Base de Datos'!F28</f>
        <v>EDITORIAL EL GLOBO S.A</v>
      </c>
      <c r="D28" s="2">
        <f>+'Base de Datos'!G28</f>
        <v>860009759</v>
      </c>
      <c r="E28" s="2" t="str">
        <f>+'Base de Datos'!H28</f>
        <v xml:space="preserve">SUSCRIPCIÓN AL DIARIO LA REPÚBLICA, POR EL TÉRMINO DE UN AÑO, PARA EL CONCEJO DE BOGOTÁ
</v>
      </c>
      <c r="F28" s="3">
        <v>849000</v>
      </c>
      <c r="G28" s="4">
        <v>41044</v>
      </c>
      <c r="H28" s="4">
        <v>41409</v>
      </c>
      <c r="I28" s="183"/>
      <c r="J28" s="359"/>
      <c r="K28" s="183"/>
      <c r="L28" s="359"/>
      <c r="M28" s="183"/>
      <c r="N28" s="359"/>
      <c r="O28" s="183"/>
      <c r="P28" s="359"/>
      <c r="Q28" s="86">
        <f t="shared" si="0"/>
        <v>0</v>
      </c>
      <c r="R28" s="372"/>
      <c r="S28" s="370"/>
      <c r="T28" s="372"/>
      <c r="U28" s="370"/>
      <c r="V28" s="372"/>
      <c r="W28" s="370"/>
      <c r="X28" s="372"/>
      <c r="Y28" s="370"/>
      <c r="Z28" s="186"/>
      <c r="AA28" s="88">
        <f t="shared" si="1"/>
        <v>0</v>
      </c>
      <c r="AB28" s="236">
        <v>849000</v>
      </c>
      <c r="AC28" s="236"/>
      <c r="AD28" s="236"/>
      <c r="AE28" s="236"/>
      <c r="AF28" s="236"/>
      <c r="AG28" s="236"/>
      <c r="AH28" s="236"/>
      <c r="AI28" s="236"/>
      <c r="AJ28" s="236"/>
      <c r="AK28" s="236"/>
      <c r="AL28" s="236"/>
      <c r="AM28" s="236"/>
      <c r="AN28" s="236"/>
      <c r="AO28" s="236"/>
      <c r="AP28" s="236"/>
      <c r="AQ28" s="236"/>
      <c r="AR28" s="236"/>
      <c r="AS28" s="236"/>
      <c r="AT28" s="369">
        <v>0</v>
      </c>
      <c r="AU28" s="90">
        <f t="shared" si="2"/>
        <v>849000</v>
      </c>
    </row>
    <row r="29" spans="1:49" ht="34.5" hidden="1" customHeight="1" x14ac:dyDescent="0.25">
      <c r="A29" s="85">
        <v>23</v>
      </c>
      <c r="B29" s="2" t="str">
        <f>+'Base de Datos'!E29</f>
        <v>050000-222-0-2012</v>
      </c>
      <c r="C29" s="2" t="str">
        <f>+'Base de Datos'!F29</f>
        <v>PRODYGRAF LTDA.</v>
      </c>
      <c r="D29" s="2">
        <f>+'Base de Datos'!G29</f>
        <v>830107673</v>
      </c>
      <c r="E29" s="2" t="str">
        <f>+'Base de Datos'!H29</f>
        <v>Realizar el mantenimiento correctivo y preventivo para las máquinas: Impresora Litográfica MULTILITIH modelo 1250, Compaginadora DUPLO DC 10, Guillotina y Cizalla manual; ubicadas en la oficina de Anales y Publicaciones del Concejo de Bogotá, Calle 36 No. 28 a-41 Bogotá D.C., de conformidad con lo establecido en la invitación pública.</v>
      </c>
      <c r="F29" s="3">
        <v>7192000</v>
      </c>
      <c r="G29" s="4">
        <v>41088</v>
      </c>
      <c r="H29" s="4">
        <v>41333</v>
      </c>
      <c r="I29" s="183"/>
      <c r="J29" s="359"/>
      <c r="K29" s="183"/>
      <c r="L29" s="359"/>
      <c r="M29" s="183"/>
      <c r="N29" s="359"/>
      <c r="O29" s="183"/>
      <c r="P29" s="359"/>
      <c r="Q29" s="86">
        <f t="shared" si="0"/>
        <v>0</v>
      </c>
      <c r="R29" s="372"/>
      <c r="S29" s="370"/>
      <c r="T29" s="372"/>
      <c r="U29" s="370"/>
      <c r="V29" s="372"/>
      <c r="W29" s="370"/>
      <c r="X29" s="372"/>
      <c r="Y29" s="370"/>
      <c r="Z29" s="186"/>
      <c r="AA29" s="88">
        <f t="shared" si="1"/>
        <v>0</v>
      </c>
      <c r="AB29" s="236">
        <v>3103000</v>
      </c>
      <c r="AC29" s="236">
        <v>1363000</v>
      </c>
      <c r="AD29" s="236">
        <v>1363000</v>
      </c>
      <c r="AE29" s="236">
        <v>1363000</v>
      </c>
      <c r="AF29" s="236"/>
      <c r="AG29" s="236"/>
      <c r="AH29" s="236"/>
      <c r="AI29" s="236"/>
      <c r="AJ29" s="236"/>
      <c r="AK29" s="236"/>
      <c r="AL29" s="236"/>
      <c r="AM29" s="236"/>
      <c r="AN29" s="236"/>
      <c r="AO29" s="236"/>
      <c r="AP29" s="236"/>
      <c r="AQ29" s="236"/>
      <c r="AR29" s="236"/>
      <c r="AS29" s="236"/>
      <c r="AT29" s="369">
        <v>0</v>
      </c>
      <c r="AU29" s="90">
        <f t="shared" si="2"/>
        <v>7192000</v>
      </c>
    </row>
    <row r="30" spans="1:49" ht="34.5" hidden="1" customHeight="1" x14ac:dyDescent="0.25">
      <c r="A30" s="85">
        <v>24</v>
      </c>
      <c r="B30" s="2" t="str">
        <f>+'Base de Datos'!E30</f>
        <v>050000-290-0-2012</v>
      </c>
      <c r="C30" s="2" t="str">
        <f>+'Base de Datos'!F30</f>
        <v>INGENIERÍA DE BOMBAS Y PLANTAS LIMITADA</v>
      </c>
      <c r="D30" s="2">
        <f>+'Base de Datos'!G30</f>
        <v>900152368</v>
      </c>
      <c r="E30" s="2" t="str">
        <f>+'Base de Datos'!H30</f>
        <v>Contratar el servicio de mantenimiento preventivo y correctivo para los tanques de almacenamiento y equipos de bombeo hidráulicos de agua potable, residual y aguas negras de las instalaciones del Centro Administrativo Distrital CAD .</v>
      </c>
      <c r="F30" s="3">
        <v>4839200</v>
      </c>
      <c r="G30" s="4">
        <v>41144</v>
      </c>
      <c r="H30" s="4">
        <v>41328</v>
      </c>
      <c r="I30" s="183"/>
      <c r="J30" s="359"/>
      <c r="K30" s="183"/>
      <c r="L30" s="359"/>
      <c r="M30" s="183"/>
      <c r="N30" s="359"/>
      <c r="O30" s="183"/>
      <c r="P30" s="359"/>
      <c r="Q30" s="86">
        <f t="shared" si="0"/>
        <v>0</v>
      </c>
      <c r="R30" s="372"/>
      <c r="S30" s="370"/>
      <c r="T30" s="372"/>
      <c r="U30" s="370"/>
      <c r="V30" s="372"/>
      <c r="W30" s="370"/>
      <c r="X30" s="372"/>
      <c r="Y30" s="370"/>
      <c r="Z30" s="186"/>
      <c r="AA30" s="88">
        <f t="shared" si="1"/>
        <v>0</v>
      </c>
      <c r="AB30" s="236">
        <v>997600</v>
      </c>
      <c r="AC30" s="236">
        <v>2612000</v>
      </c>
      <c r="AD30" s="236">
        <v>1229600</v>
      </c>
      <c r="AE30" s="236"/>
      <c r="AF30" s="236"/>
      <c r="AG30" s="236"/>
      <c r="AH30" s="236"/>
      <c r="AI30" s="236"/>
      <c r="AJ30" s="236"/>
      <c r="AK30" s="236"/>
      <c r="AL30" s="236"/>
      <c r="AM30" s="236"/>
      <c r="AN30" s="236"/>
      <c r="AO30" s="236"/>
      <c r="AP30" s="236"/>
      <c r="AQ30" s="236"/>
      <c r="AR30" s="236"/>
      <c r="AS30" s="236"/>
      <c r="AT30" s="369">
        <v>0</v>
      </c>
      <c r="AU30" s="90">
        <f t="shared" si="2"/>
        <v>4839200</v>
      </c>
    </row>
    <row r="31" spans="1:49" ht="34.5" hidden="1" customHeight="1" x14ac:dyDescent="0.25">
      <c r="A31" s="85">
        <v>25</v>
      </c>
      <c r="B31" s="2" t="str">
        <f>+'Base de Datos'!E31</f>
        <v>050000-324-0-2012</v>
      </c>
      <c r="C31" s="2" t="str">
        <f>+'Base de Datos'!F31</f>
        <v>JAKO IMPORTACIONES S.A.S</v>
      </c>
      <c r="D31" s="2">
        <f>+'Base de Datos'!G31</f>
        <v>830038886</v>
      </c>
      <c r="E31" s="2" t="str">
        <f>+'Base de Datos'!H31</f>
        <v>Prestar el servicio de mantenimiento periódico preventivo al parque automotor de la Secretaría Distrital de Hacienda y el Concejo de Bogotá D.C.</v>
      </c>
      <c r="F31" s="12">
        <v>13527752</v>
      </c>
      <c r="G31" s="13">
        <v>41137</v>
      </c>
      <c r="H31" s="13">
        <v>41349</v>
      </c>
      <c r="I31" s="183"/>
      <c r="J31" s="359"/>
      <c r="K31" s="183"/>
      <c r="L31" s="359"/>
      <c r="M31" s="183"/>
      <c r="N31" s="359"/>
      <c r="O31" s="183"/>
      <c r="P31" s="359"/>
      <c r="Q31" s="86">
        <f t="shared" si="0"/>
        <v>0</v>
      </c>
      <c r="R31" s="372"/>
      <c r="S31" s="370"/>
      <c r="T31" s="372"/>
      <c r="U31" s="370"/>
      <c r="V31" s="372"/>
      <c r="W31" s="370"/>
      <c r="X31" s="372"/>
      <c r="Y31" s="370"/>
      <c r="Z31" s="186"/>
      <c r="AA31" s="88">
        <f t="shared" si="1"/>
        <v>0</v>
      </c>
      <c r="AB31" s="236"/>
      <c r="AC31" s="236"/>
      <c r="AD31" s="236"/>
      <c r="AE31" s="236"/>
      <c r="AF31" s="236"/>
      <c r="AG31" s="236"/>
      <c r="AH31" s="236"/>
      <c r="AI31" s="236"/>
      <c r="AJ31" s="236"/>
      <c r="AK31" s="236"/>
      <c r="AL31" s="236"/>
      <c r="AM31" s="236"/>
      <c r="AN31" s="236"/>
      <c r="AO31" s="236"/>
      <c r="AP31" s="236"/>
      <c r="AQ31" s="236"/>
      <c r="AR31" s="236"/>
      <c r="AS31" s="236"/>
      <c r="AT31" s="369">
        <v>0</v>
      </c>
      <c r="AU31" s="90">
        <f t="shared" si="2"/>
        <v>0</v>
      </c>
    </row>
    <row r="32" spans="1:49" ht="34.5" hidden="1" customHeight="1" x14ac:dyDescent="0.25">
      <c r="A32" s="85">
        <v>26</v>
      </c>
      <c r="B32" s="2" t="str">
        <f>+'Base de Datos'!E32</f>
        <v>050000-333-0-2012</v>
      </c>
      <c r="C32" s="2" t="str">
        <f>+'Base de Datos'!F32</f>
        <v>POSITIVA COMPAÑÍA DE SEGUROS S A</v>
      </c>
      <c r="D32" s="2">
        <f>+'Base de Datos'!G32</f>
        <v>860011153</v>
      </c>
      <c r="E32" s="2" t="str">
        <f>+'Base de Datos'!H32</f>
        <v>Expedición de pólizas de seguros EL CONCEJO DE BOGOTA que conforman el Grupo No 4 "SEGUROS DE VIDA CONCEJALES", del pliego de condiciones de la Licitación Pública No. SDH-LP-001-2012 y la propuesta por el contratista el POSITIVA COMPAÑÍA DE SEGUROS S.A.</v>
      </c>
      <c r="F32" s="3">
        <v>85219000</v>
      </c>
      <c r="G32" s="4">
        <v>41122</v>
      </c>
      <c r="H32" s="4">
        <v>41531</v>
      </c>
      <c r="I32" s="183">
        <v>15102355</v>
      </c>
      <c r="J32" s="359"/>
      <c r="K32" s="183"/>
      <c r="L32" s="359"/>
      <c r="M32" s="183"/>
      <c r="N32" s="359"/>
      <c r="O32" s="183"/>
      <c r="P32" s="359"/>
      <c r="Q32" s="86">
        <f t="shared" si="0"/>
        <v>15102355</v>
      </c>
      <c r="R32" s="372"/>
      <c r="S32" s="370"/>
      <c r="T32" s="372"/>
      <c r="U32" s="370"/>
      <c r="V32" s="372"/>
      <c r="W32" s="370"/>
      <c r="X32" s="372"/>
      <c r="Y32" s="370"/>
      <c r="Z32" s="184"/>
      <c r="AA32" s="88">
        <f t="shared" si="1"/>
        <v>0</v>
      </c>
      <c r="AB32" s="236">
        <v>95321355</v>
      </c>
      <c r="AC32" s="236"/>
      <c r="AD32" s="236"/>
      <c r="AE32" s="236"/>
      <c r="AF32" s="236"/>
      <c r="AG32" s="236"/>
      <c r="AH32" s="236"/>
      <c r="AI32" s="236"/>
      <c r="AJ32" s="236"/>
      <c r="AK32" s="236"/>
      <c r="AL32" s="236"/>
      <c r="AM32" s="236"/>
      <c r="AN32" s="236"/>
      <c r="AO32" s="236"/>
      <c r="AP32" s="236"/>
      <c r="AQ32" s="236"/>
      <c r="AR32" s="236"/>
      <c r="AS32" s="236"/>
      <c r="AT32" s="369">
        <v>0</v>
      </c>
      <c r="AU32" s="90">
        <f t="shared" si="2"/>
        <v>95321355</v>
      </c>
    </row>
    <row r="33" spans="1:47" ht="34.5" hidden="1" customHeight="1" x14ac:dyDescent="0.25">
      <c r="A33" s="85">
        <v>27</v>
      </c>
      <c r="B33" s="2" t="str">
        <f>+'Base de Datos'!E33</f>
        <v>050000-340-0-2012</v>
      </c>
      <c r="C33" s="2" t="str">
        <f>+'Base de Datos'!F33</f>
        <v>UNIÓN TEMPORAL SEGUROS GENERALES SURAMERICANA S.A. PREVISORA S.A. COMPAÑÍA DE SEGUROS Y QBE SEGUROS S.A.</v>
      </c>
      <c r="D33" s="2">
        <f>+'Base de Datos'!G33</f>
        <v>0</v>
      </c>
      <c r="E33" s="2" t="str">
        <f>+'Base de Datos'!H33</f>
        <v>La Secretaria Distrital de Hacienda, están interesadas en contratar las pólizas de seguros requeridas para la adecuada protección de los bienes e intereses patrimoniales de propiedad de las mismas y del Concejo de Bogotá D.C., o de aquellos por los cuales sean o llegaren a ser legalmente responsables, así como los seguros de Grupo Vida de los CONCEJALES DE BOGOTÁ D.C.- AUTOMÓVILES</v>
      </c>
      <c r="F33" s="3">
        <v>81888094</v>
      </c>
      <c r="G33" s="4">
        <v>41122</v>
      </c>
      <c r="H33" s="4">
        <v>41516</v>
      </c>
      <c r="I33" s="183">
        <v>17234233</v>
      </c>
      <c r="J33" s="359">
        <v>41478</v>
      </c>
      <c r="K33" s="183"/>
      <c r="L33" s="359"/>
      <c r="M33" s="183"/>
      <c r="N33" s="359"/>
      <c r="O33" s="183"/>
      <c r="P33" s="359"/>
      <c r="Q33" s="86">
        <f t="shared" si="0"/>
        <v>17234233</v>
      </c>
      <c r="R33" s="372" t="s">
        <v>542</v>
      </c>
      <c r="S33" s="370">
        <v>41608</v>
      </c>
      <c r="T33" s="372" t="s">
        <v>962</v>
      </c>
      <c r="U33" s="370">
        <v>41623</v>
      </c>
      <c r="V33" s="372"/>
      <c r="W33" s="370"/>
      <c r="X33" s="372"/>
      <c r="Y33" s="370"/>
      <c r="Z33" s="184" t="s">
        <v>1373</v>
      </c>
      <c r="AA33" s="88">
        <f t="shared" si="1"/>
        <v>41623</v>
      </c>
      <c r="AB33" s="236">
        <v>93840542</v>
      </c>
      <c r="AC33" s="236"/>
      <c r="AD33" s="236"/>
      <c r="AE33" s="236"/>
      <c r="AF33" s="236"/>
      <c r="AG33" s="236"/>
      <c r="AH33" s="236"/>
      <c r="AI33" s="236"/>
      <c r="AJ33" s="236"/>
      <c r="AK33" s="236"/>
      <c r="AL33" s="236"/>
      <c r="AM33" s="236"/>
      <c r="AN33" s="236"/>
      <c r="AO33" s="236"/>
      <c r="AP33" s="236"/>
      <c r="AQ33" s="236"/>
      <c r="AR33" s="236"/>
      <c r="AS33" s="236"/>
      <c r="AT33" s="369">
        <v>0</v>
      </c>
      <c r="AU33" s="90">
        <f t="shared" si="2"/>
        <v>93840542</v>
      </c>
    </row>
    <row r="34" spans="1:47" ht="34.5" hidden="1" customHeight="1" x14ac:dyDescent="0.25">
      <c r="A34" s="85">
        <v>28</v>
      </c>
      <c r="B34" s="2" t="str">
        <f>+'Base de Datos'!E34</f>
        <v>050000-342-0-2012</v>
      </c>
      <c r="C34" s="2" t="str">
        <f>+'Base de Datos'!F34</f>
        <v>COMUNICAN S.A</v>
      </c>
      <c r="D34" s="2">
        <f>+'Base de Datos'!G34</f>
        <v>860007590</v>
      </c>
      <c r="E34" s="2" t="str">
        <f>+'Base de Datos'!H34</f>
        <v>SUSCRIPCIÓN AL DIARIO EL ESPECTADOR, POR EL TÉRMINO DE UN AÑO, PARA EL CONCEJO DE BOGOTÁ.</v>
      </c>
      <c r="F34" s="3">
        <v>900000</v>
      </c>
      <c r="G34" s="6">
        <v>41162</v>
      </c>
      <c r="H34" s="6">
        <v>41527</v>
      </c>
      <c r="I34" s="183"/>
      <c r="J34" s="359"/>
      <c r="K34" s="183"/>
      <c r="L34" s="359"/>
      <c r="M34" s="183"/>
      <c r="N34" s="359"/>
      <c r="O34" s="183"/>
      <c r="P34" s="359"/>
      <c r="Q34" s="86">
        <f t="shared" si="0"/>
        <v>0</v>
      </c>
      <c r="R34" s="372"/>
      <c r="S34" s="370"/>
      <c r="T34" s="372"/>
      <c r="U34" s="370"/>
      <c r="V34" s="372"/>
      <c r="W34" s="370"/>
      <c r="X34" s="372"/>
      <c r="Y34" s="370"/>
      <c r="Z34" s="186"/>
      <c r="AA34" s="88">
        <f t="shared" si="1"/>
        <v>0</v>
      </c>
      <c r="AB34" s="236">
        <v>900000</v>
      </c>
      <c r="AC34" s="236"/>
      <c r="AD34" s="236"/>
      <c r="AE34" s="236"/>
      <c r="AF34" s="236"/>
      <c r="AG34" s="236"/>
      <c r="AH34" s="236"/>
      <c r="AI34" s="236"/>
      <c r="AJ34" s="236"/>
      <c r="AK34" s="236"/>
      <c r="AL34" s="236"/>
      <c r="AM34" s="236"/>
      <c r="AN34" s="236"/>
      <c r="AO34" s="236"/>
      <c r="AP34" s="236"/>
      <c r="AQ34" s="236"/>
      <c r="AR34" s="236"/>
      <c r="AS34" s="236"/>
      <c r="AT34" s="369">
        <v>0</v>
      </c>
      <c r="AU34" s="90">
        <f t="shared" si="2"/>
        <v>900000</v>
      </c>
    </row>
    <row r="35" spans="1:47" ht="34.5" hidden="1" customHeight="1" x14ac:dyDescent="0.25">
      <c r="A35" s="85">
        <v>29</v>
      </c>
      <c r="B35" s="2" t="str">
        <f>+'Base de Datos'!E35</f>
        <v>050000-346-0-2012</v>
      </c>
      <c r="C35" s="2" t="str">
        <f>+'Base de Datos'!F35</f>
        <v>EDITORIAL LA UNIDAD</v>
      </c>
      <c r="D35" s="2">
        <f>+'Base de Datos'!G35</f>
        <v>860536029</v>
      </c>
      <c r="E35" s="2" t="str">
        <f>+'Base de Datos'!H35</f>
        <v>Realizar la suscripción a periódicos, revistas, medios de comunicación impresos, para el Concejo de Bogotá _EL NUEVO SIGLO</v>
      </c>
      <c r="F35" s="3">
        <v>840000</v>
      </c>
      <c r="G35" s="4">
        <v>41165</v>
      </c>
      <c r="H35" s="4">
        <v>41530</v>
      </c>
      <c r="I35" s="183"/>
      <c r="J35" s="359"/>
      <c r="K35" s="183"/>
      <c r="L35" s="359"/>
      <c r="M35" s="183"/>
      <c r="N35" s="359"/>
      <c r="O35" s="183"/>
      <c r="P35" s="359"/>
      <c r="Q35" s="86">
        <f t="shared" si="0"/>
        <v>0</v>
      </c>
      <c r="R35" s="372"/>
      <c r="S35" s="370"/>
      <c r="T35" s="372"/>
      <c r="U35" s="370"/>
      <c r="V35" s="372"/>
      <c r="W35" s="370"/>
      <c r="X35" s="372"/>
      <c r="Y35" s="370"/>
      <c r="Z35" s="186"/>
      <c r="AA35" s="88">
        <f t="shared" si="1"/>
        <v>0</v>
      </c>
      <c r="AB35" s="236">
        <v>840000</v>
      </c>
      <c r="AC35" s="236"/>
      <c r="AD35" s="236"/>
      <c r="AE35" s="236"/>
      <c r="AF35" s="236"/>
      <c r="AG35" s="236"/>
      <c r="AH35" s="236"/>
      <c r="AI35" s="236"/>
      <c r="AJ35" s="236"/>
      <c r="AK35" s="236"/>
      <c r="AL35" s="236"/>
      <c r="AM35" s="236"/>
      <c r="AN35" s="236"/>
      <c r="AO35" s="236"/>
      <c r="AP35" s="236"/>
      <c r="AQ35" s="236"/>
      <c r="AR35" s="236"/>
      <c r="AS35" s="236"/>
      <c r="AT35" s="369">
        <v>0</v>
      </c>
      <c r="AU35" s="90">
        <f t="shared" si="2"/>
        <v>840000</v>
      </c>
    </row>
    <row r="36" spans="1:47" ht="34.5" hidden="1" customHeight="1" x14ac:dyDescent="0.25">
      <c r="A36" s="85">
        <v>30</v>
      </c>
      <c r="B36" s="2" t="str">
        <f>+'Base de Datos'!E36</f>
        <v>050000-348-0-2012</v>
      </c>
      <c r="C36" s="2" t="str">
        <f>+'Base de Datos'!F36</f>
        <v>PUBLICACIONES SEMANA S.A.</v>
      </c>
      <c r="D36" s="2">
        <f>+'Base de Datos'!G36</f>
        <v>860509265</v>
      </c>
      <c r="E36" s="2" t="str">
        <f>+'Base de Datos'!H36</f>
        <v>SUSCRIPCIÓN A LA REVISTA SEMANA, POR EL TÉRMINO DE UN AÑO, PARA EL CONCEJO DE BOGOTÁ</v>
      </c>
      <c r="F36" s="3">
        <v>795000</v>
      </c>
      <c r="G36" s="4">
        <v>41180</v>
      </c>
      <c r="H36" s="4">
        <v>41545</v>
      </c>
      <c r="I36" s="183"/>
      <c r="J36" s="359"/>
      <c r="K36" s="183"/>
      <c r="L36" s="359"/>
      <c r="M36" s="183"/>
      <c r="N36" s="359"/>
      <c r="O36" s="183"/>
      <c r="P36" s="359"/>
      <c r="Q36" s="86">
        <f t="shared" si="0"/>
        <v>0</v>
      </c>
      <c r="R36" s="372"/>
      <c r="S36" s="370"/>
      <c r="T36" s="372"/>
      <c r="U36" s="370"/>
      <c r="V36" s="372"/>
      <c r="W36" s="370"/>
      <c r="X36" s="372"/>
      <c r="Y36" s="370"/>
      <c r="Z36" s="186"/>
      <c r="AA36" s="88">
        <f t="shared" si="1"/>
        <v>0</v>
      </c>
      <c r="AB36" s="236">
        <v>795000</v>
      </c>
      <c r="AC36" s="236"/>
      <c r="AD36" s="236"/>
      <c r="AE36" s="236"/>
      <c r="AF36" s="236"/>
      <c r="AG36" s="236"/>
      <c r="AH36" s="236"/>
      <c r="AI36" s="236"/>
      <c r="AJ36" s="236"/>
      <c r="AK36" s="236"/>
      <c r="AL36" s="236"/>
      <c r="AM36" s="236"/>
      <c r="AN36" s="236"/>
      <c r="AO36" s="236"/>
      <c r="AP36" s="236"/>
      <c r="AQ36" s="236"/>
      <c r="AR36" s="236"/>
      <c r="AS36" s="236"/>
      <c r="AT36" s="369">
        <v>0</v>
      </c>
      <c r="AU36" s="90">
        <f t="shared" si="2"/>
        <v>795000</v>
      </c>
    </row>
    <row r="37" spans="1:47" ht="34.5" hidden="1" customHeight="1" x14ac:dyDescent="0.25">
      <c r="A37" s="85">
        <v>31</v>
      </c>
      <c r="B37" s="2" t="str">
        <f>+'Base de Datos'!E37</f>
        <v>050000-349-0-2012</v>
      </c>
      <c r="C37" s="2" t="str">
        <f>+'Base de Datos'!F37</f>
        <v>INTEGRA SECURITY SYSTEMS S A</v>
      </c>
      <c r="D37" s="2">
        <f>+'Base de Datos'!G37</f>
        <v>800008838</v>
      </c>
      <c r="E37" s="2" t="str">
        <f>+'Base de Datos'!H37</f>
        <v>Prestar el servicio de mantenimiento preventivo y correctivo con suministro de repuestos, del sistema de alarmas de emergencia, ubicado en las sedes del Concejo de Bogotá D.C.</v>
      </c>
      <c r="F37" s="12">
        <v>1818000</v>
      </c>
      <c r="G37" s="13">
        <v>41165</v>
      </c>
      <c r="H37" s="13">
        <v>41346</v>
      </c>
      <c r="I37" s="183"/>
      <c r="J37" s="359"/>
      <c r="K37" s="183"/>
      <c r="L37" s="359"/>
      <c r="M37" s="183"/>
      <c r="N37" s="359"/>
      <c r="O37" s="183"/>
      <c r="P37" s="359"/>
      <c r="Q37" s="86">
        <f t="shared" si="0"/>
        <v>0</v>
      </c>
      <c r="R37" s="372"/>
      <c r="S37" s="370"/>
      <c r="T37" s="372"/>
      <c r="U37" s="370"/>
      <c r="V37" s="372"/>
      <c r="W37" s="370"/>
      <c r="X37" s="372"/>
      <c r="Y37" s="370"/>
      <c r="Z37" s="186"/>
      <c r="AA37" s="88">
        <f t="shared" si="1"/>
        <v>0</v>
      </c>
      <c r="AB37" s="236"/>
      <c r="AC37" s="236"/>
      <c r="AD37" s="236"/>
      <c r="AE37" s="236"/>
      <c r="AF37" s="236"/>
      <c r="AG37" s="236"/>
      <c r="AH37" s="236"/>
      <c r="AI37" s="236"/>
      <c r="AJ37" s="236"/>
      <c r="AK37" s="236"/>
      <c r="AL37" s="236"/>
      <c r="AM37" s="236"/>
      <c r="AN37" s="236"/>
      <c r="AO37" s="236"/>
      <c r="AP37" s="236"/>
      <c r="AQ37" s="236"/>
      <c r="AR37" s="236"/>
      <c r="AS37" s="236"/>
      <c r="AT37" s="369">
        <v>0</v>
      </c>
      <c r="AU37" s="90">
        <f t="shared" si="2"/>
        <v>0</v>
      </c>
    </row>
    <row r="38" spans="1:47" ht="34.5" hidden="1" customHeight="1" x14ac:dyDescent="0.25">
      <c r="A38" s="85">
        <v>32</v>
      </c>
      <c r="B38" s="2" t="str">
        <f>+'Base de Datos'!E38</f>
        <v>050000-353-0-2012</v>
      </c>
      <c r="C38" s="2" t="str">
        <f>+'Base de Datos'!F38</f>
        <v>YAMILE MARIVEL MOLANO GUZMÁN</v>
      </c>
      <c r="D38" s="2">
        <f>+'Base de Datos'!G38</f>
        <v>51979294</v>
      </c>
      <c r="E38" s="2" t="str">
        <f>+'Base de Datos'!H38</f>
        <v>Prestar los servicios profesionales para asesorar Jurídicamente a los miembros  mesa directiva del Concejo de Bogotá D.C., en ala prevención del daño antijurídico</v>
      </c>
      <c r="F38" s="3">
        <v>30000000</v>
      </c>
      <c r="G38" s="126">
        <v>41151</v>
      </c>
      <c r="H38" s="126">
        <v>41333</v>
      </c>
      <c r="I38" s="183"/>
      <c r="J38" s="359"/>
      <c r="K38" s="183"/>
      <c r="L38" s="359"/>
      <c r="M38" s="183"/>
      <c r="N38" s="359"/>
      <c r="O38" s="183"/>
      <c r="P38" s="359"/>
      <c r="Q38" s="86">
        <f t="shared" si="0"/>
        <v>0</v>
      </c>
      <c r="R38" s="372"/>
      <c r="S38" s="370"/>
      <c r="T38" s="372"/>
      <c r="U38" s="370"/>
      <c r="V38" s="372"/>
      <c r="W38" s="370"/>
      <c r="X38" s="372"/>
      <c r="Y38" s="370"/>
      <c r="Z38" s="186"/>
      <c r="AA38" s="88">
        <f t="shared" si="1"/>
        <v>0</v>
      </c>
      <c r="AB38" s="236">
        <v>5166667</v>
      </c>
      <c r="AC38" s="236">
        <v>5000000</v>
      </c>
      <c r="AD38" s="236">
        <v>5000000</v>
      </c>
      <c r="AE38" s="236">
        <v>5000000</v>
      </c>
      <c r="AF38" s="236">
        <v>5000000</v>
      </c>
      <c r="AG38" s="236">
        <v>4833333</v>
      </c>
      <c r="AH38" s="236"/>
      <c r="AI38" s="236"/>
      <c r="AJ38" s="236"/>
      <c r="AK38" s="236"/>
      <c r="AL38" s="236"/>
      <c r="AM38" s="236"/>
      <c r="AN38" s="236"/>
      <c r="AO38" s="236"/>
      <c r="AP38" s="236"/>
      <c r="AQ38" s="236"/>
      <c r="AR38" s="236"/>
      <c r="AS38" s="236"/>
      <c r="AT38" s="369">
        <v>0</v>
      </c>
      <c r="AU38" s="90">
        <f t="shared" si="2"/>
        <v>30000000</v>
      </c>
    </row>
    <row r="39" spans="1:47" ht="34.5" hidden="1" customHeight="1" x14ac:dyDescent="0.25">
      <c r="A39" s="85">
        <v>33</v>
      </c>
      <c r="B39" s="2" t="str">
        <f>+'Base de Datos'!E39</f>
        <v>050000-356-0-2012</v>
      </c>
      <c r="C39" s="2" t="str">
        <f>+'Base de Datos'!F39</f>
        <v>AMANDA LILIANA RICO DÍAZ</v>
      </c>
      <c r="D39" s="2">
        <f>+'Base de Datos'!G39</f>
        <v>39753021</v>
      </c>
      <c r="E39" s="2" t="str">
        <f>+'Base de Datos'!H39</f>
        <v>PRESTAR LOS SERVICIOS PROFESIONALES PARA EFECTUAR EL APOYO AL SEGUIMIENTO Y LA VERIFICACIÓN DE CUMPLIMIENTO DE LOS ASPECTOS JURÍDICOS, TÉCNICOS, ADMINISTRATIVOS Y ECONÓMICOS DE LAS ACTIVIDADES DE SUPERVISIÓN, DELEGADAS A LA DIRECCIÓN ADMINISTRATIVA Y FINANCIERA DEL CONCEJO DE BOGOTÁ D.C., DE CONFORMIDAD CON LOS ESTUDIOS PREVIOS.</v>
      </c>
      <c r="F39" s="12">
        <v>35000000</v>
      </c>
      <c r="G39" s="11">
        <v>41155</v>
      </c>
      <c r="H39" s="11">
        <v>41367</v>
      </c>
      <c r="I39" s="183"/>
      <c r="J39" s="359"/>
      <c r="K39" s="183"/>
      <c r="L39" s="359"/>
      <c r="M39" s="183"/>
      <c r="N39" s="359"/>
      <c r="O39" s="183"/>
      <c r="P39" s="359"/>
      <c r="Q39" s="86">
        <f t="shared" si="0"/>
        <v>0</v>
      </c>
      <c r="R39" s="372"/>
      <c r="S39" s="370"/>
      <c r="T39" s="372"/>
      <c r="U39" s="370"/>
      <c r="V39" s="372"/>
      <c r="W39" s="370"/>
      <c r="X39" s="372"/>
      <c r="Y39" s="370"/>
      <c r="Z39" s="186"/>
      <c r="AA39" s="88">
        <f t="shared" si="1"/>
        <v>0</v>
      </c>
      <c r="AB39" s="236">
        <v>4666667</v>
      </c>
      <c r="AC39" s="236">
        <v>5000000</v>
      </c>
      <c r="AD39" s="236">
        <v>5000000</v>
      </c>
      <c r="AE39" s="236">
        <v>5000000</v>
      </c>
      <c r="AF39" s="236">
        <v>5000000</v>
      </c>
      <c r="AG39" s="236">
        <v>5000000</v>
      </c>
      <c r="AH39" s="236">
        <v>5000000</v>
      </c>
      <c r="AI39" s="236"/>
      <c r="AJ39" s="236"/>
      <c r="AK39" s="236"/>
      <c r="AL39" s="236"/>
      <c r="AM39" s="236"/>
      <c r="AN39" s="236"/>
      <c r="AO39" s="236"/>
      <c r="AP39" s="236"/>
      <c r="AQ39" s="236"/>
      <c r="AR39" s="236"/>
      <c r="AS39" s="236"/>
      <c r="AT39" s="369">
        <v>0</v>
      </c>
      <c r="AU39" s="90">
        <f t="shared" si="2"/>
        <v>34666667</v>
      </c>
    </row>
    <row r="40" spans="1:47" ht="34.5" hidden="1" customHeight="1" x14ac:dyDescent="0.25">
      <c r="A40" s="85">
        <v>34</v>
      </c>
      <c r="B40" s="2" t="str">
        <f>+'Base de Datos'!E40</f>
        <v>050000-358-0-2012</v>
      </c>
      <c r="C40" s="2" t="str">
        <f>+'Base de Datos'!F40</f>
        <v>CALIDAD COMPORTAMIENTO EMPRESARIAL LTDA</v>
      </c>
      <c r="D40" s="2">
        <f>+'Base de Datos'!G40</f>
        <v>830031631</v>
      </c>
      <c r="E40" s="2" t="str">
        <f>+'Base de Datos'!H40</f>
        <v>Adquirir a título de compraventa elementos de protección personal para los servidores públicos  del Concejo de Bogotá,  de conformidad con los establecido en la invitación pública del proceso de selección mínima cuantía No. SDH-SMINC-25-2012 y la propuesta por ustedes presentada.</v>
      </c>
      <c r="F40" s="3">
        <v>8334226</v>
      </c>
      <c r="G40" s="4">
        <v>41170</v>
      </c>
      <c r="H40" s="4">
        <v>41626</v>
      </c>
      <c r="I40" s="183"/>
      <c r="J40" s="359"/>
      <c r="K40" s="183"/>
      <c r="L40" s="359"/>
      <c r="M40" s="183"/>
      <c r="N40" s="359"/>
      <c r="O40" s="183"/>
      <c r="P40" s="359"/>
      <c r="Q40" s="86">
        <f t="shared" si="0"/>
        <v>0</v>
      </c>
      <c r="R40" s="372"/>
      <c r="S40" s="370"/>
      <c r="T40" s="372"/>
      <c r="U40" s="370"/>
      <c r="V40" s="372"/>
      <c r="W40" s="370"/>
      <c r="X40" s="372"/>
      <c r="Y40" s="370"/>
      <c r="Z40" s="186"/>
      <c r="AA40" s="88">
        <f t="shared" si="1"/>
        <v>0</v>
      </c>
      <c r="AB40" s="236">
        <v>8334226</v>
      </c>
      <c r="AC40" s="236"/>
      <c r="AD40" s="236"/>
      <c r="AE40" s="236"/>
      <c r="AF40" s="236"/>
      <c r="AG40" s="236"/>
      <c r="AH40" s="236"/>
      <c r="AI40" s="236"/>
      <c r="AJ40" s="236"/>
      <c r="AK40" s="236"/>
      <c r="AL40" s="236"/>
      <c r="AM40" s="236"/>
      <c r="AN40" s="236"/>
      <c r="AO40" s="236"/>
      <c r="AP40" s="236"/>
      <c r="AQ40" s="236"/>
      <c r="AR40" s="236"/>
      <c r="AS40" s="236"/>
      <c r="AT40" s="369">
        <v>0</v>
      </c>
      <c r="AU40" s="90">
        <f t="shared" si="2"/>
        <v>8334226</v>
      </c>
    </row>
    <row r="41" spans="1:47" ht="34.5" hidden="1" customHeight="1" x14ac:dyDescent="0.25">
      <c r="A41" s="85">
        <v>35</v>
      </c>
      <c r="B41" s="2" t="str">
        <f>+'Base de Datos'!E41</f>
        <v>120000-371-0-2012</v>
      </c>
      <c r="C41" s="2" t="str">
        <f>+'Base de Datos'!F41</f>
        <v>ORGANIZACIÓN TERPEL S.A.</v>
      </c>
      <c r="D41" s="2">
        <f>+'Base de Datos'!G41</f>
        <v>830095213</v>
      </c>
      <c r="E41" s="2" t="str">
        <f>+'Base de Datos'!H41</f>
        <v>Suministro de combustible para el Concejo de Bogotá D.C., de conformidad con los pliegos de condiciones del proceso de selección abreviada de menor cuantía No. SDH-SAMC-002-2012 y la propuesta.</v>
      </c>
      <c r="F41" s="12">
        <v>315000000</v>
      </c>
      <c r="G41" s="13">
        <v>41163</v>
      </c>
      <c r="H41" s="13">
        <v>41375</v>
      </c>
      <c r="I41" s="183"/>
      <c r="J41" s="359"/>
      <c r="K41" s="183"/>
      <c r="L41" s="359"/>
      <c r="M41" s="183"/>
      <c r="N41" s="359"/>
      <c r="O41" s="183"/>
      <c r="P41" s="359"/>
      <c r="Q41" s="86">
        <f t="shared" si="0"/>
        <v>0</v>
      </c>
      <c r="R41" s="372" t="s">
        <v>377</v>
      </c>
      <c r="S41" s="370">
        <v>41452</v>
      </c>
      <c r="T41" s="372"/>
      <c r="U41" s="370"/>
      <c r="V41" s="372"/>
      <c r="W41" s="370"/>
      <c r="X41" s="372"/>
      <c r="Y41" s="370"/>
      <c r="Z41" s="186" t="s">
        <v>377</v>
      </c>
      <c r="AA41" s="88">
        <f t="shared" si="1"/>
        <v>41452</v>
      </c>
      <c r="AB41" s="236">
        <v>314473887</v>
      </c>
      <c r="AC41" s="236"/>
      <c r="AD41" s="236"/>
      <c r="AE41" s="236"/>
      <c r="AF41" s="236"/>
      <c r="AG41" s="236"/>
      <c r="AH41" s="236"/>
      <c r="AI41" s="236"/>
      <c r="AJ41" s="236"/>
      <c r="AK41" s="236"/>
      <c r="AL41" s="236"/>
      <c r="AM41" s="236"/>
      <c r="AN41" s="236"/>
      <c r="AO41" s="236"/>
      <c r="AP41" s="236"/>
      <c r="AQ41" s="236"/>
      <c r="AR41" s="236"/>
      <c r="AS41" s="236"/>
      <c r="AT41" s="369">
        <v>0</v>
      </c>
      <c r="AU41" s="90">
        <f t="shared" si="2"/>
        <v>314473887</v>
      </c>
    </row>
    <row r="42" spans="1:47" ht="34.5" hidden="1" customHeight="1" x14ac:dyDescent="0.25">
      <c r="A42" s="85">
        <v>36</v>
      </c>
      <c r="B42" s="2" t="str">
        <f>+'Base de Datos'!E42</f>
        <v>050000-386-0-2012</v>
      </c>
      <c r="C42" s="2" t="str">
        <f>+'Base de Datos'!F42</f>
        <v>JUAN MANUEL GÓMEZ DUARTE</v>
      </c>
      <c r="D42" s="2">
        <f>+'Base de Datos'!G42</f>
        <v>80089626</v>
      </c>
      <c r="E42" s="2" t="str">
        <f>+'Base de Datos'!H42</f>
        <v>Prestar los servicios profesionales para apoyar a la oficina de sistemas del Concejo de Bogotá en el soporte técnico y mantenimiento de Hardware y software de los equipos de computo de la Corporación.</v>
      </c>
      <c r="F42" s="3">
        <v>20565000</v>
      </c>
      <c r="G42" s="4">
        <v>41193</v>
      </c>
      <c r="H42" s="4">
        <v>41254</v>
      </c>
      <c r="I42" s="183"/>
      <c r="J42" s="359"/>
      <c r="K42" s="183"/>
      <c r="L42" s="359"/>
      <c r="M42" s="183"/>
      <c r="N42" s="359"/>
      <c r="O42" s="183"/>
      <c r="P42" s="359"/>
      <c r="Q42" s="86">
        <f t="shared" si="0"/>
        <v>0</v>
      </c>
      <c r="R42" s="372"/>
      <c r="S42" s="370"/>
      <c r="T42" s="372"/>
      <c r="U42" s="370"/>
      <c r="V42" s="372"/>
      <c r="W42" s="370"/>
      <c r="X42" s="372"/>
      <c r="Y42" s="370"/>
      <c r="Z42" s="186"/>
      <c r="AA42" s="88">
        <f t="shared" si="1"/>
        <v>0</v>
      </c>
      <c r="AB42" s="236">
        <v>2399250</v>
      </c>
      <c r="AC42" s="236">
        <v>3427500</v>
      </c>
      <c r="AD42" s="236">
        <v>3427500</v>
      </c>
      <c r="AE42" s="236">
        <v>3427500</v>
      </c>
      <c r="AF42" s="236">
        <v>3427500</v>
      </c>
      <c r="AG42" s="236">
        <v>3427500</v>
      </c>
      <c r="AH42" s="236">
        <v>1028250</v>
      </c>
      <c r="AI42" s="236"/>
      <c r="AJ42" s="236"/>
      <c r="AK42" s="236"/>
      <c r="AL42" s="236"/>
      <c r="AM42" s="236"/>
      <c r="AN42" s="236"/>
      <c r="AO42" s="236"/>
      <c r="AP42" s="236"/>
      <c r="AQ42" s="236"/>
      <c r="AR42" s="236"/>
      <c r="AS42" s="236"/>
      <c r="AT42" s="369">
        <v>0</v>
      </c>
      <c r="AU42" s="90">
        <f t="shared" si="2"/>
        <v>20565000</v>
      </c>
    </row>
    <row r="43" spans="1:47" ht="34.5" hidden="1" customHeight="1" x14ac:dyDescent="0.25">
      <c r="A43" s="85">
        <v>37</v>
      </c>
      <c r="B43" s="2" t="str">
        <f>+'Base de Datos'!E43</f>
        <v>050000-395-0-2012</v>
      </c>
      <c r="C43" s="2" t="str">
        <f>+'Base de Datos'!F43</f>
        <v>KARINA BELTRÁN MEJÍA</v>
      </c>
      <c r="D43" s="2">
        <f>+'Base de Datos'!G43</f>
        <v>52798119</v>
      </c>
      <c r="E43" s="2" t="str">
        <f>+'Base de Datos'!H43</f>
        <v xml:space="preserve">Adquirir a título de compraventa de uniformes y elementos deportivos para el Concejo de Bogotá, D.C.
</v>
      </c>
      <c r="F43" s="3">
        <v>6730000</v>
      </c>
      <c r="G43" s="4">
        <v>41193</v>
      </c>
      <c r="H43" s="4">
        <v>41254</v>
      </c>
      <c r="I43" s="183"/>
      <c r="J43" s="359"/>
      <c r="K43" s="183"/>
      <c r="L43" s="359"/>
      <c r="M43" s="183"/>
      <c r="N43" s="359"/>
      <c r="O43" s="183"/>
      <c r="P43" s="359"/>
      <c r="Q43" s="86">
        <f t="shared" si="0"/>
        <v>0</v>
      </c>
      <c r="R43" s="372" t="s">
        <v>1322</v>
      </c>
      <c r="S43" s="370">
        <v>41263</v>
      </c>
      <c r="T43" s="372"/>
      <c r="U43" s="370"/>
      <c r="V43" s="372"/>
      <c r="W43" s="370"/>
      <c r="X43" s="372"/>
      <c r="Y43" s="370"/>
      <c r="Z43" s="186" t="s">
        <v>1322</v>
      </c>
      <c r="AA43" s="88">
        <f t="shared" si="1"/>
        <v>41263</v>
      </c>
      <c r="AB43" s="236">
        <v>6395000</v>
      </c>
      <c r="AC43" s="236"/>
      <c r="AD43" s="236"/>
      <c r="AE43" s="236"/>
      <c r="AF43" s="236"/>
      <c r="AG43" s="236"/>
      <c r="AH43" s="236"/>
      <c r="AI43" s="236"/>
      <c r="AJ43" s="236"/>
      <c r="AK43" s="236"/>
      <c r="AL43" s="236"/>
      <c r="AM43" s="236"/>
      <c r="AN43" s="236"/>
      <c r="AO43" s="236"/>
      <c r="AP43" s="236"/>
      <c r="AQ43" s="236"/>
      <c r="AR43" s="236"/>
      <c r="AS43" s="236"/>
      <c r="AT43" s="369">
        <v>0</v>
      </c>
      <c r="AU43" s="90">
        <f t="shared" si="2"/>
        <v>6395000</v>
      </c>
    </row>
    <row r="44" spans="1:47" ht="34.5" hidden="1" customHeight="1" x14ac:dyDescent="0.25">
      <c r="A44" s="85">
        <v>38</v>
      </c>
      <c r="B44" s="2" t="str">
        <f>+'Base de Datos'!E44</f>
        <v>050000-427-0-2012</v>
      </c>
      <c r="C44" s="2" t="str">
        <f>+'Base de Datos'!F44</f>
        <v xml:space="preserve">JORGE ENRIQUE AVILAN </v>
      </c>
      <c r="D44" s="2">
        <f>+'Base de Datos'!G44</f>
        <v>79425541</v>
      </c>
      <c r="E44" s="2" t="str">
        <f>+'Base de Datos'!H44</f>
        <v>CONTRATAR LOS SERVICIOS PROFESIONALES PARA ELABORAR LA PLANEACIÓN, EJECUCIÓN Y SEGUIMIENTO A PROYECTOS DE INFRAESTRUCTURA FÍSICA, QUE REQUIERA EL  CONCEJO DE BOGOTÁ D.C.</v>
      </c>
      <c r="F44" s="12">
        <v>23994880</v>
      </c>
      <c r="G44" s="11">
        <v>41205</v>
      </c>
      <c r="H44" s="11">
        <v>41387</v>
      </c>
      <c r="I44" s="183"/>
      <c r="J44" s="359"/>
      <c r="K44" s="183"/>
      <c r="L44" s="359"/>
      <c r="M44" s="183"/>
      <c r="N44" s="359"/>
      <c r="O44" s="183"/>
      <c r="P44" s="359"/>
      <c r="Q44" s="86">
        <f t="shared" si="0"/>
        <v>0</v>
      </c>
      <c r="R44" s="372"/>
      <c r="S44" s="370"/>
      <c r="T44" s="372"/>
      <c r="U44" s="370"/>
      <c r="V44" s="372"/>
      <c r="W44" s="370"/>
      <c r="X44" s="372"/>
      <c r="Y44" s="370"/>
      <c r="Z44" s="186"/>
      <c r="AA44" s="88">
        <f t="shared" si="1"/>
        <v>0</v>
      </c>
      <c r="AB44" s="236">
        <v>933134</v>
      </c>
      <c r="AC44" s="236">
        <v>3999146</v>
      </c>
      <c r="AD44" s="236">
        <v>3999146</v>
      </c>
      <c r="AE44" s="236">
        <v>3999146</v>
      </c>
      <c r="AF44" s="236">
        <v>3999146</v>
      </c>
      <c r="AG44" s="236">
        <v>3999146</v>
      </c>
      <c r="AH44" s="236">
        <v>3066012</v>
      </c>
      <c r="AI44" s="236"/>
      <c r="AJ44" s="236"/>
      <c r="AK44" s="236"/>
      <c r="AL44" s="236"/>
      <c r="AM44" s="236"/>
      <c r="AN44" s="236"/>
      <c r="AO44" s="236"/>
      <c r="AP44" s="236"/>
      <c r="AQ44" s="236"/>
      <c r="AR44" s="236"/>
      <c r="AS44" s="236"/>
      <c r="AT44" s="369">
        <v>0</v>
      </c>
      <c r="AU44" s="90">
        <f t="shared" si="2"/>
        <v>23994876</v>
      </c>
    </row>
    <row r="45" spans="1:47" ht="34.5" hidden="1" customHeight="1" x14ac:dyDescent="0.25">
      <c r="A45" s="85">
        <v>39</v>
      </c>
      <c r="B45" s="2" t="str">
        <f>+'Base de Datos'!E45</f>
        <v>050000-433-0-2012</v>
      </c>
      <c r="C45" s="2" t="str">
        <f>+'Base de Datos'!F45</f>
        <v>CARLOS EDUARDO PINEDA AMÓRTEGUI</v>
      </c>
      <c r="D45" s="2">
        <f>+'Base de Datos'!G45</f>
        <v>5946865</v>
      </c>
      <c r="E45" s="2" t="str">
        <f>+'Base de Datos'!H45</f>
        <v>Prestar los servicios profesionales para diseñar el plan estratégico del talento humano-PETH para el Concejo de Bogotá.</v>
      </c>
      <c r="F45" s="3">
        <v>38400000</v>
      </c>
      <c r="G45" s="4">
        <v>41187</v>
      </c>
      <c r="H45" s="4">
        <v>41369</v>
      </c>
      <c r="I45" s="183"/>
      <c r="J45" s="359"/>
      <c r="K45" s="183"/>
      <c r="L45" s="359"/>
      <c r="M45" s="183"/>
      <c r="N45" s="359"/>
      <c r="O45" s="183"/>
      <c r="P45" s="359"/>
      <c r="Q45" s="86">
        <f t="shared" si="0"/>
        <v>0</v>
      </c>
      <c r="R45" s="372"/>
      <c r="S45" s="370"/>
      <c r="T45" s="372"/>
      <c r="U45" s="370"/>
      <c r="V45" s="372"/>
      <c r="W45" s="370"/>
      <c r="X45" s="372"/>
      <c r="Y45" s="370"/>
      <c r="Z45" s="186"/>
      <c r="AA45" s="88">
        <f t="shared" si="1"/>
        <v>0</v>
      </c>
      <c r="AB45" s="236">
        <v>5760000</v>
      </c>
      <c r="AC45" s="236">
        <v>6400000</v>
      </c>
      <c r="AD45" s="236">
        <v>6400000</v>
      </c>
      <c r="AE45" s="236">
        <v>6400000</v>
      </c>
      <c r="AF45" s="236">
        <v>6400000</v>
      </c>
      <c r="AG45" s="236">
        <v>6400000</v>
      </c>
      <c r="AH45" s="236">
        <v>640000</v>
      </c>
      <c r="AI45" s="236"/>
      <c r="AJ45" s="236"/>
      <c r="AK45" s="236"/>
      <c r="AL45" s="236"/>
      <c r="AM45" s="236"/>
      <c r="AN45" s="236"/>
      <c r="AO45" s="236"/>
      <c r="AP45" s="236"/>
      <c r="AQ45" s="236"/>
      <c r="AR45" s="236"/>
      <c r="AS45" s="236"/>
      <c r="AT45" s="369">
        <v>0</v>
      </c>
      <c r="AU45" s="90">
        <f t="shared" si="2"/>
        <v>38400000</v>
      </c>
    </row>
    <row r="46" spans="1:47" ht="34.5" hidden="1" customHeight="1" x14ac:dyDescent="0.25">
      <c r="A46" s="85">
        <v>40</v>
      </c>
      <c r="B46" s="2" t="str">
        <f>+'Base de Datos'!E46</f>
        <v>050000-468-0-2012</v>
      </c>
      <c r="C46" s="2" t="str">
        <f>+'Base de Datos'!F46</f>
        <v>DAMTON ARTÍCULOS PUBLICITARIOS LTDA</v>
      </c>
      <c r="D46" s="2">
        <f>+'Base de Datos'!G46</f>
        <v>900220190</v>
      </c>
      <c r="E46" s="2" t="str">
        <f>+'Base de Datos'!H46</f>
        <v>Adquirir a título de compraventa por el sistema de precios unitarios de elementos, medicamentos e insumos  para dotar los botiquines, consultorio y brigadas de emergencia del Concejo de Bogotá, D.C.</v>
      </c>
      <c r="F46" s="12">
        <v>3961330</v>
      </c>
      <c r="G46" s="13">
        <v>41246</v>
      </c>
      <c r="H46" s="13">
        <v>41308</v>
      </c>
      <c r="I46" s="183"/>
      <c r="J46" s="359"/>
      <c r="K46" s="183"/>
      <c r="L46" s="359"/>
      <c r="M46" s="183"/>
      <c r="N46" s="359"/>
      <c r="O46" s="183"/>
      <c r="P46" s="359"/>
      <c r="Q46" s="86">
        <f t="shared" si="0"/>
        <v>0</v>
      </c>
      <c r="R46" s="372"/>
      <c r="S46" s="370"/>
      <c r="T46" s="372"/>
      <c r="U46" s="370"/>
      <c r="V46" s="372"/>
      <c r="W46" s="370"/>
      <c r="X46" s="372"/>
      <c r="Y46" s="370"/>
      <c r="Z46" s="186"/>
      <c r="AA46" s="88">
        <f t="shared" si="1"/>
        <v>0</v>
      </c>
      <c r="AB46" s="236">
        <v>3961330</v>
      </c>
      <c r="AC46" s="236"/>
      <c r="AD46" s="236"/>
      <c r="AE46" s="236"/>
      <c r="AF46" s="236"/>
      <c r="AG46" s="236"/>
      <c r="AH46" s="236"/>
      <c r="AI46" s="236"/>
      <c r="AJ46" s="236"/>
      <c r="AK46" s="236"/>
      <c r="AL46" s="236"/>
      <c r="AM46" s="236"/>
      <c r="AN46" s="236"/>
      <c r="AO46" s="236"/>
      <c r="AP46" s="236"/>
      <c r="AQ46" s="236"/>
      <c r="AR46" s="236"/>
      <c r="AS46" s="236"/>
      <c r="AT46" s="369">
        <v>0</v>
      </c>
      <c r="AU46" s="90">
        <f t="shared" si="2"/>
        <v>3961330</v>
      </c>
    </row>
    <row r="47" spans="1:47" ht="34.5" hidden="1" customHeight="1" x14ac:dyDescent="0.25">
      <c r="A47" s="85">
        <v>41</v>
      </c>
      <c r="B47" s="2" t="str">
        <f>+'Base de Datos'!E47</f>
        <v>050000-498-0-2012</v>
      </c>
      <c r="C47" s="2" t="str">
        <f>+'Base de Datos'!F47</f>
        <v>CORPORACIÓN INSTITUTO COLOMBIANO DE CUALIFICACIÓN EMPRESARIAL -CICCE</v>
      </c>
      <c r="D47" s="2">
        <f>+'Base de Datos'!G47</f>
        <v>900350416</v>
      </c>
      <c r="E47" s="2" t="str">
        <f>+'Base de Datos'!H47</f>
        <v>EJECUTAR ACTIVIDADES DE CAPACITACIÓN PARA EL CONCEJO DE BOGOTÁ, EN EL EJE TEMÁTICO DEL SISTEMA DE INFORMACIÓN Y GESTIÓN DOCUMENTAL DE ARCHIVO Y CORRESPONDENCIA, DE CONFORMIDAD CON LOS DOCUMENTOS QUE HACEN PARTE DE LA PRESENTE CONTRATACIÓN Y  LO ESTABLECIDO EN LA PRESENTE INVITACIÓN PÚBLICA</v>
      </c>
      <c r="F47" s="3">
        <v>24000000</v>
      </c>
      <c r="G47" s="4">
        <v>41270</v>
      </c>
      <c r="H47" s="4">
        <v>41452</v>
      </c>
      <c r="I47" s="183"/>
      <c r="J47" s="359"/>
      <c r="K47" s="183"/>
      <c r="L47" s="359"/>
      <c r="M47" s="183"/>
      <c r="N47" s="359"/>
      <c r="O47" s="183"/>
      <c r="P47" s="359"/>
      <c r="Q47" s="86">
        <f t="shared" si="0"/>
        <v>0</v>
      </c>
      <c r="R47" s="372"/>
      <c r="S47" s="370"/>
      <c r="T47" s="372"/>
      <c r="U47" s="370"/>
      <c r="V47" s="372"/>
      <c r="W47" s="370"/>
      <c r="X47" s="372"/>
      <c r="Y47" s="370"/>
      <c r="Z47" s="186"/>
      <c r="AA47" s="88">
        <f t="shared" si="1"/>
        <v>0</v>
      </c>
      <c r="AB47" s="236">
        <v>24000000</v>
      </c>
      <c r="AC47" s="236"/>
      <c r="AD47" s="236"/>
      <c r="AE47" s="236"/>
      <c r="AF47" s="236"/>
      <c r="AG47" s="236"/>
      <c r="AH47" s="236"/>
      <c r="AI47" s="236"/>
      <c r="AJ47" s="236"/>
      <c r="AK47" s="236"/>
      <c r="AL47" s="236"/>
      <c r="AM47" s="236"/>
      <c r="AN47" s="236"/>
      <c r="AO47" s="236"/>
      <c r="AP47" s="236"/>
      <c r="AQ47" s="236"/>
      <c r="AR47" s="236"/>
      <c r="AS47" s="236"/>
      <c r="AT47" s="369">
        <v>0</v>
      </c>
      <c r="AU47" s="90">
        <f t="shared" si="2"/>
        <v>24000000</v>
      </c>
    </row>
    <row r="48" spans="1:47" ht="34.5" hidden="1" customHeight="1" x14ac:dyDescent="0.25">
      <c r="A48" s="85">
        <v>42</v>
      </c>
      <c r="B48" s="2" t="str">
        <f>+'Base de Datos'!E48</f>
        <v>050000-501-0-2012</v>
      </c>
      <c r="C48" s="2" t="str">
        <f>+'Base de Datos'!F48</f>
        <v>CESAR ALEJANDRO GUERRERO BARRIGA</v>
      </c>
      <c r="D48" s="2">
        <f>+'Base de Datos'!G48</f>
        <v>80725449</v>
      </c>
      <c r="E48" s="2" t="str">
        <f>+'Base de Datos'!H48</f>
        <v>Contratar el servicio para la elaboración del retrato sobre lienzo al óleo del Honorable Concejal de Bogotá D.C., doctor Darío Fernando Cepeda Peña, actual Presidente de la Mesa Directiva del Concejo de Bogotá D.C.k, de conformidad con los estudios previo</v>
      </c>
      <c r="F48" s="3">
        <v>6000000</v>
      </c>
      <c r="G48" s="4">
        <v>41292</v>
      </c>
      <c r="H48" s="4">
        <v>41350</v>
      </c>
      <c r="I48" s="183"/>
      <c r="J48" s="359"/>
      <c r="K48" s="183"/>
      <c r="L48" s="359"/>
      <c r="M48" s="183"/>
      <c r="N48" s="359"/>
      <c r="O48" s="183"/>
      <c r="P48" s="359"/>
      <c r="Q48" s="86">
        <f t="shared" si="0"/>
        <v>0</v>
      </c>
      <c r="R48" s="372"/>
      <c r="S48" s="370"/>
      <c r="T48" s="372"/>
      <c r="U48" s="370"/>
      <c r="V48" s="372"/>
      <c r="W48" s="370"/>
      <c r="X48" s="372"/>
      <c r="Y48" s="370"/>
      <c r="Z48" s="186"/>
      <c r="AA48" s="88">
        <f t="shared" si="1"/>
        <v>0</v>
      </c>
      <c r="AB48" s="236">
        <v>6000000</v>
      </c>
      <c r="AC48" s="236"/>
      <c r="AD48" s="236"/>
      <c r="AE48" s="236"/>
      <c r="AF48" s="236"/>
      <c r="AG48" s="236"/>
      <c r="AH48" s="236"/>
      <c r="AI48" s="236"/>
      <c r="AJ48" s="236"/>
      <c r="AK48" s="236"/>
      <c r="AL48" s="236"/>
      <c r="AM48" s="236"/>
      <c r="AN48" s="236"/>
      <c r="AO48" s="236"/>
      <c r="AP48" s="236"/>
      <c r="AQ48" s="236"/>
      <c r="AR48" s="236"/>
      <c r="AS48" s="236"/>
      <c r="AT48" s="369">
        <v>0</v>
      </c>
      <c r="AU48" s="90">
        <f t="shared" si="2"/>
        <v>6000000</v>
      </c>
    </row>
    <row r="49" spans="1:49" ht="34.5" hidden="1" customHeight="1" x14ac:dyDescent="0.25">
      <c r="A49" s="85">
        <v>43</v>
      </c>
      <c r="B49" s="2" t="str">
        <f>+'Base de Datos'!E49</f>
        <v>120000-125-0-2012</v>
      </c>
      <c r="C49" s="2" t="str">
        <f>+'Base de Datos'!F49</f>
        <v>REVISTA EL CONGRESO SIGLO XXI LTDA</v>
      </c>
      <c r="D49" s="2">
        <f>+'Base de Datos'!G49</f>
        <v>830067096</v>
      </c>
      <c r="E49" s="2" t="str">
        <f>+'Base de Datos'!H49</f>
        <v>Suscripción a la  revista El Congreso Siglo XXI, con destino al Concejo de Bogotá, D.C., de acuerdo con lo establecido en los estudios previos</v>
      </c>
      <c r="F49" s="3">
        <v>7740000</v>
      </c>
      <c r="G49" s="4">
        <v>41107</v>
      </c>
      <c r="H49" s="4">
        <v>41472</v>
      </c>
      <c r="I49" s="183"/>
      <c r="J49" s="359"/>
      <c r="K49" s="183"/>
      <c r="L49" s="359"/>
      <c r="M49" s="183"/>
      <c r="N49" s="359"/>
      <c r="O49" s="183"/>
      <c r="P49" s="359"/>
      <c r="Q49" s="86">
        <f t="shared" si="0"/>
        <v>0</v>
      </c>
      <c r="R49" s="372"/>
      <c r="S49" s="370"/>
      <c r="T49" s="372"/>
      <c r="U49" s="370"/>
      <c r="V49" s="372"/>
      <c r="W49" s="370"/>
      <c r="X49" s="372"/>
      <c r="Y49" s="370"/>
      <c r="Z49" s="186"/>
      <c r="AA49" s="88">
        <f t="shared" si="1"/>
        <v>0</v>
      </c>
      <c r="AB49" s="236">
        <v>7740000</v>
      </c>
      <c r="AC49" s="236"/>
      <c r="AD49" s="236"/>
      <c r="AE49" s="236"/>
      <c r="AF49" s="236"/>
      <c r="AG49" s="236"/>
      <c r="AH49" s="236"/>
      <c r="AI49" s="236"/>
      <c r="AJ49" s="236"/>
      <c r="AK49" s="236"/>
      <c r="AL49" s="236"/>
      <c r="AM49" s="236"/>
      <c r="AN49" s="236"/>
      <c r="AO49" s="236"/>
      <c r="AP49" s="236"/>
      <c r="AQ49" s="236"/>
      <c r="AR49" s="236"/>
      <c r="AS49" s="236"/>
      <c r="AT49" s="369">
        <v>0</v>
      </c>
      <c r="AU49" s="90">
        <f t="shared" si="2"/>
        <v>7740000</v>
      </c>
    </row>
    <row r="50" spans="1:49" ht="34.5" hidden="1" customHeight="1" x14ac:dyDescent="0.25">
      <c r="A50" s="85">
        <v>44</v>
      </c>
      <c r="B50" s="2" t="str">
        <f>+'Base de Datos'!E50</f>
        <v>120000-151-0-2012</v>
      </c>
      <c r="C50" s="2" t="str">
        <f>+'Base de Datos'!F50</f>
        <v>SOCIEDAD ENTORNO COMPAÑÍA LTDA</v>
      </c>
      <c r="D50" s="2">
        <f>+'Base de Datos'!G50</f>
        <v>830034865</v>
      </c>
      <c r="E50" s="2" t="str">
        <f>+'Base de Datos'!H50</f>
        <v>Contratar el servicio de exámenes médicos ocupacionales y paraclínicos y suministro y aplicación de vacunas</v>
      </c>
      <c r="F50" s="12">
        <v>47000000</v>
      </c>
      <c r="G50" s="11">
        <v>41064</v>
      </c>
      <c r="H50" s="11">
        <v>41309</v>
      </c>
      <c r="I50" s="183"/>
      <c r="J50" s="359"/>
      <c r="K50" s="183"/>
      <c r="L50" s="359"/>
      <c r="M50" s="183"/>
      <c r="N50" s="359"/>
      <c r="O50" s="183"/>
      <c r="P50" s="359"/>
      <c r="Q50" s="86">
        <f t="shared" si="0"/>
        <v>0</v>
      </c>
      <c r="R50" s="372" t="s">
        <v>379</v>
      </c>
      <c r="S50" s="370">
        <v>41398</v>
      </c>
      <c r="T50" s="372"/>
      <c r="U50" s="370"/>
      <c r="V50" s="372"/>
      <c r="W50" s="370"/>
      <c r="X50" s="372"/>
      <c r="Y50" s="370"/>
      <c r="Z50" s="186" t="s">
        <v>379</v>
      </c>
      <c r="AA50" s="88">
        <f t="shared" si="1"/>
        <v>41398</v>
      </c>
      <c r="AB50" s="236">
        <v>362500</v>
      </c>
      <c r="AC50" s="236">
        <v>9012000</v>
      </c>
      <c r="AD50" s="236">
        <v>461000</v>
      </c>
      <c r="AE50" s="236">
        <v>2402500</v>
      </c>
      <c r="AF50" s="236">
        <v>240000</v>
      </c>
      <c r="AG50" s="236">
        <v>399000</v>
      </c>
      <c r="AH50" s="236">
        <v>1776000</v>
      </c>
      <c r="AI50" s="236">
        <v>392000</v>
      </c>
      <c r="AJ50" s="236">
        <v>211500</v>
      </c>
      <c r="AK50" s="236">
        <v>6930000</v>
      </c>
      <c r="AL50" s="236">
        <v>2638000</v>
      </c>
      <c r="AM50" s="236">
        <v>16420500</v>
      </c>
      <c r="AN50" s="236"/>
      <c r="AO50" s="236"/>
      <c r="AP50" s="236"/>
      <c r="AQ50" s="236"/>
      <c r="AR50" s="236"/>
      <c r="AS50" s="236"/>
      <c r="AT50" s="369">
        <v>0</v>
      </c>
      <c r="AU50" s="90">
        <f t="shared" si="2"/>
        <v>41245000</v>
      </c>
    </row>
    <row r="51" spans="1:49" ht="34.5" hidden="1" customHeight="1" x14ac:dyDescent="0.25">
      <c r="A51" s="85">
        <v>45</v>
      </c>
      <c r="B51" s="2" t="str">
        <f>+'Base de Datos'!E51</f>
        <v>120000-177-0-2012</v>
      </c>
      <c r="C51" s="2" t="str">
        <f>+'Base de Datos'!F51</f>
        <v>CANAL CAPITAL</v>
      </c>
      <c r="D51" s="2">
        <f>+'Base de Datos'!G51</f>
        <v>830012587</v>
      </c>
      <c r="E51" s="2" t="str">
        <f>+'Base de Datos'!H51</f>
        <v>Contratar la preproducción, producción, emisión y postproducción de 140 programas de televisión, con un término de duración de treinta (30) minutos cada uno, que permita a los bogotanos conocer el diario transcurrir de la Corporación, así como las opiniones de los Honorables Concejales que representan los intereses de los diferentes sectores sociales de la Capital, de conformidad con lo establecido en los estudios previos.</v>
      </c>
      <c r="F51" s="3">
        <v>950000000</v>
      </c>
      <c r="G51" s="6">
        <v>41053</v>
      </c>
      <c r="H51" s="6">
        <v>41388</v>
      </c>
      <c r="I51" s="183"/>
      <c r="J51" s="359"/>
      <c r="K51" s="183"/>
      <c r="L51" s="359"/>
      <c r="M51" s="183"/>
      <c r="N51" s="359"/>
      <c r="O51" s="183"/>
      <c r="P51" s="359"/>
      <c r="Q51" s="86">
        <f t="shared" si="0"/>
        <v>0</v>
      </c>
      <c r="R51" s="372" t="s">
        <v>414</v>
      </c>
      <c r="S51" s="370">
        <v>41400</v>
      </c>
      <c r="T51" s="372"/>
      <c r="U51" s="370"/>
      <c r="V51" s="372"/>
      <c r="W51" s="370"/>
      <c r="X51" s="372"/>
      <c r="Y51" s="370"/>
      <c r="Z51" s="186" t="s">
        <v>1562</v>
      </c>
      <c r="AA51" s="88">
        <f t="shared" si="1"/>
        <v>41400</v>
      </c>
      <c r="AB51" s="236">
        <v>86363633</v>
      </c>
      <c r="AC51" s="236">
        <v>86363633</v>
      </c>
      <c r="AD51" s="236">
        <v>86363633</v>
      </c>
      <c r="AE51" s="236">
        <v>86363633</v>
      </c>
      <c r="AF51" s="236">
        <v>86363633</v>
      </c>
      <c r="AG51" s="236">
        <v>86363633</v>
      </c>
      <c r="AH51" s="236">
        <v>172727266</v>
      </c>
      <c r="AI51" s="236">
        <v>86363633</v>
      </c>
      <c r="AJ51" s="236">
        <v>86363633</v>
      </c>
      <c r="AK51" s="236">
        <v>86363670</v>
      </c>
      <c r="AL51" s="236"/>
      <c r="AM51" s="236"/>
      <c r="AN51" s="236"/>
      <c r="AO51" s="236"/>
      <c r="AP51" s="236"/>
      <c r="AQ51" s="236"/>
      <c r="AR51" s="236"/>
      <c r="AS51" s="236"/>
      <c r="AT51" s="369">
        <v>0</v>
      </c>
      <c r="AU51" s="90">
        <f t="shared" si="2"/>
        <v>950000000</v>
      </c>
    </row>
    <row r="52" spans="1:49" ht="34.5" hidden="1" customHeight="1" x14ac:dyDescent="0.25">
      <c r="A52" s="85">
        <v>46</v>
      </c>
      <c r="B52" s="2" t="str">
        <f>+'Base de Datos'!E52</f>
        <v>120000-223-0-2012</v>
      </c>
      <c r="C52" s="2" t="str">
        <f>+'Base de Datos'!F52</f>
        <v>SECURITY TECH  CONTROL LTDA</v>
      </c>
      <c r="D52" s="2">
        <f>+'Base de Datos'!G52</f>
        <v>900118932</v>
      </c>
      <c r="E52" s="2" t="str">
        <f>+'Base de Datos'!H52</f>
        <v>Alquiler de medios tecnológicos para ser utilizados como apoyo en el esquema de seguridad para la permanencia y adecuada protección de los bienes muebles e inmuebles de propiedad del Concejo de Bogotá D.C., de conformidad con lo establecido en la Invitación Pública No. SHD-SMINC-015-2012 y la propuesta presentada por el contratista.</v>
      </c>
      <c r="F52" s="3">
        <v>41705635</v>
      </c>
      <c r="G52" s="6">
        <v>41081</v>
      </c>
      <c r="H52" s="64">
        <v>41578</v>
      </c>
      <c r="I52" s="183">
        <v>6548819</v>
      </c>
      <c r="J52" s="359">
        <v>41158</v>
      </c>
      <c r="K52" s="183">
        <v>7238168</v>
      </c>
      <c r="L52" s="359">
        <v>41177</v>
      </c>
      <c r="M52" s="183"/>
      <c r="N52" s="359"/>
      <c r="O52" s="183"/>
      <c r="P52" s="359"/>
      <c r="Q52" s="86">
        <f t="shared" si="0"/>
        <v>13786987</v>
      </c>
      <c r="R52" s="372" t="s">
        <v>985</v>
      </c>
      <c r="S52" s="370">
        <v>41182</v>
      </c>
      <c r="T52" s="372" t="s">
        <v>986</v>
      </c>
      <c r="U52" s="370">
        <v>41213</v>
      </c>
      <c r="V52" s="372"/>
      <c r="W52" s="370"/>
      <c r="X52" s="372"/>
      <c r="Y52" s="370"/>
      <c r="Z52" s="186" t="s">
        <v>1323</v>
      </c>
      <c r="AA52" s="88">
        <f t="shared" si="1"/>
        <v>41213</v>
      </c>
      <c r="AB52" s="236">
        <v>10340240</v>
      </c>
      <c r="AC52" s="236">
        <v>10340240</v>
      </c>
      <c r="AD52" s="236">
        <v>13786987</v>
      </c>
      <c r="AE52" s="236">
        <v>7238168</v>
      </c>
      <c r="AF52" s="236"/>
      <c r="AG52" s="236"/>
      <c r="AH52" s="236"/>
      <c r="AI52" s="236"/>
      <c r="AJ52" s="236"/>
      <c r="AK52" s="236"/>
      <c r="AL52" s="236"/>
      <c r="AM52" s="236"/>
      <c r="AN52" s="236"/>
      <c r="AO52" s="236"/>
      <c r="AP52" s="236"/>
      <c r="AQ52" s="236"/>
      <c r="AR52" s="236"/>
      <c r="AS52" s="236"/>
      <c r="AT52" s="369">
        <v>0</v>
      </c>
      <c r="AU52" s="90">
        <f t="shared" si="2"/>
        <v>41705635</v>
      </c>
    </row>
    <row r="53" spans="1:49" ht="34.5" hidden="1" customHeight="1" x14ac:dyDescent="0.25">
      <c r="A53" s="85">
        <v>47</v>
      </c>
      <c r="B53" s="2" t="str">
        <f>+'Base de Datos'!E53</f>
        <v>120000-289-0-2012</v>
      </c>
      <c r="C53" s="2" t="str">
        <f>+'Base de Datos'!F53</f>
        <v>SEGUROS DEL ESTADO S.A</v>
      </c>
      <c r="D53" s="2">
        <f>+'Base de Datos'!G53</f>
        <v>860009578</v>
      </c>
      <c r="E53" s="2" t="str">
        <f>+'Base de Datos'!H53</f>
        <v>Contratar con una compañía de seguros legalmente autorizada para funcionar en el país, las pólizas de Seguro Obligatorio SOAT requerida para la adecuada protección de los vehículos de propiedad de la SECRETARIA DE HACIENDA y del CONCEJO DE BOGOTÁ</v>
      </c>
      <c r="F53" s="12">
        <v>4100000</v>
      </c>
      <c r="G53" s="13">
        <v>41103</v>
      </c>
      <c r="H53" s="65">
        <v>41471</v>
      </c>
      <c r="I53" s="183"/>
      <c r="J53" s="359"/>
      <c r="K53" s="183"/>
      <c r="L53" s="359"/>
      <c r="M53" s="183"/>
      <c r="N53" s="359"/>
      <c r="O53" s="183"/>
      <c r="P53" s="359"/>
      <c r="Q53" s="86">
        <f t="shared" si="0"/>
        <v>0</v>
      </c>
      <c r="R53" s="372"/>
      <c r="S53" s="370"/>
      <c r="T53" s="372"/>
      <c r="U53" s="370"/>
      <c r="V53" s="372"/>
      <c r="W53" s="370"/>
      <c r="X53" s="372"/>
      <c r="Y53" s="370"/>
      <c r="Z53" s="186"/>
      <c r="AA53" s="88">
        <f t="shared" si="1"/>
        <v>0</v>
      </c>
      <c r="AB53" s="236">
        <v>3389600</v>
      </c>
      <c r="AC53" s="236"/>
      <c r="AD53" s="236"/>
      <c r="AE53" s="236"/>
      <c r="AF53" s="236"/>
      <c r="AG53" s="236"/>
      <c r="AH53" s="236"/>
      <c r="AI53" s="236"/>
      <c r="AJ53" s="236"/>
      <c r="AK53" s="236"/>
      <c r="AL53" s="236"/>
      <c r="AM53" s="236"/>
      <c r="AN53" s="236"/>
      <c r="AO53" s="236"/>
      <c r="AP53" s="236"/>
      <c r="AQ53" s="236"/>
      <c r="AR53" s="236"/>
      <c r="AS53" s="236"/>
      <c r="AT53" s="369">
        <v>0</v>
      </c>
      <c r="AU53" s="90">
        <f t="shared" si="2"/>
        <v>3389600</v>
      </c>
    </row>
    <row r="54" spans="1:49" ht="34.5" hidden="1" customHeight="1" x14ac:dyDescent="0.25">
      <c r="A54" s="85">
        <v>48</v>
      </c>
      <c r="B54" s="2" t="str">
        <f>+'Base de Datos'!E54</f>
        <v>120000-312-0-2012</v>
      </c>
      <c r="C54" s="2" t="str">
        <f>+'Base de Datos'!F54</f>
        <v>SOLUCIONES Y DIAGNÓSTICOS EN INGENIERÍA ELÉCTRICA LTDA</v>
      </c>
      <c r="D54" s="2">
        <f>+'Base de Datos'!G54</f>
        <v>900268429</v>
      </c>
      <c r="E54" s="2" t="str">
        <f>+'Base de Datos'!H54</f>
        <v>Prestar el servicio de mantenimiento preventivo y correctivo al sistema eléctrico del  Centro Administrativo Distrital CAD y al Sistema de Generación y Transferencia Eléctrica de Emergencia  del Concejo de Bogotá, DC.</v>
      </c>
      <c r="F54" s="3">
        <v>8932201</v>
      </c>
      <c r="G54" s="4">
        <v>41151</v>
      </c>
      <c r="H54" s="66">
        <v>41424</v>
      </c>
      <c r="I54" s="183"/>
      <c r="J54" s="359"/>
      <c r="K54" s="183"/>
      <c r="L54" s="359"/>
      <c r="M54" s="183"/>
      <c r="N54" s="359"/>
      <c r="O54" s="183"/>
      <c r="P54" s="359"/>
      <c r="Q54" s="86">
        <f t="shared" si="0"/>
        <v>0</v>
      </c>
      <c r="R54" s="372" t="s">
        <v>380</v>
      </c>
      <c r="S54" s="370">
        <v>41547</v>
      </c>
      <c r="T54" s="372"/>
      <c r="U54" s="370"/>
      <c r="V54" s="372"/>
      <c r="W54" s="370"/>
      <c r="X54" s="372"/>
      <c r="Y54" s="370"/>
      <c r="Z54" s="186" t="s">
        <v>380</v>
      </c>
      <c r="AA54" s="88">
        <f t="shared" si="1"/>
        <v>41547</v>
      </c>
      <c r="AB54" s="236">
        <v>2828196</v>
      </c>
      <c r="AC54" s="236">
        <v>344346</v>
      </c>
      <c r="AD54" s="236">
        <v>344346</v>
      </c>
      <c r="AE54" s="236">
        <v>2414721</v>
      </c>
      <c r="AF54" s="236">
        <v>741066</v>
      </c>
      <c r="AG54" s="236">
        <v>2233993</v>
      </c>
      <c r="AH54" s="236"/>
      <c r="AI54" s="236"/>
      <c r="AJ54" s="236"/>
      <c r="AK54" s="236"/>
      <c r="AL54" s="236"/>
      <c r="AM54" s="236"/>
      <c r="AN54" s="236"/>
      <c r="AO54" s="236"/>
      <c r="AP54" s="236"/>
      <c r="AQ54" s="236"/>
      <c r="AR54" s="236"/>
      <c r="AS54" s="236"/>
      <c r="AT54" s="369">
        <v>0</v>
      </c>
      <c r="AU54" s="90">
        <f t="shared" si="2"/>
        <v>8906668</v>
      </c>
    </row>
    <row r="55" spans="1:49" ht="34.5" hidden="1" customHeight="1" x14ac:dyDescent="0.25">
      <c r="A55" s="85">
        <v>49</v>
      </c>
      <c r="B55" s="2" t="str">
        <f>+'Base de Datos'!E55</f>
        <v>120000-328-0-2012</v>
      </c>
      <c r="C55" s="2" t="str">
        <f>+'Base de Datos'!F55</f>
        <v>PORTES DE COLOMBIA LTDA</v>
      </c>
      <c r="D55" s="2">
        <f>+'Base de Datos'!G55</f>
        <v>830006177</v>
      </c>
      <c r="E55" s="2" t="str">
        <f>+'Base de Datos'!H55</f>
        <v>Contrata el transporte  de bienes muebles, equipos de oficina y cajas de archivo documental  para la Secretaría Distrital de Hacienda, dentro el perímetro urbano de Bogotá, D.C.</v>
      </c>
      <c r="F55" s="12">
        <v>8545000</v>
      </c>
      <c r="G55" s="13">
        <v>41155</v>
      </c>
      <c r="H55" s="65">
        <v>41367</v>
      </c>
      <c r="I55" s="183"/>
      <c r="J55" s="359"/>
      <c r="K55" s="183"/>
      <c r="L55" s="359"/>
      <c r="M55" s="183"/>
      <c r="N55" s="359"/>
      <c r="O55" s="183"/>
      <c r="P55" s="359"/>
      <c r="Q55" s="86">
        <f t="shared" si="0"/>
        <v>0</v>
      </c>
      <c r="R55" s="372" t="s">
        <v>379</v>
      </c>
      <c r="S55" s="370">
        <v>41458</v>
      </c>
      <c r="T55" s="372"/>
      <c r="U55" s="370"/>
      <c r="V55" s="372"/>
      <c r="W55" s="370"/>
      <c r="X55" s="372"/>
      <c r="Y55" s="370"/>
      <c r="Z55" s="185" t="s">
        <v>379</v>
      </c>
      <c r="AA55" s="88">
        <f t="shared" si="1"/>
        <v>41458</v>
      </c>
      <c r="AB55" s="236">
        <v>480000</v>
      </c>
      <c r="AC55" s="236">
        <v>1205000</v>
      </c>
      <c r="AD55" s="236">
        <v>1446000</v>
      </c>
      <c r="AE55" s="236">
        <v>482000</v>
      </c>
      <c r="AF55" s="236">
        <v>723000</v>
      </c>
      <c r="AG55" s="236"/>
      <c r="AH55" s="236"/>
      <c r="AI55" s="236"/>
      <c r="AJ55" s="236"/>
      <c r="AK55" s="236"/>
      <c r="AL55" s="236"/>
      <c r="AM55" s="236"/>
      <c r="AN55" s="236"/>
      <c r="AO55" s="236"/>
      <c r="AP55" s="236"/>
      <c r="AQ55" s="236"/>
      <c r="AR55" s="236"/>
      <c r="AS55" s="236"/>
      <c r="AT55" s="369">
        <v>0</v>
      </c>
      <c r="AU55" s="90">
        <f t="shared" si="2"/>
        <v>4336000</v>
      </c>
    </row>
    <row r="56" spans="1:49" ht="34.5" hidden="1" customHeight="1" x14ac:dyDescent="0.25">
      <c r="A56" s="85">
        <v>50</v>
      </c>
      <c r="B56" s="2" t="str">
        <f>+'Base de Datos'!E56</f>
        <v>120000-368-0-2012</v>
      </c>
      <c r="C56" s="2" t="str">
        <f>+'Base de Datos'!F56</f>
        <v xml:space="preserve">UNIÓN TEMPORAL EMINSER-SOLOASEO </v>
      </c>
      <c r="D56" s="2">
        <f>+'Base de Datos'!G56</f>
        <v>900548648</v>
      </c>
      <c r="E56" s="2" t="str">
        <f>+'Base de Datos'!H56</f>
        <v xml:space="preserve">Prestar el servicio integral de aseo y cafetería  para las instalaciones del Concejo de Bogotá y la Secretaria de Hacienda </v>
      </c>
      <c r="F56" s="3">
        <v>220839000</v>
      </c>
      <c r="G56" s="4">
        <v>41172</v>
      </c>
      <c r="H56" s="66">
        <v>41384</v>
      </c>
      <c r="I56" s="183">
        <v>21739353</v>
      </c>
      <c r="J56" s="359">
        <v>41379</v>
      </c>
      <c r="K56" s="183"/>
      <c r="L56" s="359"/>
      <c r="M56" s="183"/>
      <c r="N56" s="359"/>
      <c r="O56" s="183"/>
      <c r="P56" s="359"/>
      <c r="Q56" s="86">
        <f t="shared" si="0"/>
        <v>21739353</v>
      </c>
      <c r="R56" s="372" t="s">
        <v>378</v>
      </c>
      <c r="S56" s="370">
        <v>41445</v>
      </c>
      <c r="T56" s="372"/>
      <c r="U56" s="370"/>
      <c r="V56" s="372"/>
      <c r="W56" s="370"/>
      <c r="X56" s="372"/>
      <c r="Y56" s="370"/>
      <c r="Z56" s="185" t="s">
        <v>378</v>
      </c>
      <c r="AA56" s="88">
        <f t="shared" si="1"/>
        <v>41445</v>
      </c>
      <c r="AB56" s="236">
        <v>8869624</v>
      </c>
      <c r="AC56" s="236">
        <v>21840904</v>
      </c>
      <c r="AD56" s="236">
        <v>24712137</v>
      </c>
      <c r="AE56" s="236">
        <v>20887183</v>
      </c>
      <c r="AF56" s="236">
        <v>24760402</v>
      </c>
      <c r="AG56" s="236">
        <v>18306239</v>
      </c>
      <c r="AH56" s="236">
        <v>20874772</v>
      </c>
      <c r="AI56" s="236">
        <v>23555896</v>
      </c>
      <c r="AJ56" s="236">
        <v>4337494</v>
      </c>
      <c r="AK56" s="236">
        <v>23320933</v>
      </c>
      <c r="AL56" s="236">
        <v>21909935</v>
      </c>
      <c r="AM56" s="236">
        <v>4888820</v>
      </c>
      <c r="AN56" s="236"/>
      <c r="AO56" s="236"/>
      <c r="AP56" s="236"/>
      <c r="AQ56" s="236"/>
      <c r="AR56" s="236"/>
      <c r="AS56" s="236"/>
      <c r="AT56" s="369">
        <v>0</v>
      </c>
      <c r="AU56" s="90">
        <f t="shared" si="2"/>
        <v>218264339</v>
      </c>
    </row>
    <row r="57" spans="1:49" ht="34.5" hidden="1" customHeight="1" x14ac:dyDescent="0.25">
      <c r="A57" s="85">
        <v>51</v>
      </c>
      <c r="B57" s="2" t="str">
        <f>+'Base de Datos'!E57</f>
        <v>120000-376-0-2012</v>
      </c>
      <c r="C57" s="2" t="str">
        <f>+'Base de Datos'!F57</f>
        <v>NELSON EDUARDO MUÑOZ MORENO</v>
      </c>
      <c r="D57" s="2">
        <f>+'Base de Datos'!G57</f>
        <v>79661783</v>
      </c>
      <c r="E57" s="2" t="str">
        <f>+'Base de Datos'!H57</f>
        <v>Prestar el servicio de empaste y/o encuadernación de documentos de archivo en libros tamaños carta, oficio o extra-oficio para el Concejo de Bogotá D.C:, de conformidad con lo establecido en las especificaciones enunciadas en el Anexo Técnico - Especifica</v>
      </c>
      <c r="F57" s="12">
        <v>4493000</v>
      </c>
      <c r="G57" s="13">
        <v>41172</v>
      </c>
      <c r="H57" s="65">
        <v>41353</v>
      </c>
      <c r="I57" s="183"/>
      <c r="J57" s="359"/>
      <c r="K57" s="183"/>
      <c r="L57" s="359"/>
      <c r="M57" s="183"/>
      <c r="N57" s="359"/>
      <c r="O57" s="183"/>
      <c r="P57" s="359"/>
      <c r="Q57" s="86">
        <f t="shared" si="0"/>
        <v>0</v>
      </c>
      <c r="R57" s="372" t="s">
        <v>378</v>
      </c>
      <c r="S57" s="370">
        <v>41414</v>
      </c>
      <c r="T57" s="372"/>
      <c r="U57" s="370"/>
      <c r="V57" s="372"/>
      <c r="W57" s="370"/>
      <c r="X57" s="372"/>
      <c r="Y57" s="370"/>
      <c r="Z57" s="185" t="s">
        <v>378</v>
      </c>
      <c r="AA57" s="88">
        <f t="shared" si="1"/>
        <v>41414</v>
      </c>
      <c r="AB57" s="236">
        <v>1310900</v>
      </c>
      <c r="AC57" s="236">
        <v>1041600</v>
      </c>
      <c r="AD57" s="236">
        <v>956500</v>
      </c>
      <c r="AE57" s="236"/>
      <c r="AF57" s="236"/>
      <c r="AG57" s="236"/>
      <c r="AH57" s="236"/>
      <c r="AI57" s="236"/>
      <c r="AJ57" s="236"/>
      <c r="AK57" s="236"/>
      <c r="AL57" s="236"/>
      <c r="AM57" s="236"/>
      <c r="AN57" s="236"/>
      <c r="AO57" s="236"/>
      <c r="AP57" s="236"/>
      <c r="AQ57" s="236"/>
      <c r="AR57" s="236"/>
      <c r="AS57" s="236"/>
      <c r="AT57" s="369">
        <v>0</v>
      </c>
      <c r="AU57" s="90">
        <f t="shared" si="2"/>
        <v>3309000</v>
      </c>
    </row>
    <row r="58" spans="1:49" ht="34.5" hidden="1" customHeight="1" x14ac:dyDescent="0.25">
      <c r="A58" s="85">
        <v>52</v>
      </c>
      <c r="B58" s="2" t="str">
        <f>+'Base de Datos'!E58</f>
        <v>120000-381-0-2012</v>
      </c>
      <c r="C58" s="2" t="str">
        <f>+'Base de Datos'!F58</f>
        <v>SOLUTION COPY LTDA</v>
      </c>
      <c r="D58" s="2">
        <f>+'Base de Datos'!G58</f>
        <v>830053669</v>
      </c>
      <c r="E58" s="2" t="str">
        <f>+'Base de Datos'!H58</f>
        <v>Contratar la prestación de servicio de fotocopiado y servicios afines para el Concejo de Bogotá y la Secretaría de Hacienda</v>
      </c>
      <c r="F58" s="12">
        <v>22726000</v>
      </c>
      <c r="G58" s="13">
        <v>41163</v>
      </c>
      <c r="H58" s="65">
        <v>41375</v>
      </c>
      <c r="I58" s="183">
        <v>2000000</v>
      </c>
      <c r="J58" s="359">
        <v>41374</v>
      </c>
      <c r="K58" s="183"/>
      <c r="L58" s="359"/>
      <c r="M58" s="183"/>
      <c r="N58" s="359"/>
      <c r="O58" s="183"/>
      <c r="P58" s="359"/>
      <c r="Q58" s="86">
        <f t="shared" si="0"/>
        <v>2000000</v>
      </c>
      <c r="R58" s="372" t="s">
        <v>1323</v>
      </c>
      <c r="S58" s="370">
        <v>41425</v>
      </c>
      <c r="T58" s="372"/>
      <c r="U58" s="370"/>
      <c r="V58" s="372"/>
      <c r="W58" s="370"/>
      <c r="X58" s="372"/>
      <c r="Y58" s="370"/>
      <c r="Z58" s="186" t="s">
        <v>1323</v>
      </c>
      <c r="AA58" s="88">
        <f t="shared" si="1"/>
        <v>41425</v>
      </c>
      <c r="AB58" s="236">
        <v>1934781</v>
      </c>
      <c r="AC58" s="236">
        <v>3219508</v>
      </c>
      <c r="AD58" s="236">
        <v>2914673</v>
      </c>
      <c r="AE58" s="236">
        <v>2256645</v>
      </c>
      <c r="AF58" s="236">
        <v>2036637</v>
      </c>
      <c r="AG58" s="236">
        <v>4175147</v>
      </c>
      <c r="AH58" s="236">
        <v>2534898</v>
      </c>
      <c r="AI58" s="236">
        <v>3336351</v>
      </c>
      <c r="AJ58" s="236">
        <v>2317318</v>
      </c>
      <c r="AK58" s="236"/>
      <c r="AL58" s="236"/>
      <c r="AM58" s="236"/>
      <c r="AN58" s="236"/>
      <c r="AO58" s="236"/>
      <c r="AP58" s="236"/>
      <c r="AQ58" s="236"/>
      <c r="AR58" s="236"/>
      <c r="AS58" s="236"/>
      <c r="AT58" s="369">
        <v>0</v>
      </c>
      <c r="AU58" s="90">
        <f t="shared" si="2"/>
        <v>24725958</v>
      </c>
    </row>
    <row r="59" spans="1:49" ht="34.5" hidden="1" customHeight="1" x14ac:dyDescent="0.25">
      <c r="A59" s="85">
        <v>53</v>
      </c>
      <c r="B59" s="2" t="str">
        <f>+'Base de Datos'!E59</f>
        <v>120000-390-0-2012</v>
      </c>
      <c r="C59" s="2" t="str">
        <f>+'Base de Datos'!F59</f>
        <v>UNIÓN TEMPORAL INTERPOSTAL URBANEX</v>
      </c>
      <c r="D59" s="2">
        <f>+'Base de Datos'!G59</f>
        <v>900552779</v>
      </c>
      <c r="E59" s="2" t="str">
        <f>+'Base de Datos'!H59</f>
        <v>Contratar la prestación de los servicio de mensajería expresa masiva del Concejo de  Bogotá  de conformidad con los pliegos de condiciones del proceso de Selección Abreviada de Menor Cuantía No. SDH-SAMC-003-2012 y la propuesta presentada.</v>
      </c>
      <c r="F59" s="12">
        <v>19116000</v>
      </c>
      <c r="G59" s="11">
        <v>41176</v>
      </c>
      <c r="H59" s="67">
        <v>41388</v>
      </c>
      <c r="I59" s="183">
        <v>1807575</v>
      </c>
      <c r="J59" s="359">
        <v>41379</v>
      </c>
      <c r="K59" s="183"/>
      <c r="L59" s="359"/>
      <c r="M59" s="183"/>
      <c r="N59" s="359"/>
      <c r="O59" s="183"/>
      <c r="P59" s="359"/>
      <c r="Q59" s="86">
        <f t="shared" si="0"/>
        <v>1807575</v>
      </c>
      <c r="R59" s="372" t="s">
        <v>543</v>
      </c>
      <c r="S59" s="370">
        <v>41409</v>
      </c>
      <c r="T59" s="372"/>
      <c r="U59" s="370"/>
      <c r="V59" s="372"/>
      <c r="W59" s="370"/>
      <c r="X59" s="372"/>
      <c r="Y59" s="370"/>
      <c r="Z59" s="185" t="s">
        <v>543</v>
      </c>
      <c r="AA59" s="88">
        <f t="shared" si="1"/>
        <v>41409</v>
      </c>
      <c r="AB59" s="236">
        <v>2082400</v>
      </c>
      <c r="AC59" s="236">
        <v>2104800</v>
      </c>
      <c r="AD59" s="236">
        <v>4035600</v>
      </c>
      <c r="AE59" s="236">
        <v>2011200</v>
      </c>
      <c r="AF59" s="236">
        <v>2262000</v>
      </c>
      <c r="AG59" s="236">
        <v>3006400</v>
      </c>
      <c r="AH59" s="236">
        <v>2276000</v>
      </c>
      <c r="AI59" s="236">
        <v>2133800</v>
      </c>
      <c r="AJ59" s="236"/>
      <c r="AK59" s="236"/>
      <c r="AL59" s="236"/>
      <c r="AM59" s="236"/>
      <c r="AN59" s="236"/>
      <c r="AO59" s="236"/>
      <c r="AP59" s="236"/>
      <c r="AQ59" s="236"/>
      <c r="AR59" s="236"/>
      <c r="AS59" s="236"/>
      <c r="AT59" s="369">
        <v>0</v>
      </c>
      <c r="AU59" s="90">
        <f t="shared" si="2"/>
        <v>19912200</v>
      </c>
      <c r="AW59" s="414"/>
    </row>
    <row r="60" spans="1:49" ht="34.5" hidden="1" customHeight="1" x14ac:dyDescent="0.25">
      <c r="A60" s="85">
        <v>54</v>
      </c>
      <c r="B60" s="2" t="str">
        <f>+'Base de Datos'!E60</f>
        <v>120000-396-0-2012</v>
      </c>
      <c r="C60" s="2" t="str">
        <f>+'Base de Datos'!F60</f>
        <v>CENTRO DE RECURSOS EDUCATIVOS PARA LA COMPETITIVIDAD EMPRESARIAL LTDA - CRECE</v>
      </c>
      <c r="D60" s="2">
        <f>+'Base de Datos'!G60</f>
        <v>830143378</v>
      </c>
      <c r="E60" s="2" t="str">
        <f>+'Base de Datos'!H60</f>
        <v>Realizar la ejecución de actividades de capacitación para el Concejo de Bogotá, D.C., correspondientes a los Grupos 4: Eje temático: Administración Pública; 5: Eje temático: Componente Jurídico y 9: Eje temático: Sistema Integrado de Gestión,  de la Licitación Pública SDH-LP-002-2012, de conformidad con lo establecido en el pliego de condiciones.</v>
      </c>
      <c r="F60" s="3">
        <v>282073266</v>
      </c>
      <c r="G60" s="4">
        <v>41198</v>
      </c>
      <c r="H60" s="66">
        <v>41441</v>
      </c>
      <c r="I60" s="183"/>
      <c r="J60" s="359"/>
      <c r="K60" s="183"/>
      <c r="L60" s="359"/>
      <c r="M60" s="183"/>
      <c r="N60" s="359"/>
      <c r="O60" s="183"/>
      <c r="P60" s="359"/>
      <c r="Q60" s="86">
        <f t="shared" si="0"/>
        <v>0</v>
      </c>
      <c r="R60" s="372"/>
      <c r="S60" s="370"/>
      <c r="T60" s="372"/>
      <c r="U60" s="370"/>
      <c r="V60" s="372"/>
      <c r="W60" s="370"/>
      <c r="X60" s="372"/>
      <c r="Y60" s="370"/>
      <c r="Z60" s="186"/>
      <c r="AA60" s="88">
        <f t="shared" si="1"/>
        <v>0</v>
      </c>
      <c r="AB60" s="236">
        <v>10291172</v>
      </c>
      <c r="AC60" s="236">
        <v>27014325</v>
      </c>
      <c r="AD60" s="236">
        <v>7718379</v>
      </c>
      <c r="AE60" s="236">
        <v>32395588</v>
      </c>
      <c r="AF60" s="236">
        <v>32894362</v>
      </c>
      <c r="AG60" s="236">
        <v>65747881</v>
      </c>
      <c r="AH60" s="236">
        <v>74082637</v>
      </c>
      <c r="AI60" s="236">
        <v>31928922</v>
      </c>
      <c r="AJ60" s="236"/>
      <c r="AK60" s="236"/>
      <c r="AL60" s="236"/>
      <c r="AM60" s="236"/>
      <c r="AN60" s="236"/>
      <c r="AO60" s="236"/>
      <c r="AP60" s="236"/>
      <c r="AQ60" s="236"/>
      <c r="AR60" s="236"/>
      <c r="AS60" s="236"/>
      <c r="AT60" s="369">
        <v>0</v>
      </c>
      <c r="AU60" s="90">
        <f t="shared" si="2"/>
        <v>282073266</v>
      </c>
    </row>
    <row r="61" spans="1:49" ht="34.5" hidden="1" customHeight="1" x14ac:dyDescent="0.25">
      <c r="A61" s="85">
        <v>55</v>
      </c>
      <c r="B61" s="2" t="str">
        <f>+'Base de Datos'!E61</f>
        <v>120000-398-0-2012</v>
      </c>
      <c r="C61" s="2" t="str">
        <f>+'Base de Datos'!F61</f>
        <v>ECO COLSULTORES</v>
      </c>
      <c r="D61" s="2">
        <f>+'Base de Datos'!G61</f>
        <v>830126085</v>
      </c>
      <c r="E61" s="2" t="str">
        <f>+'Base de Datos'!H61</f>
        <v>Realizar la ejecución de actividades de capacitación para el Concejo de Bogotá, D.C., correspondientes al Grupo 8: Ejes temáticos : Comunicación Organizacional y Calidad de Vida Laboral para los grupos de apoyo normativo, de la Licitación Pública SDH-LP-002-2012, de conformidad con lo establecido en el pliego de condiciones, el Anexo técnico y la propuesta</v>
      </c>
      <c r="F61" s="3">
        <v>50618751</v>
      </c>
      <c r="G61" s="4">
        <v>41076</v>
      </c>
      <c r="H61" s="66">
        <v>41441</v>
      </c>
      <c r="I61" s="183"/>
      <c r="J61" s="359"/>
      <c r="K61" s="183"/>
      <c r="L61" s="359"/>
      <c r="M61" s="183"/>
      <c r="N61" s="359"/>
      <c r="O61" s="183"/>
      <c r="P61" s="359"/>
      <c r="Q61" s="86">
        <f t="shared" si="0"/>
        <v>0</v>
      </c>
      <c r="R61" s="372"/>
      <c r="S61" s="370"/>
      <c r="T61" s="372"/>
      <c r="U61" s="370"/>
      <c r="V61" s="372"/>
      <c r="W61" s="370"/>
      <c r="X61" s="372"/>
      <c r="Y61" s="370"/>
      <c r="Z61" s="186"/>
      <c r="AA61" s="88">
        <f t="shared" si="1"/>
        <v>0</v>
      </c>
      <c r="AB61" s="236">
        <v>30909075</v>
      </c>
      <c r="AC61" s="236">
        <v>19709676</v>
      </c>
      <c r="AD61" s="236"/>
      <c r="AE61" s="236"/>
      <c r="AF61" s="236"/>
      <c r="AG61" s="236"/>
      <c r="AH61" s="236"/>
      <c r="AI61" s="236"/>
      <c r="AJ61" s="236"/>
      <c r="AK61" s="236"/>
      <c r="AL61" s="236"/>
      <c r="AM61" s="236"/>
      <c r="AN61" s="236"/>
      <c r="AO61" s="236"/>
      <c r="AP61" s="236"/>
      <c r="AQ61" s="236"/>
      <c r="AR61" s="236"/>
      <c r="AS61" s="236"/>
      <c r="AT61" s="369">
        <v>0</v>
      </c>
      <c r="AU61" s="90">
        <f t="shared" si="2"/>
        <v>50618751</v>
      </c>
    </row>
    <row r="62" spans="1:49" ht="34.5" hidden="1" customHeight="1" x14ac:dyDescent="0.25">
      <c r="A62" s="85">
        <v>56</v>
      </c>
      <c r="B62" s="2" t="str">
        <f>+'Base de Datos'!E62</f>
        <v>120000-399-0-2012</v>
      </c>
      <c r="C62" s="2" t="str">
        <f>+'Base de Datos'!F62</f>
        <v>UNIVERSIDAD LA GRAN COLOMBIA</v>
      </c>
      <c r="D62" s="2">
        <f>+'Base de Datos'!G62</f>
        <v>860015685</v>
      </c>
      <c r="E62" s="2" t="str">
        <f>+'Base de Datos'!H62</f>
        <v>Realizar la ejecución de actividades de capacitación para el Concejo de Bogotá, D.C., correspondientes al Grupo 7: Eje temático: Sistemas y Herramientas Informáticas,  de la Licitación Pública SDH-LP-002-2012, de conformidad con lo establecido en el pliego</v>
      </c>
      <c r="F62" s="3">
        <v>69900000</v>
      </c>
      <c r="G62" s="6">
        <v>41202</v>
      </c>
      <c r="H62" s="64">
        <v>41486</v>
      </c>
      <c r="I62" s="183"/>
      <c r="J62" s="359"/>
      <c r="K62" s="183"/>
      <c r="L62" s="359"/>
      <c r="M62" s="183"/>
      <c r="N62" s="359"/>
      <c r="O62" s="183"/>
      <c r="P62" s="359"/>
      <c r="Q62" s="86">
        <f t="shared" si="0"/>
        <v>0</v>
      </c>
      <c r="R62" s="372" t="s">
        <v>1591</v>
      </c>
      <c r="S62" s="370"/>
      <c r="T62" s="372"/>
      <c r="U62" s="370"/>
      <c r="V62" s="372"/>
      <c r="W62" s="370"/>
      <c r="X62" s="372"/>
      <c r="Y62" s="370"/>
      <c r="Z62" s="186" t="s">
        <v>1591</v>
      </c>
      <c r="AA62" s="88">
        <v>41486</v>
      </c>
      <c r="AB62" s="236">
        <v>17475000</v>
      </c>
      <c r="AC62" s="236">
        <v>17475000</v>
      </c>
      <c r="AD62" s="236">
        <v>17475000</v>
      </c>
      <c r="AE62" s="236">
        <v>17475000</v>
      </c>
      <c r="AF62" s="236"/>
      <c r="AG62" s="236"/>
      <c r="AH62" s="236"/>
      <c r="AI62" s="236"/>
      <c r="AJ62" s="236"/>
      <c r="AK62" s="236"/>
      <c r="AL62" s="236"/>
      <c r="AM62" s="236"/>
      <c r="AN62" s="236"/>
      <c r="AO62" s="236"/>
      <c r="AP62" s="236"/>
      <c r="AQ62" s="236"/>
      <c r="AR62" s="236"/>
      <c r="AS62" s="236"/>
      <c r="AT62" s="369">
        <v>0</v>
      </c>
      <c r="AU62" s="90">
        <f t="shared" si="2"/>
        <v>69900000</v>
      </c>
    </row>
    <row r="63" spans="1:49" ht="34.5" hidden="1" customHeight="1" x14ac:dyDescent="0.25">
      <c r="A63" s="85">
        <v>57</v>
      </c>
      <c r="B63" s="2" t="str">
        <f>+'Base de Datos'!E63</f>
        <v>120000-402-0-2012</v>
      </c>
      <c r="C63" s="2" t="str">
        <f>+'Base de Datos'!F63</f>
        <v>INSTITUTO DISTRITAL DEL PATRIMONIO CULTURAL - IDCP</v>
      </c>
      <c r="D63" s="2">
        <f>+'Base de Datos'!G63</f>
        <v>860506170</v>
      </c>
      <c r="E63" s="2" t="str">
        <f>+'Base de Datos'!H63</f>
        <v>LA SECRETARÍA DISTRITAL DE HACIENDA Y EL INSTITUTO DISTRITAL DE PATRIMONIO CULTURAL, se comprometen a aunar esfuerzos, recursos técnicos, humanos y financieros para la intervención y realización de las actividades asociadas a la restauración - conservación de los bienes muebles de carácter patrimonial del Honorable Concejo de Bogotá D.C.</v>
      </c>
      <c r="F63" s="3">
        <v>500000000</v>
      </c>
      <c r="G63" s="4">
        <v>41170</v>
      </c>
      <c r="H63" s="66">
        <v>41412</v>
      </c>
      <c r="I63" s="183"/>
      <c r="J63" s="359"/>
      <c r="K63" s="183"/>
      <c r="L63" s="359"/>
      <c r="M63" s="183"/>
      <c r="N63" s="359"/>
      <c r="O63" s="183"/>
      <c r="P63" s="359"/>
      <c r="Q63" s="86">
        <f t="shared" si="0"/>
        <v>0</v>
      </c>
      <c r="R63" s="372"/>
      <c r="S63" s="370"/>
      <c r="T63" s="372"/>
      <c r="U63" s="370"/>
      <c r="V63" s="372"/>
      <c r="W63" s="370"/>
      <c r="X63" s="372"/>
      <c r="Y63" s="370"/>
      <c r="Z63" s="186"/>
      <c r="AA63" s="88">
        <f t="shared" si="1"/>
        <v>0</v>
      </c>
      <c r="AB63" s="236">
        <v>500000000</v>
      </c>
      <c r="AC63" s="236"/>
      <c r="AD63" s="236"/>
      <c r="AE63" s="236"/>
      <c r="AF63" s="236"/>
      <c r="AG63" s="236"/>
      <c r="AH63" s="236"/>
      <c r="AI63" s="236"/>
      <c r="AJ63" s="236"/>
      <c r="AK63" s="236"/>
      <c r="AL63" s="236"/>
      <c r="AM63" s="236"/>
      <c r="AN63" s="236"/>
      <c r="AO63" s="236"/>
      <c r="AP63" s="236"/>
      <c r="AQ63" s="236"/>
      <c r="AR63" s="236"/>
      <c r="AS63" s="236"/>
      <c r="AT63" s="369">
        <v>0</v>
      </c>
      <c r="AU63" s="90">
        <f t="shared" si="2"/>
        <v>500000000</v>
      </c>
    </row>
    <row r="64" spans="1:49" ht="34.5" hidden="1" customHeight="1" x14ac:dyDescent="0.25">
      <c r="A64" s="85">
        <v>58</v>
      </c>
      <c r="B64" s="2" t="str">
        <f>+'Base de Datos'!E64</f>
        <v>120000-196-0-2012</v>
      </c>
      <c r="C64" s="2" t="str">
        <f>+'Base de Datos'!F64</f>
        <v>SGS COLOMBIA S.A.</v>
      </c>
      <c r="D64" s="2">
        <f>+'Base de Datos'!G64</f>
        <v>860049921</v>
      </c>
      <c r="E64" s="2" t="str">
        <f>+'Base de Datos'!H64</f>
        <v>REALIZAR LAS  AUDITORIAS DE SEGUIMIENTO AL SISTEMA DE GESTIÓN DE CALIDAD DEL CONCEJO DE BOGOTÁ</v>
      </c>
      <c r="F64" s="12">
        <v>10440000</v>
      </c>
      <c r="G64" s="13">
        <v>41067</v>
      </c>
      <c r="H64" s="65">
        <v>41312</v>
      </c>
      <c r="I64" s="183"/>
      <c r="J64" s="359"/>
      <c r="K64" s="183"/>
      <c r="L64" s="359"/>
      <c r="M64" s="183"/>
      <c r="N64" s="359"/>
      <c r="O64" s="183"/>
      <c r="P64" s="359"/>
      <c r="Q64" s="86">
        <f t="shared" si="0"/>
        <v>0</v>
      </c>
      <c r="R64" s="372"/>
      <c r="S64" s="370"/>
      <c r="T64" s="372"/>
      <c r="U64" s="370"/>
      <c r="V64" s="372"/>
      <c r="W64" s="370"/>
      <c r="X64" s="372"/>
      <c r="Y64" s="370"/>
      <c r="Z64" s="186"/>
      <c r="AA64" s="88">
        <f t="shared" si="1"/>
        <v>0</v>
      </c>
      <c r="AB64" s="236">
        <v>1392000</v>
      </c>
      <c r="AC64" s="236">
        <v>9048000</v>
      </c>
      <c r="AD64" s="236"/>
      <c r="AE64" s="236"/>
      <c r="AF64" s="236"/>
      <c r="AG64" s="236"/>
      <c r="AH64" s="236"/>
      <c r="AI64" s="236"/>
      <c r="AJ64" s="236"/>
      <c r="AK64" s="236"/>
      <c r="AL64" s="236"/>
      <c r="AM64" s="236"/>
      <c r="AN64" s="236"/>
      <c r="AO64" s="236"/>
      <c r="AP64" s="236"/>
      <c r="AQ64" s="236"/>
      <c r="AR64" s="236"/>
      <c r="AS64" s="236"/>
      <c r="AT64" s="369">
        <v>0</v>
      </c>
      <c r="AU64" s="90">
        <f t="shared" si="2"/>
        <v>10440000</v>
      </c>
    </row>
    <row r="65" spans="1:47" ht="34.5" hidden="1" customHeight="1" x14ac:dyDescent="0.25">
      <c r="A65" s="85">
        <v>59</v>
      </c>
      <c r="B65" s="2" t="str">
        <f>+'Base de Datos'!E65</f>
        <v>120000-403-0-2012</v>
      </c>
      <c r="C65" s="2" t="str">
        <f>+'Base de Datos'!F65</f>
        <v>INCTEC INGENIEROS CIVILES ARQUITECTOS LTDA</v>
      </c>
      <c r="D65" s="2">
        <f>+'Base de Datos'!G65</f>
        <v>830085352</v>
      </c>
      <c r="E65" s="2" t="str">
        <f>+'Base de Datos'!H65</f>
        <v>Realizar la interventoría técnica, administrativa, ambiental, contable, contractual, financiera, legal y presupuestal, para el contrato de “Mantenimiento integral locativo, con el suministro de personal, materiales y repuestos para las instalaciones físicas del Concejo D.C.", de conformidad con lo establecido en la invitación pública del proceso SDH-SMINC-029-2012 y la propuesta presentada.</v>
      </c>
      <c r="F65" s="12">
        <v>24824832</v>
      </c>
      <c r="G65" s="13">
        <v>41208</v>
      </c>
      <c r="H65" s="65">
        <v>41481</v>
      </c>
      <c r="I65" s="183"/>
      <c r="J65" s="359"/>
      <c r="K65" s="183"/>
      <c r="L65" s="359"/>
      <c r="M65" s="183"/>
      <c r="N65" s="359"/>
      <c r="O65" s="183"/>
      <c r="P65" s="359"/>
      <c r="Q65" s="86">
        <f t="shared" si="0"/>
        <v>0</v>
      </c>
      <c r="R65" s="372"/>
      <c r="S65" s="370"/>
      <c r="T65" s="372"/>
      <c r="U65" s="370"/>
      <c r="V65" s="372"/>
      <c r="W65" s="370"/>
      <c r="X65" s="372"/>
      <c r="Y65" s="370"/>
      <c r="Z65" s="186"/>
      <c r="AA65" s="88">
        <f t="shared" si="1"/>
        <v>0</v>
      </c>
      <c r="AB65" s="236">
        <v>558558</v>
      </c>
      <c r="AC65" s="236">
        <v>2792792</v>
      </c>
      <c r="AD65" s="236">
        <v>2792792</v>
      </c>
      <c r="AE65" s="236">
        <v>2792792</v>
      </c>
      <c r="AF65" s="236">
        <v>2792792</v>
      </c>
      <c r="AG65" s="236">
        <v>2792792</v>
      </c>
      <c r="AH65" s="236">
        <v>2792792</v>
      </c>
      <c r="AI65" s="236">
        <v>2792792</v>
      </c>
      <c r="AJ65" s="236">
        <v>2234247</v>
      </c>
      <c r="AK65" s="236">
        <v>2482483</v>
      </c>
      <c r="AL65" s="236"/>
      <c r="AM65" s="236"/>
      <c r="AN65" s="236"/>
      <c r="AO65" s="236"/>
      <c r="AP65" s="236"/>
      <c r="AQ65" s="236"/>
      <c r="AR65" s="236"/>
      <c r="AS65" s="236"/>
      <c r="AT65" s="369">
        <v>0</v>
      </c>
      <c r="AU65" s="90">
        <f t="shared" si="2"/>
        <v>24824832</v>
      </c>
    </row>
    <row r="66" spans="1:47" ht="34.5" hidden="1" customHeight="1" x14ac:dyDescent="0.25">
      <c r="A66" s="85">
        <v>60</v>
      </c>
      <c r="B66" s="2" t="str">
        <f>+'Base de Datos'!E66</f>
        <v>120000-406-0-2012</v>
      </c>
      <c r="C66" s="2" t="str">
        <f>+'Base de Datos'!F66</f>
        <v>GRUPO EDITORIAL EL PERIÓDICO S.A.S</v>
      </c>
      <c r="D66" s="2">
        <f>+'Base de Datos'!G66</f>
        <v>900169179</v>
      </c>
      <c r="E66" s="2" t="str">
        <f>+'Base de Datos'!H66</f>
        <v>Suscripción  al diario Periódico de Bogotá, con destino al Concejo de Bogotá, DC., de conformidad con los estudios previos.</v>
      </c>
      <c r="F66" s="3">
        <v>810000</v>
      </c>
      <c r="G66" s="6">
        <v>41193</v>
      </c>
      <c r="H66" s="64">
        <v>41558</v>
      </c>
      <c r="I66" s="183"/>
      <c r="J66" s="359"/>
      <c r="K66" s="183"/>
      <c r="L66" s="359"/>
      <c r="M66" s="183"/>
      <c r="N66" s="359"/>
      <c r="O66" s="183"/>
      <c r="P66" s="359"/>
      <c r="Q66" s="86">
        <f t="shared" si="0"/>
        <v>0</v>
      </c>
      <c r="R66" s="372"/>
      <c r="S66" s="370"/>
      <c r="T66" s="372"/>
      <c r="U66" s="370"/>
      <c r="V66" s="372"/>
      <c r="W66" s="370"/>
      <c r="X66" s="372"/>
      <c r="Y66" s="370"/>
      <c r="Z66" s="186"/>
      <c r="AA66" s="88">
        <f t="shared" si="1"/>
        <v>0</v>
      </c>
      <c r="AB66" s="236">
        <v>810000</v>
      </c>
      <c r="AC66" s="236"/>
      <c r="AD66" s="236"/>
      <c r="AE66" s="236"/>
      <c r="AF66" s="236"/>
      <c r="AG66" s="236"/>
      <c r="AH66" s="236"/>
      <c r="AI66" s="236"/>
      <c r="AJ66" s="236"/>
      <c r="AK66" s="236"/>
      <c r="AL66" s="236"/>
      <c r="AM66" s="236"/>
      <c r="AN66" s="236"/>
      <c r="AO66" s="236"/>
      <c r="AP66" s="236"/>
      <c r="AQ66" s="236"/>
      <c r="AR66" s="236"/>
      <c r="AS66" s="236"/>
      <c r="AT66" s="369">
        <v>0</v>
      </c>
      <c r="AU66" s="90">
        <f t="shared" si="2"/>
        <v>810000</v>
      </c>
    </row>
    <row r="67" spans="1:47" ht="34.5" hidden="1" customHeight="1" x14ac:dyDescent="0.25">
      <c r="A67" s="85">
        <v>61</v>
      </c>
      <c r="B67" s="2" t="str">
        <f>+'Base de Datos'!E67</f>
        <v>120000-416-0-2012</v>
      </c>
      <c r="C67" s="2" t="str">
        <f>+'Base de Datos'!F67</f>
        <v xml:space="preserve">COMPAÑÍA COLOMBIANA DE CONSTRUCCIÓN COD S.A. </v>
      </c>
      <c r="D67" s="2">
        <f>+'Base de Datos'!G67</f>
        <v>830042460</v>
      </c>
      <c r="E67" s="2" t="str">
        <f>+'Base de Datos'!H67</f>
        <v>Contratar el servicio de mantenimiento integral locativo con el suministro de personal, equipo y repuestos en las instalaciones físicas del Concejo de Bogotá y la Secretaría de Hacienda</v>
      </c>
      <c r="F67" s="12">
        <v>299287875</v>
      </c>
      <c r="G67" s="13">
        <v>41208</v>
      </c>
      <c r="H67" s="65">
        <v>41451</v>
      </c>
      <c r="I67" s="183"/>
      <c r="J67" s="359"/>
      <c r="K67" s="183"/>
      <c r="L67" s="359"/>
      <c r="M67" s="183"/>
      <c r="N67" s="359"/>
      <c r="O67" s="183"/>
      <c r="P67" s="359"/>
      <c r="Q67" s="86">
        <f t="shared" si="0"/>
        <v>0</v>
      </c>
      <c r="R67" s="372"/>
      <c r="S67" s="370"/>
      <c r="T67" s="372"/>
      <c r="U67" s="370"/>
      <c r="V67" s="372"/>
      <c r="W67" s="370"/>
      <c r="X67" s="372"/>
      <c r="Y67" s="370"/>
      <c r="Z67" s="186"/>
      <c r="AA67" s="88">
        <f t="shared" si="1"/>
        <v>0</v>
      </c>
      <c r="AB67" s="236">
        <v>2411517</v>
      </c>
      <c r="AC67" s="236">
        <v>14710814</v>
      </c>
      <c r="AD67" s="236">
        <v>22652125</v>
      </c>
      <c r="AE67" s="236">
        <v>15164628</v>
      </c>
      <c r="AF67" s="236">
        <v>22625320</v>
      </c>
      <c r="AG67" s="236">
        <v>23720349</v>
      </c>
      <c r="AH67" s="236">
        <v>20511661</v>
      </c>
      <c r="AI67" s="236">
        <v>15260438</v>
      </c>
      <c r="AJ67" s="236">
        <v>23788129</v>
      </c>
      <c r="AK67" s="236"/>
      <c r="AL67" s="236"/>
      <c r="AM67" s="236"/>
      <c r="AN67" s="236"/>
      <c r="AO67" s="236"/>
      <c r="AP67" s="236"/>
      <c r="AQ67" s="236"/>
      <c r="AR67" s="236"/>
      <c r="AS67" s="236"/>
      <c r="AT67" s="369">
        <v>0</v>
      </c>
      <c r="AU67" s="90">
        <f t="shared" si="2"/>
        <v>160844981</v>
      </c>
    </row>
    <row r="68" spans="1:47" ht="34.5" hidden="1" customHeight="1" x14ac:dyDescent="0.25">
      <c r="A68" s="85">
        <v>62</v>
      </c>
      <c r="B68" s="2" t="str">
        <f>+'Base de Datos'!E68</f>
        <v>120000-420-0-2012</v>
      </c>
      <c r="C68" s="2" t="str">
        <f>+'Base de Datos'!F68</f>
        <v xml:space="preserve">MEDIDORES TÉCNICA EQUIPOS S.A. </v>
      </c>
      <c r="D68" s="2">
        <f>+'Base de Datos'!G68</f>
        <v>830017796</v>
      </c>
      <c r="E68" s="2" t="str">
        <f>+'Base de Datos'!H68</f>
        <v>Revisión general de los sistemas de transporte vertical del CAD y del Concejo de Bogotá y Expedir la certificación de conformidad con la normatividad vigente sobre el tema</v>
      </c>
      <c r="F68" s="12">
        <v>1392000</v>
      </c>
      <c r="G68" s="13">
        <v>41242</v>
      </c>
      <c r="H68" s="65">
        <v>41394</v>
      </c>
      <c r="I68" s="183"/>
      <c r="J68" s="359"/>
      <c r="K68" s="183"/>
      <c r="L68" s="359"/>
      <c r="M68" s="183"/>
      <c r="N68" s="359"/>
      <c r="O68" s="183"/>
      <c r="P68" s="359"/>
      <c r="Q68" s="86">
        <f t="shared" si="0"/>
        <v>0</v>
      </c>
      <c r="R68" s="372" t="s">
        <v>379</v>
      </c>
      <c r="S68" s="370">
        <v>41394</v>
      </c>
      <c r="T68" s="372" t="s">
        <v>1320</v>
      </c>
      <c r="U68" s="370">
        <v>41486</v>
      </c>
      <c r="V68" s="372" t="s">
        <v>379</v>
      </c>
      <c r="W68" s="370">
        <v>41534</v>
      </c>
      <c r="X68" s="372"/>
      <c r="Y68" s="399">
        <v>41530</v>
      </c>
      <c r="Z68" s="186" t="s">
        <v>1321</v>
      </c>
      <c r="AA68" s="88">
        <f t="shared" si="1"/>
        <v>41534</v>
      </c>
      <c r="AB68" s="236"/>
      <c r="AC68" s="236"/>
      <c r="AD68" s="236"/>
      <c r="AE68" s="236"/>
      <c r="AF68" s="236"/>
      <c r="AG68" s="236"/>
      <c r="AH68" s="236"/>
      <c r="AI68" s="236"/>
      <c r="AJ68" s="236"/>
      <c r="AK68" s="236"/>
      <c r="AL68" s="236"/>
      <c r="AM68" s="236"/>
      <c r="AN68" s="236"/>
      <c r="AO68" s="236"/>
      <c r="AP68" s="236"/>
      <c r="AQ68" s="236"/>
      <c r="AR68" s="236"/>
      <c r="AS68" s="236"/>
      <c r="AT68" s="369">
        <v>0</v>
      </c>
      <c r="AU68" s="90">
        <f t="shared" si="2"/>
        <v>0</v>
      </c>
    </row>
    <row r="69" spans="1:47" ht="34.5" hidden="1" customHeight="1" x14ac:dyDescent="0.25">
      <c r="A69" s="85">
        <v>63</v>
      </c>
      <c r="B69" s="2" t="str">
        <f>+'Base de Datos'!E69</f>
        <v>120000-425-0-2012</v>
      </c>
      <c r="C69" s="2" t="str">
        <f>+'Base de Datos'!F69</f>
        <v>INDUARCHIVOS LTDA</v>
      </c>
      <c r="D69" s="2">
        <f>+'Base de Datos'!G69</f>
        <v>830043839</v>
      </c>
      <c r="E69" s="2" t="str">
        <f>+'Base de Datos'!H69</f>
        <v>Contratar el servicio de mantenimiento preventivo y correctivo de los sistemas de archivos rodantes, de propiedad del Concejo de Bogotá y la Secretaría de Hacienda</v>
      </c>
      <c r="F69" s="3">
        <v>4056000</v>
      </c>
      <c r="G69" s="4">
        <v>41208</v>
      </c>
      <c r="H69" s="66">
        <v>41390</v>
      </c>
      <c r="I69" s="183"/>
      <c r="J69" s="359"/>
      <c r="K69" s="183"/>
      <c r="L69" s="359"/>
      <c r="M69" s="183"/>
      <c r="N69" s="359"/>
      <c r="O69" s="183"/>
      <c r="P69" s="359"/>
      <c r="Q69" s="86">
        <f t="shared" si="0"/>
        <v>0</v>
      </c>
      <c r="R69" s="372"/>
      <c r="S69" s="370"/>
      <c r="T69" s="372"/>
      <c r="U69" s="370"/>
      <c r="V69" s="372"/>
      <c r="W69" s="370"/>
      <c r="X69" s="372"/>
      <c r="Y69" s="370"/>
      <c r="Z69" s="186"/>
      <c r="AA69" s="88">
        <f t="shared" si="1"/>
        <v>0</v>
      </c>
      <c r="AB69" s="236">
        <v>4056000</v>
      </c>
      <c r="AC69" s="236"/>
      <c r="AD69" s="236"/>
      <c r="AE69" s="236"/>
      <c r="AF69" s="236"/>
      <c r="AG69" s="236"/>
      <c r="AH69" s="236"/>
      <c r="AI69" s="236"/>
      <c r="AJ69" s="236"/>
      <c r="AK69" s="236"/>
      <c r="AL69" s="236"/>
      <c r="AM69" s="236"/>
      <c r="AN69" s="236"/>
      <c r="AO69" s="236"/>
      <c r="AP69" s="236"/>
      <c r="AQ69" s="236"/>
      <c r="AR69" s="236"/>
      <c r="AS69" s="236"/>
      <c r="AT69" s="369">
        <v>0</v>
      </c>
      <c r="AU69" s="90">
        <f t="shared" si="2"/>
        <v>4056000</v>
      </c>
    </row>
    <row r="70" spans="1:47" ht="34.5" hidden="1" customHeight="1" x14ac:dyDescent="0.25">
      <c r="A70" s="85">
        <v>64</v>
      </c>
      <c r="B70" s="2" t="str">
        <f>+'Base de Datos'!E70</f>
        <v>120000-442-0-2012</v>
      </c>
      <c r="C70" s="2" t="str">
        <f>+'Base de Datos'!F70</f>
        <v>UNIÓN TEMPORAL VISE - VIGILANCIA ACOSTA - COSERVICREA - RUMBO</v>
      </c>
      <c r="D70" s="2">
        <f>+'Base de Datos'!G70</f>
        <v>900431177</v>
      </c>
      <c r="E70" s="2" t="str">
        <f>+'Base de Datos'!H70</f>
        <v>Prestar el servicio integral de vigilancia y seguridad privada para la permanente y adecuada protección de las personas (funcionarios, visitantes, contribuyentes), los bienes muebles e inmuebles de propiedad de la entidad contratante, así como de aquellos por los que les correspondiere velar en virtud de disposición legal, contractual o convencional, para el Concejo de Bogotá D.C., de conformidad con lo establecido en el pliego de condiciones del proceso de selección SDH-LP-003-2012, sus anexos y la propuesta presentada.</v>
      </c>
      <c r="F70" s="12">
        <v>431745000</v>
      </c>
      <c r="G70" s="13">
        <v>41214</v>
      </c>
      <c r="H70" s="65">
        <v>41518</v>
      </c>
      <c r="I70" s="183">
        <v>95000000</v>
      </c>
      <c r="J70" s="359">
        <v>41513</v>
      </c>
      <c r="K70" s="183"/>
      <c r="L70" s="359"/>
      <c r="M70" s="183"/>
      <c r="N70" s="359"/>
      <c r="O70" s="183"/>
      <c r="P70" s="359"/>
      <c r="Q70" s="86">
        <f t="shared" si="0"/>
        <v>95000000</v>
      </c>
      <c r="R70" s="372" t="s">
        <v>378</v>
      </c>
      <c r="S70" s="370">
        <v>41579</v>
      </c>
      <c r="T70" s="372"/>
      <c r="U70" s="370"/>
      <c r="V70" s="372"/>
      <c r="W70" s="370"/>
      <c r="X70" s="372"/>
      <c r="Y70" s="370"/>
      <c r="Z70" s="186" t="s">
        <v>378</v>
      </c>
      <c r="AA70" s="88">
        <f t="shared" si="1"/>
        <v>41579</v>
      </c>
      <c r="AB70" s="236">
        <v>35593957</v>
      </c>
      <c r="AC70" s="236">
        <v>35765677</v>
      </c>
      <c r="AD70" s="236">
        <v>37512103</v>
      </c>
      <c r="AE70" s="236">
        <v>36648325</v>
      </c>
      <c r="AF70" s="236">
        <v>49964416</v>
      </c>
      <c r="AG70" s="236">
        <v>48089764</v>
      </c>
      <c r="AH70" s="236">
        <v>48261252</v>
      </c>
      <c r="AI70" s="236">
        <v>48796319</v>
      </c>
      <c r="AJ70" s="236">
        <v>48269836</v>
      </c>
      <c r="AK70" s="236">
        <v>48093197</v>
      </c>
      <c r="AL70" s="236">
        <v>47935445</v>
      </c>
      <c r="AM70" s="236">
        <v>40220428</v>
      </c>
      <c r="AN70" s="236">
        <v>1594281</v>
      </c>
      <c r="AO70" s="236"/>
      <c r="AP70" s="236"/>
      <c r="AQ70" s="236"/>
      <c r="AR70" s="236"/>
      <c r="AS70" s="236"/>
      <c r="AT70" s="369">
        <v>0</v>
      </c>
      <c r="AU70" s="90">
        <f t="shared" si="2"/>
        <v>526745000</v>
      </c>
    </row>
    <row r="71" spans="1:47" ht="34.5" hidden="1" customHeight="1" x14ac:dyDescent="0.25">
      <c r="A71" s="85">
        <v>65</v>
      </c>
      <c r="B71" s="2" t="str">
        <f>+'Base de Datos'!E71</f>
        <v>120000-451-0-2012</v>
      </c>
      <c r="C71" s="2" t="str">
        <f>+'Base de Datos'!F71</f>
        <v>CAJA DE COMPENSACIÓN FAMILIAR COMPENSAR - BIENESTAR</v>
      </c>
      <c r="D71" s="2">
        <f>+'Base de Datos'!G71</f>
        <v>860066942</v>
      </c>
      <c r="E71" s="2" t="str">
        <f>+'Base de Datos'!H71</f>
        <v>Prestar los servicios integrales para desarrollar las actividades contenidas en los planes de bienestar e incentivos del Concejo de Bogotá, de conformidad con lo establecido en el pliego de condiciones del Proceso de Selección de Menor Cuantía SDH-SAMC-005-2012 y la propuesta.</v>
      </c>
      <c r="F71" s="3">
        <v>407400000</v>
      </c>
      <c r="G71" s="4">
        <v>41232</v>
      </c>
      <c r="H71" s="66">
        <v>41383</v>
      </c>
      <c r="I71" s="183">
        <v>45000000</v>
      </c>
      <c r="J71" s="359">
        <v>41337</v>
      </c>
      <c r="K71" s="183">
        <v>166889880</v>
      </c>
      <c r="L71" s="359">
        <v>41446</v>
      </c>
      <c r="M71" s="183"/>
      <c r="N71" s="359"/>
      <c r="O71" s="183"/>
      <c r="P71" s="359"/>
      <c r="Q71" s="86">
        <f t="shared" si="0"/>
        <v>211889880</v>
      </c>
      <c r="R71" s="372" t="s">
        <v>381</v>
      </c>
      <c r="S71" s="370">
        <v>41413</v>
      </c>
      <c r="T71" s="372" t="s">
        <v>987</v>
      </c>
      <c r="U71" s="370">
        <v>41517</v>
      </c>
      <c r="V71" s="372" t="s">
        <v>381</v>
      </c>
      <c r="W71" s="370">
        <v>41547</v>
      </c>
      <c r="X71" s="372" t="s">
        <v>962</v>
      </c>
      <c r="Y71" s="370">
        <v>41562</v>
      </c>
      <c r="Z71" s="186" t="s">
        <v>1563</v>
      </c>
      <c r="AA71" s="88">
        <f t="shared" si="1"/>
        <v>41562</v>
      </c>
      <c r="AB71" s="236">
        <v>62941177</v>
      </c>
      <c r="AC71" s="236">
        <v>275094000</v>
      </c>
      <c r="AD71" s="236">
        <v>19082000</v>
      </c>
      <c r="AE71" s="236">
        <v>41929094</v>
      </c>
      <c r="AF71" s="236">
        <v>13470000</v>
      </c>
      <c r="AG71" s="236">
        <v>11431578</v>
      </c>
      <c r="AH71" s="236">
        <v>101920000</v>
      </c>
      <c r="AI71" s="236">
        <v>51895001</v>
      </c>
      <c r="AJ71" s="236">
        <v>5413105</v>
      </c>
      <c r="AK71" s="236">
        <v>6056774</v>
      </c>
      <c r="AL71" s="236">
        <v>30057151</v>
      </c>
      <c r="AM71" s="236"/>
      <c r="AN71" s="236"/>
      <c r="AO71" s="236"/>
      <c r="AP71" s="236"/>
      <c r="AQ71" s="236"/>
      <c r="AR71" s="236"/>
      <c r="AS71" s="236"/>
      <c r="AT71" s="369">
        <v>0</v>
      </c>
      <c r="AU71" s="90">
        <f t="shared" si="2"/>
        <v>619289880</v>
      </c>
    </row>
    <row r="72" spans="1:47" ht="34.5" hidden="1" customHeight="1" x14ac:dyDescent="0.25">
      <c r="A72" s="85">
        <v>66</v>
      </c>
      <c r="B72" s="2" t="str">
        <f>+'Base de Datos'!E72</f>
        <v>120000-456-0-2012</v>
      </c>
      <c r="C72" s="2" t="str">
        <f>+'Base de Datos'!F72</f>
        <v>MIGUEL ANDRÉS GUTIÉRREZ ROMERO</v>
      </c>
      <c r="D72" s="2">
        <f>+'Base de Datos'!G72</f>
        <v>80199707</v>
      </c>
      <c r="E72" s="2" t="str">
        <f>+'Base de Datos'!H72</f>
        <v>Realizar el servicio de mantenimiento correctivo, incluyendo los repuestos y/o elementos nuevos que requieran las sillas existentes en el Concejo de Bogotá.</v>
      </c>
      <c r="F72" s="3">
        <v>37359000</v>
      </c>
      <c r="G72" s="4">
        <v>41234</v>
      </c>
      <c r="H72" s="66">
        <v>41446</v>
      </c>
      <c r="I72" s="183"/>
      <c r="J72" s="359"/>
      <c r="K72" s="183"/>
      <c r="L72" s="359"/>
      <c r="M72" s="183"/>
      <c r="N72" s="359"/>
      <c r="O72" s="183"/>
      <c r="P72" s="359"/>
      <c r="Q72" s="86">
        <f t="shared" ref="Q72:Q135" si="3">SUM(I72,K72,M72,O72)</f>
        <v>0</v>
      </c>
      <c r="R72" s="372"/>
      <c r="S72" s="370"/>
      <c r="T72" s="372"/>
      <c r="U72" s="370"/>
      <c r="V72" s="372"/>
      <c r="W72" s="370"/>
      <c r="X72" s="372"/>
      <c r="Y72" s="370"/>
      <c r="Z72" s="378"/>
      <c r="AA72" s="88">
        <f t="shared" ref="AA72:AA135" si="4">MAX(S72,U72,W72,Y72)</f>
        <v>0</v>
      </c>
      <c r="AB72" s="236">
        <v>4613661</v>
      </c>
      <c r="AC72" s="236">
        <v>2706510</v>
      </c>
      <c r="AD72" s="236">
        <v>510864</v>
      </c>
      <c r="AE72" s="236">
        <v>8889182</v>
      </c>
      <c r="AF72" s="236">
        <v>10834088</v>
      </c>
      <c r="AG72" s="236">
        <v>9804695</v>
      </c>
      <c r="AH72" s="236"/>
      <c r="AI72" s="236"/>
      <c r="AJ72" s="236"/>
      <c r="AK72" s="236"/>
      <c r="AL72" s="236"/>
      <c r="AM72" s="236"/>
      <c r="AN72" s="236"/>
      <c r="AO72" s="236"/>
      <c r="AP72" s="236"/>
      <c r="AQ72" s="236"/>
      <c r="AR72" s="236"/>
      <c r="AS72" s="236"/>
      <c r="AT72" s="369">
        <v>0</v>
      </c>
      <c r="AU72" s="90">
        <f t="shared" ref="AU72:AU135" si="5">SUM(AB72:AS72)</f>
        <v>37359000</v>
      </c>
    </row>
    <row r="73" spans="1:47" ht="34.5" hidden="1" customHeight="1" x14ac:dyDescent="0.25">
      <c r="A73" s="85">
        <v>67</v>
      </c>
      <c r="B73" s="2" t="str">
        <f>+'Base de Datos'!E73</f>
        <v>120000-464-0-2012</v>
      </c>
      <c r="C73" s="2" t="str">
        <f>+'Base de Datos'!F73</f>
        <v>CR TROFEOS LTDA</v>
      </c>
      <c r="D73" s="2">
        <f>+'Base de Datos'!G73</f>
        <v>830100153</v>
      </c>
      <c r="E73" s="2" t="str">
        <f>+'Base de Datos'!H73</f>
        <v>Suministrar elementos de promoción institucional y actos protocolarios del Concejo de Bogotá D.C., de acuerdo a las especificaciones técnicas y en las cantidades solicitadas, de conformidad con lo establecido en la Invitación Pública No. SDH-SMINC-046-2012</v>
      </c>
      <c r="F73" s="12">
        <v>20358000</v>
      </c>
      <c r="G73" s="11">
        <v>41240</v>
      </c>
      <c r="H73" s="67">
        <v>41421</v>
      </c>
      <c r="I73" s="183">
        <v>8062000</v>
      </c>
      <c r="J73" s="359">
        <v>41418</v>
      </c>
      <c r="K73" s="183"/>
      <c r="L73" s="359"/>
      <c r="M73" s="183"/>
      <c r="N73" s="359"/>
      <c r="O73" s="183"/>
      <c r="P73" s="359"/>
      <c r="Q73" s="86">
        <f t="shared" si="3"/>
        <v>8062000</v>
      </c>
      <c r="R73" s="372" t="s">
        <v>381</v>
      </c>
      <c r="S73" s="370">
        <v>41452</v>
      </c>
      <c r="T73" s="372"/>
      <c r="U73" s="370"/>
      <c r="V73" s="372"/>
      <c r="W73" s="370"/>
      <c r="X73" s="372"/>
      <c r="Y73" s="370"/>
      <c r="Z73" s="186" t="s">
        <v>381</v>
      </c>
      <c r="AA73" s="88">
        <f t="shared" si="4"/>
        <v>41452</v>
      </c>
      <c r="AB73" s="236">
        <v>3364000</v>
      </c>
      <c r="AC73" s="236">
        <v>2958000</v>
      </c>
      <c r="AD73" s="236">
        <v>2958000</v>
      </c>
      <c r="AE73" s="236">
        <v>7685000</v>
      </c>
      <c r="AF73" s="236">
        <v>3393000</v>
      </c>
      <c r="AG73" s="236">
        <v>5950800</v>
      </c>
      <c r="AH73" s="236">
        <v>2070600</v>
      </c>
      <c r="AI73" s="236"/>
      <c r="AJ73" s="236"/>
      <c r="AK73" s="236"/>
      <c r="AL73" s="236"/>
      <c r="AM73" s="236"/>
      <c r="AN73" s="236"/>
      <c r="AO73" s="236"/>
      <c r="AP73" s="236"/>
      <c r="AQ73" s="236"/>
      <c r="AR73" s="236"/>
      <c r="AS73" s="236"/>
      <c r="AT73" s="369">
        <v>0</v>
      </c>
      <c r="AU73" s="90">
        <f t="shared" si="5"/>
        <v>28379400</v>
      </c>
    </row>
    <row r="74" spans="1:47" ht="34.5" hidden="1" customHeight="1" x14ac:dyDescent="0.25">
      <c r="A74" s="85">
        <v>68</v>
      </c>
      <c r="B74" s="2" t="str">
        <f>+'Base de Datos'!E74</f>
        <v>120000-466-0-2012</v>
      </c>
      <c r="C74" s="2" t="str">
        <f>+'Base de Datos'!F74</f>
        <v>JARDÍN BOTÁNICO</v>
      </c>
      <c r="D74" s="2">
        <f>+'Base de Datos'!G74</f>
        <v>860030197</v>
      </c>
      <c r="E74" s="2" t="str">
        <f>+'Base de Datos'!H74</f>
        <v>La SDH Y EL JARDÍN BOTÁNICO, se compromete a aunar esfuerzos y recursos técnicos, humanos financieros para realizar actividades de arborización y manejo integral de arboles en el Concejo de Bogotá</v>
      </c>
      <c r="F74" s="12">
        <v>6388708</v>
      </c>
      <c r="G74" s="13">
        <v>41248</v>
      </c>
      <c r="H74" s="65">
        <v>41500</v>
      </c>
      <c r="I74" s="183">
        <v>2648556</v>
      </c>
      <c r="J74" s="359">
        <v>41519</v>
      </c>
      <c r="K74" s="183"/>
      <c r="L74" s="359"/>
      <c r="M74" s="183"/>
      <c r="N74" s="359"/>
      <c r="O74" s="183"/>
      <c r="P74" s="359"/>
      <c r="Q74" s="86">
        <f t="shared" si="3"/>
        <v>2648556</v>
      </c>
      <c r="R74" s="372" t="s">
        <v>1324</v>
      </c>
      <c r="S74" s="370">
        <v>41500</v>
      </c>
      <c r="T74" s="372" t="s">
        <v>1325</v>
      </c>
      <c r="U74" s="370">
        <v>41519</v>
      </c>
      <c r="V74" s="372" t="s">
        <v>378</v>
      </c>
      <c r="W74" s="370">
        <v>41580</v>
      </c>
      <c r="X74" s="372"/>
      <c r="Y74" s="370"/>
      <c r="Z74" s="186" t="s">
        <v>1479</v>
      </c>
      <c r="AA74" s="88">
        <f t="shared" si="4"/>
        <v>41580</v>
      </c>
      <c r="AB74" s="236">
        <v>7492420</v>
      </c>
      <c r="AC74" s="236"/>
      <c r="AD74" s="236"/>
      <c r="AE74" s="236"/>
      <c r="AF74" s="236"/>
      <c r="AG74" s="236"/>
      <c r="AH74" s="236"/>
      <c r="AI74" s="236"/>
      <c r="AJ74" s="236"/>
      <c r="AK74" s="236"/>
      <c r="AL74" s="236"/>
      <c r="AM74" s="236"/>
      <c r="AN74" s="236"/>
      <c r="AO74" s="236"/>
      <c r="AP74" s="236"/>
      <c r="AQ74" s="236"/>
      <c r="AR74" s="236"/>
      <c r="AS74" s="236"/>
      <c r="AT74" s="369">
        <v>0</v>
      </c>
      <c r="AU74" s="90">
        <f t="shared" si="5"/>
        <v>7492420</v>
      </c>
    </row>
    <row r="75" spans="1:47" ht="34.5" hidden="1" customHeight="1" x14ac:dyDescent="0.25">
      <c r="A75" s="85">
        <v>69</v>
      </c>
      <c r="B75" s="2" t="str">
        <f>+'Base de Datos'!E75</f>
        <v>120000-478-0-2012</v>
      </c>
      <c r="C75" s="2" t="str">
        <f>+'Base de Datos'!F75</f>
        <v>CAJA COLOMBIANA DE SUBSIDIO FAMILIAR - COLSUBSIDIO - BONOS</v>
      </c>
      <c r="D75" s="2">
        <f>+'Base de Datos'!G75</f>
        <v>860007336</v>
      </c>
      <c r="E75" s="2" t="str">
        <f>+'Base de Datos'!H75</f>
        <v>Entregar a título de compraventa bonos del Plan de Bienestar para el Concejo de Bogotá D.C. de conformidad con los establecido en el proceso SDJH-SAMC-006-2012 y el anexo Técnico N° 1</v>
      </c>
      <c r="F75" s="3">
        <v>58300000</v>
      </c>
      <c r="G75" s="6">
        <v>41260</v>
      </c>
      <c r="H75" s="64">
        <v>41322</v>
      </c>
      <c r="I75" s="183"/>
      <c r="J75" s="359"/>
      <c r="K75" s="183"/>
      <c r="L75" s="359"/>
      <c r="M75" s="183"/>
      <c r="N75" s="359"/>
      <c r="O75" s="183"/>
      <c r="P75" s="359"/>
      <c r="Q75" s="86">
        <f t="shared" si="3"/>
        <v>0</v>
      </c>
      <c r="R75" s="372"/>
      <c r="S75" s="370"/>
      <c r="T75" s="372"/>
      <c r="U75" s="370"/>
      <c r="V75" s="372"/>
      <c r="W75" s="370"/>
      <c r="X75" s="372"/>
      <c r="Y75" s="370"/>
      <c r="Z75" s="186"/>
      <c r="AA75" s="88">
        <f t="shared" si="4"/>
        <v>0</v>
      </c>
      <c r="AB75" s="236">
        <v>58300000</v>
      </c>
      <c r="AC75" s="236"/>
      <c r="AD75" s="236"/>
      <c r="AE75" s="236"/>
      <c r="AF75" s="236"/>
      <c r="AG75" s="236"/>
      <c r="AH75" s="236"/>
      <c r="AI75" s="236"/>
      <c r="AJ75" s="236"/>
      <c r="AK75" s="236"/>
      <c r="AL75" s="236"/>
      <c r="AM75" s="236"/>
      <c r="AN75" s="236"/>
      <c r="AO75" s="236"/>
      <c r="AP75" s="236"/>
      <c r="AQ75" s="236"/>
      <c r="AR75" s="236"/>
      <c r="AS75" s="236"/>
      <c r="AT75" s="369">
        <v>0</v>
      </c>
      <c r="AU75" s="90">
        <f t="shared" si="5"/>
        <v>58300000</v>
      </c>
    </row>
    <row r="76" spans="1:47" ht="34.5" hidden="1" customHeight="1" x14ac:dyDescent="0.25">
      <c r="A76" s="85">
        <v>70</v>
      </c>
      <c r="B76" s="2" t="str">
        <f>+'Base de Datos'!E76</f>
        <v>120000-483-0-2012</v>
      </c>
      <c r="C76" s="2" t="str">
        <f>+'Base de Datos'!F76</f>
        <v>SERVIMEDIOS LTDA</v>
      </c>
      <c r="D76" s="2">
        <f>+'Base de Datos'!G76</f>
        <v>800045878</v>
      </c>
      <c r="E76" s="2" t="str">
        <f>+'Base de Datos'!H76</f>
        <v>Prestar el servicio integral en comunicación, consistente en el diseño, producción y ejecución de las estrategias de divulgación en medios de comunicación de carácter masivo, alternativo y comunitario al servicio del Concejo de Bogotá D.C., de conformidad con lo establecido en los pliegos de condiciones del proceso No. SDH-SIE-06-2012 y Oferta económica.</v>
      </c>
      <c r="F76" s="12">
        <v>293000000</v>
      </c>
      <c r="G76" s="13">
        <v>41269</v>
      </c>
      <c r="H76" s="65">
        <v>41451</v>
      </c>
      <c r="I76" s="183">
        <v>46000000</v>
      </c>
      <c r="J76" s="359">
        <v>41523</v>
      </c>
      <c r="K76" s="183">
        <v>72000000</v>
      </c>
      <c r="L76" s="359">
        <v>41558</v>
      </c>
      <c r="M76" s="183"/>
      <c r="N76" s="359"/>
      <c r="O76" s="183"/>
      <c r="P76" s="359"/>
      <c r="Q76" s="86">
        <f t="shared" si="3"/>
        <v>118000000</v>
      </c>
      <c r="R76" s="372" t="s">
        <v>964</v>
      </c>
      <c r="S76" s="370">
        <v>41496</v>
      </c>
      <c r="T76" s="372" t="s">
        <v>963</v>
      </c>
      <c r="U76" s="370">
        <v>41517</v>
      </c>
      <c r="V76" s="372" t="s">
        <v>381</v>
      </c>
      <c r="W76" s="370">
        <v>41547</v>
      </c>
      <c r="X76" s="372" t="s">
        <v>978</v>
      </c>
      <c r="Y76" s="370">
        <v>41593</v>
      </c>
      <c r="Z76" s="186" t="s">
        <v>1326</v>
      </c>
      <c r="AA76" s="88">
        <f t="shared" si="4"/>
        <v>41593</v>
      </c>
      <c r="AB76" s="236">
        <v>48743030</v>
      </c>
      <c r="AC76" s="236">
        <v>91760221</v>
      </c>
      <c r="AD76" s="236">
        <v>30850290</v>
      </c>
      <c r="AE76" s="236">
        <v>85977595</v>
      </c>
      <c r="AF76" s="236">
        <v>50643741</v>
      </c>
      <c r="AG76" s="236">
        <v>50643741</v>
      </c>
      <c r="AH76" s="236">
        <v>52381382</v>
      </c>
      <c r="AI76" s="236"/>
      <c r="AJ76" s="236"/>
      <c r="AK76" s="236"/>
      <c r="AL76" s="236"/>
      <c r="AM76" s="236"/>
      <c r="AN76" s="236"/>
      <c r="AO76" s="236"/>
      <c r="AP76" s="236"/>
      <c r="AQ76" s="236"/>
      <c r="AR76" s="236"/>
      <c r="AS76" s="236"/>
      <c r="AT76" s="369">
        <v>0</v>
      </c>
      <c r="AU76" s="90">
        <f t="shared" si="5"/>
        <v>411000000</v>
      </c>
    </row>
    <row r="77" spans="1:47" ht="34.5" hidden="1" customHeight="1" x14ac:dyDescent="0.25">
      <c r="A77" s="85">
        <v>71</v>
      </c>
      <c r="B77" s="2" t="str">
        <f>+'Base de Datos'!E77</f>
        <v>120000-490-0-2012</v>
      </c>
      <c r="C77" s="2" t="str">
        <f>+'Base de Datos'!F77</f>
        <v>SISTEMAS INTEGRALES DE TRATAMIENTOS DE AGUAS LTDA - ACUANATURA</v>
      </c>
      <c r="D77" s="2">
        <f>+'Base de Datos'!G77</f>
        <v>830050320</v>
      </c>
      <c r="E77" s="2" t="str">
        <f>+'Base de Datos'!H77</f>
        <v>Realizar el mantenimiento preventivo y correctivo (con suministro de repuestos) a las plantas purificadoras y dispensadores de agua del Concejo de Bogotá, D.C., de conformidad con la Invitación Pública del proceso de Selección de Mínima Cuantía No. SDH-SMINC-054-2012.</v>
      </c>
      <c r="F77" s="3">
        <v>10032000</v>
      </c>
      <c r="G77" s="6">
        <v>41271</v>
      </c>
      <c r="H77" s="64">
        <v>41514</v>
      </c>
      <c r="I77" s="183"/>
      <c r="J77" s="359"/>
      <c r="K77" s="183"/>
      <c r="L77" s="359"/>
      <c r="M77" s="183"/>
      <c r="N77" s="359"/>
      <c r="O77" s="183"/>
      <c r="P77" s="359"/>
      <c r="Q77" s="86">
        <f t="shared" si="3"/>
        <v>0</v>
      </c>
      <c r="R77" s="372" t="s">
        <v>378</v>
      </c>
      <c r="S77" s="370">
        <v>41575</v>
      </c>
      <c r="T77" s="372"/>
      <c r="U77" s="370"/>
      <c r="V77" s="372"/>
      <c r="W77" s="370"/>
      <c r="X77" s="372"/>
      <c r="Y77" s="370"/>
      <c r="Z77" s="186" t="s">
        <v>378</v>
      </c>
      <c r="AA77" s="88">
        <f t="shared" si="4"/>
        <v>41575</v>
      </c>
      <c r="AB77" s="236">
        <v>2425641</v>
      </c>
      <c r="AC77" s="236">
        <v>1209953</v>
      </c>
      <c r="AD77" s="236">
        <v>1846379</v>
      </c>
      <c r="AE77" s="236">
        <v>1601478</v>
      </c>
      <c r="AF77" s="236">
        <v>2256479</v>
      </c>
      <c r="AG77" s="236"/>
      <c r="AH77" s="236"/>
      <c r="AI77" s="236"/>
      <c r="AJ77" s="236"/>
      <c r="AK77" s="236"/>
      <c r="AL77" s="236"/>
      <c r="AM77" s="236"/>
      <c r="AN77" s="236"/>
      <c r="AO77" s="236"/>
      <c r="AP77" s="236"/>
      <c r="AQ77" s="236"/>
      <c r="AR77" s="236"/>
      <c r="AS77" s="236"/>
      <c r="AT77" s="369">
        <v>0</v>
      </c>
      <c r="AU77" s="90">
        <f t="shared" si="5"/>
        <v>9339930</v>
      </c>
    </row>
    <row r="78" spans="1:47" ht="34.5" hidden="1" customHeight="1" thickBot="1" x14ac:dyDescent="0.3">
      <c r="A78" s="85">
        <v>72</v>
      </c>
      <c r="B78" s="2" t="str">
        <f>+'Base de Datos'!E78</f>
        <v>120000-494-0-2012</v>
      </c>
      <c r="C78" s="2" t="str">
        <f>+'Base de Datos'!F78</f>
        <v>DIRECTV COLOMBIA LTDA</v>
      </c>
      <c r="D78" s="2">
        <f>+'Base de Datos'!G78</f>
        <v>805006014</v>
      </c>
      <c r="E78" s="2" t="str">
        <f>+'Base de Datos'!H78</f>
        <v>Suscripción al Sistema de Televisión Satelital para ser instalado en la sede del Concejo de Bogotá, D.C</v>
      </c>
      <c r="F78" s="3">
        <v>1633200</v>
      </c>
      <c r="G78" s="4">
        <v>41288</v>
      </c>
      <c r="H78" s="66">
        <v>41652</v>
      </c>
      <c r="I78" s="183">
        <v>285000</v>
      </c>
      <c r="J78" s="359">
        <v>41652</v>
      </c>
      <c r="K78" s="183"/>
      <c r="L78" s="359"/>
      <c r="M78" s="183"/>
      <c r="N78" s="359"/>
      <c r="O78" s="183"/>
      <c r="P78" s="359"/>
      <c r="Q78" s="86">
        <f t="shared" si="3"/>
        <v>285000</v>
      </c>
      <c r="R78" s="372" t="s">
        <v>378</v>
      </c>
      <c r="S78" s="370">
        <v>41711</v>
      </c>
      <c r="T78" s="372"/>
      <c r="U78" s="370"/>
      <c r="V78" s="372"/>
      <c r="W78" s="370"/>
      <c r="X78" s="372"/>
      <c r="Y78" s="370"/>
      <c r="Z78" s="379" t="s">
        <v>378</v>
      </c>
      <c r="AA78" s="88">
        <f t="shared" si="4"/>
        <v>41711</v>
      </c>
      <c r="AB78" s="236">
        <v>1535208</v>
      </c>
      <c r="AC78" s="236">
        <v>219962</v>
      </c>
      <c r="AD78" s="236"/>
      <c r="AE78" s="236"/>
      <c r="AF78" s="236"/>
      <c r="AG78" s="236"/>
      <c r="AH78" s="236"/>
      <c r="AI78" s="236"/>
      <c r="AJ78" s="236"/>
      <c r="AK78" s="236"/>
      <c r="AL78" s="236"/>
      <c r="AM78" s="236"/>
      <c r="AN78" s="236"/>
      <c r="AO78" s="236"/>
      <c r="AP78" s="236"/>
      <c r="AQ78" s="236"/>
      <c r="AR78" s="236"/>
      <c r="AS78" s="236"/>
      <c r="AT78" s="369">
        <v>0</v>
      </c>
      <c r="AU78" s="90">
        <f t="shared" si="5"/>
        <v>1755170</v>
      </c>
    </row>
    <row r="79" spans="1:47" ht="34.5" hidden="1" customHeight="1" thickBot="1" x14ac:dyDescent="0.3">
      <c r="A79" s="85">
        <v>73</v>
      </c>
      <c r="B79" s="2" t="str">
        <f>+'Base de Datos'!E79</f>
        <v>130326-0-2013</v>
      </c>
      <c r="C79" s="2" t="str">
        <f>+'Base de Datos'!F79</f>
        <v>INSTITUTO DISTRITAL DEL PATRIMONIO CULTURAL - IDCP</v>
      </c>
      <c r="D79" s="2">
        <f>+'Base de Datos'!G79</f>
        <v>860506170</v>
      </c>
      <c r="E79" s="2" t="str">
        <f>+'Base de Datos'!H79</f>
        <v xml:space="preserve">Aunar esfuerzos técnicos, humanos y financieros para la intervención y realización de las actividades asociadas a la restauración - conservación de los bienes de carácter patrimonial del Honorable Concejo de Bogotá, D.C., fase II, que incluye los bienes en el segundo orden de prioridad para restauración. </v>
      </c>
      <c r="F79" s="8">
        <v>398614000</v>
      </c>
      <c r="G79" s="6">
        <v>41864</v>
      </c>
      <c r="H79" s="64">
        <v>42107</v>
      </c>
      <c r="I79" s="183"/>
      <c r="J79" s="359"/>
      <c r="K79" s="183"/>
      <c r="L79" s="359"/>
      <c r="M79" s="183"/>
      <c r="N79" s="359"/>
      <c r="O79" s="183"/>
      <c r="P79" s="359"/>
      <c r="Q79" s="86">
        <f t="shared" si="3"/>
        <v>0</v>
      </c>
      <c r="R79" s="372" t="s">
        <v>1378</v>
      </c>
      <c r="S79" s="370">
        <v>42321</v>
      </c>
      <c r="T79" s="372"/>
      <c r="U79" s="370"/>
      <c r="V79" s="372"/>
      <c r="W79" s="370"/>
      <c r="X79" s="372"/>
      <c r="Y79" s="370"/>
      <c r="Z79" s="380" t="s">
        <v>1378</v>
      </c>
      <c r="AA79" s="88">
        <f t="shared" si="4"/>
        <v>42321</v>
      </c>
      <c r="AB79" s="236">
        <v>398614000</v>
      </c>
      <c r="AC79" s="236"/>
      <c r="AD79" s="236"/>
      <c r="AE79" s="236"/>
      <c r="AF79" s="236"/>
      <c r="AG79" s="236"/>
      <c r="AH79" s="236"/>
      <c r="AI79" s="236"/>
      <c r="AJ79" s="236"/>
      <c r="AK79" s="236"/>
      <c r="AL79" s="236"/>
      <c r="AM79" s="236"/>
      <c r="AN79" s="236"/>
      <c r="AO79" s="236"/>
      <c r="AP79" s="236"/>
      <c r="AQ79" s="236"/>
      <c r="AR79" s="236"/>
      <c r="AS79" s="236"/>
      <c r="AT79" s="369">
        <v>41954</v>
      </c>
      <c r="AU79" s="90">
        <f t="shared" si="5"/>
        <v>398614000</v>
      </c>
    </row>
    <row r="80" spans="1:47" ht="34.5" hidden="1" customHeight="1" x14ac:dyDescent="0.25">
      <c r="A80" s="85">
        <v>74</v>
      </c>
      <c r="B80" s="2" t="str">
        <f>+'Base de Datos'!E80</f>
        <v>120000-521-0-2012</v>
      </c>
      <c r="C80" s="2" t="str">
        <f>+'Base de Datos'!F80</f>
        <v>INFOSOURCES LTDA</v>
      </c>
      <c r="D80" s="2">
        <f>+'Base de Datos'!G80</f>
        <v>900006611</v>
      </c>
      <c r="E80" s="2" t="str">
        <f>+'Base de Datos'!H80</f>
        <v>Adquirir a título de compra el  libro memorias y luchas urbanas por el derecho a una vida digna, autor Doctor Álvaro Oviedo Hernández, de conformidad con lo establecido en la Invitación Pública SDH-SMINC-59-2012.</v>
      </c>
      <c r="F80" s="3">
        <v>1062500</v>
      </c>
      <c r="G80" s="4">
        <v>41292</v>
      </c>
      <c r="H80" s="66">
        <v>41350</v>
      </c>
      <c r="I80" s="183"/>
      <c r="J80" s="359"/>
      <c r="K80" s="183"/>
      <c r="L80" s="359"/>
      <c r="M80" s="183"/>
      <c r="N80" s="359"/>
      <c r="O80" s="183"/>
      <c r="P80" s="359"/>
      <c r="Q80" s="86">
        <f t="shared" si="3"/>
        <v>0</v>
      </c>
      <c r="R80" s="372"/>
      <c r="S80" s="370"/>
      <c r="T80" s="372"/>
      <c r="U80" s="370"/>
      <c r="V80" s="372"/>
      <c r="W80" s="370"/>
      <c r="X80" s="372"/>
      <c r="Y80" s="370"/>
      <c r="Z80" s="381"/>
      <c r="AA80" s="88">
        <f t="shared" si="4"/>
        <v>0</v>
      </c>
      <c r="AB80" s="236">
        <v>1062500</v>
      </c>
      <c r="AC80" s="236"/>
      <c r="AD80" s="236"/>
      <c r="AE80" s="236"/>
      <c r="AF80" s="236"/>
      <c r="AG80" s="236"/>
      <c r="AH80" s="236"/>
      <c r="AI80" s="236"/>
      <c r="AJ80" s="236"/>
      <c r="AK80" s="236"/>
      <c r="AL80" s="236"/>
      <c r="AM80" s="236"/>
      <c r="AN80" s="236"/>
      <c r="AO80" s="236"/>
      <c r="AP80" s="236"/>
      <c r="AQ80" s="236"/>
      <c r="AR80" s="236"/>
      <c r="AS80" s="236"/>
      <c r="AT80" s="369">
        <v>0</v>
      </c>
      <c r="AU80" s="90">
        <f t="shared" si="5"/>
        <v>1062500</v>
      </c>
    </row>
    <row r="81" spans="1:49" ht="34.5" hidden="1" customHeight="1" x14ac:dyDescent="0.25">
      <c r="A81" s="85">
        <v>75</v>
      </c>
      <c r="B81" s="2" t="str">
        <f>+'Base de Datos'!E81</f>
        <v>120000-523-0-2012</v>
      </c>
      <c r="C81" s="2" t="str">
        <f>+'Base de Datos'!F81</f>
        <v>DB SYSTEM LTDA</v>
      </c>
      <c r="D81" s="2">
        <f>+'Base de Datos'!G81</f>
        <v>830039811</v>
      </c>
      <c r="E81" s="2" t="str">
        <f>+'Base de Datos'!H81</f>
        <v>Contratar los servicios de mantenimiento, soporte técnico especializado, administración, seguridad y comunicaciones de las plataformas Oracle y Microsoft del Concejo de Bogotá, de conformidad con lo establecido en el pliego de condiciones y los anexos del proceso de selección abreviada de menor cuantía N° SDH-SAMC-016-2012</v>
      </c>
      <c r="F81" s="3">
        <v>80074800</v>
      </c>
      <c r="G81" s="6">
        <v>41313</v>
      </c>
      <c r="H81" s="64">
        <v>41585</v>
      </c>
      <c r="I81" s="373">
        <v>35588800</v>
      </c>
      <c r="J81" s="359"/>
      <c r="K81" s="183"/>
      <c r="L81" s="359"/>
      <c r="M81" s="183"/>
      <c r="N81" s="359"/>
      <c r="O81" s="183"/>
      <c r="P81" s="359"/>
      <c r="Q81" s="86">
        <f t="shared" si="3"/>
        <v>35588800</v>
      </c>
      <c r="R81" s="372" t="s">
        <v>381</v>
      </c>
      <c r="S81" s="370">
        <v>41736</v>
      </c>
      <c r="T81" s="372"/>
      <c r="U81" s="370"/>
      <c r="V81" s="372"/>
      <c r="W81" s="370"/>
      <c r="X81" s="372"/>
      <c r="Y81" s="370"/>
      <c r="Z81" s="186" t="s">
        <v>381</v>
      </c>
      <c r="AA81" s="88">
        <f t="shared" si="4"/>
        <v>41736</v>
      </c>
      <c r="AB81" s="236">
        <v>26691000</v>
      </c>
      <c r="AC81" s="236">
        <v>17794400</v>
      </c>
      <c r="AD81" s="236">
        <v>26691600</v>
      </c>
      <c r="AE81" s="236">
        <v>26691600</v>
      </c>
      <c r="AF81" s="236">
        <v>17794440</v>
      </c>
      <c r="AG81" s="236"/>
      <c r="AH81" s="236"/>
      <c r="AI81" s="236"/>
      <c r="AJ81" s="236"/>
      <c r="AK81" s="236"/>
      <c r="AL81" s="236"/>
      <c r="AM81" s="236"/>
      <c r="AN81" s="236"/>
      <c r="AO81" s="236"/>
      <c r="AP81" s="236"/>
      <c r="AQ81" s="236"/>
      <c r="AR81" s="236"/>
      <c r="AS81" s="236"/>
      <c r="AT81" s="369">
        <v>0</v>
      </c>
      <c r="AU81" s="90">
        <f t="shared" si="5"/>
        <v>115663040</v>
      </c>
    </row>
    <row r="82" spans="1:49" ht="34.5" hidden="1" customHeight="1" x14ac:dyDescent="0.25">
      <c r="A82" s="85">
        <v>76</v>
      </c>
      <c r="B82" s="2" t="str">
        <f>+'Base de Datos'!E82</f>
        <v>120000-453-0-2012</v>
      </c>
      <c r="C82" s="2" t="str">
        <f>+'Base de Datos'!F82</f>
        <v>HERNANDO  BULLA ORJUELA</v>
      </c>
      <c r="D82" s="2">
        <f>+'Base de Datos'!G82</f>
        <v>4831</v>
      </c>
      <c r="E82" s="2" t="str">
        <f>+'Base de Datos'!H82</f>
        <v>Prestación del servicio de mantenimiento correctivo con suministro de repuestos de los automotores marca CHEVROLET al servicio del Concejo de Bogotá.</v>
      </c>
      <c r="F82" s="12">
        <v>13806000</v>
      </c>
      <c r="G82" s="11">
        <v>41278</v>
      </c>
      <c r="H82" s="67">
        <v>41429</v>
      </c>
      <c r="I82" s="183"/>
      <c r="J82" s="359"/>
      <c r="K82" s="183"/>
      <c r="L82" s="359"/>
      <c r="M82" s="183"/>
      <c r="N82" s="359"/>
      <c r="O82" s="183"/>
      <c r="P82" s="359"/>
      <c r="Q82" s="86">
        <f t="shared" si="3"/>
        <v>0</v>
      </c>
      <c r="R82" s="372" t="s">
        <v>381</v>
      </c>
      <c r="S82" s="370">
        <v>41459</v>
      </c>
      <c r="T82" s="372"/>
      <c r="U82" s="370"/>
      <c r="V82" s="372"/>
      <c r="W82" s="370"/>
      <c r="X82" s="372"/>
      <c r="Y82" s="370"/>
      <c r="Z82" s="186" t="s">
        <v>381</v>
      </c>
      <c r="AA82" s="88">
        <f t="shared" si="4"/>
        <v>41459</v>
      </c>
      <c r="AB82" s="236">
        <v>1278358</v>
      </c>
      <c r="AC82" s="236">
        <v>1861402</v>
      </c>
      <c r="AD82" s="236">
        <v>2768737</v>
      </c>
      <c r="AE82" s="236">
        <v>1583227</v>
      </c>
      <c r="AF82" s="236">
        <v>3769825</v>
      </c>
      <c r="AG82" s="236">
        <v>1177559</v>
      </c>
      <c r="AH82" s="236"/>
      <c r="AI82" s="236"/>
      <c r="AJ82" s="236"/>
      <c r="AK82" s="236"/>
      <c r="AL82" s="236"/>
      <c r="AM82" s="236"/>
      <c r="AN82" s="236"/>
      <c r="AO82" s="236"/>
      <c r="AP82" s="236"/>
      <c r="AQ82" s="236"/>
      <c r="AR82" s="236"/>
      <c r="AS82" s="236"/>
      <c r="AT82" s="369">
        <v>0</v>
      </c>
      <c r="AU82" s="90">
        <f t="shared" si="5"/>
        <v>12439108</v>
      </c>
    </row>
    <row r="83" spans="1:49" ht="34.5" hidden="1" customHeight="1" x14ac:dyDescent="0.25">
      <c r="A83" s="85">
        <v>77</v>
      </c>
      <c r="B83" s="2" t="str">
        <f>+'Base de Datos'!E83</f>
        <v>120000-504-0-2012</v>
      </c>
      <c r="C83" s="2" t="str">
        <f>+'Base de Datos'!F83</f>
        <v>PAPELERÍA  LOS  LAGOS  LTDA</v>
      </c>
      <c r="D83" s="2">
        <f>+'Base de Datos'!G83</f>
        <v>860053274</v>
      </c>
      <c r="E83" s="2" t="str">
        <f>+'Base de Datos'!H83</f>
        <v xml:space="preserve">Suministrar papelería y útiles de escritorio por el sistema de precios unitarios fijos, en la modalidad de proveeduría integral (outsourcing) para el Concejo de Bogotá D.C., de conformidad con los requerimientos establecidos en el pliego de condiciones y </v>
      </c>
      <c r="F83" s="3">
        <v>59046000</v>
      </c>
      <c r="G83" s="4">
        <v>41292</v>
      </c>
      <c r="H83" s="66">
        <v>41442</v>
      </c>
      <c r="I83" s="183">
        <v>20167111</v>
      </c>
      <c r="J83" s="359">
        <v>41570</v>
      </c>
      <c r="K83" s="183"/>
      <c r="L83" s="359"/>
      <c r="M83" s="183"/>
      <c r="N83" s="359"/>
      <c r="O83" s="183"/>
      <c r="P83" s="359"/>
      <c r="Q83" s="86">
        <f t="shared" si="3"/>
        <v>20167111</v>
      </c>
      <c r="R83" s="372" t="s">
        <v>544</v>
      </c>
      <c r="S83" s="370">
        <v>41595</v>
      </c>
      <c r="T83" s="372" t="s">
        <v>1327</v>
      </c>
      <c r="U83" s="370">
        <v>41608</v>
      </c>
      <c r="V83" s="372"/>
      <c r="W83" s="370"/>
      <c r="X83" s="372"/>
      <c r="Y83" s="370"/>
      <c r="Z83" s="186" t="s">
        <v>1328</v>
      </c>
      <c r="AA83" s="88">
        <f t="shared" si="4"/>
        <v>41608</v>
      </c>
      <c r="AB83" s="236">
        <v>23357667</v>
      </c>
      <c r="AC83" s="236">
        <v>4553030</v>
      </c>
      <c r="AD83" s="236">
        <v>14167536</v>
      </c>
      <c r="AE83" s="236">
        <v>11582106</v>
      </c>
      <c r="AF83" s="236">
        <v>11469461</v>
      </c>
      <c r="AG83" s="236"/>
      <c r="AH83" s="236"/>
      <c r="AI83" s="236"/>
      <c r="AJ83" s="236"/>
      <c r="AK83" s="236"/>
      <c r="AL83" s="236"/>
      <c r="AM83" s="236"/>
      <c r="AN83" s="236"/>
      <c r="AO83" s="236"/>
      <c r="AP83" s="236"/>
      <c r="AQ83" s="236"/>
      <c r="AR83" s="236"/>
      <c r="AS83" s="236"/>
      <c r="AT83" s="369">
        <v>0</v>
      </c>
      <c r="AU83" s="90">
        <f t="shared" si="5"/>
        <v>65129800</v>
      </c>
      <c r="AW83" s="414">
        <f>AW20-AU20</f>
        <v>0</v>
      </c>
    </row>
    <row r="84" spans="1:49" ht="34.5" hidden="1" customHeight="1" x14ac:dyDescent="0.25">
      <c r="A84" s="85">
        <v>78</v>
      </c>
      <c r="B84" s="2" t="str">
        <f>+'Base de Datos'!E84</f>
        <v>120000-507-0-2012</v>
      </c>
      <c r="C84" s="2" t="str">
        <f>+'Base de Datos'!F84</f>
        <v>CAJA DE COMPENSACIÓN FAMILIAR COMPENSAR</v>
      </c>
      <c r="D84" s="2">
        <f>+'Base de Datos'!G84</f>
        <v>860066942</v>
      </c>
      <c r="E84" s="2" t="str">
        <f>+'Base de Datos'!H84</f>
        <v>Prestar los servicios integrales para desarrollar las actividades contenidas en los planes de bienestar e incentivos del Concejo de Bogotá, de conformidad con lo establecido en el pliego de condiciones del Proceso de Selección de Menor Cuantía SDH-SAMC-00</v>
      </c>
      <c r="F84" s="12">
        <v>49500000</v>
      </c>
      <c r="G84" s="11">
        <v>41325</v>
      </c>
      <c r="H84" s="67">
        <v>41505</v>
      </c>
      <c r="I84" s="183">
        <v>25746412</v>
      </c>
      <c r="J84" s="359">
        <v>41401</v>
      </c>
      <c r="K84" s="183"/>
      <c r="L84" s="359"/>
      <c r="M84" s="183"/>
      <c r="N84" s="359"/>
      <c r="O84" s="183"/>
      <c r="P84" s="359"/>
      <c r="Q84" s="86">
        <f t="shared" si="3"/>
        <v>25746412</v>
      </c>
      <c r="R84" s="372"/>
      <c r="S84" s="370"/>
      <c r="T84" s="372"/>
      <c r="U84" s="370"/>
      <c r="V84" s="372"/>
      <c r="W84" s="370"/>
      <c r="X84" s="372"/>
      <c r="Y84" s="370"/>
      <c r="Z84" s="186"/>
      <c r="AA84" s="88">
        <f t="shared" si="4"/>
        <v>0</v>
      </c>
      <c r="AB84" s="236">
        <v>14277976</v>
      </c>
      <c r="AC84" s="236">
        <v>14378924</v>
      </c>
      <c r="AD84" s="236">
        <v>12899689</v>
      </c>
      <c r="AE84" s="236">
        <v>33676115</v>
      </c>
      <c r="AF84" s="236"/>
      <c r="AG84" s="236"/>
      <c r="AH84" s="236"/>
      <c r="AI84" s="236"/>
      <c r="AJ84" s="236"/>
      <c r="AK84" s="236"/>
      <c r="AL84" s="236"/>
      <c r="AM84" s="236"/>
      <c r="AN84" s="236"/>
      <c r="AO84" s="236"/>
      <c r="AP84" s="236"/>
      <c r="AQ84" s="236"/>
      <c r="AR84" s="236"/>
      <c r="AS84" s="236"/>
      <c r="AT84" s="369">
        <v>0</v>
      </c>
      <c r="AU84" s="90">
        <f t="shared" si="5"/>
        <v>75232704</v>
      </c>
    </row>
    <row r="85" spans="1:49" ht="34.5" hidden="1" customHeight="1" x14ac:dyDescent="0.25">
      <c r="A85" s="85">
        <v>79</v>
      </c>
      <c r="B85" s="2" t="str">
        <f>+'Base de Datos'!E85</f>
        <v>120000-525-0-2012</v>
      </c>
      <c r="C85" s="2" t="str">
        <f>+'Base de Datos'!F85</f>
        <v>GAMMA INGENIEROS S A</v>
      </c>
      <c r="D85" s="2">
        <f>+'Base de Datos'!G85</f>
        <v>891501783</v>
      </c>
      <c r="E85" s="2" t="str">
        <f>+'Base de Datos'!H85</f>
        <v>Adquisición de un sistema de control de contenidos para el Concejo de Bogotá</v>
      </c>
      <c r="F85" s="3">
        <v>36990000</v>
      </c>
      <c r="G85" s="4">
        <v>41323</v>
      </c>
      <c r="H85" s="66">
        <v>41442</v>
      </c>
      <c r="I85" s="183"/>
      <c r="J85" s="359"/>
      <c r="K85" s="183"/>
      <c r="L85" s="359"/>
      <c r="M85" s="183"/>
      <c r="N85" s="359"/>
      <c r="O85" s="183"/>
      <c r="P85" s="359"/>
      <c r="Q85" s="86">
        <f t="shared" si="3"/>
        <v>0</v>
      </c>
      <c r="R85" s="372"/>
      <c r="S85" s="370"/>
      <c r="T85" s="372"/>
      <c r="U85" s="370"/>
      <c r="V85" s="372"/>
      <c r="W85" s="370"/>
      <c r="X85" s="372"/>
      <c r="Y85" s="370"/>
      <c r="Z85" s="186"/>
      <c r="AA85" s="88">
        <f t="shared" si="4"/>
        <v>0</v>
      </c>
      <c r="AB85" s="236">
        <v>18495000</v>
      </c>
      <c r="AC85" s="236">
        <v>18495000</v>
      </c>
      <c r="AD85" s="236"/>
      <c r="AE85" s="236"/>
      <c r="AF85" s="236"/>
      <c r="AG85" s="236"/>
      <c r="AH85" s="236"/>
      <c r="AI85" s="236"/>
      <c r="AJ85" s="236"/>
      <c r="AK85" s="236"/>
      <c r="AL85" s="236"/>
      <c r="AM85" s="236"/>
      <c r="AN85" s="236"/>
      <c r="AO85" s="236"/>
      <c r="AP85" s="236"/>
      <c r="AQ85" s="236"/>
      <c r="AR85" s="236"/>
      <c r="AS85" s="236"/>
      <c r="AT85" s="369">
        <v>0</v>
      </c>
      <c r="AU85" s="90">
        <f t="shared" si="5"/>
        <v>36990000</v>
      </c>
    </row>
    <row r="86" spans="1:49" ht="34.5" hidden="1" customHeight="1" thickBot="1" x14ac:dyDescent="0.3">
      <c r="A86" s="85">
        <v>80</v>
      </c>
      <c r="B86" s="2" t="str">
        <f>+'Base de Datos'!E86</f>
        <v>120000-535-0-2012</v>
      </c>
      <c r="C86" s="2" t="str">
        <f>+'Base de Datos'!F86</f>
        <v>CONTROLES EMPRESARIALES LTDA</v>
      </c>
      <c r="D86" s="2">
        <f>+'Base de Datos'!G86</f>
        <v>800058607</v>
      </c>
      <c r="E86" s="2" t="str">
        <f>+'Base de Datos'!H86</f>
        <v>Adquisición de licencias Exchange, licencias directorio activo Windows Server, para el Concejo de Bogotá  D.C.</v>
      </c>
      <c r="F86" s="3">
        <v>85314724</v>
      </c>
      <c r="G86" s="4">
        <v>41316</v>
      </c>
      <c r="H86" s="66">
        <v>41680</v>
      </c>
      <c r="I86" s="183"/>
      <c r="J86" s="359"/>
      <c r="K86" s="183"/>
      <c r="L86" s="359"/>
      <c r="M86" s="183"/>
      <c r="N86" s="359"/>
      <c r="O86" s="183"/>
      <c r="P86" s="359"/>
      <c r="Q86" s="86">
        <f t="shared" si="3"/>
        <v>0</v>
      </c>
      <c r="R86" s="372"/>
      <c r="S86" s="370"/>
      <c r="T86" s="372"/>
      <c r="U86" s="370"/>
      <c r="V86" s="372"/>
      <c r="W86" s="370"/>
      <c r="X86" s="372"/>
      <c r="Y86" s="370"/>
      <c r="Z86" s="379"/>
      <c r="AA86" s="88">
        <f t="shared" si="4"/>
        <v>0</v>
      </c>
      <c r="AB86" s="236">
        <v>85314724</v>
      </c>
      <c r="AC86" s="236"/>
      <c r="AD86" s="236"/>
      <c r="AE86" s="236"/>
      <c r="AF86" s="236"/>
      <c r="AG86" s="236"/>
      <c r="AH86" s="236"/>
      <c r="AI86" s="236"/>
      <c r="AJ86" s="236"/>
      <c r="AK86" s="236"/>
      <c r="AL86" s="236"/>
      <c r="AM86" s="236"/>
      <c r="AN86" s="236"/>
      <c r="AO86" s="236"/>
      <c r="AP86" s="236"/>
      <c r="AQ86" s="236"/>
      <c r="AR86" s="236"/>
      <c r="AS86" s="236"/>
      <c r="AT86" s="369">
        <v>0</v>
      </c>
      <c r="AU86" s="90">
        <f t="shared" si="5"/>
        <v>85314724</v>
      </c>
    </row>
    <row r="87" spans="1:49" ht="34.5" hidden="1" customHeight="1" x14ac:dyDescent="0.25">
      <c r="A87" s="85">
        <v>81</v>
      </c>
      <c r="B87" s="2" t="str">
        <f>+'Base de Datos'!E87</f>
        <v>130019-0-2013</v>
      </c>
      <c r="C87" s="2" t="str">
        <f>+'Base de Datos'!F87</f>
        <v>NEWNET S.A</v>
      </c>
      <c r="D87" s="2">
        <f>+'Base de Datos'!G87</f>
        <v>830017209</v>
      </c>
      <c r="E87" s="2" t="str">
        <f>+'Base de Datos'!H87</f>
        <v>Adquisición de licencias e implementación del Software para la gestión de la mesa de ayuda de la TIC'S para el Concejo de Bogotá D.C., de conformidad con lo establecido en pliego de condiciones del proceso de selección No. SDH -SIE-12-2012, y la propuesta presentada por el contratista.</v>
      </c>
      <c r="F87" s="3">
        <v>123000000</v>
      </c>
      <c r="G87" s="4">
        <v>41319</v>
      </c>
      <c r="H87" s="66">
        <v>41683</v>
      </c>
      <c r="I87" s="183"/>
      <c r="J87" s="359"/>
      <c r="K87" s="183"/>
      <c r="L87" s="359"/>
      <c r="M87" s="183"/>
      <c r="N87" s="359"/>
      <c r="O87" s="183"/>
      <c r="P87" s="359"/>
      <c r="Q87" s="86">
        <f t="shared" si="3"/>
        <v>0</v>
      </c>
      <c r="R87" s="372"/>
      <c r="S87" s="370"/>
      <c r="T87" s="372"/>
      <c r="U87" s="370"/>
      <c r="V87" s="372"/>
      <c r="W87" s="370"/>
      <c r="X87" s="372"/>
      <c r="Y87" s="370"/>
      <c r="Z87" s="382"/>
      <c r="AA87" s="88">
        <f t="shared" si="4"/>
        <v>0</v>
      </c>
      <c r="AB87" s="236">
        <v>86100000</v>
      </c>
      <c r="AC87" s="236">
        <v>36900000</v>
      </c>
      <c r="AD87" s="236"/>
      <c r="AE87" s="236"/>
      <c r="AF87" s="236"/>
      <c r="AG87" s="236"/>
      <c r="AH87" s="236"/>
      <c r="AI87" s="236"/>
      <c r="AJ87" s="236"/>
      <c r="AK87" s="236"/>
      <c r="AL87" s="236"/>
      <c r="AM87" s="236"/>
      <c r="AN87" s="236"/>
      <c r="AO87" s="236"/>
      <c r="AP87" s="236"/>
      <c r="AQ87" s="236"/>
      <c r="AR87" s="236"/>
      <c r="AS87" s="236"/>
      <c r="AT87" s="369">
        <v>0</v>
      </c>
      <c r="AU87" s="90">
        <f t="shared" si="5"/>
        <v>123000000</v>
      </c>
    </row>
    <row r="88" spans="1:49" ht="34.5" hidden="1" customHeight="1" x14ac:dyDescent="0.25">
      <c r="A88" s="85">
        <v>82</v>
      </c>
      <c r="B88" s="2" t="str">
        <f>+'Base de Datos'!E88</f>
        <v>130023-0-2013</v>
      </c>
      <c r="C88" s="2" t="str">
        <f>+'Base de Datos'!F88</f>
        <v xml:space="preserve">AMBICOL SERVICES S.A.S. </v>
      </c>
      <c r="D88" s="2">
        <f>+'Base de Datos'!G88</f>
        <v>900241832</v>
      </c>
      <c r="E88" s="2" t="str">
        <f>+'Base de Datos'!H88</f>
        <v>Prestar el servicio integral a todo costo de desinsectación, desinfección y desratización, para el control o manejo integrado de plagas en las instalaciones de la Secretaria de Hacienda, zonas comunes del Centro Administrativo Distrital CAD y el Concejo de Bogotá.</v>
      </c>
      <c r="F88" s="3">
        <v>1113600</v>
      </c>
      <c r="G88" s="4">
        <v>41347</v>
      </c>
      <c r="H88" s="66">
        <v>41711</v>
      </c>
      <c r="I88" s="183"/>
      <c r="J88" s="359"/>
      <c r="K88" s="183"/>
      <c r="L88" s="359"/>
      <c r="M88" s="183"/>
      <c r="N88" s="359"/>
      <c r="O88" s="183"/>
      <c r="P88" s="359"/>
      <c r="Q88" s="86">
        <f t="shared" si="3"/>
        <v>0</v>
      </c>
      <c r="R88" s="372"/>
      <c r="S88" s="370"/>
      <c r="T88" s="372"/>
      <c r="U88" s="370"/>
      <c r="V88" s="372"/>
      <c r="W88" s="370"/>
      <c r="X88" s="372"/>
      <c r="Y88" s="370"/>
      <c r="Z88" s="186"/>
      <c r="AA88" s="88">
        <f t="shared" si="4"/>
        <v>0</v>
      </c>
      <c r="AB88" s="236">
        <v>487200</v>
      </c>
      <c r="AC88" s="236">
        <v>626400</v>
      </c>
      <c r="AD88" s="236"/>
      <c r="AE88" s="236"/>
      <c r="AF88" s="236"/>
      <c r="AG88" s="236"/>
      <c r="AH88" s="236"/>
      <c r="AI88" s="236"/>
      <c r="AJ88" s="236"/>
      <c r="AK88" s="236"/>
      <c r="AL88" s="236"/>
      <c r="AM88" s="236"/>
      <c r="AN88" s="236"/>
      <c r="AO88" s="236"/>
      <c r="AP88" s="236"/>
      <c r="AQ88" s="236"/>
      <c r="AR88" s="236"/>
      <c r="AS88" s="236"/>
      <c r="AT88" s="369">
        <v>0</v>
      </c>
      <c r="AU88" s="90">
        <f t="shared" si="5"/>
        <v>1113600</v>
      </c>
    </row>
    <row r="89" spans="1:49" ht="34.5" hidden="1" customHeight="1" x14ac:dyDescent="0.25">
      <c r="A89" s="85">
        <v>83</v>
      </c>
      <c r="B89" s="2" t="str">
        <f>+'Base de Datos'!E89</f>
        <v>130036-0-2013</v>
      </c>
      <c r="C89" s="2" t="str">
        <f>+'Base de Datos'!F89</f>
        <v>SYSTEM NET INGENIERÍA LTDA</v>
      </c>
      <c r="D89" s="2">
        <f>+'Base de Datos'!G89</f>
        <v>830122370</v>
      </c>
      <c r="E89" s="2" t="str">
        <f>+'Base de Datos'!H89</f>
        <v>Realizar el mantenimiento correctivo y preventivo para las maquinas: Impresora Litográfica MULTILITH modelo 1250, compaginadora DUPLO DC 10 , Guillotina de Cizalla Manual; ubicadas en la oficina de Anales y Publicaciones del Concejo de Bogotá.</v>
      </c>
      <c r="F89" s="3">
        <v>4967474</v>
      </c>
      <c r="G89" s="4">
        <v>41347</v>
      </c>
      <c r="H89" s="66">
        <v>41652</v>
      </c>
      <c r="I89" s="183"/>
      <c r="J89" s="359"/>
      <c r="K89" s="183"/>
      <c r="L89" s="359"/>
      <c r="M89" s="183"/>
      <c r="N89" s="359"/>
      <c r="O89" s="183"/>
      <c r="P89" s="359"/>
      <c r="Q89" s="86">
        <f t="shared" si="3"/>
        <v>0</v>
      </c>
      <c r="R89" s="372"/>
      <c r="S89" s="370"/>
      <c r="T89" s="372"/>
      <c r="U89" s="370"/>
      <c r="V89" s="372"/>
      <c r="W89" s="370"/>
      <c r="X89" s="372"/>
      <c r="Y89" s="370"/>
      <c r="Z89" s="186"/>
      <c r="AA89" s="88">
        <f t="shared" si="4"/>
        <v>0</v>
      </c>
      <c r="AB89" s="236">
        <v>1625651</v>
      </c>
      <c r="AC89" s="236">
        <v>707008</v>
      </c>
      <c r="AD89" s="236">
        <v>707008</v>
      </c>
      <c r="AE89" s="236">
        <v>707008</v>
      </c>
      <c r="AF89" s="236">
        <v>707008</v>
      </c>
      <c r="AG89" s="236"/>
      <c r="AH89" s="236"/>
      <c r="AI89" s="236"/>
      <c r="AJ89" s="236"/>
      <c r="AK89" s="236"/>
      <c r="AL89" s="236"/>
      <c r="AM89" s="236"/>
      <c r="AN89" s="236"/>
      <c r="AO89" s="236"/>
      <c r="AP89" s="236"/>
      <c r="AQ89" s="236"/>
      <c r="AR89" s="236"/>
      <c r="AS89" s="236"/>
      <c r="AT89" s="369">
        <v>0</v>
      </c>
      <c r="AU89" s="90">
        <f t="shared" si="5"/>
        <v>4453683</v>
      </c>
    </row>
    <row r="90" spans="1:49" ht="34.5" hidden="1" customHeight="1" x14ac:dyDescent="0.25">
      <c r="A90" s="85">
        <v>84</v>
      </c>
      <c r="B90" s="2" t="str">
        <f>+'Base de Datos'!E90</f>
        <v>130044-0-2013</v>
      </c>
      <c r="C90" s="2" t="str">
        <f>+'Base de Datos'!F90</f>
        <v>MELCO DE COLOMBIA LIMITADA</v>
      </c>
      <c r="D90" s="2">
        <f>+'Base de Datos'!G90</f>
        <v>860025639</v>
      </c>
      <c r="E90" s="2" t="str">
        <f>+'Base de Datos'!H90</f>
        <v>Prestar el servicio de mantenimiento preventivo y correctivo ocasional a los ascensores marca Mitsubishi ubicados en el Concejo de Bogotá.</v>
      </c>
      <c r="F90" s="3">
        <v>15913500</v>
      </c>
      <c r="G90" s="4">
        <v>41367</v>
      </c>
      <c r="H90" s="66">
        <v>41731</v>
      </c>
      <c r="I90" s="183"/>
      <c r="J90" s="359"/>
      <c r="K90" s="183"/>
      <c r="L90" s="359"/>
      <c r="M90" s="183"/>
      <c r="N90" s="359"/>
      <c r="O90" s="183"/>
      <c r="P90" s="359"/>
      <c r="Q90" s="86">
        <f t="shared" si="3"/>
        <v>0</v>
      </c>
      <c r="R90" s="372"/>
      <c r="S90" s="370"/>
      <c r="T90" s="372"/>
      <c r="U90" s="370"/>
      <c r="V90" s="372"/>
      <c r="W90" s="370"/>
      <c r="X90" s="372"/>
      <c r="Y90" s="370"/>
      <c r="Z90" s="186"/>
      <c r="AA90" s="88">
        <f t="shared" si="4"/>
        <v>0</v>
      </c>
      <c r="AB90" s="236">
        <v>1192364</v>
      </c>
      <c r="AC90" s="236">
        <v>1145500</v>
      </c>
      <c r="AD90" s="236">
        <v>1192364</v>
      </c>
      <c r="AE90" s="236">
        <v>1192364</v>
      </c>
      <c r="AF90" s="236">
        <v>1192364</v>
      </c>
      <c r="AG90" s="236">
        <v>1192364</v>
      </c>
      <c r="AH90" s="236">
        <v>1192364</v>
      </c>
      <c r="AI90" s="236">
        <v>1192364</v>
      </c>
      <c r="AJ90" s="236">
        <v>1192364</v>
      </c>
      <c r="AK90" s="236">
        <v>1192364</v>
      </c>
      <c r="AL90" s="236">
        <v>1192364</v>
      </c>
      <c r="AM90" s="236">
        <v>1192364</v>
      </c>
      <c r="AN90" s="236">
        <v>1192364</v>
      </c>
      <c r="AO90" s="236"/>
      <c r="AP90" s="236"/>
      <c r="AQ90" s="236"/>
      <c r="AR90" s="236"/>
      <c r="AS90" s="236"/>
      <c r="AT90" s="369">
        <v>0</v>
      </c>
      <c r="AU90" s="90">
        <f t="shared" si="5"/>
        <v>15453868</v>
      </c>
    </row>
    <row r="91" spans="1:49" ht="34.5" hidden="1" customHeight="1" x14ac:dyDescent="0.25">
      <c r="A91" s="85">
        <v>85</v>
      </c>
      <c r="B91" s="2" t="str">
        <f>+'Base de Datos'!E91</f>
        <v>130048-0-2013</v>
      </c>
      <c r="C91" s="2" t="str">
        <f>+'Base de Datos'!F91</f>
        <v>CASA EDITORIAL EL TIEMPO SA</v>
      </c>
      <c r="D91" s="2">
        <f>+'Base de Datos'!G91</f>
        <v>860001022</v>
      </c>
      <c r="E91" s="2" t="str">
        <f>+'Base de Datos'!H91</f>
        <v>Entregar tres ejemplares de cada uno de los diarios, El Tiempo, y Portafolio por el término de un (1) año para el Concejo de Bogotá D.C.</v>
      </c>
      <c r="F91" s="3">
        <v>1197000</v>
      </c>
      <c r="G91" s="4">
        <v>41352</v>
      </c>
      <c r="H91" s="66">
        <v>41716</v>
      </c>
      <c r="I91" s="183"/>
      <c r="J91" s="359"/>
      <c r="K91" s="183"/>
      <c r="L91" s="359"/>
      <c r="M91" s="183"/>
      <c r="N91" s="359"/>
      <c r="O91" s="183"/>
      <c r="P91" s="359"/>
      <c r="Q91" s="86">
        <f t="shared" si="3"/>
        <v>0</v>
      </c>
      <c r="R91" s="372"/>
      <c r="S91" s="370"/>
      <c r="T91" s="372"/>
      <c r="U91" s="370"/>
      <c r="V91" s="372"/>
      <c r="W91" s="370"/>
      <c r="X91" s="372"/>
      <c r="Y91" s="370"/>
      <c r="Z91" s="186"/>
      <c r="AA91" s="88">
        <f t="shared" si="4"/>
        <v>0</v>
      </c>
      <c r="AB91" s="236">
        <v>1197000</v>
      </c>
      <c r="AC91" s="236"/>
      <c r="AD91" s="236"/>
      <c r="AE91" s="236"/>
      <c r="AF91" s="236"/>
      <c r="AG91" s="236"/>
      <c r="AH91" s="236"/>
      <c r="AI91" s="236"/>
      <c r="AJ91" s="236"/>
      <c r="AK91" s="236"/>
      <c r="AL91" s="236"/>
      <c r="AM91" s="236"/>
      <c r="AN91" s="236"/>
      <c r="AO91" s="236"/>
      <c r="AP91" s="236"/>
      <c r="AQ91" s="236"/>
      <c r="AR91" s="236"/>
      <c r="AS91" s="236"/>
      <c r="AT91" s="369">
        <v>0</v>
      </c>
      <c r="AU91" s="90">
        <f t="shared" si="5"/>
        <v>1197000</v>
      </c>
    </row>
    <row r="92" spans="1:49" ht="34.5" hidden="1" customHeight="1" x14ac:dyDescent="0.25">
      <c r="A92" s="85">
        <v>86</v>
      </c>
      <c r="B92" s="2" t="str">
        <f>+'Base de Datos'!E92</f>
        <v>130091-0-2013</v>
      </c>
      <c r="C92" s="2" t="str">
        <f>+'Base de Datos'!F92</f>
        <v>INGENIERÍA DE BOMBAS Y PLANTAS LIMITADA</v>
      </c>
      <c r="D92" s="2">
        <f>+'Base de Datos'!G92</f>
        <v>900152368</v>
      </c>
      <c r="E92" s="2" t="str">
        <f>+'Base de Datos'!H92</f>
        <v>Contratar el servicio de mantenimiento preventivo y correctivo para los tanques de almacenamiento y equipos de bombeo hidráulicos de agua potable, residual y aguas negras de las instalaciones del Centro Administrativo Distrital CAD .</v>
      </c>
      <c r="F92" s="3">
        <v>8360000</v>
      </c>
      <c r="G92" s="4">
        <v>41400</v>
      </c>
      <c r="H92" s="66">
        <v>41764</v>
      </c>
      <c r="I92" s="183"/>
      <c r="J92" s="359"/>
      <c r="K92" s="183"/>
      <c r="L92" s="359"/>
      <c r="M92" s="183"/>
      <c r="N92" s="359"/>
      <c r="O92" s="183"/>
      <c r="P92" s="359"/>
      <c r="Q92" s="86">
        <f t="shared" si="3"/>
        <v>0</v>
      </c>
      <c r="R92" s="372"/>
      <c r="S92" s="370"/>
      <c r="T92" s="372"/>
      <c r="U92" s="370"/>
      <c r="V92" s="372"/>
      <c r="W92" s="370"/>
      <c r="X92" s="372"/>
      <c r="Y92" s="370"/>
      <c r="Z92" s="186"/>
      <c r="AA92" s="88">
        <f t="shared" si="4"/>
        <v>0</v>
      </c>
      <c r="AB92" s="236">
        <v>533600</v>
      </c>
      <c r="AC92" s="236">
        <v>4442800</v>
      </c>
      <c r="AD92" s="236">
        <v>533600</v>
      </c>
      <c r="AE92" s="236">
        <v>533600</v>
      </c>
      <c r="AF92" s="236">
        <v>440800</v>
      </c>
      <c r="AG92" s="236">
        <v>533600</v>
      </c>
      <c r="AH92" s="236"/>
      <c r="AI92" s="236"/>
      <c r="AJ92" s="236"/>
      <c r="AK92" s="236"/>
      <c r="AL92" s="236"/>
      <c r="AM92" s="236"/>
      <c r="AN92" s="236"/>
      <c r="AO92" s="236"/>
      <c r="AP92" s="236"/>
      <c r="AQ92" s="236"/>
      <c r="AR92" s="236"/>
      <c r="AS92" s="236"/>
      <c r="AT92" s="369">
        <v>0</v>
      </c>
      <c r="AU92" s="90">
        <f t="shared" si="5"/>
        <v>7018000</v>
      </c>
    </row>
    <row r="93" spans="1:49" ht="34.5" hidden="1" customHeight="1" x14ac:dyDescent="0.25">
      <c r="A93" s="85">
        <v>87</v>
      </c>
      <c r="B93" s="2" t="str">
        <f>+'Base de Datos'!E93</f>
        <v>130106-0-2013</v>
      </c>
      <c r="C93" s="2" t="str">
        <f>+'Base de Datos'!F93</f>
        <v>DPC LTDA PUBLICACIONES DESPACHOS PÚBLICOS DE COLOMBIA LTDA</v>
      </c>
      <c r="D93" s="2">
        <f>+'Base de Datos'!G93</f>
        <v>800249557</v>
      </c>
      <c r="E93" s="2" t="str">
        <f>+'Base de Datos'!H93</f>
        <v>Adquirir a título de compraventa ejemplares del Directorio de Despachos Públicos de Colombia, 22ª publicación, edición 2012-2013, para el Concejo de Bogotá, de conformidad con lo señalado en los estudios previos</v>
      </c>
      <c r="F93" s="3">
        <v>3700000</v>
      </c>
      <c r="G93" s="4">
        <v>41393</v>
      </c>
      <c r="H93" s="66">
        <v>41545</v>
      </c>
      <c r="I93" s="183"/>
      <c r="J93" s="359"/>
      <c r="K93" s="183"/>
      <c r="L93" s="359"/>
      <c r="M93" s="183"/>
      <c r="N93" s="359"/>
      <c r="O93" s="183"/>
      <c r="P93" s="359"/>
      <c r="Q93" s="86">
        <f t="shared" si="3"/>
        <v>0</v>
      </c>
      <c r="R93" s="372"/>
      <c r="S93" s="370"/>
      <c r="T93" s="372"/>
      <c r="U93" s="370"/>
      <c r="V93" s="372"/>
      <c r="W93" s="370"/>
      <c r="X93" s="372"/>
      <c r="Y93" s="370"/>
      <c r="Z93" s="186"/>
      <c r="AA93" s="88">
        <f t="shared" si="4"/>
        <v>0</v>
      </c>
      <c r="AB93" s="236">
        <v>3700000</v>
      </c>
      <c r="AC93" s="236"/>
      <c r="AD93" s="236"/>
      <c r="AE93" s="236"/>
      <c r="AF93" s="236"/>
      <c r="AG93" s="236"/>
      <c r="AH93" s="236"/>
      <c r="AI93" s="236"/>
      <c r="AJ93" s="236"/>
      <c r="AK93" s="236"/>
      <c r="AL93" s="236"/>
      <c r="AM93" s="236"/>
      <c r="AN93" s="236"/>
      <c r="AO93" s="236"/>
      <c r="AP93" s="236"/>
      <c r="AQ93" s="236"/>
      <c r="AR93" s="236"/>
      <c r="AS93" s="236"/>
      <c r="AT93" s="369">
        <v>0</v>
      </c>
      <c r="AU93" s="90">
        <f t="shared" si="5"/>
        <v>3700000</v>
      </c>
    </row>
    <row r="94" spans="1:49" ht="34.5" hidden="1" customHeight="1" x14ac:dyDescent="0.25">
      <c r="A94" s="85">
        <v>88</v>
      </c>
      <c r="B94" s="2" t="str">
        <f>+'Base de Datos'!E94</f>
        <v>130116-0-2013</v>
      </c>
      <c r="C94" s="2" t="str">
        <f>+'Base de Datos'!F94</f>
        <v>EDGARDO ANDRÉS MALDONADO CORTES</v>
      </c>
      <c r="D94" s="2">
        <f>+'Base de Datos'!G94</f>
        <v>79843891</v>
      </c>
      <c r="E94" s="2" t="str">
        <f>+'Base de Datos'!H94</f>
        <v>Prestar servicios profesionales para apoyar a la Dirección Financiera del Concejo de Bogotá en la supervisión de los contratos que le sean asignados, implementando mecanismos que le permitan contribuir efectivamente al seguimiento técnico, administrativo, financiero  contable y jurídico sobre el cumplimiento del objeto de cada contrato asignado</v>
      </c>
      <c r="F94" s="3">
        <v>50000000</v>
      </c>
      <c r="G94" s="4">
        <v>41387</v>
      </c>
      <c r="H94" s="66">
        <v>41692</v>
      </c>
      <c r="I94" s="183"/>
      <c r="J94" s="359"/>
      <c r="K94" s="183"/>
      <c r="L94" s="359"/>
      <c r="M94" s="183"/>
      <c r="N94" s="359"/>
      <c r="O94" s="183"/>
      <c r="P94" s="359"/>
      <c r="Q94" s="86">
        <f t="shared" si="3"/>
        <v>0</v>
      </c>
      <c r="R94" s="372"/>
      <c r="S94" s="370"/>
      <c r="T94" s="372"/>
      <c r="U94" s="370"/>
      <c r="V94" s="372"/>
      <c r="W94" s="370"/>
      <c r="X94" s="372"/>
      <c r="Y94" s="370"/>
      <c r="Z94" s="186"/>
      <c r="AA94" s="88">
        <f t="shared" si="4"/>
        <v>0</v>
      </c>
      <c r="AB94" s="236">
        <v>50000000</v>
      </c>
      <c r="AC94" s="236"/>
      <c r="AD94" s="236"/>
      <c r="AE94" s="236"/>
      <c r="AF94" s="236"/>
      <c r="AG94" s="236"/>
      <c r="AH94" s="236"/>
      <c r="AI94" s="236"/>
      <c r="AJ94" s="236"/>
      <c r="AK94" s="236"/>
      <c r="AL94" s="236"/>
      <c r="AM94" s="236"/>
      <c r="AN94" s="236"/>
      <c r="AO94" s="236"/>
      <c r="AP94" s="236"/>
      <c r="AQ94" s="236"/>
      <c r="AR94" s="236"/>
      <c r="AS94" s="236"/>
      <c r="AT94" s="369">
        <v>0</v>
      </c>
      <c r="AU94" s="90">
        <f t="shared" si="5"/>
        <v>50000000</v>
      </c>
    </row>
    <row r="95" spans="1:49" ht="34.5" hidden="1" customHeight="1" x14ac:dyDescent="0.25">
      <c r="A95" s="85">
        <v>89</v>
      </c>
      <c r="B95" s="2" t="str">
        <f>+'Base de Datos'!E95</f>
        <v>130121-0-2013</v>
      </c>
      <c r="C95" s="2" t="str">
        <f>+'Base de Datos'!F95</f>
        <v>ROSA ENRIQUELINA GÓMEZ CORREDOR</v>
      </c>
      <c r="D95" s="2">
        <f>+'Base de Datos'!G95</f>
        <v>51931422</v>
      </c>
      <c r="E95" s="2" t="str">
        <f>+'Base de Datos'!H95</f>
        <v xml:space="preserve">Prestar servicios profesionales para acompañar la definición, contratación, intervención y seguimiento de los temas relacionados con la infraestructura del Concejo de Bogotá D.C. </v>
      </c>
      <c r="F95" s="3">
        <v>41600000</v>
      </c>
      <c r="G95" s="4">
        <v>41396</v>
      </c>
      <c r="H95" s="66">
        <v>41699</v>
      </c>
      <c r="I95" s="183"/>
      <c r="J95" s="359"/>
      <c r="K95" s="183"/>
      <c r="L95" s="359"/>
      <c r="M95" s="183"/>
      <c r="N95" s="359"/>
      <c r="O95" s="183"/>
      <c r="P95" s="359"/>
      <c r="Q95" s="86">
        <f t="shared" si="3"/>
        <v>0</v>
      </c>
      <c r="R95" s="372"/>
      <c r="S95" s="370"/>
      <c r="T95" s="372"/>
      <c r="U95" s="370"/>
      <c r="V95" s="372"/>
      <c r="W95" s="370"/>
      <c r="X95" s="372"/>
      <c r="Y95" s="370"/>
      <c r="Z95" s="186"/>
      <c r="AA95" s="88">
        <f t="shared" si="4"/>
        <v>0</v>
      </c>
      <c r="AB95" s="236">
        <v>41600000</v>
      </c>
      <c r="AC95" s="236"/>
      <c r="AD95" s="236"/>
      <c r="AE95" s="236"/>
      <c r="AF95" s="236"/>
      <c r="AG95" s="236"/>
      <c r="AH95" s="236"/>
      <c r="AI95" s="236"/>
      <c r="AJ95" s="236"/>
      <c r="AK95" s="236"/>
      <c r="AL95" s="236"/>
      <c r="AM95" s="236"/>
      <c r="AN95" s="236"/>
      <c r="AO95" s="236"/>
      <c r="AP95" s="236"/>
      <c r="AQ95" s="236"/>
      <c r="AR95" s="236"/>
      <c r="AS95" s="236"/>
      <c r="AT95" s="369">
        <v>0</v>
      </c>
      <c r="AU95" s="90">
        <f t="shared" si="5"/>
        <v>41600000</v>
      </c>
    </row>
    <row r="96" spans="1:49" ht="34.5" hidden="1" customHeight="1" x14ac:dyDescent="0.25">
      <c r="A96" s="85">
        <v>90</v>
      </c>
      <c r="B96" s="2" t="str">
        <f>+'Base de Datos'!E96</f>
        <v>130126-0-2013</v>
      </c>
      <c r="C96" s="2" t="str">
        <f>+'Base de Datos'!F96</f>
        <v>EMPRESA DE TELECOMUNICACIONES DE BOGOTÁ S.A.-ETB-ESP</v>
      </c>
      <c r="D96" s="2">
        <f>+'Base de Datos'!G96</f>
        <v>899999115</v>
      </c>
      <c r="E96" s="2" t="str">
        <f>+'Base de Datos'!H96</f>
        <v>Contratar los servicios de impresión, para la Secretaria Distrital de hacienda y el Concejo de Bogotá de conformidad con los requerimientos establecidos en el pliego de condiciones</v>
      </c>
      <c r="F96" s="3">
        <v>160000000</v>
      </c>
      <c r="G96" s="4">
        <v>41411</v>
      </c>
      <c r="H96" s="66">
        <v>41477</v>
      </c>
      <c r="I96" s="183">
        <v>80000000</v>
      </c>
      <c r="J96" s="359">
        <v>41477</v>
      </c>
      <c r="K96" s="183"/>
      <c r="L96" s="359"/>
      <c r="M96" s="183"/>
      <c r="N96" s="359"/>
      <c r="O96" s="183"/>
      <c r="P96" s="359"/>
      <c r="Q96" s="86">
        <f t="shared" si="3"/>
        <v>80000000</v>
      </c>
      <c r="R96" s="372" t="s">
        <v>381</v>
      </c>
      <c r="S96" s="370">
        <v>41508</v>
      </c>
      <c r="T96" s="372"/>
      <c r="U96" s="370"/>
      <c r="V96" s="372"/>
      <c r="W96" s="370"/>
      <c r="X96" s="372"/>
      <c r="Y96" s="370"/>
      <c r="Z96" s="186" t="s">
        <v>381</v>
      </c>
      <c r="AA96" s="88">
        <f t="shared" si="4"/>
        <v>41508</v>
      </c>
      <c r="AB96" s="236">
        <v>239999964</v>
      </c>
      <c r="AC96" s="236"/>
      <c r="AD96" s="236"/>
      <c r="AE96" s="236"/>
      <c r="AF96" s="236"/>
      <c r="AG96" s="236"/>
      <c r="AH96" s="236"/>
      <c r="AI96" s="236"/>
      <c r="AJ96" s="236"/>
      <c r="AK96" s="236"/>
      <c r="AL96" s="236"/>
      <c r="AM96" s="236"/>
      <c r="AN96" s="236"/>
      <c r="AO96" s="236"/>
      <c r="AP96" s="236"/>
      <c r="AQ96" s="236"/>
      <c r="AR96" s="236"/>
      <c r="AS96" s="236"/>
      <c r="AT96" s="369">
        <v>0</v>
      </c>
      <c r="AU96" s="90">
        <f t="shared" si="5"/>
        <v>239999964</v>
      </c>
    </row>
    <row r="97" spans="1:47" ht="34.5" hidden="1" customHeight="1" x14ac:dyDescent="0.25">
      <c r="A97" s="85">
        <v>91</v>
      </c>
      <c r="B97" s="2" t="str">
        <f>+'Base de Datos'!E97</f>
        <v>130129-0-2013</v>
      </c>
      <c r="C97" s="2" t="str">
        <f>+'Base de Datos'!F97</f>
        <v>SOCIEDAD ENTORNO COMPAÑÍA LTDA</v>
      </c>
      <c r="D97" s="2">
        <f>+'Base de Datos'!G97</f>
        <v>830034865</v>
      </c>
      <c r="E97" s="2" t="str">
        <f>+'Base de Datos'!H97</f>
        <v>Contratar el servicio de exámenes médicos ocupacionales y paraclínicos y suministro y aplicación de vacunas</v>
      </c>
      <c r="F97" s="3">
        <v>55784000</v>
      </c>
      <c r="G97" s="6">
        <v>41403</v>
      </c>
      <c r="H97" s="64">
        <v>41678</v>
      </c>
      <c r="I97" s="183">
        <v>11395000</v>
      </c>
      <c r="J97" s="359">
        <v>41796</v>
      </c>
      <c r="K97" s="183"/>
      <c r="L97" s="359"/>
      <c r="M97" s="183"/>
      <c r="N97" s="359"/>
      <c r="O97" s="183"/>
      <c r="P97" s="359"/>
      <c r="Q97" s="86">
        <f t="shared" si="3"/>
        <v>11395000</v>
      </c>
      <c r="R97" s="372" t="s">
        <v>379</v>
      </c>
      <c r="S97" s="370">
        <v>41767</v>
      </c>
      <c r="T97" s="372" t="s">
        <v>381</v>
      </c>
      <c r="U97" s="370">
        <v>41798</v>
      </c>
      <c r="V97" s="372" t="s">
        <v>379</v>
      </c>
      <c r="W97" s="370">
        <v>41890</v>
      </c>
      <c r="X97" s="372"/>
      <c r="Y97" s="370"/>
      <c r="Z97" s="377" t="s">
        <v>1378</v>
      </c>
      <c r="AA97" s="88">
        <f t="shared" si="4"/>
        <v>41890</v>
      </c>
      <c r="AB97" s="236">
        <v>341000</v>
      </c>
      <c r="AC97" s="236">
        <v>279000</v>
      </c>
      <c r="AD97" s="236">
        <v>12588000</v>
      </c>
      <c r="AE97" s="236">
        <v>449500</v>
      </c>
      <c r="AF97" s="236">
        <v>396000</v>
      </c>
      <c r="AG97" s="236">
        <v>513000</v>
      </c>
      <c r="AH97" s="236">
        <v>659500</v>
      </c>
      <c r="AI97" s="236">
        <v>7225000</v>
      </c>
      <c r="AJ97" s="236">
        <v>226500</v>
      </c>
      <c r="AK97" s="236">
        <v>3376500</v>
      </c>
      <c r="AL97" s="236">
        <v>8346300</v>
      </c>
      <c r="AM97" s="236">
        <v>6724000</v>
      </c>
      <c r="AN97" s="236">
        <v>1514000</v>
      </c>
      <c r="AO97" s="236">
        <v>13145000</v>
      </c>
      <c r="AP97" s="236">
        <v>155000</v>
      </c>
      <c r="AQ97" s="236">
        <v>760000</v>
      </c>
      <c r="AR97" s="236">
        <v>7605500</v>
      </c>
      <c r="AS97" s="236">
        <v>2811500</v>
      </c>
      <c r="AT97" s="369">
        <v>41983</v>
      </c>
      <c r="AU97" s="90">
        <f t="shared" si="5"/>
        <v>67115300</v>
      </c>
    </row>
    <row r="98" spans="1:47" ht="34.5" hidden="1" customHeight="1" x14ac:dyDescent="0.25">
      <c r="A98" s="85">
        <v>92</v>
      </c>
      <c r="B98" s="2" t="str">
        <f>+'Base de Datos'!E98</f>
        <v>130130-0-2013</v>
      </c>
      <c r="C98" s="2" t="str">
        <f>+'Base de Datos'!F98</f>
        <v>ORGANIZACIÓN TERPEL S.A.</v>
      </c>
      <c r="D98" s="2">
        <f>+'Base de Datos'!G98</f>
        <v>830095213</v>
      </c>
      <c r="E98" s="2" t="str">
        <f>+'Base de Datos'!H98</f>
        <v>Suministro de combustible para el Concejo de Bogotá D.C., de conformidad con los pliegos de condiciones del proceso de selección abreviada de menor cuantía No. SDH-SAMC-002-2012 y la propuesta.</v>
      </c>
      <c r="F98" s="3">
        <v>351295000</v>
      </c>
      <c r="G98" s="6">
        <v>41426</v>
      </c>
      <c r="H98" s="64">
        <v>41671</v>
      </c>
      <c r="I98" s="183">
        <v>81000000</v>
      </c>
      <c r="J98" s="359">
        <v>41711</v>
      </c>
      <c r="K98" s="183">
        <v>40839060</v>
      </c>
      <c r="L98" s="359">
        <v>41788</v>
      </c>
      <c r="M98" s="183"/>
      <c r="N98" s="359"/>
      <c r="O98" s="183"/>
      <c r="P98" s="359"/>
      <c r="Q98" s="86">
        <f t="shared" si="3"/>
        <v>121839060</v>
      </c>
      <c r="R98" s="372" t="s">
        <v>978</v>
      </c>
      <c r="S98" s="370">
        <v>41714</v>
      </c>
      <c r="T98" s="372" t="s">
        <v>966</v>
      </c>
      <c r="U98" s="370">
        <v>41790</v>
      </c>
      <c r="V98" s="372" t="s">
        <v>381</v>
      </c>
      <c r="W98" s="370">
        <v>41820</v>
      </c>
      <c r="X98" s="372"/>
      <c r="Y98" s="370"/>
      <c r="Z98" s="377" t="s">
        <v>544</v>
      </c>
      <c r="AA98" s="88">
        <f t="shared" si="4"/>
        <v>41820</v>
      </c>
      <c r="AB98" s="236">
        <v>32130758</v>
      </c>
      <c r="AC98" s="236">
        <v>35468772</v>
      </c>
      <c r="AD98" s="236">
        <v>37350240</v>
      </c>
      <c r="AE98" s="236">
        <v>37055598</v>
      </c>
      <c r="AF98" s="236">
        <v>36474757</v>
      </c>
      <c r="AG98" s="236">
        <v>35630526</v>
      </c>
      <c r="AH98" s="236">
        <v>1530211</v>
      </c>
      <c r="AI98" s="236">
        <v>36432029</v>
      </c>
      <c r="AJ98" s="236">
        <v>36100474</v>
      </c>
      <c r="AK98" s="236">
        <v>40177710</v>
      </c>
      <c r="AL98" s="236">
        <v>39429330</v>
      </c>
      <c r="AM98" s="236">
        <v>32563800</v>
      </c>
      <c r="AN98" s="236">
        <v>43866911</v>
      </c>
      <c r="AO98" s="236">
        <v>28922394</v>
      </c>
      <c r="AP98" s="236"/>
      <c r="AQ98" s="236"/>
      <c r="AR98" s="236"/>
      <c r="AS98" s="236"/>
      <c r="AT98" s="369">
        <v>0</v>
      </c>
      <c r="AU98" s="90">
        <f t="shared" si="5"/>
        <v>473133510</v>
      </c>
    </row>
    <row r="99" spans="1:47" ht="34.5" hidden="1" customHeight="1" x14ac:dyDescent="0.25">
      <c r="A99" s="85">
        <v>93</v>
      </c>
      <c r="B99" s="2" t="str">
        <f>+'Base de Datos'!E99</f>
        <v>130133-0-2013</v>
      </c>
      <c r="C99" s="2" t="str">
        <f>+'Base de Datos'!F99</f>
        <v>SEGURIDAD NUEVA ERA</v>
      </c>
      <c r="D99" s="2">
        <f>+'Base de Datos'!G99</f>
        <v>830070625</v>
      </c>
      <c r="E99" s="2" t="str">
        <f>+'Base de Datos'!H99</f>
        <v>Contratar la prestación del servicio de mantenimiento preventivo y correctivo con suministro de repuestos del sistema de alarmas de emergencia, ubicado en las sedes del Concejo de Bogotá D.C.</v>
      </c>
      <c r="F99" s="3">
        <v>2096276</v>
      </c>
      <c r="G99" s="6">
        <v>41417</v>
      </c>
      <c r="H99" s="64">
        <v>41692</v>
      </c>
      <c r="I99" s="183"/>
      <c r="J99" s="359"/>
      <c r="K99" s="183"/>
      <c r="L99" s="359"/>
      <c r="M99" s="183"/>
      <c r="N99" s="359"/>
      <c r="O99" s="183"/>
      <c r="P99" s="359"/>
      <c r="Q99" s="86">
        <f t="shared" si="3"/>
        <v>0</v>
      </c>
      <c r="R99" s="372"/>
      <c r="S99" s="370"/>
      <c r="T99" s="372"/>
      <c r="U99" s="370"/>
      <c r="V99" s="372"/>
      <c r="W99" s="370"/>
      <c r="X99" s="372"/>
      <c r="Y99" s="370"/>
      <c r="Z99" s="186"/>
      <c r="AA99" s="88">
        <f t="shared" si="4"/>
        <v>0</v>
      </c>
      <c r="AB99" s="236">
        <v>143333</v>
      </c>
      <c r="AC99" s="236">
        <v>143333</v>
      </c>
      <c r="AD99" s="236">
        <v>143333</v>
      </c>
      <c r="AE99" s="236">
        <v>143333</v>
      </c>
      <c r="AF99" s="236">
        <v>143333</v>
      </c>
      <c r="AG99" s="236">
        <v>143333</v>
      </c>
      <c r="AH99" s="236">
        <v>143333</v>
      </c>
      <c r="AI99" s="236">
        <v>806277</v>
      </c>
      <c r="AJ99" s="236">
        <v>148064</v>
      </c>
      <c r="AK99" s="236">
        <v>129000</v>
      </c>
      <c r="AL99" s="236"/>
      <c r="AM99" s="236"/>
      <c r="AN99" s="236"/>
      <c r="AO99" s="236"/>
      <c r="AP99" s="236"/>
      <c r="AQ99" s="236"/>
      <c r="AR99" s="236"/>
      <c r="AS99" s="236"/>
      <c r="AT99" s="369">
        <v>0</v>
      </c>
      <c r="AU99" s="90">
        <f t="shared" si="5"/>
        <v>2086672</v>
      </c>
    </row>
    <row r="100" spans="1:47" ht="34.5" hidden="1" customHeight="1" x14ac:dyDescent="0.25">
      <c r="A100" s="85">
        <v>94</v>
      </c>
      <c r="B100" s="2" t="str">
        <f>+'Base de Datos'!E100</f>
        <v>130136-0-2013</v>
      </c>
      <c r="C100" s="2" t="str">
        <f>+'Base de Datos'!F100</f>
        <v>MOTORES Y MAQUINAS MOTORYSA</v>
      </c>
      <c r="D100" s="2">
        <f>+'Base de Datos'!G100</f>
        <v>860019063</v>
      </c>
      <c r="E100" s="2" t="str">
        <f>+'Base de Datos'!H100</f>
        <v>Contratar la prestación del servicio de mantenimiento correctivo con suministro de repuestos de los automotores marca MITSUBISHI al servicio del Concejo de Bogotá.</v>
      </c>
      <c r="F100" s="3">
        <v>12594000</v>
      </c>
      <c r="G100" s="6">
        <v>41416</v>
      </c>
      <c r="H100" s="64">
        <v>41660</v>
      </c>
      <c r="I100" s="183">
        <v>6150000</v>
      </c>
      <c r="J100" s="359">
        <v>41516</v>
      </c>
      <c r="K100" s="183"/>
      <c r="L100" s="359"/>
      <c r="M100" s="183"/>
      <c r="N100" s="359"/>
      <c r="O100" s="183"/>
      <c r="P100" s="359"/>
      <c r="Q100" s="86">
        <f t="shared" si="3"/>
        <v>6150000</v>
      </c>
      <c r="R100" s="372"/>
      <c r="S100" s="370"/>
      <c r="T100" s="372"/>
      <c r="U100" s="370"/>
      <c r="V100" s="372"/>
      <c r="W100" s="370"/>
      <c r="X100" s="372"/>
      <c r="Y100" s="370"/>
      <c r="Z100" s="377"/>
      <c r="AA100" s="88">
        <f t="shared" si="4"/>
        <v>0</v>
      </c>
      <c r="AB100" s="236">
        <v>268746</v>
      </c>
      <c r="AC100" s="236">
        <v>11656493</v>
      </c>
      <c r="AD100" s="236">
        <v>568004</v>
      </c>
      <c r="AE100" s="236">
        <v>1246517</v>
      </c>
      <c r="AF100" s="236">
        <v>2957848</v>
      </c>
      <c r="AG100" s="236">
        <v>369204</v>
      </c>
      <c r="AH100" s="236">
        <v>890498</v>
      </c>
      <c r="AI100" s="236">
        <v>329424</v>
      </c>
      <c r="AJ100" s="236"/>
      <c r="AK100" s="236"/>
      <c r="AL100" s="236"/>
      <c r="AM100" s="236"/>
      <c r="AN100" s="236"/>
      <c r="AO100" s="236"/>
      <c r="AP100" s="236"/>
      <c r="AQ100" s="236"/>
      <c r="AR100" s="236"/>
      <c r="AS100" s="236"/>
      <c r="AT100" s="369">
        <v>0</v>
      </c>
      <c r="AU100" s="90">
        <f t="shared" si="5"/>
        <v>18286734</v>
      </c>
    </row>
    <row r="101" spans="1:47" ht="34.5" hidden="1" customHeight="1" x14ac:dyDescent="0.25">
      <c r="A101" s="85">
        <v>95</v>
      </c>
      <c r="B101" s="2" t="str">
        <f>+'Base de Datos'!E101</f>
        <v>130139-0-2013</v>
      </c>
      <c r="C101" s="2" t="str">
        <f>+'Base de Datos'!F101</f>
        <v>REVISTA EL CONGRESO SIGLO XXI LTDA</v>
      </c>
      <c r="D101" s="2">
        <f>+'Base de Datos'!G101</f>
        <v>830067096</v>
      </c>
      <c r="E101" s="2" t="str">
        <f>+'Base de Datos'!H101</f>
        <v xml:space="preserve">Suscripción a la revista EL CONGRESO Siglo XXI, con destino al Concejo de Bogotá D.C. </v>
      </c>
      <c r="F101" s="8">
        <v>7740000</v>
      </c>
      <c r="G101" s="6">
        <v>41410</v>
      </c>
      <c r="H101" s="64">
        <v>41774</v>
      </c>
      <c r="I101" s="183"/>
      <c r="J101" s="359"/>
      <c r="K101" s="183"/>
      <c r="L101" s="359"/>
      <c r="M101" s="183"/>
      <c r="N101" s="359"/>
      <c r="O101" s="183"/>
      <c r="P101" s="359"/>
      <c r="Q101" s="86">
        <f t="shared" si="3"/>
        <v>0</v>
      </c>
      <c r="R101" s="372"/>
      <c r="S101" s="370"/>
      <c r="T101" s="372"/>
      <c r="U101" s="370"/>
      <c r="V101" s="372"/>
      <c r="W101" s="370"/>
      <c r="X101" s="372"/>
      <c r="Y101" s="370"/>
      <c r="Z101" s="186"/>
      <c r="AA101" s="88">
        <f t="shared" si="4"/>
        <v>0</v>
      </c>
      <c r="AB101" s="236">
        <v>7740000</v>
      </c>
      <c r="AC101" s="236"/>
      <c r="AD101" s="236"/>
      <c r="AE101" s="236"/>
      <c r="AF101" s="236"/>
      <c r="AG101" s="236"/>
      <c r="AH101" s="236"/>
      <c r="AI101" s="236"/>
      <c r="AJ101" s="236"/>
      <c r="AK101" s="236"/>
      <c r="AL101" s="236"/>
      <c r="AM101" s="236"/>
      <c r="AN101" s="236"/>
      <c r="AO101" s="236"/>
      <c r="AP101" s="236"/>
      <c r="AQ101" s="236"/>
      <c r="AR101" s="236"/>
      <c r="AS101" s="236"/>
      <c r="AT101" s="369">
        <v>0</v>
      </c>
      <c r="AU101" s="90">
        <f t="shared" si="5"/>
        <v>7740000</v>
      </c>
    </row>
    <row r="102" spans="1:47" ht="34.5" hidden="1" customHeight="1" x14ac:dyDescent="0.25">
      <c r="A102" s="85">
        <v>96</v>
      </c>
      <c r="B102" s="2" t="str">
        <f>+'Base de Datos'!E102</f>
        <v>130141-0-2013</v>
      </c>
      <c r="C102" s="2" t="str">
        <f>+'Base de Datos'!F102</f>
        <v>LILIANA ALFONSO JAIMES</v>
      </c>
      <c r="D102" s="2">
        <f>+'Base de Datos'!G102</f>
        <v>52353202</v>
      </c>
      <c r="E102" s="2" t="str">
        <f>+'Base de Datos'!H102</f>
        <v>Prestar servicios profesionales para apoyar a la Dirección Financiera del Concejo de Bogotá en la supervisión de los contratos que le sean asignados, implementando mecanismos que le permitan contribuir efectivamente al seguimiento técnico, administrativo, financiero  contable y jurídico sobre el cumplimiento del objeto de cada contrato asignado</v>
      </c>
      <c r="F102" s="3">
        <v>50000000</v>
      </c>
      <c r="G102" s="4">
        <v>41410</v>
      </c>
      <c r="H102" s="66">
        <v>41713</v>
      </c>
      <c r="I102" s="183"/>
      <c r="J102" s="359"/>
      <c r="K102" s="183"/>
      <c r="L102" s="359"/>
      <c r="M102" s="183"/>
      <c r="N102" s="359"/>
      <c r="O102" s="183"/>
      <c r="P102" s="359"/>
      <c r="Q102" s="86">
        <f t="shared" si="3"/>
        <v>0</v>
      </c>
      <c r="R102" s="372"/>
      <c r="S102" s="370"/>
      <c r="T102" s="372"/>
      <c r="U102" s="370"/>
      <c r="V102" s="372"/>
      <c r="W102" s="370"/>
      <c r="X102" s="372"/>
      <c r="Y102" s="370"/>
      <c r="Z102" s="376"/>
      <c r="AA102" s="88">
        <f t="shared" si="4"/>
        <v>0</v>
      </c>
      <c r="AB102" s="236">
        <v>2500000</v>
      </c>
      <c r="AC102" s="236">
        <v>5000000</v>
      </c>
      <c r="AD102" s="236">
        <v>5000000</v>
      </c>
      <c r="AE102" s="236">
        <v>5000000</v>
      </c>
      <c r="AF102" s="236">
        <v>5000000</v>
      </c>
      <c r="AG102" s="236">
        <v>5000000</v>
      </c>
      <c r="AH102" s="236"/>
      <c r="AI102" s="236"/>
      <c r="AJ102" s="236"/>
      <c r="AK102" s="236"/>
      <c r="AL102" s="236"/>
      <c r="AM102" s="236"/>
      <c r="AN102" s="236"/>
      <c r="AO102" s="236"/>
      <c r="AP102" s="236"/>
      <c r="AQ102" s="236"/>
      <c r="AR102" s="236"/>
      <c r="AS102" s="236"/>
      <c r="AT102" s="369">
        <v>0</v>
      </c>
      <c r="AU102" s="90">
        <f t="shared" si="5"/>
        <v>27500000</v>
      </c>
    </row>
    <row r="103" spans="1:47" ht="34.5" hidden="1" customHeight="1" x14ac:dyDescent="0.25">
      <c r="A103" s="85">
        <v>97</v>
      </c>
      <c r="B103" s="2" t="str">
        <f>+'Base de Datos'!E103</f>
        <v>130142-0-2013</v>
      </c>
      <c r="C103" s="2" t="str">
        <f>+'Base de Datos'!F103</f>
        <v>AGR SOLUCIONES S.A.S.</v>
      </c>
      <c r="D103" s="2">
        <f>+'Base de Datos'!G103</f>
        <v>900333228</v>
      </c>
      <c r="E103" s="2" t="str">
        <f>+'Base de Datos'!H103</f>
        <v xml:space="preserve">Contratar los servicios de mantenimiento, preventivo y correctivo con suministro de repuestos de la puerta eléctrica y talanqueras de acceso vehicular en el Concejo de Bogotá. </v>
      </c>
      <c r="F103" s="3">
        <v>9366000</v>
      </c>
      <c r="G103" s="6">
        <v>41423</v>
      </c>
      <c r="H103" s="64">
        <v>41698</v>
      </c>
      <c r="I103" s="183"/>
      <c r="J103" s="359"/>
      <c r="K103" s="183"/>
      <c r="L103" s="359"/>
      <c r="M103" s="183"/>
      <c r="N103" s="359"/>
      <c r="O103" s="183"/>
      <c r="P103" s="359"/>
      <c r="Q103" s="86">
        <f t="shared" si="3"/>
        <v>0</v>
      </c>
      <c r="R103" s="372"/>
      <c r="S103" s="370"/>
      <c r="T103" s="372"/>
      <c r="U103" s="370"/>
      <c r="V103" s="372"/>
      <c r="W103" s="370"/>
      <c r="X103" s="372"/>
      <c r="Y103" s="370"/>
      <c r="Z103" s="186"/>
      <c r="AA103" s="88">
        <f t="shared" si="4"/>
        <v>0</v>
      </c>
      <c r="AB103" s="236">
        <v>700000</v>
      </c>
      <c r="AC103" s="236">
        <v>1001600</v>
      </c>
      <c r="AD103" s="236">
        <v>984952</v>
      </c>
      <c r="AE103" s="236">
        <v>5097130</v>
      </c>
      <c r="AF103" s="236"/>
      <c r="AG103" s="236"/>
      <c r="AH103" s="236"/>
      <c r="AI103" s="236"/>
      <c r="AJ103" s="236"/>
      <c r="AK103" s="236"/>
      <c r="AL103" s="236"/>
      <c r="AM103" s="236"/>
      <c r="AN103" s="236"/>
      <c r="AO103" s="236"/>
      <c r="AP103" s="236"/>
      <c r="AQ103" s="236"/>
      <c r="AR103" s="236"/>
      <c r="AS103" s="236"/>
      <c r="AT103" s="369">
        <v>0</v>
      </c>
      <c r="AU103" s="90">
        <f t="shared" si="5"/>
        <v>7783682</v>
      </c>
    </row>
    <row r="104" spans="1:47" ht="34.5" hidden="1" customHeight="1" x14ac:dyDescent="0.25">
      <c r="A104" s="85">
        <v>98</v>
      </c>
      <c r="B104" s="2" t="str">
        <f>+'Base de Datos'!E104</f>
        <v>130146-0-2013</v>
      </c>
      <c r="C104" s="2" t="str">
        <f>+'Base de Datos'!F104</f>
        <v>UNIÓN TEMPORAL INTERPOSTAL URBANEX</v>
      </c>
      <c r="D104" s="2">
        <f>+'Base de Datos'!G104</f>
        <v>900611595</v>
      </c>
      <c r="E104" s="2" t="str">
        <f>+'Base de Datos'!H104</f>
        <v>Contratar la prestación de los servicio de mensajería expresa masiva del Concejo de  Bogotá  de conformidad con los pliegos de condiciones del proceso de Selección Abreviada de Menor Cuantía No. SDH-SAMC-003-2012 y la propuesta presentada.</v>
      </c>
      <c r="F104" s="3">
        <v>22300000</v>
      </c>
      <c r="G104" s="6">
        <v>41410</v>
      </c>
      <c r="H104" s="64">
        <v>41623</v>
      </c>
      <c r="I104" s="183">
        <v>2800000</v>
      </c>
      <c r="J104" s="359"/>
      <c r="K104" s="183">
        <v>3000000</v>
      </c>
      <c r="L104" s="359"/>
      <c r="M104" s="183">
        <v>5020000</v>
      </c>
      <c r="N104" s="359"/>
      <c r="O104" s="183"/>
      <c r="P104" s="359"/>
      <c r="Q104" s="86">
        <f t="shared" si="3"/>
        <v>10820000</v>
      </c>
      <c r="R104" s="372" t="s">
        <v>379</v>
      </c>
      <c r="S104" s="370">
        <v>41714</v>
      </c>
      <c r="T104" s="372" t="s">
        <v>381</v>
      </c>
      <c r="U104" s="370">
        <v>41745</v>
      </c>
      <c r="V104" s="372" t="s">
        <v>378</v>
      </c>
      <c r="W104" s="370">
        <v>41806</v>
      </c>
      <c r="X104" s="372"/>
      <c r="Y104" s="370"/>
      <c r="Z104" s="186" t="s">
        <v>974</v>
      </c>
      <c r="AA104" s="88">
        <f t="shared" si="4"/>
        <v>41806</v>
      </c>
      <c r="AB104" s="236">
        <v>2291750</v>
      </c>
      <c r="AC104" s="236">
        <v>2215800</v>
      </c>
      <c r="AD104" s="236">
        <v>2460700</v>
      </c>
      <c r="AE104" s="236">
        <v>2401150</v>
      </c>
      <c r="AF104" s="236">
        <v>2198450</v>
      </c>
      <c r="AG104" s="236">
        <v>2562850</v>
      </c>
      <c r="AH104" s="236">
        <v>2994100</v>
      </c>
      <c r="AI104" s="236">
        <v>3606200</v>
      </c>
      <c r="AJ104" s="236">
        <v>12101950</v>
      </c>
      <c r="AK104" s="236"/>
      <c r="AL104" s="236"/>
      <c r="AM104" s="236"/>
      <c r="AN104" s="236"/>
      <c r="AO104" s="236"/>
      <c r="AP104" s="236"/>
      <c r="AQ104" s="236"/>
      <c r="AR104" s="236"/>
      <c r="AS104" s="236"/>
      <c r="AT104" s="369">
        <v>0</v>
      </c>
      <c r="AU104" s="90">
        <f t="shared" si="5"/>
        <v>32832950</v>
      </c>
    </row>
    <row r="105" spans="1:47" ht="34.5" hidden="1" customHeight="1" x14ac:dyDescent="0.25">
      <c r="A105" s="85">
        <v>99</v>
      </c>
      <c r="B105" s="2" t="str">
        <f>+'Base de Datos'!E105</f>
        <v>130147-0-2013</v>
      </c>
      <c r="C105" s="2" t="str">
        <f>+'Base de Datos'!F105</f>
        <v>BUSINESS TECHNOLOGIES COMPANY</v>
      </c>
      <c r="D105" s="2">
        <f>+'Base de Datos'!G105</f>
        <v>830109807</v>
      </c>
      <c r="E105" s="2" t="str">
        <f>+'Base de Datos'!H105</f>
        <v>Contratar la suscripción al servicio de información jurídica a través de boletines informativos por correo electrónico, consultas en pagina WEB y biblioteca digital de la legislación y jurisprudencia colombiana actualizada</v>
      </c>
      <c r="F105" s="3">
        <v>1030000</v>
      </c>
      <c r="G105" s="4">
        <v>41438</v>
      </c>
      <c r="H105" s="66">
        <v>41802</v>
      </c>
      <c r="I105" s="183"/>
      <c r="J105" s="359"/>
      <c r="K105" s="183"/>
      <c r="L105" s="359"/>
      <c r="M105" s="183"/>
      <c r="N105" s="359"/>
      <c r="O105" s="183"/>
      <c r="P105" s="359"/>
      <c r="Q105" s="86">
        <f t="shared" si="3"/>
        <v>0</v>
      </c>
      <c r="R105" s="372"/>
      <c r="S105" s="370"/>
      <c r="T105" s="372"/>
      <c r="U105" s="370"/>
      <c r="V105" s="372"/>
      <c r="W105" s="370"/>
      <c r="X105" s="372"/>
      <c r="Y105" s="370"/>
      <c r="Z105" s="188"/>
      <c r="AA105" s="88">
        <f t="shared" si="4"/>
        <v>0</v>
      </c>
      <c r="AB105" s="236">
        <v>1030000</v>
      </c>
      <c r="AC105" s="236"/>
      <c r="AD105" s="236"/>
      <c r="AE105" s="236"/>
      <c r="AF105" s="236"/>
      <c r="AG105" s="236"/>
      <c r="AH105" s="236"/>
      <c r="AI105" s="236"/>
      <c r="AJ105" s="236"/>
      <c r="AK105" s="236"/>
      <c r="AL105" s="236"/>
      <c r="AM105" s="236"/>
      <c r="AN105" s="236"/>
      <c r="AO105" s="236"/>
      <c r="AP105" s="236"/>
      <c r="AQ105" s="236"/>
      <c r="AR105" s="236"/>
      <c r="AS105" s="236"/>
      <c r="AT105" s="369">
        <v>0</v>
      </c>
      <c r="AU105" s="90">
        <f t="shared" si="5"/>
        <v>1030000</v>
      </c>
    </row>
    <row r="106" spans="1:47" ht="34.5" hidden="1" customHeight="1" x14ac:dyDescent="0.25">
      <c r="A106" s="85">
        <v>100</v>
      </c>
      <c r="B106" s="2" t="str">
        <f>+'Base de Datos'!E106</f>
        <v>130150-0-2013</v>
      </c>
      <c r="C106" s="2" t="str">
        <f>+'Base de Datos'!F106</f>
        <v>CANAL REGIONAL DE TELEVISION TEVEANDINA LTDA - TEVEANDINA LTDA</v>
      </c>
      <c r="D106" s="2">
        <f>+'Base de Datos'!G106</f>
        <v>830005370</v>
      </c>
      <c r="E106" s="2" t="str">
        <f>+'Base de Datos'!H106</f>
        <v>Contratar la preproducción, emisión y posproducción de programas de televisión que permita a los bogotanos conocer el diario trascurrir de la Corporación, así como las opiniones de los Honorables Concejales que representan los intereses de los diferentes sectores sociales de la capital.</v>
      </c>
      <c r="F106" s="3">
        <v>1379939352</v>
      </c>
      <c r="G106" s="4">
        <v>41421</v>
      </c>
      <c r="H106" s="77">
        <v>41785</v>
      </c>
      <c r="I106" s="183">
        <v>172492424</v>
      </c>
      <c r="J106" s="359"/>
      <c r="K106" s="183"/>
      <c r="L106" s="359"/>
      <c r="M106" s="183"/>
      <c r="N106" s="359"/>
      <c r="O106" s="183"/>
      <c r="P106" s="359"/>
      <c r="Q106" s="86">
        <f t="shared" si="3"/>
        <v>172492424</v>
      </c>
      <c r="R106" s="372" t="s">
        <v>988</v>
      </c>
      <c r="S106" s="370">
        <v>41817</v>
      </c>
      <c r="T106" s="372" t="s">
        <v>381</v>
      </c>
      <c r="U106" s="370">
        <v>41847</v>
      </c>
      <c r="V106" s="372" t="s">
        <v>989</v>
      </c>
      <c r="W106" s="370">
        <v>41897</v>
      </c>
      <c r="X106" s="372"/>
      <c r="Y106" s="370"/>
      <c r="Z106" s="187" t="s">
        <v>1479</v>
      </c>
      <c r="AA106" s="88">
        <f t="shared" si="4"/>
        <v>41897</v>
      </c>
      <c r="AB106" s="236">
        <v>291910256</v>
      </c>
      <c r="AC106" s="236">
        <v>152589452</v>
      </c>
      <c r="AD106" s="236">
        <v>139320804</v>
      </c>
      <c r="AE106" s="236">
        <v>139320804</v>
      </c>
      <c r="AF106" s="236">
        <v>126052156</v>
      </c>
      <c r="AG106" s="236">
        <v>106149184</v>
      </c>
      <c r="AH106" s="236">
        <v>112783508</v>
      </c>
      <c r="AI106" s="236">
        <v>112783508</v>
      </c>
      <c r="AJ106" s="236">
        <v>119417832</v>
      </c>
      <c r="AK106" s="236">
        <v>79611847</v>
      </c>
      <c r="AL106" s="236">
        <v>112783508</v>
      </c>
      <c r="AM106" s="236">
        <v>59708916</v>
      </c>
      <c r="AN106" s="236"/>
      <c r="AO106" s="236"/>
      <c r="AP106" s="236"/>
      <c r="AQ106" s="236"/>
      <c r="AR106" s="236"/>
      <c r="AS106" s="236"/>
      <c r="AT106" s="369">
        <v>0</v>
      </c>
      <c r="AU106" s="90">
        <f t="shared" si="5"/>
        <v>1552431775</v>
      </c>
    </row>
    <row r="107" spans="1:47" ht="34.5" hidden="1" customHeight="1" x14ac:dyDescent="0.25">
      <c r="A107" s="85">
        <v>101</v>
      </c>
      <c r="B107" s="2" t="str">
        <f>+'Base de Datos'!E107</f>
        <v>130152-0-2013</v>
      </c>
      <c r="C107" s="2" t="str">
        <f>+'Base de Datos'!F107</f>
        <v>EDITORIAL EL GLOBO S.A</v>
      </c>
      <c r="D107" s="2">
        <f>+'Base de Datos'!G107</f>
        <v>860009759</v>
      </c>
      <c r="E107" s="2" t="str">
        <f>+'Base de Datos'!H107</f>
        <v xml:space="preserve">SUSCRIPCIÓN AL DIARIO LA REPÚBLICA, POR EL TÉRMINO DE UN AÑO, PARA EL CONCEJO DE BOGOTÁ
</v>
      </c>
      <c r="F107" s="3">
        <v>849000</v>
      </c>
      <c r="G107" s="6">
        <v>41421</v>
      </c>
      <c r="H107" s="64">
        <v>41969</v>
      </c>
      <c r="I107" s="183"/>
      <c r="J107" s="359"/>
      <c r="K107" s="183"/>
      <c r="L107" s="359"/>
      <c r="M107" s="183"/>
      <c r="N107" s="359"/>
      <c r="O107" s="183"/>
      <c r="P107" s="359"/>
      <c r="Q107" s="86">
        <f t="shared" si="3"/>
        <v>0</v>
      </c>
      <c r="R107" s="372"/>
      <c r="S107" s="370"/>
      <c r="T107" s="372"/>
      <c r="U107" s="370"/>
      <c r="V107" s="372"/>
      <c r="W107" s="370"/>
      <c r="X107" s="372"/>
      <c r="Y107" s="370"/>
      <c r="Z107" s="188"/>
      <c r="AA107" s="88">
        <f t="shared" si="4"/>
        <v>0</v>
      </c>
      <c r="AB107" s="236">
        <v>849000</v>
      </c>
      <c r="AC107" s="236"/>
      <c r="AD107" s="236"/>
      <c r="AE107" s="236"/>
      <c r="AF107" s="236"/>
      <c r="AG107" s="236"/>
      <c r="AH107" s="236"/>
      <c r="AI107" s="236"/>
      <c r="AJ107" s="236"/>
      <c r="AK107" s="236"/>
      <c r="AL107" s="236"/>
      <c r="AM107" s="236"/>
      <c r="AN107" s="236"/>
      <c r="AO107" s="236"/>
      <c r="AP107" s="236"/>
      <c r="AQ107" s="236"/>
      <c r="AR107" s="236"/>
      <c r="AS107" s="236"/>
      <c r="AT107" s="369">
        <v>0</v>
      </c>
      <c r="AU107" s="90">
        <f t="shared" si="5"/>
        <v>849000</v>
      </c>
    </row>
    <row r="108" spans="1:47" ht="34.5" hidden="1" customHeight="1" x14ac:dyDescent="0.25">
      <c r="A108" s="85">
        <v>102</v>
      </c>
      <c r="B108" s="2" t="str">
        <f>+'Base de Datos'!E108</f>
        <v>130154-0-2013</v>
      </c>
      <c r="C108" s="2" t="str">
        <f>+'Base de Datos'!F108</f>
        <v>MUDANZAS LEMUS</v>
      </c>
      <c r="D108" s="2">
        <f>+'Base de Datos'!G108</f>
        <v>830101973</v>
      </c>
      <c r="E108" s="2" t="str">
        <f>+'Base de Datos'!H108</f>
        <v>Servicio de trasporte de bienes muebles y cajas de archivo documental para el Concejo de Bogotá, D.C.</v>
      </c>
      <c r="F108" s="3">
        <v>15000000</v>
      </c>
      <c r="G108" s="6">
        <v>41459</v>
      </c>
      <c r="H108" s="64">
        <v>41823</v>
      </c>
      <c r="I108" s="183"/>
      <c r="J108" s="359"/>
      <c r="K108" s="183"/>
      <c r="L108" s="359"/>
      <c r="M108" s="183"/>
      <c r="N108" s="359"/>
      <c r="O108" s="183"/>
      <c r="P108" s="359"/>
      <c r="Q108" s="86">
        <f t="shared" si="3"/>
        <v>0</v>
      </c>
      <c r="R108" s="372" t="s">
        <v>380</v>
      </c>
      <c r="S108" s="370">
        <v>41823</v>
      </c>
      <c r="T108" s="372"/>
      <c r="U108" s="370"/>
      <c r="V108" s="372"/>
      <c r="W108" s="370"/>
      <c r="X108" s="372"/>
      <c r="Y108" s="370"/>
      <c r="Z108" s="188" t="s">
        <v>380</v>
      </c>
      <c r="AA108" s="88">
        <f t="shared" si="4"/>
        <v>41823</v>
      </c>
      <c r="AB108" s="236">
        <v>1428000</v>
      </c>
      <c r="AC108" s="236">
        <v>235620</v>
      </c>
      <c r="AD108" s="236">
        <v>1312000</v>
      </c>
      <c r="AE108" s="236">
        <v>894000</v>
      </c>
      <c r="AF108" s="236">
        <v>1039000</v>
      </c>
      <c r="AG108" s="236">
        <v>460000</v>
      </c>
      <c r="AH108" s="236"/>
      <c r="AI108" s="236"/>
      <c r="AJ108" s="236"/>
      <c r="AK108" s="236"/>
      <c r="AL108" s="236"/>
      <c r="AM108" s="236"/>
      <c r="AN108" s="236"/>
      <c r="AO108" s="236"/>
      <c r="AP108" s="236"/>
      <c r="AQ108" s="236"/>
      <c r="AR108" s="236"/>
      <c r="AS108" s="236"/>
      <c r="AT108" s="369">
        <v>0</v>
      </c>
      <c r="AU108" s="90">
        <f t="shared" si="5"/>
        <v>5368620</v>
      </c>
    </row>
    <row r="109" spans="1:47" ht="34.5" hidden="1" customHeight="1" x14ac:dyDescent="0.25">
      <c r="A109" s="85">
        <v>103</v>
      </c>
      <c r="B109" s="2" t="str">
        <f>+'Base de Datos'!E109</f>
        <v>130156-0-2013</v>
      </c>
      <c r="C109" s="2" t="str">
        <f>+'Base de Datos'!F109</f>
        <v>SOLUTION COPY LTDA</v>
      </c>
      <c r="D109" s="2">
        <f>+'Base de Datos'!G109</f>
        <v>830053669</v>
      </c>
      <c r="E109" s="2" t="str">
        <f>+'Base de Datos'!H109</f>
        <v>Contratar la prestación de servicio de fotocopiado y servicios afines para el Concejo de Bogotá y la Secretaría de Hacienda</v>
      </c>
      <c r="F109" s="3">
        <v>31904847</v>
      </c>
      <c r="G109" s="6">
        <v>41426</v>
      </c>
      <c r="H109" s="138">
        <v>41729</v>
      </c>
      <c r="I109" s="183">
        <v>1500000</v>
      </c>
      <c r="J109" s="359"/>
      <c r="K109" s="183">
        <v>2500000</v>
      </c>
      <c r="L109" s="359"/>
      <c r="M109" s="183"/>
      <c r="N109" s="359"/>
      <c r="O109" s="183"/>
      <c r="P109" s="359"/>
      <c r="Q109" s="86">
        <f t="shared" si="3"/>
        <v>4000000</v>
      </c>
      <c r="R109" s="372" t="s">
        <v>990</v>
      </c>
      <c r="S109" s="370">
        <v>41790</v>
      </c>
      <c r="T109" s="372" t="s">
        <v>381</v>
      </c>
      <c r="U109" s="370">
        <v>41820</v>
      </c>
      <c r="V109" s="372"/>
      <c r="W109" s="370"/>
      <c r="X109" s="372"/>
      <c r="Y109" s="370"/>
      <c r="Z109" s="188" t="s">
        <v>379</v>
      </c>
      <c r="AA109" s="88">
        <f t="shared" si="4"/>
        <v>41820</v>
      </c>
      <c r="AB109" s="236">
        <v>3103426</v>
      </c>
      <c r="AC109" s="236">
        <v>2334933</v>
      </c>
      <c r="AD109" s="236">
        <v>2401413</v>
      </c>
      <c r="AE109" s="236">
        <v>2604334</v>
      </c>
      <c r="AF109" s="236">
        <v>4423254</v>
      </c>
      <c r="AG109" s="236">
        <v>2673234</v>
      </c>
      <c r="AH109" s="236">
        <v>2093048</v>
      </c>
      <c r="AI109" s="236">
        <v>2346733</v>
      </c>
      <c r="AJ109" s="236">
        <v>3437235</v>
      </c>
      <c r="AK109" s="236">
        <v>2444272</v>
      </c>
      <c r="AL109" s="236">
        <v>2136181</v>
      </c>
      <c r="AM109" s="236">
        <v>3122035</v>
      </c>
      <c r="AN109" s="236">
        <v>2784747</v>
      </c>
      <c r="AO109" s="236"/>
      <c r="AP109" s="236"/>
      <c r="AQ109" s="236"/>
      <c r="AR109" s="236"/>
      <c r="AS109" s="236"/>
      <c r="AT109" s="369">
        <v>0</v>
      </c>
      <c r="AU109" s="90">
        <f t="shared" si="5"/>
        <v>35904845</v>
      </c>
    </row>
    <row r="110" spans="1:47" ht="34.5" hidden="1" customHeight="1" x14ac:dyDescent="0.25">
      <c r="A110" s="85">
        <v>104</v>
      </c>
      <c r="B110" s="2" t="str">
        <f>+'Base de Datos'!E110</f>
        <v>130161-0-2013</v>
      </c>
      <c r="C110" s="2" t="str">
        <f>+'Base de Datos'!F110</f>
        <v>AUGUSTO MEDIVELSO OJEDA</v>
      </c>
      <c r="D110" s="2">
        <f>+'Base de Datos'!G110</f>
        <v>230802</v>
      </c>
      <c r="E110" s="2" t="str">
        <f>+'Base de Datos'!H110</f>
        <v>Prestar servicios profesionales de asesoría jurídica en orden a la identificación de riesgos potenciales a los que se encuentra expuesto el Concejo de Bogotá.</v>
      </c>
      <c r="F110" s="3">
        <v>40000000</v>
      </c>
      <c r="G110" s="4">
        <v>41416</v>
      </c>
      <c r="H110" s="66">
        <v>41660</v>
      </c>
      <c r="I110" s="183"/>
      <c r="J110" s="359"/>
      <c r="K110" s="183"/>
      <c r="L110" s="359"/>
      <c r="M110" s="183"/>
      <c r="N110" s="359"/>
      <c r="O110" s="183"/>
      <c r="P110" s="359"/>
      <c r="Q110" s="86">
        <f t="shared" si="3"/>
        <v>0</v>
      </c>
      <c r="R110" s="372"/>
      <c r="S110" s="370"/>
      <c r="T110" s="372"/>
      <c r="U110" s="370"/>
      <c r="V110" s="372"/>
      <c r="W110" s="370"/>
      <c r="X110" s="372"/>
      <c r="Y110" s="370"/>
      <c r="Z110" s="188"/>
      <c r="AA110" s="88">
        <f t="shared" si="4"/>
        <v>0</v>
      </c>
      <c r="AB110" s="236">
        <v>1667000</v>
      </c>
      <c r="AC110" s="236">
        <v>5000000</v>
      </c>
      <c r="AD110" s="236">
        <v>5000000</v>
      </c>
      <c r="AE110" s="236">
        <v>5000000</v>
      </c>
      <c r="AF110" s="236"/>
      <c r="AG110" s="236"/>
      <c r="AH110" s="236"/>
      <c r="AI110" s="236"/>
      <c r="AJ110" s="236"/>
      <c r="AK110" s="236"/>
      <c r="AL110" s="236"/>
      <c r="AM110" s="236"/>
      <c r="AN110" s="236"/>
      <c r="AO110" s="236"/>
      <c r="AP110" s="236"/>
      <c r="AQ110" s="236"/>
      <c r="AR110" s="236"/>
      <c r="AS110" s="236"/>
      <c r="AT110" s="369">
        <v>0</v>
      </c>
      <c r="AU110" s="90">
        <f t="shared" si="5"/>
        <v>16667000</v>
      </c>
    </row>
    <row r="111" spans="1:47" ht="34.5" hidden="1" customHeight="1" x14ac:dyDescent="0.25">
      <c r="A111" s="85">
        <v>105</v>
      </c>
      <c r="B111" s="2" t="str">
        <f>+'Base de Datos'!E111</f>
        <v>130162-0-2013</v>
      </c>
      <c r="C111" s="2" t="str">
        <f>+'Base de Datos'!F111</f>
        <v>SGS COLOMBIA S.A.</v>
      </c>
      <c r="D111" s="2">
        <f>+'Base de Datos'!G111</f>
        <v>860049921</v>
      </c>
      <c r="E111" s="2" t="str">
        <f>+'Base de Datos'!H111</f>
        <v>Realizar la auditoria de seguimiento al sistema de Gestión de calidad del Concejo de Bogotá D.C. bajo las normas ISO 9001-2008 y la NTC-GP 1000;2009</v>
      </c>
      <c r="F111" s="8">
        <v>4524000</v>
      </c>
      <c r="G111" s="6">
        <v>41548</v>
      </c>
      <c r="H111" s="64">
        <v>41578</v>
      </c>
      <c r="I111" s="183"/>
      <c r="J111" s="359"/>
      <c r="K111" s="183"/>
      <c r="L111" s="359"/>
      <c r="M111" s="183"/>
      <c r="N111" s="359"/>
      <c r="O111" s="183"/>
      <c r="P111" s="359"/>
      <c r="Q111" s="86">
        <f t="shared" si="3"/>
        <v>0</v>
      </c>
      <c r="R111" s="372"/>
      <c r="S111" s="370"/>
      <c r="T111" s="372"/>
      <c r="U111" s="370"/>
      <c r="V111" s="372"/>
      <c r="W111" s="370"/>
      <c r="X111" s="372"/>
      <c r="Y111" s="370"/>
      <c r="Z111" s="188"/>
      <c r="AA111" s="88">
        <f t="shared" si="4"/>
        <v>0</v>
      </c>
      <c r="AB111" s="236">
        <v>4524000</v>
      </c>
      <c r="AC111" s="236"/>
      <c r="AD111" s="236"/>
      <c r="AE111" s="236"/>
      <c r="AF111" s="236"/>
      <c r="AG111" s="236"/>
      <c r="AH111" s="236"/>
      <c r="AI111" s="236"/>
      <c r="AJ111" s="236"/>
      <c r="AK111" s="236"/>
      <c r="AL111" s="236"/>
      <c r="AM111" s="236"/>
      <c r="AN111" s="236"/>
      <c r="AO111" s="236"/>
      <c r="AP111" s="236"/>
      <c r="AQ111" s="236"/>
      <c r="AR111" s="236"/>
      <c r="AS111" s="236"/>
      <c r="AT111" s="369">
        <v>0</v>
      </c>
      <c r="AU111" s="90">
        <f t="shared" si="5"/>
        <v>4524000</v>
      </c>
    </row>
    <row r="112" spans="1:47" ht="34.5" hidden="1" customHeight="1" x14ac:dyDescent="0.25">
      <c r="A112" s="85">
        <v>106</v>
      </c>
      <c r="B112" s="2" t="str">
        <f>+'Base de Datos'!E112</f>
        <v>130163-0-2013</v>
      </c>
      <c r="C112" s="2" t="str">
        <f>+'Base de Datos'!F112</f>
        <v>KHAANKO NORBERTO RUIZ RODRÍGUEZ</v>
      </c>
      <c r="D112" s="2">
        <f>+'Base de Datos'!G112</f>
        <v>79887061</v>
      </c>
      <c r="E112" s="2" t="str">
        <f>+'Base de Datos'!H112</f>
        <v>Prestar servicios profesionales para llevar a cabo el seguimiento de todas las solicitudes registradas en el aplicativo Mesa de Ayuda del proceso de sistemas del Concejo de Bogotá D.C.</v>
      </c>
      <c r="F112" s="3">
        <v>20800000</v>
      </c>
      <c r="G112" s="4">
        <v>41421</v>
      </c>
      <c r="H112" s="66">
        <v>41665</v>
      </c>
      <c r="I112" s="183"/>
      <c r="J112" s="359"/>
      <c r="K112" s="183"/>
      <c r="L112" s="359"/>
      <c r="M112" s="183"/>
      <c r="N112" s="359"/>
      <c r="O112" s="183"/>
      <c r="P112" s="359"/>
      <c r="Q112" s="86">
        <f t="shared" si="3"/>
        <v>0</v>
      </c>
      <c r="R112" s="372"/>
      <c r="S112" s="370"/>
      <c r="T112" s="372"/>
      <c r="U112" s="370"/>
      <c r="V112" s="372"/>
      <c r="W112" s="370"/>
      <c r="X112" s="372"/>
      <c r="Y112" s="370"/>
      <c r="Z112" s="188"/>
      <c r="AA112" s="88">
        <f t="shared" si="4"/>
        <v>0</v>
      </c>
      <c r="AB112" s="236">
        <v>20800000</v>
      </c>
      <c r="AC112" s="236"/>
      <c r="AD112" s="236"/>
      <c r="AE112" s="236"/>
      <c r="AF112" s="236"/>
      <c r="AG112" s="236"/>
      <c r="AH112" s="236"/>
      <c r="AI112" s="236"/>
      <c r="AJ112" s="236"/>
      <c r="AK112" s="236"/>
      <c r="AL112" s="236"/>
      <c r="AM112" s="236"/>
      <c r="AN112" s="236"/>
      <c r="AO112" s="236"/>
      <c r="AP112" s="236"/>
      <c r="AQ112" s="236"/>
      <c r="AR112" s="236"/>
      <c r="AS112" s="236"/>
      <c r="AT112" s="369">
        <v>0</v>
      </c>
      <c r="AU112" s="90">
        <f t="shared" si="5"/>
        <v>20800000</v>
      </c>
    </row>
    <row r="113" spans="1:47" ht="34.5" hidden="1" customHeight="1" x14ac:dyDescent="0.25">
      <c r="A113" s="85">
        <v>107</v>
      </c>
      <c r="B113" s="2" t="str">
        <f>+'Base de Datos'!E113</f>
        <v>130164-0-2013</v>
      </c>
      <c r="C113" s="2" t="str">
        <f>+'Base de Datos'!F113</f>
        <v>EDELMIRA ATARA GIL</v>
      </c>
      <c r="D113" s="2">
        <f>+'Base de Datos'!G113</f>
        <v>51721571</v>
      </c>
      <c r="E113" s="2" t="str">
        <f>+'Base de Datos'!H113</f>
        <v>Formular una propuesta de "Manual de Manejo de Conflictos" a partir del diagnóstico del clima laboral, de forma tal que se permita detectar, prevenir e intervenir de manera oportuna los riesgos potenciales en materia de relaciones interpersonales de los servidores públicos en el Concejo de Bogotá D.C. previo diagnóstico del clima organizacional actual.</v>
      </c>
      <c r="F113" s="3">
        <v>28000000</v>
      </c>
      <c r="G113" s="4">
        <v>41423</v>
      </c>
      <c r="H113" s="66">
        <v>41667</v>
      </c>
      <c r="I113" s="183"/>
      <c r="J113" s="359"/>
      <c r="K113" s="183"/>
      <c r="L113" s="359"/>
      <c r="M113" s="183"/>
      <c r="N113" s="359"/>
      <c r="O113" s="183"/>
      <c r="P113" s="359"/>
      <c r="Q113" s="86">
        <f t="shared" si="3"/>
        <v>0</v>
      </c>
      <c r="R113" s="372"/>
      <c r="S113" s="370"/>
      <c r="T113" s="372"/>
      <c r="U113" s="370"/>
      <c r="V113" s="372"/>
      <c r="W113" s="370"/>
      <c r="X113" s="372"/>
      <c r="Y113" s="370"/>
      <c r="Z113" s="188"/>
      <c r="AA113" s="88">
        <f t="shared" si="4"/>
        <v>0</v>
      </c>
      <c r="AB113" s="236">
        <v>28000000</v>
      </c>
      <c r="AC113" s="236"/>
      <c r="AD113" s="236"/>
      <c r="AE113" s="236"/>
      <c r="AF113" s="236"/>
      <c r="AG113" s="236"/>
      <c r="AH113" s="236"/>
      <c r="AI113" s="236"/>
      <c r="AJ113" s="236"/>
      <c r="AK113" s="236"/>
      <c r="AL113" s="236"/>
      <c r="AM113" s="236"/>
      <c r="AN113" s="236"/>
      <c r="AO113" s="236"/>
      <c r="AP113" s="236"/>
      <c r="AQ113" s="236"/>
      <c r="AR113" s="236"/>
      <c r="AS113" s="236"/>
      <c r="AT113" s="369">
        <v>0</v>
      </c>
      <c r="AU113" s="90">
        <f t="shared" si="5"/>
        <v>28000000</v>
      </c>
    </row>
    <row r="114" spans="1:47" ht="34.5" hidden="1" customHeight="1" x14ac:dyDescent="0.25">
      <c r="A114" s="85">
        <v>108</v>
      </c>
      <c r="B114" s="2" t="str">
        <f>+'Base de Datos'!E114</f>
        <v>130166-0-2013</v>
      </c>
      <c r="C114" s="2" t="str">
        <f>+'Base de Datos'!F114</f>
        <v>RICOH COLOMBIA S.A.</v>
      </c>
      <c r="D114" s="2">
        <f>+'Base de Datos'!G114</f>
        <v>800026212</v>
      </c>
      <c r="E114" s="2" t="str">
        <f>+'Base de Datos'!H114</f>
        <v>Adquisición de impresoras para el Concejo de Bogotá, de conformidad con los requerimientos establecidos en el pliego de condiciones del proceso SDH-SIE-02-2013</v>
      </c>
      <c r="F114" s="3">
        <v>266580829</v>
      </c>
      <c r="G114" s="6">
        <v>41457</v>
      </c>
      <c r="H114" s="64">
        <v>41501</v>
      </c>
      <c r="I114" s="183"/>
      <c r="J114" s="359"/>
      <c r="K114" s="183"/>
      <c r="L114" s="359"/>
      <c r="M114" s="183"/>
      <c r="N114" s="359"/>
      <c r="O114" s="183"/>
      <c r="P114" s="359"/>
      <c r="Q114" s="86">
        <f t="shared" si="3"/>
        <v>0</v>
      </c>
      <c r="R114" s="372"/>
      <c r="S114" s="370"/>
      <c r="T114" s="372"/>
      <c r="U114" s="370"/>
      <c r="V114" s="372"/>
      <c r="W114" s="370"/>
      <c r="X114" s="372"/>
      <c r="Y114" s="370"/>
      <c r="Z114" s="188"/>
      <c r="AA114" s="88">
        <f t="shared" si="4"/>
        <v>0</v>
      </c>
      <c r="AB114" s="236">
        <v>266580829</v>
      </c>
      <c r="AC114" s="236"/>
      <c r="AD114" s="236"/>
      <c r="AE114" s="236"/>
      <c r="AF114" s="236"/>
      <c r="AG114" s="236"/>
      <c r="AH114" s="236"/>
      <c r="AI114" s="236"/>
      <c r="AJ114" s="236"/>
      <c r="AK114" s="236"/>
      <c r="AL114" s="236"/>
      <c r="AM114" s="236"/>
      <c r="AN114" s="236"/>
      <c r="AO114" s="236"/>
      <c r="AP114" s="236"/>
      <c r="AQ114" s="236"/>
      <c r="AR114" s="236"/>
      <c r="AS114" s="236"/>
      <c r="AT114" s="369">
        <v>0</v>
      </c>
      <c r="AU114" s="90">
        <f t="shared" si="5"/>
        <v>266580829</v>
      </c>
    </row>
    <row r="115" spans="1:47" ht="34.5" hidden="1" customHeight="1" x14ac:dyDescent="0.25">
      <c r="A115" s="85">
        <v>109</v>
      </c>
      <c r="B115" s="2" t="str">
        <f>+'Base de Datos'!E115</f>
        <v>130186-0-2013</v>
      </c>
      <c r="C115" s="2" t="str">
        <f>+'Base de Datos'!F115</f>
        <v>INVERSIONES MATAY SAS</v>
      </c>
      <c r="D115" s="2">
        <f>+'Base de Datos'!G115</f>
        <v>900450570</v>
      </c>
      <c r="E115" s="2" t="str">
        <f>+'Base de Datos'!H115</f>
        <v>Contratar a titulo de arrendamiento un inmueble para uso de parqueadero, para el Concejo de Bogotá D.C.</v>
      </c>
      <c r="F115" s="3">
        <v>232000000</v>
      </c>
      <c r="G115" s="4">
        <v>41463</v>
      </c>
      <c r="H115" s="66">
        <v>41766</v>
      </c>
      <c r="I115" s="183">
        <v>27985909</v>
      </c>
      <c r="J115" s="359"/>
      <c r="K115" s="183">
        <v>88911605</v>
      </c>
      <c r="L115" s="359"/>
      <c r="M115" s="183"/>
      <c r="N115" s="359"/>
      <c r="O115" s="183"/>
      <c r="P115" s="359"/>
      <c r="Q115" s="86">
        <f t="shared" si="3"/>
        <v>116897514</v>
      </c>
      <c r="R115" s="372" t="s">
        <v>975</v>
      </c>
      <c r="S115" s="370">
        <v>41849</v>
      </c>
      <c r="T115" s="372"/>
      <c r="U115" s="370"/>
      <c r="V115" s="372"/>
      <c r="W115" s="370"/>
      <c r="X115" s="372"/>
      <c r="Y115" s="370"/>
      <c r="Z115" s="188" t="s">
        <v>975</v>
      </c>
      <c r="AA115" s="88">
        <f t="shared" si="4"/>
        <v>41849</v>
      </c>
      <c r="AB115" s="236">
        <v>23200000</v>
      </c>
      <c r="AC115" s="236">
        <v>23200000</v>
      </c>
      <c r="AD115" s="236">
        <v>23200000</v>
      </c>
      <c r="AE115" s="236">
        <v>23200000</v>
      </c>
      <c r="AF115" s="236">
        <v>23200000</v>
      </c>
      <c r="AG115" s="236">
        <v>23200000</v>
      </c>
      <c r="AH115" s="236">
        <v>23200000</v>
      </c>
      <c r="AI115" s="236">
        <v>23200000</v>
      </c>
      <c r="AJ115" s="236">
        <v>9328636</v>
      </c>
      <c r="AK115" s="236">
        <v>32528636</v>
      </c>
      <c r="AL115" s="236">
        <v>32528636</v>
      </c>
      <c r="AM115" s="236">
        <v>32528636</v>
      </c>
      <c r="AN115" s="236">
        <v>32528636</v>
      </c>
      <c r="AO115" s="236">
        <v>23854334</v>
      </c>
      <c r="AP115" s="236"/>
      <c r="AQ115" s="236"/>
      <c r="AR115" s="236"/>
      <c r="AS115" s="236"/>
      <c r="AT115" s="369">
        <v>0</v>
      </c>
      <c r="AU115" s="90">
        <f t="shared" si="5"/>
        <v>348897514</v>
      </c>
    </row>
    <row r="116" spans="1:47" ht="34.5" hidden="1" customHeight="1" x14ac:dyDescent="0.25">
      <c r="A116" s="85">
        <v>110</v>
      </c>
      <c r="B116" s="2" t="str">
        <f>+'Base de Datos'!E116</f>
        <v>130190-0-2013</v>
      </c>
      <c r="C116" s="2" t="str">
        <f>+'Base de Datos'!F116</f>
        <v>CR TROFEOS LTDA</v>
      </c>
      <c r="D116" s="2">
        <f>+'Base de Datos'!G116</f>
        <v>830100153</v>
      </c>
      <c r="E116" s="2" t="str">
        <f>+'Base de Datos'!H116</f>
        <v>Suministrar elementos de promoción institucional y actos protocolarios del Concejo de Bogotá D.C., de acuerdo con las especificaciones técnicas y en las cantidades solicitadas de conformidad con lo establecido en la presente Invitación Pública.</v>
      </c>
      <c r="F116" s="3">
        <v>23246000</v>
      </c>
      <c r="G116" s="6">
        <v>41463</v>
      </c>
      <c r="H116" s="64">
        <v>41646</v>
      </c>
      <c r="I116" s="183"/>
      <c r="J116" s="359"/>
      <c r="K116" s="183"/>
      <c r="L116" s="359"/>
      <c r="M116" s="183"/>
      <c r="N116" s="359"/>
      <c r="O116" s="183"/>
      <c r="P116" s="359"/>
      <c r="Q116" s="86">
        <f t="shared" si="3"/>
        <v>0</v>
      </c>
      <c r="R116" s="372" t="s">
        <v>378</v>
      </c>
      <c r="S116" s="370">
        <v>41705</v>
      </c>
      <c r="T116" s="372" t="s">
        <v>381</v>
      </c>
      <c r="U116" s="370">
        <v>41736</v>
      </c>
      <c r="V116" s="372"/>
      <c r="W116" s="370"/>
      <c r="X116" s="372"/>
      <c r="Y116" s="370"/>
      <c r="Z116" s="383" t="s">
        <v>379</v>
      </c>
      <c r="AA116" s="88">
        <f t="shared" si="4"/>
        <v>41736</v>
      </c>
      <c r="AB116" s="236">
        <v>2574997</v>
      </c>
      <c r="AC116" s="236">
        <v>2018997</v>
      </c>
      <c r="AD116" s="236">
        <v>10536988</v>
      </c>
      <c r="AE116" s="236">
        <v>4641995</v>
      </c>
      <c r="AF116" s="236"/>
      <c r="AG116" s="236"/>
      <c r="AH116" s="236"/>
      <c r="AI116" s="236"/>
      <c r="AJ116" s="236"/>
      <c r="AK116" s="236"/>
      <c r="AL116" s="236"/>
      <c r="AM116" s="236"/>
      <c r="AN116" s="236"/>
      <c r="AO116" s="236"/>
      <c r="AP116" s="236"/>
      <c r="AQ116" s="236"/>
      <c r="AR116" s="236"/>
      <c r="AS116" s="236"/>
      <c r="AT116" s="369">
        <v>0</v>
      </c>
      <c r="AU116" s="90">
        <f t="shared" si="5"/>
        <v>19772977</v>
      </c>
    </row>
    <row r="117" spans="1:47" ht="34.5" hidden="1" customHeight="1" x14ac:dyDescent="0.25">
      <c r="A117" s="85">
        <v>111</v>
      </c>
      <c r="B117" s="2" t="str">
        <f>+'Base de Datos'!E117</f>
        <v>130194-0-2013</v>
      </c>
      <c r="C117" s="2" t="str">
        <f>+'Base de Datos'!F117</f>
        <v xml:space="preserve">UNIÓN TEMPORAL EMINSER-SOLOASEO </v>
      </c>
      <c r="D117" s="2">
        <f>+'Base de Datos'!G117</f>
        <v>900548648</v>
      </c>
      <c r="E117" s="2" t="str">
        <f>+'Base de Datos'!H117</f>
        <v>Prestar el servicio integral de aseo y cafetería  para las instalaciones del Concejo de Bogotá y la Secretaria de Hacienda</v>
      </c>
      <c r="F117" s="3">
        <v>301200000</v>
      </c>
      <c r="G117" s="6">
        <v>41446</v>
      </c>
      <c r="H117" s="64">
        <v>41718</v>
      </c>
      <c r="I117" s="183">
        <v>20373359</v>
      </c>
      <c r="J117" s="359"/>
      <c r="K117" s="183"/>
      <c r="L117" s="359"/>
      <c r="M117" s="183"/>
      <c r="N117" s="359"/>
      <c r="O117" s="183"/>
      <c r="P117" s="359"/>
      <c r="Q117" s="86">
        <f t="shared" si="3"/>
        <v>20373359</v>
      </c>
      <c r="R117" s="372" t="s">
        <v>378</v>
      </c>
      <c r="S117" s="370">
        <v>41779</v>
      </c>
      <c r="T117" s="372" t="s">
        <v>381</v>
      </c>
      <c r="U117" s="370">
        <v>41810</v>
      </c>
      <c r="V117" s="372"/>
      <c r="W117" s="370"/>
      <c r="X117" s="372"/>
      <c r="Y117" s="370"/>
      <c r="Z117" s="188" t="s">
        <v>379</v>
      </c>
      <c r="AA117" s="88">
        <f t="shared" si="4"/>
        <v>41810</v>
      </c>
      <c r="AB117" s="236">
        <v>4525468</v>
      </c>
      <c r="AC117" s="236">
        <v>23695722</v>
      </c>
      <c r="AD117" s="236">
        <v>22678825</v>
      </c>
      <c r="AE117" s="236">
        <v>24631568</v>
      </c>
      <c r="AF117" s="236">
        <v>23090739</v>
      </c>
      <c r="AG117" s="236">
        <v>25876960</v>
      </c>
      <c r="AH117" s="236">
        <v>26555803</v>
      </c>
      <c r="AI117" s="236">
        <v>26909456</v>
      </c>
      <c r="AJ117" s="236">
        <v>24364975</v>
      </c>
      <c r="AK117" s="236">
        <v>28898434</v>
      </c>
      <c r="AL117" s="236">
        <v>35952259</v>
      </c>
      <c r="AM117" s="236">
        <v>26607375</v>
      </c>
      <c r="AN117" s="236">
        <v>23444434</v>
      </c>
      <c r="AO117" s="236"/>
      <c r="AP117" s="236"/>
      <c r="AQ117" s="236"/>
      <c r="AR117" s="236"/>
      <c r="AS117" s="236"/>
      <c r="AT117" s="369">
        <v>0</v>
      </c>
      <c r="AU117" s="90">
        <f t="shared" si="5"/>
        <v>317232018</v>
      </c>
    </row>
    <row r="118" spans="1:47" ht="34.5" hidden="1" customHeight="1" x14ac:dyDescent="0.25">
      <c r="A118" s="85">
        <v>112</v>
      </c>
      <c r="B118" s="2" t="str">
        <f>+'Base de Datos'!E118</f>
        <v>130196-0-2013</v>
      </c>
      <c r="C118" s="2" t="str">
        <f>+'Base de Datos'!F118</f>
        <v>CARLOS ALFONSO RESTREPO</v>
      </c>
      <c r="D118" s="2">
        <f>+'Base de Datos'!G118</f>
        <v>80422654</v>
      </c>
      <c r="E118" s="2" t="str">
        <f>+'Base de Datos'!H118</f>
        <v>Realizar la interventoría técnica, administrativa, ambiental, contractual, financiera, legal y presupuestal para el contrato de mantenimiento integral locativo con el suministro de personal, equipo y repuestos en las instalaciones del Concejo de Bogotá.</v>
      </c>
      <c r="F118" s="3">
        <v>15797970</v>
      </c>
      <c r="G118" s="6">
        <v>41464</v>
      </c>
      <c r="H118" s="64">
        <v>41737</v>
      </c>
      <c r="I118" s="183">
        <v>4798634</v>
      </c>
      <c r="J118" s="359"/>
      <c r="K118" s="183">
        <v>1696087</v>
      </c>
      <c r="L118" s="359"/>
      <c r="M118" s="183"/>
      <c r="N118" s="359"/>
      <c r="O118" s="183"/>
      <c r="P118" s="359"/>
      <c r="Q118" s="86">
        <f t="shared" si="3"/>
        <v>6494721</v>
      </c>
      <c r="R118" s="372" t="s">
        <v>997</v>
      </c>
      <c r="S118" s="370">
        <v>41820</v>
      </c>
      <c r="T118" s="372" t="s">
        <v>381</v>
      </c>
      <c r="U118" s="370">
        <v>41851</v>
      </c>
      <c r="V118" s="372"/>
      <c r="W118" s="370"/>
      <c r="X118" s="372"/>
      <c r="Y118" s="370"/>
      <c r="Z118" s="189" t="s">
        <v>1564</v>
      </c>
      <c r="AA118" s="88">
        <f t="shared" si="4"/>
        <v>41851</v>
      </c>
      <c r="AB118" s="236">
        <v>1777272</v>
      </c>
      <c r="AC118" s="236">
        <v>1777272</v>
      </c>
      <c r="AD118" s="236">
        <v>1777272</v>
      </c>
      <c r="AE118" s="236">
        <v>1777272</v>
      </c>
      <c r="AF118" s="236">
        <v>1777272</v>
      </c>
      <c r="AG118" s="236">
        <v>1777272</v>
      </c>
      <c r="AH118" s="236">
        <v>1777272</v>
      </c>
      <c r="AI118" s="236">
        <v>1777272</v>
      </c>
      <c r="AJ118" s="236">
        <v>5845249</v>
      </c>
      <c r="AK118" s="236">
        <v>2229266</v>
      </c>
      <c r="AL118" s="236"/>
      <c r="AM118" s="236"/>
      <c r="AN118" s="236"/>
      <c r="AO118" s="236"/>
      <c r="AP118" s="236"/>
      <c r="AQ118" s="236"/>
      <c r="AR118" s="236"/>
      <c r="AS118" s="236"/>
      <c r="AT118" s="369">
        <v>42136</v>
      </c>
      <c r="AU118" s="90">
        <f t="shared" si="5"/>
        <v>22292691</v>
      </c>
    </row>
    <row r="119" spans="1:47" ht="34.5" hidden="1" customHeight="1" x14ac:dyDescent="0.25">
      <c r="A119" s="85">
        <v>113</v>
      </c>
      <c r="B119" s="2" t="str">
        <f>+'Base de Datos'!E119</f>
        <v>130198-0-2013</v>
      </c>
      <c r="C119" s="2" t="str">
        <f>+'Base de Datos'!F119</f>
        <v>EDGAR EULICES GONZÁLEZ</v>
      </c>
      <c r="D119" s="2">
        <f>+'Base de Datos'!G119</f>
        <v>4098836</v>
      </c>
      <c r="E119" s="2" t="str">
        <f>+'Base de Datos'!H119</f>
        <v>Prestar los servicios profesionales para apoyar a la Dirección Financiera del Concejo de Bogotá D.C., en la revisión y estudio de las historias laborales de los funcionarios para establecer la definición técnica y jurídica del cumplimiento de los requisitos en los diferentes regímenes de pensión.</v>
      </c>
      <c r="F119" s="8">
        <v>23989000</v>
      </c>
      <c r="G119" s="6">
        <v>41457</v>
      </c>
      <c r="H119" s="64">
        <v>41671</v>
      </c>
      <c r="I119" s="183"/>
      <c r="J119" s="359"/>
      <c r="K119" s="183"/>
      <c r="L119" s="359"/>
      <c r="M119" s="183"/>
      <c r="N119" s="359"/>
      <c r="O119" s="183"/>
      <c r="P119" s="359"/>
      <c r="Q119" s="86">
        <f t="shared" si="3"/>
        <v>0</v>
      </c>
      <c r="R119" s="372"/>
      <c r="S119" s="370"/>
      <c r="T119" s="372"/>
      <c r="U119" s="370"/>
      <c r="V119" s="372"/>
      <c r="W119" s="370"/>
      <c r="X119" s="372"/>
      <c r="Y119" s="370"/>
      <c r="Z119" s="188"/>
      <c r="AA119" s="88">
        <f t="shared" si="4"/>
        <v>0</v>
      </c>
      <c r="AB119" s="236">
        <v>3312766</v>
      </c>
      <c r="AC119" s="236">
        <v>3427000</v>
      </c>
      <c r="AD119" s="236">
        <v>3427000</v>
      </c>
      <c r="AE119" s="236">
        <v>3427000</v>
      </c>
      <c r="AF119" s="236">
        <v>3427000</v>
      </c>
      <c r="AG119" s="236">
        <v>3427000</v>
      </c>
      <c r="AH119" s="236">
        <v>3427000</v>
      </c>
      <c r="AI119" s="236">
        <v>114234</v>
      </c>
      <c r="AJ119" s="236"/>
      <c r="AK119" s="236"/>
      <c r="AL119" s="236"/>
      <c r="AM119" s="236"/>
      <c r="AN119" s="236"/>
      <c r="AO119" s="236"/>
      <c r="AP119" s="236"/>
      <c r="AQ119" s="236"/>
      <c r="AR119" s="236"/>
      <c r="AS119" s="236"/>
      <c r="AT119" s="369">
        <v>0</v>
      </c>
      <c r="AU119" s="90">
        <f t="shared" si="5"/>
        <v>23989000</v>
      </c>
    </row>
    <row r="120" spans="1:47" ht="34.5" hidden="1" customHeight="1" x14ac:dyDescent="0.25">
      <c r="A120" s="85">
        <v>114</v>
      </c>
      <c r="B120" s="2" t="str">
        <f>+'Base de Datos'!E120</f>
        <v>130200-0-2013</v>
      </c>
      <c r="C120" s="2" t="str">
        <f>+'Base de Datos'!F120</f>
        <v>HERNANDO  BULLA ORJUELA</v>
      </c>
      <c r="D120" s="2">
        <f>+'Base de Datos'!G120</f>
        <v>4831</v>
      </c>
      <c r="E120" s="2" t="str">
        <f>+'Base de Datos'!H120</f>
        <v>Prestación del servicio de mantenimiento correctivo con suministro de repuestos de los automotores marca CHEVROLET al servicio del Concejo de Bogotá.</v>
      </c>
      <c r="F120" s="3">
        <v>13576000</v>
      </c>
      <c r="G120" s="6">
        <v>41470</v>
      </c>
      <c r="H120" s="64">
        <v>41712</v>
      </c>
      <c r="I120" s="183">
        <v>6000000</v>
      </c>
      <c r="J120" s="359"/>
      <c r="K120" s="183"/>
      <c r="L120" s="359"/>
      <c r="M120" s="183"/>
      <c r="N120" s="359"/>
      <c r="O120" s="183"/>
      <c r="P120" s="359"/>
      <c r="Q120" s="86">
        <f t="shared" si="3"/>
        <v>6000000</v>
      </c>
      <c r="R120" s="372"/>
      <c r="S120" s="370"/>
      <c r="T120" s="372"/>
      <c r="U120" s="370"/>
      <c r="V120" s="372"/>
      <c r="W120" s="370"/>
      <c r="X120" s="372"/>
      <c r="Y120" s="370"/>
      <c r="Z120" s="188"/>
      <c r="AA120" s="88">
        <f t="shared" si="4"/>
        <v>0</v>
      </c>
      <c r="AB120" s="236">
        <v>11415447</v>
      </c>
      <c r="AC120" s="236">
        <v>1484704</v>
      </c>
      <c r="AD120" s="236">
        <v>544181</v>
      </c>
      <c r="AE120" s="236">
        <v>4151273</v>
      </c>
      <c r="AF120" s="236">
        <v>1645488</v>
      </c>
      <c r="AG120" s="236">
        <v>330277</v>
      </c>
      <c r="AH120" s="236"/>
      <c r="AI120" s="236"/>
      <c r="AJ120" s="236"/>
      <c r="AK120" s="236"/>
      <c r="AL120" s="236"/>
      <c r="AM120" s="236"/>
      <c r="AN120" s="236"/>
      <c r="AO120" s="236"/>
      <c r="AP120" s="236"/>
      <c r="AQ120" s="236"/>
      <c r="AR120" s="236"/>
      <c r="AS120" s="236"/>
      <c r="AT120" s="369">
        <v>0</v>
      </c>
      <c r="AU120" s="90">
        <f t="shared" si="5"/>
        <v>19571370</v>
      </c>
    </row>
    <row r="121" spans="1:47" ht="34.5" hidden="1" customHeight="1" x14ac:dyDescent="0.25">
      <c r="A121" s="85">
        <v>115</v>
      </c>
      <c r="B121" s="2" t="str">
        <f>+'Base de Datos'!E121</f>
        <v>130202-0-2013</v>
      </c>
      <c r="C121" s="2" t="str">
        <f>+'Base de Datos'!F121</f>
        <v>INGTEL LTDA</v>
      </c>
      <c r="D121" s="2">
        <f>+'Base de Datos'!G121</f>
        <v>900090485</v>
      </c>
      <c r="E121" s="2" t="str">
        <f>+'Base de Datos'!H121</f>
        <v>Contratar la adquisición de medios de almacenamiento (cintas para tape backup, CD, DVD y Felpas)</v>
      </c>
      <c r="F121" s="3">
        <v>6499930</v>
      </c>
      <c r="G121" s="6">
        <v>41471</v>
      </c>
      <c r="H121" s="64">
        <v>41562</v>
      </c>
      <c r="I121" s="183"/>
      <c r="J121" s="359"/>
      <c r="K121" s="183"/>
      <c r="L121" s="359"/>
      <c r="M121" s="183"/>
      <c r="N121" s="359"/>
      <c r="O121" s="183"/>
      <c r="P121" s="359"/>
      <c r="Q121" s="86">
        <f t="shared" si="3"/>
        <v>0</v>
      </c>
      <c r="R121" s="372"/>
      <c r="S121" s="370"/>
      <c r="T121" s="372"/>
      <c r="U121" s="370"/>
      <c r="V121" s="372"/>
      <c r="W121" s="370"/>
      <c r="X121" s="372"/>
      <c r="Y121" s="370"/>
      <c r="Z121" s="188"/>
      <c r="AA121" s="88">
        <f t="shared" si="4"/>
        <v>0</v>
      </c>
      <c r="AB121" s="236">
        <v>6499930</v>
      </c>
      <c r="AC121" s="236"/>
      <c r="AD121" s="236"/>
      <c r="AE121" s="236"/>
      <c r="AF121" s="236"/>
      <c r="AG121" s="236"/>
      <c r="AH121" s="236"/>
      <c r="AI121" s="236"/>
      <c r="AJ121" s="236"/>
      <c r="AK121" s="236"/>
      <c r="AL121" s="236"/>
      <c r="AM121" s="236"/>
      <c r="AN121" s="236"/>
      <c r="AO121" s="236"/>
      <c r="AP121" s="236"/>
      <c r="AQ121" s="236"/>
      <c r="AR121" s="236"/>
      <c r="AS121" s="236"/>
      <c r="AT121" s="369">
        <v>0</v>
      </c>
      <c r="AU121" s="90">
        <f t="shared" si="5"/>
        <v>6499930</v>
      </c>
    </row>
    <row r="122" spans="1:47" ht="34.5" hidden="1" customHeight="1" x14ac:dyDescent="0.25">
      <c r="A122" s="85">
        <v>116</v>
      </c>
      <c r="B122" s="2" t="str">
        <f>+'Base de Datos'!E122</f>
        <v>130204-0-2013</v>
      </c>
      <c r="C122" s="2" t="str">
        <f>+'Base de Datos'!F122</f>
        <v>DESCONT S.A.</v>
      </c>
      <c r="D122" s="2">
        <f>+'Base de Datos'!G122</f>
        <v>804002433</v>
      </c>
      <c r="E122" s="2" t="str">
        <f>+'Base de Datos'!H122</f>
        <v>Realizar la recolección, trasporte, tratamiento y disposición final de los residuos peligrosos existentes en el Concejo de Bogotá D.C. atendiendo los lineamientos y directrices normativas en ésta materia.</v>
      </c>
      <c r="F122" s="3">
        <v>2367000</v>
      </c>
      <c r="G122" s="6">
        <v>41472</v>
      </c>
      <c r="H122" s="64">
        <v>41533</v>
      </c>
      <c r="I122" s="183"/>
      <c r="J122" s="359"/>
      <c r="K122" s="183"/>
      <c r="L122" s="359"/>
      <c r="M122" s="183"/>
      <c r="N122" s="359"/>
      <c r="O122" s="183"/>
      <c r="P122" s="359"/>
      <c r="Q122" s="86">
        <f t="shared" si="3"/>
        <v>0</v>
      </c>
      <c r="R122" s="372"/>
      <c r="S122" s="370"/>
      <c r="T122" s="372"/>
      <c r="U122" s="370"/>
      <c r="V122" s="372"/>
      <c r="W122" s="370"/>
      <c r="X122" s="372"/>
      <c r="Y122" s="370"/>
      <c r="Z122" s="188"/>
      <c r="AA122" s="88">
        <f t="shared" si="4"/>
        <v>0</v>
      </c>
      <c r="AB122" s="236">
        <v>2367000</v>
      </c>
      <c r="AC122" s="236"/>
      <c r="AD122" s="236"/>
      <c r="AE122" s="236"/>
      <c r="AF122" s="236"/>
      <c r="AG122" s="236"/>
      <c r="AH122" s="236"/>
      <c r="AI122" s="236"/>
      <c r="AJ122" s="236"/>
      <c r="AK122" s="236"/>
      <c r="AL122" s="236"/>
      <c r="AM122" s="236"/>
      <c r="AN122" s="236"/>
      <c r="AO122" s="236"/>
      <c r="AP122" s="236"/>
      <c r="AQ122" s="236"/>
      <c r="AR122" s="236"/>
      <c r="AS122" s="236"/>
      <c r="AT122" s="369">
        <v>0</v>
      </c>
      <c r="AU122" s="90">
        <f t="shared" si="5"/>
        <v>2367000</v>
      </c>
    </row>
    <row r="123" spans="1:47" ht="34.5" hidden="1" customHeight="1" x14ac:dyDescent="0.25">
      <c r="A123" s="85">
        <v>117</v>
      </c>
      <c r="B123" s="2" t="str">
        <f>+'Base de Datos'!E123</f>
        <v>130207-0-2013</v>
      </c>
      <c r="C123" s="2" t="str">
        <f>+'Base de Datos'!F123</f>
        <v>CONSORCIO CJ</v>
      </c>
      <c r="D123" s="2">
        <f>+'Base de Datos'!G123</f>
        <v>900629446</v>
      </c>
      <c r="E123" s="2" t="str">
        <f>+'Base de Datos'!H123</f>
        <v>Contratar el mantenimiento integral locativo con el suministro de personal, equipo y repuestos en las instalaciones físicas del Concejo de Bogotá, de conformidad con lo establecido en el pliego de condiciones del proceso SDH-SAMC-004-2013.</v>
      </c>
      <c r="F123" s="3">
        <v>269441460</v>
      </c>
      <c r="G123" s="6">
        <v>41464</v>
      </c>
      <c r="H123" s="64">
        <v>41706</v>
      </c>
      <c r="I123" s="183"/>
      <c r="J123" s="359"/>
      <c r="K123" s="183"/>
      <c r="L123" s="359"/>
      <c r="M123" s="183"/>
      <c r="N123" s="359"/>
      <c r="O123" s="183"/>
      <c r="P123" s="359"/>
      <c r="Q123" s="86">
        <f t="shared" si="3"/>
        <v>0</v>
      </c>
      <c r="R123" s="372" t="s">
        <v>976</v>
      </c>
      <c r="S123" s="370">
        <v>41790</v>
      </c>
      <c r="T123" s="372" t="s">
        <v>381</v>
      </c>
      <c r="U123" s="370">
        <v>41820</v>
      </c>
      <c r="V123" s="372"/>
      <c r="W123" s="370"/>
      <c r="X123" s="372"/>
      <c r="Y123" s="370"/>
      <c r="Z123" s="188" t="s">
        <v>998</v>
      </c>
      <c r="AA123" s="88">
        <f t="shared" si="4"/>
        <v>41820</v>
      </c>
      <c r="AB123" s="236">
        <v>8960530</v>
      </c>
      <c r="AC123" s="236">
        <v>27524223</v>
      </c>
      <c r="AD123" s="236">
        <v>18295841</v>
      </c>
      <c r="AE123" s="236">
        <v>20838449</v>
      </c>
      <c r="AF123" s="236">
        <v>27674807</v>
      </c>
      <c r="AG123" s="236">
        <v>22380261</v>
      </c>
      <c r="AH123" s="236">
        <v>14257643</v>
      </c>
      <c r="AI123" s="236">
        <v>20024831</v>
      </c>
      <c r="AJ123" s="236">
        <v>18855716</v>
      </c>
      <c r="AK123" s="236">
        <v>13720744</v>
      </c>
      <c r="AL123" s="236">
        <v>11537845</v>
      </c>
      <c r="AM123" s="236">
        <v>61152776</v>
      </c>
      <c r="AN123" s="236"/>
      <c r="AO123" s="236"/>
      <c r="AP123" s="236"/>
      <c r="AQ123" s="236"/>
      <c r="AR123" s="236"/>
      <c r="AS123" s="236"/>
      <c r="AT123" s="369">
        <v>41991</v>
      </c>
      <c r="AU123" s="90">
        <f t="shared" si="5"/>
        <v>265223666</v>
      </c>
    </row>
    <row r="124" spans="1:47" ht="34.5" hidden="1" customHeight="1" x14ac:dyDescent="0.25">
      <c r="A124" s="85">
        <v>118</v>
      </c>
      <c r="B124" s="2" t="str">
        <f>+'Base de Datos'!E124</f>
        <v>130209-0-2013</v>
      </c>
      <c r="C124" s="2" t="str">
        <f>+'Base de Datos'!F124</f>
        <v>EDITORIAL LA UNIDAD</v>
      </c>
      <c r="D124" s="2">
        <f>+'Base de Datos'!G124</f>
        <v>860536029</v>
      </c>
      <c r="E124" s="2" t="str">
        <f>+'Base de Datos'!H124</f>
        <v>SUSCRIPCIÓN AL DIARIO EL NUEVO SIGLO, PARA EL CONCEJO DE BOGOTÁ D.C.</v>
      </c>
      <c r="F124" s="8">
        <v>840000</v>
      </c>
      <c r="G124" s="6">
        <v>41531</v>
      </c>
      <c r="H124" s="64">
        <v>41895</v>
      </c>
      <c r="I124" s="183"/>
      <c r="J124" s="359"/>
      <c r="K124" s="183"/>
      <c r="L124" s="359"/>
      <c r="M124" s="183"/>
      <c r="N124" s="359"/>
      <c r="O124" s="183"/>
      <c r="P124" s="359"/>
      <c r="Q124" s="86">
        <f t="shared" si="3"/>
        <v>0</v>
      </c>
      <c r="R124" s="372"/>
      <c r="S124" s="370"/>
      <c r="T124" s="372"/>
      <c r="U124" s="370"/>
      <c r="V124" s="372"/>
      <c r="W124" s="370"/>
      <c r="X124" s="372"/>
      <c r="Y124" s="370"/>
      <c r="Z124" s="188"/>
      <c r="AA124" s="88">
        <f t="shared" si="4"/>
        <v>0</v>
      </c>
      <c r="AB124" s="236">
        <v>840000</v>
      </c>
      <c r="AC124" s="236"/>
      <c r="AD124" s="236"/>
      <c r="AE124" s="236"/>
      <c r="AF124" s="236"/>
      <c r="AG124" s="236"/>
      <c r="AH124" s="236"/>
      <c r="AI124" s="236"/>
      <c r="AJ124" s="236"/>
      <c r="AK124" s="236"/>
      <c r="AL124" s="236"/>
      <c r="AM124" s="236"/>
      <c r="AN124" s="236"/>
      <c r="AO124" s="236"/>
      <c r="AP124" s="236"/>
      <c r="AQ124" s="236"/>
      <c r="AR124" s="236"/>
      <c r="AS124" s="236"/>
      <c r="AT124" s="369">
        <v>0</v>
      </c>
      <c r="AU124" s="90">
        <f t="shared" si="5"/>
        <v>840000</v>
      </c>
    </row>
    <row r="125" spans="1:47" ht="34.5" hidden="1" customHeight="1" x14ac:dyDescent="0.25">
      <c r="A125" s="85">
        <v>119</v>
      </c>
      <c r="B125" s="2" t="str">
        <f>+'Base de Datos'!E125</f>
        <v>130211-0-2013</v>
      </c>
      <c r="C125" s="2" t="str">
        <f>+'Base de Datos'!F125</f>
        <v>MIGUEL ANDRÉS GUTIÉRREZ ROMERO</v>
      </c>
      <c r="D125" s="2">
        <f>+'Base de Datos'!G125</f>
        <v>80199707</v>
      </c>
      <c r="E125" s="2" t="str">
        <f>+'Base de Datos'!H125</f>
        <v>Realizar el servicio de mantenimiento correctivo, incluyendo los repuestos y/o elementos nuevos que requieran las sillas existentes en el Concejo de Bogotá.</v>
      </c>
      <c r="F125" s="3">
        <v>38271000</v>
      </c>
      <c r="G125" s="6">
        <v>41472</v>
      </c>
      <c r="H125" s="64">
        <v>41686</v>
      </c>
      <c r="I125" s="183"/>
      <c r="J125" s="359"/>
      <c r="K125" s="183"/>
      <c r="L125" s="359"/>
      <c r="M125" s="183"/>
      <c r="N125" s="359"/>
      <c r="O125" s="183"/>
      <c r="P125" s="359"/>
      <c r="Q125" s="86">
        <f t="shared" si="3"/>
        <v>0</v>
      </c>
      <c r="R125" s="372" t="s">
        <v>381</v>
      </c>
      <c r="S125" s="370">
        <v>41714</v>
      </c>
      <c r="T125" s="372"/>
      <c r="U125" s="370"/>
      <c r="V125" s="372"/>
      <c r="W125" s="370"/>
      <c r="X125" s="372"/>
      <c r="Y125" s="370"/>
      <c r="Z125" s="188" t="s">
        <v>381</v>
      </c>
      <c r="AA125" s="88">
        <f t="shared" si="4"/>
        <v>41714</v>
      </c>
      <c r="AB125" s="236">
        <v>4337831</v>
      </c>
      <c r="AC125" s="236">
        <v>4524838</v>
      </c>
      <c r="AD125" s="236">
        <v>4221551</v>
      </c>
      <c r="AE125" s="236">
        <v>7335704</v>
      </c>
      <c r="AF125" s="236">
        <v>6450123</v>
      </c>
      <c r="AG125" s="236">
        <v>6173926</v>
      </c>
      <c r="AH125" s="236">
        <v>5227027</v>
      </c>
      <c r="AI125" s="236"/>
      <c r="AJ125" s="236"/>
      <c r="AK125" s="236"/>
      <c r="AL125" s="236"/>
      <c r="AM125" s="236"/>
      <c r="AN125" s="236"/>
      <c r="AO125" s="236"/>
      <c r="AP125" s="236"/>
      <c r="AQ125" s="236"/>
      <c r="AR125" s="236"/>
      <c r="AS125" s="236"/>
      <c r="AT125" s="369">
        <v>0</v>
      </c>
      <c r="AU125" s="90">
        <f t="shared" si="5"/>
        <v>38271000</v>
      </c>
    </row>
    <row r="126" spans="1:47" ht="34.5" hidden="1" customHeight="1" x14ac:dyDescent="0.25">
      <c r="A126" s="85">
        <v>120</v>
      </c>
      <c r="B126" s="2" t="str">
        <f>+'Base de Datos'!E126</f>
        <v>130214-0-2013</v>
      </c>
      <c r="C126" s="2" t="str">
        <f>+'Base de Datos'!F126</f>
        <v>SEGUROS GENERALES SURAMERICANA S.A</v>
      </c>
      <c r="D126" s="2">
        <f>+'Base de Datos'!G126</f>
        <v>890903407</v>
      </c>
      <c r="E126" s="2" t="str">
        <f>+'Base de Datos'!H126</f>
        <v>Contratar la expedición de las pólizas de seguro obligatorio SOAT para los vehículos del CONCEJO DE BOGOTÁ, de conformidad con lo establecido en la invitación publica de mínima Cuantía  No SDH-SMINC-31-2013</v>
      </c>
      <c r="F126" s="8">
        <v>4001000</v>
      </c>
      <c r="G126" s="6">
        <v>41472</v>
      </c>
      <c r="H126" s="64">
        <v>42082</v>
      </c>
      <c r="I126" s="183"/>
      <c r="J126" s="359"/>
      <c r="K126" s="183"/>
      <c r="L126" s="359"/>
      <c r="M126" s="183"/>
      <c r="N126" s="359"/>
      <c r="O126" s="183"/>
      <c r="P126" s="359"/>
      <c r="Q126" s="86">
        <f t="shared" si="3"/>
        <v>0</v>
      </c>
      <c r="R126" s="372" t="s">
        <v>381</v>
      </c>
      <c r="S126" s="370">
        <v>41714</v>
      </c>
      <c r="T126" s="372"/>
      <c r="U126" s="370"/>
      <c r="V126" s="372"/>
      <c r="W126" s="370"/>
      <c r="X126" s="372"/>
      <c r="Y126" s="370"/>
      <c r="Z126" s="188" t="s">
        <v>381</v>
      </c>
      <c r="AA126" s="88">
        <f t="shared" si="4"/>
        <v>41714</v>
      </c>
      <c r="AB126" s="236">
        <v>4001000</v>
      </c>
      <c r="AC126" s="236"/>
      <c r="AD126" s="236"/>
      <c r="AE126" s="236"/>
      <c r="AF126" s="236"/>
      <c r="AG126" s="236"/>
      <c r="AH126" s="236"/>
      <c r="AI126" s="236"/>
      <c r="AJ126" s="236"/>
      <c r="AK126" s="236"/>
      <c r="AL126" s="236"/>
      <c r="AM126" s="236"/>
      <c r="AN126" s="236"/>
      <c r="AO126" s="236"/>
      <c r="AP126" s="236"/>
      <c r="AQ126" s="236"/>
      <c r="AR126" s="236"/>
      <c r="AS126" s="236"/>
      <c r="AT126" s="369">
        <v>0</v>
      </c>
      <c r="AU126" s="90">
        <f t="shared" si="5"/>
        <v>4001000</v>
      </c>
    </row>
    <row r="127" spans="1:47" ht="34.5" hidden="1" customHeight="1" x14ac:dyDescent="0.25">
      <c r="A127" s="85">
        <v>121</v>
      </c>
      <c r="B127" s="2" t="str">
        <f>+'Base de Datos'!E127</f>
        <v>130217-0-2013</v>
      </c>
      <c r="C127" s="2" t="str">
        <f>+'Base de Datos'!F127</f>
        <v>SODINLEC LTDA</v>
      </c>
      <c r="D127" s="2">
        <f>+'Base de Datos'!G127</f>
        <v>900268429</v>
      </c>
      <c r="E127" s="2" t="str">
        <f>+'Base de Datos'!H127</f>
        <v>Prestar el servicio de mantenimiento preventivo y correctivo al sistema de generación y trasferencia eléctrica de emergencia del concejo de Bogotá D.C., de conformidad con lo establecido en la invitación pública SDH-SMINC-023-2013,</v>
      </c>
      <c r="F127" s="8">
        <v>10222000</v>
      </c>
      <c r="G127" s="6">
        <v>41548</v>
      </c>
      <c r="H127" s="64">
        <v>41790</v>
      </c>
      <c r="I127" s="183"/>
      <c r="J127" s="359"/>
      <c r="K127" s="183"/>
      <c r="L127" s="359"/>
      <c r="M127" s="183"/>
      <c r="N127" s="359"/>
      <c r="O127" s="183"/>
      <c r="P127" s="359"/>
      <c r="Q127" s="86">
        <f t="shared" si="3"/>
        <v>0</v>
      </c>
      <c r="R127" s="372"/>
      <c r="S127" s="370"/>
      <c r="T127" s="372"/>
      <c r="U127" s="370"/>
      <c r="V127" s="372"/>
      <c r="W127" s="370"/>
      <c r="X127" s="372"/>
      <c r="Y127" s="370"/>
      <c r="Z127" s="188"/>
      <c r="AA127" s="88">
        <f t="shared" si="4"/>
        <v>0</v>
      </c>
      <c r="AB127" s="236">
        <v>520463</v>
      </c>
      <c r="AC127" s="236">
        <v>3618282</v>
      </c>
      <c r="AD127" s="236">
        <v>1853717</v>
      </c>
      <c r="AE127" s="236">
        <v>4215544</v>
      </c>
      <c r="AF127" s="236"/>
      <c r="AG127" s="236"/>
      <c r="AH127" s="236"/>
      <c r="AI127" s="236"/>
      <c r="AJ127" s="236"/>
      <c r="AK127" s="236"/>
      <c r="AL127" s="236"/>
      <c r="AM127" s="236"/>
      <c r="AN127" s="236"/>
      <c r="AO127" s="236"/>
      <c r="AP127" s="236"/>
      <c r="AQ127" s="236"/>
      <c r="AR127" s="236"/>
      <c r="AS127" s="236"/>
      <c r="AT127" s="369">
        <v>0</v>
      </c>
      <c r="AU127" s="90">
        <f t="shared" si="5"/>
        <v>10208006</v>
      </c>
    </row>
    <row r="128" spans="1:47" ht="34.5" hidden="1" customHeight="1" x14ac:dyDescent="0.25">
      <c r="A128" s="85">
        <v>122</v>
      </c>
      <c r="B128" s="2" t="str">
        <f>+'Base de Datos'!E128</f>
        <v>130220-0-2013</v>
      </c>
      <c r="C128" s="2" t="str">
        <f>+'Base de Datos'!F128</f>
        <v>WIESNER FABIÁN ROBAYO SALCEDO</v>
      </c>
      <c r="D128" s="2">
        <f>+'Base de Datos'!G128</f>
        <v>80117116</v>
      </c>
      <c r="E128" s="2" t="str">
        <f>+'Base de Datos'!H128</f>
        <v>Prestar los servicios profesionales para apoyar a la Dirección Financiera del Concejo de Bogotá D.C. en la revisión  y estudio de las historias laborales de los funcionarios para establecer la definición técnica y jurídica del cumplimiento de  los requisitos  en los diferentes regímenes de pensión.</v>
      </c>
      <c r="F128" s="3">
        <v>23989000</v>
      </c>
      <c r="G128" s="6">
        <v>41477</v>
      </c>
      <c r="H128" s="64">
        <v>41691</v>
      </c>
      <c r="I128" s="183"/>
      <c r="J128" s="359"/>
      <c r="K128" s="183"/>
      <c r="L128" s="359"/>
      <c r="M128" s="183"/>
      <c r="N128" s="359"/>
      <c r="O128" s="183"/>
      <c r="P128" s="359"/>
      <c r="Q128" s="86">
        <f t="shared" si="3"/>
        <v>0</v>
      </c>
      <c r="R128" s="372"/>
      <c r="S128" s="370"/>
      <c r="T128" s="372"/>
      <c r="U128" s="370"/>
      <c r="V128" s="372"/>
      <c r="W128" s="370"/>
      <c r="X128" s="372"/>
      <c r="Y128" s="370"/>
      <c r="Z128" s="188"/>
      <c r="AA128" s="88">
        <f t="shared" si="4"/>
        <v>0</v>
      </c>
      <c r="AB128" s="236">
        <v>1028100</v>
      </c>
      <c r="AC128" s="236">
        <v>3427000</v>
      </c>
      <c r="AD128" s="236">
        <v>3427000</v>
      </c>
      <c r="AE128" s="236">
        <v>3427000</v>
      </c>
      <c r="AF128" s="236">
        <v>3427000</v>
      </c>
      <c r="AG128" s="236">
        <v>3427000</v>
      </c>
      <c r="AH128" s="236">
        <v>3427000</v>
      </c>
      <c r="AI128" s="236">
        <v>2398900</v>
      </c>
      <c r="AJ128" s="236"/>
      <c r="AK128" s="236"/>
      <c r="AL128" s="236"/>
      <c r="AM128" s="236"/>
      <c r="AN128" s="236"/>
      <c r="AO128" s="236"/>
      <c r="AP128" s="236"/>
      <c r="AQ128" s="236"/>
      <c r="AR128" s="236"/>
      <c r="AS128" s="236"/>
      <c r="AT128" s="369">
        <v>0</v>
      </c>
      <c r="AU128" s="90">
        <f t="shared" si="5"/>
        <v>23989000</v>
      </c>
    </row>
    <row r="129" spans="1:47" ht="34.5" hidden="1" customHeight="1" x14ac:dyDescent="0.25">
      <c r="A129" s="85">
        <v>123</v>
      </c>
      <c r="B129" s="2" t="str">
        <f>+'Base de Datos'!E129</f>
        <v>130227-0-2013</v>
      </c>
      <c r="C129" s="2" t="str">
        <f>+'Base de Datos'!F129</f>
        <v>PUBLICACIONES SEMANA S.A.</v>
      </c>
      <c r="D129" s="2">
        <f>+'Base de Datos'!G129</f>
        <v>860509265</v>
      </c>
      <c r="E129" s="2" t="str">
        <f>+'Base de Datos'!H129</f>
        <v>SUSCRIPCIÓN A LA REVISTA SEMANA, PARA EL CONCEJO DE BOGOTÁ</v>
      </c>
      <c r="F129" s="9">
        <v>795000</v>
      </c>
      <c r="G129" s="6">
        <v>41547</v>
      </c>
      <c r="H129" s="64">
        <v>41911</v>
      </c>
      <c r="I129" s="183"/>
      <c r="J129" s="359"/>
      <c r="K129" s="183"/>
      <c r="L129" s="359"/>
      <c r="M129" s="183"/>
      <c r="N129" s="359"/>
      <c r="O129" s="183"/>
      <c r="P129" s="359"/>
      <c r="Q129" s="86">
        <f t="shared" si="3"/>
        <v>0</v>
      </c>
      <c r="R129" s="372"/>
      <c r="S129" s="370"/>
      <c r="T129" s="372"/>
      <c r="U129" s="370"/>
      <c r="V129" s="372"/>
      <c r="W129" s="370"/>
      <c r="X129" s="372"/>
      <c r="Y129" s="370"/>
      <c r="Z129" s="188"/>
      <c r="AA129" s="88">
        <f t="shared" si="4"/>
        <v>0</v>
      </c>
      <c r="AB129" s="236">
        <v>795000</v>
      </c>
      <c r="AC129" s="236"/>
      <c r="AD129" s="236"/>
      <c r="AE129" s="236"/>
      <c r="AF129" s="236"/>
      <c r="AG129" s="236"/>
      <c r="AH129" s="236"/>
      <c r="AI129" s="236"/>
      <c r="AJ129" s="236"/>
      <c r="AK129" s="236"/>
      <c r="AL129" s="236"/>
      <c r="AM129" s="236"/>
      <c r="AN129" s="236"/>
      <c r="AO129" s="236"/>
      <c r="AP129" s="236"/>
      <c r="AQ129" s="236"/>
      <c r="AR129" s="236"/>
      <c r="AS129" s="236"/>
      <c r="AT129" s="369">
        <v>0</v>
      </c>
      <c r="AU129" s="90">
        <f t="shared" si="5"/>
        <v>795000</v>
      </c>
    </row>
    <row r="130" spans="1:47" ht="34.5" hidden="1" customHeight="1" x14ac:dyDescent="0.25">
      <c r="A130" s="85">
        <v>124</v>
      </c>
      <c r="B130" s="2" t="str">
        <f>+'Base de Datos'!E130</f>
        <v>130228-0-2013</v>
      </c>
      <c r="C130" s="2" t="str">
        <f>+'Base de Datos'!F130</f>
        <v>COMUNICAN S.A</v>
      </c>
      <c r="D130" s="2">
        <f>+'Base de Datos'!G130</f>
        <v>860007590</v>
      </c>
      <c r="E130" s="2" t="str">
        <f>+'Base de Datos'!H130</f>
        <v>SUSCRIPCIÓN AL DIARIO EL ESPECTADOR, PARA EL CONCEJO DE BOGOTÁ.</v>
      </c>
      <c r="F130" s="8">
        <v>936000</v>
      </c>
      <c r="G130" s="6">
        <v>41528</v>
      </c>
      <c r="H130" s="64">
        <v>41892</v>
      </c>
      <c r="I130" s="183"/>
      <c r="J130" s="359"/>
      <c r="K130" s="183"/>
      <c r="L130" s="359"/>
      <c r="M130" s="183"/>
      <c r="N130" s="359"/>
      <c r="O130" s="183"/>
      <c r="P130" s="359"/>
      <c r="Q130" s="86">
        <f t="shared" si="3"/>
        <v>0</v>
      </c>
      <c r="R130" s="372"/>
      <c r="S130" s="370"/>
      <c r="T130" s="372"/>
      <c r="U130" s="370"/>
      <c r="V130" s="372"/>
      <c r="W130" s="370"/>
      <c r="X130" s="372"/>
      <c r="Y130" s="370"/>
      <c r="Z130" s="188"/>
      <c r="AA130" s="88">
        <f t="shared" si="4"/>
        <v>0</v>
      </c>
      <c r="AB130" s="236">
        <v>936000</v>
      </c>
      <c r="AC130" s="236"/>
      <c r="AD130" s="236"/>
      <c r="AE130" s="236"/>
      <c r="AF130" s="236"/>
      <c r="AG130" s="236"/>
      <c r="AH130" s="236"/>
      <c r="AI130" s="236"/>
      <c r="AJ130" s="236"/>
      <c r="AK130" s="236"/>
      <c r="AL130" s="236"/>
      <c r="AM130" s="236"/>
      <c r="AN130" s="236"/>
      <c r="AO130" s="236"/>
      <c r="AP130" s="236"/>
      <c r="AQ130" s="236"/>
      <c r="AR130" s="236"/>
      <c r="AS130" s="236"/>
      <c r="AT130" s="369">
        <v>0</v>
      </c>
      <c r="AU130" s="90">
        <f t="shared" si="5"/>
        <v>936000</v>
      </c>
    </row>
    <row r="131" spans="1:47" ht="34.5" hidden="1" customHeight="1" x14ac:dyDescent="0.25">
      <c r="A131" s="85">
        <v>125</v>
      </c>
      <c r="B131" s="2" t="str">
        <f>+'Base de Datos'!E131</f>
        <v>130229-0-2013</v>
      </c>
      <c r="C131" s="2" t="str">
        <f>+'Base de Datos'!F131</f>
        <v>KARENN ANDREA SUAREZ LINARES</v>
      </c>
      <c r="D131" s="2">
        <f>+'Base de Datos'!G131</f>
        <v>1016050827</v>
      </c>
      <c r="E131" s="2" t="str">
        <f>+'Base de Datos'!H131</f>
        <v xml:space="preserve">Contratar le prestación de servicios de empaste y/ o encuadernación de documentos del Concejo de Bogotá D.C.,  de conformidad con lo establecido en la invitación publica del proceso citado en el asunto y la propuesta por usted presentada. </v>
      </c>
      <c r="F131" s="40">
        <v>3847300</v>
      </c>
      <c r="G131" s="6">
        <v>41494</v>
      </c>
      <c r="H131" s="64">
        <v>41766</v>
      </c>
      <c r="I131" s="183"/>
      <c r="J131" s="359"/>
      <c r="K131" s="183"/>
      <c r="L131" s="359"/>
      <c r="M131" s="183"/>
      <c r="N131" s="359"/>
      <c r="O131" s="183"/>
      <c r="P131" s="359"/>
      <c r="Q131" s="86">
        <f t="shared" si="3"/>
        <v>0</v>
      </c>
      <c r="R131" s="372" t="s">
        <v>379</v>
      </c>
      <c r="S131" s="370">
        <v>41858</v>
      </c>
      <c r="T131" s="372"/>
      <c r="U131" s="370"/>
      <c r="V131" s="372"/>
      <c r="W131" s="370"/>
      <c r="X131" s="372"/>
      <c r="Y131" s="370"/>
      <c r="Z131" s="188" t="s">
        <v>379</v>
      </c>
      <c r="AA131" s="88">
        <f t="shared" si="4"/>
        <v>41858</v>
      </c>
      <c r="AB131" s="236">
        <v>3847300</v>
      </c>
      <c r="AC131" s="236"/>
      <c r="AD131" s="236"/>
      <c r="AE131" s="236"/>
      <c r="AF131" s="236"/>
      <c r="AG131" s="236"/>
      <c r="AH131" s="236"/>
      <c r="AI131" s="236"/>
      <c r="AJ131" s="236"/>
      <c r="AK131" s="236"/>
      <c r="AL131" s="236"/>
      <c r="AM131" s="236"/>
      <c r="AN131" s="236"/>
      <c r="AO131" s="236"/>
      <c r="AP131" s="236"/>
      <c r="AQ131" s="236"/>
      <c r="AR131" s="236"/>
      <c r="AS131" s="236"/>
      <c r="AT131" s="369">
        <v>0</v>
      </c>
      <c r="AU131" s="90">
        <f t="shared" si="5"/>
        <v>3847300</v>
      </c>
    </row>
    <row r="132" spans="1:47" ht="34.5" hidden="1" customHeight="1" x14ac:dyDescent="0.25">
      <c r="A132" s="85">
        <v>126</v>
      </c>
      <c r="B132" s="2" t="str">
        <f>+'Base de Datos'!E132</f>
        <v>130237-0-2013</v>
      </c>
      <c r="C132" s="2" t="str">
        <f>+'Base de Datos'!F132</f>
        <v>COLOMBIANA DE SOFTWARE Y HARDWARE COLSOF S.A.</v>
      </c>
      <c r="D132" s="2">
        <f>+'Base de Datos'!G132</f>
        <v>800015583</v>
      </c>
      <c r="E132" s="2" t="str">
        <f>+'Base de Datos'!H132</f>
        <v>Contratar la gestión integral de servicio de mesa  de ayuda, soporte informático, mantenimiento preventivo y correctivo d  la infraestructura tecnológica con suministros de repuestos  para el Concejo de Bogotá de conformidad con los estudios previos, los anexos técnicos y la prepuesta presentada del proceso de selección Subasta Inversa Electrónica SDH-SMINC-005-2013.</v>
      </c>
      <c r="F132" s="9">
        <v>46411000</v>
      </c>
      <c r="G132" s="6">
        <v>41500</v>
      </c>
      <c r="H132" s="64">
        <v>41803</v>
      </c>
      <c r="I132" s="183">
        <v>5000000</v>
      </c>
      <c r="J132" s="359"/>
      <c r="K132" s="183">
        <v>9282200</v>
      </c>
      <c r="L132" s="359"/>
      <c r="M132" s="183"/>
      <c r="N132" s="359"/>
      <c r="O132" s="183"/>
      <c r="P132" s="359"/>
      <c r="Q132" s="86">
        <f t="shared" si="3"/>
        <v>14282200</v>
      </c>
      <c r="R132" s="372" t="s">
        <v>378</v>
      </c>
      <c r="S132" s="370">
        <v>41864</v>
      </c>
      <c r="T132" s="372"/>
      <c r="U132" s="370"/>
      <c r="V132" s="372"/>
      <c r="W132" s="370"/>
      <c r="X132" s="372"/>
      <c r="Y132" s="370"/>
      <c r="Z132" s="188" t="s">
        <v>378</v>
      </c>
      <c r="AA132" s="88">
        <f t="shared" si="4"/>
        <v>41864</v>
      </c>
      <c r="AB132" s="236">
        <v>59391828</v>
      </c>
      <c r="AC132" s="236"/>
      <c r="AD132" s="236"/>
      <c r="AE132" s="236"/>
      <c r="AF132" s="236"/>
      <c r="AG132" s="236"/>
      <c r="AH132" s="236"/>
      <c r="AI132" s="236"/>
      <c r="AJ132" s="236"/>
      <c r="AK132" s="236"/>
      <c r="AL132" s="236"/>
      <c r="AM132" s="236"/>
      <c r="AN132" s="236"/>
      <c r="AO132" s="236"/>
      <c r="AP132" s="236"/>
      <c r="AQ132" s="236"/>
      <c r="AR132" s="236"/>
      <c r="AS132" s="236"/>
      <c r="AT132" s="369">
        <v>0</v>
      </c>
      <c r="AU132" s="90">
        <f t="shared" si="5"/>
        <v>59391828</v>
      </c>
    </row>
    <row r="133" spans="1:47" ht="34.5" hidden="1" customHeight="1" x14ac:dyDescent="0.25">
      <c r="A133" s="85">
        <v>127</v>
      </c>
      <c r="B133" s="2" t="str">
        <f>+'Base de Datos'!E133</f>
        <v>130241-0-2013</v>
      </c>
      <c r="C133" s="2" t="str">
        <f>+'Base de Datos'!F133</f>
        <v>ACABADOS ALTAPISOS INVERSIONES  S.A.S.</v>
      </c>
      <c r="D133" s="2">
        <f>+'Base de Datos'!G133</f>
        <v>830047489</v>
      </c>
      <c r="E133" s="2" t="str">
        <f>+'Base de Datos'!H133</f>
        <v>Contratar el servicio de mantenimiento correctivo, traslado, incluyendo los repuestos y/o elementos nuevos que requieran los sistemas de archivos rodantes, existentes en las diferentes dependencias del Concejo de Bogotá, de conformidad con lo establecido en la invitación Publica.</v>
      </c>
      <c r="F133" s="8">
        <v>4393120</v>
      </c>
      <c r="G133" s="6">
        <v>41512</v>
      </c>
      <c r="H133" s="64">
        <v>41784</v>
      </c>
      <c r="I133" s="183"/>
      <c r="J133" s="359"/>
      <c r="K133" s="183"/>
      <c r="L133" s="359"/>
      <c r="M133" s="183"/>
      <c r="N133" s="359"/>
      <c r="O133" s="183"/>
      <c r="P133" s="359"/>
      <c r="Q133" s="86">
        <f t="shared" si="3"/>
        <v>0</v>
      </c>
      <c r="R133" s="372" t="s">
        <v>379</v>
      </c>
      <c r="S133" s="370">
        <v>41876</v>
      </c>
      <c r="T133" s="372"/>
      <c r="U133" s="370"/>
      <c r="V133" s="372"/>
      <c r="W133" s="370"/>
      <c r="X133" s="372"/>
      <c r="Y133" s="370"/>
      <c r="Z133" s="188" t="s">
        <v>379</v>
      </c>
      <c r="AA133" s="88">
        <f t="shared" si="4"/>
        <v>41876</v>
      </c>
      <c r="AB133" s="236">
        <v>2050000</v>
      </c>
      <c r="AC133" s="236">
        <v>528000</v>
      </c>
      <c r="AD133" s="236"/>
      <c r="AE133" s="236"/>
      <c r="AF133" s="236"/>
      <c r="AG133" s="236"/>
      <c r="AH133" s="236"/>
      <c r="AI133" s="236"/>
      <c r="AJ133" s="236"/>
      <c r="AK133" s="236"/>
      <c r="AL133" s="236"/>
      <c r="AM133" s="236"/>
      <c r="AN133" s="236"/>
      <c r="AO133" s="236"/>
      <c r="AP133" s="236"/>
      <c r="AQ133" s="236"/>
      <c r="AR133" s="236"/>
      <c r="AS133" s="236"/>
      <c r="AT133" s="369">
        <v>41970</v>
      </c>
      <c r="AU133" s="90">
        <f t="shared" si="5"/>
        <v>2578000</v>
      </c>
    </row>
    <row r="134" spans="1:47" ht="34.5" hidden="1" customHeight="1" x14ac:dyDescent="0.25">
      <c r="A134" s="85">
        <v>128</v>
      </c>
      <c r="B134" s="2" t="str">
        <f>+'Base de Datos'!E134</f>
        <v>130242-0-2013</v>
      </c>
      <c r="C134" s="2" t="str">
        <f>+'Base de Datos'!F134</f>
        <v>INVERSIONES LIGOL - INVERLIGOL LTD A</v>
      </c>
      <c r="D134" s="2">
        <f>+'Base de Datos'!G134</f>
        <v>900055635</v>
      </c>
      <c r="E134" s="2" t="str">
        <f>+'Base de Datos'!H134</f>
        <v>Prestar los servicios de mantenimiento periódico preventivo del parque automotor al servicio del Concejo de Bogotá D.C. de conformidad con lo establecido en la invitación Publica del proceso No SDH-SMINC-038-2013 y la propuesta presentada por el contratista.</v>
      </c>
      <c r="F134" s="8">
        <v>16804000</v>
      </c>
      <c r="G134" s="6">
        <v>41523</v>
      </c>
      <c r="H134" s="64">
        <v>41764</v>
      </c>
      <c r="I134" s="183">
        <v>8400000</v>
      </c>
      <c r="J134" s="359"/>
      <c r="K134" s="183"/>
      <c r="L134" s="359"/>
      <c r="M134" s="183"/>
      <c r="N134" s="359"/>
      <c r="O134" s="183"/>
      <c r="P134" s="359"/>
      <c r="Q134" s="86">
        <f t="shared" si="3"/>
        <v>8400000</v>
      </c>
      <c r="R134" s="372" t="s">
        <v>379</v>
      </c>
      <c r="S134" s="370">
        <v>41856</v>
      </c>
      <c r="T134" s="372" t="s">
        <v>977</v>
      </c>
      <c r="U134" s="370">
        <v>41917</v>
      </c>
      <c r="V134" s="372" t="s">
        <v>382</v>
      </c>
      <c r="W134" s="370">
        <v>42099</v>
      </c>
      <c r="X134" s="372"/>
      <c r="Y134" s="370"/>
      <c r="Z134" s="188" t="s">
        <v>1109</v>
      </c>
      <c r="AA134" s="88">
        <f t="shared" si="4"/>
        <v>42099</v>
      </c>
      <c r="AB134" s="236">
        <v>971581</v>
      </c>
      <c r="AC134" s="236">
        <v>1281867</v>
      </c>
      <c r="AD134" s="236">
        <v>1129422</v>
      </c>
      <c r="AE134" s="236">
        <v>858248</v>
      </c>
      <c r="AF134" s="236">
        <v>1213050</v>
      </c>
      <c r="AG134" s="236">
        <v>1319450</v>
      </c>
      <c r="AH134" s="236">
        <v>1078602</v>
      </c>
      <c r="AI134" s="236">
        <v>1363250</v>
      </c>
      <c r="AJ134" s="236">
        <v>1585662</v>
      </c>
      <c r="AK134" s="236">
        <v>1017234</v>
      </c>
      <c r="AL134" s="236">
        <v>1793926</v>
      </c>
      <c r="AM134" s="236">
        <v>1502200</v>
      </c>
      <c r="AN134" s="236">
        <v>2536080</v>
      </c>
      <c r="AO134" s="236">
        <v>1377962</v>
      </c>
      <c r="AP134" s="236">
        <v>1692389</v>
      </c>
      <c r="AQ134" s="236">
        <v>3702294</v>
      </c>
      <c r="AR134" s="236">
        <v>778233</v>
      </c>
      <c r="AS134" s="236"/>
      <c r="AT134" s="369">
        <v>42152</v>
      </c>
      <c r="AU134" s="90">
        <f t="shared" si="5"/>
        <v>25201450</v>
      </c>
    </row>
    <row r="135" spans="1:47" ht="34.5" hidden="1" customHeight="1" x14ac:dyDescent="0.25">
      <c r="A135" s="85">
        <v>129</v>
      </c>
      <c r="B135" s="2" t="str">
        <f>+'Base de Datos'!E135</f>
        <v>130244-0-2013</v>
      </c>
      <c r="C135" s="2" t="str">
        <f>+'Base de Datos'!F135</f>
        <v>CONTRONET LTDA</v>
      </c>
      <c r="D135" s="2">
        <f>+'Base de Datos'!G135</f>
        <v>800230639</v>
      </c>
      <c r="E135" s="2" t="str">
        <f>+'Base de Datos'!H135</f>
        <v>Contratar los servicios de mantenimiento correctivo por demanda, con repuestos, soporte técnico especializado y actualización para el sistema integrado de la red de cableado estructurado  (voz y datos), fibra óptica, energía eléctrica (normal y regulada) de la Secretaria Distrital de Hacienda y el Concejo de Bogotá, de conformidad con el pliego de Condiciones Proceso SDH-SIE-07-2013.</v>
      </c>
      <c r="F135" s="8">
        <v>86923131</v>
      </c>
      <c r="G135" s="6">
        <v>41506</v>
      </c>
      <c r="H135" s="64">
        <v>41871</v>
      </c>
      <c r="I135" s="183">
        <v>43461566</v>
      </c>
      <c r="J135" s="359"/>
      <c r="K135" s="183"/>
      <c r="L135" s="359"/>
      <c r="M135" s="183"/>
      <c r="N135" s="359"/>
      <c r="O135" s="183"/>
      <c r="P135" s="359"/>
      <c r="Q135" s="86">
        <f t="shared" si="3"/>
        <v>43461566</v>
      </c>
      <c r="R135" s="372" t="s">
        <v>544</v>
      </c>
      <c r="S135" s="370">
        <v>42055</v>
      </c>
      <c r="T135" s="372"/>
      <c r="U135" s="370"/>
      <c r="V135" s="372"/>
      <c r="W135" s="370"/>
      <c r="X135" s="372"/>
      <c r="Y135" s="370"/>
      <c r="Z135" s="188" t="s">
        <v>544</v>
      </c>
      <c r="AA135" s="88">
        <f t="shared" si="4"/>
        <v>42055</v>
      </c>
      <c r="AB135" s="236">
        <v>1012208</v>
      </c>
      <c r="AC135" s="236">
        <v>52788430</v>
      </c>
      <c r="AD135" s="236">
        <v>3323460</v>
      </c>
      <c r="AE135" s="236">
        <v>24987218</v>
      </c>
      <c r="AF135" s="236">
        <v>4800000</v>
      </c>
      <c r="AG135" s="236">
        <v>8297990</v>
      </c>
      <c r="AH135" s="236">
        <v>1150329</v>
      </c>
      <c r="AI135" s="236"/>
      <c r="AJ135" s="236"/>
      <c r="AK135" s="236"/>
      <c r="AL135" s="236"/>
      <c r="AM135" s="236"/>
      <c r="AN135" s="236"/>
      <c r="AO135" s="236"/>
      <c r="AP135" s="236"/>
      <c r="AQ135" s="236"/>
      <c r="AR135" s="236"/>
      <c r="AS135" s="236"/>
      <c r="AT135" s="369">
        <v>0</v>
      </c>
      <c r="AU135" s="90">
        <f t="shared" si="5"/>
        <v>96359635</v>
      </c>
    </row>
    <row r="136" spans="1:47" ht="34.5" hidden="1" customHeight="1" x14ac:dyDescent="0.25">
      <c r="A136" s="85">
        <v>130</v>
      </c>
      <c r="B136" s="2" t="str">
        <f>+'Base de Datos'!E136</f>
        <v>130249-0-2013</v>
      </c>
      <c r="C136" s="2" t="str">
        <f>+'Base de Datos'!F136</f>
        <v>INGEAL S.A.</v>
      </c>
      <c r="D136" s="2">
        <f>+'Base de Datos'!G136</f>
        <v>800039398</v>
      </c>
      <c r="E136" s="2" t="str">
        <f>+'Base de Datos'!H136</f>
        <v>Prestar los servicios de mantenimiento preventivo y correctivo con repuesto y bienes fungibles para el sistema de corriente regulada (UPS APC) Para el concejo de Bogotá D.C: en las condiciones descritas en el pliego de condiciones del proceso de selección SDH-SIE-08-2013, el anexo técnico No 1 Ítem 3 y la propuesta presentada para el Ítem 3</v>
      </c>
      <c r="F136" s="8">
        <v>45056000</v>
      </c>
      <c r="G136" s="6">
        <v>41533</v>
      </c>
      <c r="H136" s="64">
        <v>41897</v>
      </c>
      <c r="I136" s="183"/>
      <c r="J136" s="359"/>
      <c r="K136" s="183"/>
      <c r="L136" s="359"/>
      <c r="M136" s="183"/>
      <c r="N136" s="359"/>
      <c r="O136" s="183"/>
      <c r="P136" s="359"/>
      <c r="Q136" s="86">
        <f t="shared" ref="Q136:Q199" si="6">SUM(I136,K136,M136,O136)</f>
        <v>0</v>
      </c>
      <c r="R136" s="372"/>
      <c r="S136" s="370"/>
      <c r="T136" s="372"/>
      <c r="U136" s="370"/>
      <c r="V136" s="372"/>
      <c r="W136" s="370"/>
      <c r="X136" s="372"/>
      <c r="Y136" s="370"/>
      <c r="Z136" s="188"/>
      <c r="AA136" s="88">
        <f t="shared" ref="AA136:AA192" si="7">MAX(S136,U136,W136,Y136)</f>
        <v>0</v>
      </c>
      <c r="AB136" s="236">
        <v>7516800</v>
      </c>
      <c r="AC136" s="236">
        <v>7516800</v>
      </c>
      <c r="AD136" s="236">
        <v>10022400</v>
      </c>
      <c r="AE136" s="236"/>
      <c r="AF136" s="236"/>
      <c r="AG136" s="236"/>
      <c r="AH136" s="236"/>
      <c r="AI136" s="236"/>
      <c r="AJ136" s="236"/>
      <c r="AK136" s="236"/>
      <c r="AL136" s="236"/>
      <c r="AM136" s="236"/>
      <c r="AN136" s="236"/>
      <c r="AO136" s="236"/>
      <c r="AP136" s="236"/>
      <c r="AQ136" s="236"/>
      <c r="AR136" s="236"/>
      <c r="AS136" s="236"/>
      <c r="AT136" s="369">
        <v>41961</v>
      </c>
      <c r="AU136" s="90">
        <f t="shared" ref="AU136:AU149" si="8">SUM(AB136:AS136)</f>
        <v>25056000</v>
      </c>
    </row>
    <row r="137" spans="1:47" ht="34.5" hidden="1" customHeight="1" x14ac:dyDescent="0.25">
      <c r="A137" s="85">
        <v>131</v>
      </c>
      <c r="B137" s="2" t="str">
        <f>+'Base de Datos'!E137</f>
        <v>130254-0-2013</v>
      </c>
      <c r="C137" s="2" t="str">
        <f>+'Base de Datos'!F137</f>
        <v>CAJA DE COMPENSACIÓN FAMILIAR COMPENSAR SALONES</v>
      </c>
      <c r="D137" s="2">
        <f>+'Base de Datos'!G137</f>
        <v>860066942</v>
      </c>
      <c r="E137" s="2" t="str">
        <f>+'Base de Datos'!H137</f>
        <v>Contratar el alquiler diferentes tipos de escenarios: salones, auditorios y espacios abiertos de diversas capacidades donde en forma adicional al espacio se suministre el apoyo logístico, alimentación, equipamiento y personal necesario para el desarrollo de eventos, actos de orden institucional y protocolario en cumplimiento de las funciones del Concejo de Bogotá, de conformidad con las condiciones establecidas en el pliego de condiciones del proceso SDH-SAMC-06-2013</v>
      </c>
      <c r="F137" s="8">
        <v>76223000</v>
      </c>
      <c r="G137" s="6">
        <v>41541</v>
      </c>
      <c r="H137" s="64">
        <v>41721</v>
      </c>
      <c r="I137" s="183">
        <v>13000000</v>
      </c>
      <c r="J137" s="359"/>
      <c r="K137" s="183">
        <v>25002288</v>
      </c>
      <c r="L137" s="359"/>
      <c r="M137" s="183"/>
      <c r="N137" s="359"/>
      <c r="O137" s="183"/>
      <c r="P137" s="359"/>
      <c r="Q137" s="86">
        <f t="shared" si="6"/>
        <v>38002288</v>
      </c>
      <c r="R137" s="372" t="s">
        <v>378</v>
      </c>
      <c r="S137" s="370">
        <v>41782</v>
      </c>
      <c r="T137" s="372"/>
      <c r="U137" s="370"/>
      <c r="V137" s="372"/>
      <c r="W137" s="370"/>
      <c r="X137" s="372"/>
      <c r="Y137" s="370"/>
      <c r="Z137" s="188" t="s">
        <v>378</v>
      </c>
      <c r="AA137" s="88">
        <f t="shared" si="7"/>
        <v>41782</v>
      </c>
      <c r="AB137" s="236">
        <v>14315376</v>
      </c>
      <c r="AC137" s="236">
        <v>11847080</v>
      </c>
      <c r="AD137" s="236">
        <v>31668000</v>
      </c>
      <c r="AE137" s="236">
        <v>18355548</v>
      </c>
      <c r="AF137" s="236">
        <v>3999216</v>
      </c>
      <c r="AG137" s="236">
        <v>1093068</v>
      </c>
      <c r="AH137" s="236">
        <v>7150240</v>
      </c>
      <c r="AI137" s="236">
        <v>786132</v>
      </c>
      <c r="AJ137" s="236">
        <v>25002408</v>
      </c>
      <c r="AK137" s="236"/>
      <c r="AL137" s="236"/>
      <c r="AM137" s="236"/>
      <c r="AN137" s="236"/>
      <c r="AO137" s="236"/>
      <c r="AP137" s="236"/>
      <c r="AQ137" s="236"/>
      <c r="AR137" s="236"/>
      <c r="AS137" s="236"/>
      <c r="AT137" s="369">
        <v>0</v>
      </c>
      <c r="AU137" s="90">
        <f t="shared" si="8"/>
        <v>114217068</v>
      </c>
    </row>
    <row r="138" spans="1:47" ht="34.5" hidden="1" customHeight="1" x14ac:dyDescent="0.25">
      <c r="A138" s="85">
        <v>132</v>
      </c>
      <c r="B138" s="2" t="str">
        <f>+'Base de Datos'!E138</f>
        <v>130260-0-2013</v>
      </c>
      <c r="C138" s="2" t="str">
        <f>+'Base de Datos'!F138</f>
        <v>PROCOLDEXT LIMITADA</v>
      </c>
      <c r="D138" s="2">
        <f>+'Base de Datos'!G138</f>
        <v>800105847</v>
      </c>
      <c r="E138" s="2" t="str">
        <f>+'Base de Datos'!H138</f>
        <v>Realizar el mantenimiento, revisión, recarga general y suministro de repuesto de los extintores de las sedes del Concejo de Bogotá, y la revisión, mantenimiento y suministro de repuestos de los gabinetes contra incendio de la Corporación, de conformidad con lo establecido en la Invitación Pública SDH-SMINC-39-2013.</v>
      </c>
      <c r="F138" s="8">
        <v>4715000</v>
      </c>
      <c r="G138" s="6">
        <v>41555</v>
      </c>
      <c r="H138" s="64">
        <v>41615</v>
      </c>
      <c r="I138" s="183"/>
      <c r="J138" s="359"/>
      <c r="K138" s="183"/>
      <c r="L138" s="359"/>
      <c r="M138" s="183"/>
      <c r="N138" s="359"/>
      <c r="O138" s="183"/>
      <c r="P138" s="359"/>
      <c r="Q138" s="86">
        <f t="shared" si="6"/>
        <v>0</v>
      </c>
      <c r="R138" s="372"/>
      <c r="S138" s="370"/>
      <c r="T138" s="372"/>
      <c r="U138" s="370"/>
      <c r="V138" s="372"/>
      <c r="W138" s="370"/>
      <c r="X138" s="372"/>
      <c r="Y138" s="370"/>
      <c r="Z138" s="188"/>
      <c r="AA138" s="88">
        <f t="shared" si="7"/>
        <v>0</v>
      </c>
      <c r="AB138" s="236">
        <v>4715000</v>
      </c>
      <c r="AC138" s="236"/>
      <c r="AD138" s="236"/>
      <c r="AE138" s="236"/>
      <c r="AF138" s="236"/>
      <c r="AG138" s="236"/>
      <c r="AH138" s="236"/>
      <c r="AI138" s="236"/>
      <c r="AJ138" s="236"/>
      <c r="AK138" s="236"/>
      <c r="AL138" s="236"/>
      <c r="AM138" s="236"/>
      <c r="AN138" s="236"/>
      <c r="AO138" s="236"/>
      <c r="AP138" s="236"/>
      <c r="AQ138" s="236"/>
      <c r="AR138" s="236"/>
      <c r="AS138" s="236"/>
      <c r="AT138" s="369">
        <v>0</v>
      </c>
      <c r="AU138" s="90">
        <f t="shared" si="8"/>
        <v>4715000</v>
      </c>
    </row>
    <row r="139" spans="1:47" ht="34.5" hidden="1" customHeight="1" x14ac:dyDescent="0.25">
      <c r="A139" s="85">
        <v>133</v>
      </c>
      <c r="B139" s="2" t="str">
        <f>+'Base de Datos'!E139</f>
        <v>130261-0-2013</v>
      </c>
      <c r="C139" s="2" t="str">
        <f>+'Base de Datos'!F139</f>
        <v>UNIVERSIDAD DISTRITAL FRANCISCO JOSÉ DE CALDAS</v>
      </c>
      <c r="D139" s="2">
        <f>+'Base de Datos'!G139</f>
        <v>899999230</v>
      </c>
      <c r="E139" s="2" t="str">
        <f>+'Base de Datos'!H139</f>
        <v>Contratar los servicios integrales para la ejecución y desarrollo de plan institucional de capacitación del Concejo de Bogotá D.C. de conformidad con la normatividad vigente.</v>
      </c>
      <c r="F139" s="8">
        <v>457000000</v>
      </c>
      <c r="G139" s="6">
        <v>41556</v>
      </c>
      <c r="H139" s="64">
        <v>41798</v>
      </c>
      <c r="I139" s="183"/>
      <c r="J139" s="359"/>
      <c r="K139" s="183"/>
      <c r="L139" s="359"/>
      <c r="M139" s="183"/>
      <c r="N139" s="359"/>
      <c r="O139" s="183"/>
      <c r="P139" s="359"/>
      <c r="Q139" s="86">
        <f t="shared" si="6"/>
        <v>0</v>
      </c>
      <c r="R139" s="372" t="s">
        <v>381</v>
      </c>
      <c r="S139" s="370">
        <v>41828</v>
      </c>
      <c r="T139" s="372" t="s">
        <v>378</v>
      </c>
      <c r="U139" s="370">
        <v>41890</v>
      </c>
      <c r="V139" s="372"/>
      <c r="W139" s="370"/>
      <c r="X139" s="372"/>
      <c r="Y139" s="370"/>
      <c r="Z139" s="188" t="s">
        <v>379</v>
      </c>
      <c r="AA139" s="88">
        <f t="shared" si="7"/>
        <v>41890</v>
      </c>
      <c r="AB139" s="236">
        <v>182800000</v>
      </c>
      <c r="AC139" s="236">
        <v>114250000</v>
      </c>
      <c r="AD139" s="236">
        <v>114250000</v>
      </c>
      <c r="AE139" s="236">
        <v>4987285</v>
      </c>
      <c r="AF139" s="236"/>
      <c r="AG139" s="236"/>
      <c r="AH139" s="236"/>
      <c r="AI139" s="236"/>
      <c r="AJ139" s="236"/>
      <c r="AK139" s="236"/>
      <c r="AL139" s="236"/>
      <c r="AM139" s="236"/>
      <c r="AN139" s="236"/>
      <c r="AO139" s="236"/>
      <c r="AP139" s="236"/>
      <c r="AQ139" s="236"/>
      <c r="AR139" s="236"/>
      <c r="AS139" s="236"/>
      <c r="AT139" s="369">
        <v>41997</v>
      </c>
      <c r="AU139" s="90">
        <f t="shared" si="8"/>
        <v>416287285</v>
      </c>
    </row>
    <row r="140" spans="1:47" ht="34.5" hidden="1" customHeight="1" x14ac:dyDescent="0.25">
      <c r="A140" s="85">
        <v>134</v>
      </c>
      <c r="B140" s="2" t="str">
        <f>+'Base de Datos'!E140</f>
        <v>130265-0-2013</v>
      </c>
      <c r="C140" s="2" t="str">
        <f>+'Base de Datos'!F140</f>
        <v>TECNOLOGÍA BIOMÉDICA</v>
      </c>
      <c r="D140" s="2">
        <f>+'Base de Datos'!G140</f>
        <v>900207129</v>
      </c>
      <c r="E140" s="2" t="str">
        <f>+'Base de Datos'!H140</f>
        <v>Adquirir a titulo de compraventa mediante el sistema de precios unitarios, elementos, medicamentos e insumos para dotar el consultorio medico, brigada de emergencia y los botiquines del Concejo de Bogotá D.C. de conformidad con lo establecido en la invitación del proceso No SDH-SMINC-40-2013 Y  la propuesta presentada por el contratista.</v>
      </c>
      <c r="F140" s="9">
        <v>3356320</v>
      </c>
      <c r="G140" s="6">
        <v>41554</v>
      </c>
      <c r="H140" s="64">
        <v>41645</v>
      </c>
      <c r="I140" s="183"/>
      <c r="J140" s="359"/>
      <c r="K140" s="183"/>
      <c r="L140" s="359"/>
      <c r="M140" s="183"/>
      <c r="N140" s="359"/>
      <c r="O140" s="183"/>
      <c r="P140" s="359"/>
      <c r="Q140" s="86">
        <f t="shared" si="6"/>
        <v>0</v>
      </c>
      <c r="R140" s="372"/>
      <c r="S140" s="370"/>
      <c r="T140" s="372"/>
      <c r="U140" s="370"/>
      <c r="V140" s="372"/>
      <c r="W140" s="370"/>
      <c r="X140" s="372"/>
      <c r="Y140" s="370"/>
      <c r="Z140" s="188"/>
      <c r="AA140" s="88">
        <f t="shared" si="7"/>
        <v>0</v>
      </c>
      <c r="AB140" s="236">
        <v>3356320</v>
      </c>
      <c r="AC140" s="236"/>
      <c r="AD140" s="236"/>
      <c r="AE140" s="236"/>
      <c r="AF140" s="236"/>
      <c r="AG140" s="236"/>
      <c r="AH140" s="236"/>
      <c r="AI140" s="236"/>
      <c r="AJ140" s="236"/>
      <c r="AK140" s="236"/>
      <c r="AL140" s="236"/>
      <c r="AM140" s="236"/>
      <c r="AN140" s="236"/>
      <c r="AO140" s="236"/>
      <c r="AP140" s="236"/>
      <c r="AQ140" s="236"/>
      <c r="AR140" s="236"/>
      <c r="AS140" s="236"/>
      <c r="AT140" s="369">
        <v>0</v>
      </c>
      <c r="AU140" s="90">
        <f t="shared" si="8"/>
        <v>3356320</v>
      </c>
    </row>
    <row r="141" spans="1:47" ht="34.5" hidden="1" customHeight="1" x14ac:dyDescent="0.25">
      <c r="A141" s="85">
        <v>135</v>
      </c>
      <c r="B141" s="2" t="str">
        <f>+'Base de Datos'!E141</f>
        <v>130270-0-2013</v>
      </c>
      <c r="C141" s="2" t="str">
        <f>+'Base de Datos'!F141</f>
        <v>ITELCO IT S.A.S</v>
      </c>
      <c r="D141" s="2">
        <f>+'Base de Datos'!G141</f>
        <v>830069296</v>
      </c>
      <c r="E141" s="2" t="str">
        <f>+'Base de Datos'!H141</f>
        <v>Contratar la adquisición, mantenimiento y soporte de licencias de software antivirus para la plataforma del Concejo de Bogotá D.C, de conformidad con lo establecido en el pliego de condiciones del proceso No SDH-SMINC-43-2013</v>
      </c>
      <c r="F141" s="8">
        <v>19965572</v>
      </c>
      <c r="G141" s="6">
        <v>41555</v>
      </c>
      <c r="H141" s="64">
        <v>41935</v>
      </c>
      <c r="I141" s="183"/>
      <c r="J141" s="359"/>
      <c r="K141" s="183"/>
      <c r="L141" s="359"/>
      <c r="M141" s="183"/>
      <c r="N141" s="359"/>
      <c r="O141" s="183"/>
      <c r="P141" s="359"/>
      <c r="Q141" s="86">
        <f t="shared" si="6"/>
        <v>0</v>
      </c>
      <c r="R141" s="372"/>
      <c r="S141" s="370"/>
      <c r="T141" s="372"/>
      <c r="U141" s="370"/>
      <c r="V141" s="372"/>
      <c r="W141" s="370"/>
      <c r="X141" s="372"/>
      <c r="Y141" s="370"/>
      <c r="Z141" s="188"/>
      <c r="AA141" s="88">
        <f t="shared" si="7"/>
        <v>0</v>
      </c>
      <c r="AB141" s="236">
        <v>16137572</v>
      </c>
      <c r="AC141" s="236">
        <v>1276000</v>
      </c>
      <c r="AD141" s="236">
        <v>1276000</v>
      </c>
      <c r="AE141" s="236">
        <v>1276000</v>
      </c>
      <c r="AF141" s="236"/>
      <c r="AG141" s="236"/>
      <c r="AH141" s="236"/>
      <c r="AI141" s="236"/>
      <c r="AJ141" s="236"/>
      <c r="AK141" s="236"/>
      <c r="AL141" s="236"/>
      <c r="AM141" s="236"/>
      <c r="AN141" s="236"/>
      <c r="AO141" s="236"/>
      <c r="AP141" s="236"/>
      <c r="AQ141" s="236"/>
      <c r="AR141" s="236"/>
      <c r="AS141" s="236"/>
      <c r="AT141" s="369">
        <v>0</v>
      </c>
      <c r="AU141" s="90">
        <f t="shared" si="8"/>
        <v>19965572</v>
      </c>
    </row>
    <row r="142" spans="1:47" ht="34.5" hidden="1" customHeight="1" x14ac:dyDescent="0.25">
      <c r="A142" s="85">
        <v>136</v>
      </c>
      <c r="B142" s="2" t="str">
        <f>+'Base de Datos'!E142</f>
        <v>130276-0-2013</v>
      </c>
      <c r="C142" s="2" t="str">
        <f>+'Base de Datos'!F142</f>
        <v>FACTOR VISUAL EAT</v>
      </c>
      <c r="D142" s="2">
        <f>+'Base de Datos'!G142</f>
        <v>830112518</v>
      </c>
      <c r="E142" s="2" t="str">
        <f>+'Base de Datos'!H142</f>
        <v>Prestar el servicio de mantenimiento, soporte y actualización al software "Prontus" (pagina web e intranet)</v>
      </c>
      <c r="F142" s="8">
        <v>38280000</v>
      </c>
      <c r="G142" s="6">
        <v>41562</v>
      </c>
      <c r="H142" s="64">
        <v>41926</v>
      </c>
      <c r="I142" s="183"/>
      <c r="J142" s="359"/>
      <c r="K142" s="183"/>
      <c r="L142" s="359"/>
      <c r="M142" s="183"/>
      <c r="N142" s="359"/>
      <c r="O142" s="183"/>
      <c r="P142" s="359"/>
      <c r="Q142" s="86">
        <f t="shared" si="6"/>
        <v>0</v>
      </c>
      <c r="R142" s="372"/>
      <c r="S142" s="370"/>
      <c r="T142" s="372"/>
      <c r="U142" s="370"/>
      <c r="V142" s="372"/>
      <c r="W142" s="370"/>
      <c r="X142" s="372"/>
      <c r="Y142" s="370"/>
      <c r="Z142" s="188"/>
      <c r="AA142" s="88">
        <f t="shared" si="7"/>
        <v>0</v>
      </c>
      <c r="AB142" s="236">
        <v>3190000</v>
      </c>
      <c r="AC142" s="236">
        <v>3190000</v>
      </c>
      <c r="AD142" s="236">
        <v>3190000</v>
      </c>
      <c r="AE142" s="236">
        <v>3190000</v>
      </c>
      <c r="AF142" s="236">
        <v>3190000</v>
      </c>
      <c r="AG142" s="236">
        <v>3190000</v>
      </c>
      <c r="AH142" s="236">
        <v>3190000</v>
      </c>
      <c r="AI142" s="236">
        <v>3190000</v>
      </c>
      <c r="AJ142" s="236">
        <v>3190000</v>
      </c>
      <c r="AK142" s="236">
        <v>3190000</v>
      </c>
      <c r="AL142" s="236">
        <v>3190000</v>
      </c>
      <c r="AM142" s="236">
        <v>3190000</v>
      </c>
      <c r="AN142" s="236"/>
      <c r="AO142" s="236"/>
      <c r="AP142" s="236"/>
      <c r="AQ142" s="236"/>
      <c r="AR142" s="236"/>
      <c r="AS142" s="236"/>
      <c r="AT142" s="369">
        <v>41961</v>
      </c>
      <c r="AU142" s="90">
        <f t="shared" si="8"/>
        <v>38280000</v>
      </c>
    </row>
    <row r="143" spans="1:47" ht="34.5" hidden="1" customHeight="1" x14ac:dyDescent="0.25">
      <c r="A143" s="85">
        <v>137</v>
      </c>
      <c r="B143" s="2" t="str">
        <f>+'Base de Datos'!E143</f>
        <v>130281-0-2013</v>
      </c>
      <c r="C143" s="2" t="str">
        <f>+'Base de Datos'!F143</f>
        <v>CJS CANECAS Y CIA LTDA</v>
      </c>
      <c r="D143" s="2">
        <f>+'Base de Datos'!G143</f>
        <v>900309238</v>
      </c>
      <c r="E143" s="2" t="str">
        <f>+'Base de Datos'!H143</f>
        <v>Contratar el suministro de elementos necesarios para la recolección y manejo integral de residuos solidos del  Concejo de Bogotá D.C. de conformidad con lo estipulado en la invitación Publica del proceso SDH-SMINC-042-2013</v>
      </c>
      <c r="F143" s="8">
        <v>26073552</v>
      </c>
      <c r="G143" s="6">
        <v>41562</v>
      </c>
      <c r="H143" s="64">
        <v>41592</v>
      </c>
      <c r="I143" s="183"/>
      <c r="J143" s="359"/>
      <c r="K143" s="183"/>
      <c r="L143" s="359"/>
      <c r="M143" s="183"/>
      <c r="N143" s="359"/>
      <c r="O143" s="183"/>
      <c r="P143" s="359"/>
      <c r="Q143" s="86">
        <f t="shared" si="6"/>
        <v>0</v>
      </c>
      <c r="R143" s="372"/>
      <c r="S143" s="370"/>
      <c r="T143" s="372"/>
      <c r="U143" s="370"/>
      <c r="V143" s="372"/>
      <c r="W143" s="370"/>
      <c r="X143" s="372"/>
      <c r="Y143" s="370"/>
      <c r="Z143" s="188"/>
      <c r="AA143" s="88">
        <f t="shared" si="7"/>
        <v>0</v>
      </c>
      <c r="AB143" s="236">
        <v>6585552</v>
      </c>
      <c r="AC143" s="236">
        <v>19488000</v>
      </c>
      <c r="AD143" s="236"/>
      <c r="AE143" s="236"/>
      <c r="AF143" s="236"/>
      <c r="AG143" s="236"/>
      <c r="AH143" s="236"/>
      <c r="AI143" s="236"/>
      <c r="AJ143" s="236"/>
      <c r="AK143" s="236"/>
      <c r="AL143" s="236"/>
      <c r="AM143" s="236"/>
      <c r="AN143" s="236"/>
      <c r="AO143" s="236"/>
      <c r="AP143" s="236"/>
      <c r="AQ143" s="236"/>
      <c r="AR143" s="236"/>
      <c r="AS143" s="236"/>
      <c r="AT143" s="369">
        <v>0</v>
      </c>
      <c r="AU143" s="90">
        <f t="shared" si="8"/>
        <v>26073552</v>
      </c>
    </row>
    <row r="144" spans="1:47" ht="34.5" hidden="1" customHeight="1" x14ac:dyDescent="0.25">
      <c r="A144" s="85">
        <v>138</v>
      </c>
      <c r="B144" s="2" t="str">
        <f>+'Base de Datos'!E144</f>
        <v>130286-0-2013</v>
      </c>
      <c r="C144" s="2" t="str">
        <f>+'Base de Datos'!F144</f>
        <v>COMERCIALIZADORA INTERNACIONAL MEDICA DENTAL S.A.S</v>
      </c>
      <c r="D144" s="2">
        <f>+'Base de Datos'!G144</f>
        <v>900542684</v>
      </c>
      <c r="E144" s="2" t="str">
        <f>+'Base de Datos'!H144</f>
        <v>Adquirir a titulo de compraventa elementos de protección personal  para los servidores Públicos del concejo de Bogotá D.C. de conformidad con lo establecido en la invitación publica No SDH-SMINC-45-2013</v>
      </c>
      <c r="F144" s="8">
        <v>17262940</v>
      </c>
      <c r="G144" s="6">
        <v>41570</v>
      </c>
      <c r="H144" s="64">
        <v>41692</v>
      </c>
      <c r="I144" s="183"/>
      <c r="J144" s="359"/>
      <c r="K144" s="183"/>
      <c r="L144" s="359"/>
      <c r="M144" s="183"/>
      <c r="N144" s="359"/>
      <c r="O144" s="183"/>
      <c r="P144" s="359"/>
      <c r="Q144" s="86">
        <f t="shared" si="6"/>
        <v>0</v>
      </c>
      <c r="R144" s="372"/>
      <c r="S144" s="370"/>
      <c r="T144" s="372"/>
      <c r="U144" s="370"/>
      <c r="V144" s="372"/>
      <c r="W144" s="370"/>
      <c r="X144" s="372"/>
      <c r="Y144" s="370"/>
      <c r="Z144" s="188"/>
      <c r="AA144" s="88">
        <f t="shared" si="7"/>
        <v>0</v>
      </c>
      <c r="AB144" s="236">
        <v>17262940</v>
      </c>
      <c r="AC144" s="236"/>
      <c r="AD144" s="236"/>
      <c r="AE144" s="236"/>
      <c r="AF144" s="236"/>
      <c r="AG144" s="236"/>
      <c r="AH144" s="236"/>
      <c r="AI144" s="236"/>
      <c r="AJ144" s="236"/>
      <c r="AK144" s="236"/>
      <c r="AL144" s="236"/>
      <c r="AM144" s="236"/>
      <c r="AN144" s="236"/>
      <c r="AO144" s="236"/>
      <c r="AP144" s="236"/>
      <c r="AQ144" s="236"/>
      <c r="AR144" s="236"/>
      <c r="AS144" s="236"/>
      <c r="AT144" s="369">
        <v>0</v>
      </c>
      <c r="AU144" s="90">
        <f t="shared" si="8"/>
        <v>17262940</v>
      </c>
    </row>
    <row r="145" spans="1:49" ht="34.5" hidden="1" customHeight="1" x14ac:dyDescent="0.25">
      <c r="A145" s="85">
        <v>139</v>
      </c>
      <c r="B145" s="2" t="str">
        <f>+'Base de Datos'!E145</f>
        <v>130297-0-2013</v>
      </c>
      <c r="C145" s="2" t="str">
        <f>+'Base de Datos'!F145</f>
        <v>GRUPO EDITORIAL EL PERIÓDICO S.A.S</v>
      </c>
      <c r="D145" s="2">
        <f>+'Base de Datos'!G145</f>
        <v>900169179</v>
      </c>
      <c r="E145" s="2" t="str">
        <f>+'Base de Datos'!H145</f>
        <v>Suscripción al diario El Periódico, con destino al Concejo de Bogotá D.C. , de conformidad con los estudios previos.</v>
      </c>
      <c r="F145" s="8">
        <v>810000</v>
      </c>
      <c r="G145" s="6">
        <v>41575</v>
      </c>
      <c r="H145" s="64">
        <v>41939</v>
      </c>
      <c r="I145" s="183"/>
      <c r="J145" s="359"/>
      <c r="K145" s="183"/>
      <c r="L145" s="359"/>
      <c r="M145" s="183"/>
      <c r="N145" s="359"/>
      <c r="O145" s="183"/>
      <c r="P145" s="359"/>
      <c r="Q145" s="86">
        <f t="shared" si="6"/>
        <v>0</v>
      </c>
      <c r="R145" s="372"/>
      <c r="S145" s="370"/>
      <c r="T145" s="372"/>
      <c r="U145" s="370"/>
      <c r="V145" s="372"/>
      <c r="W145" s="370"/>
      <c r="X145" s="372"/>
      <c r="Y145" s="370"/>
      <c r="Z145" s="188"/>
      <c r="AA145" s="88">
        <f t="shared" si="7"/>
        <v>0</v>
      </c>
      <c r="AB145" s="236">
        <v>810000</v>
      </c>
      <c r="AC145" s="236"/>
      <c r="AD145" s="236"/>
      <c r="AE145" s="236"/>
      <c r="AF145" s="236"/>
      <c r="AG145" s="236"/>
      <c r="AH145" s="236"/>
      <c r="AI145" s="236"/>
      <c r="AJ145" s="236"/>
      <c r="AK145" s="236"/>
      <c r="AL145" s="236"/>
      <c r="AM145" s="236"/>
      <c r="AN145" s="236"/>
      <c r="AO145" s="236"/>
      <c r="AP145" s="236"/>
      <c r="AQ145" s="236"/>
      <c r="AR145" s="236"/>
      <c r="AS145" s="236"/>
      <c r="AT145" s="369">
        <v>0</v>
      </c>
      <c r="AU145" s="90">
        <f t="shared" si="8"/>
        <v>810000</v>
      </c>
    </row>
    <row r="146" spans="1:49" ht="34.5" hidden="1" customHeight="1" x14ac:dyDescent="0.25">
      <c r="A146" s="85">
        <v>140</v>
      </c>
      <c r="B146" s="2" t="str">
        <f>+'Base de Datos'!E146</f>
        <v>130298-0-2013</v>
      </c>
      <c r="C146" s="2" t="str">
        <f>+'Base de Datos'!F146</f>
        <v>SOLUCIONES INTEGRALES DE OFICINAS      SAS</v>
      </c>
      <c r="D146" s="2">
        <f>+'Base de Datos'!G146</f>
        <v>830080652</v>
      </c>
      <c r="E146" s="2" t="str">
        <f>+'Base de Datos'!H146</f>
        <v>Adquirir a titulo de compraventa los elementos descritos en el Ítem 2 de la invitación publica SDH-SMINC-44-2013 que tiene por objeto "Adquirir a titulo de compraventa por el sistema de precios unitarios mobiliario y equipos de oficinas consistentes en sillas y elementos ergonómicos, para adecuar los puestos de trabajo de los servidores Públicos del Concejo de Bogotá D.C."</v>
      </c>
      <c r="F146" s="8">
        <v>5545000</v>
      </c>
      <c r="G146" s="6">
        <v>41590</v>
      </c>
      <c r="H146" s="64">
        <v>41650</v>
      </c>
      <c r="I146" s="183"/>
      <c r="J146" s="359"/>
      <c r="K146" s="183"/>
      <c r="L146" s="359"/>
      <c r="M146" s="183"/>
      <c r="N146" s="359"/>
      <c r="O146" s="183"/>
      <c r="P146" s="359"/>
      <c r="Q146" s="86">
        <f t="shared" si="6"/>
        <v>0</v>
      </c>
      <c r="R146" s="372"/>
      <c r="S146" s="370"/>
      <c r="T146" s="372"/>
      <c r="U146" s="370"/>
      <c r="V146" s="372"/>
      <c r="W146" s="370"/>
      <c r="X146" s="372"/>
      <c r="Y146" s="370"/>
      <c r="Z146" s="188"/>
      <c r="AA146" s="88">
        <f t="shared" si="7"/>
        <v>0</v>
      </c>
      <c r="AB146" s="236">
        <v>5545000</v>
      </c>
      <c r="AC146" s="236"/>
      <c r="AD146" s="236"/>
      <c r="AE146" s="236"/>
      <c r="AF146" s="236"/>
      <c r="AG146" s="236"/>
      <c r="AH146" s="236"/>
      <c r="AI146" s="236"/>
      <c r="AJ146" s="236"/>
      <c r="AK146" s="236"/>
      <c r="AL146" s="236"/>
      <c r="AM146" s="236"/>
      <c r="AN146" s="236"/>
      <c r="AO146" s="236"/>
      <c r="AP146" s="236"/>
      <c r="AQ146" s="236"/>
      <c r="AR146" s="236"/>
      <c r="AS146" s="236"/>
      <c r="AT146" s="369">
        <v>0</v>
      </c>
      <c r="AU146" s="90">
        <f t="shared" si="8"/>
        <v>5545000</v>
      </c>
    </row>
    <row r="147" spans="1:49" ht="34.5" hidden="1" customHeight="1" x14ac:dyDescent="0.25">
      <c r="A147" s="85">
        <v>141</v>
      </c>
      <c r="B147" s="2" t="str">
        <f>+'Base de Datos'!E147</f>
        <v>130299-0-2013</v>
      </c>
      <c r="C147" s="2" t="str">
        <f>+'Base de Datos'!F147</f>
        <v>3D CONSULTING GROUP LTDA</v>
      </c>
      <c r="D147" s="2">
        <f>+'Base de Datos'!G147</f>
        <v>900236701</v>
      </c>
      <c r="E147" s="2" t="str">
        <f>+'Base de Datos'!H147</f>
        <v>Adquirir a titulo de compraventa los elementos descritos en el ítem 1 de la invitación publica SDH-SMINC-44-2013, que tiene por objeto "Adquirir a titulo de Compraventa por el sistema de precios unitarios mobiliario y equipos de oficina consistentes en sillas y elementos ergonómicos, para adecuar los puestos de trabajo de los servidores públicos del Concejo de Bogotá D.C."</v>
      </c>
      <c r="F147" s="8">
        <v>19360400</v>
      </c>
      <c r="G147" s="6">
        <v>41590</v>
      </c>
      <c r="H147" s="64">
        <v>41650</v>
      </c>
      <c r="I147" s="183"/>
      <c r="J147" s="359"/>
      <c r="K147" s="183"/>
      <c r="L147" s="359"/>
      <c r="M147" s="183"/>
      <c r="N147" s="359"/>
      <c r="O147" s="183"/>
      <c r="P147" s="359"/>
      <c r="Q147" s="86">
        <f t="shared" si="6"/>
        <v>0</v>
      </c>
      <c r="R147" s="372"/>
      <c r="S147" s="370"/>
      <c r="T147" s="372"/>
      <c r="U147" s="370"/>
      <c r="V147" s="372"/>
      <c r="W147" s="370"/>
      <c r="X147" s="372"/>
      <c r="Y147" s="370"/>
      <c r="Z147" s="188"/>
      <c r="AA147" s="88">
        <f t="shared" si="7"/>
        <v>0</v>
      </c>
      <c r="AB147" s="236">
        <v>19360400</v>
      </c>
      <c r="AC147" s="236"/>
      <c r="AD147" s="236"/>
      <c r="AE147" s="236"/>
      <c r="AF147" s="236"/>
      <c r="AG147" s="236"/>
      <c r="AH147" s="236"/>
      <c r="AI147" s="236"/>
      <c r="AJ147" s="236"/>
      <c r="AK147" s="236"/>
      <c r="AL147" s="236"/>
      <c r="AM147" s="236"/>
      <c r="AN147" s="236"/>
      <c r="AO147" s="236"/>
      <c r="AP147" s="236"/>
      <c r="AQ147" s="236"/>
      <c r="AR147" s="236"/>
      <c r="AS147" s="236"/>
      <c r="AT147" s="369">
        <v>0</v>
      </c>
      <c r="AU147" s="90">
        <f t="shared" si="8"/>
        <v>19360400</v>
      </c>
    </row>
    <row r="148" spans="1:49" ht="34.5" hidden="1" customHeight="1" x14ac:dyDescent="0.25">
      <c r="A148" s="85">
        <v>142</v>
      </c>
      <c r="B148" s="2" t="str">
        <f>+'Base de Datos'!E148</f>
        <v>130301-0-2013</v>
      </c>
      <c r="C148" s="2" t="str">
        <f>+'Base de Datos'!F148</f>
        <v>COMPENSAR BIENESTAR</v>
      </c>
      <c r="D148" s="2">
        <f>+'Base de Datos'!G148</f>
        <v>860066942</v>
      </c>
      <c r="E148" s="2" t="str">
        <f>+'Base de Datos'!H148</f>
        <v>Aunar esfuerzos para el desarrollo de las actividades contenidas en los planes de bienestar e incentivos del Concejo de Bogotá D.C.</v>
      </c>
      <c r="F148" s="8">
        <v>336560000</v>
      </c>
      <c r="G148" s="6">
        <v>41572</v>
      </c>
      <c r="H148" s="64">
        <v>41814</v>
      </c>
      <c r="I148" s="183">
        <v>40000000</v>
      </c>
      <c r="J148" s="359"/>
      <c r="K148" s="183">
        <v>125720800</v>
      </c>
      <c r="L148" s="359"/>
      <c r="M148" s="183"/>
      <c r="N148" s="359"/>
      <c r="O148" s="183"/>
      <c r="P148" s="359"/>
      <c r="Q148" s="86">
        <f t="shared" si="6"/>
        <v>165720800</v>
      </c>
      <c r="R148" s="372"/>
      <c r="S148" s="370"/>
      <c r="T148" s="372"/>
      <c r="U148" s="370"/>
      <c r="V148" s="372"/>
      <c r="W148" s="370"/>
      <c r="X148" s="372"/>
      <c r="Y148" s="370"/>
      <c r="Z148" s="188"/>
      <c r="AA148" s="88">
        <f t="shared" si="7"/>
        <v>0</v>
      </c>
      <c r="AB148" s="236">
        <v>77604000</v>
      </c>
      <c r="AC148" s="236">
        <v>9512000</v>
      </c>
      <c r="AD148" s="236">
        <v>229574788</v>
      </c>
      <c r="AE148" s="236">
        <v>19836000</v>
      </c>
      <c r="AF148" s="236">
        <v>40000000</v>
      </c>
      <c r="AG148" s="236">
        <v>13641600</v>
      </c>
      <c r="AH148" s="236">
        <v>112079200</v>
      </c>
      <c r="AI148" s="236"/>
      <c r="AJ148" s="236"/>
      <c r="AK148" s="236"/>
      <c r="AL148" s="236"/>
      <c r="AM148" s="236"/>
      <c r="AN148" s="236"/>
      <c r="AO148" s="236"/>
      <c r="AP148" s="236"/>
      <c r="AQ148" s="236"/>
      <c r="AR148" s="236"/>
      <c r="AS148" s="236"/>
      <c r="AT148" s="369">
        <v>0</v>
      </c>
      <c r="AU148" s="90">
        <f t="shared" si="8"/>
        <v>502247588</v>
      </c>
    </row>
    <row r="149" spans="1:49" ht="34.5" hidden="1" customHeight="1" x14ac:dyDescent="0.25">
      <c r="A149" s="85">
        <v>143</v>
      </c>
      <c r="B149" s="2" t="str">
        <f>+'Base de Datos'!E149</f>
        <v>130309-0-2013</v>
      </c>
      <c r="C149" s="2" t="str">
        <f>+'Base de Datos'!F149</f>
        <v>UNIÓN TEMPORAL VIGILANCIA ACOSTA LTDA  - RUMBO ASOCIADOS</v>
      </c>
      <c r="D149" s="2">
        <f>+'Base de Datos'!G149</f>
        <v>900228623</v>
      </c>
      <c r="E149" s="2" t="str">
        <f>+'Base de Datos'!H149</f>
        <v>Prestar los servicios de vigilancia privada para la permanente y adecuada protección de las personas (funcionarios, contratista, visitantes, contribuyentes) los bienes muebles e inmuebles de propiedad de la entidad contratante, así como de aquellos por los  que les correspondiere salvaguardar en virtud de disposición legal, contractual o convencional. para el Concejo de Bogotá D.C. de conformidad con lo establecido en le pliego de condiciones del proceso de selección SDH-SIE-11-2013,  sus anexos y la propuesta presentada</v>
      </c>
      <c r="F149" s="8">
        <v>533636000</v>
      </c>
      <c r="G149" s="6">
        <v>41580</v>
      </c>
      <c r="H149" s="64">
        <v>41944</v>
      </c>
      <c r="I149" s="183">
        <v>159203272</v>
      </c>
      <c r="J149" s="359"/>
      <c r="K149" s="183"/>
      <c r="L149" s="359"/>
      <c r="M149" s="183"/>
      <c r="N149" s="359"/>
      <c r="O149" s="183"/>
      <c r="P149" s="359"/>
      <c r="Q149" s="86">
        <f t="shared" si="6"/>
        <v>159203272</v>
      </c>
      <c r="R149" s="372" t="s">
        <v>381</v>
      </c>
      <c r="S149" s="370">
        <v>41975</v>
      </c>
      <c r="T149" s="372"/>
      <c r="U149" s="370"/>
      <c r="V149" s="372"/>
      <c r="W149" s="370"/>
      <c r="X149" s="372"/>
      <c r="Y149" s="370"/>
      <c r="Z149" s="188" t="s">
        <v>381</v>
      </c>
      <c r="AA149" s="88">
        <f t="shared" si="7"/>
        <v>41975</v>
      </c>
      <c r="AB149" s="236">
        <v>48574416</v>
      </c>
      <c r="AC149" s="236">
        <v>103493075</v>
      </c>
      <c r="AD149" s="236">
        <v>52581920</v>
      </c>
      <c r="AE149" s="236">
        <v>105165007</v>
      </c>
      <c r="AF149" s="236">
        <v>61599252</v>
      </c>
      <c r="AG149" s="236">
        <v>148305776</v>
      </c>
      <c r="AH149" s="236">
        <v>91583753</v>
      </c>
      <c r="AI149" s="236">
        <v>45842345</v>
      </c>
      <c r="AJ149" s="236">
        <v>21018899</v>
      </c>
      <c r="AK149" s="236"/>
      <c r="AL149" s="236"/>
      <c r="AM149" s="236"/>
      <c r="AN149" s="236"/>
      <c r="AO149" s="236"/>
      <c r="AP149" s="236"/>
      <c r="AQ149" s="236"/>
      <c r="AR149" s="236"/>
      <c r="AS149" s="236"/>
      <c r="AT149" s="369">
        <v>42055</v>
      </c>
      <c r="AU149" s="90">
        <f t="shared" si="8"/>
        <v>678164443</v>
      </c>
    </row>
    <row r="150" spans="1:49" s="57" customFormat="1" ht="34.5" hidden="1" customHeight="1" x14ac:dyDescent="0.25">
      <c r="A150" s="85">
        <v>144</v>
      </c>
      <c r="B150" s="2" t="str">
        <f>+'Base de Datos'!E150</f>
        <v>130321-0-2013</v>
      </c>
      <c r="C150" s="2" t="str">
        <f>+'Base de Datos'!F150</f>
        <v>EMPRESA DE TELECOMUNICACIONES DE BOGOTA S.A.   ESP</v>
      </c>
      <c r="D150" s="2">
        <f>+'Base de Datos'!G150</f>
        <v>0</v>
      </c>
      <c r="E150" s="2" t="str">
        <f>+'Base de Datos'!H150</f>
        <v>Prestar los Servicios de conectividad de canales de comunicación, dedicados e Internet y servicios complementarios para la Secretaría Distrital de Hacienda y Concejo de Bogotá.</v>
      </c>
      <c r="F150" s="140">
        <v>150000000</v>
      </c>
      <c r="G150" s="138">
        <v>41610</v>
      </c>
      <c r="H150" s="138">
        <v>41975</v>
      </c>
      <c r="I150" s="183"/>
      <c r="J150" s="359"/>
      <c r="K150" s="183"/>
      <c r="L150" s="359"/>
      <c r="M150" s="183"/>
      <c r="N150" s="359"/>
      <c r="O150" s="183"/>
      <c r="P150" s="359"/>
      <c r="Q150" s="86">
        <f t="shared" si="6"/>
        <v>0</v>
      </c>
      <c r="R150" s="372"/>
      <c r="S150" s="370"/>
      <c r="T150" s="372"/>
      <c r="U150" s="370"/>
      <c r="V150" s="372"/>
      <c r="W150" s="370"/>
      <c r="X150" s="372"/>
      <c r="Y150" s="370"/>
      <c r="Z150" s="384"/>
      <c r="AA150" s="88"/>
      <c r="AB150" s="236"/>
      <c r="AC150" s="236"/>
      <c r="AD150" s="236"/>
      <c r="AE150" s="236"/>
      <c r="AF150" s="236"/>
      <c r="AG150" s="236"/>
      <c r="AH150" s="236"/>
      <c r="AI150" s="236"/>
      <c r="AJ150" s="236"/>
      <c r="AK150" s="236"/>
      <c r="AL150" s="236"/>
      <c r="AM150" s="236"/>
      <c r="AN150" s="236"/>
      <c r="AO150" s="236"/>
      <c r="AP150" s="236"/>
      <c r="AQ150" s="236"/>
      <c r="AR150" s="236"/>
      <c r="AS150" s="236"/>
      <c r="AT150" s="369">
        <v>0</v>
      </c>
      <c r="AU150" s="91"/>
      <c r="AV150" s="14"/>
      <c r="AW150" s="1"/>
    </row>
    <row r="151" spans="1:49" ht="34.5" hidden="1" customHeight="1" thickBot="1" x14ac:dyDescent="0.3">
      <c r="A151" s="85">
        <v>145</v>
      </c>
      <c r="B151" s="2" t="str">
        <f>+'Base de Datos'!E151</f>
        <v>130325-0-2013</v>
      </c>
      <c r="C151" s="2" t="str">
        <f>+'Base de Datos'!F151</f>
        <v>SI CAPIT@L</v>
      </c>
      <c r="D151" s="2">
        <f>+'Base de Datos'!G151</f>
        <v>899999061</v>
      </c>
      <c r="E151" s="2" t="str">
        <f>+'Base de Datos'!H151</f>
        <v xml:space="preserve">Suministrar por parte de la SECRETARIA DISTRITAL DE HACIENDA el sistema de información Hacendario SI CAPIT@L, entregando copia de los programas fuentes y documentación del software como manuales técnico y de usuario, al Concejo de Bogotá D.C., autorizando su uso en virtud de la cooperación interinstitucional. </v>
      </c>
      <c r="F151" s="8"/>
      <c r="G151" s="6">
        <v>41696</v>
      </c>
      <c r="H151" s="64">
        <v>42425</v>
      </c>
      <c r="I151" s="183"/>
      <c r="J151" s="359"/>
      <c r="K151" s="183"/>
      <c r="L151" s="359"/>
      <c r="M151" s="183"/>
      <c r="N151" s="359"/>
      <c r="O151" s="183"/>
      <c r="P151" s="359"/>
      <c r="Q151" s="86">
        <f t="shared" si="6"/>
        <v>0</v>
      </c>
      <c r="R151" s="372"/>
      <c r="S151" s="370"/>
      <c r="T151" s="372"/>
      <c r="U151" s="370"/>
      <c r="V151" s="372"/>
      <c r="W151" s="370"/>
      <c r="X151" s="372"/>
      <c r="Y151" s="370"/>
      <c r="Z151" s="385"/>
      <c r="AA151" s="88">
        <f t="shared" si="7"/>
        <v>0</v>
      </c>
      <c r="AB151" s="236"/>
      <c r="AC151" s="236"/>
      <c r="AD151" s="236"/>
      <c r="AE151" s="236"/>
      <c r="AF151" s="236"/>
      <c r="AG151" s="236"/>
      <c r="AH151" s="236"/>
      <c r="AI151" s="236"/>
      <c r="AJ151" s="236"/>
      <c r="AK151" s="236"/>
      <c r="AL151" s="236"/>
      <c r="AM151" s="236"/>
      <c r="AN151" s="236"/>
      <c r="AO151" s="236"/>
      <c r="AP151" s="236"/>
      <c r="AQ151" s="236"/>
      <c r="AR151" s="236"/>
      <c r="AS151" s="236"/>
      <c r="AT151" s="369">
        <v>0</v>
      </c>
      <c r="AU151" s="91">
        <f>SUM(AB151:AR151)</f>
        <v>0</v>
      </c>
    </row>
    <row r="152" spans="1:49" ht="34.5" hidden="1" customHeight="1" thickBot="1" x14ac:dyDescent="0.3">
      <c r="A152" s="85">
        <v>146</v>
      </c>
      <c r="B152" s="2" t="str">
        <f>+'Base de Datos'!E152</f>
        <v>120000-518-0-2012</v>
      </c>
      <c r="C152" s="2" t="str">
        <f>+'Base de Datos'!F152</f>
        <v>INSTITUTO DISTRITAL DEL PATRIMONIO CULTURAL - IDCP</v>
      </c>
      <c r="D152" s="2">
        <f>+'Base de Datos'!G152</f>
        <v>860506170</v>
      </c>
      <c r="E152" s="2" t="str">
        <f>+'Base de Datos'!H152</f>
        <v>LA SECRETARÍA DISTRITAL DE HACIENDA Y EL INSTITUTO DISTRITAL DE PATRIMONIO CULTURAL, se comprometen a aunar esfuerzos y recursos técnicos, humanos y financieros, para adelantar las actividades requeridas en la actualización física y tecnológica del inmueble denominado Edificio del Claustro del Concejo de Bogotá, D. C., ubicado en la calle 36 No. 28 A 41 de la ciudad de Bogotá., de conformidad con lo establecido en los estudios previos y los Anexos Nos. 1, 2 y 3.</v>
      </c>
      <c r="F152" s="3">
        <v>2689440000</v>
      </c>
      <c r="G152" s="4">
        <v>41263</v>
      </c>
      <c r="H152" s="66">
        <v>41993</v>
      </c>
      <c r="I152" s="183">
        <v>516934978</v>
      </c>
      <c r="J152" s="359">
        <v>41999</v>
      </c>
      <c r="K152" s="183">
        <v>14000000</v>
      </c>
      <c r="L152" s="359">
        <v>42361</v>
      </c>
      <c r="M152" s="183">
        <v>550000000</v>
      </c>
      <c r="N152" s="359">
        <v>42501</v>
      </c>
      <c r="O152" s="183">
        <v>130000000</v>
      </c>
      <c r="P152" s="359">
        <v>42927</v>
      </c>
      <c r="Q152" s="86">
        <f t="shared" si="6"/>
        <v>1210934978</v>
      </c>
      <c r="R152" s="372" t="s">
        <v>1321</v>
      </c>
      <c r="S152" s="370">
        <v>42267</v>
      </c>
      <c r="T152" s="372" t="s">
        <v>2223</v>
      </c>
      <c r="U152" s="370">
        <v>42551</v>
      </c>
      <c r="V152" s="372" t="s">
        <v>2843</v>
      </c>
      <c r="W152" s="370">
        <v>43099</v>
      </c>
      <c r="X152" s="372" t="s">
        <v>382</v>
      </c>
      <c r="Y152" s="370">
        <v>43281</v>
      </c>
      <c r="Z152" s="386" t="s">
        <v>3718</v>
      </c>
      <c r="AA152" s="88">
        <f>MAX(S152,U152,W152,Y152)</f>
        <v>43281</v>
      </c>
      <c r="AB152" s="236">
        <v>3244</v>
      </c>
      <c r="AC152" s="236">
        <v>550000000</v>
      </c>
      <c r="AD152" s="236"/>
      <c r="AE152" s="236"/>
      <c r="AF152" s="236">
        <v>130000000</v>
      </c>
      <c r="AG152" s="236"/>
      <c r="AH152" s="236"/>
      <c r="AI152" s="236"/>
      <c r="AJ152" s="236"/>
      <c r="AK152" s="236"/>
      <c r="AL152" s="236"/>
      <c r="AM152" s="236"/>
      <c r="AN152" s="236"/>
      <c r="AO152" s="236"/>
      <c r="AP152" s="236"/>
      <c r="AQ152" s="236"/>
      <c r="AR152" s="236"/>
      <c r="AS152" s="236"/>
      <c r="AT152" s="369">
        <v>42971</v>
      </c>
      <c r="AU152" s="91">
        <f>SUM(AB152:AR152)</f>
        <v>680003244</v>
      </c>
    </row>
    <row r="153" spans="1:49" ht="34.5" hidden="1" customHeight="1" x14ac:dyDescent="0.25">
      <c r="A153" s="85">
        <v>147</v>
      </c>
      <c r="B153" s="2" t="str">
        <f>+'Base de Datos'!E153</f>
        <v>130334-0-2013</v>
      </c>
      <c r="C153" s="2" t="str">
        <f>+'Base de Datos'!F153</f>
        <v>NEX COMPUTER S.A.  - NEXCOM</v>
      </c>
      <c r="D153" s="2">
        <f>+'Base de Datos'!G153</f>
        <v>830110570</v>
      </c>
      <c r="E153" s="2" t="str">
        <f>+'Base de Datos'!H153</f>
        <v>Adquisición de equipos PC`s para el Concejo de Bogotá, de conformidad con lo establecido en el pliego de condiciones y en la propuesta presentada por NEX COMPUTER S.A., dentro del procesos de selección abreviada a través del procedimiento de subasta inversa electrónica Nº SDH-SIE-010-2013</v>
      </c>
      <c r="F153" s="8">
        <v>430036764</v>
      </c>
      <c r="G153" s="6">
        <v>41659</v>
      </c>
      <c r="H153" s="64">
        <v>41748</v>
      </c>
      <c r="I153" s="183"/>
      <c r="J153" s="359"/>
      <c r="K153" s="183"/>
      <c r="L153" s="359"/>
      <c r="M153" s="183"/>
      <c r="N153" s="359"/>
      <c r="O153" s="183"/>
      <c r="P153" s="359"/>
      <c r="Q153" s="86">
        <f t="shared" si="6"/>
        <v>0</v>
      </c>
      <c r="R153" s="372"/>
      <c r="S153" s="370"/>
      <c r="T153" s="372"/>
      <c r="U153" s="370"/>
      <c r="V153" s="372"/>
      <c r="W153" s="370"/>
      <c r="X153" s="372"/>
      <c r="Y153" s="370"/>
      <c r="Z153" s="387"/>
      <c r="AA153" s="88">
        <f t="shared" si="7"/>
        <v>0</v>
      </c>
      <c r="AB153" s="236">
        <v>430036600</v>
      </c>
      <c r="AC153" s="236"/>
      <c r="AD153" s="236"/>
      <c r="AE153" s="236"/>
      <c r="AF153" s="236"/>
      <c r="AG153" s="236"/>
      <c r="AH153" s="236"/>
      <c r="AI153" s="236"/>
      <c r="AJ153" s="236"/>
      <c r="AK153" s="236"/>
      <c r="AL153" s="236"/>
      <c r="AM153" s="236"/>
      <c r="AN153" s="236"/>
      <c r="AO153" s="236"/>
      <c r="AP153" s="236"/>
      <c r="AQ153" s="236"/>
      <c r="AR153" s="236"/>
      <c r="AS153" s="236"/>
      <c r="AT153" s="369">
        <v>0</v>
      </c>
      <c r="AU153" s="91">
        <f t="shared" ref="AU153:AU175" si="9">SUM(AB153:AR153)</f>
        <v>430036600</v>
      </c>
    </row>
    <row r="154" spans="1:49" ht="34.5" hidden="1" customHeight="1" x14ac:dyDescent="0.25">
      <c r="A154" s="85">
        <v>148</v>
      </c>
      <c r="B154" s="2" t="str">
        <f>+'Base de Datos'!E154</f>
        <v>130336-0-2013</v>
      </c>
      <c r="C154" s="2" t="str">
        <f>+'Base de Datos'!F154</f>
        <v>CESAR ALEJANDRO GUERRERO BARRIGA</v>
      </c>
      <c r="D154" s="2">
        <f>+'Base de Datos'!G154</f>
        <v>80725449</v>
      </c>
      <c r="E154" s="2" t="str">
        <f>+'Base de Datos'!H154</f>
        <v>Contratar el servicio para la elaboración del retrato sobre lienzo al óleo de la Honorable Concejal de Bogotá D.C., Doctora  María Clara Name Ramírez, actual Presidenta de la Mesa Directiva del Concejo de Bogotá D.C., de conformidad con los estudios previos.</v>
      </c>
      <c r="F154" s="8">
        <v>6000000</v>
      </c>
      <c r="G154" s="6">
        <v>41620</v>
      </c>
      <c r="H154" s="64">
        <v>41681</v>
      </c>
      <c r="I154" s="183"/>
      <c r="J154" s="359"/>
      <c r="K154" s="183"/>
      <c r="L154" s="359"/>
      <c r="M154" s="183"/>
      <c r="N154" s="359"/>
      <c r="O154" s="183"/>
      <c r="P154" s="359"/>
      <c r="Q154" s="86">
        <f t="shared" si="6"/>
        <v>0</v>
      </c>
      <c r="R154" s="372"/>
      <c r="S154" s="370"/>
      <c r="T154" s="372"/>
      <c r="U154" s="370"/>
      <c r="V154" s="372"/>
      <c r="W154" s="370"/>
      <c r="X154" s="372"/>
      <c r="Y154" s="370"/>
      <c r="Z154" s="188"/>
      <c r="AA154" s="88">
        <f t="shared" si="7"/>
        <v>0</v>
      </c>
      <c r="AB154" s="236">
        <v>6000000</v>
      </c>
      <c r="AC154" s="236"/>
      <c r="AD154" s="236"/>
      <c r="AE154" s="236"/>
      <c r="AF154" s="236"/>
      <c r="AG154" s="236"/>
      <c r="AH154" s="236"/>
      <c r="AI154" s="236"/>
      <c r="AJ154" s="236"/>
      <c r="AK154" s="236"/>
      <c r="AL154" s="236"/>
      <c r="AM154" s="236"/>
      <c r="AN154" s="236"/>
      <c r="AO154" s="236"/>
      <c r="AP154" s="236"/>
      <c r="AQ154" s="236"/>
      <c r="AR154" s="236"/>
      <c r="AS154" s="236"/>
      <c r="AT154" s="369">
        <v>0</v>
      </c>
      <c r="AU154" s="91">
        <f t="shared" si="9"/>
        <v>6000000</v>
      </c>
    </row>
    <row r="155" spans="1:49" ht="34.5" hidden="1" customHeight="1" x14ac:dyDescent="0.25">
      <c r="A155" s="85">
        <v>149</v>
      </c>
      <c r="B155" s="2" t="str">
        <f>+'Base de Datos'!E155</f>
        <v>130340-0-2013</v>
      </c>
      <c r="C155" s="2" t="str">
        <f>+'Base de Datos'!F155</f>
        <v>RIELCO   LTDA</v>
      </c>
      <c r="D155" s="2">
        <f>+'Base de Datos'!G155</f>
        <v>860536079</v>
      </c>
      <c r="E155" s="2" t="str">
        <f>+'Base de Datos'!H155</f>
        <v>Suministrar e instalar plantas purificadoras de agua semi-industriales en las dependencias del Concejo de Bogotá D.C., de acuerdo con las especificaciones y condiciones descritas en los estudios previos y anexo Técnico de conformidad con lo establecido en la invitación publica SDH-SMINC-53-2013</v>
      </c>
      <c r="F155" s="8">
        <v>7937504</v>
      </c>
      <c r="G155" s="6">
        <v>41641</v>
      </c>
      <c r="H155" s="64">
        <v>42005</v>
      </c>
      <c r="I155" s="183"/>
      <c r="J155" s="359"/>
      <c r="K155" s="183"/>
      <c r="L155" s="359"/>
      <c r="M155" s="183"/>
      <c r="N155" s="359"/>
      <c r="O155" s="183"/>
      <c r="P155" s="359"/>
      <c r="Q155" s="86">
        <f t="shared" si="6"/>
        <v>0</v>
      </c>
      <c r="R155" s="372"/>
      <c r="S155" s="370"/>
      <c r="T155" s="372"/>
      <c r="U155" s="370"/>
      <c r="V155" s="372"/>
      <c r="W155" s="370"/>
      <c r="X155" s="372"/>
      <c r="Y155" s="370"/>
      <c r="Z155" s="188"/>
      <c r="AA155" s="88">
        <f t="shared" si="7"/>
        <v>0</v>
      </c>
      <c r="AB155" s="236">
        <v>5663584</v>
      </c>
      <c r="AC155" s="236">
        <v>328480</v>
      </c>
      <c r="AD155" s="236"/>
      <c r="AE155" s="236"/>
      <c r="AF155" s="236"/>
      <c r="AG155" s="236"/>
      <c r="AH155" s="236"/>
      <c r="AI155" s="236"/>
      <c r="AJ155" s="236"/>
      <c r="AK155" s="236"/>
      <c r="AL155" s="236"/>
      <c r="AM155" s="236"/>
      <c r="AN155" s="236"/>
      <c r="AO155" s="236"/>
      <c r="AP155" s="236"/>
      <c r="AQ155" s="236"/>
      <c r="AR155" s="236"/>
      <c r="AS155" s="236"/>
      <c r="AT155" s="369">
        <v>0</v>
      </c>
      <c r="AU155" s="91">
        <f t="shared" si="9"/>
        <v>5992064</v>
      </c>
    </row>
    <row r="156" spans="1:49" ht="34.5" hidden="1" customHeight="1" x14ac:dyDescent="0.25">
      <c r="A156" s="85">
        <v>150</v>
      </c>
      <c r="B156" s="2" t="str">
        <f>+'Base de Datos'!E156</f>
        <v>130346-0-2013</v>
      </c>
      <c r="C156" s="2" t="str">
        <f>+'Base de Datos'!F156</f>
        <v>RIGOBERTO GÓMEZ JAIMES</v>
      </c>
      <c r="D156" s="2">
        <f>+'Base de Datos'!G156</f>
        <v>79106019</v>
      </c>
      <c r="E156" s="2" t="str">
        <f>+'Base de Datos'!H156</f>
        <v>Prestar el servicio de alquiler, instalación y desmonte de la decoración navideña para la sede principal del Concejo de Bogotá D.C., de conformidad con los establecidos en la invitación publica SDH-SMINC-58-2013.</v>
      </c>
      <c r="F156" s="8">
        <v>15000000</v>
      </c>
      <c r="G156" s="6">
        <v>41612</v>
      </c>
      <c r="H156" s="64">
        <v>41658</v>
      </c>
      <c r="I156" s="183"/>
      <c r="J156" s="359"/>
      <c r="K156" s="183"/>
      <c r="L156" s="359"/>
      <c r="M156" s="183"/>
      <c r="N156" s="359"/>
      <c r="O156" s="183"/>
      <c r="P156" s="359"/>
      <c r="Q156" s="86">
        <f t="shared" si="6"/>
        <v>0</v>
      </c>
      <c r="R156" s="372"/>
      <c r="S156" s="370"/>
      <c r="T156" s="372"/>
      <c r="U156" s="370"/>
      <c r="V156" s="372"/>
      <c r="W156" s="370"/>
      <c r="X156" s="372"/>
      <c r="Y156" s="370"/>
      <c r="Z156" s="188"/>
      <c r="AA156" s="88">
        <f t="shared" si="7"/>
        <v>0</v>
      </c>
      <c r="AB156" s="236">
        <v>12000000</v>
      </c>
      <c r="AC156" s="236">
        <v>3000000</v>
      </c>
      <c r="AD156" s="236"/>
      <c r="AE156" s="236"/>
      <c r="AF156" s="236"/>
      <c r="AG156" s="236"/>
      <c r="AH156" s="236"/>
      <c r="AI156" s="236"/>
      <c r="AJ156" s="236"/>
      <c r="AK156" s="236"/>
      <c r="AL156" s="236"/>
      <c r="AM156" s="236"/>
      <c r="AN156" s="236"/>
      <c r="AO156" s="236"/>
      <c r="AP156" s="236"/>
      <c r="AQ156" s="236"/>
      <c r="AR156" s="236"/>
      <c r="AS156" s="236"/>
      <c r="AT156" s="369">
        <v>0</v>
      </c>
      <c r="AU156" s="91">
        <f t="shared" si="9"/>
        <v>15000000</v>
      </c>
    </row>
    <row r="157" spans="1:49" ht="34.5" hidden="1" customHeight="1" x14ac:dyDescent="0.25">
      <c r="A157" s="85">
        <v>151</v>
      </c>
      <c r="B157" s="2" t="str">
        <f>+'Base de Datos'!E157</f>
        <v>130349-0-2013</v>
      </c>
      <c r="C157" s="2" t="str">
        <f>+'Base de Datos'!F157</f>
        <v>PUBBLICA S.A.S.</v>
      </c>
      <c r="D157" s="2">
        <f>+'Base de Datos'!G157</f>
        <v>800064773</v>
      </c>
      <c r="E157" s="2" t="str">
        <f>+'Base de Datos'!H157</f>
        <v>Prestar el servicio integral en comunicación, consistente en el diseño, producción y ejecución de las estrategias de divulgación en medios de carácter masivo, alternativo y comunitario al servicio del Concejo de Bogotá D.C.</v>
      </c>
      <c r="F157" s="8">
        <v>452974000</v>
      </c>
      <c r="G157" s="6">
        <v>41621</v>
      </c>
      <c r="H157" s="64">
        <v>41985</v>
      </c>
      <c r="I157" s="183"/>
      <c r="J157" s="359"/>
      <c r="K157" s="183"/>
      <c r="L157" s="359"/>
      <c r="M157" s="183"/>
      <c r="N157" s="359"/>
      <c r="O157" s="183"/>
      <c r="P157" s="359"/>
      <c r="Q157" s="86">
        <f t="shared" si="6"/>
        <v>0</v>
      </c>
      <c r="R157" s="372"/>
      <c r="S157" s="370"/>
      <c r="T157" s="372"/>
      <c r="U157" s="370"/>
      <c r="V157" s="372"/>
      <c r="W157" s="370"/>
      <c r="X157" s="372"/>
      <c r="Y157" s="370"/>
      <c r="Z157" s="188"/>
      <c r="AA157" s="88">
        <f t="shared" si="7"/>
        <v>0</v>
      </c>
      <c r="AB157" s="236">
        <v>59271498</v>
      </c>
      <c r="AC157" s="236">
        <v>58379807</v>
      </c>
      <c r="AD157" s="236">
        <v>4688298</v>
      </c>
      <c r="AE157" s="236">
        <v>60017260</v>
      </c>
      <c r="AF157" s="236">
        <v>32949986</v>
      </c>
      <c r="AG157" s="236">
        <v>42031856</v>
      </c>
      <c r="AH157" s="236">
        <v>62005446</v>
      </c>
      <c r="AI157" s="236">
        <v>8155112</v>
      </c>
      <c r="AJ157" s="236">
        <v>12329913</v>
      </c>
      <c r="AK157" s="236">
        <v>5309066</v>
      </c>
      <c r="AL157" s="236">
        <v>9924315</v>
      </c>
      <c r="AM157" s="236">
        <v>97911441</v>
      </c>
      <c r="AN157" s="236"/>
      <c r="AO157" s="236"/>
      <c r="AP157" s="236"/>
      <c r="AQ157" s="236"/>
      <c r="AR157" s="236"/>
      <c r="AS157" s="236"/>
      <c r="AT157" s="369">
        <v>41997</v>
      </c>
      <c r="AU157" s="91">
        <f t="shared" si="9"/>
        <v>452973998</v>
      </c>
    </row>
    <row r="158" spans="1:49" ht="34.5" hidden="1" customHeight="1" x14ac:dyDescent="0.25">
      <c r="A158" s="85">
        <v>152</v>
      </c>
      <c r="B158" s="2" t="str">
        <f>+'Base de Datos'!E158</f>
        <v>130352-0-2013</v>
      </c>
      <c r="C158" s="2" t="str">
        <f>+'Base de Datos'!F158</f>
        <v>INSTITUCIONAL STAR SERVICES LTDA</v>
      </c>
      <c r="D158" s="2">
        <f>+'Base de Datos'!G158</f>
        <v>830113914</v>
      </c>
      <c r="E158" s="2" t="str">
        <f>+'Base de Datos'!H158</f>
        <v>Suministrar papelería y útiles de escritorio por el sistema de precios unitarios fijos, en la modalidad de proveeduría integral (outsourcing) para el Concejo de Bogotá D.C., de conformidad con los requerimientos establecidos en el pliego de condiciones.</v>
      </c>
      <c r="F158" s="8">
        <v>95000000</v>
      </c>
      <c r="G158" s="6">
        <v>41621</v>
      </c>
      <c r="H158" s="64">
        <v>41889</v>
      </c>
      <c r="I158" s="183"/>
      <c r="J158" s="359"/>
      <c r="K158" s="183"/>
      <c r="L158" s="359"/>
      <c r="M158" s="183"/>
      <c r="N158" s="359"/>
      <c r="O158" s="183"/>
      <c r="P158" s="359"/>
      <c r="Q158" s="86">
        <f t="shared" si="6"/>
        <v>0</v>
      </c>
      <c r="R158" s="372" t="s">
        <v>379</v>
      </c>
      <c r="S158" s="370">
        <v>41980</v>
      </c>
      <c r="T158" s="372"/>
      <c r="U158" s="370"/>
      <c r="V158" s="372"/>
      <c r="W158" s="370"/>
      <c r="X158" s="372"/>
      <c r="Y158" s="370"/>
      <c r="Z158" s="188" t="s">
        <v>379</v>
      </c>
      <c r="AA158" s="88">
        <f t="shared" si="7"/>
        <v>41980</v>
      </c>
      <c r="AB158" s="236">
        <v>20872849</v>
      </c>
      <c r="AC158" s="236">
        <v>6387295</v>
      </c>
      <c r="AD158" s="236">
        <v>6612498</v>
      </c>
      <c r="AE158" s="236">
        <v>8499165</v>
      </c>
      <c r="AF158" s="236">
        <v>4458015</v>
      </c>
      <c r="AG158" s="236">
        <v>10072997</v>
      </c>
      <c r="AH158" s="236">
        <v>15752284</v>
      </c>
      <c r="AI158" s="236">
        <v>6895182</v>
      </c>
      <c r="AJ158" s="236">
        <v>9433408</v>
      </c>
      <c r="AK158" s="236"/>
      <c r="AL158" s="236"/>
      <c r="AM158" s="236"/>
      <c r="AN158" s="236"/>
      <c r="AO158" s="236"/>
      <c r="AP158" s="236"/>
      <c r="AQ158" s="236"/>
      <c r="AR158" s="236"/>
      <c r="AS158" s="236"/>
      <c r="AT158" s="369">
        <v>41978</v>
      </c>
      <c r="AU158" s="91">
        <f t="shared" si="9"/>
        <v>88983693</v>
      </c>
    </row>
    <row r="159" spans="1:49" ht="34.5" hidden="1" customHeight="1" x14ac:dyDescent="0.25">
      <c r="A159" s="85">
        <v>153</v>
      </c>
      <c r="B159" s="2" t="str">
        <f>+'Base de Datos'!E159</f>
        <v>130355-0-2013</v>
      </c>
      <c r="C159" s="2" t="str">
        <f>+'Base de Datos'!F159</f>
        <v>CAJA COLOMBIANA SUBSIDIO FAMILIAR - COLSUBSIDIO</v>
      </c>
      <c r="D159" s="2">
        <f>+'Base de Datos'!G159</f>
        <v>860007336</v>
      </c>
      <c r="E159" s="2" t="str">
        <f>+'Base de Datos'!H159</f>
        <v>Adquirir a titulo de compraventa bonos para el Concejo de Bogotá</v>
      </c>
      <c r="F159" s="8">
        <v>63128000</v>
      </c>
      <c r="G159" s="6">
        <v>41626</v>
      </c>
      <c r="H159" s="64">
        <v>41641</v>
      </c>
      <c r="I159" s="183"/>
      <c r="J159" s="359"/>
      <c r="K159" s="183"/>
      <c r="L159" s="359"/>
      <c r="M159" s="183"/>
      <c r="N159" s="359"/>
      <c r="O159" s="183"/>
      <c r="P159" s="359"/>
      <c r="Q159" s="86">
        <f t="shared" si="6"/>
        <v>0</v>
      </c>
      <c r="R159" s="372"/>
      <c r="S159" s="370"/>
      <c r="T159" s="372"/>
      <c r="U159" s="370"/>
      <c r="V159" s="372"/>
      <c r="W159" s="370"/>
      <c r="X159" s="372"/>
      <c r="Y159" s="370"/>
      <c r="Z159" s="188"/>
      <c r="AA159" s="88">
        <f t="shared" si="7"/>
        <v>0</v>
      </c>
      <c r="AB159" s="236">
        <v>63128000</v>
      </c>
      <c r="AC159" s="236"/>
      <c r="AD159" s="236"/>
      <c r="AE159" s="236"/>
      <c r="AF159" s="236"/>
      <c r="AG159" s="236"/>
      <c r="AH159" s="236"/>
      <c r="AI159" s="236"/>
      <c r="AJ159" s="236"/>
      <c r="AK159" s="236"/>
      <c r="AL159" s="236"/>
      <c r="AM159" s="236"/>
      <c r="AN159" s="236"/>
      <c r="AO159" s="236"/>
      <c r="AP159" s="236"/>
      <c r="AQ159" s="236"/>
      <c r="AR159" s="236"/>
      <c r="AS159" s="236"/>
      <c r="AT159" s="369">
        <v>0</v>
      </c>
      <c r="AU159" s="91">
        <f t="shared" si="9"/>
        <v>63128000</v>
      </c>
    </row>
    <row r="160" spans="1:49" ht="34.5" hidden="1" customHeight="1" x14ac:dyDescent="0.25">
      <c r="A160" s="85">
        <v>154</v>
      </c>
      <c r="B160" s="2" t="str">
        <f>+'Base de Datos'!E160</f>
        <v>130361-0-2013</v>
      </c>
      <c r="C160" s="2" t="str">
        <f>+'Base de Datos'!F160</f>
        <v>ANDREA SUSANA BELLO CANTOR</v>
      </c>
      <c r="D160" s="2">
        <f>+'Base de Datos'!G160</f>
        <v>52935011</v>
      </c>
      <c r="E160" s="2" t="str">
        <f>+'Base de Datos'!H160</f>
        <v>Prestar servicios profesionales al Concejo de Bogotá D.C. para realización de actividades de identificación, clasificación, depuración organización y actualización de la normativa de los acuerdos distritales.</v>
      </c>
      <c r="F160" s="8">
        <v>5000000</v>
      </c>
      <c r="G160" s="6">
        <v>41628</v>
      </c>
      <c r="H160" s="64">
        <v>41658</v>
      </c>
      <c r="I160" s="183"/>
      <c r="J160" s="359"/>
      <c r="K160" s="183"/>
      <c r="L160" s="359"/>
      <c r="M160" s="183"/>
      <c r="N160" s="359"/>
      <c r="O160" s="183"/>
      <c r="P160" s="359"/>
      <c r="Q160" s="86">
        <f t="shared" si="6"/>
        <v>0</v>
      </c>
      <c r="R160" s="372"/>
      <c r="S160" s="370"/>
      <c r="T160" s="372"/>
      <c r="U160" s="370"/>
      <c r="V160" s="372"/>
      <c r="W160" s="370"/>
      <c r="X160" s="372"/>
      <c r="Y160" s="370"/>
      <c r="Z160" s="188"/>
      <c r="AA160" s="88">
        <f t="shared" si="7"/>
        <v>0</v>
      </c>
      <c r="AB160" s="236">
        <v>5000000</v>
      </c>
      <c r="AC160" s="236"/>
      <c r="AD160" s="236"/>
      <c r="AE160" s="236"/>
      <c r="AF160" s="236"/>
      <c r="AG160" s="236"/>
      <c r="AH160" s="236"/>
      <c r="AI160" s="236"/>
      <c r="AJ160" s="236"/>
      <c r="AK160" s="236"/>
      <c r="AL160" s="236"/>
      <c r="AM160" s="236"/>
      <c r="AN160" s="236"/>
      <c r="AO160" s="236"/>
      <c r="AP160" s="236"/>
      <c r="AQ160" s="236"/>
      <c r="AR160" s="236"/>
      <c r="AS160" s="236"/>
      <c r="AT160" s="369">
        <v>0</v>
      </c>
      <c r="AU160" s="91">
        <f t="shared" si="9"/>
        <v>5000000</v>
      </c>
    </row>
    <row r="161" spans="1:47" ht="34.5" hidden="1" customHeight="1" x14ac:dyDescent="0.25">
      <c r="A161" s="85">
        <v>155</v>
      </c>
      <c r="B161" s="2" t="str">
        <f>+'Base de Datos'!E161</f>
        <v>130362-0-2013</v>
      </c>
      <c r="C161" s="2" t="str">
        <f>+'Base de Datos'!F161</f>
        <v>JORGE ORLANDO RUBIANO CARRANZA</v>
      </c>
      <c r="D161" s="2">
        <f>+'Base de Datos'!G161</f>
        <v>19327657</v>
      </c>
      <c r="E161" s="2" t="str">
        <f>+'Base de Datos'!H161</f>
        <v>Prestar servicios profesionales al Concejo de Bogotá D.C. para realización de actividades de identificación, clasificación, depuración organización y actualización de la normativa de los acuerdos distritales.</v>
      </c>
      <c r="F161" s="8">
        <v>5000000</v>
      </c>
      <c r="G161" s="6">
        <v>41628</v>
      </c>
      <c r="H161" s="64">
        <v>41658</v>
      </c>
      <c r="I161" s="183"/>
      <c r="J161" s="359"/>
      <c r="K161" s="183"/>
      <c r="L161" s="359"/>
      <c r="M161" s="183"/>
      <c r="N161" s="359"/>
      <c r="O161" s="183"/>
      <c r="P161" s="359"/>
      <c r="Q161" s="86">
        <f t="shared" si="6"/>
        <v>0</v>
      </c>
      <c r="R161" s="372"/>
      <c r="S161" s="370"/>
      <c r="T161" s="372"/>
      <c r="U161" s="370"/>
      <c r="V161" s="372"/>
      <c r="W161" s="370"/>
      <c r="X161" s="372"/>
      <c r="Y161" s="370"/>
      <c r="Z161" s="188"/>
      <c r="AA161" s="88">
        <f t="shared" si="7"/>
        <v>0</v>
      </c>
      <c r="AB161" s="236">
        <v>5000000</v>
      </c>
      <c r="AC161" s="236"/>
      <c r="AD161" s="236"/>
      <c r="AE161" s="236"/>
      <c r="AF161" s="236"/>
      <c r="AG161" s="236"/>
      <c r="AH161" s="236"/>
      <c r="AI161" s="236"/>
      <c r="AJ161" s="236"/>
      <c r="AK161" s="236"/>
      <c r="AL161" s="236"/>
      <c r="AM161" s="236"/>
      <c r="AN161" s="236"/>
      <c r="AO161" s="236"/>
      <c r="AP161" s="236"/>
      <c r="AQ161" s="236"/>
      <c r="AR161" s="236"/>
      <c r="AS161" s="236"/>
      <c r="AT161" s="369">
        <v>0</v>
      </c>
      <c r="AU161" s="91">
        <f t="shared" si="9"/>
        <v>5000000</v>
      </c>
    </row>
    <row r="162" spans="1:47" ht="34.5" hidden="1" customHeight="1" x14ac:dyDescent="0.25">
      <c r="A162" s="85">
        <v>156</v>
      </c>
      <c r="B162" s="2" t="str">
        <f>+'Base de Datos'!E162</f>
        <v>130363-0-2013</v>
      </c>
      <c r="C162" s="2" t="str">
        <f>+'Base de Datos'!F162</f>
        <v>UNIÓN TEMPORAL AVALÚOS PATRIMONIALES H-SD</v>
      </c>
      <c r="D162" s="2">
        <f>+'Base de Datos'!G162</f>
        <v>900683150</v>
      </c>
      <c r="E162" s="2" t="str">
        <f>+'Base de Datos'!H162</f>
        <v>Realizar el avaluó de los bienes muebles considerados de carácter patrimonial para el concejo de Bogotá D. C. de conformidad con lo establecido en el pliego de condiciones del proceso de selección SDH-SAMC-11-2013,  el Anexo No 1 y la propuesta.</v>
      </c>
      <c r="F162" s="8">
        <v>70000000</v>
      </c>
      <c r="G162" s="6">
        <v>41647</v>
      </c>
      <c r="H162" s="64">
        <v>41705</v>
      </c>
      <c r="I162" s="183"/>
      <c r="J162" s="359"/>
      <c r="K162" s="183"/>
      <c r="L162" s="359"/>
      <c r="M162" s="183"/>
      <c r="N162" s="359"/>
      <c r="O162" s="183"/>
      <c r="P162" s="359"/>
      <c r="Q162" s="86">
        <f t="shared" si="6"/>
        <v>0</v>
      </c>
      <c r="R162" s="372" t="s">
        <v>378</v>
      </c>
      <c r="S162" s="370">
        <v>41766</v>
      </c>
      <c r="T162" s="372" t="s">
        <v>381</v>
      </c>
      <c r="U162" s="370">
        <v>41797</v>
      </c>
      <c r="V162" s="372"/>
      <c r="W162" s="370"/>
      <c r="X162" s="372"/>
      <c r="Y162" s="370"/>
      <c r="Z162" s="188" t="s">
        <v>379</v>
      </c>
      <c r="AA162" s="88">
        <f t="shared" si="7"/>
        <v>41797</v>
      </c>
      <c r="AB162" s="236">
        <v>35419684</v>
      </c>
      <c r="AC162" s="236">
        <v>34239027</v>
      </c>
      <c r="AD162" s="236"/>
      <c r="AE162" s="236"/>
      <c r="AF162" s="236"/>
      <c r="AG162" s="236"/>
      <c r="AH162" s="236"/>
      <c r="AI162" s="236"/>
      <c r="AJ162" s="236"/>
      <c r="AK162" s="236"/>
      <c r="AL162" s="236"/>
      <c r="AM162" s="236"/>
      <c r="AN162" s="236"/>
      <c r="AO162" s="236"/>
      <c r="AP162" s="236"/>
      <c r="AQ162" s="236"/>
      <c r="AR162" s="236"/>
      <c r="AS162" s="236"/>
      <c r="AT162" s="369">
        <v>0</v>
      </c>
      <c r="AU162" s="91">
        <f t="shared" si="9"/>
        <v>69658711</v>
      </c>
    </row>
    <row r="163" spans="1:47" ht="34.5" hidden="1" customHeight="1" x14ac:dyDescent="0.25">
      <c r="A163" s="85">
        <v>157</v>
      </c>
      <c r="B163" s="2" t="str">
        <f>+'Base de Datos'!E163</f>
        <v>130364-0-2013</v>
      </c>
      <c r="C163" s="2" t="str">
        <f>+'Base de Datos'!F163</f>
        <v>FERNANDO SOTOMONTE AMAYA</v>
      </c>
      <c r="D163" s="2">
        <f>+'Base de Datos'!G163</f>
        <v>19136712</v>
      </c>
      <c r="E163" s="2" t="str">
        <f>+'Base de Datos'!H163</f>
        <v>Prestar servicios profesionales al Concejo de Bogotá D.C. para realización de actividades de identificación, clasificación, depuración organización y actualización de la normativa de los acuerdos distritales.</v>
      </c>
      <c r="F163" s="8">
        <v>5000000</v>
      </c>
      <c r="G163" s="6">
        <v>41628</v>
      </c>
      <c r="H163" s="64">
        <v>41658</v>
      </c>
      <c r="I163" s="183"/>
      <c r="J163" s="359"/>
      <c r="K163" s="183"/>
      <c r="L163" s="359"/>
      <c r="M163" s="183"/>
      <c r="N163" s="359"/>
      <c r="O163" s="183"/>
      <c r="P163" s="359"/>
      <c r="Q163" s="86">
        <f t="shared" si="6"/>
        <v>0</v>
      </c>
      <c r="R163" s="372"/>
      <c r="S163" s="370"/>
      <c r="T163" s="372"/>
      <c r="U163" s="370"/>
      <c r="V163" s="372"/>
      <c r="W163" s="370"/>
      <c r="X163" s="372"/>
      <c r="Y163" s="370"/>
      <c r="Z163" s="188"/>
      <c r="AA163" s="88">
        <f t="shared" si="7"/>
        <v>0</v>
      </c>
      <c r="AB163" s="236">
        <v>5000000</v>
      </c>
      <c r="AC163" s="236"/>
      <c r="AD163" s="236"/>
      <c r="AE163" s="236"/>
      <c r="AF163" s="236"/>
      <c r="AG163" s="236"/>
      <c r="AH163" s="236"/>
      <c r="AI163" s="236"/>
      <c r="AJ163" s="236"/>
      <c r="AK163" s="236"/>
      <c r="AL163" s="236"/>
      <c r="AM163" s="236"/>
      <c r="AN163" s="236"/>
      <c r="AO163" s="236"/>
      <c r="AP163" s="236"/>
      <c r="AQ163" s="236"/>
      <c r="AR163" s="236"/>
      <c r="AS163" s="236"/>
      <c r="AT163" s="369">
        <v>0</v>
      </c>
      <c r="AU163" s="91">
        <f t="shared" si="9"/>
        <v>5000000</v>
      </c>
    </row>
    <row r="164" spans="1:47" ht="34.5" hidden="1" customHeight="1" x14ac:dyDescent="0.25">
      <c r="A164" s="85">
        <v>158</v>
      </c>
      <c r="B164" s="2" t="str">
        <f>+'Base de Datos'!E164</f>
        <v>130365-0-2013</v>
      </c>
      <c r="C164" s="2" t="str">
        <f>+'Base de Datos'!F164</f>
        <v>JORGE ALBERTO GALVIS  ESTUPIÑAN</v>
      </c>
      <c r="D164" s="2">
        <f>+'Base de Datos'!G164</f>
        <v>7212142</v>
      </c>
      <c r="E164" s="2" t="str">
        <f>+'Base de Datos'!H164</f>
        <v>Prestar servicios profesionales al Concejo de Bogotá D.C. para realización de actividades de identificación, clasificación, depuración organización y actualización de la normativa de los acuerdos distritales.</v>
      </c>
      <c r="F164" s="8">
        <v>5000000</v>
      </c>
      <c r="G164" s="6">
        <v>41628</v>
      </c>
      <c r="H164" s="64">
        <v>41658</v>
      </c>
      <c r="I164" s="183"/>
      <c r="J164" s="359"/>
      <c r="K164" s="183"/>
      <c r="L164" s="359"/>
      <c r="M164" s="183"/>
      <c r="N164" s="359"/>
      <c r="O164" s="183"/>
      <c r="P164" s="359"/>
      <c r="Q164" s="86">
        <f t="shared" si="6"/>
        <v>0</v>
      </c>
      <c r="R164" s="372"/>
      <c r="S164" s="370"/>
      <c r="T164" s="372"/>
      <c r="U164" s="370"/>
      <c r="V164" s="372"/>
      <c r="W164" s="370"/>
      <c r="X164" s="372"/>
      <c r="Y164" s="370"/>
      <c r="Z164" s="188"/>
      <c r="AA164" s="88">
        <f t="shared" si="7"/>
        <v>0</v>
      </c>
      <c r="AB164" s="236">
        <v>5000000</v>
      </c>
      <c r="AC164" s="236"/>
      <c r="AD164" s="236"/>
      <c r="AE164" s="236"/>
      <c r="AF164" s="236"/>
      <c r="AG164" s="236"/>
      <c r="AH164" s="236"/>
      <c r="AI164" s="236"/>
      <c r="AJ164" s="236"/>
      <c r="AK164" s="236"/>
      <c r="AL164" s="236"/>
      <c r="AM164" s="236"/>
      <c r="AN164" s="236"/>
      <c r="AO164" s="236"/>
      <c r="AP164" s="236"/>
      <c r="AQ164" s="236"/>
      <c r="AR164" s="236"/>
      <c r="AS164" s="236"/>
      <c r="AT164" s="369">
        <v>0</v>
      </c>
      <c r="AU164" s="91">
        <f t="shared" si="9"/>
        <v>5000000</v>
      </c>
    </row>
    <row r="165" spans="1:47" ht="34.5" hidden="1" customHeight="1" x14ac:dyDescent="0.25">
      <c r="A165" s="85">
        <v>159</v>
      </c>
      <c r="B165" s="2" t="str">
        <f>+'Base de Datos'!E165</f>
        <v>130368-0-2013</v>
      </c>
      <c r="C165" s="2" t="str">
        <f>+'Base de Datos'!F165</f>
        <v>NEX COMPUTER S.A.  - NEXCOM</v>
      </c>
      <c r="D165" s="2">
        <f>+'Base de Datos'!G165</f>
        <v>830110570</v>
      </c>
      <c r="E165" s="2" t="str">
        <f>+'Base de Datos'!H165</f>
        <v>La adquisición de dispositivos de entrada para pantallas Touch del Sistema de Voto Electrónico para el Concejo de Bogotá, de conformidad con lo establecido en la invitación publica SDH-SMINC-51-2013</v>
      </c>
      <c r="F165" s="8">
        <v>3017160</v>
      </c>
      <c r="G165" s="6">
        <v>41662</v>
      </c>
      <c r="H165" s="64">
        <v>41751</v>
      </c>
      <c r="I165" s="183"/>
      <c r="J165" s="359"/>
      <c r="K165" s="183"/>
      <c r="L165" s="359"/>
      <c r="M165" s="183"/>
      <c r="N165" s="359"/>
      <c r="O165" s="183"/>
      <c r="P165" s="359"/>
      <c r="Q165" s="86">
        <f t="shared" si="6"/>
        <v>0</v>
      </c>
      <c r="R165" s="372"/>
      <c r="S165" s="370"/>
      <c r="T165" s="372"/>
      <c r="U165" s="370"/>
      <c r="V165" s="372"/>
      <c r="W165" s="370"/>
      <c r="X165" s="372"/>
      <c r="Y165" s="370"/>
      <c r="Z165" s="188"/>
      <c r="AA165" s="88">
        <f t="shared" si="7"/>
        <v>0</v>
      </c>
      <c r="AB165" s="236">
        <v>3017160</v>
      </c>
      <c r="AC165" s="236"/>
      <c r="AD165" s="236"/>
      <c r="AE165" s="236"/>
      <c r="AF165" s="236"/>
      <c r="AG165" s="236"/>
      <c r="AH165" s="236"/>
      <c r="AI165" s="236"/>
      <c r="AJ165" s="236"/>
      <c r="AK165" s="236"/>
      <c r="AL165" s="236"/>
      <c r="AM165" s="236"/>
      <c r="AN165" s="236"/>
      <c r="AO165" s="236"/>
      <c r="AP165" s="236"/>
      <c r="AQ165" s="236"/>
      <c r="AR165" s="236"/>
      <c r="AS165" s="236"/>
      <c r="AT165" s="369">
        <v>0</v>
      </c>
      <c r="AU165" s="91">
        <f t="shared" si="9"/>
        <v>3017160</v>
      </c>
    </row>
    <row r="166" spans="1:47" ht="34.5" hidden="1" customHeight="1" x14ac:dyDescent="0.25">
      <c r="A166" s="85">
        <v>160</v>
      </c>
      <c r="B166" s="2" t="str">
        <f>+'Base de Datos'!E166</f>
        <v>130370-0-2013</v>
      </c>
      <c r="C166" s="2" t="str">
        <f>+'Base de Datos'!F166</f>
        <v>UNIPLES S.A.</v>
      </c>
      <c r="D166" s="2">
        <f>+'Base de Datos'!G166</f>
        <v>811021363</v>
      </c>
      <c r="E166" s="2" t="str">
        <f>+'Base de Datos'!H166</f>
        <v>Contratar el suministro de tóner para los equipos de impresión del Concejo de Bogotá D.C</v>
      </c>
      <c r="F166" s="8">
        <v>60000000</v>
      </c>
      <c r="G166" s="6">
        <v>41655</v>
      </c>
      <c r="H166" s="64">
        <v>42019</v>
      </c>
      <c r="I166" s="183">
        <v>30000000</v>
      </c>
      <c r="J166" s="359">
        <v>41982</v>
      </c>
      <c r="K166" s="183"/>
      <c r="L166" s="359"/>
      <c r="M166" s="183"/>
      <c r="N166" s="359"/>
      <c r="O166" s="183"/>
      <c r="P166" s="359"/>
      <c r="Q166" s="86">
        <f t="shared" si="6"/>
        <v>30000000</v>
      </c>
      <c r="R166" s="372"/>
      <c r="S166" s="370"/>
      <c r="T166" s="372"/>
      <c r="U166" s="370"/>
      <c r="V166" s="372"/>
      <c r="W166" s="370"/>
      <c r="X166" s="372"/>
      <c r="Y166" s="370"/>
      <c r="Z166" s="188"/>
      <c r="AA166" s="88">
        <f t="shared" si="7"/>
        <v>0</v>
      </c>
      <c r="AB166" s="236">
        <v>14191626</v>
      </c>
      <c r="AC166" s="236">
        <v>8687008</v>
      </c>
      <c r="AD166" s="236">
        <v>8687008</v>
      </c>
      <c r="AE166" s="236">
        <v>11009235.199999999</v>
      </c>
      <c r="AF166" s="236"/>
      <c r="AG166" s="236"/>
      <c r="AH166" s="236"/>
      <c r="AI166" s="236"/>
      <c r="AJ166" s="236"/>
      <c r="AK166" s="236"/>
      <c r="AL166" s="236"/>
      <c r="AM166" s="236"/>
      <c r="AN166" s="236"/>
      <c r="AO166" s="236"/>
      <c r="AP166" s="236"/>
      <c r="AQ166" s="236"/>
      <c r="AR166" s="236"/>
      <c r="AS166" s="236"/>
      <c r="AT166" s="369">
        <v>0</v>
      </c>
      <c r="AU166" s="91">
        <f t="shared" si="9"/>
        <v>42574877.200000003</v>
      </c>
    </row>
    <row r="167" spans="1:47" ht="34.5" hidden="1" customHeight="1" x14ac:dyDescent="0.25">
      <c r="A167" s="85">
        <v>161</v>
      </c>
      <c r="B167" s="2" t="str">
        <f>+'Base de Datos'!E167</f>
        <v>130372-0-2013</v>
      </c>
      <c r="C167" s="2" t="str">
        <f>+'Base de Datos'!F167</f>
        <v>VICTOR MANUEL ARMELLA VELÁSQUEZ</v>
      </c>
      <c r="D167" s="2">
        <f>+'Base de Datos'!G167</f>
        <v>72167924</v>
      </c>
      <c r="E167" s="2" t="str">
        <f>+'Base de Datos'!H167</f>
        <v>Prestar servicios profesionales al Concejo de Bogotá D.C. para realización de actividades de identificación, clasificación, depuración organización y actualización de la normativa de los acuerdos distritales.</v>
      </c>
      <c r="F167" s="8">
        <v>5000000</v>
      </c>
      <c r="G167" s="6">
        <v>41634</v>
      </c>
      <c r="H167" s="64">
        <v>41664</v>
      </c>
      <c r="I167" s="183"/>
      <c r="J167" s="359"/>
      <c r="K167" s="183"/>
      <c r="L167" s="359"/>
      <c r="M167" s="183"/>
      <c r="N167" s="359"/>
      <c r="O167" s="183"/>
      <c r="P167" s="359"/>
      <c r="Q167" s="86">
        <f t="shared" si="6"/>
        <v>0</v>
      </c>
      <c r="R167" s="372"/>
      <c r="S167" s="370"/>
      <c r="T167" s="372"/>
      <c r="U167" s="370"/>
      <c r="V167" s="372"/>
      <c r="W167" s="370"/>
      <c r="X167" s="372"/>
      <c r="Y167" s="370"/>
      <c r="Z167" s="188"/>
      <c r="AA167" s="88">
        <f t="shared" si="7"/>
        <v>0</v>
      </c>
      <c r="AB167" s="236">
        <v>5000000</v>
      </c>
      <c r="AC167" s="236"/>
      <c r="AD167" s="236"/>
      <c r="AE167" s="236"/>
      <c r="AF167" s="236"/>
      <c r="AG167" s="236"/>
      <c r="AH167" s="236"/>
      <c r="AI167" s="236"/>
      <c r="AJ167" s="236"/>
      <c r="AK167" s="236"/>
      <c r="AL167" s="236"/>
      <c r="AM167" s="236"/>
      <c r="AN167" s="236"/>
      <c r="AO167" s="236"/>
      <c r="AP167" s="236"/>
      <c r="AQ167" s="236"/>
      <c r="AR167" s="236"/>
      <c r="AS167" s="236"/>
      <c r="AT167" s="369">
        <v>0</v>
      </c>
      <c r="AU167" s="91">
        <f t="shared" si="9"/>
        <v>5000000</v>
      </c>
    </row>
    <row r="168" spans="1:47" ht="34.5" hidden="1" customHeight="1" x14ac:dyDescent="0.25">
      <c r="A168" s="85">
        <v>162</v>
      </c>
      <c r="B168" s="2" t="str">
        <f>+'Base de Datos'!E168</f>
        <v>130373-0-2013</v>
      </c>
      <c r="C168" s="2" t="str">
        <f>+'Base de Datos'!F168</f>
        <v>COLOMBIANA DE SOFTWARE Y HARDWARE COLSOF S.A.</v>
      </c>
      <c r="D168" s="2">
        <f>+'Base de Datos'!G168</f>
        <v>800015583</v>
      </c>
      <c r="E168" s="2" t="str">
        <f>+'Base de Datos'!H168</f>
        <v>Compra de dos (2) impresoras de tickets para el Concejo de Bogotá D.C. de acuerdo con las especificaciones y condiciones descritas en los estudios previos y anexo técnico, de conformidad con lo establecido en la invitación publica SDH-SMINC-60-2013</v>
      </c>
      <c r="F168" s="8">
        <v>3743343</v>
      </c>
      <c r="G168" s="6">
        <v>41662</v>
      </c>
      <c r="H168" s="64">
        <v>41754</v>
      </c>
      <c r="I168" s="183"/>
      <c r="J168" s="359"/>
      <c r="K168" s="183"/>
      <c r="L168" s="359"/>
      <c r="M168" s="183"/>
      <c r="N168" s="359"/>
      <c r="O168" s="183"/>
      <c r="P168" s="359"/>
      <c r="Q168" s="86">
        <f t="shared" si="6"/>
        <v>0</v>
      </c>
      <c r="R168" s="372"/>
      <c r="S168" s="370"/>
      <c r="T168" s="372"/>
      <c r="U168" s="370"/>
      <c r="V168" s="372"/>
      <c r="W168" s="370"/>
      <c r="X168" s="372"/>
      <c r="Y168" s="370"/>
      <c r="Z168" s="188"/>
      <c r="AA168" s="88">
        <f t="shared" si="7"/>
        <v>0</v>
      </c>
      <c r="AB168" s="236">
        <v>3743343</v>
      </c>
      <c r="AC168" s="236"/>
      <c r="AD168" s="236"/>
      <c r="AE168" s="236"/>
      <c r="AF168" s="236"/>
      <c r="AG168" s="236"/>
      <c r="AH168" s="236"/>
      <c r="AI168" s="236"/>
      <c r="AJ168" s="236"/>
      <c r="AK168" s="236"/>
      <c r="AL168" s="236"/>
      <c r="AM168" s="236"/>
      <c r="AN168" s="236"/>
      <c r="AO168" s="236"/>
      <c r="AP168" s="236"/>
      <c r="AQ168" s="236"/>
      <c r="AR168" s="236"/>
      <c r="AS168" s="236"/>
      <c r="AT168" s="369">
        <v>0</v>
      </c>
      <c r="AU168" s="91">
        <f t="shared" si="9"/>
        <v>3743343</v>
      </c>
    </row>
    <row r="169" spans="1:47" ht="34.5" hidden="1" customHeight="1" x14ac:dyDescent="0.25">
      <c r="A169" s="85">
        <v>163</v>
      </c>
      <c r="B169" s="2" t="str">
        <f>+'Base de Datos'!E169</f>
        <v>130375-0-2013</v>
      </c>
      <c r="C169" s="2" t="str">
        <f>+'Base de Datos'!F169</f>
        <v>DIANA PATRICIA JAIME - SERVIMATEC DNO</v>
      </c>
      <c r="D169" s="2">
        <f>+'Base de Datos'!G169</f>
        <v>52374136</v>
      </c>
      <c r="E169" s="2" t="str">
        <f>+'Base de Datos'!H169</f>
        <v>Prestación de servicios de mantenimiento preventivo y correctivo de los aires acondicionado del Concejo de Bogotá D.C. de acuerdo con las especificaciones y condiciones descritas en los estudios previos y anexo técnico de conformidad con lo establecido en la invitación publica SDH-SMINC-55-2013</v>
      </c>
      <c r="F169" s="8">
        <v>1620000</v>
      </c>
      <c r="G169" s="6">
        <v>41662</v>
      </c>
      <c r="H169" s="64">
        <v>42026</v>
      </c>
      <c r="I169" s="183"/>
      <c r="J169" s="359"/>
      <c r="K169" s="183"/>
      <c r="L169" s="359"/>
      <c r="M169" s="183"/>
      <c r="N169" s="359"/>
      <c r="O169" s="183"/>
      <c r="P169" s="359"/>
      <c r="Q169" s="86">
        <f t="shared" si="6"/>
        <v>0</v>
      </c>
      <c r="R169" s="372"/>
      <c r="S169" s="370"/>
      <c r="T169" s="372"/>
      <c r="U169" s="370"/>
      <c r="V169" s="372"/>
      <c r="W169" s="370"/>
      <c r="X169" s="372"/>
      <c r="Y169" s="370"/>
      <c r="Z169" s="188"/>
      <c r="AA169" s="88">
        <f t="shared" si="7"/>
        <v>0</v>
      </c>
      <c r="AB169" s="236">
        <v>354000</v>
      </c>
      <c r="AC169" s="236"/>
      <c r="AD169" s="236"/>
      <c r="AE169" s="236"/>
      <c r="AF169" s="236"/>
      <c r="AG169" s="236"/>
      <c r="AH169" s="236"/>
      <c r="AI169" s="236"/>
      <c r="AJ169" s="236"/>
      <c r="AK169" s="236"/>
      <c r="AL169" s="236"/>
      <c r="AM169" s="236"/>
      <c r="AN169" s="236"/>
      <c r="AO169" s="236"/>
      <c r="AP169" s="236"/>
      <c r="AQ169" s="236"/>
      <c r="AR169" s="236"/>
      <c r="AS169" s="236"/>
      <c r="AT169" s="369">
        <v>0</v>
      </c>
      <c r="AU169" s="91">
        <f t="shared" si="9"/>
        <v>354000</v>
      </c>
    </row>
    <row r="170" spans="1:47" ht="34.5" hidden="1" customHeight="1" x14ac:dyDescent="0.25">
      <c r="A170" s="85">
        <v>164</v>
      </c>
      <c r="B170" s="2" t="str">
        <f>+'Base de Datos'!E170</f>
        <v>130378-0-2013</v>
      </c>
      <c r="C170" s="2" t="str">
        <f>+'Base de Datos'!F170</f>
        <v>INGEAL S.A.</v>
      </c>
      <c r="D170" s="2">
        <f>+'Base de Datos'!G170</f>
        <v>800039398</v>
      </c>
      <c r="E170" s="2" t="str">
        <f>+'Base de Datos'!H170</f>
        <v>Prestar el servicio de arrendamiento de sistemas UPS y Aire acondicionado para el Concejo de Bogotá, de conformidad con lo establecido en la invitación publica No SDH-SMINC-67-2013</v>
      </c>
      <c r="F170" s="8">
        <v>32048480</v>
      </c>
      <c r="G170" s="6">
        <v>41655</v>
      </c>
      <c r="H170" s="64">
        <v>41713</v>
      </c>
      <c r="I170" s="183"/>
      <c r="J170" s="359"/>
      <c r="K170" s="183"/>
      <c r="L170" s="359"/>
      <c r="M170" s="183"/>
      <c r="N170" s="359"/>
      <c r="O170" s="183"/>
      <c r="P170" s="359"/>
      <c r="Q170" s="86">
        <f t="shared" si="6"/>
        <v>0</v>
      </c>
      <c r="R170" s="372"/>
      <c r="S170" s="370"/>
      <c r="T170" s="372"/>
      <c r="U170" s="370"/>
      <c r="V170" s="372"/>
      <c r="W170" s="370"/>
      <c r="X170" s="372"/>
      <c r="Y170" s="370"/>
      <c r="Z170" s="188"/>
      <c r="AA170" s="88">
        <f t="shared" si="7"/>
        <v>0</v>
      </c>
      <c r="AB170" s="236">
        <v>32048480</v>
      </c>
      <c r="AC170" s="236"/>
      <c r="AD170" s="236"/>
      <c r="AE170" s="236"/>
      <c r="AF170" s="236"/>
      <c r="AG170" s="236"/>
      <c r="AH170" s="236"/>
      <c r="AI170" s="236"/>
      <c r="AJ170" s="236"/>
      <c r="AK170" s="236"/>
      <c r="AL170" s="236"/>
      <c r="AM170" s="236"/>
      <c r="AN170" s="236"/>
      <c r="AO170" s="236"/>
      <c r="AP170" s="236"/>
      <c r="AQ170" s="236"/>
      <c r="AR170" s="236"/>
      <c r="AS170" s="236"/>
      <c r="AT170" s="369">
        <v>0</v>
      </c>
      <c r="AU170" s="91">
        <f t="shared" si="9"/>
        <v>32048480</v>
      </c>
    </row>
    <row r="171" spans="1:47" ht="34.5" hidden="1" customHeight="1" x14ac:dyDescent="0.25">
      <c r="A171" s="85">
        <v>165</v>
      </c>
      <c r="B171" s="2" t="str">
        <f>+'Base de Datos'!E171</f>
        <v>130380-0-2013</v>
      </c>
      <c r="C171" s="2" t="str">
        <f>+'Base de Datos'!F171</f>
        <v>COMUNICACIONES E INFORMÁTICA  S.A..S</v>
      </c>
      <c r="D171" s="2">
        <f>+'Base de Datos'!G171</f>
        <v>830093579</v>
      </c>
      <c r="E171" s="2" t="str">
        <f>+'Base de Datos'!H171</f>
        <v>Contratar la adquisición de medios magnéticos para copias de respaldo (cintas para tape backup ) para el Concejo de Bogotá D.C. de conformidad con lo establecido en la invitación publica SDH-SMINC-68-2013.</v>
      </c>
      <c r="F171" s="8">
        <v>3480000</v>
      </c>
      <c r="G171" s="6">
        <v>41662</v>
      </c>
      <c r="H171" s="64">
        <v>41720</v>
      </c>
      <c r="I171" s="183"/>
      <c r="J171" s="359"/>
      <c r="K171" s="183"/>
      <c r="L171" s="359"/>
      <c r="M171" s="183"/>
      <c r="N171" s="359"/>
      <c r="O171" s="183"/>
      <c r="P171" s="359"/>
      <c r="Q171" s="86">
        <f t="shared" si="6"/>
        <v>0</v>
      </c>
      <c r="R171" s="372"/>
      <c r="S171" s="370"/>
      <c r="T171" s="372"/>
      <c r="U171" s="370"/>
      <c r="V171" s="372"/>
      <c r="W171" s="370"/>
      <c r="X171" s="372"/>
      <c r="Y171" s="370"/>
      <c r="Z171" s="188"/>
      <c r="AA171" s="88">
        <f t="shared" si="7"/>
        <v>0</v>
      </c>
      <c r="AB171" s="236">
        <v>3480000</v>
      </c>
      <c r="AC171" s="236"/>
      <c r="AD171" s="236"/>
      <c r="AE171" s="236"/>
      <c r="AF171" s="236"/>
      <c r="AG171" s="236"/>
      <c r="AH171" s="236"/>
      <c r="AI171" s="236"/>
      <c r="AJ171" s="236"/>
      <c r="AK171" s="236"/>
      <c r="AL171" s="236"/>
      <c r="AM171" s="236"/>
      <c r="AN171" s="236"/>
      <c r="AO171" s="236"/>
      <c r="AP171" s="236"/>
      <c r="AQ171" s="236"/>
      <c r="AR171" s="236"/>
      <c r="AS171" s="236"/>
      <c r="AT171" s="369">
        <v>0</v>
      </c>
      <c r="AU171" s="91">
        <f t="shared" si="9"/>
        <v>3480000</v>
      </c>
    </row>
    <row r="172" spans="1:47" ht="34.5" hidden="1" customHeight="1" x14ac:dyDescent="0.25">
      <c r="A172" s="85">
        <v>166</v>
      </c>
      <c r="B172" s="2" t="str">
        <f>+'Base de Datos'!E172</f>
        <v>130384-0-2013</v>
      </c>
      <c r="C172" s="2" t="str">
        <f>+'Base de Datos'!F172</f>
        <v>INGEAL S.A.</v>
      </c>
      <c r="D172" s="2">
        <f>+'Base de Datos'!G172</f>
        <v>800039398</v>
      </c>
      <c r="E172" s="2" t="str">
        <f>+'Base de Datos'!H172</f>
        <v>Adquisición de unidades de aire acondicionado para el cuarto de las UPS y la Subestación Eléctrica del Concejo de Bogotá de conformidad con el pliego de condiciones del proceso de selección abreviada mediante subasta inversa electrónica SDH-SIE-015-2013  y la propuesta presentada.</v>
      </c>
      <c r="F172" s="8">
        <v>126308000</v>
      </c>
      <c r="G172" s="6">
        <v>41662</v>
      </c>
      <c r="H172" s="64">
        <v>41736</v>
      </c>
      <c r="I172" s="183"/>
      <c r="J172" s="359"/>
      <c r="K172" s="183"/>
      <c r="L172" s="359"/>
      <c r="M172" s="183"/>
      <c r="N172" s="359"/>
      <c r="O172" s="183"/>
      <c r="P172" s="359"/>
      <c r="Q172" s="86">
        <f t="shared" si="6"/>
        <v>0</v>
      </c>
      <c r="R172" s="372"/>
      <c r="S172" s="370"/>
      <c r="T172" s="372"/>
      <c r="U172" s="370"/>
      <c r="V172" s="372"/>
      <c r="W172" s="370"/>
      <c r="X172" s="372"/>
      <c r="Y172" s="370"/>
      <c r="Z172" s="188"/>
      <c r="AA172" s="88">
        <f t="shared" si="7"/>
        <v>0</v>
      </c>
      <c r="AB172" s="236">
        <v>37892400</v>
      </c>
      <c r="AC172" s="236">
        <v>88415600</v>
      </c>
      <c r="AD172" s="236"/>
      <c r="AE172" s="236"/>
      <c r="AF172" s="236"/>
      <c r="AG172" s="236"/>
      <c r="AH172" s="236"/>
      <c r="AI172" s="236"/>
      <c r="AJ172" s="236"/>
      <c r="AK172" s="236"/>
      <c r="AL172" s="236"/>
      <c r="AM172" s="236"/>
      <c r="AN172" s="236"/>
      <c r="AO172" s="236"/>
      <c r="AP172" s="236"/>
      <c r="AQ172" s="236"/>
      <c r="AR172" s="236"/>
      <c r="AS172" s="236"/>
      <c r="AT172" s="369">
        <v>0</v>
      </c>
      <c r="AU172" s="91">
        <f t="shared" si="9"/>
        <v>126308000</v>
      </c>
    </row>
    <row r="173" spans="1:47" ht="34.5" hidden="1" customHeight="1" x14ac:dyDescent="0.25">
      <c r="A173" s="85">
        <v>167</v>
      </c>
      <c r="B173" s="2" t="str">
        <f>+'Base de Datos'!E173</f>
        <v>130385-0-2013</v>
      </c>
      <c r="C173" s="2" t="str">
        <f>+'Base de Datos'!F173</f>
        <v>NORMA CONSTANZA MEZA GÓMEZ</v>
      </c>
      <c r="D173" s="2">
        <f>+'Base de Datos'!G173</f>
        <v>1010168639</v>
      </c>
      <c r="E173" s="2" t="str">
        <f>+'Base de Datos'!H173</f>
        <v>Prestar servicios profesionales para apoyar al Concejo de Bogotá D.C. para realización de actividades de identificación, clasificación, depuración organización y actualización de la normativa de los acuerdos distritales.</v>
      </c>
      <c r="F173" s="8">
        <v>3500000</v>
      </c>
      <c r="G173" s="6">
        <v>41638</v>
      </c>
      <c r="H173" s="64">
        <v>41668</v>
      </c>
      <c r="I173" s="183"/>
      <c r="J173" s="359"/>
      <c r="K173" s="183"/>
      <c r="L173" s="359"/>
      <c r="M173" s="183"/>
      <c r="N173" s="359"/>
      <c r="O173" s="183"/>
      <c r="P173" s="359"/>
      <c r="Q173" s="86">
        <f t="shared" si="6"/>
        <v>0</v>
      </c>
      <c r="R173" s="372"/>
      <c r="S173" s="370"/>
      <c r="T173" s="372"/>
      <c r="U173" s="370"/>
      <c r="V173" s="372"/>
      <c r="W173" s="370"/>
      <c r="X173" s="372"/>
      <c r="Y173" s="370"/>
      <c r="Z173" s="188"/>
      <c r="AA173" s="88">
        <f t="shared" si="7"/>
        <v>0</v>
      </c>
      <c r="AB173" s="236">
        <v>3500000</v>
      </c>
      <c r="AC173" s="236"/>
      <c r="AD173" s="236"/>
      <c r="AE173" s="236"/>
      <c r="AF173" s="236"/>
      <c r="AG173" s="236"/>
      <c r="AH173" s="236"/>
      <c r="AI173" s="236"/>
      <c r="AJ173" s="236"/>
      <c r="AK173" s="236"/>
      <c r="AL173" s="236"/>
      <c r="AM173" s="236"/>
      <c r="AN173" s="236"/>
      <c r="AO173" s="236"/>
      <c r="AP173" s="236"/>
      <c r="AQ173" s="236"/>
      <c r="AR173" s="236"/>
      <c r="AS173" s="236"/>
      <c r="AT173" s="369">
        <v>0</v>
      </c>
      <c r="AU173" s="91">
        <f t="shared" si="9"/>
        <v>3500000</v>
      </c>
    </row>
    <row r="174" spans="1:47" ht="34.5" hidden="1" customHeight="1" x14ac:dyDescent="0.25">
      <c r="A174" s="85">
        <v>168</v>
      </c>
      <c r="B174" s="2" t="str">
        <f>+'Base de Datos'!E174</f>
        <v>130386-0-2013</v>
      </c>
      <c r="C174" s="2" t="str">
        <f>+'Base de Datos'!F174</f>
        <v>CONTROLES EMPRESARIALES LTDA</v>
      </c>
      <c r="D174" s="2">
        <f>+'Base de Datos'!G174</f>
        <v>800058607</v>
      </c>
      <c r="E174" s="2" t="str">
        <f>+'Base de Datos'!H174</f>
        <v>Adquisición de elementos de  tecnología informática, servicio de mantenimiento y actualización de licencias de software y traslado de Data center del Concejo de Bogotá D.C., de conformidad con lo establecido en le pliego de condiciones de la subasta inversa Electrónica No SDH-SIE-18-2013 y la propuestas presentada por el contratista.</v>
      </c>
      <c r="F174" s="8">
        <v>741115936</v>
      </c>
      <c r="G174" s="6">
        <v>41670</v>
      </c>
      <c r="H174" s="64">
        <v>41759</v>
      </c>
      <c r="I174" s="183"/>
      <c r="J174" s="359"/>
      <c r="K174" s="183"/>
      <c r="L174" s="359"/>
      <c r="M174" s="183"/>
      <c r="N174" s="359"/>
      <c r="O174" s="183"/>
      <c r="P174" s="359"/>
      <c r="Q174" s="86">
        <f t="shared" si="6"/>
        <v>0</v>
      </c>
      <c r="R174" s="372" t="s">
        <v>1324</v>
      </c>
      <c r="S174" s="370">
        <v>41789</v>
      </c>
      <c r="T174" s="372"/>
      <c r="U174" s="370"/>
      <c r="V174" s="372"/>
      <c r="W174" s="370"/>
      <c r="X174" s="372"/>
      <c r="Y174" s="370"/>
      <c r="Z174" s="188" t="s">
        <v>1324</v>
      </c>
      <c r="AA174" s="88">
        <f t="shared" si="7"/>
        <v>41789</v>
      </c>
      <c r="AB174" s="236">
        <v>31158114</v>
      </c>
      <c r="AC174" s="236">
        <v>148640262</v>
      </c>
      <c r="AD174" s="236">
        <v>74320130</v>
      </c>
      <c r="AE174" s="236">
        <v>241761562</v>
      </c>
      <c r="AF174" s="236">
        <v>120880781</v>
      </c>
      <c r="AG174" s="236">
        <v>28130000</v>
      </c>
      <c r="AH174" s="236">
        <v>40293593</v>
      </c>
      <c r="AI174" s="236">
        <v>31158115</v>
      </c>
      <c r="AJ174" s="236">
        <v>24773378</v>
      </c>
      <c r="AK174" s="236"/>
      <c r="AL174" s="236"/>
      <c r="AM174" s="236"/>
      <c r="AN174" s="236"/>
      <c r="AO174" s="236"/>
      <c r="AP174" s="236"/>
      <c r="AQ174" s="236"/>
      <c r="AR174" s="236"/>
      <c r="AS174" s="236"/>
      <c r="AT174" s="369">
        <v>0</v>
      </c>
      <c r="AU174" s="91">
        <f t="shared" si="9"/>
        <v>741115935</v>
      </c>
    </row>
    <row r="175" spans="1:47" ht="34.5" hidden="1" customHeight="1" thickBot="1" x14ac:dyDescent="0.3">
      <c r="A175" s="85">
        <v>169</v>
      </c>
      <c r="B175" s="2" t="str">
        <f>+'Base de Datos'!E175</f>
        <v>140174-0-2014</v>
      </c>
      <c r="C175" s="2" t="str">
        <f>+'Base de Datos'!F175</f>
        <v>MOTORES Y MAQUINAS MOTORYSA</v>
      </c>
      <c r="D175" s="2">
        <f>+'Base de Datos'!G175</f>
        <v>860019063</v>
      </c>
      <c r="E175" s="2" t="str">
        <f>+'Base de Datos'!H175</f>
        <v>Prestar servicio de mantenimiento correctivo con suministro de repuestos de los automotores marca MITSUBISHI, al servicio del  Concejo de Bogotá D.C., de conformidad con lo establecido en el proceso SDH-SMINC-002-2014.</v>
      </c>
      <c r="F175" s="8">
        <v>30000000</v>
      </c>
      <c r="G175" s="6">
        <v>41703</v>
      </c>
      <c r="H175" s="64">
        <v>42067</v>
      </c>
      <c r="I175" s="183"/>
      <c r="J175" s="359"/>
      <c r="K175" s="183"/>
      <c r="L175" s="359"/>
      <c r="M175" s="183"/>
      <c r="N175" s="359"/>
      <c r="O175" s="183"/>
      <c r="P175" s="359"/>
      <c r="Q175" s="86">
        <f t="shared" si="6"/>
        <v>0</v>
      </c>
      <c r="R175" s="372" t="s">
        <v>378</v>
      </c>
      <c r="S175" s="370">
        <v>42129</v>
      </c>
      <c r="T175" s="372"/>
      <c r="U175" s="370"/>
      <c r="V175" s="372"/>
      <c r="W175" s="370"/>
      <c r="X175" s="372"/>
      <c r="Y175" s="370"/>
      <c r="Z175" s="385" t="s">
        <v>378</v>
      </c>
      <c r="AA175" s="88">
        <f t="shared" si="7"/>
        <v>42129</v>
      </c>
      <c r="AB175" s="236">
        <v>11053642</v>
      </c>
      <c r="AC175" s="236">
        <v>1011137</v>
      </c>
      <c r="AD175" s="236">
        <v>3131511</v>
      </c>
      <c r="AE175" s="236">
        <v>2663217</v>
      </c>
      <c r="AF175" s="236">
        <v>905545</v>
      </c>
      <c r="AG175" s="236">
        <v>661611</v>
      </c>
      <c r="AH175" s="236">
        <v>380058</v>
      </c>
      <c r="AI175" s="236">
        <v>404280</v>
      </c>
      <c r="AJ175" s="236">
        <v>683395</v>
      </c>
      <c r="AK175" s="236">
        <v>321791</v>
      </c>
      <c r="AL175" s="236">
        <v>7113923</v>
      </c>
      <c r="AM175" s="236"/>
      <c r="AN175" s="236"/>
      <c r="AO175" s="236"/>
      <c r="AP175" s="236"/>
      <c r="AQ175" s="236"/>
      <c r="AR175" s="236"/>
      <c r="AS175" s="236"/>
      <c r="AT175" s="369">
        <v>42250</v>
      </c>
      <c r="AU175" s="91">
        <f t="shared" si="9"/>
        <v>28330110</v>
      </c>
    </row>
    <row r="176" spans="1:47" ht="34.5" hidden="1" customHeight="1" x14ac:dyDescent="0.25">
      <c r="A176" s="85">
        <v>170</v>
      </c>
      <c r="B176" s="2" t="str">
        <f>+'Base de Datos'!E176</f>
        <v>140034-0-2014</v>
      </c>
      <c r="C176" s="2" t="str">
        <f>+'Base de Datos'!F176</f>
        <v>REVISTA EL CONGRESO SIGLO XXI LTDA</v>
      </c>
      <c r="D176" s="2">
        <f>+'Base de Datos'!G176</f>
        <v>830067096</v>
      </c>
      <c r="E176" s="2" t="str">
        <f>+'Base de Datos'!H176</f>
        <v>Suscripción a la revista el congreso siglo XXI con destino al Concejo de Bogotá D.C., de conformidad con lo previsto en le documento de estudios previos.</v>
      </c>
      <c r="F176" s="8">
        <v>7740000</v>
      </c>
      <c r="G176" s="6">
        <v>41775</v>
      </c>
      <c r="H176" s="64">
        <v>42139</v>
      </c>
      <c r="I176" s="183"/>
      <c r="J176" s="359"/>
      <c r="K176" s="183"/>
      <c r="L176" s="359"/>
      <c r="M176" s="183"/>
      <c r="N176" s="359"/>
      <c r="O176" s="183"/>
      <c r="P176" s="359"/>
      <c r="Q176" s="86">
        <f t="shared" si="6"/>
        <v>0</v>
      </c>
      <c r="R176" s="372"/>
      <c r="S176" s="370"/>
      <c r="T176" s="372"/>
      <c r="U176" s="370"/>
      <c r="V176" s="372"/>
      <c r="W176" s="370"/>
      <c r="X176" s="372"/>
      <c r="Y176" s="370"/>
      <c r="Z176" s="388"/>
      <c r="AA176" s="88">
        <f t="shared" si="7"/>
        <v>0</v>
      </c>
      <c r="AB176" s="236">
        <v>7740000</v>
      </c>
      <c r="AC176" s="236"/>
      <c r="AD176" s="236"/>
      <c r="AE176" s="236"/>
      <c r="AF176" s="236"/>
      <c r="AG176" s="236"/>
      <c r="AH176" s="236"/>
      <c r="AI176" s="236"/>
      <c r="AJ176" s="236"/>
      <c r="AK176" s="236"/>
      <c r="AL176" s="236"/>
      <c r="AM176" s="236"/>
      <c r="AN176" s="236"/>
      <c r="AO176" s="236"/>
      <c r="AP176" s="236"/>
      <c r="AQ176" s="236"/>
      <c r="AR176" s="236"/>
      <c r="AS176" s="236"/>
      <c r="AT176" s="369">
        <v>0</v>
      </c>
      <c r="AU176" s="91">
        <f>SUM(AB176:AR176)</f>
        <v>7740000</v>
      </c>
    </row>
    <row r="177" spans="1:47" ht="34.5" hidden="1" customHeight="1" x14ac:dyDescent="0.25">
      <c r="A177" s="85">
        <v>171</v>
      </c>
      <c r="B177" s="2" t="str">
        <f>+'Base de Datos'!E177</f>
        <v>140136-0-2014</v>
      </c>
      <c r="C177" s="2" t="str">
        <f>+'Base de Datos'!F177</f>
        <v>KHAANKO NORBERTO RUIZ RODRÍGUEZ</v>
      </c>
      <c r="D177" s="2">
        <f>+'Base de Datos'!G177</f>
        <v>79887061</v>
      </c>
      <c r="E177" s="2" t="str">
        <f>+'Base de Datos'!H177</f>
        <v>Prestar servicios profesionales para ejecutar acciones que contribuyan a la identificación de riesgos potenciales en materia de seguridad informática y su regulación en los mapas de riesgos y manuales de contingencia.</v>
      </c>
      <c r="F177" s="8">
        <v>29819999</v>
      </c>
      <c r="G177" s="6">
        <v>41675</v>
      </c>
      <c r="H177" s="64">
        <v>42008</v>
      </c>
      <c r="I177" s="183"/>
      <c r="J177" s="359"/>
      <c r="K177" s="183"/>
      <c r="L177" s="359"/>
      <c r="M177" s="183"/>
      <c r="N177" s="359"/>
      <c r="O177" s="183"/>
      <c r="P177" s="359"/>
      <c r="Q177" s="86">
        <f t="shared" si="6"/>
        <v>0</v>
      </c>
      <c r="R177" s="372"/>
      <c r="S177" s="370"/>
      <c r="T177" s="372"/>
      <c r="U177" s="370"/>
      <c r="V177" s="372"/>
      <c r="W177" s="370"/>
      <c r="X177" s="372"/>
      <c r="Y177" s="370"/>
      <c r="Z177" s="376"/>
      <c r="AA177" s="88">
        <f t="shared" si="7"/>
        <v>0</v>
      </c>
      <c r="AB177" s="236">
        <v>2349454</v>
      </c>
      <c r="AC177" s="236">
        <v>2710909</v>
      </c>
      <c r="AD177" s="236">
        <v>2710909</v>
      </c>
      <c r="AE177" s="236">
        <v>2710909</v>
      </c>
      <c r="AF177" s="236">
        <v>2710909</v>
      </c>
      <c r="AG177" s="236">
        <v>2710909</v>
      </c>
      <c r="AH177" s="236">
        <v>2710909</v>
      </c>
      <c r="AI177" s="236">
        <v>2710909</v>
      </c>
      <c r="AJ177" s="236">
        <v>2710909</v>
      </c>
      <c r="AK177" s="236">
        <v>2710909</v>
      </c>
      <c r="AL177" s="236">
        <v>2710909</v>
      </c>
      <c r="AM177" s="236">
        <v>361455</v>
      </c>
      <c r="AN177" s="236"/>
      <c r="AO177" s="236"/>
      <c r="AP177" s="236"/>
      <c r="AQ177" s="236"/>
      <c r="AR177" s="236"/>
      <c r="AS177" s="236"/>
      <c r="AT177" s="369">
        <v>42025</v>
      </c>
      <c r="AU177" s="91">
        <f t="shared" ref="AU177:AU242" si="10">SUM(AB177:AR177)</f>
        <v>29819999</v>
      </c>
    </row>
    <row r="178" spans="1:47" ht="34.5" hidden="1" customHeight="1" x14ac:dyDescent="0.25">
      <c r="A178" s="85">
        <v>172</v>
      </c>
      <c r="B178" s="2" t="str">
        <f>+'Base de Datos'!E178</f>
        <v>140138-0-2014</v>
      </c>
      <c r="C178" s="2" t="str">
        <f>+'Base de Datos'!F178</f>
        <v>CASA EDITORIAL EL TIEMPO SA</v>
      </c>
      <c r="D178" s="2">
        <f>+'Base de Datos'!G178</f>
        <v>860001022</v>
      </c>
      <c r="E178" s="2" t="str">
        <f>+'Base de Datos'!H178</f>
        <v>Suscripción a los diarios el TIEMPO Y PORTAFOLIO con destino al concejo de Bogotá D.C.</v>
      </c>
      <c r="F178" s="8">
        <v>1197000</v>
      </c>
      <c r="G178" s="6">
        <v>41717</v>
      </c>
      <c r="H178" s="64">
        <v>42081</v>
      </c>
      <c r="I178" s="183"/>
      <c r="J178" s="359"/>
      <c r="K178" s="183"/>
      <c r="L178" s="359"/>
      <c r="M178" s="183"/>
      <c r="N178" s="359"/>
      <c r="O178" s="183"/>
      <c r="P178" s="359"/>
      <c r="Q178" s="86">
        <f t="shared" si="6"/>
        <v>0</v>
      </c>
      <c r="R178" s="372"/>
      <c r="S178" s="370"/>
      <c r="T178" s="372"/>
      <c r="U178" s="370"/>
      <c r="V178" s="372"/>
      <c r="W178" s="370"/>
      <c r="X178" s="372"/>
      <c r="Y178" s="370"/>
      <c r="Z178" s="376"/>
      <c r="AA178" s="88">
        <f t="shared" si="7"/>
        <v>0</v>
      </c>
      <c r="AB178" s="236">
        <v>1197000</v>
      </c>
      <c r="AC178" s="236"/>
      <c r="AD178" s="236"/>
      <c r="AE178" s="236"/>
      <c r="AF178" s="236"/>
      <c r="AG178" s="236"/>
      <c r="AH178" s="236"/>
      <c r="AI178" s="236"/>
      <c r="AJ178" s="236"/>
      <c r="AK178" s="236"/>
      <c r="AL178" s="236"/>
      <c r="AM178" s="236"/>
      <c r="AN178" s="236"/>
      <c r="AO178" s="236"/>
      <c r="AP178" s="236"/>
      <c r="AQ178" s="236"/>
      <c r="AR178" s="236"/>
      <c r="AS178" s="236"/>
      <c r="AT178" s="369">
        <v>0</v>
      </c>
      <c r="AU178" s="91">
        <f t="shared" si="10"/>
        <v>1197000</v>
      </c>
    </row>
    <row r="179" spans="1:47" ht="34.5" hidden="1" customHeight="1" x14ac:dyDescent="0.25">
      <c r="A179" s="85">
        <v>173</v>
      </c>
      <c r="B179" s="2" t="str">
        <f>+'Base de Datos'!E179</f>
        <v>140140-0-2014</v>
      </c>
      <c r="C179" s="2" t="str">
        <f>+'Base de Datos'!F179</f>
        <v>DPC LTDA PUBLICACIONES DESPACHOS PÚBLICOS DE COLOMBIA LTDA</v>
      </c>
      <c r="D179" s="2">
        <f>+'Base de Datos'!G179</f>
        <v>800249557</v>
      </c>
      <c r="E179" s="2" t="str">
        <f>+'Base de Datos'!H179</f>
        <v>Adquirir a titulo de compra ejemplares del Directorio de Despachos Públicos de Colombia 2014, para el Concejo de Bogotá D.C.</v>
      </c>
      <c r="F179" s="8">
        <v>4000000</v>
      </c>
      <c r="G179" s="6">
        <v>41739</v>
      </c>
      <c r="H179" s="64">
        <v>41891</v>
      </c>
      <c r="I179" s="183"/>
      <c r="J179" s="359"/>
      <c r="K179" s="183"/>
      <c r="L179" s="359"/>
      <c r="M179" s="183"/>
      <c r="N179" s="359"/>
      <c r="O179" s="183"/>
      <c r="P179" s="359"/>
      <c r="Q179" s="86">
        <f t="shared" si="6"/>
        <v>0</v>
      </c>
      <c r="R179" s="372"/>
      <c r="S179" s="370"/>
      <c r="T179" s="372"/>
      <c r="U179" s="370"/>
      <c r="V179" s="372"/>
      <c r="W179" s="370"/>
      <c r="X179" s="372"/>
      <c r="Y179" s="370"/>
      <c r="Z179" s="376"/>
      <c r="AA179" s="88">
        <f t="shared" si="7"/>
        <v>0</v>
      </c>
      <c r="AB179" s="236">
        <v>4000000</v>
      </c>
      <c r="AC179" s="236"/>
      <c r="AD179" s="236"/>
      <c r="AE179" s="236"/>
      <c r="AF179" s="236"/>
      <c r="AG179" s="236"/>
      <c r="AH179" s="236"/>
      <c r="AI179" s="236"/>
      <c r="AJ179" s="236"/>
      <c r="AK179" s="236"/>
      <c r="AL179" s="236"/>
      <c r="AM179" s="236"/>
      <c r="AN179" s="236"/>
      <c r="AO179" s="236"/>
      <c r="AP179" s="236"/>
      <c r="AQ179" s="236"/>
      <c r="AR179" s="236"/>
      <c r="AS179" s="236"/>
      <c r="AT179" s="369">
        <v>0</v>
      </c>
      <c r="AU179" s="91">
        <f t="shared" si="10"/>
        <v>4000000</v>
      </c>
    </row>
    <row r="180" spans="1:47" ht="34.5" hidden="1" customHeight="1" x14ac:dyDescent="0.25">
      <c r="A180" s="85">
        <v>174</v>
      </c>
      <c r="B180" s="2" t="str">
        <f>+'Base de Datos'!E180</f>
        <v>140152-0-2014</v>
      </c>
      <c r="C180" s="2" t="str">
        <f>+'Base de Datos'!F180</f>
        <v>ROSA ENRIQUELINA GÓMEZ CORREDOR</v>
      </c>
      <c r="D180" s="2">
        <f>+'Base de Datos'!G180</f>
        <v>51931422</v>
      </c>
      <c r="E180" s="2" t="str">
        <f>+'Base de Datos'!H180</f>
        <v>Prestar los servicios profesionales para acompañar técnicamente los temas relacionados con la intervención y seguimiento a los proyectos de infraestructura y reforzamiento estructural del Concejo de Bogotá D.C., de conformidad con los estudios previos.</v>
      </c>
      <c r="F180" s="8">
        <v>42800000</v>
      </c>
      <c r="G180" s="6">
        <v>41701</v>
      </c>
      <c r="H180" s="64">
        <v>42006</v>
      </c>
      <c r="I180" s="183"/>
      <c r="J180" s="359"/>
      <c r="K180" s="183"/>
      <c r="L180" s="359"/>
      <c r="M180" s="183"/>
      <c r="N180" s="359"/>
      <c r="O180" s="183"/>
      <c r="P180" s="359"/>
      <c r="Q180" s="86">
        <f t="shared" si="6"/>
        <v>0</v>
      </c>
      <c r="R180" s="372"/>
      <c r="S180" s="370"/>
      <c r="T180" s="372"/>
      <c r="U180" s="370"/>
      <c r="V180" s="372"/>
      <c r="W180" s="370"/>
      <c r="X180" s="372"/>
      <c r="Y180" s="370"/>
      <c r="Z180" s="376"/>
      <c r="AA180" s="88">
        <f t="shared" si="7"/>
        <v>0</v>
      </c>
      <c r="AB180" s="236">
        <v>3994667</v>
      </c>
      <c r="AC180" s="236">
        <v>4280000</v>
      </c>
      <c r="AD180" s="236">
        <v>4280000</v>
      </c>
      <c r="AE180" s="236">
        <v>4280000</v>
      </c>
      <c r="AF180" s="236">
        <v>4280000</v>
      </c>
      <c r="AG180" s="236">
        <v>4280000</v>
      </c>
      <c r="AH180" s="236">
        <v>4280000</v>
      </c>
      <c r="AI180" s="236">
        <v>4280000</v>
      </c>
      <c r="AJ180" s="236">
        <v>4280000</v>
      </c>
      <c r="AK180" s="236">
        <v>4280000</v>
      </c>
      <c r="AL180" s="236">
        <v>285333</v>
      </c>
      <c r="AM180" s="236"/>
      <c r="AN180" s="236"/>
      <c r="AO180" s="236"/>
      <c r="AP180" s="236"/>
      <c r="AQ180" s="236"/>
      <c r="AR180" s="236"/>
      <c r="AS180" s="236"/>
      <c r="AT180" s="369">
        <v>42031</v>
      </c>
      <c r="AU180" s="91">
        <f t="shared" si="10"/>
        <v>42800000</v>
      </c>
    </row>
    <row r="181" spans="1:47" ht="34.5" hidden="1" customHeight="1" x14ac:dyDescent="0.25">
      <c r="A181" s="85">
        <v>175</v>
      </c>
      <c r="B181" s="2" t="str">
        <f>+'Base de Datos'!E181</f>
        <v>140153-0-2014</v>
      </c>
      <c r="C181" s="2" t="str">
        <f>+'Base de Datos'!F181</f>
        <v>WIESNER FABIÁN ROBAYO SALCEDO</v>
      </c>
      <c r="D181" s="2">
        <f>+'Base de Datos'!G181</f>
        <v>80117116</v>
      </c>
      <c r="E181" s="2" t="str">
        <f>+'Base de Datos'!H181</f>
        <v>Prestar servicios profesionales para la actualización, administración, publicación y salvaguardar de la información publica en la pagina WEB oficial del Concejo de Bogotá D. C.</v>
      </c>
      <c r="F181" s="8">
        <v>38830000</v>
      </c>
      <c r="G181" s="6">
        <v>41708</v>
      </c>
      <c r="H181" s="64">
        <v>42013</v>
      </c>
      <c r="I181" s="183"/>
      <c r="J181" s="359"/>
      <c r="K181" s="183"/>
      <c r="L181" s="359"/>
      <c r="M181" s="183"/>
      <c r="N181" s="359"/>
      <c r="O181" s="183"/>
      <c r="P181" s="359"/>
      <c r="Q181" s="86">
        <f t="shared" si="6"/>
        <v>0</v>
      </c>
      <c r="R181" s="372"/>
      <c r="S181" s="370"/>
      <c r="T181" s="372"/>
      <c r="U181" s="370"/>
      <c r="V181" s="372"/>
      <c r="W181" s="370"/>
      <c r="X181" s="372"/>
      <c r="Y181" s="370"/>
      <c r="Z181" s="376"/>
      <c r="AA181" s="88">
        <f t="shared" si="7"/>
        <v>0</v>
      </c>
      <c r="AB181" s="236">
        <v>2718100</v>
      </c>
      <c r="AC181" s="236">
        <v>3883000</v>
      </c>
      <c r="AD181" s="236">
        <v>3883000</v>
      </c>
      <c r="AE181" s="236">
        <v>3883000</v>
      </c>
      <c r="AF181" s="236">
        <v>3883000</v>
      </c>
      <c r="AG181" s="236">
        <v>3883000</v>
      </c>
      <c r="AH181" s="236">
        <v>3883000</v>
      </c>
      <c r="AI181" s="236">
        <v>3883000</v>
      </c>
      <c r="AJ181" s="236">
        <v>3883000</v>
      </c>
      <c r="AK181" s="236">
        <v>3883000</v>
      </c>
      <c r="AL181" s="236">
        <v>1164900</v>
      </c>
      <c r="AM181" s="236"/>
      <c r="AN181" s="236"/>
      <c r="AO181" s="236"/>
      <c r="AP181" s="236"/>
      <c r="AQ181" s="236"/>
      <c r="AR181" s="236"/>
      <c r="AS181" s="236"/>
      <c r="AT181" s="369">
        <v>42025</v>
      </c>
      <c r="AU181" s="91">
        <f t="shared" si="10"/>
        <v>38830000</v>
      </c>
    </row>
    <row r="182" spans="1:47" ht="34.5" hidden="1" customHeight="1" x14ac:dyDescent="0.25">
      <c r="A182" s="85">
        <v>176</v>
      </c>
      <c r="B182" s="2" t="str">
        <f>+'Base de Datos'!E182</f>
        <v>140154-0-2014</v>
      </c>
      <c r="C182" s="2" t="str">
        <f>+'Base de Datos'!F182</f>
        <v>EDGAR EULICES GONZÁLEZ</v>
      </c>
      <c r="D182" s="2">
        <f>+'Base de Datos'!G182</f>
        <v>4098836</v>
      </c>
      <c r="E182" s="2" t="str">
        <f>+'Base de Datos'!H182</f>
        <v>Prestar servicios profesionales para apoyar a la dirección financiera del Concejo de Bogotá D. C., en la revisión y estudio de las historias laborales de los funcionarios para establecer la definición técnica y jurídica del cumplimiento de los requisitos en los diferentes regímenes de pensión, en la articulación con cada uno de los funcionarios que lo requiera, de conformidad con los estudios previos.</v>
      </c>
      <c r="F182" s="8">
        <v>40997000</v>
      </c>
      <c r="G182" s="6">
        <v>41675</v>
      </c>
      <c r="H182" s="64">
        <v>42008</v>
      </c>
      <c r="I182" s="183"/>
      <c r="J182" s="359"/>
      <c r="K182" s="183"/>
      <c r="L182" s="359"/>
      <c r="M182" s="183"/>
      <c r="N182" s="359"/>
      <c r="O182" s="183"/>
      <c r="P182" s="359"/>
      <c r="Q182" s="86">
        <f t="shared" si="6"/>
        <v>0</v>
      </c>
      <c r="R182" s="372"/>
      <c r="S182" s="370"/>
      <c r="T182" s="372"/>
      <c r="U182" s="370"/>
      <c r="V182" s="372"/>
      <c r="W182" s="370"/>
      <c r="X182" s="372"/>
      <c r="Y182" s="370"/>
      <c r="Z182" s="376"/>
      <c r="AA182" s="88">
        <f t="shared" si="7"/>
        <v>0</v>
      </c>
      <c r="AB182" s="236">
        <v>3230066</v>
      </c>
      <c r="AC182" s="236">
        <v>3727000</v>
      </c>
      <c r="AD182" s="236">
        <v>3727000</v>
      </c>
      <c r="AE182" s="236">
        <v>3727000</v>
      </c>
      <c r="AF182" s="236">
        <v>3727000</v>
      </c>
      <c r="AG182" s="236">
        <v>3727000</v>
      </c>
      <c r="AH182" s="236">
        <v>3727000</v>
      </c>
      <c r="AI182" s="236">
        <v>3727000</v>
      </c>
      <c r="AJ182" s="236">
        <v>3727002</v>
      </c>
      <c r="AK182" s="236">
        <v>3727000</v>
      </c>
      <c r="AL182" s="236">
        <v>3727000</v>
      </c>
      <c r="AM182" s="236">
        <v>496932</v>
      </c>
      <c r="AN182" s="236"/>
      <c r="AO182" s="236"/>
      <c r="AP182" s="236"/>
      <c r="AQ182" s="236"/>
      <c r="AR182" s="236"/>
      <c r="AS182" s="236"/>
      <c r="AT182" s="369">
        <v>42031</v>
      </c>
      <c r="AU182" s="91">
        <f t="shared" si="10"/>
        <v>40997000</v>
      </c>
    </row>
    <row r="183" spans="1:47" ht="34.5" hidden="1" customHeight="1" x14ac:dyDescent="0.25">
      <c r="A183" s="85">
        <v>177</v>
      </c>
      <c r="B183" s="2" t="str">
        <f>+'Base de Datos'!E183</f>
        <v>140157-0-2014</v>
      </c>
      <c r="C183" s="2" t="str">
        <f>+'Base de Datos'!F183</f>
        <v>FERNANDO SOTOMONTE AMAYA</v>
      </c>
      <c r="D183" s="2">
        <f>+'Base de Datos'!G183</f>
        <v>19136712</v>
      </c>
      <c r="E183" s="2" t="str">
        <f>+'Base de Datos'!H183</f>
        <v>Prestar servicios profesionales al Concejo de Bogotá D.C. para realización de actividades de identificación, clasificación, depuración organización y actualización de la normativa de los acuerdos distritales en segunda y tercera fases, de conformidad con los estudios previos.</v>
      </c>
      <c r="F183" s="8">
        <v>55000000</v>
      </c>
      <c r="G183" s="6">
        <v>41675</v>
      </c>
      <c r="H183" s="64">
        <v>42008</v>
      </c>
      <c r="I183" s="183"/>
      <c r="J183" s="359"/>
      <c r="K183" s="183"/>
      <c r="L183" s="359"/>
      <c r="M183" s="183"/>
      <c r="N183" s="359"/>
      <c r="O183" s="183"/>
      <c r="P183" s="359"/>
      <c r="Q183" s="86">
        <f t="shared" si="6"/>
        <v>0</v>
      </c>
      <c r="R183" s="372"/>
      <c r="S183" s="370"/>
      <c r="T183" s="372"/>
      <c r="U183" s="370"/>
      <c r="V183" s="372"/>
      <c r="W183" s="370"/>
      <c r="X183" s="372"/>
      <c r="Y183" s="370"/>
      <c r="Z183" s="376"/>
      <c r="AA183" s="88">
        <f t="shared" si="7"/>
        <v>0</v>
      </c>
      <c r="AB183" s="236">
        <v>4333333</v>
      </c>
      <c r="AC183" s="236">
        <v>20000000</v>
      </c>
      <c r="AD183" s="236">
        <v>15000000</v>
      </c>
      <c r="AE183" s="236">
        <v>15000000</v>
      </c>
      <c r="AF183" s="236"/>
      <c r="AG183" s="236"/>
      <c r="AH183" s="236"/>
      <c r="AI183" s="236"/>
      <c r="AJ183" s="236"/>
      <c r="AK183" s="236"/>
      <c r="AL183" s="236"/>
      <c r="AM183" s="236"/>
      <c r="AN183" s="236"/>
      <c r="AO183" s="236"/>
      <c r="AP183" s="236"/>
      <c r="AQ183" s="236"/>
      <c r="AR183" s="236"/>
      <c r="AS183" s="236"/>
      <c r="AT183" s="369">
        <v>42067</v>
      </c>
      <c r="AU183" s="91">
        <f t="shared" si="10"/>
        <v>54333333</v>
      </c>
    </row>
    <row r="184" spans="1:47" ht="34.5" hidden="1" customHeight="1" x14ac:dyDescent="0.25">
      <c r="A184" s="85">
        <v>178</v>
      </c>
      <c r="B184" s="2" t="str">
        <f>+'Base de Datos'!E184</f>
        <v>140158-0-2014</v>
      </c>
      <c r="C184" s="2" t="str">
        <f>+'Base de Datos'!F184</f>
        <v>JORGE ALBERTO GALVIS  ESTUPIÑAN</v>
      </c>
      <c r="D184" s="2">
        <f>+'Base de Datos'!G184</f>
        <v>7212142</v>
      </c>
      <c r="E184" s="2" t="str">
        <f>+'Base de Datos'!H184</f>
        <v>Prestar servicios profesionales al Concejo de Bogotá D.C. para realización de actividades de identificación, clasificación, depuración organización y actualización de la normativa de los acuerdos distritales en segunda y tercera fases, de conformidad con los estudios previos.</v>
      </c>
      <c r="F184" s="8">
        <v>55000000</v>
      </c>
      <c r="G184" s="6">
        <v>41675</v>
      </c>
      <c r="H184" s="64">
        <v>42008</v>
      </c>
      <c r="I184" s="183"/>
      <c r="J184" s="359"/>
      <c r="K184" s="183"/>
      <c r="L184" s="359"/>
      <c r="M184" s="183"/>
      <c r="N184" s="359"/>
      <c r="O184" s="183"/>
      <c r="P184" s="359"/>
      <c r="Q184" s="86">
        <f t="shared" si="6"/>
        <v>0</v>
      </c>
      <c r="R184" s="372"/>
      <c r="S184" s="370"/>
      <c r="T184" s="372"/>
      <c r="U184" s="370"/>
      <c r="V184" s="372"/>
      <c r="W184" s="370"/>
      <c r="X184" s="372"/>
      <c r="Y184" s="370"/>
      <c r="Z184" s="376"/>
      <c r="AA184" s="88">
        <f t="shared" si="7"/>
        <v>0</v>
      </c>
      <c r="AB184" s="236">
        <v>4333333</v>
      </c>
      <c r="AC184" s="236">
        <v>5000000</v>
      </c>
      <c r="AD184" s="236">
        <v>5000000</v>
      </c>
      <c r="AE184" s="236">
        <v>5000000</v>
      </c>
      <c r="AF184" s="236">
        <v>5000000</v>
      </c>
      <c r="AG184" s="236">
        <v>5000000</v>
      </c>
      <c r="AH184" s="236">
        <v>5000000</v>
      </c>
      <c r="AI184" s="236">
        <v>5000000</v>
      </c>
      <c r="AJ184" s="236">
        <v>5000000</v>
      </c>
      <c r="AK184" s="236">
        <v>5000000</v>
      </c>
      <c r="AL184" s="236">
        <v>5000000</v>
      </c>
      <c r="AM184" s="236">
        <v>666667</v>
      </c>
      <c r="AN184" s="236"/>
      <c r="AO184" s="236"/>
      <c r="AP184" s="236"/>
      <c r="AQ184" s="236"/>
      <c r="AR184" s="236"/>
      <c r="AS184" s="236"/>
      <c r="AT184" s="369">
        <v>42093</v>
      </c>
      <c r="AU184" s="91">
        <f t="shared" si="10"/>
        <v>55000000</v>
      </c>
    </row>
    <row r="185" spans="1:47" ht="34.5" hidden="1" customHeight="1" x14ac:dyDescent="0.25">
      <c r="A185" s="85">
        <v>179</v>
      </c>
      <c r="B185" s="2" t="str">
        <f>+'Base de Datos'!E185</f>
        <v>140159-0-2014</v>
      </c>
      <c r="C185" s="2" t="str">
        <f>+'Base de Datos'!F185</f>
        <v>LORENZA SANTOS BARBOSA (Cesionaria) - Antes VICTOR MANUEL ARMELLA VELASQUEZ</v>
      </c>
      <c r="D185" s="2">
        <f>+'Base de Datos'!G185</f>
        <v>72167924</v>
      </c>
      <c r="E185" s="2" t="str">
        <f>+'Base de Datos'!H185</f>
        <v>Prestar servicios profesionales al Concejo de Bogotá D.C. para realización de actividades de identificación, clasificación, depuración organización y actualización de la normativa de los acuerdos distritales en segunda y tercera fases, de conformidad con los estudios previos.</v>
      </c>
      <c r="F185" s="8">
        <v>55000000</v>
      </c>
      <c r="G185" s="6">
        <v>41675</v>
      </c>
      <c r="H185" s="64">
        <v>42008</v>
      </c>
      <c r="I185" s="183"/>
      <c r="J185" s="359"/>
      <c r="K185" s="183"/>
      <c r="L185" s="359"/>
      <c r="M185" s="183"/>
      <c r="N185" s="359"/>
      <c r="O185" s="183"/>
      <c r="P185" s="359"/>
      <c r="Q185" s="86">
        <f t="shared" si="6"/>
        <v>0</v>
      </c>
      <c r="R185" s="372"/>
      <c r="S185" s="370"/>
      <c r="T185" s="372"/>
      <c r="U185" s="370"/>
      <c r="V185" s="372"/>
      <c r="W185" s="370"/>
      <c r="X185" s="372"/>
      <c r="Y185" s="370"/>
      <c r="Z185" s="376"/>
      <c r="AA185" s="88">
        <f t="shared" si="7"/>
        <v>0</v>
      </c>
      <c r="AB185" s="236">
        <v>4333333</v>
      </c>
      <c r="AC185" s="236">
        <v>5000000</v>
      </c>
      <c r="AD185" s="236">
        <v>5000000</v>
      </c>
      <c r="AE185" s="236">
        <v>5000000</v>
      </c>
      <c r="AF185" s="236">
        <v>5000000</v>
      </c>
      <c r="AG185" s="236">
        <v>5000000</v>
      </c>
      <c r="AH185" s="236">
        <v>5000000</v>
      </c>
      <c r="AI185" s="236">
        <v>5000000</v>
      </c>
      <c r="AJ185" s="236">
        <v>4833333</v>
      </c>
      <c r="AK185" s="236">
        <v>5000000</v>
      </c>
      <c r="AL185" s="236">
        <v>5000000</v>
      </c>
      <c r="AM185" s="236">
        <v>500000</v>
      </c>
      <c r="AN185" s="236"/>
      <c r="AO185" s="236"/>
      <c r="AP185" s="236"/>
      <c r="AQ185" s="236"/>
      <c r="AR185" s="236"/>
      <c r="AS185" s="236"/>
      <c r="AT185" s="369">
        <v>42094</v>
      </c>
      <c r="AU185" s="91">
        <f t="shared" si="10"/>
        <v>54666666</v>
      </c>
    </row>
    <row r="186" spans="1:47" ht="34.5" hidden="1" customHeight="1" x14ac:dyDescent="0.25">
      <c r="A186" s="85">
        <v>180</v>
      </c>
      <c r="B186" s="2" t="str">
        <f>+'Base de Datos'!E186</f>
        <v>140160-0-2014</v>
      </c>
      <c r="C186" s="2" t="str">
        <f>+'Base de Datos'!F186</f>
        <v>NORMA CONSTANZA MEZA GÓMEZ</v>
      </c>
      <c r="D186" s="2">
        <f>+'Base de Datos'!G186</f>
        <v>1010168639</v>
      </c>
      <c r="E186" s="2" t="str">
        <f>+'Base de Datos'!H186</f>
        <v>Prestar servicios profesionales para apoyar al Concejo de Bogotá D.C. en la realización de actividades de identificación, clasificación, depuración organización y actualización de la normativa de los acuerdos distritales en  segunda y tercera fases, de conformidad con los estudios previos.</v>
      </c>
      <c r="F186" s="8">
        <v>38500000</v>
      </c>
      <c r="G186" s="6">
        <v>41675</v>
      </c>
      <c r="H186" s="64">
        <v>42008</v>
      </c>
      <c r="I186" s="183"/>
      <c r="J186" s="359"/>
      <c r="K186" s="183"/>
      <c r="L186" s="359"/>
      <c r="M186" s="183"/>
      <c r="N186" s="359"/>
      <c r="O186" s="183"/>
      <c r="P186" s="359"/>
      <c r="Q186" s="86">
        <f t="shared" si="6"/>
        <v>0</v>
      </c>
      <c r="R186" s="372"/>
      <c r="S186" s="370"/>
      <c r="T186" s="372"/>
      <c r="U186" s="370"/>
      <c r="V186" s="372"/>
      <c r="W186" s="370"/>
      <c r="X186" s="372"/>
      <c r="Y186" s="370"/>
      <c r="Z186" s="376"/>
      <c r="AA186" s="88">
        <f t="shared" si="7"/>
        <v>0</v>
      </c>
      <c r="AB186" s="236">
        <v>3033333</v>
      </c>
      <c r="AC186" s="236">
        <v>3500000</v>
      </c>
      <c r="AD186" s="236">
        <v>3500000</v>
      </c>
      <c r="AE186" s="236">
        <v>3500000</v>
      </c>
      <c r="AF186" s="236">
        <v>3500000</v>
      </c>
      <c r="AG186" s="236">
        <v>3500000</v>
      </c>
      <c r="AH186" s="236">
        <v>3500000</v>
      </c>
      <c r="AI186" s="236">
        <v>3500000</v>
      </c>
      <c r="AJ186" s="236">
        <v>7000000</v>
      </c>
      <c r="AK186" s="236">
        <v>3500000</v>
      </c>
      <c r="AL186" s="236">
        <v>466667</v>
      </c>
      <c r="AM186" s="236"/>
      <c r="AN186" s="236"/>
      <c r="AO186" s="236"/>
      <c r="AP186" s="236"/>
      <c r="AQ186" s="236"/>
      <c r="AR186" s="236"/>
      <c r="AS186" s="236"/>
      <c r="AT186" s="369">
        <v>42235</v>
      </c>
      <c r="AU186" s="91">
        <f t="shared" si="10"/>
        <v>38500000</v>
      </c>
    </row>
    <row r="187" spans="1:47" ht="34.5" hidden="1" customHeight="1" x14ac:dyDescent="0.25">
      <c r="A187" s="85">
        <v>181</v>
      </c>
      <c r="B187" s="2" t="str">
        <f>+'Base de Datos'!E187</f>
        <v>140161-0-2014</v>
      </c>
      <c r="C187" s="2" t="str">
        <f>+'Base de Datos'!F187</f>
        <v>ANDREA SUSANA BELLO CANTOR</v>
      </c>
      <c r="D187" s="2">
        <f>+'Base de Datos'!G187</f>
        <v>52935011</v>
      </c>
      <c r="E187" s="2" t="str">
        <f>+'Base de Datos'!H187</f>
        <v>Prestar servicios profesionales al Concejo de Bogotá D.C. para la realización de actividades de identificación, clasificación, depuración organización y actualización de la normativa de los acuerdos distritales en segunda y tercera fases.</v>
      </c>
      <c r="F187" s="8">
        <v>55000000</v>
      </c>
      <c r="G187" s="6">
        <v>41675</v>
      </c>
      <c r="H187" s="64">
        <v>42008</v>
      </c>
      <c r="I187" s="183"/>
      <c r="J187" s="359"/>
      <c r="K187" s="183"/>
      <c r="L187" s="359"/>
      <c r="M187" s="183"/>
      <c r="N187" s="359"/>
      <c r="O187" s="183"/>
      <c r="P187" s="359"/>
      <c r="Q187" s="86">
        <f t="shared" si="6"/>
        <v>0</v>
      </c>
      <c r="R187" s="372"/>
      <c r="S187" s="370"/>
      <c r="T187" s="372"/>
      <c r="U187" s="370"/>
      <c r="V187" s="372"/>
      <c r="W187" s="370"/>
      <c r="X187" s="372"/>
      <c r="Y187" s="370"/>
      <c r="Z187" s="376"/>
      <c r="AA187" s="88">
        <f t="shared" si="7"/>
        <v>0</v>
      </c>
      <c r="AB187" s="236">
        <v>4333333</v>
      </c>
      <c r="AC187" s="236">
        <v>5000000</v>
      </c>
      <c r="AD187" s="236">
        <v>5000000</v>
      </c>
      <c r="AE187" s="236">
        <v>5000000</v>
      </c>
      <c r="AF187" s="236">
        <v>5000000</v>
      </c>
      <c r="AG187" s="236">
        <v>5000000</v>
      </c>
      <c r="AH187" s="236">
        <v>5000000</v>
      </c>
      <c r="AI187" s="236">
        <v>5000000</v>
      </c>
      <c r="AJ187" s="236">
        <v>5000000</v>
      </c>
      <c r="AK187" s="236">
        <v>5000000</v>
      </c>
      <c r="AL187" s="236">
        <v>5666667</v>
      </c>
      <c r="AM187" s="236"/>
      <c r="AN187" s="236"/>
      <c r="AO187" s="236"/>
      <c r="AP187" s="236"/>
      <c r="AQ187" s="236"/>
      <c r="AR187" s="236"/>
      <c r="AS187" s="236"/>
      <c r="AT187" s="369">
        <v>42088</v>
      </c>
      <c r="AU187" s="91">
        <f t="shared" si="10"/>
        <v>55000000</v>
      </c>
    </row>
    <row r="188" spans="1:47" ht="34.5" hidden="1" customHeight="1" x14ac:dyDescent="0.25">
      <c r="A188" s="85">
        <v>182</v>
      </c>
      <c r="B188" s="2" t="str">
        <f>+'Base de Datos'!E188</f>
        <v>140162-0-2014</v>
      </c>
      <c r="C188" s="2" t="str">
        <f>+'Base de Datos'!F188</f>
        <v>JORGE ORLANDO RUBIANO CARRANZA</v>
      </c>
      <c r="D188" s="2">
        <f>+'Base de Datos'!G188</f>
        <v>19327657</v>
      </c>
      <c r="E188" s="2" t="str">
        <f>+'Base de Datos'!H188</f>
        <v>Prestar servicios profesionales al Concejo de Bogotá D.C. para realización de actividades de identificación, clasificación, depuración organización y actualización de la normativa de los acuerdos distritales en segunda y tercera fases, de conformidad con los estudios previos.</v>
      </c>
      <c r="F188" s="8">
        <v>55000000</v>
      </c>
      <c r="G188" s="6">
        <v>41675</v>
      </c>
      <c r="H188" s="64">
        <v>42008</v>
      </c>
      <c r="I188" s="183"/>
      <c r="J188" s="359"/>
      <c r="K188" s="183"/>
      <c r="L188" s="359"/>
      <c r="M188" s="183"/>
      <c r="N188" s="359"/>
      <c r="O188" s="183"/>
      <c r="P188" s="359"/>
      <c r="Q188" s="86">
        <f t="shared" si="6"/>
        <v>0</v>
      </c>
      <c r="R188" s="372"/>
      <c r="S188" s="370"/>
      <c r="T188" s="372"/>
      <c r="U188" s="370"/>
      <c r="V188" s="372"/>
      <c r="W188" s="370"/>
      <c r="X188" s="372"/>
      <c r="Y188" s="370"/>
      <c r="Z188" s="376"/>
      <c r="AA188" s="88">
        <f t="shared" si="7"/>
        <v>0</v>
      </c>
      <c r="AB188" s="236">
        <v>4333333</v>
      </c>
      <c r="AC188" s="236">
        <v>5000000</v>
      </c>
      <c r="AD188" s="236">
        <v>5000000</v>
      </c>
      <c r="AE188" s="236">
        <v>5000000</v>
      </c>
      <c r="AF188" s="236">
        <v>5000000</v>
      </c>
      <c r="AG188" s="236">
        <v>5000000</v>
      </c>
      <c r="AH188" s="236">
        <v>5000000</v>
      </c>
      <c r="AI188" s="236">
        <v>20666667</v>
      </c>
      <c r="AJ188" s="236"/>
      <c r="AK188" s="236"/>
      <c r="AL188" s="236"/>
      <c r="AM188" s="236"/>
      <c r="AN188" s="236"/>
      <c r="AO188" s="236"/>
      <c r="AP188" s="236"/>
      <c r="AQ188" s="236"/>
      <c r="AR188" s="236"/>
      <c r="AS188" s="236"/>
      <c r="AT188" s="369">
        <v>42122</v>
      </c>
      <c r="AU188" s="91">
        <f t="shared" si="10"/>
        <v>55000000</v>
      </c>
    </row>
    <row r="189" spans="1:47" ht="34.5" hidden="1" customHeight="1" x14ac:dyDescent="0.25">
      <c r="A189" s="85">
        <v>183</v>
      </c>
      <c r="B189" s="2" t="str">
        <f>+'Base de Datos'!E189</f>
        <v>140164-0-2014</v>
      </c>
      <c r="C189" s="2" t="str">
        <f>+'Base de Datos'!F189</f>
        <v>MITSUBISHIS ELECTRIC DE COLOMBIA LTDA</v>
      </c>
      <c r="D189" s="2">
        <f>+'Base de Datos'!G189</f>
        <v>860025639</v>
      </c>
      <c r="E189" s="2" t="str">
        <f>+'Base de Datos'!H189</f>
        <v>Prestar el servicio de mantenimiento preventivo y correctivo ocasional a los ascensores marca Mitsubishi ubicados en el Concejo de Bogotá. D.C., de conformidad con lo previsto en los estudios previos y la propuesta presentada.</v>
      </c>
      <c r="F189" s="8">
        <v>16555000</v>
      </c>
      <c r="G189" s="6">
        <v>41732</v>
      </c>
      <c r="H189" s="64">
        <v>42096</v>
      </c>
      <c r="I189" s="183"/>
      <c r="J189" s="359"/>
      <c r="K189" s="183"/>
      <c r="L189" s="359"/>
      <c r="M189" s="183"/>
      <c r="N189" s="359"/>
      <c r="O189" s="183"/>
      <c r="P189" s="359"/>
      <c r="Q189" s="86">
        <f t="shared" si="6"/>
        <v>0</v>
      </c>
      <c r="R189" s="372"/>
      <c r="S189" s="370"/>
      <c r="T189" s="372"/>
      <c r="U189" s="370"/>
      <c r="V189" s="372"/>
      <c r="W189" s="370"/>
      <c r="X189" s="372"/>
      <c r="Y189" s="370"/>
      <c r="Z189" s="376"/>
      <c r="AA189" s="88">
        <f t="shared" si="7"/>
        <v>0</v>
      </c>
      <c r="AB189" s="236">
        <v>811197</v>
      </c>
      <c r="AC189" s="236">
        <v>4983824</v>
      </c>
      <c r="AD189" s="236">
        <v>1245956</v>
      </c>
      <c r="AE189" s="236">
        <v>1245956</v>
      </c>
      <c r="AF189" s="236">
        <v>1245956</v>
      </c>
      <c r="AG189" s="236">
        <v>1245956</v>
      </c>
      <c r="AH189" s="236">
        <v>1245956</v>
      </c>
      <c r="AI189" s="236">
        <v>2491912</v>
      </c>
      <c r="AJ189" s="236">
        <v>1245956</v>
      </c>
      <c r="AK189" s="236"/>
      <c r="AL189" s="236"/>
      <c r="AM189" s="236"/>
      <c r="AN189" s="236"/>
      <c r="AO189" s="236"/>
      <c r="AP189" s="236"/>
      <c r="AQ189" s="236"/>
      <c r="AR189" s="236"/>
      <c r="AS189" s="236"/>
      <c r="AT189" s="369">
        <v>42269</v>
      </c>
      <c r="AU189" s="91">
        <f t="shared" si="10"/>
        <v>15762669</v>
      </c>
    </row>
    <row r="190" spans="1:47" ht="34.5" hidden="1" customHeight="1" x14ac:dyDescent="0.25">
      <c r="A190" s="85">
        <v>184</v>
      </c>
      <c r="B190" s="2" t="str">
        <f>+'Base de Datos'!E190</f>
        <v>140166-0-2014</v>
      </c>
      <c r="C190" s="2" t="str">
        <f>+'Base de Datos'!F190</f>
        <v>EDELMIRA ATARA GIL</v>
      </c>
      <c r="D190" s="2">
        <f>+'Base de Datos'!G190</f>
        <v>51721571</v>
      </c>
      <c r="E190" s="2" t="str">
        <f>+'Base de Datos'!H190</f>
        <v>Prestar servicios profesionales para el apoyo en la implementación del manual de convivencia adoptado por el Concejo de Bogotá D.C., para el mejoramiento del clima laboral, de conformidad con los estudios previos.</v>
      </c>
      <c r="F190" s="8">
        <v>39600000</v>
      </c>
      <c r="G190" s="6">
        <v>41675</v>
      </c>
      <c r="H190" s="64">
        <v>42008</v>
      </c>
      <c r="I190" s="183"/>
      <c r="J190" s="359"/>
      <c r="K190" s="183"/>
      <c r="L190" s="359"/>
      <c r="M190" s="183"/>
      <c r="N190" s="359"/>
      <c r="O190" s="183"/>
      <c r="P190" s="359"/>
      <c r="Q190" s="86">
        <f t="shared" si="6"/>
        <v>0</v>
      </c>
      <c r="R190" s="372"/>
      <c r="S190" s="370"/>
      <c r="T190" s="372"/>
      <c r="U190" s="370"/>
      <c r="V190" s="372"/>
      <c r="W190" s="370"/>
      <c r="X190" s="372"/>
      <c r="Y190" s="370"/>
      <c r="Z190" s="376"/>
      <c r="AA190" s="88">
        <f t="shared" si="7"/>
        <v>0</v>
      </c>
      <c r="AB190" s="236">
        <v>3120000</v>
      </c>
      <c r="AC190" s="236">
        <v>3600000</v>
      </c>
      <c r="AD190" s="236">
        <v>3600000</v>
      </c>
      <c r="AE190" s="236">
        <v>3600000</v>
      </c>
      <c r="AF190" s="236">
        <v>3600000</v>
      </c>
      <c r="AG190" s="236">
        <v>3600000</v>
      </c>
      <c r="AH190" s="236">
        <v>3600000</v>
      </c>
      <c r="AI190" s="236"/>
      <c r="AJ190" s="236"/>
      <c r="AK190" s="236"/>
      <c r="AL190" s="236"/>
      <c r="AM190" s="236"/>
      <c r="AN190" s="236"/>
      <c r="AO190" s="236"/>
      <c r="AP190" s="236"/>
      <c r="AQ190" s="236"/>
      <c r="AR190" s="236"/>
      <c r="AS190" s="236"/>
      <c r="AT190" s="369">
        <v>0</v>
      </c>
      <c r="AU190" s="91">
        <f t="shared" si="10"/>
        <v>24720000</v>
      </c>
    </row>
    <row r="191" spans="1:47" ht="34.5" hidden="1" customHeight="1" x14ac:dyDescent="0.25">
      <c r="A191" s="85">
        <v>185</v>
      </c>
      <c r="B191" s="2" t="str">
        <f>+'Base de Datos'!E191</f>
        <v>140167-0-2014</v>
      </c>
      <c r="C191" s="2" t="str">
        <f>+'Base de Datos'!F191</f>
        <v>EDGARDO ANDRÉS MALDONADO CORTES</v>
      </c>
      <c r="D191" s="2">
        <f>+'Base de Datos'!G191</f>
        <v>79843891</v>
      </c>
      <c r="E191" s="2" t="str">
        <f>+'Base de Datos'!H191</f>
        <v>Prestar servicios profesionales para apoyar a la dirección financiera del Concejo de Bogotá en la supervisión de los contratos que le sean asignados, implementado mecanismos que le permitan contribuir efectivamente al seguimiento técnico, administrativo, financiero, contable, y jurídico sobre el cumplimiento del objeto de cada contrato asignado.</v>
      </c>
      <c r="F191" s="8">
        <v>51500000</v>
      </c>
      <c r="G191" s="6">
        <v>41694</v>
      </c>
      <c r="H191" s="64">
        <v>41996</v>
      </c>
      <c r="I191" s="183"/>
      <c r="J191" s="359"/>
      <c r="K191" s="183"/>
      <c r="L191" s="359"/>
      <c r="M191" s="183"/>
      <c r="N191" s="359"/>
      <c r="O191" s="183"/>
      <c r="P191" s="359"/>
      <c r="Q191" s="86">
        <f t="shared" si="6"/>
        <v>0</v>
      </c>
      <c r="R191" s="372"/>
      <c r="S191" s="370">
        <v>41887</v>
      </c>
      <c r="T191" s="372"/>
      <c r="U191" s="370"/>
      <c r="V191" s="372"/>
      <c r="W191" s="370"/>
      <c r="X191" s="372"/>
      <c r="Y191" s="370"/>
      <c r="Z191" s="376"/>
      <c r="AA191" s="88">
        <f t="shared" si="7"/>
        <v>41887</v>
      </c>
      <c r="AB191" s="236">
        <v>1201666</v>
      </c>
      <c r="AC191" s="236">
        <v>5150000</v>
      </c>
      <c r="AD191" s="236">
        <v>5150000</v>
      </c>
      <c r="AE191" s="236">
        <v>5150000</v>
      </c>
      <c r="AF191" s="236">
        <v>5150000</v>
      </c>
      <c r="AG191" s="236">
        <v>5150000</v>
      </c>
      <c r="AH191" s="236">
        <v>5150000</v>
      </c>
      <c r="AI191" s="236">
        <v>686667</v>
      </c>
      <c r="AJ191" s="236"/>
      <c r="AK191" s="236"/>
      <c r="AL191" s="236"/>
      <c r="AM191" s="236"/>
      <c r="AN191" s="236"/>
      <c r="AO191" s="236"/>
      <c r="AP191" s="236"/>
      <c r="AQ191" s="236"/>
      <c r="AR191" s="236"/>
      <c r="AS191" s="236"/>
      <c r="AT191" s="369">
        <v>41968</v>
      </c>
      <c r="AU191" s="91">
        <f t="shared" si="10"/>
        <v>32788333</v>
      </c>
    </row>
    <row r="192" spans="1:47" ht="34.5" hidden="1" customHeight="1" x14ac:dyDescent="0.25">
      <c r="A192" s="85">
        <v>186</v>
      </c>
      <c r="B192" s="2" t="str">
        <f>+'Base de Datos'!E192</f>
        <v>140168-0-2014</v>
      </c>
      <c r="C192" s="2" t="str">
        <f>+'Base de Datos'!F192</f>
        <v>JORGE LUIS TRUJILLO VERA</v>
      </c>
      <c r="D192" s="2">
        <f>+'Base de Datos'!G192</f>
        <v>1018434911</v>
      </c>
      <c r="E192" s="2" t="str">
        <f>+'Base de Datos'!H192</f>
        <v>Prestar servicios de apoyo al Concejo de Bogotá D.C., en la elaboración y actualización de las bases de datos para el control, depuración y actualización de la normativa de los acuerdos distritales en segunda y tercera fases.</v>
      </c>
      <c r="F192" s="8">
        <v>16500000</v>
      </c>
      <c r="G192" s="6">
        <v>41675</v>
      </c>
      <c r="H192" s="64">
        <v>42008</v>
      </c>
      <c r="I192" s="183"/>
      <c r="J192" s="359"/>
      <c r="K192" s="183"/>
      <c r="L192" s="359"/>
      <c r="M192" s="183"/>
      <c r="N192" s="359"/>
      <c r="O192" s="183"/>
      <c r="P192" s="359"/>
      <c r="Q192" s="86">
        <f t="shared" si="6"/>
        <v>0</v>
      </c>
      <c r="R192" s="372"/>
      <c r="S192" s="370"/>
      <c r="T192" s="372"/>
      <c r="U192" s="370"/>
      <c r="V192" s="372"/>
      <c r="W192" s="370"/>
      <c r="X192" s="372"/>
      <c r="Y192" s="370"/>
      <c r="Z192" s="376"/>
      <c r="AA192" s="88">
        <f t="shared" si="7"/>
        <v>0</v>
      </c>
      <c r="AB192" s="236">
        <v>1300000</v>
      </c>
      <c r="AC192" s="236">
        <v>1500000</v>
      </c>
      <c r="AD192" s="236">
        <v>7500000</v>
      </c>
      <c r="AE192" s="236"/>
      <c r="AF192" s="236"/>
      <c r="AG192" s="236"/>
      <c r="AH192" s="236"/>
      <c r="AI192" s="236"/>
      <c r="AJ192" s="236"/>
      <c r="AK192" s="236"/>
      <c r="AL192" s="236"/>
      <c r="AM192" s="236"/>
      <c r="AN192" s="236"/>
      <c r="AO192" s="236"/>
      <c r="AP192" s="236"/>
      <c r="AQ192" s="236"/>
      <c r="AR192" s="236"/>
      <c r="AS192" s="236"/>
      <c r="AT192" s="369">
        <v>0</v>
      </c>
      <c r="AU192" s="91">
        <f t="shared" si="10"/>
        <v>10300000</v>
      </c>
    </row>
    <row r="193" spans="1:49" ht="34.5" hidden="1" customHeight="1" x14ac:dyDescent="0.25">
      <c r="A193" s="85">
        <v>187</v>
      </c>
      <c r="B193" s="2" t="str">
        <f>+'Base de Datos'!E193</f>
        <v>140169-0-2014</v>
      </c>
      <c r="C193" s="2" t="str">
        <f>+'Base de Datos'!F193</f>
        <v>MATILDE NIETO CONTRERAS (Cesionaria) / antes ELIS ALEXANDER MORENO SALAMANCA</v>
      </c>
      <c r="D193" s="2">
        <f>+'Base de Datos'!G193</f>
        <v>60289180</v>
      </c>
      <c r="E193" s="2" t="str">
        <f>+'Base de Datos'!H193</f>
        <v>Prestar servicios profesionales para apoyar a la dirección financiera del Concejo de Bogotá D. C., en la supervisión de los contratos que le sean asignados, implementado mecanismos que le permitan contribuir efectivamente al seguimiento técnico, administrativo, financiero, contable, y jurídico sobre el cumplimiento del objeto de cada contrato asignado.</v>
      </c>
      <c r="F193" s="8">
        <v>51500000</v>
      </c>
      <c r="G193" s="6">
        <v>41677</v>
      </c>
      <c r="H193" s="64">
        <v>41979</v>
      </c>
      <c r="I193" s="183">
        <v>10300000</v>
      </c>
      <c r="J193" s="359">
        <v>41978</v>
      </c>
      <c r="K193" s="183"/>
      <c r="L193" s="359"/>
      <c r="M193" s="183"/>
      <c r="N193" s="359"/>
      <c r="O193" s="183"/>
      <c r="P193" s="359"/>
      <c r="Q193" s="86">
        <f t="shared" si="6"/>
        <v>10300000</v>
      </c>
      <c r="R193" s="372" t="s">
        <v>378</v>
      </c>
      <c r="S193" s="370">
        <v>42041</v>
      </c>
      <c r="T193" s="372"/>
      <c r="U193" s="370">
        <v>42006</v>
      </c>
      <c r="V193" s="372"/>
      <c r="W193" s="370"/>
      <c r="X193" s="372"/>
      <c r="Y193" s="370"/>
      <c r="Z193" s="376" t="s">
        <v>378</v>
      </c>
      <c r="AA193" s="88">
        <f>MIN(S193,U193,W193,Y193)</f>
        <v>42006</v>
      </c>
      <c r="AB193" s="236">
        <v>4120000</v>
      </c>
      <c r="AC193" s="236">
        <v>5150000</v>
      </c>
      <c r="AD193" s="236">
        <v>5150000</v>
      </c>
      <c r="AE193" s="236">
        <v>5150000</v>
      </c>
      <c r="AF193" s="236">
        <v>5150000</v>
      </c>
      <c r="AG193" s="236">
        <v>5150000</v>
      </c>
      <c r="AH193" s="236">
        <v>4806667</v>
      </c>
      <c r="AI193" s="236">
        <v>4806666</v>
      </c>
      <c r="AJ193" s="236">
        <v>5150000</v>
      </c>
      <c r="AK193" s="236">
        <v>5150000</v>
      </c>
      <c r="AL193" s="236">
        <v>5150000</v>
      </c>
      <c r="AM193" s="236"/>
      <c r="AN193" s="236"/>
      <c r="AO193" s="236"/>
      <c r="AP193" s="236"/>
      <c r="AQ193" s="236"/>
      <c r="AR193" s="236"/>
      <c r="AS193" s="236"/>
      <c r="AT193" s="369">
        <v>41982</v>
      </c>
      <c r="AU193" s="91">
        <f t="shared" si="10"/>
        <v>54933333</v>
      </c>
    </row>
    <row r="194" spans="1:49" ht="34.5" hidden="1" customHeight="1" x14ac:dyDescent="0.25">
      <c r="A194" s="85">
        <v>188</v>
      </c>
      <c r="B194" s="2" t="str">
        <f>+'Base de Datos'!E194</f>
        <v>140171-0-2014</v>
      </c>
      <c r="C194" s="2" t="str">
        <f>+'Base de Datos'!F194</f>
        <v>INGEAL S.A.</v>
      </c>
      <c r="D194" s="2">
        <f>+'Base de Datos'!G194</f>
        <v>800039398</v>
      </c>
      <c r="E194" s="2" t="str">
        <f>+'Base de Datos'!H194</f>
        <v>Adquisición de equipos para control Ambiental (aires acondicionados), conectividad (Switc de borde) y Energía Regulada (UPS) para el Concejo de Bogotá. I ítem No 1, de conformidad con el pliego de condiciones del proceso de selección abreviada mediante subasta inversa electrónica SDH-SIE-019-2013 y la propuesta presentada.</v>
      </c>
      <c r="F194" s="8">
        <v>340808000</v>
      </c>
      <c r="G194" s="6">
        <v>41704</v>
      </c>
      <c r="H194" s="64">
        <v>41748</v>
      </c>
      <c r="I194" s="183"/>
      <c r="J194" s="359"/>
      <c r="K194" s="183"/>
      <c r="L194" s="359"/>
      <c r="M194" s="183"/>
      <c r="N194" s="359"/>
      <c r="O194" s="183"/>
      <c r="P194" s="359"/>
      <c r="Q194" s="86">
        <f t="shared" si="6"/>
        <v>0</v>
      </c>
      <c r="R194" s="372"/>
      <c r="S194" s="370"/>
      <c r="T194" s="372"/>
      <c r="U194" s="370"/>
      <c r="V194" s="372"/>
      <c r="W194" s="370"/>
      <c r="X194" s="372"/>
      <c r="Y194" s="370"/>
      <c r="Z194" s="376"/>
      <c r="AA194" s="88">
        <f t="shared" ref="AA194:AA200" si="11">MAX(S194,U194,W194,Y194)</f>
        <v>0</v>
      </c>
      <c r="AB194" s="236">
        <v>170404000</v>
      </c>
      <c r="AC194" s="236">
        <v>170404000</v>
      </c>
      <c r="AD194" s="236"/>
      <c r="AE194" s="236"/>
      <c r="AF194" s="236"/>
      <c r="AG194" s="236"/>
      <c r="AH194" s="236"/>
      <c r="AI194" s="236"/>
      <c r="AJ194" s="236"/>
      <c r="AK194" s="236"/>
      <c r="AL194" s="236"/>
      <c r="AM194" s="236"/>
      <c r="AN194" s="236"/>
      <c r="AO194" s="236"/>
      <c r="AP194" s="236"/>
      <c r="AQ194" s="236"/>
      <c r="AR194" s="236"/>
      <c r="AS194" s="236"/>
      <c r="AT194" s="369">
        <v>0</v>
      </c>
      <c r="AU194" s="91">
        <f t="shared" si="10"/>
        <v>340808000</v>
      </c>
    </row>
    <row r="195" spans="1:49" ht="34.5" hidden="1" customHeight="1" x14ac:dyDescent="0.25">
      <c r="A195" s="85">
        <v>189</v>
      </c>
      <c r="B195" s="2" t="str">
        <f>+'Base de Datos'!E195</f>
        <v>140172-0-2014</v>
      </c>
      <c r="C195" s="2" t="str">
        <f>+'Base de Datos'!F195</f>
        <v>SONA GREEN TECHNOLOGIES SAS</v>
      </c>
      <c r="D195" s="2">
        <f>+'Base de Datos'!G195</f>
        <v>900381188</v>
      </c>
      <c r="E195" s="2" t="str">
        <f>+'Base de Datos'!H195</f>
        <v>Adquisición de equipos para control Ambiental (aires acondicionados), conectividad (Switc de borde) y Energía Regulada (UPS) para el Concejo de Bogotá. I ítem No 2, de conformidad con el pliego de condiciones del proceso de selección abreviada mediante subasta inversa electrónica SDH-SIE-019-2013 y la propuesta presentada.</v>
      </c>
      <c r="F195" s="8">
        <v>28900000</v>
      </c>
      <c r="G195" s="6">
        <v>41704</v>
      </c>
      <c r="H195" s="64">
        <v>41748</v>
      </c>
      <c r="I195" s="183"/>
      <c r="J195" s="359"/>
      <c r="K195" s="183"/>
      <c r="L195" s="359"/>
      <c r="M195" s="183"/>
      <c r="N195" s="359"/>
      <c r="O195" s="183"/>
      <c r="P195" s="359"/>
      <c r="Q195" s="86">
        <f t="shared" si="6"/>
        <v>0</v>
      </c>
      <c r="R195" s="372"/>
      <c r="S195" s="370"/>
      <c r="T195" s="372"/>
      <c r="U195" s="370"/>
      <c r="V195" s="372"/>
      <c r="W195" s="370"/>
      <c r="X195" s="372"/>
      <c r="Y195" s="370"/>
      <c r="Z195" s="376"/>
      <c r="AA195" s="88">
        <f t="shared" si="11"/>
        <v>0</v>
      </c>
      <c r="AB195" s="236">
        <v>28900000</v>
      </c>
      <c r="AC195" s="236"/>
      <c r="AD195" s="236"/>
      <c r="AE195" s="236"/>
      <c r="AF195" s="236"/>
      <c r="AG195" s="236"/>
      <c r="AH195" s="236"/>
      <c r="AI195" s="236"/>
      <c r="AJ195" s="236"/>
      <c r="AK195" s="236"/>
      <c r="AL195" s="236"/>
      <c r="AM195" s="236"/>
      <c r="AN195" s="236"/>
      <c r="AO195" s="236"/>
      <c r="AP195" s="236"/>
      <c r="AQ195" s="236"/>
      <c r="AR195" s="236"/>
      <c r="AS195" s="236"/>
      <c r="AT195" s="369">
        <v>0</v>
      </c>
      <c r="AU195" s="91">
        <f t="shared" si="10"/>
        <v>28900000</v>
      </c>
    </row>
    <row r="196" spans="1:49" ht="34.5" hidden="1" customHeight="1" x14ac:dyDescent="0.25">
      <c r="A196" s="85">
        <v>190</v>
      </c>
      <c r="B196" s="2" t="str">
        <f>+'Base de Datos'!E196</f>
        <v>140173-0-2014</v>
      </c>
      <c r="C196" s="2" t="str">
        <f>+'Base de Datos'!F196</f>
        <v>K 10 DESIGN   S.A.S</v>
      </c>
      <c r="D196" s="2">
        <f>+'Base de Datos'!G196</f>
        <v>900157564</v>
      </c>
      <c r="E196" s="2" t="str">
        <f>+'Base de Datos'!H196</f>
        <v>Adquisición, entrega y montaje de mobiliario de oficina para el Concejo de Bogotá D.C.</v>
      </c>
      <c r="F196" s="8">
        <v>248000000</v>
      </c>
      <c r="G196" s="6">
        <v>41708</v>
      </c>
      <c r="H196" s="64">
        <v>41738</v>
      </c>
      <c r="I196" s="183">
        <v>77128875</v>
      </c>
      <c r="J196" s="359"/>
      <c r="K196" s="183"/>
      <c r="L196" s="359"/>
      <c r="M196" s="183"/>
      <c r="N196" s="359"/>
      <c r="O196" s="183"/>
      <c r="P196" s="359"/>
      <c r="Q196" s="86">
        <f t="shared" si="6"/>
        <v>77128875</v>
      </c>
      <c r="R196" s="372"/>
      <c r="S196" s="370"/>
      <c r="T196" s="372"/>
      <c r="U196" s="370"/>
      <c r="V196" s="372"/>
      <c r="W196" s="370"/>
      <c r="X196" s="372"/>
      <c r="Y196" s="370"/>
      <c r="Z196" s="186"/>
      <c r="AA196" s="88">
        <f t="shared" si="11"/>
        <v>0</v>
      </c>
      <c r="AB196" s="236">
        <v>325028452</v>
      </c>
      <c r="AC196" s="236"/>
      <c r="AD196" s="236"/>
      <c r="AE196" s="236"/>
      <c r="AF196" s="236"/>
      <c r="AG196" s="236"/>
      <c r="AH196" s="236"/>
      <c r="AI196" s="236"/>
      <c r="AJ196" s="236"/>
      <c r="AK196" s="236"/>
      <c r="AL196" s="236"/>
      <c r="AM196" s="236"/>
      <c r="AN196" s="236"/>
      <c r="AO196" s="236"/>
      <c r="AP196" s="236"/>
      <c r="AQ196" s="236"/>
      <c r="AR196" s="236"/>
      <c r="AS196" s="236"/>
      <c r="AT196" s="369">
        <v>0</v>
      </c>
      <c r="AU196" s="91">
        <f t="shared" si="10"/>
        <v>325028452</v>
      </c>
    </row>
    <row r="197" spans="1:49" ht="34.5" hidden="1" customHeight="1" x14ac:dyDescent="0.25">
      <c r="A197" s="85">
        <v>191</v>
      </c>
      <c r="B197" s="2" t="str">
        <f>+'Base de Datos'!E197</f>
        <v>140176-0-2014</v>
      </c>
      <c r="C197" s="2" t="str">
        <f>+'Base de Datos'!F197</f>
        <v>AGR SOLUCIONES S.A.S.</v>
      </c>
      <c r="D197" s="2">
        <f>+'Base de Datos'!G197</f>
        <v>900333228</v>
      </c>
      <c r="E197" s="2" t="str">
        <f>+'Base de Datos'!H197</f>
        <v>Prestar el servicio de mantenimiento preventivo y correctivo con suministro de repuestos de la puerta eléctrica y talanqueras de acceso vehicular al Concejo de Bogotá D.C., de conformidad con lo establecido en la invitación Pública del proceso No SDH-SMINC-01-2014</v>
      </c>
      <c r="F197" s="8">
        <v>11000000</v>
      </c>
      <c r="G197" s="6">
        <v>41738</v>
      </c>
      <c r="H197" s="64">
        <v>42012</v>
      </c>
      <c r="I197" s="183"/>
      <c r="J197" s="359"/>
      <c r="K197" s="183"/>
      <c r="L197" s="359"/>
      <c r="M197" s="183"/>
      <c r="N197" s="359"/>
      <c r="O197" s="183"/>
      <c r="P197" s="359"/>
      <c r="Q197" s="86">
        <f t="shared" si="6"/>
        <v>0</v>
      </c>
      <c r="R197" s="372"/>
      <c r="S197" s="370"/>
      <c r="T197" s="372"/>
      <c r="U197" s="370"/>
      <c r="V197" s="372"/>
      <c r="W197" s="370"/>
      <c r="X197" s="372"/>
      <c r="Y197" s="370"/>
      <c r="Z197" s="376"/>
      <c r="AA197" s="88">
        <f t="shared" si="11"/>
        <v>0</v>
      </c>
      <c r="AB197" s="236">
        <v>890822</v>
      </c>
      <c r="AC197" s="236">
        <v>890822</v>
      </c>
      <c r="AD197" s="236">
        <v>890822</v>
      </c>
      <c r="AE197" s="236"/>
      <c r="AF197" s="236"/>
      <c r="AG197" s="236"/>
      <c r="AH197" s="236"/>
      <c r="AI197" s="236"/>
      <c r="AJ197" s="236"/>
      <c r="AK197" s="236"/>
      <c r="AL197" s="236"/>
      <c r="AM197" s="236"/>
      <c r="AN197" s="236"/>
      <c r="AO197" s="236"/>
      <c r="AP197" s="236"/>
      <c r="AQ197" s="236"/>
      <c r="AR197" s="236"/>
      <c r="AS197" s="236"/>
      <c r="AT197" s="369">
        <v>42093</v>
      </c>
      <c r="AU197" s="91">
        <f t="shared" si="10"/>
        <v>2672466</v>
      </c>
    </row>
    <row r="198" spans="1:49" ht="34.5" hidden="1" customHeight="1" x14ac:dyDescent="0.25">
      <c r="A198" s="85">
        <v>192</v>
      </c>
      <c r="B198" s="2" t="str">
        <f>+'Base de Datos'!E198</f>
        <v>140178-0-2014</v>
      </c>
      <c r="C198" s="2" t="str">
        <f>+'Base de Datos'!F198</f>
        <v>DIRECTV COLOMBIA LTDA</v>
      </c>
      <c r="D198" s="2">
        <f>+'Base de Datos'!G198</f>
        <v>805006014</v>
      </c>
      <c r="E198" s="2" t="str">
        <f>+'Base de Datos'!H198</f>
        <v>Contratar la suscripción al sistema de Televisión Satelital para ser instalado en la sede del Concejo de Bogotá D.C., de conformidad con lo establecido en la invitación Publica SDH-SMINC-03-2014.</v>
      </c>
      <c r="F198" s="8">
        <v>1325400</v>
      </c>
      <c r="G198" s="6">
        <v>41738</v>
      </c>
      <c r="H198" s="64">
        <v>42102</v>
      </c>
      <c r="I198" s="183">
        <v>282000</v>
      </c>
      <c r="J198" s="359"/>
      <c r="K198" s="183"/>
      <c r="L198" s="359"/>
      <c r="M198" s="183"/>
      <c r="N198" s="359"/>
      <c r="O198" s="183"/>
      <c r="P198" s="359"/>
      <c r="Q198" s="86">
        <f t="shared" si="6"/>
        <v>282000</v>
      </c>
      <c r="R198" s="372"/>
      <c r="S198" s="370"/>
      <c r="T198" s="372"/>
      <c r="U198" s="370"/>
      <c r="V198" s="372"/>
      <c r="W198" s="370"/>
      <c r="X198" s="372"/>
      <c r="Y198" s="370"/>
      <c r="Z198" s="376"/>
      <c r="AA198" s="88">
        <f t="shared" si="11"/>
        <v>0</v>
      </c>
      <c r="AB198" s="236"/>
      <c r="AC198" s="236"/>
      <c r="AD198" s="236"/>
      <c r="AE198" s="236"/>
      <c r="AF198" s="236"/>
      <c r="AG198" s="236"/>
      <c r="AH198" s="236"/>
      <c r="AI198" s="236"/>
      <c r="AJ198" s="236"/>
      <c r="AK198" s="236"/>
      <c r="AL198" s="236"/>
      <c r="AM198" s="236"/>
      <c r="AN198" s="236"/>
      <c r="AO198" s="236"/>
      <c r="AP198" s="236"/>
      <c r="AQ198" s="236"/>
      <c r="AR198" s="236"/>
      <c r="AS198" s="236"/>
      <c r="AT198" s="369">
        <v>0</v>
      </c>
      <c r="AU198" s="91">
        <f t="shared" si="10"/>
        <v>0</v>
      </c>
    </row>
    <row r="199" spans="1:49" ht="34.5" hidden="1" customHeight="1" x14ac:dyDescent="0.25">
      <c r="A199" s="85">
        <v>193</v>
      </c>
      <c r="B199" s="2" t="str">
        <f>+'Base de Datos'!E199</f>
        <v>140179-0-2014</v>
      </c>
      <c r="C199" s="2" t="str">
        <f>+'Base de Datos'!F199</f>
        <v>SYSTEM NET INGENIERÍA LTDA</v>
      </c>
      <c r="D199" s="2">
        <f>+'Base de Datos'!G199</f>
        <v>830122370</v>
      </c>
      <c r="E199" s="2" t="str">
        <f>+'Base de Datos'!H199</f>
        <v>Prestar el servicio de mantenimiento preventivo y correctivo para las maquinas: Impresora Litográfica MULTILITH modelo 1250, Compaginadora DUPLO DC 10, Guillotina y Cizalla manual, ubicadas en la oficina de Anales y Publicaciones del Concejo de Bogotá D.C., de conformidad con lo establecido en la invitación publica del proceso SDH-SMINC-05-2014.</v>
      </c>
      <c r="F199" s="8">
        <v>4982000</v>
      </c>
      <c r="G199" s="6">
        <v>41725</v>
      </c>
      <c r="H199" s="64">
        <v>41969</v>
      </c>
      <c r="I199" s="183"/>
      <c r="J199" s="359"/>
      <c r="K199" s="183"/>
      <c r="L199" s="359"/>
      <c r="M199" s="183"/>
      <c r="N199" s="359"/>
      <c r="O199" s="183"/>
      <c r="P199" s="359"/>
      <c r="Q199" s="86">
        <f t="shared" si="6"/>
        <v>0</v>
      </c>
      <c r="R199" s="372"/>
      <c r="S199" s="370"/>
      <c r="T199" s="372"/>
      <c r="U199" s="370"/>
      <c r="V199" s="372"/>
      <c r="W199" s="370"/>
      <c r="X199" s="372"/>
      <c r="Y199" s="370"/>
      <c r="Z199" s="376"/>
      <c r="AA199" s="88">
        <f t="shared" si="11"/>
        <v>0</v>
      </c>
      <c r="AB199" s="236">
        <v>708000</v>
      </c>
      <c r="AC199" s="236">
        <v>708000</v>
      </c>
      <c r="AD199" s="236">
        <v>708000</v>
      </c>
      <c r="AE199" s="236">
        <v>708000</v>
      </c>
      <c r="AF199" s="236"/>
      <c r="AG199" s="236"/>
      <c r="AH199" s="236"/>
      <c r="AI199" s="236"/>
      <c r="AJ199" s="236"/>
      <c r="AK199" s="236"/>
      <c r="AL199" s="236"/>
      <c r="AM199" s="236"/>
      <c r="AN199" s="236"/>
      <c r="AO199" s="236"/>
      <c r="AP199" s="236"/>
      <c r="AQ199" s="236"/>
      <c r="AR199" s="236"/>
      <c r="AS199" s="236"/>
      <c r="AT199" s="369">
        <v>41978</v>
      </c>
      <c r="AU199" s="91">
        <f t="shared" si="10"/>
        <v>2832000</v>
      </c>
    </row>
    <row r="200" spans="1:49" ht="34.5" hidden="1" customHeight="1" x14ac:dyDescent="0.25">
      <c r="A200" s="85">
        <v>194</v>
      </c>
      <c r="B200" s="2" t="str">
        <f>+'Base de Datos'!E200</f>
        <v>140181-0-2014</v>
      </c>
      <c r="C200" s="2" t="str">
        <f>+'Base de Datos'!F200</f>
        <v>MODULARES OFIMA LTDA</v>
      </c>
      <c r="D200" s="2">
        <f>+'Base de Datos'!G200</f>
        <v>900197284</v>
      </c>
      <c r="E200" s="2" t="str">
        <f>+'Base de Datos'!H200</f>
        <v>Prestar el servicio de mantenimiento correctivo, incluyendo el suministro de repuestos y/o elementos nuevos que requieran las sillas existentes en el  Concejo de Bogotá D.C., de conformidad con lo establecido en la invitación Publica del proceso No SDH-SMINC-08-2014</v>
      </c>
      <c r="F200" s="8">
        <v>28000000</v>
      </c>
      <c r="G200" s="6">
        <v>41738</v>
      </c>
      <c r="H200" s="64">
        <v>41951</v>
      </c>
      <c r="I200" s="183"/>
      <c r="J200" s="359"/>
      <c r="K200" s="183"/>
      <c r="L200" s="359"/>
      <c r="M200" s="183"/>
      <c r="N200" s="359"/>
      <c r="O200" s="183"/>
      <c r="P200" s="359"/>
      <c r="Q200" s="86">
        <f t="shared" ref="Q200:Q263" si="12">SUM(I200,K200,M200,O200)</f>
        <v>0</v>
      </c>
      <c r="R200" s="372"/>
      <c r="S200" s="370"/>
      <c r="T200" s="372"/>
      <c r="U200" s="370"/>
      <c r="V200" s="372"/>
      <c r="W200" s="370"/>
      <c r="X200" s="372"/>
      <c r="Y200" s="370"/>
      <c r="Z200" s="376"/>
      <c r="AA200" s="88">
        <f t="shared" si="11"/>
        <v>0</v>
      </c>
      <c r="AB200" s="236">
        <v>1140280</v>
      </c>
      <c r="AC200" s="236">
        <v>1492920</v>
      </c>
      <c r="AD200" s="236">
        <v>1541060</v>
      </c>
      <c r="AE200" s="236">
        <v>4275760</v>
      </c>
      <c r="AF200" s="236">
        <v>2528220</v>
      </c>
      <c r="AG200" s="236"/>
      <c r="AH200" s="236"/>
      <c r="AI200" s="236"/>
      <c r="AJ200" s="236"/>
      <c r="AK200" s="236"/>
      <c r="AL200" s="236"/>
      <c r="AM200" s="236"/>
      <c r="AN200" s="236"/>
      <c r="AO200" s="236"/>
      <c r="AP200" s="236"/>
      <c r="AQ200" s="236"/>
      <c r="AR200" s="236"/>
      <c r="AS200" s="236"/>
      <c r="AT200" s="369">
        <v>42052</v>
      </c>
      <c r="AU200" s="91">
        <f t="shared" si="10"/>
        <v>10978240</v>
      </c>
    </row>
    <row r="201" spans="1:49" ht="34.5" hidden="1" customHeight="1" x14ac:dyDescent="0.25">
      <c r="A201" s="85">
        <v>195</v>
      </c>
      <c r="B201" s="2" t="str">
        <f>+'Base de Datos'!E201</f>
        <v>140186-0-2014</v>
      </c>
      <c r="C201" s="2" t="str">
        <f>+'Base de Datos'!F201</f>
        <v>SECURITYCOM S.A.S</v>
      </c>
      <c r="D201" s="2">
        <f>+'Base de Datos'!G201</f>
        <v>900587953</v>
      </c>
      <c r="E201" s="2" t="str">
        <f>+'Base de Datos'!H201</f>
        <v>Prestar servicio de mantenimiento preventivo y correctivo con suministro de repuestos del sistema de alarmas de emergencias y botones de pánico ubicados en la sedes del  Concejo de Bogotá D.C., de conformidad con lo establecido en la invitación pública del proceso SDH-SMINC-06-2014</v>
      </c>
      <c r="F201" s="8">
        <v>2122000</v>
      </c>
      <c r="G201" s="6">
        <v>41752</v>
      </c>
      <c r="H201" s="64">
        <v>42116</v>
      </c>
      <c r="I201" s="183"/>
      <c r="J201" s="359"/>
      <c r="K201" s="183"/>
      <c r="L201" s="359"/>
      <c r="M201" s="183"/>
      <c r="N201" s="359"/>
      <c r="O201" s="183"/>
      <c r="P201" s="359"/>
      <c r="Q201" s="86">
        <f t="shared" si="12"/>
        <v>0</v>
      </c>
      <c r="R201" s="372"/>
      <c r="S201" s="370"/>
      <c r="T201" s="372"/>
      <c r="U201" s="370"/>
      <c r="V201" s="372"/>
      <c r="W201" s="370"/>
      <c r="X201" s="372"/>
      <c r="Y201" s="370"/>
      <c r="Z201" s="376"/>
      <c r="AA201" s="88">
        <f t="shared" ref="AA201:AA251" si="13">MAX(S201,U201,W201,Y201)</f>
        <v>0</v>
      </c>
      <c r="AB201" s="236">
        <v>725000</v>
      </c>
      <c r="AC201" s="236">
        <v>353800</v>
      </c>
      <c r="AD201" s="236">
        <v>847000</v>
      </c>
      <c r="AE201" s="236">
        <v>196200</v>
      </c>
      <c r="AF201" s="236"/>
      <c r="AG201" s="236"/>
      <c r="AH201" s="236"/>
      <c r="AI201" s="236"/>
      <c r="AJ201" s="236"/>
      <c r="AK201" s="236"/>
      <c r="AL201" s="236"/>
      <c r="AM201" s="236"/>
      <c r="AN201" s="236"/>
      <c r="AO201" s="236"/>
      <c r="AP201" s="236"/>
      <c r="AQ201" s="236"/>
      <c r="AR201" s="236"/>
      <c r="AS201" s="236"/>
      <c r="AT201" s="369">
        <v>42093</v>
      </c>
      <c r="AU201" s="91">
        <f t="shared" si="10"/>
        <v>2122000</v>
      </c>
    </row>
    <row r="202" spans="1:49" ht="34.5" hidden="1" customHeight="1" x14ac:dyDescent="0.25">
      <c r="A202" s="85">
        <v>196</v>
      </c>
      <c r="B202" s="2" t="str">
        <f>+'Base de Datos'!E202</f>
        <v>140188-0-2014</v>
      </c>
      <c r="C202" s="2" t="str">
        <f>+'Base de Datos'!F202</f>
        <v>HERNANDO  BULLA ORJUELA</v>
      </c>
      <c r="D202" s="2">
        <f>+'Base de Datos'!G202</f>
        <v>4831</v>
      </c>
      <c r="E202" s="2" t="str">
        <f>+'Base de Datos'!H202</f>
        <v>Prestar el servicio de mantenimiento preventivo y correctivo con suministro de repuestos del parque automotor marca Chevrolet al servicio del Concejo de Bogotá D.C. de conformidad con lo establecido en la invitación pública del proceso No SDH-SMINc-015-2014 y la propuesta presentada por el contratista.</v>
      </c>
      <c r="F202" s="8">
        <v>20872000</v>
      </c>
      <c r="G202" s="6">
        <v>41757</v>
      </c>
      <c r="H202" s="64">
        <v>42062</v>
      </c>
      <c r="I202" s="183">
        <v>10346000</v>
      </c>
      <c r="J202" s="359">
        <v>42002</v>
      </c>
      <c r="K202" s="183"/>
      <c r="L202" s="359"/>
      <c r="M202" s="183"/>
      <c r="N202" s="359"/>
      <c r="O202" s="183"/>
      <c r="P202" s="359"/>
      <c r="Q202" s="86">
        <f t="shared" si="12"/>
        <v>10346000</v>
      </c>
      <c r="R202" s="372" t="s">
        <v>381</v>
      </c>
      <c r="S202" s="370">
        <v>42091</v>
      </c>
      <c r="T202" s="372"/>
      <c r="U202" s="370"/>
      <c r="V202" s="372"/>
      <c r="W202" s="370"/>
      <c r="X202" s="372"/>
      <c r="Y202" s="370"/>
      <c r="Z202" s="376" t="s">
        <v>1595</v>
      </c>
      <c r="AA202" s="88">
        <f t="shared" si="13"/>
        <v>42091</v>
      </c>
      <c r="AB202" s="236">
        <v>3156551</v>
      </c>
      <c r="AC202" s="236">
        <v>3448243</v>
      </c>
      <c r="AD202" s="236">
        <v>2224165</v>
      </c>
      <c r="AE202" s="236">
        <v>1857798</v>
      </c>
      <c r="AF202" s="236">
        <v>6957367</v>
      </c>
      <c r="AG202" s="236">
        <v>2340699</v>
      </c>
      <c r="AH202" s="236">
        <v>9586604</v>
      </c>
      <c r="AI202" s="236"/>
      <c r="AJ202" s="236"/>
      <c r="AK202" s="236"/>
      <c r="AL202" s="236"/>
      <c r="AM202" s="236"/>
      <c r="AN202" s="236"/>
      <c r="AO202" s="236"/>
      <c r="AP202" s="236"/>
      <c r="AQ202" s="236"/>
      <c r="AR202" s="236"/>
      <c r="AS202" s="236"/>
      <c r="AT202" s="369">
        <v>42131</v>
      </c>
      <c r="AU202" s="91">
        <f t="shared" si="10"/>
        <v>29571427</v>
      </c>
    </row>
    <row r="203" spans="1:49" ht="34.5" hidden="1" customHeight="1" x14ac:dyDescent="0.25">
      <c r="A203" s="85">
        <v>197</v>
      </c>
      <c r="B203" s="2" t="str">
        <f>+'Base de Datos'!E203</f>
        <v>140190-0-2014</v>
      </c>
      <c r="C203" s="2" t="str">
        <f>+'Base de Datos'!F203</f>
        <v>GAMMA INGENIEROS S A</v>
      </c>
      <c r="D203" s="2">
        <f>+'Base de Datos'!G203</f>
        <v>891501783</v>
      </c>
      <c r="E203" s="2" t="str">
        <f>+'Base de Datos'!H203</f>
        <v>Alquiler del dispositivo de Hw y Sw (tipo aplliance) en tecnología UTM para controlar y administrar la seguridad perimetral y las aplicaciones Web, para el Concejo de Bogotá de conformidad con lo establecido en la invitación Publica SDH-SMINC-16-2014</v>
      </c>
      <c r="F203" s="8">
        <v>12145200</v>
      </c>
      <c r="G203" s="6">
        <v>41764</v>
      </c>
      <c r="H203" s="64">
        <v>41855</v>
      </c>
      <c r="I203" s="373">
        <v>6072600</v>
      </c>
      <c r="J203" s="359"/>
      <c r="K203" s="183"/>
      <c r="L203" s="359"/>
      <c r="M203" s="183"/>
      <c r="N203" s="359"/>
      <c r="O203" s="183"/>
      <c r="P203" s="359"/>
      <c r="Q203" s="86">
        <f t="shared" si="12"/>
        <v>6072600</v>
      </c>
      <c r="R203" s="372" t="s">
        <v>978</v>
      </c>
      <c r="S203" s="370">
        <v>41901</v>
      </c>
      <c r="T203" s="372"/>
      <c r="U203" s="370"/>
      <c r="V203" s="372"/>
      <c r="W203" s="370"/>
      <c r="X203" s="372"/>
      <c r="Y203" s="370"/>
      <c r="Z203" s="376" t="s">
        <v>978</v>
      </c>
      <c r="AA203" s="88">
        <f t="shared" si="13"/>
        <v>41901</v>
      </c>
      <c r="AB203" s="236">
        <v>4048400</v>
      </c>
      <c r="AC203" s="236">
        <v>4048400</v>
      </c>
      <c r="AD203" s="236">
        <v>4048400</v>
      </c>
      <c r="AE203" s="236">
        <v>6072600</v>
      </c>
      <c r="AF203" s="236"/>
      <c r="AG203" s="236"/>
      <c r="AH203" s="236"/>
      <c r="AI203" s="236"/>
      <c r="AJ203" s="236"/>
      <c r="AK203" s="236"/>
      <c r="AL203" s="236"/>
      <c r="AM203" s="236"/>
      <c r="AN203" s="236"/>
      <c r="AO203" s="236"/>
      <c r="AP203" s="236"/>
      <c r="AQ203" s="236"/>
      <c r="AR203" s="236"/>
      <c r="AS203" s="236"/>
      <c r="AT203" s="369">
        <v>0</v>
      </c>
      <c r="AU203" s="91">
        <f t="shared" si="10"/>
        <v>18217800</v>
      </c>
    </row>
    <row r="204" spans="1:49" ht="34.5" hidden="1" customHeight="1" x14ac:dyDescent="0.25">
      <c r="A204" s="85">
        <v>198</v>
      </c>
      <c r="B204" s="2" t="str">
        <f>+'Base de Datos'!E204</f>
        <v>140191-0-2014</v>
      </c>
      <c r="C204" s="2" t="str">
        <f>+'Base de Datos'!F204</f>
        <v>KONNEN SERVICES    S.A.S</v>
      </c>
      <c r="D204" s="2">
        <f>+'Base de Datos'!G204</f>
        <v>900414308</v>
      </c>
      <c r="E204" s="2" t="str">
        <f>+'Base de Datos'!H204</f>
        <v>Adquirir diademas de un solo auricular para el concejo de Bogotá D.C., de conformidad con lo establecido en la invitación pública del proceso No SDH-SMINC-13-2014 y la propuesta presentada por el contratista.</v>
      </c>
      <c r="F204" s="8">
        <v>1700007</v>
      </c>
      <c r="G204" s="6">
        <v>41757</v>
      </c>
      <c r="H204" s="64">
        <v>41817</v>
      </c>
      <c r="I204" s="183"/>
      <c r="J204" s="359"/>
      <c r="K204" s="183"/>
      <c r="L204" s="359"/>
      <c r="M204" s="183"/>
      <c r="N204" s="359"/>
      <c r="O204" s="183"/>
      <c r="P204" s="359"/>
      <c r="Q204" s="86">
        <f t="shared" si="12"/>
        <v>0</v>
      </c>
      <c r="R204" s="372"/>
      <c r="S204" s="370"/>
      <c r="T204" s="372"/>
      <c r="U204" s="370"/>
      <c r="V204" s="372"/>
      <c r="W204" s="370"/>
      <c r="X204" s="372"/>
      <c r="Y204" s="370"/>
      <c r="Z204" s="376"/>
      <c r="AA204" s="88">
        <f t="shared" si="13"/>
        <v>0</v>
      </c>
      <c r="AB204" s="236">
        <v>1700000</v>
      </c>
      <c r="AC204" s="236"/>
      <c r="AD204" s="236"/>
      <c r="AE204" s="236"/>
      <c r="AF204" s="236"/>
      <c r="AG204" s="236"/>
      <c r="AH204" s="236"/>
      <c r="AI204" s="236"/>
      <c r="AJ204" s="236"/>
      <c r="AK204" s="236"/>
      <c r="AL204" s="236"/>
      <c r="AM204" s="236"/>
      <c r="AN204" s="236"/>
      <c r="AO204" s="236"/>
      <c r="AP204" s="236"/>
      <c r="AQ204" s="236"/>
      <c r="AR204" s="236"/>
      <c r="AS204" s="236"/>
      <c r="AT204" s="369">
        <v>0</v>
      </c>
      <c r="AU204" s="91">
        <f t="shared" si="10"/>
        <v>1700000</v>
      </c>
    </row>
    <row r="205" spans="1:49" ht="34.5" hidden="1" customHeight="1" x14ac:dyDescent="0.25">
      <c r="A205" s="85">
        <v>199</v>
      </c>
      <c r="B205" s="2" t="str">
        <f>+'Base de Datos'!E205</f>
        <v>140193-0-2014</v>
      </c>
      <c r="C205" s="2" t="str">
        <f>+'Base de Datos'!F205</f>
        <v>GRANADOS Y CONDECORACIONES</v>
      </c>
      <c r="D205" s="2">
        <f>+'Base de Datos'!G205</f>
        <v>830055827</v>
      </c>
      <c r="E205" s="2" t="str">
        <f>+'Base de Datos'!H205</f>
        <v>Suministrar elementos de promoción institucional y actos protocolarios del Concejo de Bogotá D.C.,  de conformidad con lo establecido en la Invitación Pública No. SDH-SMINC-010-2014</v>
      </c>
      <c r="F205" s="8">
        <v>32631000</v>
      </c>
      <c r="G205" s="6">
        <v>41753</v>
      </c>
      <c r="H205" s="64">
        <v>42117</v>
      </c>
      <c r="I205" s="183"/>
      <c r="J205" s="359"/>
      <c r="K205" s="183"/>
      <c r="L205" s="359"/>
      <c r="M205" s="183"/>
      <c r="N205" s="359"/>
      <c r="O205" s="183"/>
      <c r="P205" s="359"/>
      <c r="Q205" s="86">
        <f t="shared" si="12"/>
        <v>0</v>
      </c>
      <c r="R205" s="372"/>
      <c r="S205" s="370"/>
      <c r="T205" s="372"/>
      <c r="U205" s="370"/>
      <c r="V205" s="372"/>
      <c r="W205" s="370"/>
      <c r="X205" s="372"/>
      <c r="Y205" s="370"/>
      <c r="Z205" s="376"/>
      <c r="AA205" s="88">
        <f t="shared" si="13"/>
        <v>0</v>
      </c>
      <c r="AB205" s="236">
        <v>10513943</v>
      </c>
      <c r="AC205" s="236">
        <v>2255957</v>
      </c>
      <c r="AD205" s="236">
        <v>3091983</v>
      </c>
      <c r="AE205" s="236">
        <v>16732748</v>
      </c>
      <c r="AF205" s="236"/>
      <c r="AG205" s="236"/>
      <c r="AH205" s="236"/>
      <c r="AI205" s="236"/>
      <c r="AJ205" s="236"/>
      <c r="AK205" s="236"/>
      <c r="AL205" s="236"/>
      <c r="AM205" s="236"/>
      <c r="AN205" s="236"/>
      <c r="AO205" s="236"/>
      <c r="AP205" s="236"/>
      <c r="AQ205" s="236"/>
      <c r="AR205" s="236"/>
      <c r="AS205" s="236"/>
      <c r="AT205" s="369">
        <v>42202</v>
      </c>
      <c r="AU205" s="91">
        <f t="shared" si="10"/>
        <v>32594631</v>
      </c>
    </row>
    <row r="206" spans="1:49" ht="34.5" hidden="1" customHeight="1" x14ac:dyDescent="0.25">
      <c r="A206" s="85">
        <v>200</v>
      </c>
      <c r="B206" s="2" t="str">
        <f>+'Base de Datos'!E206</f>
        <v>140198-0-2014</v>
      </c>
      <c r="C206" s="2" t="str">
        <f>+'Base de Datos'!F206</f>
        <v>A&amp;V EXPRESS S.A.</v>
      </c>
      <c r="D206" s="2">
        <f>+'Base de Datos'!G206</f>
        <v>830055842</v>
      </c>
      <c r="E206" s="2" t="str">
        <f>+'Base de Datos'!H206</f>
        <v>Contratar la prestación de los servicios de mensajería expresa masiva para el Concejo de Bogotá de conformidad con lo establecido en el pliego de condiciones y documentos soportes del proceso de selección SDH-SIE-001-2014 y a la propuesta presentada</v>
      </c>
      <c r="F206" s="8">
        <v>40000000</v>
      </c>
      <c r="G206" s="6">
        <v>41807</v>
      </c>
      <c r="H206" s="64">
        <v>42051</v>
      </c>
      <c r="I206" s="183">
        <v>5100746</v>
      </c>
      <c r="J206" s="359">
        <v>42039</v>
      </c>
      <c r="K206" s="183"/>
      <c r="L206" s="359"/>
      <c r="M206" s="183"/>
      <c r="N206" s="359"/>
      <c r="O206" s="183"/>
      <c r="P206" s="359"/>
      <c r="Q206" s="86">
        <f t="shared" si="12"/>
        <v>5100746</v>
      </c>
      <c r="R206" s="372" t="s">
        <v>378</v>
      </c>
      <c r="S206" s="370">
        <v>42110</v>
      </c>
      <c r="T206" s="372" t="s">
        <v>1831</v>
      </c>
      <c r="U206" s="370">
        <v>42128</v>
      </c>
      <c r="V206" s="372"/>
      <c r="W206" s="370"/>
      <c r="X206" s="372"/>
      <c r="Y206" s="370"/>
      <c r="Z206" s="376" t="s">
        <v>1832</v>
      </c>
      <c r="AA206" s="88">
        <f t="shared" si="13"/>
        <v>42128</v>
      </c>
      <c r="AB206" s="236">
        <v>1923457</v>
      </c>
      <c r="AC206" s="236">
        <v>4140691</v>
      </c>
      <c r="AD206" s="236">
        <v>4156713</v>
      </c>
      <c r="AE206" s="236">
        <v>4268400</v>
      </c>
      <c r="AF206" s="236">
        <v>4254733</v>
      </c>
      <c r="AG206" s="236">
        <v>4375845</v>
      </c>
      <c r="AH206" s="236">
        <v>4538426</v>
      </c>
      <c r="AI206" s="236">
        <v>4109588</v>
      </c>
      <c r="AJ206" s="236">
        <v>8417580</v>
      </c>
      <c r="AK206" s="236">
        <v>4175272</v>
      </c>
      <c r="AL206" s="236">
        <v>684295</v>
      </c>
      <c r="AM206" s="236"/>
      <c r="AN206" s="236"/>
      <c r="AO206" s="236"/>
      <c r="AP206" s="236"/>
      <c r="AQ206" s="236"/>
      <c r="AR206" s="236"/>
      <c r="AS206" s="236"/>
      <c r="AT206" s="369">
        <v>42186</v>
      </c>
      <c r="AU206" s="91">
        <f t="shared" si="10"/>
        <v>45045000</v>
      </c>
    </row>
    <row r="207" spans="1:49" s="57" customFormat="1" ht="34.5" hidden="1" customHeight="1" x14ac:dyDescent="0.25">
      <c r="A207" s="85">
        <v>201</v>
      </c>
      <c r="B207" s="2" t="str">
        <f>+'Base de Datos'!E207</f>
        <v>140200-0-2014</v>
      </c>
      <c r="C207" s="2" t="str">
        <f>+'Base de Datos'!F207</f>
        <v>UNIDAD NACIONAL DE PROTECCIÓN  UNP</v>
      </c>
      <c r="D207" s="2">
        <f>+'Base de Datos'!G207</f>
        <v>0</v>
      </c>
      <c r="E207" s="2" t="str">
        <f>+'Base de Datos'!H207</f>
        <v>Aunar esfuerzos humanos, técnicos, logísticos y administrativos para garantizar la protección integral de los miembros del Concejo de Bogotá que se encuentren en situación de riesgo extraordinario o extremo como consecuencia directa del ejercicio de las funciones del cargo de elección popular en el cual se encuentran posesionados.</v>
      </c>
      <c r="F207" s="8">
        <v>0</v>
      </c>
      <c r="G207" s="138">
        <v>41782</v>
      </c>
      <c r="H207" s="138">
        <v>43607</v>
      </c>
      <c r="I207" s="183"/>
      <c r="J207" s="359"/>
      <c r="K207" s="183"/>
      <c r="L207" s="359"/>
      <c r="M207" s="183"/>
      <c r="N207" s="359"/>
      <c r="O207" s="183"/>
      <c r="P207" s="359"/>
      <c r="Q207" s="86">
        <f t="shared" si="12"/>
        <v>0</v>
      </c>
      <c r="R207" s="372" t="s">
        <v>4960</v>
      </c>
      <c r="S207" s="370">
        <v>43890</v>
      </c>
      <c r="T207" s="372"/>
      <c r="U207" s="370"/>
      <c r="V207" s="372"/>
      <c r="W207" s="370"/>
      <c r="X207" s="372"/>
      <c r="Y207" s="370"/>
      <c r="Z207" s="372" t="s">
        <v>4960</v>
      </c>
      <c r="AA207" s="88">
        <f t="shared" si="13"/>
        <v>43890</v>
      </c>
      <c r="AB207" s="236"/>
      <c r="AC207" s="236"/>
      <c r="AD207" s="236"/>
      <c r="AE207" s="236"/>
      <c r="AF207" s="236"/>
      <c r="AG207" s="236"/>
      <c r="AH207" s="236"/>
      <c r="AI207" s="236"/>
      <c r="AJ207" s="236"/>
      <c r="AK207" s="236"/>
      <c r="AL207" s="236"/>
      <c r="AM207" s="236"/>
      <c r="AN207" s="236"/>
      <c r="AO207" s="236"/>
      <c r="AP207" s="236"/>
      <c r="AQ207" s="236"/>
      <c r="AR207" s="236"/>
      <c r="AS207" s="236"/>
      <c r="AT207" s="369">
        <v>0</v>
      </c>
      <c r="AU207" s="91"/>
      <c r="AV207" s="14"/>
      <c r="AW207" s="1"/>
    </row>
    <row r="208" spans="1:49" ht="34.5" hidden="1" customHeight="1" x14ac:dyDescent="0.25">
      <c r="A208" s="85">
        <v>202</v>
      </c>
      <c r="B208" s="2" t="str">
        <f>+'Base de Datos'!E208</f>
        <v>140201-0-2014</v>
      </c>
      <c r="C208" s="2" t="str">
        <f>+'Base de Datos'!F208</f>
        <v>UNIPLES S.A.</v>
      </c>
      <c r="D208" s="2">
        <f>+'Base de Datos'!G208</f>
        <v>811021363</v>
      </c>
      <c r="E208" s="2" t="str">
        <f>+'Base de Datos'!H208</f>
        <v>La adquisición de medios magnéticos para copias de respaldo, para la Secretaria distrital de Hacienda y el Concejo de Bogotá, de conformidad con lo establecido en la invitación publica SDH-SMINC-020-2014.</v>
      </c>
      <c r="F208" s="8">
        <v>9998117</v>
      </c>
      <c r="G208" s="6">
        <v>41794</v>
      </c>
      <c r="H208" s="64">
        <v>41855</v>
      </c>
      <c r="I208" s="183"/>
      <c r="J208" s="359"/>
      <c r="K208" s="183"/>
      <c r="L208" s="359"/>
      <c r="M208" s="183"/>
      <c r="N208" s="359"/>
      <c r="O208" s="183"/>
      <c r="P208" s="359"/>
      <c r="Q208" s="86">
        <f t="shared" si="12"/>
        <v>0</v>
      </c>
      <c r="R208" s="372"/>
      <c r="S208" s="370"/>
      <c r="T208" s="372"/>
      <c r="U208" s="370"/>
      <c r="V208" s="372"/>
      <c r="W208" s="370"/>
      <c r="X208" s="372"/>
      <c r="Y208" s="370"/>
      <c r="Z208" s="186"/>
      <c r="AA208" s="88">
        <f t="shared" si="13"/>
        <v>0</v>
      </c>
      <c r="AB208" s="236">
        <v>9998097</v>
      </c>
      <c r="AC208" s="236"/>
      <c r="AD208" s="236"/>
      <c r="AE208" s="236"/>
      <c r="AF208" s="236"/>
      <c r="AG208" s="236"/>
      <c r="AH208" s="236"/>
      <c r="AI208" s="236"/>
      <c r="AJ208" s="236"/>
      <c r="AK208" s="236"/>
      <c r="AL208" s="236"/>
      <c r="AM208" s="236"/>
      <c r="AN208" s="236"/>
      <c r="AO208" s="236"/>
      <c r="AP208" s="236"/>
      <c r="AQ208" s="236"/>
      <c r="AR208" s="236"/>
      <c r="AS208" s="236"/>
      <c r="AT208" s="369">
        <v>0</v>
      </c>
      <c r="AU208" s="91">
        <f t="shared" si="10"/>
        <v>9998097</v>
      </c>
    </row>
    <row r="209" spans="1:49" ht="34.5" hidden="1" customHeight="1" x14ac:dyDescent="0.25">
      <c r="A209" s="85">
        <v>203</v>
      </c>
      <c r="B209" s="2" t="str">
        <f>+'Base de Datos'!E209</f>
        <v>140260-0-2014</v>
      </c>
      <c r="C209" s="2" t="str">
        <f>+'Base de Datos'!F209</f>
        <v>IDENTICO SAS</v>
      </c>
      <c r="D209" s="2">
        <f>+'Base de Datos'!G209</f>
        <v>800199498</v>
      </c>
      <c r="E209" s="2" t="str">
        <f>+'Base de Datos'!H209</f>
        <v>Adquisición de impresoras de tarjetas para el Concejo de Bogotá, D.C.</v>
      </c>
      <c r="F209" s="8">
        <v>14975600</v>
      </c>
      <c r="G209" s="6">
        <v>41871</v>
      </c>
      <c r="H209" s="64">
        <v>41932</v>
      </c>
      <c r="I209" s="183"/>
      <c r="J209" s="359"/>
      <c r="K209" s="183"/>
      <c r="L209" s="359"/>
      <c r="M209" s="183"/>
      <c r="N209" s="359"/>
      <c r="O209" s="183"/>
      <c r="P209" s="359"/>
      <c r="Q209" s="86">
        <f t="shared" si="12"/>
        <v>0</v>
      </c>
      <c r="R209" s="372"/>
      <c r="S209" s="370"/>
      <c r="T209" s="372"/>
      <c r="U209" s="370"/>
      <c r="V209" s="372"/>
      <c r="W209" s="370"/>
      <c r="X209" s="372"/>
      <c r="Y209" s="370"/>
      <c r="Z209" s="376"/>
      <c r="AA209" s="88">
        <f t="shared" si="13"/>
        <v>0</v>
      </c>
      <c r="AB209" s="236">
        <v>14975600</v>
      </c>
      <c r="AC209" s="236"/>
      <c r="AD209" s="236"/>
      <c r="AE209" s="236"/>
      <c r="AF209" s="236"/>
      <c r="AG209" s="236"/>
      <c r="AH209" s="236"/>
      <c r="AI209" s="236"/>
      <c r="AJ209" s="236"/>
      <c r="AK209" s="236"/>
      <c r="AL209" s="236"/>
      <c r="AM209" s="236"/>
      <c r="AN209" s="236"/>
      <c r="AO209" s="236"/>
      <c r="AP209" s="236"/>
      <c r="AQ209" s="236"/>
      <c r="AR209" s="236"/>
      <c r="AS209" s="236"/>
      <c r="AT209" s="369">
        <v>41974</v>
      </c>
      <c r="AU209" s="91">
        <f t="shared" si="10"/>
        <v>14975600</v>
      </c>
    </row>
    <row r="210" spans="1:49" ht="34.5" hidden="1" customHeight="1" x14ac:dyDescent="0.25">
      <c r="A210" s="85">
        <v>204</v>
      </c>
      <c r="B210" s="2" t="str">
        <f>+'Base de Datos'!E210</f>
        <v>140207-0-2014</v>
      </c>
      <c r="C210" s="2" t="str">
        <f>+'Base de Datos'!F210</f>
        <v>MUDANZAS EL NOGAL SAS</v>
      </c>
      <c r="D210" s="2">
        <f>+'Base de Datos'!G210</f>
        <v>900599628</v>
      </c>
      <c r="E210" s="2" t="str">
        <f>+'Base de Datos'!H210</f>
        <v>Servicio de transporte de bienes muebles, equipos de oficina y cajas de archivo documental para el Concejo de Bogotá D.C., de conformidad con lo establecido en la invitación publica del proceso SDH-SMINC-22-2014</v>
      </c>
      <c r="F210" s="8">
        <v>12000000</v>
      </c>
      <c r="G210" s="6">
        <v>41824</v>
      </c>
      <c r="H210" s="64">
        <v>42066</v>
      </c>
      <c r="I210" s="183"/>
      <c r="J210" s="359"/>
      <c r="K210" s="183"/>
      <c r="L210" s="359"/>
      <c r="M210" s="183"/>
      <c r="N210" s="359"/>
      <c r="O210" s="183"/>
      <c r="P210" s="359"/>
      <c r="Q210" s="86">
        <f t="shared" si="12"/>
        <v>0</v>
      </c>
      <c r="R210" s="372" t="s">
        <v>378</v>
      </c>
      <c r="S210" s="370">
        <v>42128</v>
      </c>
      <c r="T210" s="372" t="s">
        <v>382</v>
      </c>
      <c r="U210" s="370">
        <v>42312</v>
      </c>
      <c r="V210" s="372"/>
      <c r="W210" s="370"/>
      <c r="X210" s="372"/>
      <c r="Y210" s="370"/>
      <c r="Z210" s="376" t="s">
        <v>1855</v>
      </c>
      <c r="AA210" s="88">
        <f t="shared" si="13"/>
        <v>42312</v>
      </c>
      <c r="AB210" s="236">
        <v>5250000</v>
      </c>
      <c r="AC210" s="236">
        <v>1800000</v>
      </c>
      <c r="AD210" s="236">
        <v>1500000</v>
      </c>
      <c r="AE210" s="236">
        <v>2250000</v>
      </c>
      <c r="AF210" s="236"/>
      <c r="AG210" s="236"/>
      <c r="AH210" s="236"/>
      <c r="AI210" s="236"/>
      <c r="AJ210" s="236"/>
      <c r="AK210" s="236"/>
      <c r="AL210" s="236"/>
      <c r="AM210" s="236"/>
      <c r="AN210" s="236"/>
      <c r="AO210" s="236"/>
      <c r="AP210" s="236"/>
      <c r="AQ210" s="236"/>
      <c r="AR210" s="236"/>
      <c r="AS210" s="236"/>
      <c r="AT210" s="369">
        <v>42347</v>
      </c>
      <c r="AU210" s="91">
        <f t="shared" si="10"/>
        <v>10800000</v>
      </c>
    </row>
    <row r="211" spans="1:49" ht="34.5" hidden="1" customHeight="1" x14ac:dyDescent="0.25">
      <c r="A211" s="85">
        <v>205</v>
      </c>
      <c r="B211" s="2" t="str">
        <f>+'Base de Datos'!E211</f>
        <v>140212-0-2014</v>
      </c>
      <c r="C211" s="2" t="str">
        <f>+'Base de Datos'!F211</f>
        <v>TECNOLOGÍA BIOMÉDICA</v>
      </c>
      <c r="D211" s="2">
        <f>+'Base de Datos'!G211</f>
        <v>900207129</v>
      </c>
      <c r="E211" s="2" t="str">
        <f>+'Base de Datos'!H211</f>
        <v>Adquirir a titulo de compraventa elementos, medicamentos e insumos para dotar el consultorio medico y los botiquines del Concejo de Bogotá D.C., de conformidad con lo establecido en la invitación publica SDH-SMINC-26-2014</v>
      </c>
      <c r="F211" s="8">
        <v>5719790</v>
      </c>
      <c r="G211" s="6">
        <v>41807</v>
      </c>
      <c r="H211" s="64">
        <v>41867</v>
      </c>
      <c r="I211" s="183"/>
      <c r="J211" s="359"/>
      <c r="K211" s="183"/>
      <c r="L211" s="359"/>
      <c r="M211" s="183"/>
      <c r="N211" s="359"/>
      <c r="O211" s="183"/>
      <c r="P211" s="359"/>
      <c r="Q211" s="86">
        <f t="shared" si="12"/>
        <v>0</v>
      </c>
      <c r="R211" s="372"/>
      <c r="S211" s="370"/>
      <c r="T211" s="372"/>
      <c r="U211" s="370"/>
      <c r="V211" s="372"/>
      <c r="W211" s="370"/>
      <c r="X211" s="372"/>
      <c r="Y211" s="370"/>
      <c r="Z211" s="376"/>
      <c r="AA211" s="88">
        <f t="shared" si="13"/>
        <v>0</v>
      </c>
      <c r="AB211" s="236">
        <v>5719790</v>
      </c>
      <c r="AC211" s="236"/>
      <c r="AD211" s="236"/>
      <c r="AE211" s="236"/>
      <c r="AF211" s="236"/>
      <c r="AG211" s="236"/>
      <c r="AH211" s="236"/>
      <c r="AI211" s="236"/>
      <c r="AJ211" s="236"/>
      <c r="AK211" s="236"/>
      <c r="AL211" s="236"/>
      <c r="AM211" s="236"/>
      <c r="AN211" s="236"/>
      <c r="AO211" s="236"/>
      <c r="AP211" s="236"/>
      <c r="AQ211" s="236"/>
      <c r="AR211" s="236"/>
      <c r="AS211" s="236"/>
      <c r="AT211" s="369">
        <v>0</v>
      </c>
      <c r="AU211" s="91">
        <f t="shared" si="10"/>
        <v>5719790</v>
      </c>
    </row>
    <row r="212" spans="1:49" ht="34.5" hidden="1" customHeight="1" x14ac:dyDescent="0.25">
      <c r="A212" s="85">
        <v>206</v>
      </c>
      <c r="B212" s="2" t="str">
        <f>+'Base de Datos'!E212</f>
        <v>140215-0-2014</v>
      </c>
      <c r="C212" s="2" t="str">
        <f>+'Base de Datos'!F212</f>
        <v xml:space="preserve">UNIÓN TEMPORAL EMINSER-SOLOASEO </v>
      </c>
      <c r="D212" s="2">
        <f>+'Base de Datos'!G212</f>
        <v>900548648</v>
      </c>
      <c r="E212" s="2" t="str">
        <f>+'Base de Datos'!H212</f>
        <v>Presentar los servicios integrales de aseo y cafetería y servicio de fumigación para las instalaciones del Concejo de Bogotá, y los inmuebles por lo que sea legalmente responsables, según el pliego de condiciones de la subasta inversa electrónica SDH-SIE-03-201 y la propuesta presentada.</v>
      </c>
      <c r="F212" s="8">
        <v>337487000</v>
      </c>
      <c r="G212" s="6">
        <v>41811</v>
      </c>
      <c r="H212" s="64">
        <v>42100</v>
      </c>
      <c r="I212" s="183"/>
      <c r="J212" s="359"/>
      <c r="K212" s="183"/>
      <c r="L212" s="359"/>
      <c r="M212" s="183"/>
      <c r="N212" s="359"/>
      <c r="O212" s="183"/>
      <c r="P212" s="359"/>
      <c r="Q212" s="86">
        <f t="shared" si="12"/>
        <v>0</v>
      </c>
      <c r="R212" s="372" t="s">
        <v>1872</v>
      </c>
      <c r="S212" s="370">
        <v>42170</v>
      </c>
      <c r="T212" s="372" t="s">
        <v>2001</v>
      </c>
      <c r="U212" s="370">
        <v>42186</v>
      </c>
      <c r="V212" s="372"/>
      <c r="W212" s="370"/>
      <c r="X212" s="372"/>
      <c r="Y212" s="370"/>
      <c r="Z212" s="376" t="s">
        <v>2002</v>
      </c>
      <c r="AA212" s="88">
        <f t="shared" si="13"/>
        <v>42186</v>
      </c>
      <c r="AB212" s="236">
        <f>36075679+20547950</f>
        <v>56623629</v>
      </c>
      <c r="AC212" s="236">
        <v>27000234</v>
      </c>
      <c r="AD212" s="236">
        <v>29525003</v>
      </c>
      <c r="AE212" s="236">
        <v>27820759</v>
      </c>
      <c r="AF212" s="236">
        <v>30064104</v>
      </c>
      <c r="AG212" s="236">
        <v>32042827</v>
      </c>
      <c r="AH212" s="236">
        <v>29899552</v>
      </c>
      <c r="AI212" s="236">
        <v>15669405</v>
      </c>
      <c r="AJ212" s="236">
        <v>41063072</v>
      </c>
      <c r="AK212" s="236">
        <v>16587092</v>
      </c>
      <c r="AL212" s="236">
        <v>30675662</v>
      </c>
      <c r="AM212" s="236">
        <v>515659</v>
      </c>
      <c r="AN212" s="236"/>
      <c r="AO212" s="236"/>
      <c r="AP212" s="236"/>
      <c r="AQ212" s="236"/>
      <c r="AR212" s="236"/>
      <c r="AS212" s="236"/>
      <c r="AT212" s="369">
        <v>42894</v>
      </c>
      <c r="AU212" s="91">
        <f t="shared" si="10"/>
        <v>337486998</v>
      </c>
    </row>
    <row r="213" spans="1:49" ht="34.5" hidden="1" customHeight="1" x14ac:dyDescent="0.25">
      <c r="A213" s="85">
        <v>207</v>
      </c>
      <c r="B213" s="2" t="str">
        <f>+'Base de Datos'!E213</f>
        <v>140216-0-2014</v>
      </c>
      <c r="C213" s="2" t="str">
        <f>+'Base de Datos'!F213</f>
        <v>UNIDAD NACIONAL DE PROTECCIÓN</v>
      </c>
      <c r="D213" s="2">
        <f>+'Base de Datos'!G213</f>
        <v>900475780</v>
      </c>
      <c r="E213" s="2" t="str">
        <f>+'Base de Datos'!H213</f>
        <v>Aunar esfuerzos humanos, técnicos, logísticos y administrativos para implementar el esquema de seguridad requerido por los Concejales del distrito Capital que se  encuentran en situación de riesgo extraordinario o extremo como consecuencia directa del ejercicio de sus funciones.</v>
      </c>
      <c r="F213" s="8">
        <v>2447846100</v>
      </c>
      <c r="G213" s="6">
        <v>41808</v>
      </c>
      <c r="H213" s="64">
        <v>42021</v>
      </c>
      <c r="I213" s="183">
        <v>1015608000</v>
      </c>
      <c r="J213" s="359">
        <v>41989</v>
      </c>
      <c r="K213" s="183"/>
      <c r="L213" s="359"/>
      <c r="M213" s="183"/>
      <c r="N213" s="359"/>
      <c r="O213" s="183"/>
      <c r="P213" s="359"/>
      <c r="Q213" s="86">
        <f t="shared" si="12"/>
        <v>1015608000</v>
      </c>
      <c r="R213" s="372" t="s">
        <v>379</v>
      </c>
      <c r="S213" s="370">
        <v>42111</v>
      </c>
      <c r="T213" s="372" t="s">
        <v>1634</v>
      </c>
      <c r="U213" s="370">
        <v>42116</v>
      </c>
      <c r="V213" s="372"/>
      <c r="W213" s="370"/>
      <c r="X213" s="372"/>
      <c r="Y213" s="370"/>
      <c r="Z213" s="376" t="s">
        <v>1635</v>
      </c>
      <c r="AA213" s="88">
        <f t="shared" si="13"/>
        <v>42116</v>
      </c>
      <c r="AB213" s="236">
        <v>2203061490</v>
      </c>
      <c r="AC213" s="236">
        <v>1117202140</v>
      </c>
      <c r="AD213" s="236"/>
      <c r="AE213" s="236"/>
      <c r="AF213" s="236"/>
      <c r="AG213" s="236"/>
      <c r="AH213" s="236"/>
      <c r="AI213" s="236"/>
      <c r="AJ213" s="236"/>
      <c r="AK213" s="236"/>
      <c r="AL213" s="236"/>
      <c r="AM213" s="236"/>
      <c r="AN213" s="236"/>
      <c r="AO213" s="236"/>
      <c r="AP213" s="236"/>
      <c r="AQ213" s="236"/>
      <c r="AR213" s="236"/>
      <c r="AS213" s="236"/>
      <c r="AT213" s="369">
        <v>42200</v>
      </c>
      <c r="AU213" s="91">
        <f t="shared" si="10"/>
        <v>3320263630</v>
      </c>
    </row>
    <row r="214" spans="1:49" ht="34.5" hidden="1" customHeight="1" x14ac:dyDescent="0.25">
      <c r="A214" s="85">
        <v>208</v>
      </c>
      <c r="B214" s="2" t="str">
        <f>+'Base de Datos'!E214</f>
        <v>140219-0-2014</v>
      </c>
      <c r="C214" s="2" t="str">
        <f>+'Base de Datos'!F214</f>
        <v>MARKETGROUP SAS</v>
      </c>
      <c r="D214" s="2">
        <f>+'Base de Datos'!G214</f>
        <v>900007203</v>
      </c>
      <c r="E214" s="2" t="str">
        <f>+'Base de Datos'!H214</f>
        <v>Adquisidor de chalecos tipo alpinista para el Concejo de Bogotá D.C., de conformidad con lo establecido en la invitación pública SDH-SMINC-032-2014.</v>
      </c>
      <c r="F214" s="8">
        <v>330000</v>
      </c>
      <c r="G214" s="6">
        <v>41841</v>
      </c>
      <c r="H214" s="64">
        <v>41872</v>
      </c>
      <c r="I214" s="183"/>
      <c r="J214" s="359"/>
      <c r="K214" s="183"/>
      <c r="L214" s="359"/>
      <c r="M214" s="183"/>
      <c r="N214" s="359"/>
      <c r="O214" s="183"/>
      <c r="P214" s="359"/>
      <c r="Q214" s="86">
        <f t="shared" si="12"/>
        <v>0</v>
      </c>
      <c r="R214" s="372"/>
      <c r="S214" s="370"/>
      <c r="T214" s="372"/>
      <c r="U214" s="370"/>
      <c r="V214" s="372"/>
      <c r="W214" s="370"/>
      <c r="X214" s="372"/>
      <c r="Y214" s="370"/>
      <c r="Z214" s="376"/>
      <c r="AA214" s="88">
        <f t="shared" si="13"/>
        <v>0</v>
      </c>
      <c r="AB214" s="236">
        <v>330000</v>
      </c>
      <c r="AC214" s="236"/>
      <c r="AD214" s="236"/>
      <c r="AE214" s="236"/>
      <c r="AF214" s="236"/>
      <c r="AG214" s="236"/>
      <c r="AH214" s="236"/>
      <c r="AI214" s="236"/>
      <c r="AJ214" s="236"/>
      <c r="AK214" s="236"/>
      <c r="AL214" s="236"/>
      <c r="AM214" s="236"/>
      <c r="AN214" s="236"/>
      <c r="AO214" s="236"/>
      <c r="AP214" s="236"/>
      <c r="AQ214" s="236"/>
      <c r="AR214" s="236"/>
      <c r="AS214" s="236"/>
      <c r="AT214" s="369">
        <v>0</v>
      </c>
      <c r="AU214" s="91">
        <f t="shared" si="10"/>
        <v>330000</v>
      </c>
    </row>
    <row r="215" spans="1:49" ht="34.5" hidden="1" customHeight="1" x14ac:dyDescent="0.25">
      <c r="A215" s="85">
        <v>209</v>
      </c>
      <c r="B215" s="2" t="str">
        <f>+'Base de Datos'!E215</f>
        <v>140220-0-2014</v>
      </c>
      <c r="C215" s="2" t="str">
        <f>+'Base de Datos'!F215</f>
        <v>ORGANIZACIÓN TERPEL S.A.</v>
      </c>
      <c r="D215" s="2">
        <f>+'Base de Datos'!G215</f>
        <v>830095213</v>
      </c>
      <c r="E215" s="2" t="str">
        <f>+'Base de Datos'!H215</f>
        <v>Suministro de combustible para el Concejo de Bogotá D.C.</v>
      </c>
      <c r="F215" s="8">
        <v>251750000</v>
      </c>
      <c r="G215" s="6">
        <v>41806</v>
      </c>
      <c r="H215" s="64">
        <v>41959</v>
      </c>
      <c r="I215" s="183"/>
      <c r="J215" s="359"/>
      <c r="K215" s="183"/>
      <c r="L215" s="359"/>
      <c r="M215" s="183"/>
      <c r="N215" s="359"/>
      <c r="O215" s="183"/>
      <c r="P215" s="359"/>
      <c r="Q215" s="86">
        <f t="shared" si="12"/>
        <v>0</v>
      </c>
      <c r="R215" s="372"/>
      <c r="S215" s="370"/>
      <c r="T215" s="372"/>
      <c r="U215" s="370"/>
      <c r="V215" s="372"/>
      <c r="W215" s="370"/>
      <c r="X215" s="372"/>
      <c r="Y215" s="370"/>
      <c r="Z215" s="376"/>
      <c r="AA215" s="88">
        <f t="shared" si="13"/>
        <v>0</v>
      </c>
      <c r="AB215" s="236">
        <v>23482811</v>
      </c>
      <c r="AC215" s="236">
        <v>20187835</v>
      </c>
      <c r="AD215" s="236">
        <v>19847211</v>
      </c>
      <c r="AE215" s="236">
        <v>18636522</v>
      </c>
      <c r="AF215" s="236">
        <v>20682732</v>
      </c>
      <c r="AG215" s="236">
        <v>18155074</v>
      </c>
      <c r="AH215" s="236">
        <v>16788023</v>
      </c>
      <c r="AI215" s="236">
        <v>21612754</v>
      </c>
      <c r="AJ215" s="236">
        <v>20158094</v>
      </c>
      <c r="AK215" s="236">
        <v>635625</v>
      </c>
      <c r="AL215" s="236"/>
      <c r="AM215" s="236"/>
      <c r="AN215" s="236"/>
      <c r="AO215" s="236"/>
      <c r="AP215" s="236"/>
      <c r="AQ215" s="236"/>
      <c r="AR215" s="236"/>
      <c r="AS215" s="236"/>
      <c r="AT215" s="369">
        <v>41999</v>
      </c>
      <c r="AU215" s="91">
        <f t="shared" si="10"/>
        <v>180186681</v>
      </c>
    </row>
    <row r="216" spans="1:49" s="57" customFormat="1" ht="34.5" hidden="1" customHeight="1" x14ac:dyDescent="0.25">
      <c r="A216" s="85">
        <v>210</v>
      </c>
      <c r="B216" s="2" t="str">
        <f>+'Base de Datos'!E216</f>
        <v>140221-0-2014</v>
      </c>
      <c r="C216" s="2" t="str">
        <f>+'Base de Datos'!F216</f>
        <v>INGENIERÍA DE BOMBAS Y PLANTAS LIMITADA</v>
      </c>
      <c r="D216" s="2">
        <f>+'Base de Datos'!G216</f>
        <v>900152368</v>
      </c>
      <c r="E216" s="2" t="str">
        <f>+'Base de Datos'!H216</f>
        <v>Prestar el servicio de mantenimiento preventivo y correctivo para los tanques de almacenamiento y equipos de bombeo hidráulicos de agua potable, residual y aguas negras de las instalaciones del  Concejo de Bogotá.</v>
      </c>
      <c r="F216" s="140">
        <v>6252000</v>
      </c>
      <c r="G216" s="138">
        <v>39864</v>
      </c>
      <c r="H216" s="138">
        <v>41476</v>
      </c>
      <c r="I216" s="183"/>
      <c r="J216" s="359"/>
      <c r="K216" s="183"/>
      <c r="L216" s="359"/>
      <c r="M216" s="183"/>
      <c r="N216" s="359"/>
      <c r="O216" s="183"/>
      <c r="P216" s="359"/>
      <c r="Q216" s="86">
        <f t="shared" si="12"/>
        <v>0</v>
      </c>
      <c r="R216" s="372"/>
      <c r="S216" s="370"/>
      <c r="T216" s="372"/>
      <c r="U216" s="370"/>
      <c r="V216" s="372"/>
      <c r="W216" s="370"/>
      <c r="X216" s="372"/>
      <c r="Y216" s="370"/>
      <c r="Z216" s="376"/>
      <c r="AA216" s="88">
        <f t="shared" si="13"/>
        <v>0</v>
      </c>
      <c r="AB216" s="236">
        <v>800000</v>
      </c>
      <c r="AC216" s="236">
        <v>4865189</v>
      </c>
      <c r="AD216" s="236"/>
      <c r="AE216" s="236"/>
      <c r="AF216" s="236"/>
      <c r="AG216" s="236"/>
      <c r="AH216" s="236"/>
      <c r="AI216" s="236"/>
      <c r="AJ216" s="236"/>
      <c r="AK216" s="236"/>
      <c r="AL216" s="236"/>
      <c r="AM216" s="236"/>
      <c r="AN216" s="236"/>
      <c r="AO216" s="236"/>
      <c r="AP216" s="236"/>
      <c r="AQ216" s="236"/>
      <c r="AR216" s="236"/>
      <c r="AS216" s="236"/>
      <c r="AT216" s="369">
        <v>42251</v>
      </c>
      <c r="AU216" s="91">
        <f t="shared" si="10"/>
        <v>5665189</v>
      </c>
      <c r="AV216" s="14"/>
      <c r="AW216" s="1"/>
    </row>
    <row r="217" spans="1:49" ht="34.5" hidden="1" customHeight="1" x14ac:dyDescent="0.25">
      <c r="A217" s="85">
        <v>211</v>
      </c>
      <c r="B217" s="2" t="str">
        <f>+'Base de Datos'!E217</f>
        <v>140222-0-2014</v>
      </c>
      <c r="C217" s="2" t="str">
        <f>+'Base de Datos'!F217</f>
        <v>JOSÉ SADY SUAVITA ROJAS</v>
      </c>
      <c r="D217" s="2">
        <f>+'Base de Datos'!G217</f>
        <v>19303649</v>
      </c>
      <c r="E217" s="2" t="str">
        <f>+'Base de Datos'!H217</f>
        <v>Adquirir a titulo de compraventa lockers y bancas para vestier para el Concejo de Bogotá D.C.</v>
      </c>
      <c r="F217" s="8">
        <v>2962640</v>
      </c>
      <c r="G217" s="6">
        <v>41838</v>
      </c>
      <c r="H217" s="64">
        <v>41852</v>
      </c>
      <c r="I217" s="183"/>
      <c r="J217" s="359"/>
      <c r="K217" s="183"/>
      <c r="L217" s="359"/>
      <c r="M217" s="183"/>
      <c r="N217" s="359"/>
      <c r="O217" s="183"/>
      <c r="P217" s="359"/>
      <c r="Q217" s="86">
        <f t="shared" si="12"/>
        <v>0</v>
      </c>
      <c r="R217" s="372"/>
      <c r="S217" s="370"/>
      <c r="T217" s="372"/>
      <c r="U217" s="370"/>
      <c r="V217" s="372"/>
      <c r="W217" s="370"/>
      <c r="X217" s="372"/>
      <c r="Y217" s="370"/>
      <c r="Z217" s="376"/>
      <c r="AA217" s="88">
        <f t="shared" si="13"/>
        <v>0</v>
      </c>
      <c r="AB217" s="236">
        <v>2962640</v>
      </c>
      <c r="AC217" s="236"/>
      <c r="AD217" s="236"/>
      <c r="AE217" s="236"/>
      <c r="AF217" s="236"/>
      <c r="AG217" s="236"/>
      <c r="AH217" s="236"/>
      <c r="AI217" s="236"/>
      <c r="AJ217" s="236"/>
      <c r="AK217" s="236"/>
      <c r="AL217" s="236"/>
      <c r="AM217" s="236"/>
      <c r="AN217" s="236"/>
      <c r="AO217" s="236"/>
      <c r="AP217" s="236"/>
      <c r="AQ217" s="236"/>
      <c r="AR217" s="236"/>
      <c r="AS217" s="236"/>
      <c r="AT217" s="369">
        <v>0</v>
      </c>
      <c r="AU217" s="91">
        <f t="shared" si="10"/>
        <v>2962640</v>
      </c>
    </row>
    <row r="218" spans="1:49" ht="34.5" hidden="1" customHeight="1" x14ac:dyDescent="0.25">
      <c r="A218" s="85">
        <v>212</v>
      </c>
      <c r="B218" s="2" t="str">
        <f>+'Base de Datos'!E218</f>
        <v>140228-0-2014</v>
      </c>
      <c r="C218" s="2" t="str">
        <f>+'Base de Datos'!F218</f>
        <v>T Y G MINOLTA</v>
      </c>
      <c r="D218" s="2">
        <f>+'Base de Datos'!G218</f>
        <v>900153597</v>
      </c>
      <c r="E218" s="2" t="str">
        <f>+'Base de Datos'!H218</f>
        <v>Prestar el servicio integral de fotocopiado y servicios afines para el Concejo de Bogotá  bajo la modalidad de outsourcing.</v>
      </c>
      <c r="F218" s="8">
        <v>36581760</v>
      </c>
      <c r="G218" s="6">
        <v>41821</v>
      </c>
      <c r="H218" s="64">
        <v>42093</v>
      </c>
      <c r="I218" s="183"/>
      <c r="J218" s="359"/>
      <c r="K218" s="183"/>
      <c r="L218" s="359"/>
      <c r="M218" s="183"/>
      <c r="N218" s="359"/>
      <c r="O218" s="183"/>
      <c r="P218" s="359"/>
      <c r="Q218" s="86">
        <f t="shared" si="12"/>
        <v>0</v>
      </c>
      <c r="R218" s="372" t="s">
        <v>379</v>
      </c>
      <c r="S218" s="370">
        <v>42186</v>
      </c>
      <c r="T218" s="372"/>
      <c r="U218" s="370"/>
      <c r="V218" s="372"/>
      <c r="W218" s="370"/>
      <c r="X218" s="372"/>
      <c r="Y218" s="370"/>
      <c r="Z218" s="376" t="s">
        <v>379</v>
      </c>
      <c r="AA218" s="88">
        <f t="shared" si="13"/>
        <v>42186</v>
      </c>
      <c r="AB218" s="236">
        <v>4296408</v>
      </c>
      <c r="AC218" s="236">
        <v>3176950</v>
      </c>
      <c r="AD218" s="236">
        <v>3581732</v>
      </c>
      <c r="AE218" s="236">
        <v>2806562</v>
      </c>
      <c r="AF218" s="236">
        <v>2691896</v>
      </c>
      <c r="AG218" s="236">
        <v>2021706</v>
      </c>
      <c r="AH218" s="236">
        <v>2168910</v>
      </c>
      <c r="AI218" s="236">
        <v>2840318</v>
      </c>
      <c r="AJ218" s="236">
        <v>3050684</v>
      </c>
      <c r="AK218" s="236">
        <v>2658778</v>
      </c>
      <c r="AL218" s="236">
        <v>2694854</v>
      </c>
      <c r="AM218" s="236">
        <v>2374520</v>
      </c>
      <c r="AN218" s="236"/>
      <c r="AO218" s="236"/>
      <c r="AP218" s="236"/>
      <c r="AQ218" s="236"/>
      <c r="AR218" s="236"/>
      <c r="AS218" s="236"/>
      <c r="AT218" s="369">
        <v>42201</v>
      </c>
      <c r="AU218" s="91">
        <f>SUM(AB218:AS218)</f>
        <v>34363318</v>
      </c>
    </row>
    <row r="219" spans="1:49" ht="34.5" hidden="1" customHeight="1" x14ac:dyDescent="0.25">
      <c r="A219" s="85">
        <v>213</v>
      </c>
      <c r="B219" s="2" t="str">
        <f>+'Base de Datos'!E219</f>
        <v>140233-0-2014</v>
      </c>
      <c r="C219" s="2" t="str">
        <f>+'Base de Datos'!F219</f>
        <v>ELKIN MAURICIO DIMAS MONTAYA</v>
      </c>
      <c r="D219" s="2">
        <f>+'Base de Datos'!G219</f>
        <v>79619132</v>
      </c>
      <c r="E219" s="2" t="str">
        <f>+'Base de Datos'!H219</f>
        <v>Realizar la interventoría técnica, administrativa, ambiental,  financiera, legal y  contable  para el contrato de mantenimiento integral locativo con el suministro de personal, equipo y repuestos en las instalaciones del Concejo de Bogotá D.C., de conformidad con lo establecido en la invitación publica del Proceso SDH-SMINC-034-2014</v>
      </c>
      <c r="F219" s="8">
        <v>16390000</v>
      </c>
      <c r="G219" s="6">
        <v>41799</v>
      </c>
      <c r="H219" s="64">
        <v>42193</v>
      </c>
      <c r="I219" s="183">
        <v>2324400</v>
      </c>
      <c r="J219" s="359">
        <v>42194</v>
      </c>
      <c r="K219" s="183"/>
      <c r="L219" s="359"/>
      <c r="M219" s="183"/>
      <c r="N219" s="359"/>
      <c r="O219" s="183"/>
      <c r="P219" s="359"/>
      <c r="Q219" s="86">
        <f t="shared" si="12"/>
        <v>2324400</v>
      </c>
      <c r="R219" s="372" t="s">
        <v>2089</v>
      </c>
      <c r="S219" s="370">
        <v>42247</v>
      </c>
      <c r="T219" s="372"/>
      <c r="U219" s="370"/>
      <c r="V219" s="372"/>
      <c r="W219" s="370"/>
      <c r="X219" s="372"/>
      <c r="Y219" s="370"/>
      <c r="Z219" s="376" t="s">
        <v>2089</v>
      </c>
      <c r="AA219" s="88">
        <f t="shared" si="13"/>
        <v>42247</v>
      </c>
      <c r="AB219" s="236">
        <v>1341000</v>
      </c>
      <c r="AC219" s="236">
        <v>2682000</v>
      </c>
      <c r="AD219" s="236">
        <v>6705000</v>
      </c>
      <c r="AE219" s="236">
        <v>1341000</v>
      </c>
      <c r="AF219" s="236">
        <v>2682000</v>
      </c>
      <c r="AG219" s="236">
        <v>1341000</v>
      </c>
      <c r="AH219" s="236">
        <v>983400</v>
      </c>
      <c r="AI219" s="236">
        <v>1639000</v>
      </c>
      <c r="AJ219" s="236"/>
      <c r="AK219" s="236"/>
      <c r="AL219" s="236"/>
      <c r="AM219" s="236"/>
      <c r="AN219" s="236"/>
      <c r="AO219" s="236"/>
      <c r="AP219" s="236"/>
      <c r="AQ219" s="236"/>
      <c r="AR219" s="236"/>
      <c r="AS219" s="236"/>
      <c r="AT219" s="369">
        <v>42612</v>
      </c>
      <c r="AU219" s="91">
        <f t="shared" si="10"/>
        <v>18714400</v>
      </c>
    </row>
    <row r="220" spans="1:49" ht="34.5" hidden="1" customHeight="1" x14ac:dyDescent="0.25">
      <c r="A220" s="85">
        <v>214</v>
      </c>
      <c r="B220" s="2" t="str">
        <f>+'Base de Datos'!E220</f>
        <v>140234-0-2014</v>
      </c>
      <c r="C220" s="2" t="str">
        <f>+'Base de Datos'!F220</f>
        <v>BUSINESS TECHNOLOGIES COMPANY</v>
      </c>
      <c r="D220" s="2">
        <f>+'Base de Datos'!G220</f>
        <v>830109807</v>
      </c>
      <c r="E220" s="2" t="str">
        <f>+'Base de Datos'!H220</f>
        <v>Suscripción al servicio de información de boletines informáticos por correo electrónico consultas en pagina Web y biblioteca de la legislación y jurisprudencia colombiana actualizada para el Concejo de Bogotá D.C., de conformidad con lo establecido en la invitación publica SDH-SMINC-037-2014</v>
      </c>
      <c r="F220" s="8">
        <v>683000</v>
      </c>
      <c r="G220" s="6">
        <v>41838</v>
      </c>
      <c r="H220" s="64">
        <v>42203</v>
      </c>
      <c r="I220" s="183"/>
      <c r="J220" s="359"/>
      <c r="K220" s="183"/>
      <c r="L220" s="359"/>
      <c r="M220" s="183"/>
      <c r="N220" s="359"/>
      <c r="O220" s="183"/>
      <c r="P220" s="359"/>
      <c r="Q220" s="86">
        <f t="shared" si="12"/>
        <v>0</v>
      </c>
      <c r="R220" s="372"/>
      <c r="S220" s="370"/>
      <c r="T220" s="372"/>
      <c r="U220" s="370"/>
      <c r="V220" s="372"/>
      <c r="W220" s="370"/>
      <c r="X220" s="372"/>
      <c r="Y220" s="370"/>
      <c r="Z220" s="376"/>
      <c r="AA220" s="88">
        <f t="shared" si="13"/>
        <v>0</v>
      </c>
      <c r="AB220" s="236">
        <v>683000</v>
      </c>
      <c r="AC220" s="236"/>
      <c r="AD220" s="236"/>
      <c r="AE220" s="236"/>
      <c r="AF220" s="236"/>
      <c r="AG220" s="236"/>
      <c r="AH220" s="236"/>
      <c r="AI220" s="236"/>
      <c r="AJ220" s="236"/>
      <c r="AK220" s="236"/>
      <c r="AL220" s="236"/>
      <c r="AM220" s="236"/>
      <c r="AN220" s="236"/>
      <c r="AO220" s="236"/>
      <c r="AP220" s="236"/>
      <c r="AQ220" s="236"/>
      <c r="AR220" s="236"/>
      <c r="AS220" s="236"/>
      <c r="AT220" s="369">
        <v>0</v>
      </c>
      <c r="AU220" s="91">
        <f t="shared" si="10"/>
        <v>683000</v>
      </c>
    </row>
    <row r="221" spans="1:49" ht="34.5" hidden="1" customHeight="1" x14ac:dyDescent="0.25">
      <c r="A221" s="85">
        <v>215</v>
      </c>
      <c r="B221" s="2" t="str">
        <f>+'Base de Datos'!E221</f>
        <v>140236-0-2014</v>
      </c>
      <c r="C221" s="2" t="str">
        <f>+'Base de Datos'!F221</f>
        <v>DIVIEXPORT EU</v>
      </c>
      <c r="D221" s="2">
        <f>+'Base de Datos'!G221</f>
        <v>832004433</v>
      </c>
      <c r="E221" s="2" t="str">
        <f>+'Base de Datos'!H221</f>
        <v>Contratar la realización del servicio de mantenimiento correctivo y traslado, incluyendo los repuestos y/o elementos nuevos que requieran los sistemas de archivo rodante, existente en las diferentes dependencias del Concejo de Bogotá D.C.; de conformidad con lo establecido en la invitación pública  SDH-SMINC-035-2014.</v>
      </c>
      <c r="F221" s="8">
        <v>4672000</v>
      </c>
      <c r="G221" s="6">
        <v>41835</v>
      </c>
      <c r="H221" s="64">
        <v>42050</v>
      </c>
      <c r="I221" s="183"/>
      <c r="J221" s="359"/>
      <c r="K221" s="183"/>
      <c r="L221" s="359"/>
      <c r="M221" s="183"/>
      <c r="N221" s="359"/>
      <c r="O221" s="183"/>
      <c r="P221" s="359"/>
      <c r="Q221" s="86">
        <f t="shared" si="12"/>
        <v>0</v>
      </c>
      <c r="R221" s="372"/>
      <c r="S221" s="370"/>
      <c r="T221" s="372"/>
      <c r="U221" s="370"/>
      <c r="V221" s="372"/>
      <c r="W221" s="370"/>
      <c r="X221" s="372"/>
      <c r="Y221" s="370"/>
      <c r="Z221" s="376"/>
      <c r="AA221" s="88">
        <f t="shared" si="13"/>
        <v>0</v>
      </c>
      <c r="AB221" s="236">
        <v>804000</v>
      </c>
      <c r="AC221" s="236">
        <v>508200</v>
      </c>
      <c r="AD221" s="236">
        <v>494000</v>
      </c>
      <c r="AE221" s="236"/>
      <c r="AF221" s="236"/>
      <c r="AG221" s="236"/>
      <c r="AH221" s="236"/>
      <c r="AI221" s="236"/>
      <c r="AJ221" s="236"/>
      <c r="AK221" s="236"/>
      <c r="AL221" s="236"/>
      <c r="AM221" s="236"/>
      <c r="AN221" s="236"/>
      <c r="AO221" s="236"/>
      <c r="AP221" s="236"/>
      <c r="AQ221" s="236"/>
      <c r="AR221" s="236"/>
      <c r="AS221" s="236"/>
      <c r="AT221" s="369">
        <v>42087</v>
      </c>
      <c r="AU221" s="91">
        <f t="shared" si="10"/>
        <v>1806200</v>
      </c>
    </row>
    <row r="222" spans="1:49" ht="34.5" hidden="1" customHeight="1" x14ac:dyDescent="0.25">
      <c r="A222" s="85">
        <v>216</v>
      </c>
      <c r="B222" s="2" t="str">
        <f>+'Base de Datos'!E222</f>
        <v>140241-0-2014</v>
      </c>
      <c r="C222" s="2" t="str">
        <f>+'Base de Datos'!F222</f>
        <v>SEGUROS GENERALES SURAMERICANA</v>
      </c>
      <c r="D222" s="2">
        <f>+'Base de Datos'!G222</f>
        <v>0</v>
      </c>
      <c r="E222" s="2" t="str">
        <f>+'Base de Datos'!H222</f>
        <v>Expedir las pólizas de seguro obligatorio SOAT para los vehículos del Concejo de Bogotá, D.C., de conformidad con lo establecido en el Acuerdo Marco de Precios CCE-070-1AMP-2013.</v>
      </c>
      <c r="F222" s="8">
        <v>65200000</v>
      </c>
      <c r="G222" s="6">
        <v>41835</v>
      </c>
      <c r="H222" s="64">
        <v>42078</v>
      </c>
      <c r="I222" s="183"/>
      <c r="J222" s="359"/>
      <c r="K222" s="183"/>
      <c r="L222" s="359"/>
      <c r="M222" s="183"/>
      <c r="N222" s="359"/>
      <c r="O222" s="183"/>
      <c r="P222" s="359"/>
      <c r="Q222" s="86">
        <f t="shared" si="12"/>
        <v>0</v>
      </c>
      <c r="R222" s="372"/>
      <c r="S222" s="370"/>
      <c r="T222" s="372"/>
      <c r="U222" s="370"/>
      <c r="V222" s="372"/>
      <c r="W222" s="370"/>
      <c r="X222" s="372"/>
      <c r="Y222" s="370"/>
      <c r="Z222" s="376"/>
      <c r="AA222" s="88">
        <f t="shared" si="13"/>
        <v>0</v>
      </c>
      <c r="AB222" s="236"/>
      <c r="AC222" s="236"/>
      <c r="AD222" s="236"/>
      <c r="AE222" s="236"/>
      <c r="AF222" s="236"/>
      <c r="AG222" s="236"/>
      <c r="AH222" s="236"/>
      <c r="AI222" s="236"/>
      <c r="AJ222" s="236"/>
      <c r="AK222" s="236"/>
      <c r="AL222" s="236"/>
      <c r="AM222" s="236"/>
      <c r="AN222" s="236"/>
      <c r="AO222" s="236"/>
      <c r="AP222" s="236"/>
      <c r="AQ222" s="236"/>
      <c r="AR222" s="236"/>
      <c r="AS222" s="236"/>
      <c r="AT222" s="369">
        <v>0</v>
      </c>
      <c r="AU222" s="91">
        <f t="shared" si="10"/>
        <v>0</v>
      </c>
    </row>
    <row r="223" spans="1:49" s="57" customFormat="1" ht="34.5" hidden="1" customHeight="1" x14ac:dyDescent="0.25">
      <c r="A223" s="85">
        <v>217</v>
      </c>
      <c r="B223" s="2" t="str">
        <f>+'Base de Datos'!E223</f>
        <v>140184-0-2014</v>
      </c>
      <c r="C223" s="2" t="str">
        <f>+'Base de Datos'!F223</f>
        <v>SODINLEC LTDA</v>
      </c>
      <c r="D223" s="2">
        <f>+'Base de Datos'!G223</f>
        <v>900268429</v>
      </c>
      <c r="E223" s="2" t="str">
        <f>+'Base de Datos'!H223</f>
        <v>Prestar el servicio de mantenimiento preventivo y correctivo con suministro de al sistema de generación y transferencia eléctrica de emergencia del Concejo de Bogotá, D.C., de conformidad con lo establecido en la invitación pública del proceso No. SDH-SMINC-012-2014.</v>
      </c>
      <c r="F223" s="140">
        <v>3846133</v>
      </c>
      <c r="G223" s="138">
        <v>41837</v>
      </c>
      <c r="H223" s="138">
        <v>42202</v>
      </c>
      <c r="I223" s="183"/>
      <c r="J223" s="359"/>
      <c r="K223" s="183"/>
      <c r="L223" s="359"/>
      <c r="M223" s="183"/>
      <c r="N223" s="359"/>
      <c r="O223" s="183"/>
      <c r="P223" s="359"/>
      <c r="Q223" s="86">
        <f t="shared" si="12"/>
        <v>0</v>
      </c>
      <c r="R223" s="372"/>
      <c r="S223" s="370"/>
      <c r="T223" s="372"/>
      <c r="U223" s="370"/>
      <c r="V223" s="372"/>
      <c r="W223" s="370"/>
      <c r="X223" s="372"/>
      <c r="Y223" s="370"/>
      <c r="Z223" s="376"/>
      <c r="AA223" s="88">
        <f t="shared" si="13"/>
        <v>0</v>
      </c>
      <c r="AB223" s="236">
        <v>609000</v>
      </c>
      <c r="AC223" s="236">
        <v>1383434</v>
      </c>
      <c r="AD223" s="236">
        <v>1275090</v>
      </c>
      <c r="AE223" s="236">
        <v>3085238</v>
      </c>
      <c r="AF223" s="236">
        <v>3702395</v>
      </c>
      <c r="AG223" s="236"/>
      <c r="AH223" s="236"/>
      <c r="AI223" s="236"/>
      <c r="AJ223" s="236"/>
      <c r="AK223" s="236"/>
      <c r="AL223" s="236"/>
      <c r="AM223" s="236"/>
      <c r="AN223" s="236"/>
      <c r="AO223" s="236"/>
      <c r="AP223" s="236"/>
      <c r="AQ223" s="236"/>
      <c r="AR223" s="236"/>
      <c r="AS223" s="236"/>
      <c r="AT223" s="369">
        <v>42139</v>
      </c>
      <c r="AU223" s="91">
        <f t="shared" si="10"/>
        <v>10055157</v>
      </c>
      <c r="AV223" s="14"/>
      <c r="AW223" s="1"/>
    </row>
    <row r="224" spans="1:49" ht="34.5" hidden="1" customHeight="1" x14ac:dyDescent="0.25">
      <c r="A224" s="85">
        <v>218</v>
      </c>
      <c r="B224" s="2" t="str">
        <f>+'Base de Datos'!E224</f>
        <v>140210-0-2014</v>
      </c>
      <c r="C224" s="2" t="str">
        <f>+'Base de Datos'!F224</f>
        <v>H &amp; D OFIMAGEN</v>
      </c>
      <c r="D224" s="2">
        <f>+'Base de Datos'!G224</f>
        <v>830021364</v>
      </c>
      <c r="E224" s="2" t="str">
        <f>+'Base de Datos'!H224</f>
        <v>Prestar el servicio de mantenimiento integral locativo con el suministro de personal, equipo y  repuestos, en las instalaciones físicas del  Concejo Bogotá, D.C., de acuerdo con lo establecido en el pliego de condiciones del proceso de selección abreviada  de menor cuantía  No. SDH-SAMC-01-2014 y la propuesta económica presentada por el contratista.</v>
      </c>
      <c r="F224" s="8">
        <v>2228070</v>
      </c>
      <c r="G224" s="6">
        <v>41842</v>
      </c>
      <c r="H224" s="64">
        <v>41965</v>
      </c>
      <c r="I224" s="183"/>
      <c r="J224" s="359"/>
      <c r="K224" s="183"/>
      <c r="L224" s="359"/>
      <c r="M224" s="183"/>
      <c r="N224" s="359"/>
      <c r="O224" s="183"/>
      <c r="P224" s="359"/>
      <c r="Q224" s="86">
        <f t="shared" si="12"/>
        <v>0</v>
      </c>
      <c r="R224" s="372" t="s">
        <v>964</v>
      </c>
      <c r="S224" s="370">
        <v>42216</v>
      </c>
      <c r="T224" s="372"/>
      <c r="U224" s="370"/>
      <c r="V224" s="372"/>
      <c r="W224" s="370"/>
      <c r="X224" s="372"/>
      <c r="Y224" s="370"/>
      <c r="Z224" s="376" t="s">
        <v>964</v>
      </c>
      <c r="AA224" s="88">
        <f t="shared" si="13"/>
        <v>42216</v>
      </c>
      <c r="AB224" s="236">
        <v>11935892</v>
      </c>
      <c r="AC224" s="236">
        <v>80426629</v>
      </c>
      <c r="AD224" s="236">
        <v>40643738</v>
      </c>
      <c r="AE224" s="236">
        <v>12118748</v>
      </c>
      <c r="AF224" s="236">
        <v>13599890</v>
      </c>
      <c r="AG224" s="236">
        <v>33930173</v>
      </c>
      <c r="AH224" s="236">
        <v>31212588</v>
      </c>
      <c r="AI224" s="236">
        <v>24407748</v>
      </c>
      <c r="AJ224" s="236"/>
      <c r="AK224" s="236"/>
      <c r="AL224" s="236"/>
      <c r="AM224" s="236"/>
      <c r="AN224" s="236"/>
      <c r="AO224" s="236"/>
      <c r="AP224" s="236"/>
      <c r="AQ224" s="236"/>
      <c r="AR224" s="236"/>
      <c r="AS224" s="236"/>
      <c r="AT224" s="369">
        <v>42354</v>
      </c>
      <c r="AU224" s="91">
        <f t="shared" si="10"/>
        <v>248275406</v>
      </c>
    </row>
    <row r="225" spans="1:49" ht="34.5" hidden="1" customHeight="1" x14ac:dyDescent="0.25">
      <c r="A225" s="85">
        <v>219</v>
      </c>
      <c r="B225" s="2" t="str">
        <f>+'Base de Datos'!E225</f>
        <v>140224-0-2014</v>
      </c>
      <c r="C225" s="2" t="str">
        <f>+'Base de Datos'!F225</f>
        <v>SISTEMA Y SEGURIDAD INDUSTRIAL COLOMBIANA E.U.</v>
      </c>
      <c r="D225" s="2">
        <f>+'Base de Datos'!G225</f>
        <v>830145054</v>
      </c>
      <c r="E225" s="2" t="str">
        <f>+'Base de Datos'!H225</f>
        <v>Revisión, mantenimiento y recarga de extintores y gabinetes contra incendio, con suminstro de repuestos y otros elementos de seguridad industrial para el Concejo de Bogotá, D.C., de conformidad con lo establecido en la invitación pública y propuesta por ustedes presentada.</v>
      </c>
      <c r="F225" s="8">
        <v>2260000</v>
      </c>
      <c r="G225" s="6">
        <v>41862</v>
      </c>
      <c r="H225" s="64">
        <v>41923</v>
      </c>
      <c r="I225" s="183"/>
      <c r="J225" s="359"/>
      <c r="K225" s="183"/>
      <c r="L225" s="359"/>
      <c r="M225" s="183"/>
      <c r="N225" s="359"/>
      <c r="O225" s="183"/>
      <c r="P225" s="359"/>
      <c r="Q225" s="86">
        <f t="shared" si="12"/>
        <v>0</v>
      </c>
      <c r="R225" s="372"/>
      <c r="S225" s="370"/>
      <c r="T225" s="372"/>
      <c r="U225" s="370"/>
      <c r="V225" s="372"/>
      <c r="W225" s="370"/>
      <c r="X225" s="372"/>
      <c r="Y225" s="370"/>
      <c r="Z225" s="376"/>
      <c r="AA225" s="88">
        <f t="shared" si="13"/>
        <v>0</v>
      </c>
      <c r="AB225" s="236">
        <v>2251047</v>
      </c>
      <c r="AC225" s="236"/>
      <c r="AD225" s="236"/>
      <c r="AE225" s="236"/>
      <c r="AF225" s="236"/>
      <c r="AG225" s="236"/>
      <c r="AH225" s="236"/>
      <c r="AI225" s="236"/>
      <c r="AJ225" s="236"/>
      <c r="AK225" s="236"/>
      <c r="AL225" s="236"/>
      <c r="AM225" s="236"/>
      <c r="AN225" s="236"/>
      <c r="AO225" s="236"/>
      <c r="AP225" s="236"/>
      <c r="AQ225" s="236"/>
      <c r="AR225" s="236"/>
      <c r="AS225" s="236"/>
      <c r="AT225" s="369">
        <v>42542</v>
      </c>
      <c r="AU225" s="91">
        <f t="shared" si="10"/>
        <v>2251047</v>
      </c>
    </row>
    <row r="226" spans="1:49" s="57" customFormat="1" ht="34.5" hidden="1" customHeight="1" x14ac:dyDescent="0.25">
      <c r="A226" s="85">
        <v>220</v>
      </c>
      <c r="B226" s="2" t="str">
        <f>+'Base de Datos'!E226</f>
        <v>140238-0-2014</v>
      </c>
      <c r="C226" s="2" t="str">
        <f>+'Base de Datos'!F226</f>
        <v>COMPENSAR SALONES</v>
      </c>
      <c r="D226" s="2">
        <f>+'Base de Datos'!G226</f>
        <v>860066942</v>
      </c>
      <c r="E226" s="2" t="str">
        <f>+'Base de Datos'!H226</f>
        <v xml:space="preserve">Prestar servicios de alquiler de escenarios como salones, auditorios y espacios  abiertos, apoyo logísticos y servicios de catering  para el desarrollo de eventos que requieran el Concejo de Bogotá D.C., de conformidad con lo establecido en le pliego de condiciones del proceso de selección abreviada de menor cuantía No SDH-SAMC-02-2014 y la propuesta presentada por el contratista. </v>
      </c>
      <c r="F226" s="166">
        <v>16592327</v>
      </c>
      <c r="G226" s="168">
        <v>41936</v>
      </c>
      <c r="H226" s="168">
        <v>42301</v>
      </c>
      <c r="I226" s="183">
        <v>32600000</v>
      </c>
      <c r="J226" s="359">
        <v>42076</v>
      </c>
      <c r="K226" s="183"/>
      <c r="L226" s="359"/>
      <c r="M226" s="183"/>
      <c r="N226" s="359"/>
      <c r="O226" s="183"/>
      <c r="P226" s="359"/>
      <c r="Q226" s="86">
        <f t="shared" si="12"/>
        <v>32600000</v>
      </c>
      <c r="R226" s="372" t="s">
        <v>378</v>
      </c>
      <c r="S226" s="370">
        <v>42139</v>
      </c>
      <c r="T226" s="372"/>
      <c r="U226" s="370"/>
      <c r="V226" s="372"/>
      <c r="W226" s="370"/>
      <c r="X226" s="372"/>
      <c r="Y226" s="370"/>
      <c r="Z226" s="353" t="s">
        <v>378</v>
      </c>
      <c r="AA226" s="88">
        <f t="shared" si="13"/>
        <v>42139</v>
      </c>
      <c r="AB226" s="236">
        <v>6518167</v>
      </c>
      <c r="AC226" s="236">
        <v>1904892</v>
      </c>
      <c r="AD226" s="236">
        <v>5598894</v>
      </c>
      <c r="AE226" s="236">
        <v>7779980</v>
      </c>
      <c r="AF226" s="236">
        <v>5348780</v>
      </c>
      <c r="AG226" s="236">
        <v>16375952</v>
      </c>
      <c r="AH226" s="236">
        <v>18841297</v>
      </c>
      <c r="AI226" s="236">
        <v>2083146</v>
      </c>
      <c r="AJ226" s="236">
        <v>33343410</v>
      </c>
      <c r="AK226" s="236"/>
      <c r="AL226" s="236"/>
      <c r="AM226" s="236"/>
      <c r="AN226" s="236"/>
      <c r="AO226" s="236"/>
      <c r="AP226" s="236"/>
      <c r="AQ226" s="236"/>
      <c r="AR226" s="236"/>
      <c r="AS226" s="236"/>
      <c r="AT226" s="369">
        <v>42160</v>
      </c>
      <c r="AU226" s="91">
        <f t="shared" si="10"/>
        <v>97794518</v>
      </c>
      <c r="AV226" s="14"/>
      <c r="AW226" s="1"/>
    </row>
    <row r="227" spans="1:49" s="57" customFormat="1" ht="34.5" hidden="1" customHeight="1" x14ac:dyDescent="0.25">
      <c r="A227" s="85">
        <v>221</v>
      </c>
      <c r="B227" s="2" t="str">
        <f>+'Base de Datos'!E227</f>
        <v>140243-0-2014</v>
      </c>
      <c r="C227" s="2" t="str">
        <f>+'Base de Datos'!F227</f>
        <v>COTECNA CERTIFICADORA SEVICES LIMITADA</v>
      </c>
      <c r="D227" s="2">
        <f>+'Base de Datos'!G227</f>
        <v>830040274</v>
      </c>
      <c r="E227" s="2" t="str">
        <f>+'Base de Datos'!H227</f>
        <v>Realizar auditorias de seguimiento a los sistemas de gestión ambiental y seguridad y salud ocupacional bajo las normas ISO14001:2014 y OHSAS 18001:2007 al Concejo de Bogotá, de conformidad con los estudios previos.</v>
      </c>
      <c r="F227" s="166">
        <v>807000</v>
      </c>
      <c r="G227" s="168">
        <v>41912</v>
      </c>
      <c r="H227" s="168">
        <v>42277</v>
      </c>
      <c r="I227" s="183"/>
      <c r="J227" s="359"/>
      <c r="K227" s="183"/>
      <c r="L227" s="359"/>
      <c r="M227" s="183"/>
      <c r="N227" s="359"/>
      <c r="O227" s="183"/>
      <c r="P227" s="359"/>
      <c r="Q227" s="86">
        <f t="shared" si="12"/>
        <v>0</v>
      </c>
      <c r="R227" s="372"/>
      <c r="S227" s="370"/>
      <c r="T227" s="372"/>
      <c r="U227" s="370"/>
      <c r="V227" s="372"/>
      <c r="W227" s="370"/>
      <c r="X227" s="372"/>
      <c r="Y227" s="370"/>
      <c r="Z227" s="353"/>
      <c r="AA227" s="88">
        <f t="shared" si="13"/>
        <v>0</v>
      </c>
      <c r="AB227" s="236">
        <v>2228070</v>
      </c>
      <c r="AC227" s="236"/>
      <c r="AD227" s="236"/>
      <c r="AE227" s="236"/>
      <c r="AF227" s="236"/>
      <c r="AG227" s="236"/>
      <c r="AH227" s="236"/>
      <c r="AI227" s="236"/>
      <c r="AJ227" s="236"/>
      <c r="AK227" s="236"/>
      <c r="AL227" s="236"/>
      <c r="AM227" s="236"/>
      <c r="AN227" s="236"/>
      <c r="AO227" s="236"/>
      <c r="AP227" s="236"/>
      <c r="AQ227" s="236"/>
      <c r="AR227" s="236"/>
      <c r="AS227" s="236"/>
      <c r="AT227" s="369">
        <v>42024</v>
      </c>
      <c r="AU227" s="91">
        <f t="shared" si="10"/>
        <v>2228070</v>
      </c>
      <c r="AV227" s="14"/>
      <c r="AW227" s="1"/>
    </row>
    <row r="228" spans="1:49" ht="34.5" hidden="1" customHeight="1" x14ac:dyDescent="0.25">
      <c r="A228" s="85">
        <v>222</v>
      </c>
      <c r="B228" s="2" t="str">
        <f>+'Base de Datos'!E228</f>
        <v>140244-0-2014</v>
      </c>
      <c r="C228" s="2" t="str">
        <f>+'Base de Datos'!F228</f>
        <v>INDUSTRIAS QUÍMICAS FIQ LTDA</v>
      </c>
      <c r="D228" s="2">
        <f>+'Base de Datos'!G228</f>
        <v>800047094</v>
      </c>
      <c r="E228" s="2" t="str">
        <f>+'Base de Datos'!H228</f>
        <v>Servicio de manejo Integral de los residuos peligrosos existentes en la sede del Concejo de Bogotá, D.C.</v>
      </c>
      <c r="F228" s="29">
        <v>202978686</v>
      </c>
      <c r="G228" s="30">
        <v>41850</v>
      </c>
      <c r="H228" s="68">
        <v>42034</v>
      </c>
      <c r="I228" s="183"/>
      <c r="J228" s="359"/>
      <c r="K228" s="183"/>
      <c r="L228" s="359"/>
      <c r="M228" s="183"/>
      <c r="N228" s="359"/>
      <c r="O228" s="183"/>
      <c r="P228" s="359"/>
      <c r="Q228" s="86">
        <f t="shared" si="12"/>
        <v>0</v>
      </c>
      <c r="R228" s="372"/>
      <c r="S228" s="370"/>
      <c r="T228" s="372"/>
      <c r="U228" s="370"/>
      <c r="V228" s="372"/>
      <c r="W228" s="370"/>
      <c r="X228" s="372"/>
      <c r="Y228" s="370"/>
      <c r="Z228" s="353"/>
      <c r="AA228" s="88">
        <f t="shared" si="13"/>
        <v>0</v>
      </c>
      <c r="AB228" s="236">
        <v>1595000</v>
      </c>
      <c r="AC228" s="236"/>
      <c r="AD228" s="236"/>
      <c r="AE228" s="236"/>
      <c r="AF228" s="236"/>
      <c r="AG228" s="236"/>
      <c r="AH228" s="236"/>
      <c r="AI228" s="236"/>
      <c r="AJ228" s="236"/>
      <c r="AK228" s="236"/>
      <c r="AL228" s="236"/>
      <c r="AM228" s="236"/>
      <c r="AN228" s="236"/>
      <c r="AO228" s="236"/>
      <c r="AP228" s="236"/>
      <c r="AQ228" s="236"/>
      <c r="AR228" s="236"/>
      <c r="AS228" s="236"/>
      <c r="AT228" s="369">
        <v>41963</v>
      </c>
      <c r="AU228" s="91">
        <f t="shared" si="10"/>
        <v>1595000</v>
      </c>
    </row>
    <row r="229" spans="1:49" ht="34.5" hidden="1" customHeight="1" x14ac:dyDescent="0.25">
      <c r="A229" s="85">
        <v>223</v>
      </c>
      <c r="B229" s="2" t="str">
        <f>+'Base de Datos'!E229</f>
        <v>140249-0-2014</v>
      </c>
      <c r="C229" s="2" t="str">
        <f>+'Base de Datos'!F229</f>
        <v>INVERSIONES MATAY SAS</v>
      </c>
      <c r="D229" s="2">
        <f>+'Base de Datos'!G229</f>
        <v>900450570</v>
      </c>
      <c r="E229" s="2" t="str">
        <f>+'Base de Datos'!H229</f>
        <v>Contratar a título de arrendamiento un inmueble para uso de parqueadero, por parte del Concejo de Bogotá D.C., de acuerdo con lo establecido en el documento de estudios previos.</v>
      </c>
      <c r="F229" s="29">
        <v>10564000</v>
      </c>
      <c r="G229" s="30">
        <v>41793</v>
      </c>
      <c r="H229" s="68">
        <v>42096</v>
      </c>
      <c r="I229" s="183">
        <v>87669877</v>
      </c>
      <c r="J229" s="359">
        <v>42034</v>
      </c>
      <c r="K229" s="183"/>
      <c r="L229" s="359"/>
      <c r="M229" s="183"/>
      <c r="N229" s="359"/>
      <c r="O229" s="183"/>
      <c r="P229" s="359"/>
      <c r="Q229" s="86">
        <f t="shared" si="12"/>
        <v>87669877</v>
      </c>
      <c r="R229" s="372" t="s">
        <v>966</v>
      </c>
      <c r="S229" s="370">
        <v>42108</v>
      </c>
      <c r="T229" s="372"/>
      <c r="U229" s="370"/>
      <c r="V229" s="372"/>
      <c r="W229" s="370"/>
      <c r="X229" s="372"/>
      <c r="Y229" s="370"/>
      <c r="Z229" s="353" t="s">
        <v>966</v>
      </c>
      <c r="AA229" s="88">
        <f t="shared" si="13"/>
        <v>42108</v>
      </c>
      <c r="AB229" s="236">
        <v>34957440</v>
      </c>
      <c r="AC229" s="236">
        <v>33829781</v>
      </c>
      <c r="AD229" s="236">
        <v>33829781</v>
      </c>
      <c r="AE229" s="236">
        <v>33829781</v>
      </c>
      <c r="AF229" s="236">
        <v>33829781</v>
      </c>
      <c r="AG229" s="236">
        <v>32702122</v>
      </c>
      <c r="AH229" s="236">
        <v>36236883</v>
      </c>
      <c r="AI229" s="236">
        <v>35067951</v>
      </c>
      <c r="AJ229" s="236">
        <v>16365043</v>
      </c>
      <c r="AK229" s="236"/>
      <c r="AL229" s="236"/>
      <c r="AM229" s="236"/>
      <c r="AN229" s="236"/>
      <c r="AO229" s="236"/>
      <c r="AP229" s="236"/>
      <c r="AQ229" s="236"/>
      <c r="AR229" s="236"/>
      <c r="AS229" s="236"/>
      <c r="AT229" s="369">
        <v>42095</v>
      </c>
      <c r="AU229" s="91">
        <f t="shared" si="10"/>
        <v>290648563</v>
      </c>
    </row>
    <row r="230" spans="1:49" ht="34.5" hidden="1" customHeight="1" x14ac:dyDescent="0.25">
      <c r="A230" s="85">
        <v>224</v>
      </c>
      <c r="B230" s="2" t="str">
        <f>+'Base de Datos'!E230</f>
        <v>140252-0-2014</v>
      </c>
      <c r="C230" s="2" t="str">
        <f>+'Base de Datos'!F230</f>
        <v>LINALCA INFORMATICA</v>
      </c>
      <c r="D230" s="2">
        <f>+'Base de Datos'!G230</f>
        <v>800188299</v>
      </c>
      <c r="E230" s="2" t="str">
        <f>+'Base de Datos'!H230</f>
        <v>Contratar la actuallización, mantenimiento y soporte de licencias de software antivirus para la plataforma del Concejo de Bogotá D.C.</v>
      </c>
      <c r="F230" s="29">
        <v>249991314</v>
      </c>
      <c r="G230" s="30">
        <v>41837</v>
      </c>
      <c r="H230" s="68">
        <v>42171</v>
      </c>
      <c r="I230" s="183"/>
      <c r="J230" s="359"/>
      <c r="K230" s="183"/>
      <c r="L230" s="359"/>
      <c r="M230" s="183"/>
      <c r="N230" s="359"/>
      <c r="O230" s="183"/>
      <c r="P230" s="359"/>
      <c r="Q230" s="86">
        <f t="shared" si="12"/>
        <v>0</v>
      </c>
      <c r="R230" s="372"/>
      <c r="S230" s="370"/>
      <c r="T230" s="372"/>
      <c r="U230" s="370"/>
      <c r="V230" s="372"/>
      <c r="W230" s="370"/>
      <c r="X230" s="372"/>
      <c r="Y230" s="370"/>
      <c r="Z230" s="353"/>
      <c r="AA230" s="88">
        <f t="shared" si="13"/>
        <v>0</v>
      </c>
      <c r="AB230" s="236">
        <v>11614629</v>
      </c>
      <c r="AC230" s="236">
        <v>1659233</v>
      </c>
      <c r="AD230" s="236">
        <v>1659233</v>
      </c>
      <c r="AE230" s="236"/>
      <c r="AF230" s="236"/>
      <c r="AG230" s="236"/>
      <c r="AH230" s="236"/>
      <c r="AI230" s="236"/>
      <c r="AJ230" s="236"/>
      <c r="AK230" s="236"/>
      <c r="AL230" s="236"/>
      <c r="AM230" s="236"/>
      <c r="AN230" s="236"/>
      <c r="AO230" s="236"/>
      <c r="AP230" s="236"/>
      <c r="AQ230" s="236"/>
      <c r="AR230" s="236"/>
      <c r="AS230" s="236"/>
      <c r="AT230" s="369">
        <v>42220</v>
      </c>
      <c r="AU230" s="91">
        <f t="shared" si="10"/>
        <v>14933095</v>
      </c>
    </row>
    <row r="231" spans="1:49" s="57" customFormat="1" ht="34.5" hidden="1" customHeight="1" x14ac:dyDescent="0.25">
      <c r="A231" s="85">
        <v>225</v>
      </c>
      <c r="B231" s="2" t="str">
        <f>+'Base de Datos'!E231</f>
        <v>140274-0-2014</v>
      </c>
      <c r="C231" s="2" t="str">
        <f>+'Base de Datos'!F231</f>
        <v>PUBLICACIONES SEMANA S.A.</v>
      </c>
      <c r="D231" s="2">
        <f>+'Base de Datos'!G231</f>
        <v>860509265</v>
      </c>
      <c r="E231" s="2" t="str">
        <f>+'Base de Datos'!H231</f>
        <v>Suscripción a LA REVISTA SEMANA, para el Concejo de Bogotá.</v>
      </c>
      <c r="F231" s="140">
        <v>4136000</v>
      </c>
      <c r="G231" s="138">
        <v>41935</v>
      </c>
      <c r="H231" s="138">
        <v>42027</v>
      </c>
      <c r="I231" s="183"/>
      <c r="J231" s="359"/>
      <c r="K231" s="183"/>
      <c r="L231" s="359"/>
      <c r="M231" s="183"/>
      <c r="N231" s="359"/>
      <c r="O231" s="183"/>
      <c r="P231" s="359"/>
      <c r="Q231" s="86">
        <f t="shared" si="12"/>
        <v>0</v>
      </c>
      <c r="R231" s="372"/>
      <c r="S231" s="370"/>
      <c r="T231" s="372"/>
      <c r="U231" s="370"/>
      <c r="V231" s="372"/>
      <c r="W231" s="370"/>
      <c r="X231" s="372"/>
      <c r="Y231" s="370"/>
      <c r="Z231" s="353"/>
      <c r="AA231" s="88">
        <f t="shared" si="13"/>
        <v>0</v>
      </c>
      <c r="AB231" s="236">
        <v>807000</v>
      </c>
      <c r="AC231" s="236"/>
      <c r="AD231" s="236"/>
      <c r="AE231" s="236"/>
      <c r="AF231" s="236"/>
      <c r="AG231" s="236"/>
      <c r="AH231" s="236"/>
      <c r="AI231" s="236"/>
      <c r="AJ231" s="236"/>
      <c r="AK231" s="236"/>
      <c r="AL231" s="236"/>
      <c r="AM231" s="236"/>
      <c r="AN231" s="236"/>
      <c r="AO231" s="236"/>
      <c r="AP231" s="236"/>
      <c r="AQ231" s="236"/>
      <c r="AR231" s="236"/>
      <c r="AS231" s="236"/>
      <c r="AT231" s="369">
        <v>40871</v>
      </c>
      <c r="AU231" s="91">
        <f t="shared" si="10"/>
        <v>807000</v>
      </c>
      <c r="AV231" s="14"/>
      <c r="AW231" s="1"/>
    </row>
    <row r="232" spans="1:49" ht="34.5" hidden="1" customHeight="1" x14ac:dyDescent="0.25">
      <c r="A232" s="85">
        <v>226</v>
      </c>
      <c r="B232" s="2" t="str">
        <f>+'Base de Datos'!E232</f>
        <v>140276-0-2014</v>
      </c>
      <c r="C232" s="2" t="str">
        <f>+'Base de Datos'!F232</f>
        <v>COMUNICAN S.A</v>
      </c>
      <c r="D232" s="2">
        <f>+'Base de Datos'!G232</f>
        <v>860007590</v>
      </c>
      <c r="E232" s="2" t="str">
        <f>+'Base de Datos'!H232</f>
        <v>Suscripción al Diario El Espectador, para el Concejo de Bogotá, D.C.</v>
      </c>
      <c r="F232" s="29">
        <v>936000</v>
      </c>
      <c r="G232" s="30">
        <v>41893</v>
      </c>
      <c r="H232" s="68">
        <v>42258</v>
      </c>
      <c r="I232" s="183"/>
      <c r="J232" s="359"/>
      <c r="K232" s="183"/>
      <c r="L232" s="359"/>
      <c r="M232" s="183"/>
      <c r="N232" s="359"/>
      <c r="O232" s="183"/>
      <c r="P232" s="359"/>
      <c r="Q232" s="86">
        <f t="shared" si="12"/>
        <v>0</v>
      </c>
      <c r="R232" s="372"/>
      <c r="S232" s="370"/>
      <c r="T232" s="372"/>
      <c r="U232" s="370"/>
      <c r="V232" s="372"/>
      <c r="W232" s="370"/>
      <c r="X232" s="372"/>
      <c r="Y232" s="370"/>
      <c r="Z232" s="353"/>
      <c r="AA232" s="88">
        <f t="shared" si="13"/>
        <v>0</v>
      </c>
      <c r="AB232" s="236">
        <v>936000</v>
      </c>
      <c r="AC232" s="236"/>
      <c r="AD232" s="236"/>
      <c r="AE232" s="236"/>
      <c r="AF232" s="236"/>
      <c r="AG232" s="236"/>
      <c r="AH232" s="236"/>
      <c r="AI232" s="236"/>
      <c r="AJ232" s="236"/>
      <c r="AK232" s="236"/>
      <c r="AL232" s="236"/>
      <c r="AM232" s="236"/>
      <c r="AN232" s="236"/>
      <c r="AO232" s="236"/>
      <c r="AP232" s="236"/>
      <c r="AQ232" s="236"/>
      <c r="AR232" s="236"/>
      <c r="AS232" s="236"/>
      <c r="AT232" s="369">
        <v>0</v>
      </c>
      <c r="AU232" s="91">
        <f t="shared" si="10"/>
        <v>936000</v>
      </c>
    </row>
    <row r="233" spans="1:49" ht="34.5" hidden="1" customHeight="1" x14ac:dyDescent="0.25">
      <c r="A233" s="85">
        <v>227</v>
      </c>
      <c r="B233" s="2" t="str">
        <f>+'Base de Datos'!E233</f>
        <v>140279-0-2014</v>
      </c>
      <c r="C233" s="2" t="str">
        <f>+'Base de Datos'!F233</f>
        <v>EDITORIAL LA UNIDAD</v>
      </c>
      <c r="D233" s="2">
        <f>+'Base de Datos'!G233</f>
        <v>860536029</v>
      </c>
      <c r="E233" s="2" t="str">
        <f>+'Base de Datos'!H233</f>
        <v>Suscripción al Diario el Nuevo Siglo, para el Concejo de Bogotá,  D.C.</v>
      </c>
      <c r="F233" s="29">
        <v>855000</v>
      </c>
      <c r="G233" s="30">
        <v>41896</v>
      </c>
      <c r="H233" s="68">
        <v>42261</v>
      </c>
      <c r="I233" s="183"/>
      <c r="J233" s="359"/>
      <c r="K233" s="183"/>
      <c r="L233" s="359"/>
      <c r="M233" s="183"/>
      <c r="N233" s="359"/>
      <c r="O233" s="183"/>
      <c r="P233" s="359"/>
      <c r="Q233" s="86">
        <f t="shared" si="12"/>
        <v>0</v>
      </c>
      <c r="R233" s="372"/>
      <c r="S233" s="370"/>
      <c r="T233" s="372"/>
      <c r="U233" s="370"/>
      <c r="V233" s="372"/>
      <c r="W233" s="370"/>
      <c r="X233" s="372"/>
      <c r="Y233" s="370"/>
      <c r="Z233" s="353"/>
      <c r="AA233" s="88">
        <f t="shared" si="13"/>
        <v>0</v>
      </c>
      <c r="AB233" s="236">
        <v>855000</v>
      </c>
      <c r="AC233" s="236"/>
      <c r="AD233" s="236"/>
      <c r="AE233" s="236"/>
      <c r="AF233" s="236"/>
      <c r="AG233" s="236"/>
      <c r="AH233" s="236"/>
      <c r="AI233" s="236"/>
      <c r="AJ233" s="236"/>
      <c r="AK233" s="236"/>
      <c r="AL233" s="236"/>
      <c r="AM233" s="236"/>
      <c r="AN233" s="236"/>
      <c r="AO233" s="236"/>
      <c r="AP233" s="236"/>
      <c r="AQ233" s="236"/>
      <c r="AR233" s="236"/>
      <c r="AS233" s="236"/>
      <c r="AT233" s="369">
        <v>0</v>
      </c>
      <c r="AU233" s="91">
        <f t="shared" si="10"/>
        <v>855000</v>
      </c>
    </row>
    <row r="234" spans="1:49" ht="34.5" hidden="1" customHeight="1" x14ac:dyDescent="0.25">
      <c r="A234" s="85">
        <v>228</v>
      </c>
      <c r="B234" s="2" t="str">
        <f>+'Base de Datos'!E234</f>
        <v>140281-0-2014</v>
      </c>
      <c r="C234" s="2" t="str">
        <f>+'Base de Datos'!F234</f>
        <v>SUPERIOR DE DOTACIONES SAS</v>
      </c>
      <c r="D234" s="2">
        <f>+'Base de Datos'!G234</f>
        <v>830144875</v>
      </c>
      <c r="E234" s="2" t="str">
        <f>+'Base de Datos'!H234</f>
        <v>Adquirir a título de compraventa elementos de protección para los servidores públicos del Concejo de Bogotá, D.C., de conformidad con lo establecido en la presente invitación pública.</v>
      </c>
      <c r="F234" s="29">
        <v>19356282</v>
      </c>
      <c r="G234" s="30">
        <v>41887</v>
      </c>
      <c r="H234" s="68">
        <v>42009</v>
      </c>
      <c r="I234" s="183"/>
      <c r="J234" s="359"/>
      <c r="K234" s="183"/>
      <c r="L234" s="359"/>
      <c r="M234" s="183"/>
      <c r="N234" s="359"/>
      <c r="O234" s="183"/>
      <c r="P234" s="359"/>
      <c r="Q234" s="86">
        <f t="shared" si="12"/>
        <v>0</v>
      </c>
      <c r="R234" s="372"/>
      <c r="S234" s="370"/>
      <c r="T234" s="372"/>
      <c r="U234" s="370"/>
      <c r="V234" s="372"/>
      <c r="W234" s="370"/>
      <c r="X234" s="372"/>
      <c r="Y234" s="370"/>
      <c r="Z234" s="353"/>
      <c r="AA234" s="88">
        <f t="shared" si="13"/>
        <v>0</v>
      </c>
      <c r="AB234" s="236">
        <v>19356282</v>
      </c>
      <c r="AC234" s="236"/>
      <c r="AD234" s="236"/>
      <c r="AE234" s="236"/>
      <c r="AF234" s="236"/>
      <c r="AG234" s="236"/>
      <c r="AH234" s="236"/>
      <c r="AI234" s="236"/>
      <c r="AJ234" s="236"/>
      <c r="AK234" s="236"/>
      <c r="AL234" s="236"/>
      <c r="AM234" s="236"/>
      <c r="AN234" s="236"/>
      <c r="AO234" s="236"/>
      <c r="AP234" s="236"/>
      <c r="AQ234" s="236"/>
      <c r="AR234" s="236"/>
      <c r="AS234" s="236"/>
      <c r="AT234" s="369">
        <v>42046</v>
      </c>
      <c r="AU234" s="91">
        <f t="shared" si="10"/>
        <v>19356282</v>
      </c>
    </row>
    <row r="235" spans="1:49" s="57" customFormat="1" ht="34.5" hidden="1" customHeight="1" x14ac:dyDescent="0.25">
      <c r="A235" s="85">
        <v>229</v>
      </c>
      <c r="B235" s="2" t="str">
        <f>+'Base de Datos'!E235</f>
        <v>140282-0-2014</v>
      </c>
      <c r="C235" s="2" t="str">
        <f>+'Base de Datos'!F235</f>
        <v>GRUPO EDITORIAL EL PERIÓDICO S.A.S</v>
      </c>
      <c r="D235" s="2">
        <f>+'Base de Datos'!G235</f>
        <v>900169179</v>
      </c>
      <c r="E235" s="2" t="str">
        <f>+'Base de Datos'!H235</f>
        <v>Suscripción al diario el Periódico, con destino al Concejo de Bogotá.</v>
      </c>
      <c r="F235" s="166">
        <v>810000</v>
      </c>
      <c r="G235" s="168">
        <v>41940</v>
      </c>
      <c r="H235" s="168">
        <v>42305</v>
      </c>
      <c r="I235" s="183"/>
      <c r="J235" s="359"/>
      <c r="K235" s="183"/>
      <c r="L235" s="359"/>
      <c r="M235" s="183"/>
      <c r="N235" s="359"/>
      <c r="O235" s="183"/>
      <c r="P235" s="359"/>
      <c r="Q235" s="86">
        <f t="shared" si="12"/>
        <v>0</v>
      </c>
      <c r="R235" s="372"/>
      <c r="S235" s="370"/>
      <c r="T235" s="372"/>
      <c r="U235" s="370"/>
      <c r="V235" s="372"/>
      <c r="W235" s="370"/>
      <c r="X235" s="372"/>
      <c r="Y235" s="370"/>
      <c r="Z235" s="353"/>
      <c r="AA235" s="88">
        <f t="shared" si="13"/>
        <v>0</v>
      </c>
      <c r="AB235" s="236">
        <v>810000</v>
      </c>
      <c r="AC235" s="236"/>
      <c r="AD235" s="236"/>
      <c r="AE235" s="236"/>
      <c r="AF235" s="236"/>
      <c r="AG235" s="236"/>
      <c r="AH235" s="236"/>
      <c r="AI235" s="236"/>
      <c r="AJ235" s="236"/>
      <c r="AK235" s="236"/>
      <c r="AL235" s="236"/>
      <c r="AM235" s="236"/>
      <c r="AN235" s="236"/>
      <c r="AO235" s="236"/>
      <c r="AP235" s="236"/>
      <c r="AQ235" s="236"/>
      <c r="AR235" s="236"/>
      <c r="AS235" s="236"/>
      <c r="AT235" s="369">
        <v>0</v>
      </c>
      <c r="AU235" s="91">
        <f t="shared" si="10"/>
        <v>810000</v>
      </c>
      <c r="AV235" s="14"/>
      <c r="AW235" s="1"/>
    </row>
    <row r="236" spans="1:49" s="57" customFormat="1" ht="34.5" hidden="1" customHeight="1" x14ac:dyDescent="0.25">
      <c r="A236" s="85">
        <v>230</v>
      </c>
      <c r="B236" s="2" t="str">
        <f>+'Base de Datos'!E236</f>
        <v>140288-0-2014</v>
      </c>
      <c r="C236" s="2" t="str">
        <f>+'Base de Datos'!F236</f>
        <v>SGS COLOMBIA S.A.</v>
      </c>
      <c r="D236" s="2">
        <f>+'Base de Datos'!G236</f>
        <v>860049921</v>
      </c>
      <c r="E236" s="2" t="str">
        <f>+'Base de Datos'!H236</f>
        <v>Realizar las auditorias de seguimiento a los sistemas de gestión de calidad bajo las normas ISO 9001:2008 y NTC-GP 100:2009 al Concejo de Bogotá.</v>
      </c>
      <c r="F236" s="166">
        <v>4621000</v>
      </c>
      <c r="G236" s="168">
        <v>41934</v>
      </c>
      <c r="H236" s="168">
        <v>42085</v>
      </c>
      <c r="I236" s="183"/>
      <c r="J236" s="359"/>
      <c r="K236" s="183"/>
      <c r="L236" s="359"/>
      <c r="M236" s="183"/>
      <c r="N236" s="359"/>
      <c r="O236" s="183"/>
      <c r="P236" s="359"/>
      <c r="Q236" s="86">
        <f t="shared" si="12"/>
        <v>0</v>
      </c>
      <c r="R236" s="372"/>
      <c r="S236" s="370"/>
      <c r="T236" s="372"/>
      <c r="U236" s="370"/>
      <c r="V236" s="372"/>
      <c r="W236" s="370"/>
      <c r="X236" s="372"/>
      <c r="Y236" s="370"/>
      <c r="Z236" s="353"/>
      <c r="AA236" s="88">
        <f t="shared" si="13"/>
        <v>0</v>
      </c>
      <c r="AB236" s="236">
        <v>4621440</v>
      </c>
      <c r="AC236" s="236"/>
      <c r="AD236" s="236"/>
      <c r="AE236" s="236"/>
      <c r="AF236" s="236"/>
      <c r="AG236" s="236"/>
      <c r="AH236" s="236"/>
      <c r="AI236" s="236"/>
      <c r="AJ236" s="236"/>
      <c r="AK236" s="236"/>
      <c r="AL236" s="236"/>
      <c r="AM236" s="236"/>
      <c r="AN236" s="236"/>
      <c r="AO236" s="236"/>
      <c r="AP236" s="236"/>
      <c r="AQ236" s="236"/>
      <c r="AR236" s="236"/>
      <c r="AS236" s="236"/>
      <c r="AT236" s="369">
        <v>42034</v>
      </c>
      <c r="AU236" s="91">
        <f t="shared" si="10"/>
        <v>4621440</v>
      </c>
      <c r="AV236" s="14"/>
      <c r="AW236" s="1"/>
    </row>
    <row r="237" spans="1:49" s="57" customFormat="1" ht="34.5" hidden="1" customHeight="1" x14ac:dyDescent="0.25">
      <c r="A237" s="85">
        <v>231</v>
      </c>
      <c r="B237" s="2" t="str">
        <f>+'Base de Datos'!E237</f>
        <v>140290-0-2014</v>
      </c>
      <c r="C237" s="2" t="str">
        <f>+'Base de Datos'!F237</f>
        <v>CENTRO DE DIAGNOSTICO Y TRATAMIENTO CENDIATRA LTDA</v>
      </c>
      <c r="D237" s="2">
        <f>+'Base de Datos'!G237</f>
        <v>800180176</v>
      </c>
      <c r="E237" s="2" t="str">
        <f>+'Base de Datos'!H237</f>
        <v>Prestar el servicio de exámenes médicos ocupacionales y complementarios y aplicaciones de vacunas para los funcionarios del Concejo de Bogotá, D.C., de conformidad con el pliego de condiciones del proceso de selección abreviada de menor cuantía SDH-SAMC-004-2014</v>
      </c>
      <c r="F237" s="29">
        <v>41850000</v>
      </c>
      <c r="G237" s="30">
        <v>41926</v>
      </c>
      <c r="H237" s="68">
        <v>42138</v>
      </c>
      <c r="I237" s="183"/>
      <c r="J237" s="359"/>
      <c r="K237" s="183"/>
      <c r="L237" s="359"/>
      <c r="M237" s="183"/>
      <c r="N237" s="359"/>
      <c r="O237" s="183"/>
      <c r="P237" s="359"/>
      <c r="Q237" s="86">
        <f t="shared" si="12"/>
        <v>0</v>
      </c>
      <c r="R237" s="372"/>
      <c r="S237" s="370"/>
      <c r="T237" s="372"/>
      <c r="U237" s="370"/>
      <c r="V237" s="372"/>
      <c r="W237" s="370"/>
      <c r="X237" s="372"/>
      <c r="Y237" s="370"/>
      <c r="Z237" s="353"/>
      <c r="AA237" s="88">
        <f t="shared" si="13"/>
        <v>0</v>
      </c>
      <c r="AB237" s="236">
        <v>1960000</v>
      </c>
      <c r="AC237" s="236">
        <v>120000</v>
      </c>
      <c r="AD237" s="236">
        <v>180000</v>
      </c>
      <c r="AE237" s="236">
        <v>240000</v>
      </c>
      <c r="AF237" s="236">
        <v>690000</v>
      </c>
      <c r="AG237" s="236">
        <v>585000</v>
      </c>
      <c r="AH237" s="236">
        <v>10305000</v>
      </c>
      <c r="AI237" s="236">
        <v>12283000</v>
      </c>
      <c r="AJ237" s="236"/>
      <c r="AK237" s="236"/>
      <c r="AL237" s="236"/>
      <c r="AM237" s="236"/>
      <c r="AN237" s="236"/>
      <c r="AO237" s="236"/>
      <c r="AP237" s="236"/>
      <c r="AQ237" s="236"/>
      <c r="AR237" s="236"/>
      <c r="AS237" s="236"/>
      <c r="AT237" s="369">
        <v>42275</v>
      </c>
      <c r="AU237" s="91">
        <f t="shared" si="10"/>
        <v>26363000</v>
      </c>
      <c r="AV237" s="14"/>
      <c r="AW237" s="1"/>
    </row>
    <row r="238" spans="1:49" ht="34.5" hidden="1" customHeight="1" x14ac:dyDescent="0.25">
      <c r="A238" s="85">
        <v>232</v>
      </c>
      <c r="B238" s="2" t="str">
        <f>+'Base de Datos'!E238</f>
        <v>140291-0-2014</v>
      </c>
      <c r="C238" s="2" t="str">
        <f>+'Base de Datos'!F238</f>
        <v>NAYIVE CARRASCO PATIÑO</v>
      </c>
      <c r="D238" s="2">
        <f>+'Base de Datos'!G238</f>
        <v>52857895</v>
      </c>
      <c r="E238" s="2" t="str">
        <f>+'Base de Datos'!H238</f>
        <v>Prestar Servicios Profesionales para realizar acompañamiento y seguimiento a los procesos de adquisición de bienes y servicios y seguimiento a la ejecución de contratos para el Concejo de Bogotá, D.C.</v>
      </c>
      <c r="F238" s="29">
        <v>25000000</v>
      </c>
      <c r="G238" s="30">
        <v>41891</v>
      </c>
      <c r="H238" s="68">
        <v>42013</v>
      </c>
      <c r="I238" s="183"/>
      <c r="J238" s="359"/>
      <c r="K238" s="183"/>
      <c r="L238" s="359"/>
      <c r="M238" s="183"/>
      <c r="N238" s="359"/>
      <c r="O238" s="183"/>
      <c r="P238" s="359"/>
      <c r="Q238" s="86">
        <f t="shared" si="12"/>
        <v>0</v>
      </c>
      <c r="R238" s="372"/>
      <c r="S238" s="370"/>
      <c r="T238" s="372"/>
      <c r="U238" s="370"/>
      <c r="V238" s="372"/>
      <c r="W238" s="370"/>
      <c r="X238" s="372"/>
      <c r="Y238" s="370"/>
      <c r="Z238" s="353"/>
      <c r="AA238" s="88">
        <f t="shared" si="13"/>
        <v>0</v>
      </c>
      <c r="AB238" s="236">
        <v>4583333</v>
      </c>
      <c r="AC238" s="236">
        <v>6250000</v>
      </c>
      <c r="AD238" s="236">
        <v>6250000</v>
      </c>
      <c r="AE238" s="236">
        <v>7916667</v>
      </c>
      <c r="AF238" s="236"/>
      <c r="AG238" s="236"/>
      <c r="AH238" s="236"/>
      <c r="AI238" s="236"/>
      <c r="AJ238" s="236"/>
      <c r="AK238" s="236"/>
      <c r="AL238" s="236"/>
      <c r="AM238" s="236"/>
      <c r="AN238" s="236"/>
      <c r="AO238" s="236"/>
      <c r="AP238" s="236"/>
      <c r="AQ238" s="236"/>
      <c r="AR238" s="236"/>
      <c r="AS238" s="236"/>
      <c r="AT238" s="369">
        <v>42027</v>
      </c>
      <c r="AU238" s="91">
        <f t="shared" si="10"/>
        <v>25000000</v>
      </c>
    </row>
    <row r="239" spans="1:49" ht="34.5" hidden="1" customHeight="1" x14ac:dyDescent="0.25">
      <c r="A239" s="85">
        <v>233</v>
      </c>
      <c r="B239" s="2" t="str">
        <f>+'Base de Datos'!E239</f>
        <v>140292-0-2014</v>
      </c>
      <c r="C239" s="2" t="str">
        <f>+'Base de Datos'!F239</f>
        <v>JUAN SEBASTIÁN RAMÍREZ</v>
      </c>
      <c r="D239" s="2">
        <f>+'Base de Datos'!G239</f>
        <v>1026250449</v>
      </c>
      <c r="E239" s="2" t="str">
        <f>+'Base de Datos'!H239</f>
        <v>Prestar Servicios Profesionales para elaborar las especificaciones y condiciones técnicas de los procesos para la adquisición de bienes y servicios y apoyar la función de supervisión de los contratos del Concejo de Bogotá, D.C.</v>
      </c>
      <c r="F239" s="29">
        <v>25000000</v>
      </c>
      <c r="G239" s="30">
        <v>41893</v>
      </c>
      <c r="H239" s="30">
        <v>42046</v>
      </c>
      <c r="I239" s="183"/>
      <c r="J239" s="359"/>
      <c r="K239" s="183"/>
      <c r="L239" s="359"/>
      <c r="M239" s="183"/>
      <c r="N239" s="359"/>
      <c r="O239" s="183"/>
      <c r="P239" s="359"/>
      <c r="Q239" s="86">
        <f t="shared" si="12"/>
        <v>0</v>
      </c>
      <c r="R239" s="372"/>
      <c r="S239" s="370"/>
      <c r="T239" s="372"/>
      <c r="U239" s="370"/>
      <c r="V239" s="372"/>
      <c r="W239" s="370"/>
      <c r="X239" s="372"/>
      <c r="Y239" s="370"/>
      <c r="Z239" s="353"/>
      <c r="AA239" s="88">
        <f t="shared" si="13"/>
        <v>0</v>
      </c>
      <c r="AB239" s="236">
        <v>3333333</v>
      </c>
      <c r="AC239" s="236">
        <v>5000000</v>
      </c>
      <c r="AD239" s="236">
        <v>5000000</v>
      </c>
      <c r="AE239" s="236">
        <v>5000000</v>
      </c>
      <c r="AF239" s="236">
        <v>6666667</v>
      </c>
      <c r="AG239" s="236"/>
      <c r="AH239" s="236"/>
      <c r="AI239" s="236"/>
      <c r="AJ239" s="236"/>
      <c r="AK239" s="236"/>
      <c r="AL239" s="236"/>
      <c r="AM239" s="236"/>
      <c r="AN239" s="236"/>
      <c r="AO239" s="236"/>
      <c r="AP239" s="236"/>
      <c r="AQ239" s="236"/>
      <c r="AR239" s="236"/>
      <c r="AS239" s="236"/>
      <c r="AT239" s="369">
        <v>42052</v>
      </c>
      <c r="AU239" s="91">
        <f t="shared" si="10"/>
        <v>25000000</v>
      </c>
    </row>
    <row r="240" spans="1:49" s="57" customFormat="1" ht="34.5" hidden="1" customHeight="1" x14ac:dyDescent="0.25">
      <c r="A240" s="85">
        <v>234</v>
      </c>
      <c r="B240" s="2" t="str">
        <f>+'Base de Datos'!E240</f>
        <v>140296-0-2014</v>
      </c>
      <c r="C240" s="2" t="str">
        <f>+'Base de Datos'!F240</f>
        <v>INGEAL S.A.</v>
      </c>
      <c r="D240" s="2">
        <f>+'Base de Datos'!G240</f>
        <v>800039398</v>
      </c>
      <c r="E240" s="2" t="str">
        <f>+'Base de Datos'!H240</f>
        <v>Contratar la Adqusión de UPS para el Concejo de Bogotá D.C., de conformidad con lo establecido en el pliego de condiciones del proceso SDH-SIE-10-2014 y la propuesta presentada por el contratista.</v>
      </c>
      <c r="F240" s="29">
        <v>311460000</v>
      </c>
      <c r="G240" s="30">
        <v>41907</v>
      </c>
      <c r="H240" s="30">
        <v>41996</v>
      </c>
      <c r="I240" s="183"/>
      <c r="J240" s="359"/>
      <c r="K240" s="183"/>
      <c r="L240" s="359"/>
      <c r="M240" s="183"/>
      <c r="N240" s="359"/>
      <c r="O240" s="183"/>
      <c r="P240" s="359"/>
      <c r="Q240" s="86">
        <f t="shared" si="12"/>
        <v>0</v>
      </c>
      <c r="R240" s="372"/>
      <c r="S240" s="370"/>
      <c r="T240" s="372"/>
      <c r="U240" s="370"/>
      <c r="V240" s="372"/>
      <c r="W240" s="370"/>
      <c r="X240" s="372"/>
      <c r="Y240" s="370"/>
      <c r="Z240" s="353"/>
      <c r="AA240" s="88">
        <f t="shared" si="13"/>
        <v>0</v>
      </c>
      <c r="AB240" s="236">
        <v>93438000</v>
      </c>
      <c r="AC240" s="236">
        <v>218022000</v>
      </c>
      <c r="AD240" s="236"/>
      <c r="AE240" s="236"/>
      <c r="AF240" s="236"/>
      <c r="AG240" s="236"/>
      <c r="AH240" s="236"/>
      <c r="AI240" s="236"/>
      <c r="AJ240" s="236"/>
      <c r="AK240" s="236"/>
      <c r="AL240" s="236"/>
      <c r="AM240" s="236"/>
      <c r="AN240" s="236"/>
      <c r="AO240" s="236"/>
      <c r="AP240" s="236"/>
      <c r="AQ240" s="236"/>
      <c r="AR240" s="236"/>
      <c r="AS240" s="236"/>
      <c r="AT240" s="369">
        <v>41961</v>
      </c>
      <c r="AU240" s="91">
        <f t="shared" si="10"/>
        <v>311460000</v>
      </c>
      <c r="AV240" s="14"/>
      <c r="AW240" s="1"/>
    </row>
    <row r="241" spans="1:49" ht="38.25" hidden="1" customHeight="1" x14ac:dyDescent="0.25">
      <c r="A241" s="85">
        <v>235</v>
      </c>
      <c r="B241" s="2" t="str">
        <f>+'Base de Datos'!E241</f>
        <v>140299-0-2014</v>
      </c>
      <c r="C241" s="2" t="str">
        <f>+'Base de Datos'!F241</f>
        <v>LIZETH  GONZÁLEZ VARGAS</v>
      </c>
      <c r="D241" s="2">
        <f>+'Base de Datos'!G241</f>
        <v>1073156298</v>
      </c>
      <c r="E241" s="2" t="str">
        <f>+'Base de Datos'!H241</f>
        <v>Prestar servicios profesionales para sistematizar y consolidar la información de los trámites contractuales a cargo de la Dirección Financiera de los procesos administrativos y financieros del Concejo de Bogotá, D.C.</v>
      </c>
      <c r="F241" s="219">
        <f>+'Base de Datos'!I241</f>
        <v>17500000</v>
      </c>
      <c r="G241" s="220">
        <f>+'Base de Datos'!M241</f>
        <v>41900</v>
      </c>
      <c r="H241" s="220">
        <f>+'Base de Datos'!N241</f>
        <v>42053</v>
      </c>
      <c r="I241" s="183"/>
      <c r="J241" s="359"/>
      <c r="K241" s="183"/>
      <c r="L241" s="359"/>
      <c r="M241" s="183"/>
      <c r="N241" s="359"/>
      <c r="O241" s="183"/>
      <c r="P241" s="359"/>
      <c r="Q241" s="86">
        <f t="shared" si="12"/>
        <v>0</v>
      </c>
      <c r="R241" s="372"/>
      <c r="S241" s="370"/>
      <c r="T241" s="372"/>
      <c r="U241" s="370"/>
      <c r="V241" s="372"/>
      <c r="W241" s="370"/>
      <c r="X241" s="372"/>
      <c r="Y241" s="370"/>
      <c r="Z241" s="353"/>
      <c r="AA241" s="88">
        <f t="shared" si="13"/>
        <v>0</v>
      </c>
      <c r="AB241" s="237">
        <v>1516667</v>
      </c>
      <c r="AC241" s="237">
        <v>3500000</v>
      </c>
      <c r="AD241" s="237">
        <v>3500000</v>
      </c>
      <c r="AE241" s="237">
        <v>3500000</v>
      </c>
      <c r="AF241" s="237">
        <v>3500000</v>
      </c>
      <c r="AG241" s="236">
        <v>1983333</v>
      </c>
      <c r="AH241" s="236"/>
      <c r="AI241" s="236"/>
      <c r="AJ241" s="236"/>
      <c r="AK241" s="236"/>
      <c r="AL241" s="236"/>
      <c r="AM241" s="236"/>
      <c r="AN241" s="236"/>
      <c r="AO241" s="236"/>
      <c r="AP241" s="236"/>
      <c r="AQ241" s="236"/>
      <c r="AR241" s="236"/>
      <c r="AS241" s="236"/>
      <c r="AT241" s="369">
        <v>42061</v>
      </c>
      <c r="AU241" s="91">
        <f t="shared" si="10"/>
        <v>17500000</v>
      </c>
    </row>
    <row r="242" spans="1:49" s="57" customFormat="1" ht="38.25" hidden="1" customHeight="1" x14ac:dyDescent="0.25">
      <c r="A242" s="85">
        <v>236</v>
      </c>
      <c r="B242" s="2" t="str">
        <f>+'Base de Datos'!E242</f>
        <v>140306-0-2014</v>
      </c>
      <c r="C242" s="2" t="str">
        <f>+'Base de Datos'!F242</f>
        <v>I3NET  S.A.S</v>
      </c>
      <c r="D242" s="2">
        <f>+'Base de Datos'!G242</f>
        <v>830024826</v>
      </c>
      <c r="E242" s="2" t="str">
        <f>+'Base de Datos'!H242</f>
        <v>Adquisición de computadores de escritorio y portátiles, para el Concejo de Bogotá</v>
      </c>
      <c r="F242" s="219">
        <f>+'Base de Datos'!I242</f>
        <v>14153603</v>
      </c>
      <c r="G242" s="220">
        <f>+'Base de Datos'!M242</f>
        <v>41929</v>
      </c>
      <c r="H242" s="220">
        <f>+'Base de Datos'!N242</f>
        <v>42021</v>
      </c>
      <c r="I242" s="183"/>
      <c r="J242" s="359"/>
      <c r="K242" s="183"/>
      <c r="L242" s="359"/>
      <c r="M242" s="183"/>
      <c r="N242" s="359"/>
      <c r="O242" s="183"/>
      <c r="P242" s="359"/>
      <c r="Q242" s="86">
        <f t="shared" si="12"/>
        <v>0</v>
      </c>
      <c r="R242" s="372"/>
      <c r="S242" s="370"/>
      <c r="T242" s="372"/>
      <c r="U242" s="370"/>
      <c r="V242" s="372"/>
      <c r="W242" s="370"/>
      <c r="X242" s="372"/>
      <c r="Y242" s="370"/>
      <c r="Z242" s="353"/>
      <c r="AA242" s="88">
        <f t="shared" si="13"/>
        <v>0</v>
      </c>
      <c r="AB242" s="236">
        <v>14153603</v>
      </c>
      <c r="AC242" s="236"/>
      <c r="AD242" s="236"/>
      <c r="AE242" s="236"/>
      <c r="AF242" s="236"/>
      <c r="AG242" s="236"/>
      <c r="AH242" s="236"/>
      <c r="AI242" s="236"/>
      <c r="AJ242" s="236"/>
      <c r="AK242" s="236"/>
      <c r="AL242" s="236"/>
      <c r="AM242" s="236"/>
      <c r="AN242" s="236"/>
      <c r="AO242" s="236"/>
      <c r="AP242" s="236"/>
      <c r="AQ242" s="236"/>
      <c r="AR242" s="236"/>
      <c r="AS242" s="236"/>
      <c r="AT242" s="369"/>
      <c r="AU242" s="91">
        <f t="shared" si="10"/>
        <v>14153603</v>
      </c>
      <c r="AV242" s="14"/>
      <c r="AW242" s="1"/>
    </row>
    <row r="243" spans="1:49" ht="38.25" hidden="1" customHeight="1" x14ac:dyDescent="0.25">
      <c r="A243" s="85">
        <v>237</v>
      </c>
      <c r="B243" s="2" t="str">
        <f>+'Base de Datos'!E243</f>
        <v>140312-0-2014</v>
      </c>
      <c r="C243" s="2" t="str">
        <f>+'Base de Datos'!F243</f>
        <v>CRISTIAN DAVID PARDO MARTINEZ</v>
      </c>
      <c r="D243" s="2">
        <f>+'Base de Datos'!G243</f>
        <v>1026269949</v>
      </c>
      <c r="E243" s="2" t="str">
        <f>+'Base de Datos'!H243</f>
        <v>Prestar servicios profesionales para apoyar la gestión administrativa, documental y contractual en los asuntos de competencia de la Dirección Financiera del Concejo de Bogotá, D.C.</v>
      </c>
      <c r="F243" s="219">
        <f>+'Base de Datos'!I243</f>
        <v>10000000</v>
      </c>
      <c r="G243" s="220">
        <f>+'Base de Datos'!M243</f>
        <v>41911</v>
      </c>
      <c r="H243" s="220">
        <f>+'Base de Datos'!N243</f>
        <v>42033</v>
      </c>
      <c r="I243" s="183"/>
      <c r="J243" s="359"/>
      <c r="K243" s="183"/>
      <c r="L243" s="359"/>
      <c r="M243" s="183"/>
      <c r="N243" s="359"/>
      <c r="O243" s="183"/>
      <c r="P243" s="359"/>
      <c r="Q243" s="86">
        <f t="shared" si="12"/>
        <v>0</v>
      </c>
      <c r="R243" s="372"/>
      <c r="S243" s="370"/>
      <c r="T243" s="372"/>
      <c r="U243" s="370"/>
      <c r="V243" s="372"/>
      <c r="W243" s="370"/>
      <c r="X243" s="372"/>
      <c r="Y243" s="370"/>
      <c r="Z243" s="353"/>
      <c r="AA243" s="88">
        <f t="shared" si="13"/>
        <v>0</v>
      </c>
      <c r="AB243" s="237">
        <v>2666667</v>
      </c>
      <c r="AC243" s="237">
        <v>2500000</v>
      </c>
      <c r="AD243" s="237">
        <v>2500000</v>
      </c>
      <c r="AE243" s="236">
        <v>2333333</v>
      </c>
      <c r="AF243" s="236"/>
      <c r="AG243" s="236"/>
      <c r="AH243" s="236"/>
      <c r="AI243" s="236"/>
      <c r="AJ243" s="236"/>
      <c r="AK243" s="236"/>
      <c r="AL243" s="236"/>
      <c r="AM243" s="236"/>
      <c r="AN243" s="236"/>
      <c r="AO243" s="236"/>
      <c r="AP243" s="236"/>
      <c r="AQ243" s="236"/>
      <c r="AR243" s="236"/>
      <c r="AS243" s="236"/>
      <c r="AT243" s="369">
        <v>42051</v>
      </c>
      <c r="AU243" s="91">
        <f t="shared" ref="AU243:AU261" si="14">SUM(AB243:AR243)</f>
        <v>10000000</v>
      </c>
    </row>
    <row r="244" spans="1:49" ht="38.25" hidden="1" customHeight="1" x14ac:dyDescent="0.25">
      <c r="A244" s="85">
        <v>238</v>
      </c>
      <c r="B244" s="2" t="str">
        <f>+'Base de Datos'!E244</f>
        <v xml:space="preserve">140316-0-2014 </v>
      </c>
      <c r="C244" s="2" t="str">
        <f>+'Base de Datos'!F244</f>
        <v>SOLUCIONES EN INGENIERIA Y SOFTWARE SAS</v>
      </c>
      <c r="D244" s="2">
        <f>+'Base de Datos'!G244</f>
        <v>900332071</v>
      </c>
      <c r="E244" s="2" t="str">
        <f>+'Base de Datos'!H244</f>
        <v>Prestar el servicio técnico de actualización del Software de contabilidad SIIGO OFICIAL e instalación en nuevo equipo servidor para el Concejo de Bogotá</v>
      </c>
      <c r="F244" s="221">
        <f>+'Base de Datos'!I244</f>
        <v>812500</v>
      </c>
      <c r="G244" s="220">
        <f>+'Base de Datos'!M244</f>
        <v>41928</v>
      </c>
      <c r="H244" s="220">
        <f>+'Base de Datos'!N244</f>
        <v>42004</v>
      </c>
      <c r="I244" s="183"/>
      <c r="J244" s="359"/>
      <c r="K244" s="183"/>
      <c r="L244" s="359"/>
      <c r="M244" s="183"/>
      <c r="N244" s="359"/>
      <c r="O244" s="183"/>
      <c r="P244" s="359"/>
      <c r="Q244" s="86">
        <f t="shared" si="12"/>
        <v>0</v>
      </c>
      <c r="R244" s="372"/>
      <c r="S244" s="370"/>
      <c r="T244" s="372"/>
      <c r="U244" s="370"/>
      <c r="V244" s="372"/>
      <c r="W244" s="370"/>
      <c r="X244" s="372"/>
      <c r="Y244" s="370"/>
      <c r="Z244" s="353"/>
      <c r="AA244" s="88">
        <f t="shared" si="13"/>
        <v>0</v>
      </c>
      <c r="AB244" s="236">
        <v>812500</v>
      </c>
      <c r="AC244" s="236"/>
      <c r="AD244" s="236"/>
      <c r="AE244" s="236"/>
      <c r="AF244" s="236"/>
      <c r="AG244" s="236"/>
      <c r="AH244" s="236"/>
      <c r="AI244" s="236"/>
      <c r="AJ244" s="236"/>
      <c r="AK244" s="236"/>
      <c r="AL244" s="236"/>
      <c r="AM244" s="236"/>
      <c r="AN244" s="236"/>
      <c r="AO244" s="236"/>
      <c r="AP244" s="236"/>
      <c r="AQ244" s="236"/>
      <c r="AR244" s="236"/>
      <c r="AS244" s="236"/>
      <c r="AT244" s="369">
        <v>42052</v>
      </c>
      <c r="AU244" s="91">
        <f t="shared" si="14"/>
        <v>812500</v>
      </c>
    </row>
    <row r="245" spans="1:49" s="57" customFormat="1" ht="38.25" hidden="1" customHeight="1" x14ac:dyDescent="0.25">
      <c r="A245" s="85">
        <v>239</v>
      </c>
      <c r="B245" s="2" t="str">
        <f>+'Base de Datos'!E245</f>
        <v>140317-0-2014</v>
      </c>
      <c r="C245" s="2" t="str">
        <f>+'Base de Datos'!F245</f>
        <v>FACTOR VISUAL EAT</v>
      </c>
      <c r="D245" s="2">
        <f>+'Base de Datos'!G245</f>
        <v>830112518</v>
      </c>
      <c r="E245" s="2" t="str">
        <f>+'Base de Datos'!H245</f>
        <v>Prestar el servicio de actualización, mantenimiento y soporte al sitio web e intranet del Concejo de Bogotá.</v>
      </c>
      <c r="F245" s="221">
        <v>44544000</v>
      </c>
      <c r="G245" s="220">
        <v>41929</v>
      </c>
      <c r="H245" s="220">
        <v>42294</v>
      </c>
      <c r="I245" s="183">
        <v>22272000</v>
      </c>
      <c r="J245" s="359">
        <v>42291</v>
      </c>
      <c r="K245" s="183"/>
      <c r="L245" s="359"/>
      <c r="M245" s="183"/>
      <c r="N245" s="359"/>
      <c r="O245" s="183"/>
      <c r="P245" s="359"/>
      <c r="Q245" s="86">
        <f t="shared" si="12"/>
        <v>22272000</v>
      </c>
      <c r="R245" s="372" t="s">
        <v>382</v>
      </c>
      <c r="S245" s="370">
        <v>42477</v>
      </c>
      <c r="T245" s="372"/>
      <c r="U245" s="370"/>
      <c r="V245" s="372"/>
      <c r="W245" s="370"/>
      <c r="X245" s="372"/>
      <c r="Y245" s="370"/>
      <c r="Z245" s="353" t="s">
        <v>382</v>
      </c>
      <c r="AA245" s="88">
        <f t="shared" si="13"/>
        <v>42477</v>
      </c>
      <c r="AB245" s="236">
        <v>4176000</v>
      </c>
      <c r="AC245" s="236">
        <v>3364000</v>
      </c>
      <c r="AD245" s="236">
        <v>3364000</v>
      </c>
      <c r="AE245" s="236">
        <v>3364000</v>
      </c>
      <c r="AF245" s="236">
        <v>3364000</v>
      </c>
      <c r="AG245" s="236">
        <v>10092000</v>
      </c>
      <c r="AH245" s="236">
        <v>16820000</v>
      </c>
      <c r="AI245" s="236">
        <v>2088000</v>
      </c>
      <c r="AJ245" s="236">
        <v>3364000</v>
      </c>
      <c r="AK245" s="236">
        <v>16820000</v>
      </c>
      <c r="AL245" s="236"/>
      <c r="AM245" s="236"/>
      <c r="AN245" s="236"/>
      <c r="AO245" s="236"/>
      <c r="AP245" s="236"/>
      <c r="AQ245" s="236"/>
      <c r="AR245" s="236"/>
      <c r="AS245" s="236"/>
      <c r="AT245" s="369">
        <v>42514</v>
      </c>
      <c r="AU245" s="91">
        <f t="shared" si="14"/>
        <v>66816000</v>
      </c>
      <c r="AV245" s="14"/>
      <c r="AW245" s="1"/>
    </row>
    <row r="246" spans="1:49" ht="38.25" hidden="1" customHeight="1" x14ac:dyDescent="0.25">
      <c r="A246" s="85">
        <v>240</v>
      </c>
      <c r="B246" s="2" t="str">
        <f>+'Base de Datos'!E246</f>
        <v>140319-0-2014</v>
      </c>
      <c r="C246" s="2" t="str">
        <f>+'Base de Datos'!F246</f>
        <v>CANAL REGIONAL DE TELEVISION TEVEANDINA LTDA - TEVEANDINA LTDA</v>
      </c>
      <c r="D246" s="2">
        <f>+'Base de Datos'!G246</f>
        <v>830005370</v>
      </c>
      <c r="E246" s="2" t="str">
        <f>+'Base de Datos'!H246</f>
        <v>Realizar la preproducción, producción, postproducción y emisión de programas de televisión para el Concejo de Bogotá</v>
      </c>
      <c r="F246" s="221">
        <f>+'Base de Datos'!I246</f>
        <v>818527824</v>
      </c>
      <c r="G246" s="220">
        <f>+'Base de Datos'!M246</f>
        <v>41921</v>
      </c>
      <c r="H246" s="220">
        <f>+'Base de Datos'!N246</f>
        <v>42102</v>
      </c>
      <c r="I246" s="183"/>
      <c r="J246" s="359"/>
      <c r="K246" s="183"/>
      <c r="L246" s="359"/>
      <c r="M246" s="183"/>
      <c r="N246" s="359"/>
      <c r="O246" s="183"/>
      <c r="P246" s="359"/>
      <c r="Q246" s="86">
        <f t="shared" si="12"/>
        <v>0</v>
      </c>
      <c r="R246" s="372" t="s">
        <v>1614</v>
      </c>
      <c r="S246" s="370">
        <v>42116</v>
      </c>
      <c r="T246" s="372"/>
      <c r="U246" s="370"/>
      <c r="V246" s="372"/>
      <c r="W246" s="370"/>
      <c r="X246" s="372"/>
      <c r="Y246" s="370"/>
      <c r="Z246" s="353" t="s">
        <v>1327</v>
      </c>
      <c r="AA246" s="88">
        <f t="shared" si="13"/>
        <v>42116</v>
      </c>
      <c r="AB246" s="237">
        <v>52636618</v>
      </c>
      <c r="AC246" s="236">
        <v>136421304</v>
      </c>
      <c r="AD246" s="236">
        <v>155249340</v>
      </c>
      <c r="AE246" s="236">
        <v>124199472</v>
      </c>
      <c r="AF246" s="236">
        <v>124199472</v>
      </c>
      <c r="AG246" s="236">
        <v>142730764</v>
      </c>
      <c r="AH246" s="236">
        <v>65353738</v>
      </c>
      <c r="AI246" s="236"/>
      <c r="AJ246" s="236"/>
      <c r="AK246" s="236"/>
      <c r="AL246" s="236"/>
      <c r="AM246" s="236"/>
      <c r="AN246" s="236"/>
      <c r="AO246" s="236"/>
      <c r="AP246" s="236"/>
      <c r="AQ246" s="236"/>
      <c r="AR246" s="236"/>
      <c r="AS246" s="236"/>
      <c r="AT246" s="369">
        <v>42139</v>
      </c>
      <c r="AU246" s="91">
        <f t="shared" si="14"/>
        <v>800790708</v>
      </c>
    </row>
    <row r="247" spans="1:49" ht="38.25" hidden="1" customHeight="1" x14ac:dyDescent="0.25">
      <c r="A247" s="85">
        <v>241</v>
      </c>
      <c r="B247" s="2" t="str">
        <f>+'Base de Datos'!E247</f>
        <v>140322-0-2014</v>
      </c>
      <c r="C247" s="2" t="str">
        <f>+'Base de Datos'!F247</f>
        <v>SUMIMAS SAS</v>
      </c>
      <c r="D247" s="2">
        <f>+'Base de Datos'!G247</f>
        <v>830001338</v>
      </c>
      <c r="E247" s="2" t="str">
        <f>+'Base de Datos'!H247</f>
        <v>Adquisión de equipos y licencias para la actualización de la plataforma tecnológica del Concejo de Bogotá, de conformidad con lo establecido en el pliego de condiciones SDH-SIE-12-2014 y la propuesta presentada por el contratista.</v>
      </c>
      <c r="F247" s="221">
        <f>+'Base de Datos'!I247</f>
        <v>75520000</v>
      </c>
      <c r="G247" s="220">
        <f>+'Base de Datos'!M247</f>
        <v>41929</v>
      </c>
      <c r="H247" s="220">
        <f>+'Base de Datos'!N247</f>
        <v>42294</v>
      </c>
      <c r="I247" s="183"/>
      <c r="J247" s="359"/>
      <c r="K247" s="183"/>
      <c r="L247" s="359"/>
      <c r="M247" s="183"/>
      <c r="N247" s="359"/>
      <c r="O247" s="183"/>
      <c r="P247" s="359"/>
      <c r="Q247" s="86">
        <f t="shared" si="12"/>
        <v>0</v>
      </c>
      <c r="R247" s="372" t="s">
        <v>378</v>
      </c>
      <c r="S247" s="370"/>
      <c r="T247" s="372"/>
      <c r="U247" s="370"/>
      <c r="V247" s="372"/>
      <c r="W247" s="370"/>
      <c r="X247" s="372"/>
      <c r="Y247" s="370"/>
      <c r="Z247" s="353" t="s">
        <v>378</v>
      </c>
      <c r="AA247" s="88">
        <v>42369</v>
      </c>
      <c r="AB247" s="236">
        <v>62268670</v>
      </c>
      <c r="AC247" s="236">
        <v>6625664</v>
      </c>
      <c r="AD247" s="236">
        <v>6625665</v>
      </c>
      <c r="AE247" s="236"/>
      <c r="AF247" s="236"/>
      <c r="AG247" s="236"/>
      <c r="AH247" s="236"/>
      <c r="AI247" s="236"/>
      <c r="AJ247" s="236"/>
      <c r="AK247" s="236"/>
      <c r="AL247" s="236"/>
      <c r="AM247" s="236"/>
      <c r="AN247" s="236"/>
      <c r="AO247" s="236"/>
      <c r="AP247" s="236"/>
      <c r="AQ247" s="236"/>
      <c r="AR247" s="236"/>
      <c r="AS247" s="236"/>
      <c r="AT247" s="369">
        <v>42265</v>
      </c>
      <c r="AU247" s="91">
        <f t="shared" si="14"/>
        <v>75519999</v>
      </c>
    </row>
    <row r="248" spans="1:49" ht="38.25" hidden="1" customHeight="1" x14ac:dyDescent="0.25">
      <c r="A248" s="85">
        <v>242</v>
      </c>
      <c r="B248" s="2" t="str">
        <f>+'Base de Datos'!E248</f>
        <v>140330-0-2014</v>
      </c>
      <c r="C248" s="2" t="str">
        <f>+'Base de Datos'!F248</f>
        <v>SOLUCIONES INTEGRALES DE OFICINAS      SAS</v>
      </c>
      <c r="D248" s="2">
        <f>+'Base de Datos'!G248</f>
        <v>830080652</v>
      </c>
      <c r="E248" s="2" t="str">
        <f>+'Base de Datos'!H248</f>
        <v>Adquisición e instalación de cortinas enrollables tipo Blackout, para el Concejo de Bogotá, D.C., de conformidad con lo establecido en la presente invitación pública SDH-SMINC-55-2014 y la propuesta por ustedes presentadas.</v>
      </c>
      <c r="F248" s="221">
        <f>+'Base de Datos'!I248</f>
        <v>324800</v>
      </c>
      <c r="G248" s="220">
        <f>+'Base de Datos'!M248</f>
        <v>41939</v>
      </c>
      <c r="H248" s="220">
        <f>+'Base de Datos'!N248</f>
        <v>41970</v>
      </c>
      <c r="I248" s="183"/>
      <c r="J248" s="359"/>
      <c r="K248" s="183"/>
      <c r="L248" s="359"/>
      <c r="M248" s="183"/>
      <c r="N248" s="359"/>
      <c r="O248" s="183"/>
      <c r="P248" s="359"/>
      <c r="Q248" s="86">
        <f t="shared" si="12"/>
        <v>0</v>
      </c>
      <c r="R248" s="372"/>
      <c r="S248" s="370"/>
      <c r="T248" s="372"/>
      <c r="U248" s="370"/>
      <c r="V248" s="372"/>
      <c r="W248" s="370"/>
      <c r="X248" s="372"/>
      <c r="Y248" s="370"/>
      <c r="Z248" s="353"/>
      <c r="AA248" s="88">
        <f t="shared" si="13"/>
        <v>0</v>
      </c>
      <c r="AB248" s="237">
        <v>324800</v>
      </c>
      <c r="AC248" s="236"/>
      <c r="AD248" s="236"/>
      <c r="AE248" s="236"/>
      <c r="AF248" s="236"/>
      <c r="AG248" s="236"/>
      <c r="AH248" s="236"/>
      <c r="AI248" s="236"/>
      <c r="AJ248" s="236"/>
      <c r="AK248" s="236"/>
      <c r="AL248" s="236"/>
      <c r="AM248" s="236"/>
      <c r="AN248" s="236"/>
      <c r="AO248" s="236"/>
      <c r="AP248" s="236"/>
      <c r="AQ248" s="236"/>
      <c r="AR248" s="236"/>
      <c r="AS248" s="236"/>
      <c r="AT248" s="369">
        <v>41992</v>
      </c>
      <c r="AU248" s="91">
        <f t="shared" si="14"/>
        <v>324800</v>
      </c>
    </row>
    <row r="249" spans="1:49" ht="42.75" hidden="1" customHeight="1" x14ac:dyDescent="0.25">
      <c r="A249" s="85">
        <v>243</v>
      </c>
      <c r="B249" s="2" t="str">
        <f>+'Base de Datos'!E249</f>
        <v>140342-0-2014</v>
      </c>
      <c r="C249" s="2" t="str">
        <f>+'Base de Datos'!F249</f>
        <v>EDITORES CONARTE SAS</v>
      </c>
      <c r="D249" s="2">
        <f>+'Base de Datos'!G249</f>
        <v>830120684</v>
      </c>
      <c r="E249" s="2" t="str">
        <f>+'Base de Datos'!H249</f>
        <v>Prestar el servicio de empaste y/o encuadernación de documentos del Concejo de Bogotá D.C.</v>
      </c>
      <c r="F249" s="221">
        <f>+'Base de Datos'!I249</f>
        <v>1659960</v>
      </c>
      <c r="G249" s="220">
        <f>+'Base de Datos'!M249</f>
        <v>41968</v>
      </c>
      <c r="H249" s="220">
        <f>+'Base de Datos'!N249</f>
        <v>42241</v>
      </c>
      <c r="I249" s="183">
        <v>800000</v>
      </c>
      <c r="J249" s="359">
        <v>42088</v>
      </c>
      <c r="K249" s="183"/>
      <c r="L249" s="359"/>
      <c r="M249" s="183"/>
      <c r="N249" s="359"/>
      <c r="O249" s="183"/>
      <c r="P249" s="359"/>
      <c r="Q249" s="86">
        <f t="shared" si="12"/>
        <v>800000</v>
      </c>
      <c r="R249" s="372"/>
      <c r="S249" s="370"/>
      <c r="T249" s="372"/>
      <c r="U249" s="370"/>
      <c r="V249" s="372"/>
      <c r="W249" s="370"/>
      <c r="X249" s="372"/>
      <c r="Y249" s="370"/>
      <c r="Z249" s="353"/>
      <c r="AA249" s="88">
        <f t="shared" si="13"/>
        <v>0</v>
      </c>
      <c r="AB249" s="236">
        <v>184400</v>
      </c>
      <c r="AC249" s="236">
        <v>2273484</v>
      </c>
      <c r="AD249" s="236"/>
      <c r="AE249" s="236"/>
      <c r="AF249" s="236"/>
      <c r="AG249" s="236"/>
      <c r="AH249" s="236"/>
      <c r="AI249" s="236"/>
      <c r="AJ249" s="236"/>
      <c r="AK249" s="236"/>
      <c r="AL249" s="236"/>
      <c r="AM249" s="236"/>
      <c r="AN249" s="236"/>
      <c r="AO249" s="236"/>
      <c r="AP249" s="236"/>
      <c r="AQ249" s="236"/>
      <c r="AR249" s="236"/>
      <c r="AS249" s="236"/>
      <c r="AT249" s="369">
        <v>42094</v>
      </c>
      <c r="AU249" s="91">
        <f t="shared" si="14"/>
        <v>2457884</v>
      </c>
    </row>
    <row r="250" spans="1:49" s="57" customFormat="1" ht="38.25" hidden="1" customHeight="1" x14ac:dyDescent="0.25">
      <c r="A250" s="85">
        <v>244</v>
      </c>
      <c r="B250" s="2" t="str">
        <f>+'Base de Datos'!E250</f>
        <v>140344-0-2014</v>
      </c>
      <c r="C250" s="2" t="str">
        <f>+'Base de Datos'!F250</f>
        <v>GUSTAVO ADOLFO BARRETO CASANOVA</v>
      </c>
      <c r="D250" s="2">
        <f>+'Base de Datos'!G250</f>
        <v>79403174</v>
      </c>
      <c r="E250" s="2" t="str">
        <f>+'Base de Datos'!H250</f>
        <v>Prestar los servicios profesionales para apoyar en el desarrollo e implementación de la ERP del Sistema Hacendario SiCapital en el Concejo de Bogotá, bajo versión en Oracle IDS 10G.</v>
      </c>
      <c r="F250" s="221">
        <f>+'Base de Datos'!I250</f>
        <v>20188000</v>
      </c>
      <c r="G250" s="220">
        <f>+'Base de Datos'!M250</f>
        <v>41957</v>
      </c>
      <c r="H250" s="220">
        <f>+'Base de Datos'!N250</f>
        <v>42077</v>
      </c>
      <c r="I250" s="183"/>
      <c r="J250" s="359"/>
      <c r="K250" s="183"/>
      <c r="L250" s="359"/>
      <c r="M250" s="183"/>
      <c r="N250" s="359"/>
      <c r="O250" s="183"/>
      <c r="P250" s="359"/>
      <c r="Q250" s="86">
        <f t="shared" si="12"/>
        <v>0</v>
      </c>
      <c r="R250" s="372"/>
      <c r="S250" s="370"/>
      <c r="T250" s="372"/>
      <c r="U250" s="370"/>
      <c r="V250" s="372"/>
      <c r="W250" s="370"/>
      <c r="X250" s="372"/>
      <c r="Y250" s="370"/>
      <c r="Z250" s="353"/>
      <c r="AA250" s="88">
        <f t="shared" si="13"/>
        <v>0</v>
      </c>
      <c r="AB250" s="236">
        <v>20188000</v>
      </c>
      <c r="AC250" s="236"/>
      <c r="AD250" s="236"/>
      <c r="AE250" s="236"/>
      <c r="AF250" s="236"/>
      <c r="AG250" s="236"/>
      <c r="AH250" s="236"/>
      <c r="AI250" s="236"/>
      <c r="AJ250" s="236"/>
      <c r="AK250" s="236"/>
      <c r="AL250" s="236"/>
      <c r="AM250" s="236"/>
      <c r="AN250" s="236"/>
      <c r="AO250" s="236"/>
      <c r="AP250" s="236"/>
      <c r="AQ250" s="236"/>
      <c r="AR250" s="236"/>
      <c r="AS250" s="236"/>
      <c r="AT250" s="369">
        <v>0</v>
      </c>
      <c r="AU250" s="91">
        <f t="shared" si="14"/>
        <v>20188000</v>
      </c>
      <c r="AV250" s="14"/>
      <c r="AW250" s="1"/>
    </row>
    <row r="251" spans="1:49" ht="38.25" hidden="1" customHeight="1" x14ac:dyDescent="0.25">
      <c r="A251" s="85">
        <v>245</v>
      </c>
      <c r="B251" s="2" t="str">
        <f>+'Base de Datos'!E251</f>
        <v>140315-0-2014</v>
      </c>
      <c r="C251" s="2" t="str">
        <f>+'Base de Datos'!F251</f>
        <v>PROSEGUR TECNOLOGÍA S.A.S.</v>
      </c>
      <c r="D251" s="2">
        <f>+'Base de Datos'!G251</f>
        <v>830025104</v>
      </c>
      <c r="E251" s="2" t="str">
        <f>+'Base de Datos'!H251</f>
        <v>Llevar a cabo la actualización de hardware y software para el sistema de voto electrónico del Concejo de Bogotá.</v>
      </c>
      <c r="F251" s="221">
        <f>+'Base de Datos'!I251</f>
        <v>59383678</v>
      </c>
      <c r="G251" s="220">
        <f>+'Base de Datos'!M251</f>
        <v>41941</v>
      </c>
      <c r="H251" s="220">
        <f>+'Base de Datos'!N251</f>
        <v>42033</v>
      </c>
      <c r="I251" s="183"/>
      <c r="J251" s="359"/>
      <c r="K251" s="183"/>
      <c r="L251" s="359"/>
      <c r="M251" s="183"/>
      <c r="N251" s="359"/>
      <c r="O251" s="183"/>
      <c r="P251" s="359"/>
      <c r="Q251" s="86">
        <f t="shared" si="12"/>
        <v>0</v>
      </c>
      <c r="R251" s="284" t="s">
        <v>378</v>
      </c>
      <c r="S251" s="352">
        <v>42092</v>
      </c>
      <c r="T251" s="372" t="s">
        <v>378</v>
      </c>
      <c r="U251" s="370">
        <v>42153</v>
      </c>
      <c r="V251" s="372" t="s">
        <v>381</v>
      </c>
      <c r="W251" s="370">
        <v>42184</v>
      </c>
      <c r="X251" s="372"/>
      <c r="Y251" s="370"/>
      <c r="Z251" s="353" t="s">
        <v>544</v>
      </c>
      <c r="AA251" s="88">
        <f t="shared" si="13"/>
        <v>42184</v>
      </c>
      <c r="AB251" s="236">
        <v>27770152</v>
      </c>
      <c r="AC251" s="236"/>
      <c r="AD251" s="236"/>
      <c r="AE251" s="236"/>
      <c r="AF251" s="236"/>
      <c r="AG251" s="236"/>
      <c r="AH251" s="236"/>
      <c r="AI251" s="236"/>
      <c r="AJ251" s="236"/>
      <c r="AK251" s="236"/>
      <c r="AL251" s="236"/>
      <c r="AM251" s="236"/>
      <c r="AN251" s="236"/>
      <c r="AO251" s="236"/>
      <c r="AP251" s="236"/>
      <c r="AQ251" s="236"/>
      <c r="AR251" s="236"/>
      <c r="AS251" s="236"/>
      <c r="AT251" s="369">
        <v>42334</v>
      </c>
      <c r="AU251" s="91">
        <f t="shared" si="14"/>
        <v>27770152</v>
      </c>
    </row>
    <row r="252" spans="1:49" ht="38.25" hidden="1" customHeight="1" x14ac:dyDescent="0.25">
      <c r="A252" s="85">
        <v>246</v>
      </c>
      <c r="B252" s="2" t="str">
        <f>+'Base de Datos'!E252</f>
        <v>140334-0-2014</v>
      </c>
      <c r="C252" s="2" t="str">
        <f>+'Base de Datos'!F252</f>
        <v>EDITORIAL EL GLOBO S.A</v>
      </c>
      <c r="D252" s="2">
        <f>+'Base de Datos'!G252</f>
        <v>860009759</v>
      </c>
      <c r="E252" s="2" t="str">
        <f>+'Base de Datos'!H252</f>
        <v>Suscripción al diário  La República, para el Concejo de Bogotá D.C.</v>
      </c>
      <c r="F252" s="221">
        <f>+'Base de Datos'!I252</f>
        <v>764100</v>
      </c>
      <c r="G252" s="220">
        <f>+'Base de Datos'!M252</f>
        <v>41970</v>
      </c>
      <c r="H252" s="220">
        <f>+'Base de Datos'!N252</f>
        <v>42335</v>
      </c>
      <c r="I252" s="183"/>
      <c r="J252" s="359"/>
      <c r="K252" s="183"/>
      <c r="L252" s="359"/>
      <c r="M252" s="183"/>
      <c r="N252" s="359"/>
      <c r="O252" s="183"/>
      <c r="P252" s="359"/>
      <c r="Q252" s="86">
        <f t="shared" si="12"/>
        <v>0</v>
      </c>
      <c r="R252" s="372"/>
      <c r="S252" s="370"/>
      <c r="T252" s="372"/>
      <c r="U252" s="370"/>
      <c r="V252" s="372"/>
      <c r="W252" s="370"/>
      <c r="X252" s="372"/>
      <c r="Y252" s="370"/>
      <c r="Z252" s="353"/>
      <c r="AA252" s="89">
        <f t="shared" ref="AA252:AA261" si="15">MAX(S252,U252,W252,Y252)</f>
        <v>0</v>
      </c>
      <c r="AB252" s="236">
        <v>764100</v>
      </c>
      <c r="AC252" s="236"/>
      <c r="AD252" s="236"/>
      <c r="AE252" s="236"/>
      <c r="AF252" s="236"/>
      <c r="AG252" s="236"/>
      <c r="AH252" s="236"/>
      <c r="AI252" s="236"/>
      <c r="AJ252" s="236"/>
      <c r="AK252" s="236"/>
      <c r="AL252" s="236"/>
      <c r="AM252" s="236"/>
      <c r="AN252" s="236"/>
      <c r="AO252" s="236"/>
      <c r="AP252" s="236"/>
      <c r="AQ252" s="236"/>
      <c r="AR252" s="236"/>
      <c r="AS252" s="236"/>
      <c r="AT252" s="369">
        <v>41989</v>
      </c>
      <c r="AU252" s="91">
        <f t="shared" si="14"/>
        <v>764100</v>
      </c>
    </row>
    <row r="253" spans="1:49" ht="38.25" hidden="1" customHeight="1" x14ac:dyDescent="0.25">
      <c r="A253" s="85">
        <v>247</v>
      </c>
      <c r="B253" s="2" t="str">
        <f>+'Base de Datos'!E253</f>
        <v>140310-0-2014</v>
      </c>
      <c r="C253" s="2" t="str">
        <f>+'Base de Datos'!F253</f>
        <v>TECOLSOF SAS</v>
      </c>
      <c r="D253" s="2">
        <f>+'Base de Datos'!G253</f>
        <v>805007625</v>
      </c>
      <c r="E253" s="2" t="str">
        <f>+'Base de Datos'!H253</f>
        <v>Prestar el servicio para la gestión integral de servcios de mesa de ayuda, soporte informático, mantenimiento preventivo ycorrectivo de la infraestructura tecnológica con suministro de repuestos para el Concejo de Bogotá D.C., de conformidad con lo establecido en el presente pliego de condiciones del Proceso SDH-SAMC-03-2014.</v>
      </c>
      <c r="F253" s="221">
        <f>+'Base de Datos'!I253</f>
        <v>108570688</v>
      </c>
      <c r="G253" s="220">
        <f>+'Base de Datos'!M253</f>
        <v>41935</v>
      </c>
      <c r="H253" s="220">
        <f>+'Base de Datos'!N253</f>
        <v>42117</v>
      </c>
      <c r="I253" s="183">
        <v>54285345</v>
      </c>
      <c r="J253" s="359">
        <v>42117</v>
      </c>
      <c r="K253" s="183"/>
      <c r="L253" s="359"/>
      <c r="M253" s="183"/>
      <c r="N253" s="359"/>
      <c r="O253" s="183"/>
      <c r="P253" s="359"/>
      <c r="Q253" s="86">
        <f t="shared" si="12"/>
        <v>54285345</v>
      </c>
      <c r="R253" s="372" t="s">
        <v>379</v>
      </c>
      <c r="S253" s="370">
        <v>42208</v>
      </c>
      <c r="T253" s="372"/>
      <c r="U253" s="370"/>
      <c r="V253" s="372"/>
      <c r="W253" s="370"/>
      <c r="X253" s="372"/>
      <c r="Y253" s="370"/>
      <c r="Z253" s="353" t="s">
        <v>379</v>
      </c>
      <c r="AA253" s="89">
        <f t="shared" si="15"/>
        <v>42208</v>
      </c>
      <c r="AB253" s="236"/>
      <c r="AC253" s="236"/>
      <c r="AD253" s="236"/>
      <c r="AE253" s="236">
        <v>5203928</v>
      </c>
      <c r="AF253" s="236">
        <v>15595114</v>
      </c>
      <c r="AG253" s="236">
        <v>134866529</v>
      </c>
      <c r="AH253" s="236"/>
      <c r="AI253" s="236"/>
      <c r="AJ253" s="236"/>
      <c r="AK253" s="236"/>
      <c r="AL253" s="236"/>
      <c r="AM253" s="236"/>
      <c r="AN253" s="236"/>
      <c r="AO253" s="236"/>
      <c r="AP253" s="236"/>
      <c r="AQ253" s="236"/>
      <c r="AR253" s="236"/>
      <c r="AS253" s="236"/>
      <c r="AT253" s="369">
        <v>42150</v>
      </c>
      <c r="AU253" s="91">
        <f t="shared" si="14"/>
        <v>155665571</v>
      </c>
    </row>
    <row r="254" spans="1:49" ht="38.25" hidden="1" customHeight="1" x14ac:dyDescent="0.25">
      <c r="A254" s="85">
        <v>248</v>
      </c>
      <c r="B254" s="2" t="str">
        <f>+'Base de Datos'!E254</f>
        <v>140313-0-2014</v>
      </c>
      <c r="C254" s="2" t="str">
        <f>+'Base de Datos'!F254</f>
        <v>M@ICROTEL LTDA</v>
      </c>
      <c r="D254" s="2">
        <f>+'Base de Datos'!G254</f>
        <v>860353110</v>
      </c>
      <c r="E254" s="2" t="str">
        <f>+'Base de Datos'!H254</f>
        <v>Adquisición y mantenimiento del sistema WI - FI del Concejo de Bogotá.</v>
      </c>
      <c r="F254" s="221">
        <f>+'Base de Datos'!I254</f>
        <v>27235640</v>
      </c>
      <c r="G254" s="220">
        <f>+'Base de Datos'!M254</f>
        <v>41969</v>
      </c>
      <c r="H254" s="220">
        <f>+'Base de Datos'!N254</f>
        <v>42334</v>
      </c>
      <c r="I254" s="183"/>
      <c r="J254" s="359"/>
      <c r="K254" s="183"/>
      <c r="L254" s="359"/>
      <c r="M254" s="183"/>
      <c r="N254" s="359"/>
      <c r="O254" s="183"/>
      <c r="P254" s="359"/>
      <c r="Q254" s="86">
        <f t="shared" si="12"/>
        <v>0</v>
      </c>
      <c r="R254" s="372"/>
      <c r="S254" s="370"/>
      <c r="T254" s="372"/>
      <c r="U254" s="370"/>
      <c r="V254" s="372"/>
      <c r="W254" s="370"/>
      <c r="X254" s="372"/>
      <c r="Y254" s="370"/>
      <c r="Z254" s="353"/>
      <c r="AA254" s="89">
        <f t="shared" si="15"/>
        <v>0</v>
      </c>
      <c r="AB254" s="236">
        <v>14265929</v>
      </c>
      <c r="AC254" s="236">
        <v>1711911</v>
      </c>
      <c r="AD254" s="236">
        <v>1392000</v>
      </c>
      <c r="AE254" s="236">
        <v>9865800</v>
      </c>
      <c r="AF254" s="236"/>
      <c r="AG254" s="236"/>
      <c r="AH254" s="236"/>
      <c r="AI254" s="236"/>
      <c r="AJ254" s="236"/>
      <c r="AK254" s="236"/>
      <c r="AL254" s="236"/>
      <c r="AM254" s="236"/>
      <c r="AN254" s="236"/>
      <c r="AO254" s="236"/>
      <c r="AP254" s="236"/>
      <c r="AQ254" s="236"/>
      <c r="AR254" s="236"/>
      <c r="AS254" s="236"/>
      <c r="AT254" s="369">
        <v>42304</v>
      </c>
      <c r="AU254" s="91">
        <f t="shared" si="14"/>
        <v>27235640</v>
      </c>
    </row>
    <row r="255" spans="1:49" ht="38.25" hidden="1" customHeight="1" x14ac:dyDescent="0.25">
      <c r="A255" s="85">
        <v>249</v>
      </c>
      <c r="B255" s="2" t="str">
        <f>+'Base de Datos'!E255</f>
        <v>140332-0-2014</v>
      </c>
      <c r="C255" s="2" t="str">
        <f>+'Base de Datos'!F255</f>
        <v>CARLOS ALBERTO CASTELLANOS MEDINA</v>
      </c>
      <c r="D255" s="2">
        <f>+'Base de Datos'!G255</f>
        <v>79797614</v>
      </c>
      <c r="E255" s="2" t="str">
        <f>+'Base de Datos'!H255</f>
        <v>Contratar la actualización, licenciamiento, configuración, soporte, mantenimiento y puesta en operación del software de gestión documental - Winisis, usado actualmente por el Concejo de Bogotá.</v>
      </c>
      <c r="F255" s="221">
        <f>+'Base de Datos'!I255</f>
        <v>39999999</v>
      </c>
      <c r="G255" s="220">
        <f>+'Base de Datos'!M255</f>
        <v>41957</v>
      </c>
      <c r="H255" s="220">
        <f>+'Base de Datos'!N255</f>
        <v>42504</v>
      </c>
      <c r="I255" s="183"/>
      <c r="J255" s="359"/>
      <c r="K255" s="183"/>
      <c r="L255" s="359"/>
      <c r="M255" s="183"/>
      <c r="N255" s="359"/>
      <c r="O255" s="183"/>
      <c r="P255" s="359"/>
      <c r="Q255" s="86">
        <f t="shared" si="12"/>
        <v>0</v>
      </c>
      <c r="R255" s="372"/>
      <c r="S255" s="370"/>
      <c r="T255" s="372"/>
      <c r="U255" s="370"/>
      <c r="V255" s="372"/>
      <c r="W255" s="370"/>
      <c r="X255" s="372"/>
      <c r="Y255" s="370"/>
      <c r="Z255" s="353"/>
      <c r="AA255" s="89">
        <f t="shared" si="15"/>
        <v>0</v>
      </c>
      <c r="AB255" s="236">
        <v>13999999</v>
      </c>
      <c r="AC255" s="236">
        <v>13999999</v>
      </c>
      <c r="AD255" s="236">
        <v>12000000</v>
      </c>
      <c r="AE255" s="236"/>
      <c r="AF255" s="236"/>
      <c r="AG255" s="236"/>
      <c r="AH255" s="236"/>
      <c r="AI255" s="236"/>
      <c r="AJ255" s="236"/>
      <c r="AK255" s="236"/>
      <c r="AL255" s="236"/>
      <c r="AM255" s="236"/>
      <c r="AN255" s="236"/>
      <c r="AO255" s="236"/>
      <c r="AP255" s="236"/>
      <c r="AQ255" s="236"/>
      <c r="AR255" s="236"/>
      <c r="AS255" s="236"/>
      <c r="AT255" s="369">
        <v>42355</v>
      </c>
      <c r="AU255" s="91">
        <f t="shared" si="14"/>
        <v>39999998</v>
      </c>
    </row>
    <row r="256" spans="1:49" ht="38.25" hidden="1" customHeight="1" x14ac:dyDescent="0.25">
      <c r="A256" s="85">
        <v>250</v>
      </c>
      <c r="B256" s="2" t="str">
        <f>+'Base de Datos'!E256</f>
        <v>140345-0-2014</v>
      </c>
      <c r="C256" s="2" t="str">
        <f>+'Base de Datos'!F256</f>
        <v>JOHN KENNEDY LEON CASTIBLANCO</v>
      </c>
      <c r="D256" s="2">
        <f>+'Base de Datos'!G256</f>
        <v>80100229</v>
      </c>
      <c r="E256" s="2" t="str">
        <f>+'Base de Datos'!H256</f>
        <v>Prestar los servicios profesionales para apoyar en el desarrollo e implementación de los sistemas de información requeridos en la organización construidos bajo la Plataforma ORACLE, en el Concejo de Bogotá D.C.</v>
      </c>
      <c r="F256" s="221">
        <f>+'Base de Datos'!I256</f>
        <v>17664500</v>
      </c>
      <c r="G256" s="220">
        <f>+'Base de Datos'!M256</f>
        <v>41956</v>
      </c>
      <c r="H256" s="220">
        <f>+'Base de Datos'!N256</f>
        <v>42063</v>
      </c>
      <c r="I256" s="183"/>
      <c r="J256" s="359"/>
      <c r="K256" s="183"/>
      <c r="L256" s="359"/>
      <c r="M256" s="183"/>
      <c r="N256" s="359"/>
      <c r="O256" s="183"/>
      <c r="P256" s="359"/>
      <c r="Q256" s="86">
        <f t="shared" si="12"/>
        <v>0</v>
      </c>
      <c r="R256" s="372"/>
      <c r="S256" s="370"/>
      <c r="T256" s="372"/>
      <c r="U256" s="370"/>
      <c r="V256" s="372"/>
      <c r="W256" s="370"/>
      <c r="X256" s="372"/>
      <c r="Y256" s="370"/>
      <c r="Z256" s="353"/>
      <c r="AA256" s="89">
        <f t="shared" si="15"/>
        <v>0</v>
      </c>
      <c r="AB256" s="236">
        <v>17664500</v>
      </c>
      <c r="AC256" s="236"/>
      <c r="AD256" s="236"/>
      <c r="AE256" s="236"/>
      <c r="AF256" s="236"/>
      <c r="AG256" s="236"/>
      <c r="AH256" s="236"/>
      <c r="AI256" s="236"/>
      <c r="AJ256" s="236"/>
      <c r="AK256" s="236"/>
      <c r="AL256" s="236"/>
      <c r="AM256" s="236"/>
      <c r="AN256" s="236"/>
      <c r="AO256" s="236"/>
      <c r="AP256" s="236"/>
      <c r="AQ256" s="236"/>
      <c r="AR256" s="236"/>
      <c r="AS256" s="236"/>
      <c r="AT256" s="369">
        <v>0</v>
      </c>
      <c r="AU256" s="91">
        <f t="shared" si="14"/>
        <v>17664500</v>
      </c>
    </row>
    <row r="257" spans="1:47" ht="38.25" hidden="1" customHeight="1" x14ac:dyDescent="0.25">
      <c r="A257" s="85">
        <v>251</v>
      </c>
      <c r="B257" s="2" t="str">
        <f>+'Base de Datos'!E257</f>
        <v>140356-0-2014</v>
      </c>
      <c r="C257" s="2" t="str">
        <f>+'Base de Datos'!F257</f>
        <v>S.O.S. SOLUCIONES DE OFICINA &amp; SUMINISTROS S.A.S.</v>
      </c>
      <c r="D257" s="2">
        <f>+'Base de Datos'!G257</f>
        <v>830087030</v>
      </c>
      <c r="E257" s="2" t="str">
        <f>+'Base de Datos'!H257</f>
        <v>Suministrar cajas para el embalaje de los documentos de archivo del Concejo de Bogotá D.C., de conformidad con lo establecido en la invitación pública.</v>
      </c>
      <c r="F257" s="221">
        <f>+'Base de Datos'!I257</f>
        <v>4750000</v>
      </c>
      <c r="G257" s="220">
        <f>+'Base de Datos'!M257</f>
        <v>41968</v>
      </c>
      <c r="H257" s="220">
        <f>+'Base de Datos'!N257</f>
        <v>42060</v>
      </c>
      <c r="I257" s="183"/>
      <c r="J257" s="359"/>
      <c r="K257" s="183"/>
      <c r="L257" s="359"/>
      <c r="M257" s="183"/>
      <c r="N257" s="359"/>
      <c r="O257" s="183"/>
      <c r="P257" s="359"/>
      <c r="Q257" s="86">
        <f t="shared" si="12"/>
        <v>0</v>
      </c>
      <c r="R257" s="372"/>
      <c r="S257" s="370"/>
      <c r="T257" s="372"/>
      <c r="U257" s="370"/>
      <c r="V257" s="372"/>
      <c r="W257" s="370"/>
      <c r="X257" s="372"/>
      <c r="Y257" s="370"/>
      <c r="Z257" s="353"/>
      <c r="AA257" s="89">
        <f t="shared" si="15"/>
        <v>0</v>
      </c>
      <c r="AB257" s="236">
        <v>3978684</v>
      </c>
      <c r="AC257" s="236"/>
      <c r="AD257" s="236"/>
      <c r="AE257" s="236"/>
      <c r="AF257" s="236"/>
      <c r="AG257" s="236"/>
      <c r="AH257" s="236"/>
      <c r="AI257" s="236"/>
      <c r="AJ257" s="236"/>
      <c r="AK257" s="236"/>
      <c r="AL257" s="236"/>
      <c r="AM257" s="236"/>
      <c r="AN257" s="236"/>
      <c r="AO257" s="236"/>
      <c r="AP257" s="236"/>
      <c r="AQ257" s="236"/>
      <c r="AR257" s="236"/>
      <c r="AS257" s="236"/>
      <c r="AT257" s="369">
        <v>42088</v>
      </c>
      <c r="AU257" s="91">
        <f t="shared" si="14"/>
        <v>3978684</v>
      </c>
    </row>
    <row r="258" spans="1:47" ht="38.25" hidden="1" customHeight="1" x14ac:dyDescent="0.25">
      <c r="A258" s="85">
        <v>252</v>
      </c>
      <c r="B258" s="2" t="str">
        <f>+'Base de Datos'!E258</f>
        <v>140351-0-2014</v>
      </c>
      <c r="C258" s="2" t="str">
        <f>+'Base de Datos'!F258</f>
        <v>J.A. ZABALA &amp; CONSULTORES ASOCIADOS LTDA.</v>
      </c>
      <c r="D258" s="2">
        <f>+'Base de Datos'!G258</f>
        <v>830050919</v>
      </c>
      <c r="E258" s="2" t="str">
        <f>+'Base de Datos'!H258</f>
        <v>Prestar los servicios integrales para desarrollar actividades contenidas en el Plan de Bienestar e Incentivos del Concejo de Bogotá. Según invitación pública N° SDH-LP-01-2014</v>
      </c>
      <c r="F258" s="221">
        <f>+'Base de Datos'!I258</f>
        <v>506601000</v>
      </c>
      <c r="G258" s="220">
        <f>+'Base de Datos'!M258</f>
        <v>41963</v>
      </c>
      <c r="H258" s="220">
        <f>+'Base de Datos'!N258</f>
        <v>42205</v>
      </c>
      <c r="I258" s="183">
        <v>15868800</v>
      </c>
      <c r="J258" s="359">
        <v>42123</v>
      </c>
      <c r="K258" s="183">
        <v>146237869</v>
      </c>
      <c r="L258" s="359">
        <v>42179</v>
      </c>
      <c r="M258" s="183"/>
      <c r="N258" s="359"/>
      <c r="O258" s="183"/>
      <c r="P258" s="359"/>
      <c r="Q258" s="86">
        <f t="shared" si="12"/>
        <v>162106669</v>
      </c>
      <c r="R258" s="372"/>
      <c r="S258" s="370"/>
      <c r="T258" s="372"/>
      <c r="U258" s="370"/>
      <c r="V258" s="372"/>
      <c r="W258" s="370"/>
      <c r="X258" s="372"/>
      <c r="Y258" s="370"/>
      <c r="Z258" s="353"/>
      <c r="AA258" s="89">
        <f t="shared" si="15"/>
        <v>0</v>
      </c>
      <c r="AB258" s="237">
        <v>352056250</v>
      </c>
      <c r="AC258" s="236">
        <v>33425000</v>
      </c>
      <c r="AD258" s="236">
        <v>32270933</v>
      </c>
      <c r="AE258" s="236">
        <v>40144000</v>
      </c>
      <c r="AF258" s="236">
        <v>20188779</v>
      </c>
      <c r="AG258" s="236">
        <v>7700000</v>
      </c>
      <c r="AH258" s="236">
        <v>168742868</v>
      </c>
      <c r="AI258" s="236">
        <v>10810000</v>
      </c>
      <c r="AJ258" s="236"/>
      <c r="AK258" s="236"/>
      <c r="AL258" s="236"/>
      <c r="AM258" s="236"/>
      <c r="AN258" s="236"/>
      <c r="AO258" s="236"/>
      <c r="AP258" s="236"/>
      <c r="AQ258" s="236"/>
      <c r="AR258" s="236"/>
      <c r="AS258" s="236"/>
      <c r="AT258" s="369">
        <v>42243</v>
      </c>
      <c r="AU258" s="91">
        <f t="shared" si="14"/>
        <v>665337830</v>
      </c>
    </row>
    <row r="259" spans="1:47" ht="38.25" hidden="1" customHeight="1" x14ac:dyDescent="0.25">
      <c r="A259" s="85">
        <v>253</v>
      </c>
      <c r="B259" s="2" t="str">
        <f>+'Base de Datos'!E259</f>
        <v>140367-0-2014</v>
      </c>
      <c r="C259" s="2" t="str">
        <f>+'Base de Datos'!F259</f>
        <v>CENTRO DE RECURSOS EDUCATIVOS PARA LA COMPETITIVIDAD EMPRESARIAL LTDA - CRECE</v>
      </c>
      <c r="D259" s="2">
        <f>+'Base de Datos'!G259</f>
        <v>830143378</v>
      </c>
      <c r="E259" s="2" t="str">
        <f>+'Base de Datos'!H259</f>
        <v>Ejecutar actividades del plan institucional de capacitación del Concejo de Bogotá D.C. Grupo No. 3, de conformidad con lo establecido en el pliego de condiciones de la Licitación Pública No. SDH-LP-02-2014 y la propuesta presentada por el contratista.</v>
      </c>
      <c r="F259" s="221">
        <f>+'Base de Datos'!I259</f>
        <v>401058400</v>
      </c>
      <c r="G259" s="220">
        <f>+'Base de Datos'!M259</f>
        <v>42031</v>
      </c>
      <c r="H259" s="220">
        <f>+'Base de Datos'!N259</f>
        <v>42274</v>
      </c>
      <c r="I259" s="183"/>
      <c r="J259" s="359"/>
      <c r="K259" s="183"/>
      <c r="L259" s="359"/>
      <c r="M259" s="183"/>
      <c r="N259" s="359"/>
      <c r="O259" s="183"/>
      <c r="P259" s="359"/>
      <c r="Q259" s="86">
        <f t="shared" si="12"/>
        <v>0</v>
      </c>
      <c r="R259" s="372" t="s">
        <v>378</v>
      </c>
      <c r="S259" s="370">
        <v>42335</v>
      </c>
      <c r="T259" s="372"/>
      <c r="U259" s="370"/>
      <c r="V259" s="372"/>
      <c r="W259" s="370"/>
      <c r="X259" s="372"/>
      <c r="Y259" s="370"/>
      <c r="Z259" s="353" t="s">
        <v>378</v>
      </c>
      <c r="AA259" s="89">
        <f t="shared" si="15"/>
        <v>42335</v>
      </c>
      <c r="AB259" s="236">
        <v>90683000</v>
      </c>
      <c r="AC259" s="236">
        <v>42775000</v>
      </c>
      <c r="AD259" s="236">
        <v>56120800</v>
      </c>
      <c r="AE259" s="236">
        <v>23269600</v>
      </c>
      <c r="AF259" s="236">
        <v>60227200</v>
      </c>
      <c r="AG259" s="236">
        <v>46881400</v>
      </c>
      <c r="AH259" s="236">
        <v>25665000</v>
      </c>
      <c r="AI259" s="236">
        <v>32166800</v>
      </c>
      <c r="AJ259" s="236">
        <v>23269600</v>
      </c>
      <c r="AK259" s="236"/>
      <c r="AL259" s="236"/>
      <c r="AM259" s="236"/>
      <c r="AN259" s="236"/>
      <c r="AO259" s="236"/>
      <c r="AP259" s="236"/>
      <c r="AQ259" s="236"/>
      <c r="AR259" s="236"/>
      <c r="AS259" s="236"/>
      <c r="AT259" s="369">
        <v>42468</v>
      </c>
      <c r="AU259" s="91">
        <f t="shared" si="14"/>
        <v>401058400</v>
      </c>
    </row>
    <row r="260" spans="1:47" ht="38.25" hidden="1" customHeight="1" x14ac:dyDescent="0.25">
      <c r="A260" s="85">
        <v>254</v>
      </c>
      <c r="B260" s="2" t="str">
        <f>+'Base de Datos'!E260</f>
        <v>140358-0-2014</v>
      </c>
      <c r="C260" s="2" t="str">
        <f>+'Base de Datos'!F260</f>
        <v>ORGANIZACIÓN TERPEL S.A.</v>
      </c>
      <c r="D260" s="2">
        <f>+'Base de Datos'!G260</f>
        <v>830095213</v>
      </c>
      <c r="E260" s="2" t="str">
        <f>+'Base de Datos'!H260</f>
        <v>Suministro de combustible para el Concejo de Bogotá D.C.</v>
      </c>
      <c r="F260" s="221">
        <f>+'Base de Datos'!I260</f>
        <v>171253333</v>
      </c>
      <c r="G260" s="220">
        <f>+'Base de Datos'!M260</f>
        <v>41961</v>
      </c>
      <c r="H260" s="220">
        <f>+'Base de Datos'!N260</f>
        <v>42063</v>
      </c>
      <c r="I260" s="183"/>
      <c r="J260" s="359"/>
      <c r="K260" s="183"/>
      <c r="L260" s="359"/>
      <c r="M260" s="183"/>
      <c r="N260" s="359"/>
      <c r="O260" s="183"/>
      <c r="P260" s="359"/>
      <c r="Q260" s="86">
        <f t="shared" si="12"/>
        <v>0</v>
      </c>
      <c r="R260" s="372"/>
      <c r="S260" s="370"/>
      <c r="T260" s="372"/>
      <c r="U260" s="370"/>
      <c r="V260" s="372"/>
      <c r="W260" s="370"/>
      <c r="X260" s="372"/>
      <c r="Y260" s="370"/>
      <c r="Z260" s="353"/>
      <c r="AA260" s="89">
        <f t="shared" si="15"/>
        <v>0</v>
      </c>
      <c r="AB260" s="236">
        <v>16700721</v>
      </c>
      <c r="AC260" s="236">
        <v>1158828</v>
      </c>
      <c r="AD260" s="236">
        <v>21069639</v>
      </c>
      <c r="AE260" s="236">
        <v>15500480</v>
      </c>
      <c r="AF260" s="236">
        <v>11998603</v>
      </c>
      <c r="AG260" s="236">
        <v>22049282</v>
      </c>
      <c r="AH260" s="236">
        <v>17506179</v>
      </c>
      <c r="AI260" s="236">
        <v>17553377</v>
      </c>
      <c r="AJ260" s="236"/>
      <c r="AK260" s="236"/>
      <c r="AL260" s="236"/>
      <c r="AM260" s="236"/>
      <c r="AN260" s="236"/>
      <c r="AO260" s="236"/>
      <c r="AP260" s="236"/>
      <c r="AQ260" s="236"/>
      <c r="AR260" s="236"/>
      <c r="AS260" s="236"/>
      <c r="AT260" s="369">
        <v>42081</v>
      </c>
      <c r="AU260" s="91">
        <f t="shared" si="14"/>
        <v>123537109</v>
      </c>
    </row>
    <row r="261" spans="1:47" ht="38.25" hidden="1" customHeight="1" x14ac:dyDescent="0.25">
      <c r="A261" s="85">
        <v>255</v>
      </c>
      <c r="B261" s="2" t="str">
        <f>+'Base de Datos'!E261</f>
        <v>140370-0-2014</v>
      </c>
      <c r="C261" s="2" t="str">
        <f>+'Base de Datos'!F261</f>
        <v>RIGOBERTO GÓMEZ JAIMES</v>
      </c>
      <c r="D261" s="2">
        <f>+'Base de Datos'!G261</f>
        <v>79106019</v>
      </c>
      <c r="E261" s="2" t="str">
        <f>+'Base de Datos'!H261</f>
        <v>Servicio de alquiler, instalación y desmonte de la decoración navideña para la sede principal del Concejo de Bogotá D.C. según invitación pública N° SDH-SMINC-65-2014</v>
      </c>
      <c r="F261" s="221">
        <f>+'Base de Datos'!I261</f>
        <v>12700000</v>
      </c>
      <c r="G261" s="220">
        <f>+'Base de Datos'!M261</f>
        <v>41982</v>
      </c>
      <c r="H261" s="220">
        <f>+'Base de Datos'!N261</f>
        <v>42044</v>
      </c>
      <c r="I261" s="183"/>
      <c r="J261" s="359"/>
      <c r="K261" s="183"/>
      <c r="L261" s="359"/>
      <c r="M261" s="183"/>
      <c r="N261" s="359"/>
      <c r="O261" s="183"/>
      <c r="P261" s="359"/>
      <c r="Q261" s="86">
        <f t="shared" si="12"/>
        <v>0</v>
      </c>
      <c r="R261" s="372"/>
      <c r="S261" s="370"/>
      <c r="T261" s="372"/>
      <c r="U261" s="370"/>
      <c r="V261" s="372"/>
      <c r="W261" s="370"/>
      <c r="X261" s="372"/>
      <c r="Y261" s="370"/>
      <c r="Z261" s="353"/>
      <c r="AA261" s="89">
        <f t="shared" si="15"/>
        <v>0</v>
      </c>
      <c r="AB261" s="236">
        <v>11878400</v>
      </c>
      <c r="AC261" s="236">
        <v>580000</v>
      </c>
      <c r="AD261" s="236"/>
      <c r="AE261" s="236"/>
      <c r="AF261" s="236"/>
      <c r="AG261" s="236"/>
      <c r="AH261" s="236"/>
      <c r="AI261" s="236"/>
      <c r="AJ261" s="236"/>
      <c r="AK261" s="236"/>
      <c r="AL261" s="236"/>
      <c r="AM261" s="236"/>
      <c r="AN261" s="236"/>
      <c r="AO261" s="236"/>
      <c r="AP261" s="236"/>
      <c r="AQ261" s="236"/>
      <c r="AR261" s="236"/>
      <c r="AS261" s="236"/>
      <c r="AT261" s="369">
        <v>42044</v>
      </c>
      <c r="AU261" s="91">
        <f t="shared" si="14"/>
        <v>12458400</v>
      </c>
    </row>
    <row r="262" spans="1:47" ht="38.25" hidden="1" customHeight="1" x14ac:dyDescent="0.25">
      <c r="A262" s="85">
        <v>256</v>
      </c>
      <c r="B262" s="2" t="str">
        <f>+'Base de Datos'!E262</f>
        <v>140372-0-2014</v>
      </c>
      <c r="C262" s="2" t="str">
        <f>+'Base de Datos'!F262</f>
        <v>CAJA COLOMBIANA DE SUBSIDIO FAMILIAR – COLSUBSIDIO</v>
      </c>
      <c r="D262" s="2">
        <f>+'Base de Datos'!G262</f>
        <v>860007336</v>
      </c>
      <c r="E262" s="2" t="str">
        <f>+'Base de Datos'!H262</f>
        <v>Adquirir a título de Compraventa Bonos para el Concejo de Bogotá, D.C., de conformidad con lo establecido en el pliego de condiciones del proceso de Selección Abreviada de Menor Cuantía No. SDH-SAMC-10-2014 y la propuesta presentada por el contratista.</v>
      </c>
      <c r="F262" s="221">
        <f>+'Base de Datos'!I262</f>
        <v>39424000</v>
      </c>
      <c r="G262" s="220">
        <f>+'Base de Datos'!M262</f>
        <v>41982</v>
      </c>
      <c r="H262" s="220">
        <f>+'Base de Datos'!N262</f>
        <v>42013</v>
      </c>
      <c r="I262" s="183"/>
      <c r="J262" s="359"/>
      <c r="K262" s="183"/>
      <c r="L262" s="359"/>
      <c r="M262" s="183"/>
      <c r="N262" s="359"/>
      <c r="O262" s="183"/>
      <c r="P262" s="359"/>
      <c r="Q262" s="86">
        <f t="shared" si="12"/>
        <v>0</v>
      </c>
      <c r="R262" s="372"/>
      <c r="S262" s="370"/>
      <c r="T262" s="372"/>
      <c r="U262" s="370"/>
      <c r="V262" s="372"/>
      <c r="W262" s="370"/>
      <c r="X262" s="372"/>
      <c r="Y262" s="370"/>
      <c r="Z262" s="353"/>
      <c r="AA262" s="89">
        <f t="shared" ref="AA262:AA279" si="16">MAX(S262,U262,W262,Y262)</f>
        <v>0</v>
      </c>
      <c r="AB262" s="237">
        <v>39424000</v>
      </c>
      <c r="AC262" s="236"/>
      <c r="AD262" s="236"/>
      <c r="AE262" s="236"/>
      <c r="AF262" s="236"/>
      <c r="AG262" s="236"/>
      <c r="AH262" s="236"/>
      <c r="AI262" s="236"/>
      <c r="AJ262" s="236"/>
      <c r="AK262" s="236"/>
      <c r="AL262" s="236"/>
      <c r="AM262" s="236"/>
      <c r="AN262" s="236"/>
      <c r="AO262" s="236"/>
      <c r="AP262" s="236"/>
      <c r="AQ262" s="236"/>
      <c r="AR262" s="236"/>
      <c r="AS262" s="236"/>
      <c r="AT262" s="369">
        <v>42030</v>
      </c>
      <c r="AU262" s="91">
        <f t="shared" ref="AU262:AU279" si="17">SUM(AB262:AR262)</f>
        <v>39424000</v>
      </c>
    </row>
    <row r="263" spans="1:47" ht="38.25" hidden="1" customHeight="1" x14ac:dyDescent="0.25">
      <c r="A263" s="85">
        <v>257</v>
      </c>
      <c r="B263" s="2" t="str">
        <f>+'Base de Datos'!E263</f>
        <v>140377-0-2014</v>
      </c>
      <c r="C263" s="2" t="str">
        <f>+'Base de Datos'!F263</f>
        <v>GAMMA INGENIEROS S A</v>
      </c>
      <c r="D263" s="2">
        <f>+'Base de Datos'!G263</f>
        <v>891501783</v>
      </c>
      <c r="E263" s="2" t="str">
        <f>+'Base de Datos'!H263</f>
        <v>Adquisición de dispositivos de hardware y software (tipo appliance) en tecnología UTM para controlar y administrar la seguridad perimetral y las aplicaciones Web del Concejo de Bogotá, D.C., de conformidad con lo establecido en el pliego de condiciones del proceso de Subasta Inversa Electrónica No. SDH-SIE-21-2014 y la propuesta presentada por el contratista.</v>
      </c>
      <c r="F263" s="221">
        <f>+'Base de Datos'!I263</f>
        <v>187940000</v>
      </c>
      <c r="G263" s="220">
        <f>+'Base de Datos'!M263</f>
        <v>42023</v>
      </c>
      <c r="H263" s="220">
        <f>+'Base de Datos'!N263</f>
        <v>42102</v>
      </c>
      <c r="I263" s="183"/>
      <c r="J263" s="359"/>
      <c r="K263" s="183"/>
      <c r="L263" s="359"/>
      <c r="M263" s="183"/>
      <c r="N263" s="359"/>
      <c r="O263" s="183"/>
      <c r="P263" s="359"/>
      <c r="Q263" s="86">
        <f t="shared" si="12"/>
        <v>0</v>
      </c>
      <c r="R263" s="372"/>
      <c r="S263" s="370"/>
      <c r="T263" s="372"/>
      <c r="U263" s="370"/>
      <c r="V263" s="372"/>
      <c r="W263" s="370"/>
      <c r="X263" s="372"/>
      <c r="Y263" s="370"/>
      <c r="Z263" s="353"/>
      <c r="AA263" s="89">
        <f t="shared" si="16"/>
        <v>0</v>
      </c>
      <c r="AB263" s="236">
        <v>187940000</v>
      </c>
      <c r="AC263" s="236"/>
      <c r="AD263" s="236"/>
      <c r="AE263" s="236"/>
      <c r="AF263" s="236"/>
      <c r="AG263" s="236"/>
      <c r="AH263" s="236"/>
      <c r="AI263" s="236"/>
      <c r="AJ263" s="236"/>
      <c r="AK263" s="236"/>
      <c r="AL263" s="236"/>
      <c r="AM263" s="236"/>
      <c r="AN263" s="236"/>
      <c r="AO263" s="236"/>
      <c r="AP263" s="236"/>
      <c r="AQ263" s="236"/>
      <c r="AR263" s="236"/>
      <c r="AS263" s="236"/>
      <c r="AT263" s="369">
        <v>42240</v>
      </c>
      <c r="AU263" s="91">
        <f t="shared" si="17"/>
        <v>187940000</v>
      </c>
    </row>
    <row r="264" spans="1:47" ht="38.25" hidden="1" customHeight="1" x14ac:dyDescent="0.25">
      <c r="A264" s="85">
        <v>258</v>
      </c>
      <c r="B264" s="2" t="str">
        <f>+'Base de Datos'!E264</f>
        <v>140382-0-2014</v>
      </c>
      <c r="C264" s="2" t="str">
        <f>+'Base de Datos'!F264</f>
        <v>VIGILANCIA ACOSTA LIMITADA</v>
      </c>
      <c r="D264" s="2">
        <f>+'Base de Datos'!G264</f>
        <v>800085526</v>
      </c>
      <c r="E264" s="2" t="str">
        <f>+'Base de Datos'!H264</f>
        <v>Prestación del servicio de vigilancia y seguridad privada en las instalaciones del Concejo de Bogotá D.C., con el fin de asegurar la protección y custodia de las personas y bienes muebles e inmuebles de propiedad de la entidad y de los que legalmente sea o llegare a ser responsable por disposición legal, contractual o convencional.</v>
      </c>
      <c r="F264" s="221">
        <f>+'Base de Datos'!I264</f>
        <v>300000000</v>
      </c>
      <c r="G264" s="220">
        <f>+'Base de Datos'!M264</f>
        <v>41989</v>
      </c>
      <c r="H264" s="220">
        <f>+'Base de Datos'!N264</f>
        <v>42140</v>
      </c>
      <c r="I264" s="183"/>
      <c r="J264" s="359"/>
      <c r="K264" s="183"/>
      <c r="L264" s="359"/>
      <c r="M264" s="183"/>
      <c r="N264" s="359"/>
      <c r="O264" s="183"/>
      <c r="P264" s="359"/>
      <c r="Q264" s="86">
        <f t="shared" ref="Q264:Q279" si="18">SUM(I264,K264,M264,O264)</f>
        <v>0</v>
      </c>
      <c r="R264" s="372"/>
      <c r="S264" s="370"/>
      <c r="T264" s="372"/>
      <c r="U264" s="370"/>
      <c r="V264" s="372"/>
      <c r="W264" s="370"/>
      <c r="X264" s="372"/>
      <c r="Y264" s="370"/>
      <c r="Z264" s="353"/>
      <c r="AA264" s="89">
        <f t="shared" si="16"/>
        <v>0</v>
      </c>
      <c r="AB264" s="236">
        <v>72622433</v>
      </c>
      <c r="AC264" s="236">
        <v>93914425</v>
      </c>
      <c r="AD264" s="236">
        <v>47241819</v>
      </c>
      <c r="AE264" s="236">
        <v>24847807</v>
      </c>
      <c r="AF264" s="236"/>
      <c r="AG264" s="236"/>
      <c r="AH264" s="236"/>
      <c r="AI264" s="236"/>
      <c r="AJ264" s="236"/>
      <c r="AK264" s="236"/>
      <c r="AL264" s="236"/>
      <c r="AM264" s="236"/>
      <c r="AN264" s="236"/>
      <c r="AO264" s="236"/>
      <c r="AP264" s="236"/>
      <c r="AQ264" s="236"/>
      <c r="AR264" s="236"/>
      <c r="AS264" s="236"/>
      <c r="AT264" s="369">
        <v>42199</v>
      </c>
      <c r="AU264" s="91">
        <f t="shared" si="17"/>
        <v>238626484</v>
      </c>
    </row>
    <row r="265" spans="1:47" ht="38.25" hidden="1" customHeight="1" x14ac:dyDescent="0.25">
      <c r="A265" s="85">
        <v>259</v>
      </c>
      <c r="B265" s="2" t="str">
        <f>+'Base de Datos'!E265</f>
        <v>140385-0-2014</v>
      </c>
      <c r="C265" s="2" t="str">
        <f>+'Base de Datos'!F265</f>
        <v>S.O.S. SOLUCIONES DE OFICINA &amp; SUMINISTROS S.A.S.</v>
      </c>
      <c r="D265" s="2">
        <f>+'Base de Datos'!G265</f>
        <v>830087030</v>
      </c>
      <c r="E265" s="2" t="str">
        <f>+'Base de Datos'!H265</f>
        <v>Contar con el suministro de papelería y útiles de escritorio para el Concejo de Bogotá D.C., según lo registra el Plan Anual de Adquisiciones de esta vigencia. La justificación del suministro de los bienes se encuenta contenido en el documento de los estudios previos que se anexa a la presente solicitud.</v>
      </c>
      <c r="F265" s="221">
        <f>+'Base de Datos'!I265</f>
        <v>29997466</v>
      </c>
      <c r="G265" s="220">
        <f>+'Base de Datos'!M265</f>
        <v>41988</v>
      </c>
      <c r="H265" s="220">
        <f>+'Base de Datos'!N265</f>
        <v>42109</v>
      </c>
      <c r="I265" s="183"/>
      <c r="J265" s="359"/>
      <c r="K265" s="183"/>
      <c r="L265" s="359"/>
      <c r="M265" s="183"/>
      <c r="N265" s="359"/>
      <c r="O265" s="183"/>
      <c r="P265" s="359"/>
      <c r="Q265" s="86">
        <f t="shared" si="18"/>
        <v>0</v>
      </c>
      <c r="R265" s="372"/>
      <c r="S265" s="370"/>
      <c r="T265" s="372"/>
      <c r="U265" s="370"/>
      <c r="V265" s="372"/>
      <c r="W265" s="370"/>
      <c r="X265" s="372"/>
      <c r="Y265" s="370"/>
      <c r="Z265" s="353"/>
      <c r="AA265" s="89">
        <f t="shared" si="16"/>
        <v>0</v>
      </c>
      <c r="AB265" s="236">
        <v>29997466</v>
      </c>
      <c r="AC265" s="236"/>
      <c r="AD265" s="236"/>
      <c r="AE265" s="236"/>
      <c r="AF265" s="236"/>
      <c r="AG265" s="236"/>
      <c r="AH265" s="236"/>
      <c r="AI265" s="236"/>
      <c r="AJ265" s="236"/>
      <c r="AK265" s="236"/>
      <c r="AL265" s="236"/>
      <c r="AM265" s="236"/>
      <c r="AN265" s="236"/>
      <c r="AO265" s="236"/>
      <c r="AP265" s="236"/>
      <c r="AQ265" s="236"/>
      <c r="AR265" s="236"/>
      <c r="AS265" s="236"/>
      <c r="AT265" s="369">
        <v>42074</v>
      </c>
      <c r="AU265" s="91">
        <f t="shared" si="17"/>
        <v>29997466</v>
      </c>
    </row>
    <row r="266" spans="1:47" ht="38.25" hidden="1" customHeight="1" x14ac:dyDescent="0.25">
      <c r="A266" s="85">
        <v>260</v>
      </c>
      <c r="B266" s="2" t="str">
        <f>+'Base de Datos'!E266</f>
        <v>140387-0-2014</v>
      </c>
      <c r="C266" s="2" t="str">
        <f>+'Base de Datos'!F266</f>
        <v>SERVIMETERS SA</v>
      </c>
      <c r="D266" s="2">
        <f>+'Base de Datos'!G266</f>
        <v>830117370</v>
      </c>
      <c r="E266" s="2" t="str">
        <f>+'Base de Datos'!H266</f>
        <v>Prestar el servicio de inspección general de los sistemas de transporte vertical (ascensores) existentes en el edificio de la sede principal del Concejo de Bogotá D.C.</v>
      </c>
      <c r="F266" s="221">
        <f>+'Base de Datos'!I266</f>
        <v>1624000</v>
      </c>
      <c r="G266" s="220">
        <f>+'Base de Datos'!M266</f>
        <v>42037</v>
      </c>
      <c r="H266" s="220">
        <f>+'Base de Datos'!N266</f>
        <v>42279</v>
      </c>
      <c r="I266" s="183"/>
      <c r="J266" s="359"/>
      <c r="K266" s="183"/>
      <c r="L266" s="359"/>
      <c r="M266" s="183"/>
      <c r="N266" s="359"/>
      <c r="O266" s="183"/>
      <c r="P266" s="359"/>
      <c r="Q266" s="86">
        <f t="shared" si="18"/>
        <v>0</v>
      </c>
      <c r="R266" s="372"/>
      <c r="S266" s="370"/>
      <c r="T266" s="372"/>
      <c r="U266" s="370"/>
      <c r="V266" s="372"/>
      <c r="W266" s="370"/>
      <c r="X266" s="372"/>
      <c r="Y266" s="370"/>
      <c r="Z266" s="353"/>
      <c r="AA266" s="89">
        <f t="shared" si="16"/>
        <v>0</v>
      </c>
      <c r="AB266" s="236"/>
      <c r="AC266" s="236"/>
      <c r="AD266" s="236"/>
      <c r="AE266" s="236"/>
      <c r="AF266" s="236"/>
      <c r="AG266" s="236"/>
      <c r="AH266" s="236"/>
      <c r="AI266" s="236"/>
      <c r="AJ266" s="236"/>
      <c r="AK266" s="236"/>
      <c r="AL266" s="236"/>
      <c r="AM266" s="236"/>
      <c r="AN266" s="236"/>
      <c r="AO266" s="236"/>
      <c r="AP266" s="236"/>
      <c r="AQ266" s="236"/>
      <c r="AR266" s="236"/>
      <c r="AS266" s="236"/>
      <c r="AT266" s="369">
        <v>0</v>
      </c>
      <c r="AU266" s="91">
        <f t="shared" si="17"/>
        <v>0</v>
      </c>
    </row>
    <row r="267" spans="1:47" ht="38.25" hidden="1" customHeight="1" x14ac:dyDescent="0.25">
      <c r="A267" s="85">
        <v>261</v>
      </c>
      <c r="B267" s="2" t="str">
        <f>+'Base de Datos'!E267</f>
        <v>140396-0-2014</v>
      </c>
      <c r="C267" s="2" t="str">
        <f>+'Base de Datos'!F267</f>
        <v>KAWAK SAS</v>
      </c>
      <c r="D267" s="2">
        <f>+'Base de Datos'!G267</f>
        <v>900335488</v>
      </c>
      <c r="E267" s="2" t="str">
        <f>+'Base de Datos'!H267</f>
        <v>Adquisición e implementación de Software para la Administración y Gestión del Sistema Integrado de Gestión SIG para el Concejo de Bogotá D.C., según invitación pública N° SDH-SAMC-013-2014.</v>
      </c>
      <c r="F267" s="221">
        <f>+'Base de Datos'!I267</f>
        <v>64621280</v>
      </c>
      <c r="G267" s="220">
        <f>+'Base de Datos'!M267</f>
        <v>42045</v>
      </c>
      <c r="H267" s="220">
        <f>+'Base de Datos'!N267</f>
        <v>42165</v>
      </c>
      <c r="I267" s="183"/>
      <c r="J267" s="359"/>
      <c r="K267" s="183"/>
      <c r="L267" s="359"/>
      <c r="M267" s="183"/>
      <c r="N267" s="359"/>
      <c r="O267" s="183"/>
      <c r="P267" s="359"/>
      <c r="Q267" s="86">
        <f t="shared" si="18"/>
        <v>0</v>
      </c>
      <c r="R267" s="372" t="s">
        <v>378</v>
      </c>
      <c r="S267" s="370">
        <v>42226</v>
      </c>
      <c r="T267" s="372" t="s">
        <v>378</v>
      </c>
      <c r="U267" s="370">
        <v>42287</v>
      </c>
      <c r="V267" s="372" t="s">
        <v>378</v>
      </c>
      <c r="W267" s="370">
        <v>42348</v>
      </c>
      <c r="X267" s="372"/>
      <c r="Y267" s="370"/>
      <c r="Z267" s="353" t="s">
        <v>382</v>
      </c>
      <c r="AA267" s="89">
        <f t="shared" si="16"/>
        <v>42348</v>
      </c>
      <c r="AB267" s="236">
        <v>12924256</v>
      </c>
      <c r="AC267" s="236">
        <v>22617448</v>
      </c>
      <c r="AD267" s="236">
        <v>22617448</v>
      </c>
      <c r="AE267" s="236">
        <v>6462128</v>
      </c>
      <c r="AF267" s="236"/>
      <c r="AG267" s="236"/>
      <c r="AH267" s="236"/>
      <c r="AI267" s="236"/>
      <c r="AJ267" s="236"/>
      <c r="AK267" s="236"/>
      <c r="AL267" s="236"/>
      <c r="AM267" s="236"/>
      <c r="AN267" s="236"/>
      <c r="AO267" s="236"/>
      <c r="AP267" s="236"/>
      <c r="AQ267" s="236"/>
      <c r="AR267" s="236"/>
      <c r="AS267" s="236"/>
      <c r="AT267" s="369">
        <v>42243</v>
      </c>
      <c r="AU267" s="91">
        <f t="shared" si="17"/>
        <v>64621280</v>
      </c>
    </row>
    <row r="268" spans="1:47" ht="38.25" hidden="1" customHeight="1" x14ac:dyDescent="0.25">
      <c r="A268" s="85">
        <v>262</v>
      </c>
      <c r="B268" s="2" t="str">
        <f>+'Base de Datos'!E268</f>
        <v>140422-0-2014</v>
      </c>
      <c r="C268" s="2" t="str">
        <f>+'Base de Datos'!F268</f>
        <v>ICETEX</v>
      </c>
      <c r="D268" s="2">
        <f>+'Base de Datos'!G268</f>
        <v>899999035</v>
      </c>
      <c r="E268" s="2" t="str">
        <f>+'Base de Datos'!H268</f>
        <v>El objeto del presente Convenio es la constitución de un FONDO en Administración denominado "FONDO CUENTA CONCEJO DE BOGOTÁ D.C., SECRETARÍA DISTRITAL DE HACIENDA - ICETEX", con los recursos entregados por EL CONSTITUYENTE a EL ICETEX, quien actuará como administrador y mandatario, con el fin de financiar programas de educación formal, para los empleados de Carrera Administrativa y Libre Nombramiento y Remoción del CONCEJO DE BOGOTÁ.</v>
      </c>
      <c r="F268" s="221">
        <f>+'Base de Datos'!I268</f>
        <v>300000000</v>
      </c>
      <c r="G268" s="220">
        <f>+'Base de Datos'!M268</f>
        <v>42002</v>
      </c>
      <c r="H268" s="220">
        <f>+'Base de Datos'!N268</f>
        <v>43828</v>
      </c>
      <c r="I268" s="183">
        <v>300000000</v>
      </c>
      <c r="J268" s="359">
        <v>42724</v>
      </c>
      <c r="K268" s="183">
        <v>300000000</v>
      </c>
      <c r="L268" s="359"/>
      <c r="M268" s="183">
        <v>300000000</v>
      </c>
      <c r="N268" s="359"/>
      <c r="O268" s="183"/>
      <c r="P268" s="359"/>
      <c r="Q268" s="86">
        <f t="shared" si="18"/>
        <v>900000000</v>
      </c>
      <c r="R268" s="372"/>
      <c r="S268" s="370"/>
      <c r="T268" s="372"/>
      <c r="U268" s="370"/>
      <c r="V268" s="372"/>
      <c r="W268" s="370"/>
      <c r="X268" s="372"/>
      <c r="Y268" s="370"/>
      <c r="Z268" s="353"/>
      <c r="AA268" s="89">
        <f t="shared" si="16"/>
        <v>0</v>
      </c>
      <c r="AB268" s="236">
        <v>300000000</v>
      </c>
      <c r="AC268" s="236">
        <v>300000000</v>
      </c>
      <c r="AD268" s="236">
        <v>600000000</v>
      </c>
      <c r="AE268" s="236"/>
      <c r="AF268" s="236"/>
      <c r="AG268" s="236"/>
      <c r="AH268" s="236"/>
      <c r="AI268" s="236"/>
      <c r="AJ268" s="236"/>
      <c r="AK268" s="236"/>
      <c r="AL268" s="236"/>
      <c r="AM268" s="236"/>
      <c r="AN268" s="236"/>
      <c r="AO268" s="236"/>
      <c r="AP268" s="236"/>
      <c r="AQ268" s="236"/>
      <c r="AR268" s="236"/>
      <c r="AS268" s="236"/>
      <c r="AT268" s="369">
        <v>43258</v>
      </c>
      <c r="AU268" s="91">
        <f t="shared" si="17"/>
        <v>1200000000</v>
      </c>
    </row>
    <row r="269" spans="1:47" ht="38.25" hidden="1" customHeight="1" x14ac:dyDescent="0.25">
      <c r="A269" s="85">
        <v>263</v>
      </c>
      <c r="B269" s="2" t="str">
        <f>+'Base de Datos'!E269</f>
        <v>140392-0-2014</v>
      </c>
      <c r="C269" s="2" t="str">
        <f>+'Base de Datos'!F269</f>
        <v>M@ICROTEL LTDA</v>
      </c>
      <c r="D269" s="2">
        <f>+'Base de Datos'!G269</f>
        <v>860353110</v>
      </c>
      <c r="E269" s="2" t="str">
        <f>+'Base de Datos'!H269</f>
        <v>Llevar a cabo la actualización del sistema de planta telefónica con la que cuenta actualmente el Concejo de Bogotá.</v>
      </c>
      <c r="F269" s="221">
        <f>+'Base de Datos'!I269</f>
        <v>137450000</v>
      </c>
      <c r="G269" s="220">
        <f>+'Base de Datos'!M269</f>
        <v>42018</v>
      </c>
      <c r="H269" s="220">
        <f>+'Base de Datos'!N269</f>
        <v>42383</v>
      </c>
      <c r="I269" s="183"/>
      <c r="J269" s="359"/>
      <c r="K269" s="183"/>
      <c r="L269" s="359"/>
      <c r="M269" s="183"/>
      <c r="N269" s="359"/>
      <c r="O269" s="183"/>
      <c r="P269" s="359"/>
      <c r="Q269" s="86">
        <f t="shared" si="18"/>
        <v>0</v>
      </c>
      <c r="R269" s="372"/>
      <c r="S269" s="370"/>
      <c r="T269" s="372"/>
      <c r="U269" s="370"/>
      <c r="V269" s="372"/>
      <c r="W269" s="370"/>
      <c r="X269" s="372"/>
      <c r="Y269" s="370"/>
      <c r="Z269" s="353"/>
      <c r="AA269" s="89">
        <f t="shared" si="16"/>
        <v>0</v>
      </c>
      <c r="AB269" s="236">
        <v>86799206</v>
      </c>
      <c r="AC269" s="236">
        <v>33396127</v>
      </c>
      <c r="AD269" s="236">
        <v>2783011</v>
      </c>
      <c r="AE269" s="236">
        <v>2783011</v>
      </c>
      <c r="AF269" s="236">
        <v>6679225</v>
      </c>
      <c r="AG269" s="236">
        <v>5009419</v>
      </c>
      <c r="AH269" s="236"/>
      <c r="AI269" s="236"/>
      <c r="AJ269" s="236"/>
      <c r="AK269" s="236"/>
      <c r="AL269" s="236"/>
      <c r="AM269" s="236"/>
      <c r="AN269" s="236"/>
      <c r="AO269" s="236"/>
      <c r="AP269" s="236"/>
      <c r="AQ269" s="236"/>
      <c r="AR269" s="236"/>
      <c r="AS269" s="236"/>
      <c r="AT269" s="369">
        <v>42508</v>
      </c>
      <c r="AU269" s="91">
        <f t="shared" si="17"/>
        <v>137449999</v>
      </c>
    </row>
    <row r="270" spans="1:47" ht="38.25" hidden="1" customHeight="1" x14ac:dyDescent="0.25">
      <c r="A270" s="85">
        <v>264</v>
      </c>
      <c r="B270" s="2" t="str">
        <f>+'Base de Datos'!E270</f>
        <v>140418-0-2014</v>
      </c>
      <c r="C270" s="2" t="str">
        <f>+'Base de Datos'!F270</f>
        <v>CENTURY MEDIA SAS</v>
      </c>
      <c r="D270" s="2">
        <f>+'Base de Datos'!G270</f>
        <v>830075011</v>
      </c>
      <c r="E270" s="2" t="str">
        <f>+'Base de Datos'!H270</f>
        <v>Prestar el servicio de diseño, producción y ejecución de estrategias de divulgación en medios de comunicación de carácter masivo, alternativo y comunitario para el Concejo de Bogotá.</v>
      </c>
      <c r="F270" s="221">
        <f>+'Base de Datos'!I270</f>
        <v>249210000</v>
      </c>
      <c r="G270" s="220">
        <f>+'Base de Datos'!M270</f>
        <v>42017</v>
      </c>
      <c r="H270" s="220">
        <f>+'Base de Datos'!N270</f>
        <v>42198</v>
      </c>
      <c r="I270" s="183">
        <v>60000000</v>
      </c>
      <c r="J270" s="359">
        <v>42198</v>
      </c>
      <c r="K270" s="183"/>
      <c r="L270" s="359"/>
      <c r="M270" s="183"/>
      <c r="N270" s="359"/>
      <c r="O270" s="183"/>
      <c r="P270" s="359"/>
      <c r="Q270" s="86">
        <f t="shared" si="18"/>
        <v>60000000</v>
      </c>
      <c r="R270" s="372" t="s">
        <v>2088</v>
      </c>
      <c r="S270" s="370">
        <v>42247</v>
      </c>
      <c r="T270" s="372" t="s">
        <v>379</v>
      </c>
      <c r="U270" s="370">
        <v>42338</v>
      </c>
      <c r="V270" s="372"/>
      <c r="W270" s="370"/>
      <c r="X270" s="372"/>
      <c r="Y270" s="370"/>
      <c r="Z270" s="379" t="s">
        <v>2207</v>
      </c>
      <c r="AA270" s="89">
        <f t="shared" si="16"/>
        <v>42338</v>
      </c>
      <c r="AB270" s="236">
        <v>71728029</v>
      </c>
      <c r="AC270" s="236">
        <v>13988127</v>
      </c>
      <c r="AD270" s="236">
        <v>51788266</v>
      </c>
      <c r="AE270" s="236">
        <v>88969954</v>
      </c>
      <c r="AF270" s="236">
        <v>52659658</v>
      </c>
      <c r="AG270" s="236">
        <v>24220616</v>
      </c>
      <c r="AH270" s="236">
        <v>5855350</v>
      </c>
      <c r="AI270" s="236"/>
      <c r="AJ270" s="236"/>
      <c r="AK270" s="236"/>
      <c r="AL270" s="236"/>
      <c r="AM270" s="236"/>
      <c r="AN270" s="236"/>
      <c r="AO270" s="236"/>
      <c r="AP270" s="236"/>
      <c r="AQ270" s="236"/>
      <c r="AR270" s="236"/>
      <c r="AS270" s="236"/>
      <c r="AT270" s="369">
        <v>42397</v>
      </c>
      <c r="AU270" s="91">
        <f t="shared" si="17"/>
        <v>309210000</v>
      </c>
    </row>
    <row r="271" spans="1:47" ht="38.25" hidden="1" customHeight="1" x14ac:dyDescent="0.25">
      <c r="A271" s="85">
        <v>265</v>
      </c>
      <c r="B271" s="2" t="str">
        <f>+'Base de Datos'!E271</f>
        <v>150028-0-2015</v>
      </c>
      <c r="C271" s="2" t="str">
        <f>+'Base de Datos'!F271</f>
        <v>RICARDO ROJAS SANABRIA (Cesionario) / Antes: NAYIVE CARRASCO PATIÑO</v>
      </c>
      <c r="D271" s="2">
        <f>+'Base de Datos'!G271</f>
        <v>19335623</v>
      </c>
      <c r="E271" s="2" t="str">
        <f>+'Base de Datos'!H271</f>
        <v>Prestar Servicios Profesionales para realizar acompañamiento y seguimiento a los procesos de adquisición de bienes y servicios y seguimiento a la ejecución de contratos para el Concejo de Bogotá, D.C.</v>
      </c>
      <c r="F271" s="221">
        <f>+'Base de Datos'!I271</f>
        <v>84000000</v>
      </c>
      <c r="G271" s="220">
        <f>+'Base de Datos'!M271</f>
        <v>42031</v>
      </c>
      <c r="H271" s="220">
        <f>+'Base de Datos'!N271</f>
        <v>42396</v>
      </c>
      <c r="I271" s="183"/>
      <c r="J271" s="359"/>
      <c r="K271" s="183"/>
      <c r="L271" s="359"/>
      <c r="M271" s="183"/>
      <c r="N271" s="359"/>
      <c r="O271" s="183"/>
      <c r="P271" s="359"/>
      <c r="Q271" s="86">
        <f t="shared" si="18"/>
        <v>0</v>
      </c>
      <c r="R271" s="372"/>
      <c r="S271" s="370"/>
      <c r="T271" s="372"/>
      <c r="U271" s="370"/>
      <c r="V271" s="372"/>
      <c r="W271" s="370"/>
      <c r="X271" s="372"/>
      <c r="Y271" s="370"/>
      <c r="Z271" s="353"/>
      <c r="AA271" s="89">
        <f t="shared" si="16"/>
        <v>0</v>
      </c>
      <c r="AB271" s="236">
        <v>7933333</v>
      </c>
      <c r="AC271" s="236">
        <v>7000000</v>
      </c>
      <c r="AD271" s="236">
        <v>7000000</v>
      </c>
      <c r="AE271" s="236">
        <v>7000000</v>
      </c>
      <c r="AF271" s="236">
        <v>5600000</v>
      </c>
      <c r="AG271" s="236">
        <v>8166666</v>
      </c>
      <c r="AH271" s="236">
        <v>7000000</v>
      </c>
      <c r="AI271" s="236">
        <v>7000000</v>
      </c>
      <c r="AJ271" s="236">
        <v>7000000</v>
      </c>
      <c r="AK271" s="236">
        <v>7000000</v>
      </c>
      <c r="AL271" s="236">
        <v>7000000</v>
      </c>
      <c r="AM271" s="236">
        <v>6300001</v>
      </c>
      <c r="AN271" s="236"/>
      <c r="AO271" s="236"/>
      <c r="AP271" s="236"/>
      <c r="AQ271" s="236"/>
      <c r="AR271" s="236"/>
      <c r="AS271" s="236"/>
      <c r="AT271" s="369">
        <v>42401</v>
      </c>
      <c r="AU271" s="91">
        <f t="shared" si="17"/>
        <v>84000000</v>
      </c>
    </row>
    <row r="272" spans="1:47" ht="38.25" hidden="1" customHeight="1" x14ac:dyDescent="0.25">
      <c r="A272" s="85">
        <v>266</v>
      </c>
      <c r="B272" s="2" t="str">
        <f>+'Base de Datos'!E272</f>
        <v>140369-0-2014</v>
      </c>
      <c r="C272" s="2" t="str">
        <f>+'Base de Datos'!F272</f>
        <v>INSTITUTO COLOMBIANO DE NORMAS TÉCNICAS Y CERTIFICACIÓN ICONTEC</v>
      </c>
      <c r="D272" s="2">
        <f>+'Base de Datos'!G272</f>
        <v>860012336</v>
      </c>
      <c r="E272" s="2" t="str">
        <f>+'Base de Datos'!H272</f>
        <v>Ejecutar actividades del plan institucional de capacitación del Concejo de Bogotá D.C. Grupo No. 4, de conformidad con lo establecido en el pliego de condiciones de la Licitación Pública No. SDH-LP-02-2014 y la propuesta presentada por el contratista.</v>
      </c>
      <c r="F272" s="221">
        <f>+'Base de Datos'!I272</f>
        <v>4961088</v>
      </c>
      <c r="G272" s="220">
        <f>+'Base de Datos'!M272</f>
        <v>42178</v>
      </c>
      <c r="H272" s="220">
        <f>+'Base de Datos'!N272</f>
        <v>42423</v>
      </c>
      <c r="I272" s="183"/>
      <c r="J272" s="359"/>
      <c r="K272" s="183"/>
      <c r="L272" s="359"/>
      <c r="M272" s="183"/>
      <c r="N272" s="359"/>
      <c r="O272" s="183"/>
      <c r="P272" s="359"/>
      <c r="Q272" s="86">
        <f t="shared" si="18"/>
        <v>0</v>
      </c>
      <c r="R272" s="372"/>
      <c r="S272" s="370"/>
      <c r="T272" s="372"/>
      <c r="U272" s="370"/>
      <c r="V272" s="372"/>
      <c r="W272" s="370"/>
      <c r="X272" s="372"/>
      <c r="Y272" s="370"/>
      <c r="Z272" s="353"/>
      <c r="AA272" s="89">
        <f t="shared" si="16"/>
        <v>0</v>
      </c>
      <c r="AB272" s="236">
        <v>4961088</v>
      </c>
      <c r="AC272" s="236"/>
      <c r="AD272" s="236"/>
      <c r="AE272" s="236"/>
      <c r="AF272" s="236"/>
      <c r="AG272" s="236"/>
      <c r="AH272" s="236"/>
      <c r="AI272" s="236"/>
      <c r="AJ272" s="236"/>
      <c r="AK272" s="236"/>
      <c r="AL272" s="236"/>
      <c r="AM272" s="236"/>
      <c r="AN272" s="236"/>
      <c r="AO272" s="236"/>
      <c r="AP272" s="236"/>
      <c r="AQ272" s="236"/>
      <c r="AR272" s="236"/>
      <c r="AS272" s="236"/>
      <c r="AT272" s="369">
        <v>42600</v>
      </c>
      <c r="AU272" s="91">
        <f t="shared" si="17"/>
        <v>4961088</v>
      </c>
    </row>
    <row r="273" spans="1:47" ht="38.25" hidden="1" customHeight="1" x14ac:dyDescent="0.25">
      <c r="A273" s="85">
        <v>267</v>
      </c>
      <c r="B273" s="2" t="str">
        <f>+'Base de Datos'!E273</f>
        <v>140390-0-2014</v>
      </c>
      <c r="C273" s="2" t="str">
        <f>+'Base de Datos'!F273</f>
        <v>UNIÓN TEMPORAL SICVEL HACIENDA 2014</v>
      </c>
      <c r="D273" s="2">
        <f>+'Base de Datos'!G273</f>
        <v>900801132</v>
      </c>
      <c r="E273" s="2" t="str">
        <f>+'Base de Datos'!H273</f>
        <v>Contratar la adquisión de video beam para el Concejo de Bogotá D.C. de conformidad con lo establecido en el pliego de condiciones del proceso de Subasta Inversa Electrónica N° SDH-SIE-25-2014 y la propuesta presentada por el contratista.</v>
      </c>
      <c r="F273" s="221">
        <f>+'Base de Datos'!I273</f>
        <v>10075000</v>
      </c>
      <c r="G273" s="220">
        <f>+'Base de Datos'!M273</f>
        <v>42020</v>
      </c>
      <c r="H273" s="220">
        <f>+'Base de Datos'!N273</f>
        <v>42079</v>
      </c>
      <c r="I273" s="183"/>
      <c r="J273" s="359"/>
      <c r="K273" s="183"/>
      <c r="L273" s="359"/>
      <c r="M273" s="183"/>
      <c r="N273" s="359"/>
      <c r="O273" s="183"/>
      <c r="P273" s="359"/>
      <c r="Q273" s="86">
        <f t="shared" si="18"/>
        <v>0</v>
      </c>
      <c r="R273" s="372"/>
      <c r="S273" s="370"/>
      <c r="T273" s="372"/>
      <c r="U273" s="370"/>
      <c r="V273" s="372"/>
      <c r="W273" s="370"/>
      <c r="X273" s="372"/>
      <c r="Y273" s="370"/>
      <c r="Z273" s="353"/>
      <c r="AA273" s="89">
        <f t="shared" si="16"/>
        <v>0</v>
      </c>
      <c r="AB273" s="236">
        <v>10075000</v>
      </c>
      <c r="AC273" s="236"/>
      <c r="AD273" s="236"/>
      <c r="AE273" s="236"/>
      <c r="AF273" s="236"/>
      <c r="AG273" s="236"/>
      <c r="AH273" s="236"/>
      <c r="AI273" s="236"/>
      <c r="AJ273" s="236"/>
      <c r="AK273" s="236"/>
      <c r="AL273" s="236"/>
      <c r="AM273" s="236"/>
      <c r="AN273" s="236"/>
      <c r="AO273" s="236"/>
      <c r="AP273" s="236"/>
      <c r="AQ273" s="236"/>
      <c r="AR273" s="236"/>
      <c r="AS273" s="236"/>
      <c r="AT273" s="369">
        <v>42123</v>
      </c>
      <c r="AU273" s="91">
        <f t="shared" si="17"/>
        <v>10075000</v>
      </c>
    </row>
    <row r="274" spans="1:47" ht="38.25" hidden="1" customHeight="1" x14ac:dyDescent="0.25">
      <c r="A274" s="85">
        <v>268</v>
      </c>
      <c r="B274" s="2" t="str">
        <f>+'Base de Datos'!E274</f>
        <v>150035-0-2015</v>
      </c>
      <c r="C274" s="2" t="str">
        <f>+'Base de Datos'!F274</f>
        <v>EDGAR EULICES GONZÁLEZ</v>
      </c>
      <c r="D274" s="2">
        <f>+'Base de Datos'!G274</f>
        <v>4098836</v>
      </c>
      <c r="E274" s="2" t="str">
        <f>+'Base de Datos'!H274</f>
        <v>Prestar servicios profesionales para acompañar al Concejo de Bogotá D.C., en la revisión y estudio de las historias laborales de los funcionarios para la definición técnica y jurídica del cumplimiento de requisitos en los diferentes regímenes de pensión.</v>
      </c>
      <c r="F274" s="221">
        <f>+'Base de Datos'!I274</f>
        <v>46068000</v>
      </c>
      <c r="G274" s="220">
        <f>+'Base de Datos'!M274</f>
        <v>42037</v>
      </c>
      <c r="H274" s="220">
        <f>+'Base de Datos'!N274</f>
        <v>42402</v>
      </c>
      <c r="I274" s="183"/>
      <c r="J274" s="359"/>
      <c r="K274" s="183"/>
      <c r="L274" s="359"/>
      <c r="M274" s="183"/>
      <c r="N274" s="359"/>
      <c r="O274" s="183"/>
      <c r="P274" s="359"/>
      <c r="Q274" s="86">
        <f t="shared" si="18"/>
        <v>0</v>
      </c>
      <c r="R274" s="372"/>
      <c r="S274" s="370"/>
      <c r="T274" s="372"/>
      <c r="U274" s="370"/>
      <c r="V274" s="372"/>
      <c r="W274" s="370"/>
      <c r="X274" s="372"/>
      <c r="Y274" s="370"/>
      <c r="Z274" s="353"/>
      <c r="AA274" s="89">
        <f t="shared" si="16"/>
        <v>0</v>
      </c>
      <c r="AB274" s="236">
        <v>3711033</v>
      </c>
      <c r="AC274" s="236">
        <v>3839000</v>
      </c>
      <c r="AD274" s="236">
        <v>3839000</v>
      </c>
      <c r="AE274" s="236">
        <v>3839000</v>
      </c>
      <c r="AF274" s="236">
        <v>3839000</v>
      </c>
      <c r="AG274" s="236">
        <v>3839000</v>
      </c>
      <c r="AH274" s="236">
        <v>3839000</v>
      </c>
      <c r="AI274" s="236">
        <v>3839000</v>
      </c>
      <c r="AJ274" s="236">
        <v>3839000</v>
      </c>
      <c r="AK274" s="236">
        <v>3839000</v>
      </c>
      <c r="AL274" s="236">
        <v>3839000</v>
      </c>
      <c r="AM274" s="236">
        <v>3839000</v>
      </c>
      <c r="AN274" s="236">
        <v>127967</v>
      </c>
      <c r="AO274" s="236"/>
      <c r="AP274" s="236"/>
      <c r="AQ274" s="236"/>
      <c r="AR274" s="236"/>
      <c r="AS274" s="236"/>
      <c r="AT274" s="369">
        <v>42401</v>
      </c>
      <c r="AU274" s="91">
        <f t="shared" si="17"/>
        <v>46068000</v>
      </c>
    </row>
    <row r="275" spans="1:47" ht="38.25" hidden="1" customHeight="1" x14ac:dyDescent="0.25">
      <c r="A275" s="85">
        <v>269</v>
      </c>
      <c r="B275" s="2" t="str">
        <f>+'Base de Datos'!E275</f>
        <v>140381-0-2014</v>
      </c>
      <c r="C275" s="2" t="str">
        <f>+'Base de Datos'!F275</f>
        <v>INSTITUTO DISTRITAL DEL PATRIMONIO CULTURAL - IDPC</v>
      </c>
      <c r="D275" s="2">
        <f>+'Base de Datos'!G275</f>
        <v>860506170</v>
      </c>
      <c r="E275" s="2" t="str">
        <f>+'Base de Datos'!H275</f>
        <v>Entrega en comodato al Instituto de Patrimonio Cultural de 46 obras de la colección pictórica y 1 escultura, de propiedad del Concejo de Bogotá, D.C. a través de la Secretaría Distrital de Hacienda.</v>
      </c>
      <c r="F275" s="221">
        <f>+'Base de Datos'!I275</f>
        <v>0</v>
      </c>
      <c r="G275" s="220">
        <f>+'Base de Datos'!M275</f>
        <v>41984</v>
      </c>
      <c r="H275" s="220">
        <f>+'Base de Datos'!N275</f>
        <v>42046</v>
      </c>
      <c r="I275" s="183"/>
      <c r="J275" s="359"/>
      <c r="K275" s="183"/>
      <c r="L275" s="359"/>
      <c r="M275" s="183"/>
      <c r="N275" s="359"/>
      <c r="O275" s="183"/>
      <c r="P275" s="359"/>
      <c r="Q275" s="86">
        <f t="shared" si="18"/>
        <v>0</v>
      </c>
      <c r="R275" s="372"/>
      <c r="S275" s="370"/>
      <c r="T275" s="372"/>
      <c r="U275" s="370"/>
      <c r="V275" s="372"/>
      <c r="W275" s="370"/>
      <c r="X275" s="372"/>
      <c r="Y275" s="370"/>
      <c r="Z275" s="353"/>
      <c r="AA275" s="89">
        <f t="shared" si="16"/>
        <v>0</v>
      </c>
      <c r="AB275" s="236"/>
      <c r="AC275" s="236"/>
      <c r="AD275" s="236"/>
      <c r="AE275" s="236"/>
      <c r="AF275" s="236"/>
      <c r="AG275" s="236"/>
      <c r="AH275" s="236"/>
      <c r="AI275" s="236"/>
      <c r="AJ275" s="236"/>
      <c r="AK275" s="236"/>
      <c r="AL275" s="236"/>
      <c r="AM275" s="236"/>
      <c r="AN275" s="236"/>
      <c r="AO275" s="236"/>
      <c r="AP275" s="236"/>
      <c r="AQ275" s="236"/>
      <c r="AR275" s="236"/>
      <c r="AS275" s="236"/>
      <c r="AT275" s="369">
        <v>0</v>
      </c>
      <c r="AU275" s="91">
        <f t="shared" si="17"/>
        <v>0</v>
      </c>
    </row>
    <row r="276" spans="1:47" ht="38.25" hidden="1" customHeight="1" x14ac:dyDescent="0.25">
      <c r="A276" s="85">
        <v>270</v>
      </c>
      <c r="B276" s="2" t="str">
        <f>+'Base de Datos'!E276</f>
        <v>150049-0-2015</v>
      </c>
      <c r="C276" s="2" t="str">
        <f>+'Base de Datos'!F276</f>
        <v>ROSA ENRIQUELINA GÓMEZ CORREDOR</v>
      </c>
      <c r="D276" s="2">
        <f>+'Base de Datos'!G276</f>
        <v>51931422</v>
      </c>
      <c r="E276" s="2" t="str">
        <f>+'Base de Datos'!H276</f>
        <v>Prestar los servicios profesionales para acompañar la definición, contratación y seguimiento de los temas de infraestructura física que requiera el Concejo de Bogotá, D.C.</v>
      </c>
      <c r="F276" s="221">
        <f>+'Base de Datos'!I276</f>
        <v>60000000</v>
      </c>
      <c r="G276" s="220">
        <f>+'Base de Datos'!M276</f>
        <v>42045</v>
      </c>
      <c r="H276" s="220">
        <f>+'Base de Datos'!N276</f>
        <v>42410</v>
      </c>
      <c r="I276" s="183"/>
      <c r="J276" s="359"/>
      <c r="K276" s="183"/>
      <c r="L276" s="359"/>
      <c r="M276" s="183"/>
      <c r="N276" s="359"/>
      <c r="O276" s="183"/>
      <c r="P276" s="359"/>
      <c r="Q276" s="86">
        <f t="shared" si="18"/>
        <v>0</v>
      </c>
      <c r="R276" s="372"/>
      <c r="S276" s="370"/>
      <c r="T276" s="372"/>
      <c r="U276" s="370"/>
      <c r="V276" s="372"/>
      <c r="W276" s="370"/>
      <c r="X276" s="372"/>
      <c r="Y276" s="370"/>
      <c r="Z276" s="353"/>
      <c r="AA276" s="89">
        <f t="shared" si="16"/>
        <v>0</v>
      </c>
      <c r="AB276" s="236">
        <v>3500000</v>
      </c>
      <c r="AC276" s="236">
        <v>5000000</v>
      </c>
      <c r="AD276" s="236">
        <v>5000000</v>
      </c>
      <c r="AE276" s="236">
        <v>5000000</v>
      </c>
      <c r="AF276" s="236">
        <v>5000000</v>
      </c>
      <c r="AG276" s="236">
        <v>5000000</v>
      </c>
      <c r="AH276" s="236">
        <v>5000000</v>
      </c>
      <c r="AI276" s="236">
        <v>5000000</v>
      </c>
      <c r="AJ276" s="236">
        <v>5000000</v>
      </c>
      <c r="AK276" s="236">
        <v>5000000</v>
      </c>
      <c r="AL276" s="236">
        <v>5000000</v>
      </c>
      <c r="AM276" s="236">
        <v>5000000</v>
      </c>
      <c r="AN276" s="236">
        <v>1500000</v>
      </c>
      <c r="AO276" s="236"/>
      <c r="AP276" s="236"/>
      <c r="AQ276" s="236"/>
      <c r="AR276" s="236"/>
      <c r="AS276" s="236"/>
      <c r="AT276" s="369">
        <v>42464</v>
      </c>
      <c r="AU276" s="91">
        <f t="shared" si="17"/>
        <v>60000000</v>
      </c>
    </row>
    <row r="277" spans="1:47" ht="38.25" hidden="1" customHeight="1" x14ac:dyDescent="0.25">
      <c r="A277" s="85">
        <v>271</v>
      </c>
      <c r="B277" s="2" t="str">
        <f>+'Base de Datos'!E277</f>
        <v>150053-0-2015</v>
      </c>
      <c r="C277" s="2" t="str">
        <f>+'Base de Datos'!F277</f>
        <v xml:space="preserve">ADRIANA MARGARITA PAYARES (Cesionaria) / Antes: JEAN PAUL RUBIO MARTIN </v>
      </c>
      <c r="D277" s="2">
        <f>+'Base de Datos'!G277</f>
        <v>79799184</v>
      </c>
      <c r="E277" s="2" t="str">
        <f>+'Base de Datos'!H277</f>
        <v>Prestar los servicios profesionales par acompañar la definición de especificaciones y condiciones técnicas para la definición de especificaciones y condiciones técnicas para la adquisición de bienes y servicios, relacionadas con tecnología e informática.</v>
      </c>
      <c r="F277" s="221">
        <f>+'Base de Datos'!I277</f>
        <v>63654000</v>
      </c>
      <c r="G277" s="220">
        <f>+'Base de Datos'!M277</f>
        <v>42045</v>
      </c>
      <c r="H277" s="220">
        <f>+'Base de Datos'!N277</f>
        <v>42379</v>
      </c>
      <c r="I277" s="183"/>
      <c r="J277" s="359"/>
      <c r="K277" s="183"/>
      <c r="L277" s="359"/>
      <c r="M277" s="183"/>
      <c r="N277" s="359"/>
      <c r="O277" s="183"/>
      <c r="P277" s="359"/>
      <c r="Q277" s="86">
        <f t="shared" si="18"/>
        <v>0</v>
      </c>
      <c r="R277" s="372" t="s">
        <v>381</v>
      </c>
      <c r="S277" s="370">
        <v>42410</v>
      </c>
      <c r="T277" s="372"/>
      <c r="U277" s="370"/>
      <c r="V277" s="372"/>
      <c r="W277" s="370"/>
      <c r="X277" s="372"/>
      <c r="Y277" s="370"/>
      <c r="Z277" s="353" t="s">
        <v>381</v>
      </c>
      <c r="AA277" s="89">
        <f t="shared" si="16"/>
        <v>42410</v>
      </c>
      <c r="AB277" s="236">
        <v>3713136</v>
      </c>
      <c r="AC277" s="236">
        <v>5304500</v>
      </c>
      <c r="AD277" s="236">
        <v>5304500</v>
      </c>
      <c r="AE277" s="236">
        <v>5304500</v>
      </c>
      <c r="AF277" s="236">
        <v>5304500</v>
      </c>
      <c r="AG277" s="236">
        <v>5304500</v>
      </c>
      <c r="AH277" s="236">
        <v>5304500</v>
      </c>
      <c r="AI277" s="236">
        <v>5304500</v>
      </c>
      <c r="AJ277" s="236">
        <v>5304500</v>
      </c>
      <c r="AK277" s="236">
        <v>5304500</v>
      </c>
      <c r="AL277" s="236">
        <v>5304500</v>
      </c>
      <c r="AM277" s="236">
        <v>5304500</v>
      </c>
      <c r="AN277" s="236">
        <v>1591364</v>
      </c>
      <c r="AO277" s="236"/>
      <c r="AP277" s="236"/>
      <c r="AQ277" s="236"/>
      <c r="AR277" s="236"/>
      <c r="AS277" s="236"/>
      <c r="AT277" s="369">
        <v>42230</v>
      </c>
      <c r="AU277" s="91">
        <f t="shared" si="17"/>
        <v>63654000</v>
      </c>
    </row>
    <row r="278" spans="1:47" ht="38.25" hidden="1" customHeight="1" x14ac:dyDescent="0.25">
      <c r="A278" s="85">
        <v>272</v>
      </c>
      <c r="B278" s="2" t="str">
        <f>+'Base de Datos'!E278</f>
        <v>150067-0-2015</v>
      </c>
      <c r="C278" s="2" t="str">
        <f>+'Base de Datos'!F278</f>
        <v>WIESNER FABIÁN ROBAYO SALCEDO</v>
      </c>
      <c r="D278" s="2">
        <f>+'Base de Datos'!G278</f>
        <v>80117116</v>
      </c>
      <c r="E278" s="2" t="str">
        <f>+'Base de Datos'!H278</f>
        <v>Prestar servicios profesionales para la actualización, administración, publicación y salvaguarda de la información publicada en la pagina WEB oficial del Concejo de Bogotá D. C.</v>
      </c>
      <c r="F278" s="221">
        <f>+'Base de Datos'!I278</f>
        <v>48000000</v>
      </c>
      <c r="G278" s="220">
        <f>+'Base de Datos'!M278</f>
        <v>42053</v>
      </c>
      <c r="H278" s="220">
        <f>+'Base de Datos'!N278</f>
        <v>42418</v>
      </c>
      <c r="I278" s="183"/>
      <c r="J278" s="359"/>
      <c r="K278" s="183"/>
      <c r="L278" s="359"/>
      <c r="M278" s="183"/>
      <c r="N278" s="359"/>
      <c r="O278" s="183"/>
      <c r="P278" s="359"/>
      <c r="Q278" s="86">
        <f t="shared" si="18"/>
        <v>0</v>
      </c>
      <c r="R278" s="372"/>
      <c r="S278" s="370"/>
      <c r="T278" s="372"/>
      <c r="U278" s="370"/>
      <c r="V278" s="372"/>
      <c r="W278" s="370"/>
      <c r="X278" s="372"/>
      <c r="Y278" s="370"/>
      <c r="Z278" s="353"/>
      <c r="AA278" s="89">
        <f t="shared" si="16"/>
        <v>0</v>
      </c>
      <c r="AB278" s="236">
        <v>1733333</v>
      </c>
      <c r="AC278" s="236">
        <v>4000000</v>
      </c>
      <c r="AD278" s="236">
        <v>4000000</v>
      </c>
      <c r="AE278" s="236">
        <v>4000000</v>
      </c>
      <c r="AF278" s="236">
        <v>4000000</v>
      </c>
      <c r="AG278" s="236">
        <v>4000000</v>
      </c>
      <c r="AH278" s="236">
        <v>4000000</v>
      </c>
      <c r="AI278" s="236">
        <v>4000000</v>
      </c>
      <c r="AJ278" s="236">
        <v>4000000</v>
      </c>
      <c r="AK278" s="236">
        <v>4000000</v>
      </c>
      <c r="AL278" s="236">
        <v>4000000</v>
      </c>
      <c r="AM278" s="236">
        <v>4000000</v>
      </c>
      <c r="AN278" s="236">
        <v>2266667</v>
      </c>
      <c r="AO278" s="236"/>
      <c r="AP278" s="236"/>
      <c r="AQ278" s="236"/>
      <c r="AR278" s="236"/>
      <c r="AS278" s="236"/>
      <c r="AT278" s="369">
        <v>42136</v>
      </c>
      <c r="AU278" s="91">
        <f t="shared" si="17"/>
        <v>48000000</v>
      </c>
    </row>
    <row r="279" spans="1:47" ht="38.25" hidden="1" customHeight="1" x14ac:dyDescent="0.25">
      <c r="A279" s="85">
        <v>273</v>
      </c>
      <c r="B279" s="2" t="str">
        <f>+'Base de Datos'!E279</f>
        <v>150076-0-2015</v>
      </c>
      <c r="C279" s="2" t="str">
        <f>+'Base de Datos'!F279</f>
        <v>JUDITH HERNÁNDEZ VILLALBA</v>
      </c>
      <c r="D279" s="2">
        <f>+'Base de Datos'!G279</f>
        <v>41468417</v>
      </c>
      <c r="E279" s="2" t="str">
        <f>+'Base de Datos'!H279</f>
        <v>Prestar servicios profesionales para apoyar al Concejo de Bogotá en el enlace con la Unidad Ejecutora 04 de la Secretaría Distrital de Hacienda para la liquidación y cierre de los expedientes contractuales.</v>
      </c>
      <c r="F279" s="221">
        <f>+'Base de Datos'!I279</f>
        <v>63654000</v>
      </c>
      <c r="G279" s="220">
        <f>+'Base de Datos'!M279</f>
        <v>42054</v>
      </c>
      <c r="H279" s="220">
        <f>+'Base de Datos'!N279</f>
        <v>42419</v>
      </c>
      <c r="I279" s="183"/>
      <c r="J279" s="359"/>
      <c r="K279" s="183"/>
      <c r="L279" s="359"/>
      <c r="M279" s="183"/>
      <c r="N279" s="359"/>
      <c r="O279" s="183"/>
      <c r="P279" s="359"/>
      <c r="Q279" s="86">
        <f t="shared" si="18"/>
        <v>0</v>
      </c>
      <c r="R279" s="372"/>
      <c r="S279" s="370"/>
      <c r="T279" s="372"/>
      <c r="U279" s="370"/>
      <c r="V279" s="372"/>
      <c r="W279" s="370"/>
      <c r="X279" s="372"/>
      <c r="Y279" s="370"/>
      <c r="Z279" s="353"/>
      <c r="AA279" s="89">
        <f t="shared" si="16"/>
        <v>0</v>
      </c>
      <c r="AB279" s="236">
        <v>2121800</v>
      </c>
      <c r="AC279" s="236">
        <v>5304500</v>
      </c>
      <c r="AD279" s="236">
        <v>10609000</v>
      </c>
      <c r="AE279" s="236">
        <v>5304500</v>
      </c>
      <c r="AF279" s="236">
        <v>5304500</v>
      </c>
      <c r="AG279" s="236">
        <v>5304500</v>
      </c>
      <c r="AH279" s="236">
        <v>5304500</v>
      </c>
      <c r="AI279" s="236">
        <v>5304500</v>
      </c>
      <c r="AJ279" s="236">
        <v>5304500</v>
      </c>
      <c r="AK279" s="236">
        <v>5304500</v>
      </c>
      <c r="AL279" s="236">
        <v>5304500</v>
      </c>
      <c r="AM279" s="236">
        <v>3182700</v>
      </c>
      <c r="AN279" s="236"/>
      <c r="AO279" s="236"/>
      <c r="AP279" s="236"/>
      <c r="AQ279" s="236"/>
      <c r="AR279" s="236"/>
      <c r="AS279" s="236"/>
      <c r="AT279" s="369">
        <v>42412</v>
      </c>
      <c r="AU279" s="91">
        <f t="shared" si="17"/>
        <v>63654000</v>
      </c>
    </row>
    <row r="280" spans="1:47" ht="38.25" hidden="1" customHeight="1" x14ac:dyDescent="0.25">
      <c r="A280" s="85">
        <v>274</v>
      </c>
      <c r="B280" s="2" t="str">
        <f>+'Base de Datos'!E280</f>
        <v>150073-0-2015</v>
      </c>
      <c r="C280" s="2" t="str">
        <f>+'Base de Datos'!F280</f>
        <v>ELVIN ALEXANDER AVEBDAÑO FONSECA (Cesionario) / JAVIER ANDRÉS VIDAL MELO (Antes)</v>
      </c>
      <c r="D280" s="2">
        <f>+'Base de Datos'!G280</f>
        <v>74323767</v>
      </c>
      <c r="E280" s="2" t="str">
        <f>+'Base de Datos'!H280</f>
        <v>Prestar los servicios profesionales para elaborar las especificaciones técnicas y condiciones técnicas de los procesos para la adquisición de bienes y servicios y apoyar la función de supervisión de los contratos.</v>
      </c>
      <c r="F280" s="221">
        <f>+'Base de Datos'!I280</f>
        <v>60000000</v>
      </c>
      <c r="G280" s="220">
        <f>+'Base de Datos'!M280</f>
        <v>42054</v>
      </c>
      <c r="H280" s="220">
        <f>+'Base de Datos'!N280</f>
        <v>42419</v>
      </c>
      <c r="I280" s="183"/>
      <c r="J280" s="359"/>
      <c r="K280" s="183"/>
      <c r="L280" s="359"/>
      <c r="M280" s="183"/>
      <c r="N280" s="359"/>
      <c r="O280" s="183"/>
      <c r="P280" s="359"/>
      <c r="Q280" s="86">
        <f t="shared" ref="Q280:Q299" si="19">SUM(I280,K280,M280,O280)</f>
        <v>0</v>
      </c>
      <c r="R280" s="372"/>
      <c r="S280" s="370"/>
      <c r="T280" s="372"/>
      <c r="U280" s="370"/>
      <c r="V280" s="372"/>
      <c r="W280" s="370"/>
      <c r="X280" s="372"/>
      <c r="Y280" s="370"/>
      <c r="Z280" s="353"/>
      <c r="AA280" s="89">
        <f t="shared" ref="AA280:AA299" si="20">MAX(S280,U280,W280,Y280)</f>
        <v>0</v>
      </c>
      <c r="AB280" s="236">
        <v>2000000</v>
      </c>
      <c r="AC280" s="236">
        <v>5000000</v>
      </c>
      <c r="AD280" s="236">
        <v>5000000</v>
      </c>
      <c r="AE280" s="236">
        <v>5000000</v>
      </c>
      <c r="AF280" s="236">
        <v>5000000</v>
      </c>
      <c r="AG280" s="236">
        <v>5000000</v>
      </c>
      <c r="AH280" s="236">
        <v>5000000</v>
      </c>
      <c r="AI280" s="236">
        <v>5000000</v>
      </c>
      <c r="AJ280" s="236">
        <v>5000000</v>
      </c>
      <c r="AK280" s="236">
        <v>5000000</v>
      </c>
      <c r="AL280" s="236">
        <v>5000000</v>
      </c>
      <c r="AM280" s="236">
        <v>5000000</v>
      </c>
      <c r="AN280" s="236">
        <v>3000000</v>
      </c>
      <c r="AO280" s="236"/>
      <c r="AP280" s="236"/>
      <c r="AQ280" s="236"/>
      <c r="AR280" s="236"/>
      <c r="AS280" s="236"/>
      <c r="AT280" s="369">
        <v>42432</v>
      </c>
      <c r="AU280" s="91">
        <f t="shared" ref="AU280:AU299" si="21">SUM(AB280:AR280)</f>
        <v>60000000</v>
      </c>
    </row>
    <row r="281" spans="1:47" ht="45" hidden="1" x14ac:dyDescent="0.25">
      <c r="A281" s="85">
        <v>275</v>
      </c>
      <c r="B281" s="2" t="str">
        <f>+'Base de Datos'!E281</f>
        <v>150080-0-2015</v>
      </c>
      <c r="C281" s="2" t="str">
        <f>+'Base de Datos'!F281</f>
        <v>LIZETH  GONZÁLEZ VARGAS</v>
      </c>
      <c r="D281" s="2">
        <f>+'Base de Datos'!G281</f>
        <v>1073156298</v>
      </c>
      <c r="E281" s="2" t="str">
        <f>+'Base de Datos'!H281</f>
        <v>Prestar los servicios profesionales para sistematizar y consolidar la información de los trámites contractuales a cargo del proceso administrativo y financiero del Concejo de Bogotá, D.C.</v>
      </c>
      <c r="F281" s="221">
        <f>+'Base de Datos'!I281</f>
        <v>43260000</v>
      </c>
      <c r="G281" s="220">
        <f>+'Base de Datos'!M281</f>
        <v>42060</v>
      </c>
      <c r="H281" s="220">
        <f>+'Base de Datos'!N281</f>
        <v>42425</v>
      </c>
      <c r="I281" s="183"/>
      <c r="J281" s="359"/>
      <c r="K281" s="183"/>
      <c r="L281" s="359"/>
      <c r="M281" s="183"/>
      <c r="N281" s="359"/>
      <c r="O281" s="183"/>
      <c r="P281" s="359"/>
      <c r="Q281" s="86">
        <f t="shared" si="19"/>
        <v>0</v>
      </c>
      <c r="R281" s="372"/>
      <c r="S281" s="370"/>
      <c r="T281" s="372"/>
      <c r="U281" s="370"/>
      <c r="V281" s="372"/>
      <c r="W281" s="370"/>
      <c r="X281" s="372"/>
      <c r="Y281" s="370"/>
      <c r="Z281" s="353"/>
      <c r="AA281" s="89">
        <f t="shared" si="20"/>
        <v>0</v>
      </c>
      <c r="AB281" s="236">
        <v>721000</v>
      </c>
      <c r="AC281" s="236">
        <v>3605000</v>
      </c>
      <c r="AD281" s="236">
        <v>3605000</v>
      </c>
      <c r="AE281" s="236">
        <v>3605000</v>
      </c>
      <c r="AF281" s="236">
        <v>3605000</v>
      </c>
      <c r="AG281" s="236">
        <v>3605000</v>
      </c>
      <c r="AH281" s="236">
        <v>3605000</v>
      </c>
      <c r="AI281" s="236">
        <v>3605000</v>
      </c>
      <c r="AJ281" s="236">
        <v>3605000</v>
      </c>
      <c r="AK281" s="236">
        <v>3605000</v>
      </c>
      <c r="AL281" s="236">
        <v>3605000</v>
      </c>
      <c r="AM281" s="236">
        <v>3605000</v>
      </c>
      <c r="AN281" s="236">
        <v>2884000</v>
      </c>
      <c r="AO281" s="236"/>
      <c r="AP281" s="236"/>
      <c r="AQ281" s="236"/>
      <c r="AR281" s="236"/>
      <c r="AS281" s="236"/>
      <c r="AT281" s="369">
        <v>42432</v>
      </c>
      <c r="AU281" s="91">
        <f t="shared" si="21"/>
        <v>43260000</v>
      </c>
    </row>
    <row r="282" spans="1:47" ht="45" hidden="1" customHeight="1" x14ac:dyDescent="0.25">
      <c r="A282" s="85">
        <v>276</v>
      </c>
      <c r="B282" s="2" t="str">
        <f>+'Base de Datos'!E282</f>
        <v>150081-0-2015</v>
      </c>
      <c r="C282" s="2" t="str">
        <f>+'Base de Datos'!F282</f>
        <v>LEIDY YONETH RIVERA GONZALEZ (Cesionario) / LUISA FERNANDA GUTIÉRREZ RAMÍREZ (Antes)</v>
      </c>
      <c r="D282" s="2">
        <f>+'Base de Datos'!G282</f>
        <v>52967877</v>
      </c>
      <c r="E282" s="2" t="str">
        <f>+'Base de Datos'!H282</f>
        <v>Apoyar en la supervisión de los contratos que le sean asignados al Concejo de Bogotá, implementando mecanismos que le permitan contribuir efectivamente al seguimiento técnico administrativo, financiero, contable y jurídico sobre el cumplimiento de cada contrato.</v>
      </c>
      <c r="F282" s="221">
        <f>+'Base de Datos'!I282</f>
        <v>63654000</v>
      </c>
      <c r="G282" s="220">
        <f>+'Base de Datos'!M282</f>
        <v>42060</v>
      </c>
      <c r="H282" s="220">
        <f>+'Base de Datos'!N282</f>
        <v>42425</v>
      </c>
      <c r="I282" s="183"/>
      <c r="J282" s="359"/>
      <c r="K282" s="183"/>
      <c r="L282" s="359"/>
      <c r="M282" s="183"/>
      <c r="N282" s="359"/>
      <c r="O282" s="183"/>
      <c r="P282" s="359"/>
      <c r="Q282" s="86">
        <f t="shared" si="19"/>
        <v>0</v>
      </c>
      <c r="R282" s="372" t="s">
        <v>379</v>
      </c>
      <c r="S282" s="370">
        <v>42515</v>
      </c>
      <c r="T282" s="372" t="s">
        <v>2241</v>
      </c>
      <c r="U282" s="370">
        <v>42530</v>
      </c>
      <c r="V282" s="372"/>
      <c r="W282" s="370"/>
      <c r="X282" s="372"/>
      <c r="Y282" s="370"/>
      <c r="Z282" s="353" t="s">
        <v>2242</v>
      </c>
      <c r="AA282" s="89">
        <f t="shared" si="20"/>
        <v>42530</v>
      </c>
      <c r="AB282" s="236">
        <v>1060900</v>
      </c>
      <c r="AC282" s="236">
        <v>5304500</v>
      </c>
      <c r="AD282" s="236">
        <v>5304500</v>
      </c>
      <c r="AE282" s="236">
        <v>5304500</v>
      </c>
      <c r="AF282" s="236">
        <v>5304500</v>
      </c>
      <c r="AG282" s="236">
        <v>2829067</v>
      </c>
      <c r="AH282" s="236">
        <v>5304500</v>
      </c>
      <c r="AI282" s="236">
        <v>5304500</v>
      </c>
      <c r="AJ282" s="236">
        <v>5304500</v>
      </c>
      <c r="AK282" s="236">
        <v>5304500</v>
      </c>
      <c r="AL282" s="236">
        <v>1591350</v>
      </c>
      <c r="AM282" s="236">
        <v>2652250</v>
      </c>
      <c r="AN282" s="236">
        <v>5304500</v>
      </c>
      <c r="AO282" s="236">
        <v>5304500</v>
      </c>
      <c r="AP282" s="236">
        <v>1591350</v>
      </c>
      <c r="AQ282" s="236"/>
      <c r="AR282" s="236"/>
      <c r="AS282" s="236"/>
      <c r="AT282" s="369">
        <v>42542</v>
      </c>
      <c r="AU282" s="91">
        <f t="shared" si="21"/>
        <v>62769917</v>
      </c>
    </row>
    <row r="283" spans="1:47" ht="33.75" hidden="1" x14ac:dyDescent="0.25">
      <c r="A283" s="85">
        <v>277</v>
      </c>
      <c r="B283" s="2" t="str">
        <f>+'Base de Datos'!E283</f>
        <v>150083-0-2015</v>
      </c>
      <c r="C283" s="2" t="str">
        <f>+'Base de Datos'!F283</f>
        <v>DIANA MARCELA REYES</v>
      </c>
      <c r="D283" s="2">
        <f>+'Base de Datos'!G283</f>
        <v>28557652</v>
      </c>
      <c r="E283" s="2" t="str">
        <f>+'Base de Datos'!H283</f>
        <v>Prestar servicios profesionales para acompañar la Oficina de Comunicaciones del Concejo de Bogotá en la implementación de estrategias comunicativas.</v>
      </c>
      <c r="F283" s="221">
        <f>+'Base de Datos'!I283</f>
        <v>30900000</v>
      </c>
      <c r="G283" s="220">
        <f>+'Base de Datos'!M283</f>
        <v>42065</v>
      </c>
      <c r="H283" s="220">
        <f>+'Base de Datos'!N283</f>
        <v>42431</v>
      </c>
      <c r="I283" s="179"/>
      <c r="J283" s="360"/>
      <c r="K283" s="237"/>
      <c r="L283" s="363"/>
      <c r="M283" s="179"/>
      <c r="N283" s="360"/>
      <c r="O283" s="179"/>
      <c r="P283" s="365"/>
      <c r="Q283" s="86">
        <f t="shared" si="19"/>
        <v>0</v>
      </c>
      <c r="R283" s="340"/>
      <c r="S283" s="371"/>
      <c r="T283" s="316"/>
      <c r="U283" s="371"/>
      <c r="V283" s="316"/>
      <c r="W283" s="371"/>
      <c r="X283" s="316"/>
      <c r="Y283" s="371"/>
      <c r="Z283" s="353"/>
      <c r="AA283" s="89">
        <f t="shared" si="20"/>
        <v>0</v>
      </c>
      <c r="AB283" s="237">
        <v>2489167</v>
      </c>
      <c r="AC283" s="237">
        <v>2575000</v>
      </c>
      <c r="AD283" s="237">
        <v>2575000</v>
      </c>
      <c r="AE283" s="237">
        <v>2575000</v>
      </c>
      <c r="AF283" s="237">
        <v>2575000</v>
      </c>
      <c r="AG283" s="237">
        <v>2575000</v>
      </c>
      <c r="AH283" s="237">
        <v>2575000</v>
      </c>
      <c r="AI283" s="237">
        <v>2575000</v>
      </c>
      <c r="AJ283" s="237">
        <v>2575000</v>
      </c>
      <c r="AK283" s="237">
        <v>2575000</v>
      </c>
      <c r="AL283" s="237">
        <v>2575000</v>
      </c>
      <c r="AM283" s="237">
        <v>2575000</v>
      </c>
      <c r="AN283" s="237">
        <v>85833</v>
      </c>
      <c r="AO283" s="237"/>
      <c r="AP283" s="237"/>
      <c r="AQ283" s="237"/>
      <c r="AR283" s="237"/>
      <c r="AS283" s="237"/>
      <c r="AT283" s="360">
        <v>42647</v>
      </c>
      <c r="AU283" s="91">
        <f t="shared" si="21"/>
        <v>30900000</v>
      </c>
    </row>
    <row r="284" spans="1:47" hidden="1" x14ac:dyDescent="0.25">
      <c r="A284" s="85">
        <v>278</v>
      </c>
      <c r="B284" s="2" t="str">
        <f>+'Base de Datos'!E284</f>
        <v>150097-0-2015</v>
      </c>
      <c r="C284" s="2" t="str">
        <f>+'Base de Datos'!F284</f>
        <v>ORGANIZACIÓN TERPEL S.A.</v>
      </c>
      <c r="D284" s="2">
        <f>+'Base de Datos'!G284</f>
        <v>830095213</v>
      </c>
      <c r="E284" s="2" t="str">
        <f>+'Base de Datos'!H284</f>
        <v>Suministro de combustible para el Concejo de Bogotá D.C.</v>
      </c>
      <c r="F284" s="221">
        <f>+'Base de Datos'!I284</f>
        <v>444600000</v>
      </c>
      <c r="G284" s="220">
        <f>+'Base de Datos'!M284</f>
        <v>42064</v>
      </c>
      <c r="H284" s="220">
        <f>+'Base de Datos'!N284</f>
        <v>42339</v>
      </c>
      <c r="I284" s="179"/>
      <c r="J284" s="360"/>
      <c r="K284" s="237"/>
      <c r="L284" s="363"/>
      <c r="M284" s="179"/>
      <c r="N284" s="360"/>
      <c r="O284" s="179"/>
      <c r="P284" s="365"/>
      <c r="Q284" s="86">
        <f t="shared" si="19"/>
        <v>0</v>
      </c>
      <c r="R284" s="340"/>
      <c r="S284" s="371"/>
      <c r="T284" s="316"/>
      <c r="U284" s="371"/>
      <c r="V284" s="316"/>
      <c r="W284" s="371"/>
      <c r="X284" s="316"/>
      <c r="Y284" s="371"/>
      <c r="Z284" s="353"/>
      <c r="AA284" s="89">
        <f t="shared" si="20"/>
        <v>0</v>
      </c>
      <c r="AB284" s="237">
        <v>20015228</v>
      </c>
      <c r="AC284" s="237">
        <v>16719747</v>
      </c>
      <c r="AD284" s="237">
        <v>15879446</v>
      </c>
      <c r="AE284" s="237">
        <v>19965908</v>
      </c>
      <c r="AF284" s="237">
        <v>18325676</v>
      </c>
      <c r="AG284" s="237">
        <v>19592394</v>
      </c>
      <c r="AH284" s="237">
        <v>19433859</v>
      </c>
      <c r="AI284" s="237">
        <v>16820441</v>
      </c>
      <c r="AJ284" s="237">
        <v>18397691</v>
      </c>
      <c r="AK284" s="237">
        <v>20663385</v>
      </c>
      <c r="AL284" s="237">
        <v>20312058</v>
      </c>
      <c r="AM284" s="237">
        <v>44703913</v>
      </c>
      <c r="AN284" s="237">
        <v>61490735</v>
      </c>
      <c r="AO284" s="237">
        <v>18019228</v>
      </c>
      <c r="AP284" s="237">
        <v>34997443</v>
      </c>
      <c r="AQ284" s="237"/>
      <c r="AR284" s="237"/>
      <c r="AS284" s="237"/>
      <c r="AT284" s="360">
        <v>42391</v>
      </c>
      <c r="AU284" s="91">
        <f t="shared" si="21"/>
        <v>365337152</v>
      </c>
    </row>
    <row r="285" spans="1:47" ht="45" hidden="1" x14ac:dyDescent="0.25">
      <c r="A285" s="85">
        <v>279</v>
      </c>
      <c r="B285" s="2" t="str">
        <f>+'Base de Datos'!E285</f>
        <v>150100-0-2015</v>
      </c>
      <c r="C285" s="2" t="str">
        <f>+'Base de Datos'!F285</f>
        <v>KHAANKO NORBERTO RUIZ RODRÍGUEZ</v>
      </c>
      <c r="D285" s="2">
        <f>+'Base de Datos'!G285</f>
        <v>79887061</v>
      </c>
      <c r="E285" s="2" t="str">
        <f>+'Base de Datos'!H285</f>
        <v>Prestar servicios profesionales para apoyar el proceso de sistemas y seguridad informática del Concejo de Bogotá con especial énfasis en la identificación y mitigación de riesgos.</v>
      </c>
      <c r="F285" s="221">
        <f>+'Base de Datos'!I285</f>
        <v>38400000</v>
      </c>
      <c r="G285" s="220">
        <f>+'Base de Datos'!M285</f>
        <v>42073</v>
      </c>
      <c r="H285" s="220">
        <f>+'Base de Datos'!N285</f>
        <v>42439</v>
      </c>
      <c r="I285" s="179"/>
      <c r="J285" s="360"/>
      <c r="K285" s="237"/>
      <c r="L285" s="363"/>
      <c r="M285" s="179"/>
      <c r="N285" s="360"/>
      <c r="O285" s="179"/>
      <c r="P285" s="365"/>
      <c r="Q285" s="86">
        <f t="shared" si="19"/>
        <v>0</v>
      </c>
      <c r="R285" s="340"/>
      <c r="S285" s="371"/>
      <c r="T285" s="316"/>
      <c r="U285" s="371"/>
      <c r="V285" s="316"/>
      <c r="W285" s="371"/>
      <c r="X285" s="316"/>
      <c r="Y285" s="371"/>
      <c r="Z285" s="353"/>
      <c r="AA285" s="89">
        <f t="shared" si="20"/>
        <v>0</v>
      </c>
      <c r="AB285" s="237">
        <v>2240000</v>
      </c>
      <c r="AC285" s="237">
        <v>3200000</v>
      </c>
      <c r="AD285" s="237">
        <v>3200000</v>
      </c>
      <c r="AE285" s="237">
        <v>3200000</v>
      </c>
      <c r="AF285" s="237">
        <v>3200000</v>
      </c>
      <c r="AG285" s="237">
        <v>3200000</v>
      </c>
      <c r="AH285" s="237">
        <v>3200000</v>
      </c>
      <c r="AI285" s="237">
        <v>3200000</v>
      </c>
      <c r="AJ285" s="237">
        <v>3200000</v>
      </c>
      <c r="AK285" s="237">
        <v>3200000</v>
      </c>
      <c r="AL285" s="237">
        <v>3200000</v>
      </c>
      <c r="AM285" s="237">
        <v>3200000</v>
      </c>
      <c r="AN285" s="237">
        <v>960000</v>
      </c>
      <c r="AO285" s="237"/>
      <c r="AP285" s="237"/>
      <c r="AQ285" s="237"/>
      <c r="AR285" s="237"/>
      <c r="AS285" s="237"/>
      <c r="AT285" s="360">
        <v>42409</v>
      </c>
      <c r="AU285" s="91">
        <f t="shared" si="21"/>
        <v>38400000</v>
      </c>
    </row>
    <row r="286" spans="1:47" ht="33.75" hidden="1" x14ac:dyDescent="0.25">
      <c r="A286" s="85">
        <v>280</v>
      </c>
      <c r="B286" s="2" t="str">
        <f>+'Base de Datos'!E286</f>
        <v>150101-0-2015</v>
      </c>
      <c r="C286" s="2" t="str">
        <f>+'Base de Datos'!F286</f>
        <v>GLORIA CATALINA ROSERO TOLEDO</v>
      </c>
      <c r="D286" s="2">
        <f>+'Base de Datos'!G286</f>
        <v>53124369</v>
      </c>
      <c r="E286" s="2" t="str">
        <f>+'Base de Datos'!H286</f>
        <v>Prestar los servicios profesionales para la consolidación y actualización de la estrategia de la depuración normativa del Concejo de Bogotá D.C.</v>
      </c>
      <c r="F286" s="221">
        <f>+'Base de Datos'!I286</f>
        <v>78000000</v>
      </c>
      <c r="G286" s="220">
        <f>+'Base de Datos'!M286</f>
        <v>42066</v>
      </c>
      <c r="H286" s="220">
        <f>+'Base de Datos'!N286</f>
        <v>42432</v>
      </c>
      <c r="I286" s="179"/>
      <c r="J286" s="360"/>
      <c r="K286" s="237"/>
      <c r="L286" s="363"/>
      <c r="M286" s="179"/>
      <c r="N286" s="360"/>
      <c r="O286" s="179"/>
      <c r="P286" s="365"/>
      <c r="Q286" s="86">
        <f t="shared" si="19"/>
        <v>0</v>
      </c>
      <c r="R286" s="340"/>
      <c r="S286" s="371"/>
      <c r="T286" s="316"/>
      <c r="U286" s="371"/>
      <c r="V286" s="316"/>
      <c r="W286" s="371"/>
      <c r="X286" s="316"/>
      <c r="Y286" s="371"/>
      <c r="Z286" s="353"/>
      <c r="AA286" s="89">
        <f t="shared" si="20"/>
        <v>0</v>
      </c>
      <c r="AB286" s="237">
        <v>6066667</v>
      </c>
      <c r="AC286" s="237">
        <v>6500000</v>
      </c>
      <c r="AD286" s="237">
        <v>6500000</v>
      </c>
      <c r="AE286" s="237">
        <v>6500000</v>
      </c>
      <c r="AF286" s="237">
        <v>6500000</v>
      </c>
      <c r="AG286" s="237">
        <v>6500000</v>
      </c>
      <c r="AH286" s="237">
        <v>6500000</v>
      </c>
      <c r="AI286" s="237">
        <v>6500000</v>
      </c>
      <c r="AJ286" s="237">
        <v>6500000</v>
      </c>
      <c r="AK286" s="237">
        <v>6500000</v>
      </c>
      <c r="AL286" s="237">
        <v>6500000</v>
      </c>
      <c r="AM286" s="237">
        <v>6933333</v>
      </c>
      <c r="AN286" s="237"/>
      <c r="AO286" s="237"/>
      <c r="AP286" s="237"/>
      <c r="AQ286" s="237"/>
      <c r="AR286" s="237"/>
      <c r="AS286" s="237"/>
      <c r="AT286" s="360">
        <v>42585</v>
      </c>
      <c r="AU286" s="91">
        <f t="shared" si="21"/>
        <v>78000000</v>
      </c>
    </row>
    <row r="287" spans="1:47" ht="45" hidden="1" x14ac:dyDescent="0.25">
      <c r="A287" s="85">
        <v>281</v>
      </c>
      <c r="B287" s="2" t="str">
        <f>+'Base de Datos'!E287</f>
        <v>150102-0-2015</v>
      </c>
      <c r="C287" s="2" t="str">
        <f>+'Base de Datos'!F287</f>
        <v>LINA MARÍA GONZÁLEZ RUIZ</v>
      </c>
      <c r="D287" s="2">
        <f>+'Base de Datos'!G287</f>
        <v>51961125</v>
      </c>
      <c r="E287" s="2" t="str">
        <f>+'Base de Datos'!H287</f>
        <v>Prestar servicios profesionales para apoyar la gestión administrativa, documental y contractual en los asuntos de competencia de la Dirección Financiera del Concejo de Bogotá, D.C.</v>
      </c>
      <c r="F287" s="221">
        <f>+'Base de Datos'!I287</f>
        <v>30900000</v>
      </c>
      <c r="G287" s="220">
        <f>+'Base de Datos'!M287</f>
        <v>42073</v>
      </c>
      <c r="H287" s="220">
        <f>+'Base de Datos'!N287</f>
        <v>42439</v>
      </c>
      <c r="I287" s="179"/>
      <c r="J287" s="360"/>
      <c r="K287" s="237"/>
      <c r="L287" s="363"/>
      <c r="M287" s="179"/>
      <c r="N287" s="360"/>
      <c r="O287" s="179"/>
      <c r="P287" s="365"/>
      <c r="Q287" s="86">
        <f t="shared" si="19"/>
        <v>0</v>
      </c>
      <c r="R287" s="340"/>
      <c r="S287" s="371"/>
      <c r="T287" s="316"/>
      <c r="U287" s="371"/>
      <c r="V287" s="316"/>
      <c r="W287" s="371"/>
      <c r="X287" s="316"/>
      <c r="Y287" s="371"/>
      <c r="Z287" s="353"/>
      <c r="AA287" s="89">
        <f t="shared" si="20"/>
        <v>0</v>
      </c>
      <c r="AB287" s="237">
        <v>1802500</v>
      </c>
      <c r="AC287" s="237">
        <v>2575000</v>
      </c>
      <c r="AD287" s="237">
        <v>2575000</v>
      </c>
      <c r="AE287" s="237">
        <v>2575000</v>
      </c>
      <c r="AF287" s="237">
        <v>2575000</v>
      </c>
      <c r="AG287" s="237">
        <v>2575000</v>
      </c>
      <c r="AH287" s="237">
        <v>2575000</v>
      </c>
      <c r="AI287" s="237">
        <v>2575000</v>
      </c>
      <c r="AJ287" s="237">
        <v>2575000</v>
      </c>
      <c r="AK287" s="237">
        <v>2575000</v>
      </c>
      <c r="AL287" s="237">
        <v>2575000</v>
      </c>
      <c r="AM287" s="237">
        <v>2575000</v>
      </c>
      <c r="AN287" s="237">
        <v>772500</v>
      </c>
      <c r="AO287" s="237"/>
      <c r="AP287" s="237"/>
      <c r="AQ287" s="237"/>
      <c r="AR287" s="237"/>
      <c r="AS287" s="237"/>
      <c r="AT287" s="360">
        <v>42464</v>
      </c>
      <c r="AU287" s="91">
        <f t="shared" si="21"/>
        <v>30900000</v>
      </c>
    </row>
    <row r="288" spans="1:47" ht="56.25" hidden="1" x14ac:dyDescent="0.25">
      <c r="A288" s="85">
        <v>282</v>
      </c>
      <c r="B288" s="2" t="str">
        <f>+'Base de Datos'!E288</f>
        <v>150104-0-2015</v>
      </c>
      <c r="C288" s="2" t="str">
        <f>+'Base de Datos'!F288</f>
        <v>EMPRESA DE TELECOMUNICACIONES DE BOGOTA S.A.   ESP</v>
      </c>
      <c r="D288" s="2">
        <f>+'Base de Datos'!G288</f>
        <v>899999115</v>
      </c>
      <c r="E288" s="2" t="str">
        <f>+'Base de Datos'!H288</f>
        <v>Prestar los servicios de conectividad de canales de comunicación dedicados e Internet y servicios complementarios para el Concejo de Bogotá de confirmidad con lo establecido en los Estudios Previos y Anexo 1 Ficha Técnica.</v>
      </c>
      <c r="F288" s="221">
        <f>+'Base de Datos'!I288</f>
        <v>150000000</v>
      </c>
      <c r="G288" s="220">
        <f>+'Base de Datos'!M288</f>
        <v>42090</v>
      </c>
      <c r="H288" s="220">
        <f>+'Base de Datos'!N288</f>
        <v>42456</v>
      </c>
      <c r="I288" s="179"/>
      <c r="J288" s="360"/>
      <c r="K288" s="237"/>
      <c r="L288" s="363"/>
      <c r="M288" s="179"/>
      <c r="N288" s="360"/>
      <c r="O288" s="179"/>
      <c r="P288" s="365"/>
      <c r="Q288" s="86">
        <f t="shared" si="19"/>
        <v>0</v>
      </c>
      <c r="R288" s="340"/>
      <c r="S288" s="371"/>
      <c r="T288" s="316"/>
      <c r="U288" s="371"/>
      <c r="V288" s="316"/>
      <c r="W288" s="371"/>
      <c r="X288" s="316"/>
      <c r="Y288" s="371"/>
      <c r="Z288" s="353"/>
      <c r="AA288" s="89">
        <f t="shared" si="20"/>
        <v>0</v>
      </c>
      <c r="AB288" s="237">
        <v>150000000</v>
      </c>
      <c r="AC288" s="237"/>
      <c r="AD288" s="237"/>
      <c r="AE288" s="237"/>
      <c r="AF288" s="237"/>
      <c r="AG288" s="237"/>
      <c r="AH288" s="237"/>
      <c r="AI288" s="237"/>
      <c r="AJ288" s="237"/>
      <c r="AK288" s="237"/>
      <c r="AL288" s="237"/>
      <c r="AM288" s="237"/>
      <c r="AN288" s="237"/>
      <c r="AO288" s="237"/>
      <c r="AP288" s="237"/>
      <c r="AQ288" s="237"/>
      <c r="AR288" s="237"/>
      <c r="AS288" s="237"/>
      <c r="AT288" s="360">
        <v>42510</v>
      </c>
      <c r="AU288" s="91">
        <f t="shared" si="21"/>
        <v>150000000</v>
      </c>
    </row>
    <row r="289" spans="1:48" ht="67.5" hidden="1" x14ac:dyDescent="0.25">
      <c r="A289" s="85">
        <v>283</v>
      </c>
      <c r="B289" s="2" t="str">
        <f>+'Base de Datos'!E289</f>
        <v>150113-0-2015</v>
      </c>
      <c r="C289" s="2" t="str">
        <f>+'Base de Datos'!F289</f>
        <v>JARGU S.A. CORREDORES DE SEGUROS</v>
      </c>
      <c r="D289" s="2">
        <f>+'Base de Datos'!G289</f>
        <v>800018165</v>
      </c>
      <c r="E289" s="2" t="str">
        <f>+'Base de Datos'!H289</f>
        <v>Prestar los servicios profesionales de intemediación y asesoría en la formulación y manejo de programas de seguros requeridos por la Secretaría Distrital de Hacienda y el Concejo de Bogotá D.C. de conformidad con lo establecido en el presente pliego de condiciones y la propuesta presentada por el contratista.</v>
      </c>
      <c r="F289" s="221">
        <f>+'Base de Datos'!I289</f>
        <v>0</v>
      </c>
      <c r="G289" s="220">
        <f>+'Base de Datos'!M289</f>
        <v>0</v>
      </c>
      <c r="H289" s="220">
        <f>+'Base de Datos'!N289</f>
        <v>0</v>
      </c>
      <c r="I289" s="179"/>
      <c r="J289" s="360"/>
      <c r="K289" s="237"/>
      <c r="L289" s="363"/>
      <c r="M289" s="179"/>
      <c r="N289" s="360"/>
      <c r="O289" s="179"/>
      <c r="P289" s="365"/>
      <c r="Q289" s="86">
        <f t="shared" si="19"/>
        <v>0</v>
      </c>
      <c r="R289" s="340"/>
      <c r="S289" s="371"/>
      <c r="T289" s="316"/>
      <c r="U289" s="371"/>
      <c r="V289" s="316"/>
      <c r="W289" s="371"/>
      <c r="X289" s="316"/>
      <c r="Y289" s="371"/>
      <c r="Z289" s="353"/>
      <c r="AA289" s="89">
        <f t="shared" si="20"/>
        <v>0</v>
      </c>
      <c r="AB289" s="237"/>
      <c r="AC289" s="237"/>
      <c r="AD289" s="237"/>
      <c r="AE289" s="237"/>
      <c r="AF289" s="237"/>
      <c r="AG289" s="237"/>
      <c r="AH289" s="237"/>
      <c r="AI289" s="237"/>
      <c r="AJ289" s="237"/>
      <c r="AK289" s="237"/>
      <c r="AL289" s="237"/>
      <c r="AM289" s="237"/>
      <c r="AN289" s="237"/>
      <c r="AO289" s="237"/>
      <c r="AP289" s="237"/>
      <c r="AQ289" s="237"/>
      <c r="AR289" s="237"/>
      <c r="AS289" s="237"/>
      <c r="AT289" s="360"/>
      <c r="AU289" s="91">
        <f t="shared" si="21"/>
        <v>0</v>
      </c>
    </row>
    <row r="290" spans="1:48" ht="33.75" hidden="1" x14ac:dyDescent="0.25">
      <c r="A290" s="85">
        <v>284</v>
      </c>
      <c r="B290" s="2" t="str">
        <f>+'Base de Datos'!E290</f>
        <v>150124-0-2015</v>
      </c>
      <c r="C290" s="2" t="str">
        <f>+'Base de Datos'!F290</f>
        <v>DPC LTDA PUBLICACIONES DESPACHOS PÚBLICOS DE COLOMBIA LTDA</v>
      </c>
      <c r="D290" s="2">
        <f>+'Base de Datos'!G290</f>
        <v>800249557</v>
      </c>
      <c r="E290" s="2" t="str">
        <f>+'Base de Datos'!H290</f>
        <v>Adquirir a título de compra ejemplares del Directorio de Despachos Públicos de Colombia 2015, para el Concejo de Bogotá D.C.</v>
      </c>
      <c r="F290" s="221">
        <f>+'Base de Datos'!I290</f>
        <v>4100000</v>
      </c>
      <c r="G290" s="220">
        <f>+'Base de Datos'!M290</f>
        <v>42088</v>
      </c>
      <c r="H290" s="220">
        <f>+'Base de Datos'!N290</f>
        <v>42241</v>
      </c>
      <c r="I290" s="179"/>
      <c r="J290" s="360"/>
      <c r="K290" s="237"/>
      <c r="L290" s="363"/>
      <c r="M290" s="179"/>
      <c r="N290" s="360"/>
      <c r="O290" s="179"/>
      <c r="P290" s="365"/>
      <c r="Q290" s="86">
        <f t="shared" si="19"/>
        <v>0</v>
      </c>
      <c r="R290" s="340"/>
      <c r="S290" s="371"/>
      <c r="T290" s="316"/>
      <c r="U290" s="371"/>
      <c r="V290" s="316"/>
      <c r="W290" s="371"/>
      <c r="X290" s="316"/>
      <c r="Y290" s="371"/>
      <c r="Z290" s="353"/>
      <c r="AA290" s="89">
        <f t="shared" si="20"/>
        <v>0</v>
      </c>
      <c r="AB290" s="237">
        <v>4100000</v>
      </c>
      <c r="AC290" s="237"/>
      <c r="AD290" s="237"/>
      <c r="AE290" s="237"/>
      <c r="AF290" s="237"/>
      <c r="AG290" s="237"/>
      <c r="AH290" s="237"/>
      <c r="AI290" s="237"/>
      <c r="AJ290" s="237"/>
      <c r="AK290" s="237"/>
      <c r="AL290" s="237"/>
      <c r="AM290" s="237"/>
      <c r="AN290" s="237"/>
      <c r="AO290" s="237"/>
      <c r="AP290" s="237"/>
      <c r="AQ290" s="237"/>
      <c r="AR290" s="237"/>
      <c r="AS290" s="237"/>
      <c r="AT290" s="360">
        <v>42219</v>
      </c>
      <c r="AU290" s="91">
        <f t="shared" si="21"/>
        <v>4100000</v>
      </c>
    </row>
    <row r="291" spans="1:48" ht="22.5" hidden="1" x14ac:dyDescent="0.25">
      <c r="A291" s="85">
        <v>285</v>
      </c>
      <c r="B291" s="2" t="str">
        <f>+'Base de Datos'!E291</f>
        <v>150123-0-2015</v>
      </c>
      <c r="C291" s="2" t="str">
        <f>+'Base de Datos'!F291</f>
        <v>CASA EDITORIAL EL TIEMPO SA</v>
      </c>
      <c r="D291" s="2">
        <f>+'Base de Datos'!G291</f>
        <v>860001022</v>
      </c>
      <c r="E291" s="2" t="str">
        <f>+'Base de Datos'!H291</f>
        <v>Suscripción a los diarios el TIEMPO Y PORTAFOLIO con destino al concejo de Bogotá D.C.</v>
      </c>
      <c r="F291" s="221">
        <f>+'Base de Datos'!I291</f>
        <v>1226994</v>
      </c>
      <c r="G291" s="220">
        <f>+'Base de Datos'!M291</f>
        <v>42082</v>
      </c>
      <c r="H291" s="220">
        <f>+'Base de Datos'!N291</f>
        <v>42447</v>
      </c>
      <c r="I291" s="179"/>
      <c r="J291" s="360"/>
      <c r="K291" s="237"/>
      <c r="L291" s="363"/>
      <c r="M291" s="179"/>
      <c r="N291" s="360"/>
      <c r="O291" s="179"/>
      <c r="P291" s="365"/>
      <c r="Q291" s="86">
        <f t="shared" si="19"/>
        <v>0</v>
      </c>
      <c r="R291" s="340"/>
      <c r="S291" s="371"/>
      <c r="T291" s="316"/>
      <c r="U291" s="371"/>
      <c r="V291" s="316"/>
      <c r="W291" s="371"/>
      <c r="X291" s="316"/>
      <c r="Y291" s="371"/>
      <c r="Z291" s="353"/>
      <c r="AA291" s="89">
        <f t="shared" si="20"/>
        <v>0</v>
      </c>
      <c r="AB291" s="237">
        <v>1226994</v>
      </c>
      <c r="AC291" s="237"/>
      <c r="AD291" s="237"/>
      <c r="AE291" s="237"/>
      <c r="AF291" s="237"/>
      <c r="AG291" s="237"/>
      <c r="AH291" s="237"/>
      <c r="AI291" s="237"/>
      <c r="AJ291" s="237"/>
      <c r="AK291" s="237"/>
      <c r="AL291" s="237"/>
      <c r="AM291" s="237"/>
      <c r="AN291" s="237"/>
      <c r="AO291" s="237"/>
      <c r="AP291" s="237"/>
      <c r="AQ291" s="237"/>
      <c r="AR291" s="237"/>
      <c r="AS291" s="237"/>
      <c r="AT291" s="360">
        <v>42123</v>
      </c>
      <c r="AU291" s="91">
        <f t="shared" si="21"/>
        <v>1226994</v>
      </c>
    </row>
    <row r="292" spans="1:48" ht="67.5" hidden="1" x14ac:dyDescent="0.25">
      <c r="A292" s="85">
        <v>286</v>
      </c>
      <c r="B292" s="2" t="str">
        <f>+'Base de Datos'!E292</f>
        <v>150128-0-2015</v>
      </c>
      <c r="C292" s="2" t="str">
        <f>+'Base de Datos'!F292</f>
        <v>PASSWORD CONSULTING SERVICES S.A.S.</v>
      </c>
      <c r="D292" s="2">
        <f>+'Base de Datos'!G292</f>
        <v>900175316</v>
      </c>
      <c r="E292" s="2" t="str">
        <f>+'Base de Datos'!H292</f>
        <v>Realizar el Diagnóstico, diseño e implementación del Subsistema de Gestión de Seguridad de la Información - SGSI- bajo el entándar NTC-ISO-IEC 27001: 2013 para el Concejo de Bogotá D.C., de conformidad con lo establecido en el pliego de condiciones y la propuesta presentada por el contratista.</v>
      </c>
      <c r="F292" s="221">
        <f>+'Base de Datos'!I292</f>
        <v>334080000</v>
      </c>
      <c r="G292" s="220">
        <f>+'Base de Datos'!M292</f>
        <v>42104</v>
      </c>
      <c r="H292" s="220">
        <f>+'Base de Datos'!N292</f>
        <v>42287</v>
      </c>
      <c r="I292" s="179"/>
      <c r="J292" s="360"/>
      <c r="K292" s="237"/>
      <c r="L292" s="363"/>
      <c r="M292" s="179"/>
      <c r="N292" s="360"/>
      <c r="O292" s="179"/>
      <c r="P292" s="365"/>
      <c r="Q292" s="86">
        <f t="shared" si="19"/>
        <v>0</v>
      </c>
      <c r="R292" s="284" t="s">
        <v>378</v>
      </c>
      <c r="S292" s="360">
        <v>42348</v>
      </c>
      <c r="T292" s="179"/>
      <c r="U292" s="360"/>
      <c r="V292" s="179"/>
      <c r="W292" s="360"/>
      <c r="X292" s="179"/>
      <c r="Y292" s="360"/>
      <c r="Z292" s="353" t="s">
        <v>378</v>
      </c>
      <c r="AA292" s="89">
        <f t="shared" si="20"/>
        <v>42348</v>
      </c>
      <c r="AB292" s="237">
        <v>77720000</v>
      </c>
      <c r="AC292" s="237">
        <v>186760000</v>
      </c>
      <c r="AD292" s="237">
        <v>69600000</v>
      </c>
      <c r="AE292" s="237"/>
      <c r="AF292" s="237"/>
      <c r="AG292" s="237"/>
      <c r="AH292" s="237"/>
      <c r="AI292" s="237"/>
      <c r="AJ292" s="237"/>
      <c r="AK292" s="237"/>
      <c r="AL292" s="237"/>
      <c r="AM292" s="237"/>
      <c r="AN292" s="237"/>
      <c r="AO292" s="237"/>
      <c r="AP292" s="237"/>
      <c r="AQ292" s="237"/>
      <c r="AR292" s="237"/>
      <c r="AS292" s="237"/>
      <c r="AT292" s="360">
        <v>42355</v>
      </c>
      <c r="AU292" s="91">
        <f t="shared" si="21"/>
        <v>334080000</v>
      </c>
    </row>
    <row r="293" spans="1:48" ht="45" hidden="1" x14ac:dyDescent="0.25">
      <c r="A293" s="85">
        <v>287</v>
      </c>
      <c r="B293" s="2" t="str">
        <f>+'Base de Datos'!E293</f>
        <v>150129-0-2015</v>
      </c>
      <c r="C293" s="2" t="str">
        <f>+'Base de Datos'!F293</f>
        <v>DIEGO ALEJANDRO RUBIO RAMOS</v>
      </c>
      <c r="D293" s="2">
        <f>+'Base de Datos'!G293</f>
        <v>80852726</v>
      </c>
      <c r="E293" s="2" t="str">
        <f>+'Base de Datos'!H293</f>
        <v>Prestar el servicio de mantenimiento preventivo y correctivo con suministro de repuestos de la puerta eléctrica y talanqueras de acceso vehicular al Concejo de Bogotá D.C.</v>
      </c>
      <c r="F293" s="221">
        <f>+'Base de Datos'!I293</f>
        <v>7442000</v>
      </c>
      <c r="G293" s="220">
        <f>+'Base de Datos'!M293</f>
        <v>42111</v>
      </c>
      <c r="H293" s="220">
        <f>+'Base de Datos'!N293</f>
        <v>42477</v>
      </c>
      <c r="I293" s="179"/>
      <c r="J293" s="360"/>
      <c r="K293" s="237"/>
      <c r="L293" s="363"/>
      <c r="M293" s="179"/>
      <c r="N293" s="360"/>
      <c r="O293" s="179"/>
      <c r="P293" s="365"/>
      <c r="Q293" s="86">
        <f t="shared" si="19"/>
        <v>0</v>
      </c>
      <c r="R293" s="284"/>
      <c r="S293" s="360"/>
      <c r="T293" s="179"/>
      <c r="U293" s="360"/>
      <c r="V293" s="179"/>
      <c r="W293" s="360"/>
      <c r="X293" s="179"/>
      <c r="Y293" s="360"/>
      <c r="Z293" s="353"/>
      <c r="AA293" s="89">
        <f t="shared" si="20"/>
        <v>0</v>
      </c>
      <c r="AB293" s="237">
        <v>1600000</v>
      </c>
      <c r="AC293" s="237">
        <v>1188000</v>
      </c>
      <c r="AD293" s="237">
        <v>2461000</v>
      </c>
      <c r="AE293" s="237"/>
      <c r="AF293" s="237"/>
      <c r="AG293" s="237"/>
      <c r="AH293" s="237"/>
      <c r="AI293" s="237"/>
      <c r="AJ293" s="237"/>
      <c r="AK293" s="237"/>
      <c r="AL293" s="237"/>
      <c r="AM293" s="237"/>
      <c r="AN293" s="237"/>
      <c r="AO293" s="237"/>
      <c r="AP293" s="237"/>
      <c r="AQ293" s="237"/>
      <c r="AR293" s="237"/>
      <c r="AS293" s="237"/>
      <c r="AT293" s="360">
        <v>42606</v>
      </c>
      <c r="AU293" s="91">
        <f t="shared" si="21"/>
        <v>5249000</v>
      </c>
    </row>
    <row r="294" spans="1:48" ht="45" hidden="1" x14ac:dyDescent="0.25">
      <c r="A294" s="85">
        <v>288</v>
      </c>
      <c r="B294" s="2" t="str">
        <f>+'Base de Datos'!E294</f>
        <v>150192-0-2015</v>
      </c>
      <c r="C294" s="2" t="str">
        <f>+'Base de Datos'!F294</f>
        <v>INVERSIONES MATAY SAS</v>
      </c>
      <c r="D294" s="2">
        <f>+'Base de Datos'!G294</f>
        <v>900450570</v>
      </c>
      <c r="E294" s="2" t="str">
        <f>+'Base de Datos'!H294</f>
        <v>Arrendamiento de un inmueble para uso de parqueadero, por parte del Concejo de Bogotá D.C., de acuerdo con lo establecido en el documento de estudios previos y la propuesta presentada por el contratista.</v>
      </c>
      <c r="F294" s="221">
        <f>+'Base de Datos'!I294</f>
        <v>379200000</v>
      </c>
      <c r="G294" s="220">
        <f>+'Base de Datos'!M294</f>
        <v>42109</v>
      </c>
      <c r="H294" s="220">
        <f>+'Base de Datos'!N294</f>
        <v>42429</v>
      </c>
      <c r="I294" s="179">
        <v>180000000</v>
      </c>
      <c r="J294" s="360"/>
      <c r="K294" s="237"/>
      <c r="L294" s="363"/>
      <c r="M294" s="179"/>
      <c r="N294" s="360"/>
      <c r="O294" s="179"/>
      <c r="P294" s="365">
        <v>42423</v>
      </c>
      <c r="Q294" s="86">
        <f t="shared" si="19"/>
        <v>180000000</v>
      </c>
      <c r="R294" s="284" t="s">
        <v>2412</v>
      </c>
      <c r="S294" s="360">
        <v>42582</v>
      </c>
      <c r="T294" s="179"/>
      <c r="U294" s="360"/>
      <c r="V294" s="179"/>
      <c r="W294" s="360"/>
      <c r="X294" s="179"/>
      <c r="Y294" s="360"/>
      <c r="Z294" s="353" t="s">
        <v>2412</v>
      </c>
      <c r="AA294" s="89">
        <f t="shared" si="20"/>
        <v>42582</v>
      </c>
      <c r="AB294" s="237">
        <v>55200000</v>
      </c>
      <c r="AC294" s="237">
        <v>36000000</v>
      </c>
      <c r="AD294" s="237">
        <v>36000000</v>
      </c>
      <c r="AE294" s="237">
        <v>36000000</v>
      </c>
      <c r="AF294" s="237">
        <v>36000000</v>
      </c>
      <c r="AG294" s="237">
        <v>36000000</v>
      </c>
      <c r="AH294" s="237">
        <v>36000000</v>
      </c>
      <c r="AI294" s="237">
        <v>36000000</v>
      </c>
      <c r="AJ294" s="237">
        <v>36000000</v>
      </c>
      <c r="AK294" s="237">
        <v>36000000</v>
      </c>
      <c r="AL294" s="237">
        <v>36000000</v>
      </c>
      <c r="AM294" s="237">
        <v>36000000</v>
      </c>
      <c r="AN294" s="237">
        <v>36000000</v>
      </c>
      <c r="AO294" s="237">
        <v>36000000</v>
      </c>
      <c r="AP294" s="237">
        <v>36000000</v>
      </c>
      <c r="AQ294" s="237"/>
      <c r="AR294" s="237"/>
      <c r="AS294" s="237"/>
      <c r="AT294" s="360">
        <v>42557</v>
      </c>
      <c r="AU294" s="91">
        <f t="shared" si="21"/>
        <v>559200000</v>
      </c>
    </row>
    <row r="295" spans="1:48" ht="22.5" hidden="1" x14ac:dyDescent="0.25">
      <c r="A295" s="85">
        <v>289</v>
      </c>
      <c r="B295" s="2" t="str">
        <f>+'Base de Datos'!E295</f>
        <v>150152-0-2015</v>
      </c>
      <c r="C295" s="2" t="str">
        <f>+'Base de Datos'!F295</f>
        <v>REPRESENTACIONES E INVERSIONES AGUAFILTERS J F LTDA</v>
      </c>
      <c r="D295" s="2" t="str">
        <f>+'Base de Datos'!G295</f>
        <v>830143510-1</v>
      </c>
      <c r="E295" s="2" t="str">
        <f>+'Base de Datos'!H295</f>
        <v>Realizar el mantenimiento preventivo y correctivo de las plantas purificadoras de agua del Concejo de Bogotá, D.C.</v>
      </c>
      <c r="F295" s="221">
        <f>+'Base de Datos'!I295</f>
        <v>3035520</v>
      </c>
      <c r="G295" s="220">
        <f>+'Base de Datos'!M295</f>
        <v>42121</v>
      </c>
      <c r="H295" s="220">
        <f>+'Base de Datos'!N295</f>
        <v>42487</v>
      </c>
      <c r="I295" s="179"/>
      <c r="J295" s="360"/>
      <c r="K295" s="237"/>
      <c r="L295" s="363"/>
      <c r="M295" s="179"/>
      <c r="N295" s="360"/>
      <c r="O295" s="179"/>
      <c r="P295" s="365"/>
      <c r="Q295" s="86">
        <f t="shared" si="19"/>
        <v>0</v>
      </c>
      <c r="R295" s="284"/>
      <c r="S295" s="360"/>
      <c r="T295" s="179"/>
      <c r="U295" s="360"/>
      <c r="V295" s="179"/>
      <c r="W295" s="360"/>
      <c r="X295" s="179"/>
      <c r="Y295" s="360"/>
      <c r="Z295" s="353"/>
      <c r="AA295" s="89">
        <f t="shared" si="20"/>
        <v>0</v>
      </c>
      <c r="AB295" s="237">
        <v>757425</v>
      </c>
      <c r="AC295" s="237">
        <v>434361</v>
      </c>
      <c r="AD295" s="237">
        <v>817225</v>
      </c>
      <c r="AE295" s="237"/>
      <c r="AF295" s="237"/>
      <c r="AG295" s="237"/>
      <c r="AH295" s="237"/>
      <c r="AI295" s="237"/>
      <c r="AJ295" s="237"/>
      <c r="AK295" s="237"/>
      <c r="AL295" s="237"/>
      <c r="AM295" s="237"/>
      <c r="AN295" s="237"/>
      <c r="AO295" s="237"/>
      <c r="AP295" s="237"/>
      <c r="AQ295" s="237"/>
      <c r="AR295" s="237"/>
      <c r="AS295" s="237"/>
      <c r="AT295" s="360">
        <v>42557</v>
      </c>
      <c r="AU295" s="91">
        <f t="shared" si="21"/>
        <v>2009011</v>
      </c>
    </row>
    <row r="296" spans="1:48" ht="56.25" hidden="1" x14ac:dyDescent="0.25">
      <c r="A296" s="85">
        <v>290</v>
      </c>
      <c r="B296" s="2" t="str">
        <f>+'Base de Datos'!E296</f>
        <v>150168-0-2015</v>
      </c>
      <c r="C296" s="2" t="str">
        <f>+'Base de Datos'!F296</f>
        <v>MONRAK INGENIERIA LIMITADA</v>
      </c>
      <c r="D296" s="2" t="str">
        <f>+'Base de Datos'!G296</f>
        <v>800140671-4</v>
      </c>
      <c r="E296" s="2" t="str">
        <f>+'Base de Datos'!H296</f>
        <v>Prestar el servicio de mantenimiento preventivo y correctivo para las máquinas: Impresora Litográfica MULTILITH modelo 1250, Compaginadora DUPLO DC 10, Guillotina y Cizalla manual, ubicadas en la oficina de Anales y Publicaciones del Concejo de Bogotá D.C</v>
      </c>
      <c r="F296" s="221">
        <f>+'Base de Datos'!I296</f>
        <v>4721200</v>
      </c>
      <c r="G296" s="220">
        <f>+'Base de Datos'!M296</f>
        <v>42116</v>
      </c>
      <c r="H296" s="220">
        <f>+'Base de Datos'!N296</f>
        <v>42451</v>
      </c>
      <c r="I296" s="179"/>
      <c r="J296" s="360"/>
      <c r="K296" s="237"/>
      <c r="L296" s="363"/>
      <c r="M296" s="179"/>
      <c r="N296" s="360"/>
      <c r="O296" s="179"/>
      <c r="P296" s="365"/>
      <c r="Q296" s="86">
        <f t="shared" si="19"/>
        <v>0</v>
      </c>
      <c r="R296" s="284"/>
      <c r="S296" s="360"/>
      <c r="T296" s="179"/>
      <c r="U296" s="360"/>
      <c r="V296" s="179"/>
      <c r="W296" s="360"/>
      <c r="X296" s="179"/>
      <c r="Y296" s="360"/>
      <c r="Z296" s="353"/>
      <c r="AA296" s="89">
        <f t="shared" si="20"/>
        <v>0</v>
      </c>
      <c r="AB296" s="237">
        <v>661200</v>
      </c>
      <c r="AC296" s="237">
        <v>661200</v>
      </c>
      <c r="AD296" s="237">
        <v>661200</v>
      </c>
      <c r="AE296" s="237">
        <v>661200</v>
      </c>
      <c r="AF296" s="237">
        <f>661200+1415200</f>
        <v>2076400</v>
      </c>
      <c r="AG296" s="237"/>
      <c r="AH296" s="237"/>
      <c r="AI296" s="237"/>
      <c r="AJ296" s="237"/>
      <c r="AK296" s="237"/>
      <c r="AL296" s="237"/>
      <c r="AM296" s="237"/>
      <c r="AN296" s="237"/>
      <c r="AO296" s="237"/>
      <c r="AP296" s="237"/>
      <c r="AQ296" s="237"/>
      <c r="AR296" s="237"/>
      <c r="AS296" s="237"/>
      <c r="AT296" s="360">
        <v>42513</v>
      </c>
      <c r="AU296" s="91">
        <f>SUM(AB296:AS296)</f>
        <v>4721200</v>
      </c>
    </row>
    <row r="297" spans="1:48" ht="45" hidden="1" x14ac:dyDescent="0.25">
      <c r="A297" s="85">
        <v>291</v>
      </c>
      <c r="B297" s="2" t="str">
        <f>+'Base de Datos'!E297</f>
        <v>150141-0-2015</v>
      </c>
      <c r="C297" s="2" t="str">
        <f>+'Base de Datos'!F297</f>
        <v>MIGUEL ANDRÉS GUTIÉRREZ ROMERO</v>
      </c>
      <c r="D297" s="2">
        <f>+'Base de Datos'!G297</f>
        <v>80199707</v>
      </c>
      <c r="E297" s="2" t="str">
        <f>+'Base de Datos'!H297</f>
        <v>Prestar el servicio de mantenimiento correctivo incluyendo suministro de repuestos y/o elementos nuevos que requieran las sillas existentes en el Concejo de Bogotá, D.C.</v>
      </c>
      <c r="F297" s="221">
        <f>+'Base de Datos'!I297</f>
        <v>28000000</v>
      </c>
      <c r="G297" s="220">
        <f>+'Base de Datos'!M297</f>
        <v>42116</v>
      </c>
      <c r="H297" s="220">
        <f>+'Base de Datos'!N297</f>
        <v>42482</v>
      </c>
      <c r="I297" s="179"/>
      <c r="J297" s="360"/>
      <c r="K297" s="237"/>
      <c r="L297" s="363"/>
      <c r="M297" s="179"/>
      <c r="N297" s="360"/>
      <c r="O297" s="179"/>
      <c r="P297" s="365"/>
      <c r="Q297" s="86">
        <f t="shared" si="19"/>
        <v>0</v>
      </c>
      <c r="R297" s="284"/>
      <c r="S297" s="360"/>
      <c r="T297" s="179"/>
      <c r="U297" s="360"/>
      <c r="V297" s="179"/>
      <c r="W297" s="360"/>
      <c r="X297" s="179"/>
      <c r="Y297" s="360"/>
      <c r="Z297" s="353"/>
      <c r="AA297" s="89">
        <f t="shared" si="20"/>
        <v>0</v>
      </c>
      <c r="AB297" s="237">
        <v>2038321</v>
      </c>
      <c r="AC297" s="237">
        <v>3124729</v>
      </c>
      <c r="AD297" s="237">
        <v>4101731</v>
      </c>
      <c r="AE297" s="237">
        <v>4140301</v>
      </c>
      <c r="AF297" s="237">
        <v>3827699</v>
      </c>
      <c r="AG297" s="237">
        <v>3524544</v>
      </c>
      <c r="AH297" s="237">
        <f>3514800+2797503</f>
        <v>6312303</v>
      </c>
      <c r="AI297" s="237">
        <v>646004</v>
      </c>
      <c r="AJ297" s="237">
        <v>238264</v>
      </c>
      <c r="AK297" s="237">
        <v>45762</v>
      </c>
      <c r="AL297" s="237"/>
      <c r="AM297" s="237"/>
      <c r="AN297" s="237"/>
      <c r="AO297" s="237"/>
      <c r="AP297" s="237"/>
      <c r="AQ297" s="237"/>
      <c r="AR297" s="237"/>
      <c r="AS297" s="237"/>
      <c r="AT297" s="360">
        <v>42525</v>
      </c>
      <c r="AU297" s="91">
        <f t="shared" si="21"/>
        <v>27999658</v>
      </c>
    </row>
    <row r="298" spans="1:48" ht="67.5" hidden="1" x14ac:dyDescent="0.25">
      <c r="A298" s="85">
        <v>292</v>
      </c>
      <c r="B298" s="2" t="str">
        <f>+'Base de Datos'!E298</f>
        <v>150198-0-2015</v>
      </c>
      <c r="C298" s="2" t="str">
        <f>+'Base de Datos'!F298</f>
        <v>UNIDAD NACIONAL DE PROTECCIÓN UNP</v>
      </c>
      <c r="D298" s="2">
        <f>+'Base de Datos'!G298</f>
        <v>900475780</v>
      </c>
      <c r="E298" s="2" t="str">
        <f>+'Base de Datos'!H298</f>
        <v>Aunar esfuerzos humanos, técnicos, logísticos y administrativos para garantizar el esquema de seguridad requerido por los Concejales del Distrito Capital, que se encuentran en situación de riesgo extraordinario o extremo, como consecuencia directa del ejercicio de sus funciones.</v>
      </c>
      <c r="F298" s="221">
        <f>+'Base de Datos'!I298</f>
        <v>4174276985</v>
      </c>
      <c r="G298" s="220">
        <f>+'Base de Datos'!M298</f>
        <v>42117</v>
      </c>
      <c r="H298" s="220">
        <f>+'Base de Datos'!N298</f>
        <v>42468</v>
      </c>
      <c r="I298" s="179"/>
      <c r="J298" s="360"/>
      <c r="K298" s="237"/>
      <c r="L298" s="363"/>
      <c r="M298" s="179"/>
      <c r="N298" s="360"/>
      <c r="O298" s="179"/>
      <c r="P298" s="365"/>
      <c r="Q298" s="86">
        <f t="shared" si="19"/>
        <v>0</v>
      </c>
      <c r="R298" s="284"/>
      <c r="S298" s="360"/>
      <c r="T298" s="179"/>
      <c r="U298" s="360"/>
      <c r="V298" s="179"/>
      <c r="W298" s="360"/>
      <c r="X298" s="179"/>
      <c r="Y298" s="360"/>
      <c r="Z298" s="353"/>
      <c r="AA298" s="89">
        <f t="shared" si="20"/>
        <v>0</v>
      </c>
      <c r="AB298" s="237">
        <v>1252283096</v>
      </c>
      <c r="AC298" s="237">
        <v>1252283096</v>
      </c>
      <c r="AD298" s="237">
        <v>1252283096</v>
      </c>
      <c r="AE298" s="237"/>
      <c r="AF298" s="237"/>
      <c r="AG298" s="237"/>
      <c r="AH298" s="237"/>
      <c r="AI298" s="237"/>
      <c r="AJ298" s="237"/>
      <c r="AK298" s="237"/>
      <c r="AL298" s="237"/>
      <c r="AM298" s="237"/>
      <c r="AN298" s="237"/>
      <c r="AO298" s="237"/>
      <c r="AP298" s="237"/>
      <c r="AQ298" s="237"/>
      <c r="AR298" s="237"/>
      <c r="AS298" s="237"/>
      <c r="AT298" s="360">
        <v>42353</v>
      </c>
      <c r="AU298" s="91">
        <f t="shared" si="21"/>
        <v>3756849288</v>
      </c>
    </row>
    <row r="299" spans="1:48" ht="56.25" hidden="1" x14ac:dyDescent="0.25">
      <c r="A299" s="85">
        <v>293</v>
      </c>
      <c r="B299" s="2" t="str">
        <f>+'Base de Datos'!E299</f>
        <v>150191-0-2015</v>
      </c>
      <c r="C299" s="2" t="str">
        <f>+'Base de Datos'!F299</f>
        <v>HERNANDO  BULLA ORJUELA</v>
      </c>
      <c r="D299" s="2">
        <f>+'Base de Datos'!G299</f>
        <v>4831</v>
      </c>
      <c r="E299" s="2" t="str">
        <f>+'Base de Datos'!H299</f>
        <v>Contratar el servicio de mantenimiento preventivo y correctivo con suministro de repuestos del parque automotor marca Chevrolet de propiedad del Concejo de Bogotá, de conformidad con lo establecido en la presente invitación pública.</v>
      </c>
      <c r="F299" s="221">
        <f>+'Base de Datos'!I299</f>
        <v>27620000</v>
      </c>
      <c r="G299" s="220">
        <f>+'Base de Datos'!M299</f>
        <v>42137</v>
      </c>
      <c r="H299" s="220">
        <f>+'Base de Datos'!N299</f>
        <v>42503</v>
      </c>
      <c r="I299" s="179">
        <v>14000000</v>
      </c>
      <c r="J299" s="360">
        <v>42496</v>
      </c>
      <c r="K299" s="237"/>
      <c r="L299" s="363"/>
      <c r="M299" s="179"/>
      <c r="N299" s="360"/>
      <c r="O299" s="179"/>
      <c r="P299" s="365"/>
      <c r="Q299" s="86">
        <f t="shared" si="19"/>
        <v>14000000</v>
      </c>
      <c r="R299" s="849" t="s">
        <v>2446</v>
      </c>
      <c r="S299" s="360">
        <v>42531</v>
      </c>
      <c r="T299" s="179"/>
      <c r="U299" s="360"/>
      <c r="V299" s="179"/>
      <c r="W299" s="360"/>
      <c r="X299" s="179"/>
      <c r="Y299" s="360"/>
      <c r="Z299" s="353" t="s">
        <v>2446</v>
      </c>
      <c r="AA299" s="89">
        <f t="shared" si="20"/>
        <v>42531</v>
      </c>
      <c r="AB299" s="237">
        <v>27025268</v>
      </c>
      <c r="AC299" s="237">
        <v>8139877</v>
      </c>
      <c r="AD299" s="237">
        <v>5308654</v>
      </c>
      <c r="AE299" s="237"/>
      <c r="AF299" s="237"/>
      <c r="AG299" s="237"/>
      <c r="AH299" s="237"/>
      <c r="AI299" s="237"/>
      <c r="AJ299" s="237"/>
      <c r="AK299" s="237"/>
      <c r="AL299" s="237"/>
      <c r="AM299" s="237"/>
      <c r="AN299" s="237"/>
      <c r="AO299" s="237"/>
      <c r="AP299" s="237"/>
      <c r="AQ299" s="237"/>
      <c r="AR299" s="237"/>
      <c r="AS299" s="237"/>
      <c r="AT299" s="360">
        <v>42622</v>
      </c>
      <c r="AU299" s="91">
        <f t="shared" si="21"/>
        <v>40473799</v>
      </c>
    </row>
    <row r="300" spans="1:48" ht="56.25" hidden="1" x14ac:dyDescent="0.25">
      <c r="B300" s="2" t="str">
        <f>+'Base de Datos'!E300</f>
        <v>150209-0-2015</v>
      </c>
      <c r="C300" s="2" t="str">
        <f>+'Base de Datos'!F300</f>
        <v>A&amp;V EXPRESS S.A.</v>
      </c>
      <c r="D300" s="2">
        <f>+'Base de Datos'!G300</f>
        <v>830055842</v>
      </c>
      <c r="E300" s="2" t="str">
        <f>+'Base de Datos'!H300</f>
        <v>Contratar la prestación del servicio de mensajería expresa masiva para el Concejo de Bogotá D.C., de conformidad con el alcance del objeto y lo señalado en el pliego de condiciones del proceso SDH-SIE-02-2015, en la Ficha Técnica y en la propuesta</v>
      </c>
      <c r="F300" s="221">
        <f>+'Base de Datos'!I300</f>
        <v>33500000</v>
      </c>
      <c r="G300" s="220">
        <f>+'Base de Datos'!M300</f>
        <v>42130</v>
      </c>
      <c r="H300" s="220">
        <f>+'Base de Datos'!N300</f>
        <v>42496</v>
      </c>
      <c r="I300" s="179"/>
      <c r="J300" s="360"/>
      <c r="K300" s="237"/>
      <c r="L300" s="363"/>
      <c r="M300" s="179"/>
      <c r="N300" s="360"/>
      <c r="O300" s="179"/>
      <c r="P300" s="365"/>
      <c r="Q300" s="86">
        <f t="shared" ref="Q300:Q322" si="22">SUM(I300,K300,M300,O300)</f>
        <v>0</v>
      </c>
      <c r="R300" s="284" t="s">
        <v>2440</v>
      </c>
      <c r="S300" s="360">
        <v>42510</v>
      </c>
      <c r="T300" s="179"/>
      <c r="U300" s="360"/>
      <c r="V300" s="179"/>
      <c r="W300" s="360"/>
      <c r="X300" s="179"/>
      <c r="Y300" s="360"/>
      <c r="Z300" s="353" t="s">
        <v>2440</v>
      </c>
      <c r="AA300" s="89">
        <f t="shared" ref="AA300:AA322" si="23">MAX(S300,U300,W300,Y300)</f>
        <v>42510</v>
      </c>
      <c r="AB300" s="237">
        <v>1745921</v>
      </c>
      <c r="AC300" s="237">
        <v>2181199</v>
      </c>
      <c r="AD300" s="237">
        <v>2233950</v>
      </c>
      <c r="AE300" s="237">
        <v>2152112</v>
      </c>
      <c r="AF300" s="237">
        <v>2351259</v>
      </c>
      <c r="AG300" s="237">
        <v>2238387</v>
      </c>
      <c r="AH300" s="842">
        <v>2165916</v>
      </c>
      <c r="AI300" s="237">
        <v>2708709</v>
      </c>
      <c r="AJ300" s="237">
        <v>2067622</v>
      </c>
      <c r="AK300" s="237">
        <v>2139821</v>
      </c>
      <c r="AL300" s="237">
        <v>2319528</v>
      </c>
      <c r="AM300" s="237">
        <v>2263666</v>
      </c>
      <c r="AN300" s="237">
        <v>2112539</v>
      </c>
      <c r="AO300" s="237"/>
      <c r="AP300" s="237"/>
      <c r="AQ300" s="237"/>
      <c r="AR300" s="237"/>
      <c r="AS300" s="237"/>
      <c r="AT300" s="360">
        <v>42564</v>
      </c>
      <c r="AU300" s="91">
        <f t="shared" ref="AU300:AU322" si="24">SUM(AB300:AR300)</f>
        <v>28680629</v>
      </c>
    </row>
    <row r="301" spans="1:48" ht="33.75" hidden="1" x14ac:dyDescent="0.25">
      <c r="B301" s="2" t="str">
        <f>+'Base de Datos'!E301</f>
        <v>150200-0-2015</v>
      </c>
      <c r="C301" s="2" t="str">
        <f>+'Base de Datos'!F301</f>
        <v>INGELECTRO SAS</v>
      </c>
      <c r="D301" s="2" t="str">
        <f>+'Base de Datos'!G301</f>
        <v>830507741-8</v>
      </c>
      <c r="E301" s="2" t="str">
        <f>+'Base de Datos'!H301</f>
        <v>Adquirir elementos de hardware para el sistema de voto electrónico del Concejo de Bogotá, de conformidad con lo establecido en la presente invitación pública</v>
      </c>
      <c r="F301" s="221">
        <f>+'Base de Datos'!I301</f>
        <v>12975945</v>
      </c>
      <c r="G301" s="220">
        <f>+'Base de Datos'!M301</f>
        <v>42135</v>
      </c>
      <c r="H301" s="220">
        <f>+'Base de Datos'!N301</f>
        <v>42258</v>
      </c>
      <c r="I301" s="179"/>
      <c r="J301" s="360"/>
      <c r="K301" s="237"/>
      <c r="L301" s="363"/>
      <c r="M301" s="179"/>
      <c r="N301" s="360"/>
      <c r="O301" s="179"/>
      <c r="P301" s="365"/>
      <c r="Q301" s="86">
        <f t="shared" si="22"/>
        <v>0</v>
      </c>
      <c r="R301" s="284"/>
      <c r="S301" s="360"/>
      <c r="T301" s="179"/>
      <c r="U301" s="360"/>
      <c r="V301" s="179"/>
      <c r="W301" s="360"/>
      <c r="X301" s="179"/>
      <c r="Y301" s="360"/>
      <c r="Z301" s="353"/>
      <c r="AA301" s="89">
        <f t="shared" si="23"/>
        <v>0</v>
      </c>
      <c r="AB301" s="237">
        <v>12975945</v>
      </c>
      <c r="AC301" s="237"/>
      <c r="AD301" s="237"/>
      <c r="AE301" s="237"/>
      <c r="AF301" s="237"/>
      <c r="AG301" s="237"/>
      <c r="AH301" s="237"/>
      <c r="AI301" s="237"/>
      <c r="AJ301" s="237"/>
      <c r="AK301" s="237"/>
      <c r="AL301" s="237"/>
      <c r="AM301" s="237"/>
      <c r="AN301" s="237"/>
      <c r="AO301" s="237"/>
      <c r="AP301" s="237"/>
      <c r="AQ301" s="237"/>
      <c r="AR301" s="237"/>
      <c r="AS301" s="237"/>
      <c r="AT301" s="360"/>
      <c r="AU301" s="91">
        <f t="shared" si="24"/>
        <v>12975945</v>
      </c>
      <c r="AV301" s="14" t="s">
        <v>2275</v>
      </c>
    </row>
    <row r="302" spans="1:48" ht="67.5" hidden="1" x14ac:dyDescent="0.25">
      <c r="B302" s="2" t="str">
        <f>+'Base de Datos'!E302</f>
        <v>150193-0-2015</v>
      </c>
      <c r="C302" s="2" t="str">
        <f>+'Base de Datos'!F302</f>
        <v>SOMOS LA OPTIMIZACION EMPRESARIAL A SU SERVICIO- SOPT SAS</v>
      </c>
      <c r="D302" s="2" t="str">
        <f>+'Base de Datos'!G302</f>
        <v>900592578-9</v>
      </c>
      <c r="E302" s="2" t="str">
        <f>+'Base de Datos'!H302</f>
        <v>Prestar el servicio de mantenimiento preventivo y correctivo al Sistema Eléctrico del Centro Administrativo Distrital CAD y al Sistema de Generación y Transferencia Eléctrica de Emergencia del Concejo de Bogotá, D.C., de conformidad con lo establecido en la presente invitación pública.</v>
      </c>
      <c r="F302" s="221">
        <f>+'Base de Datos'!I302</f>
        <v>11000000</v>
      </c>
      <c r="G302" s="220">
        <f>+'Base de Datos'!M302</f>
        <v>42135</v>
      </c>
      <c r="H302" s="220">
        <f>+'Base de Datos'!N302</f>
        <v>42501</v>
      </c>
      <c r="I302" s="179"/>
      <c r="J302" s="360"/>
      <c r="K302" s="237"/>
      <c r="L302" s="363"/>
      <c r="M302" s="179"/>
      <c r="N302" s="360"/>
      <c r="O302" s="179"/>
      <c r="P302" s="365"/>
      <c r="Q302" s="86">
        <f t="shared" si="22"/>
        <v>0</v>
      </c>
      <c r="R302" s="284" t="s">
        <v>381</v>
      </c>
      <c r="S302" s="360">
        <v>42532</v>
      </c>
      <c r="T302" s="179"/>
      <c r="U302" s="360"/>
      <c r="V302" s="179"/>
      <c r="W302" s="360"/>
      <c r="X302" s="179"/>
      <c r="Y302" s="360"/>
      <c r="Z302" s="353" t="s">
        <v>381</v>
      </c>
      <c r="AA302" s="89">
        <f t="shared" si="23"/>
        <v>42532</v>
      </c>
      <c r="AB302" s="237">
        <v>1177400</v>
      </c>
      <c r="AC302" s="237">
        <v>3002137</v>
      </c>
      <c r="AD302" s="237">
        <f>3306357+180</f>
        <v>3306537</v>
      </c>
      <c r="AE302" s="237"/>
      <c r="AF302" s="237"/>
      <c r="AG302" s="237"/>
      <c r="AH302" s="237"/>
      <c r="AI302" s="237"/>
      <c r="AJ302" s="237"/>
      <c r="AK302" s="237"/>
      <c r="AL302" s="237"/>
      <c r="AM302" s="237"/>
      <c r="AN302" s="237"/>
      <c r="AO302" s="237"/>
      <c r="AP302" s="237"/>
      <c r="AQ302" s="237"/>
      <c r="AR302" s="237"/>
      <c r="AS302" s="237"/>
      <c r="AT302" s="360">
        <v>42695</v>
      </c>
      <c r="AU302" s="91">
        <f t="shared" si="24"/>
        <v>7486074</v>
      </c>
    </row>
    <row r="303" spans="1:48" ht="22.5" hidden="1" x14ac:dyDescent="0.25">
      <c r="B303" s="2" t="str">
        <f>+'Base de Datos'!E303</f>
        <v>150189-0-2015</v>
      </c>
      <c r="C303" s="2" t="str">
        <f>+'Base de Datos'!F303</f>
        <v>UNIPLES S.A.</v>
      </c>
      <c r="D303" s="2" t="str">
        <f>+'Base de Datos'!G303</f>
        <v>811021363-0</v>
      </c>
      <c r="E303" s="2" t="str">
        <f>+'Base de Datos'!H303</f>
        <v>Adquisición de medios magnéticos para copias de respaldo para el Concejo de Bogotá D.C</v>
      </c>
      <c r="F303" s="221">
        <f>+'Base de Datos'!I303</f>
        <v>10514762</v>
      </c>
      <c r="G303" s="220">
        <f>+'Base de Datos'!M303</f>
        <v>42117</v>
      </c>
      <c r="H303" s="220">
        <f>+'Base de Datos'!N303</f>
        <v>42147</v>
      </c>
      <c r="I303" s="179"/>
      <c r="J303" s="360"/>
      <c r="K303" s="237"/>
      <c r="L303" s="363"/>
      <c r="M303" s="179"/>
      <c r="N303" s="360"/>
      <c r="O303" s="179"/>
      <c r="P303" s="365"/>
      <c r="Q303" s="86">
        <f t="shared" si="22"/>
        <v>0</v>
      </c>
      <c r="R303" s="284"/>
      <c r="S303" s="360"/>
      <c r="T303" s="179"/>
      <c r="U303" s="360"/>
      <c r="V303" s="179"/>
      <c r="W303" s="360"/>
      <c r="X303" s="179"/>
      <c r="Y303" s="360"/>
      <c r="Z303" s="353"/>
      <c r="AA303" s="89">
        <f t="shared" si="23"/>
        <v>0</v>
      </c>
      <c r="AB303" s="237">
        <v>10514762</v>
      </c>
      <c r="AC303" s="237"/>
      <c r="AD303" s="237"/>
      <c r="AE303" s="237"/>
      <c r="AF303" s="237"/>
      <c r="AG303" s="237"/>
      <c r="AH303" s="237"/>
      <c r="AI303" s="237"/>
      <c r="AJ303" s="237"/>
      <c r="AK303" s="237"/>
      <c r="AL303" s="237"/>
      <c r="AM303" s="237"/>
      <c r="AN303" s="237"/>
      <c r="AO303" s="237"/>
      <c r="AP303" s="237"/>
      <c r="AQ303" s="237"/>
      <c r="AR303" s="237"/>
      <c r="AS303" s="237"/>
      <c r="AT303" s="360">
        <v>42227</v>
      </c>
      <c r="AU303" s="91">
        <f t="shared" si="24"/>
        <v>10514762</v>
      </c>
    </row>
    <row r="304" spans="1:48" ht="56.25" hidden="1" x14ac:dyDescent="0.25">
      <c r="B304" s="2" t="str">
        <f>+'Base de Datos'!E304</f>
        <v>150215-0-2015</v>
      </c>
      <c r="C304" s="2" t="str">
        <f>+'Base de Datos'!F304</f>
        <v>MODULARES OFIMA LTDA</v>
      </c>
      <c r="D304" s="2">
        <f>+'Base de Datos'!G304</f>
        <v>900197284</v>
      </c>
      <c r="E304" s="2" t="str">
        <f>+'Base de Datos'!H304</f>
        <v>Realizar el servicio de mantenimiento correctivo y traslado, incluyendo los repuestos y elementos nuevos que requieran los sistemas de archivos rodantes existentes en las diferentes dependencias del Concejo de Bogotá, D.C.</v>
      </c>
      <c r="F304" s="221">
        <f>+'Base de Datos'!I304</f>
        <v>5874000</v>
      </c>
      <c r="G304" s="220">
        <f>+'Base de Datos'!M304</f>
        <v>42149</v>
      </c>
      <c r="H304" s="220">
        <f>+'Base de Datos'!N304</f>
        <v>42515</v>
      </c>
      <c r="I304" s="179"/>
      <c r="J304" s="360"/>
      <c r="K304" s="237"/>
      <c r="L304" s="363"/>
      <c r="M304" s="179"/>
      <c r="N304" s="360"/>
      <c r="O304" s="179"/>
      <c r="P304" s="365"/>
      <c r="Q304" s="86">
        <f t="shared" si="22"/>
        <v>0</v>
      </c>
      <c r="R304" s="284"/>
      <c r="S304" s="360"/>
      <c r="T304" s="179"/>
      <c r="U304" s="360"/>
      <c r="V304" s="179"/>
      <c r="W304" s="360"/>
      <c r="X304" s="179"/>
      <c r="Y304" s="360"/>
      <c r="Z304" s="353"/>
      <c r="AA304" s="89">
        <f t="shared" si="23"/>
        <v>0</v>
      </c>
      <c r="AB304" s="237">
        <v>4940614</v>
      </c>
      <c r="AC304" s="237"/>
      <c r="AD304" s="237"/>
      <c r="AE304" s="237"/>
      <c r="AF304" s="237"/>
      <c r="AG304" s="237"/>
      <c r="AH304" s="237"/>
      <c r="AI304" s="237"/>
      <c r="AJ304" s="237"/>
      <c r="AK304" s="237"/>
      <c r="AL304" s="237"/>
      <c r="AM304" s="237"/>
      <c r="AN304" s="237"/>
      <c r="AO304" s="237"/>
      <c r="AP304" s="237"/>
      <c r="AQ304" s="237"/>
      <c r="AR304" s="237"/>
      <c r="AS304" s="237"/>
      <c r="AT304" s="360"/>
      <c r="AU304" s="91">
        <f t="shared" si="24"/>
        <v>4940614</v>
      </c>
    </row>
    <row r="305" spans="2:47" ht="45" hidden="1" x14ac:dyDescent="0.25">
      <c r="B305" s="2" t="str">
        <f>+'Base de Datos'!E305</f>
        <v>150219-0-2015</v>
      </c>
      <c r="C305" s="2" t="str">
        <f>+'Base de Datos'!F305</f>
        <v>MITSUBISHI ELECTRIC DE COLOMBIA LTDA</v>
      </c>
      <c r="D305" s="2">
        <f>+'Base de Datos'!G305</f>
        <v>860025639</v>
      </c>
      <c r="E305" s="2" t="str">
        <f>+'Base de Datos'!H305</f>
        <v>PRESTAR LOS SERVICIOS DE MANTENIMIENTO PREVENTIVO Y CORRECTIVO A LOS ASCENSORES MARCA MITSUBISHI UBICADOS EN EL CONCEJO DE BOGOTA.</v>
      </c>
      <c r="F305" s="221">
        <f>+'Base de Datos'!I305</f>
        <v>14210000</v>
      </c>
      <c r="G305" s="220">
        <f>+'Base de Datos'!M305</f>
        <v>42149</v>
      </c>
      <c r="H305" s="220">
        <f>+'Base de Datos'!N305</f>
        <v>42454</v>
      </c>
      <c r="I305" s="179">
        <v>4626508</v>
      </c>
      <c r="J305" s="360"/>
      <c r="K305" s="237"/>
      <c r="L305" s="363"/>
      <c r="M305" s="179"/>
      <c r="N305" s="360"/>
      <c r="O305" s="179"/>
      <c r="P305" s="365">
        <v>42443</v>
      </c>
      <c r="Q305" s="86">
        <f t="shared" si="22"/>
        <v>4626508</v>
      </c>
      <c r="R305" s="284"/>
      <c r="S305" s="360"/>
      <c r="T305" s="179"/>
      <c r="U305" s="360"/>
      <c r="V305" s="179"/>
      <c r="W305" s="360"/>
      <c r="X305" s="179"/>
      <c r="Y305" s="360"/>
      <c r="Z305" s="353"/>
      <c r="AA305" s="89">
        <f t="shared" si="23"/>
        <v>0</v>
      </c>
      <c r="AB305" s="237">
        <v>4859938</v>
      </c>
      <c r="AC305" s="237">
        <v>1793865</v>
      </c>
      <c r="AD305" s="237">
        <v>1302025</v>
      </c>
      <c r="AE305" s="237">
        <v>2604050</v>
      </c>
      <c r="AF305" s="237">
        <v>1302025</v>
      </c>
      <c r="AG305" s="237">
        <v>1302025</v>
      </c>
      <c r="AH305" s="237">
        <v>5127705</v>
      </c>
      <c r="AI305" s="237"/>
      <c r="AJ305" s="237"/>
      <c r="AK305" s="237"/>
      <c r="AL305" s="237"/>
      <c r="AM305" s="237"/>
      <c r="AN305" s="237"/>
      <c r="AO305" s="237"/>
      <c r="AP305" s="237"/>
      <c r="AQ305" s="237"/>
      <c r="AR305" s="237"/>
      <c r="AS305" s="237"/>
      <c r="AT305" s="360">
        <v>42511</v>
      </c>
      <c r="AU305" s="91">
        <f t="shared" si="24"/>
        <v>18291633</v>
      </c>
    </row>
    <row r="306" spans="2:47" ht="22.5" hidden="1" x14ac:dyDescent="0.25">
      <c r="B306" s="2" t="str">
        <f>+'Base de Datos'!E306</f>
        <v>150221-0-2015</v>
      </c>
      <c r="C306" s="2" t="str">
        <f>+'Base de Datos'!F306</f>
        <v>SGS COLOMBIA S.A.</v>
      </c>
      <c r="D306" s="2">
        <f>+'Base de Datos'!G306</f>
        <v>860049921</v>
      </c>
      <c r="E306" s="2" t="str">
        <f>+'Base de Datos'!H306</f>
        <v>Realizar las auditorías para la recertificación del Sistema de Gestión de Calidad del Concejo de Bogotá.</v>
      </c>
      <c r="F306" s="221">
        <f>+'Base de Datos'!I306</f>
        <v>7714000</v>
      </c>
      <c r="G306" s="220">
        <f>+'Base de Datos'!M306</f>
        <v>42144</v>
      </c>
      <c r="H306" s="220">
        <f>+'Base de Datos'!N306</f>
        <v>42236</v>
      </c>
      <c r="I306" s="179"/>
      <c r="J306" s="360"/>
      <c r="K306" s="237"/>
      <c r="L306" s="363"/>
      <c r="M306" s="179"/>
      <c r="N306" s="360"/>
      <c r="O306" s="179"/>
      <c r="P306" s="365"/>
      <c r="Q306" s="86">
        <f t="shared" si="22"/>
        <v>0</v>
      </c>
      <c r="R306" s="284"/>
      <c r="S306" s="360"/>
      <c r="T306" s="179"/>
      <c r="U306" s="360"/>
      <c r="V306" s="179"/>
      <c r="W306" s="360"/>
      <c r="X306" s="179"/>
      <c r="Y306" s="360"/>
      <c r="Z306" s="353"/>
      <c r="AA306" s="89">
        <f t="shared" si="23"/>
        <v>0</v>
      </c>
      <c r="AB306" s="237">
        <v>7714000</v>
      </c>
      <c r="AC306" s="237"/>
      <c r="AD306" s="237"/>
      <c r="AE306" s="237"/>
      <c r="AF306" s="237"/>
      <c r="AG306" s="237"/>
      <c r="AH306" s="237"/>
      <c r="AI306" s="237"/>
      <c r="AJ306" s="237"/>
      <c r="AK306" s="237"/>
      <c r="AL306" s="237"/>
      <c r="AM306" s="237"/>
      <c r="AN306" s="237"/>
      <c r="AO306" s="237"/>
      <c r="AP306" s="237"/>
      <c r="AQ306" s="237"/>
      <c r="AR306" s="237"/>
      <c r="AS306" s="237"/>
      <c r="AT306" s="360">
        <v>42201</v>
      </c>
      <c r="AU306" s="91">
        <f t="shared" si="24"/>
        <v>7714000</v>
      </c>
    </row>
    <row r="307" spans="2:47" ht="56.25" hidden="1" x14ac:dyDescent="0.25">
      <c r="B307" s="2" t="str">
        <f>+'Base de Datos'!E307</f>
        <v>150211-0-2015</v>
      </c>
      <c r="C307" s="2" t="str">
        <f>+'Base de Datos'!F307</f>
        <v>SEAN ELECTRONICA LIMITADA</v>
      </c>
      <c r="D307" s="2">
        <f>+'Base de Datos'!G307</f>
        <v>830124848</v>
      </c>
      <c r="E307" s="2" t="str">
        <f>+'Base de Datos'!H307</f>
        <v>Prestar los servicios de mantenimientos, soporte y actualización con el suministro de repuestos para la infraestructura de telecomunicaciones, cableado estructurado (voz y datos), fibra óptica, energía normal y regulada del Concejo de Bogota D.C.</v>
      </c>
      <c r="F307" s="221">
        <f>+'Base de Datos'!I307</f>
        <v>60000000</v>
      </c>
      <c r="G307" s="220">
        <f>+'Base de Datos'!M307</f>
        <v>42156</v>
      </c>
      <c r="H307" s="220">
        <f>+'Base de Datos'!N307</f>
        <v>42522</v>
      </c>
      <c r="I307" s="179">
        <v>8000000</v>
      </c>
      <c r="J307" s="360">
        <v>42522</v>
      </c>
      <c r="K307" s="237"/>
      <c r="L307" s="363"/>
      <c r="M307" s="179"/>
      <c r="N307" s="360"/>
      <c r="O307" s="179"/>
      <c r="P307" s="365"/>
      <c r="Q307" s="86">
        <f t="shared" si="22"/>
        <v>8000000</v>
      </c>
      <c r="R307" s="284" t="s">
        <v>380</v>
      </c>
      <c r="S307" s="360">
        <v>42644</v>
      </c>
      <c r="T307" s="179"/>
      <c r="U307" s="360"/>
      <c r="V307" s="179"/>
      <c r="W307" s="360"/>
      <c r="X307" s="179"/>
      <c r="Y307" s="360"/>
      <c r="Z307" s="353" t="s">
        <v>380</v>
      </c>
      <c r="AA307" s="89">
        <f t="shared" si="23"/>
        <v>42644</v>
      </c>
      <c r="AB307" s="237">
        <v>36030850</v>
      </c>
      <c r="AC307" s="237">
        <v>14027265</v>
      </c>
      <c r="AD307" s="237">
        <v>3238113</v>
      </c>
      <c r="AE307" s="237">
        <v>937957</v>
      </c>
      <c r="AF307" s="237">
        <v>2427722</v>
      </c>
      <c r="AG307" s="237">
        <v>553696</v>
      </c>
      <c r="AH307" s="237">
        <v>1298755</v>
      </c>
      <c r="AI307" s="237">
        <v>1814015</v>
      </c>
      <c r="AJ307" s="237">
        <v>1918025</v>
      </c>
      <c r="AK307" s="237"/>
      <c r="AL307" s="237">
        <v>1197826</v>
      </c>
      <c r="AM307" s="237">
        <v>1127464</v>
      </c>
      <c r="AN307" s="237">
        <v>2972967</v>
      </c>
      <c r="AO307" s="237"/>
      <c r="AP307" s="237"/>
      <c r="AQ307" s="237"/>
      <c r="AR307" s="237"/>
      <c r="AS307" s="237"/>
      <c r="AT307" s="360">
        <v>42706</v>
      </c>
      <c r="AU307" s="91">
        <f t="shared" si="24"/>
        <v>67544655</v>
      </c>
    </row>
    <row r="308" spans="2:47" ht="45" hidden="1" x14ac:dyDescent="0.25">
      <c r="B308" s="2" t="str">
        <f>+'Base de Datos'!E308</f>
        <v>150223-0-2015</v>
      </c>
      <c r="C308" s="2" t="str">
        <f>+'Base de Datos'!F308</f>
        <v>SECURITYCOM SAS</v>
      </c>
      <c r="D308" s="2">
        <f>+'Base de Datos'!G308</f>
        <v>900587953</v>
      </c>
      <c r="E308" s="2" t="str">
        <f>+'Base de Datos'!H308</f>
        <v>Prestar el servicio de mantenimiento preventivo y correctivo con suministro de repuestos del sistema de alarmas de emergencia y botones de pánico ubicados en la sede principal del Concejo de Bogotá D.C.</v>
      </c>
      <c r="F308" s="221">
        <f>+'Base de Datos'!I308</f>
        <v>2000000</v>
      </c>
      <c r="G308" s="220">
        <f>+'Base de Datos'!M308</f>
        <v>42150</v>
      </c>
      <c r="H308" s="220">
        <f>+'Base de Datos'!N308</f>
        <v>42455</v>
      </c>
      <c r="I308" s="179"/>
      <c r="J308" s="360"/>
      <c r="K308" s="237"/>
      <c r="L308" s="363"/>
      <c r="M308" s="179"/>
      <c r="N308" s="360"/>
      <c r="O308" s="179"/>
      <c r="P308" s="365"/>
      <c r="Q308" s="86">
        <f t="shared" si="22"/>
        <v>0</v>
      </c>
      <c r="R308" s="284"/>
      <c r="S308" s="360"/>
      <c r="T308" s="179"/>
      <c r="U308" s="360"/>
      <c r="V308" s="179"/>
      <c r="W308" s="360"/>
      <c r="X308" s="179"/>
      <c r="Y308" s="360"/>
      <c r="Z308" s="353"/>
      <c r="AA308" s="89">
        <f t="shared" si="23"/>
        <v>0</v>
      </c>
      <c r="AB308" s="237">
        <v>549840</v>
      </c>
      <c r="AC308" s="237">
        <v>274920</v>
      </c>
      <c r="AD308" s="237"/>
      <c r="AE308" s="237"/>
      <c r="AF308" s="237"/>
      <c r="AG308" s="237"/>
      <c r="AH308" s="237"/>
      <c r="AI308" s="237"/>
      <c r="AJ308" s="237"/>
      <c r="AK308" s="237"/>
      <c r="AL308" s="237"/>
      <c r="AM308" s="237"/>
      <c r="AN308" s="237"/>
      <c r="AO308" s="237"/>
      <c r="AP308" s="237"/>
      <c r="AQ308" s="237"/>
      <c r="AR308" s="237"/>
      <c r="AS308" s="237"/>
      <c r="AT308" s="360">
        <v>42544</v>
      </c>
      <c r="AU308" s="91">
        <f t="shared" si="24"/>
        <v>824760</v>
      </c>
    </row>
    <row r="309" spans="2:47" ht="67.5" hidden="1" x14ac:dyDescent="0.25">
      <c r="B309" s="2" t="str">
        <f>+'Base de Datos'!E309</f>
        <v>150226-0-2015</v>
      </c>
      <c r="C309" s="2" t="str">
        <f>+'Base de Datos'!F309</f>
        <v>COOPERATIVA DE VIGILANTES STARCOOP CTA</v>
      </c>
      <c r="D309" s="2">
        <f>+'Base de Datos'!G309</f>
        <v>830101476</v>
      </c>
      <c r="E309" s="2" t="str">
        <f>+'Base de Datos'!H309</f>
        <v>Prestar el servicio de vigilancia y seguridad privada en las instalaciones del Concejo de Bogotá, D.C., con el fin de asegurar la protección y custodia de las personas y bienes muebles e inmuebles de propiedad de la entidad y de los que legalmente sea o llegare a ser responsable por disposición legal, contractual o convencional.</v>
      </c>
      <c r="F309" s="221">
        <f>+'Base de Datos'!I309</f>
        <v>566000000</v>
      </c>
      <c r="G309" s="220">
        <f>+'Base de Datos'!M309</f>
        <v>42141</v>
      </c>
      <c r="H309" s="220">
        <f>+'Base de Datos'!N309</f>
        <v>42507</v>
      </c>
      <c r="I309" s="179"/>
      <c r="J309" s="360"/>
      <c r="K309" s="237"/>
      <c r="L309" s="363"/>
      <c r="M309" s="179"/>
      <c r="N309" s="360"/>
      <c r="O309" s="179"/>
      <c r="P309" s="365"/>
      <c r="Q309" s="86">
        <f t="shared" si="22"/>
        <v>0</v>
      </c>
      <c r="R309" s="849" t="s">
        <v>2460</v>
      </c>
      <c r="S309" s="360"/>
      <c r="T309" s="179"/>
      <c r="U309" s="360"/>
      <c r="V309" s="179"/>
      <c r="W309" s="360"/>
      <c r="X309" s="179"/>
      <c r="Y309" s="360"/>
      <c r="Z309" s="353" t="s">
        <v>2460</v>
      </c>
      <c r="AA309" s="89">
        <v>42582</v>
      </c>
      <c r="AB309" s="237">
        <v>15281877</v>
      </c>
      <c r="AC309" s="237">
        <v>40184409</v>
      </c>
      <c r="AD309" s="237">
        <v>37242070</v>
      </c>
      <c r="AE309" s="237">
        <v>36184478</v>
      </c>
      <c r="AF309" s="237">
        <v>35997038</v>
      </c>
      <c r="AG309" s="237">
        <v>35997035</v>
      </c>
      <c r="AH309" s="237">
        <v>36559367</v>
      </c>
      <c r="AI309" s="237">
        <v>36746811</v>
      </c>
      <c r="AJ309" s="237">
        <v>38982652</v>
      </c>
      <c r="AK309" s="237">
        <v>77633791</v>
      </c>
      <c r="AL309" s="237">
        <v>38649601</v>
      </c>
      <c r="AM309" s="237">
        <v>80403586</v>
      </c>
      <c r="AN309" s="237">
        <v>39851159</v>
      </c>
      <c r="AO309" s="237"/>
      <c r="AP309" s="237"/>
      <c r="AQ309" s="237"/>
      <c r="AR309" s="237"/>
      <c r="AS309" s="237"/>
      <c r="AT309" s="360">
        <v>42600</v>
      </c>
      <c r="AU309" s="91">
        <f t="shared" si="24"/>
        <v>549713874</v>
      </c>
    </row>
    <row r="310" spans="2:47" ht="33.75" hidden="1" x14ac:dyDescent="0.25">
      <c r="B310" s="2" t="str">
        <f>+'Base de Datos'!E310</f>
        <v>150214-0-2015</v>
      </c>
      <c r="C310" s="2" t="str">
        <f>+'Base de Datos'!F310</f>
        <v>CARLOS FERNANDO IBARRA VALLEJO</v>
      </c>
      <c r="D310" s="2">
        <f>+'Base de Datos'!G310</f>
        <v>1085916707</v>
      </c>
      <c r="E310" s="2" t="str">
        <f>+'Base de Datos'!H310</f>
        <v>Prestar servicios de apoyo al Concejo de Bogotá D.C., en la elaboración y actualización de las bases de datos para el control y depuración de los acuerdos distritales.</v>
      </c>
      <c r="F310" s="221">
        <f>+'Base de Datos'!I310</f>
        <v>18000000</v>
      </c>
      <c r="G310" s="220">
        <f>+'Base de Datos'!M310</f>
        <v>42137</v>
      </c>
      <c r="H310" s="220">
        <f>+'Base de Datos'!N310</f>
        <v>42413</v>
      </c>
      <c r="I310" s="179"/>
      <c r="J310" s="360"/>
      <c r="K310" s="237"/>
      <c r="L310" s="363"/>
      <c r="M310" s="179"/>
      <c r="N310" s="360"/>
      <c r="O310" s="179"/>
      <c r="P310" s="365"/>
      <c r="Q310" s="86">
        <f t="shared" si="22"/>
        <v>0</v>
      </c>
      <c r="R310" s="284"/>
      <c r="S310" s="360"/>
      <c r="T310" s="179"/>
      <c r="U310" s="360"/>
      <c r="V310" s="179"/>
      <c r="W310" s="360"/>
      <c r="X310" s="179"/>
      <c r="Y310" s="360"/>
      <c r="Z310" s="353"/>
      <c r="AA310" s="89">
        <f t="shared" si="23"/>
        <v>0</v>
      </c>
      <c r="AB310" s="237">
        <v>1200000</v>
      </c>
      <c r="AC310" s="237">
        <v>2000000</v>
      </c>
      <c r="AD310" s="237">
        <v>2000000</v>
      </c>
      <c r="AE310" s="237">
        <v>2000000</v>
      </c>
      <c r="AF310" s="237">
        <v>2000000</v>
      </c>
      <c r="AG310" s="237">
        <v>6000000</v>
      </c>
      <c r="AH310" s="237">
        <v>2800000</v>
      </c>
      <c r="AI310" s="237"/>
      <c r="AJ310" s="237"/>
      <c r="AK310" s="237"/>
      <c r="AL310" s="237"/>
      <c r="AM310" s="237"/>
      <c r="AN310" s="237"/>
      <c r="AO310" s="237"/>
      <c r="AP310" s="237"/>
      <c r="AQ310" s="237"/>
      <c r="AR310" s="237"/>
      <c r="AS310" s="237"/>
      <c r="AT310" s="360">
        <v>42543</v>
      </c>
      <c r="AU310" s="91">
        <f t="shared" si="24"/>
        <v>18000000</v>
      </c>
    </row>
    <row r="311" spans="2:47" ht="33.75" hidden="1" x14ac:dyDescent="0.25">
      <c r="B311" s="2" t="str">
        <f>+'Base de Datos'!E311</f>
        <v>150225-0-2015</v>
      </c>
      <c r="C311" s="2" t="str">
        <f>+'Base de Datos'!F311</f>
        <v>CANAL REGIONAL DE TELEVISION TEVEANDINA LTDA - TEVEANDINA LTDA</v>
      </c>
      <c r="D311" s="2">
        <f>+'Base de Datos'!G311</f>
        <v>830005370</v>
      </c>
      <c r="E311" s="2" t="str">
        <f>+'Base de Datos'!H311</f>
        <v>Realizar la producción y trasmisión de programas de televisión para el Concejo de Bogotá.</v>
      </c>
      <c r="F311" s="221">
        <f>+'Base de Datos'!I311</f>
        <v>1291938453</v>
      </c>
      <c r="G311" s="220">
        <f>+'Base de Datos'!M311</f>
        <v>42139</v>
      </c>
      <c r="H311" s="220">
        <f>+'Base de Datos'!N311</f>
        <v>42421</v>
      </c>
      <c r="I311" s="179">
        <v>141414324</v>
      </c>
      <c r="J311" s="360">
        <v>42419</v>
      </c>
      <c r="K311" s="237"/>
      <c r="L311" s="363"/>
      <c r="M311" s="179"/>
      <c r="N311" s="360"/>
      <c r="O311" s="179"/>
      <c r="P311" s="365"/>
      <c r="Q311" s="86">
        <f t="shared" si="22"/>
        <v>141414324</v>
      </c>
      <c r="R311" s="284" t="s">
        <v>381</v>
      </c>
      <c r="S311" s="360">
        <v>42450</v>
      </c>
      <c r="T311" s="179"/>
      <c r="U311" s="360"/>
      <c r="V311" s="179"/>
      <c r="W311" s="360"/>
      <c r="X311" s="179"/>
      <c r="Y311" s="360"/>
      <c r="Z311" s="353" t="s">
        <v>378</v>
      </c>
      <c r="AA311" s="89">
        <f t="shared" si="23"/>
        <v>42450</v>
      </c>
      <c r="AB311" s="237">
        <v>115768416</v>
      </c>
      <c r="AC311" s="237">
        <v>141721928</v>
      </c>
      <c r="AD311" s="237">
        <v>128745171</v>
      </c>
      <c r="AE311" s="237">
        <v>147954709</v>
      </c>
      <c r="AF311" s="237">
        <v>128745171</v>
      </c>
      <c r="AG311" s="237">
        <v>128745171</v>
      </c>
      <c r="AH311" s="237">
        <v>160931464</v>
      </c>
      <c r="AI311" s="237">
        <v>137921696</v>
      </c>
      <c r="AJ311" s="237">
        <v>249478540</v>
      </c>
      <c r="AK311" s="237">
        <v>93340511</v>
      </c>
      <c r="AL311" s="237"/>
      <c r="AM311" s="237"/>
      <c r="AN311" s="237"/>
      <c r="AO311" s="237"/>
      <c r="AP311" s="237"/>
      <c r="AQ311" s="237"/>
      <c r="AR311" s="237"/>
      <c r="AS311" s="237"/>
      <c r="AT311" s="360">
        <v>42534</v>
      </c>
      <c r="AU311" s="91">
        <f t="shared" si="24"/>
        <v>1433352777</v>
      </c>
    </row>
    <row r="312" spans="2:47" ht="22.5" hidden="1" x14ac:dyDescent="0.25">
      <c r="B312" s="2" t="str">
        <f>+'Base de Datos'!E312</f>
        <v>150228-0-2015</v>
      </c>
      <c r="C312" s="2" t="str">
        <f>+'Base de Datos'!F312</f>
        <v xml:space="preserve">REVISTA EL CONGRESO SIGLO XXI </v>
      </c>
      <c r="D312" s="2">
        <f>+'Base de Datos'!G312</f>
        <v>830067096</v>
      </c>
      <c r="E312" s="2" t="str">
        <f>+'Base de Datos'!H312</f>
        <v xml:space="preserve">Suscripción a la Revista El Congreso Siglo XXI con destino al Concejo de Bogotá D.C. </v>
      </c>
      <c r="F312" s="221">
        <f>+'Base de Datos'!I312</f>
        <v>7800000</v>
      </c>
      <c r="G312" s="220">
        <f>+'Base de Datos'!M312</f>
        <v>42145</v>
      </c>
      <c r="H312" s="220">
        <f>+'Base de Datos'!N312</f>
        <v>42511</v>
      </c>
      <c r="I312" s="179"/>
      <c r="J312" s="360"/>
      <c r="K312" s="237"/>
      <c r="L312" s="363"/>
      <c r="M312" s="179"/>
      <c r="N312" s="360"/>
      <c r="O312" s="179"/>
      <c r="P312" s="365"/>
      <c r="Q312" s="86">
        <f t="shared" si="22"/>
        <v>0</v>
      </c>
      <c r="R312" s="284"/>
      <c r="S312" s="360"/>
      <c r="T312" s="179"/>
      <c r="U312" s="360"/>
      <c r="V312" s="179"/>
      <c r="W312" s="360"/>
      <c r="X312" s="179"/>
      <c r="Y312" s="360"/>
      <c r="Z312" s="353"/>
      <c r="AA312" s="89">
        <f t="shared" si="23"/>
        <v>0</v>
      </c>
      <c r="AB312" s="237">
        <v>7800000</v>
      </c>
      <c r="AC312" s="237"/>
      <c r="AD312" s="237"/>
      <c r="AE312" s="237"/>
      <c r="AF312" s="237"/>
      <c r="AG312" s="237"/>
      <c r="AH312" s="237"/>
      <c r="AI312" s="237"/>
      <c r="AJ312" s="237"/>
      <c r="AK312" s="237"/>
      <c r="AL312" s="237"/>
      <c r="AM312" s="237"/>
      <c r="AN312" s="237"/>
      <c r="AO312" s="237"/>
      <c r="AP312" s="237"/>
      <c r="AQ312" s="237"/>
      <c r="AR312" s="237"/>
      <c r="AS312" s="237"/>
      <c r="AT312" s="360">
        <v>42177</v>
      </c>
      <c r="AU312" s="91">
        <f t="shared" si="24"/>
        <v>7800000</v>
      </c>
    </row>
    <row r="313" spans="2:47" ht="45" hidden="1" x14ac:dyDescent="0.25">
      <c r="B313" s="2" t="str">
        <f>+'Base de Datos'!E313</f>
        <v>150229-0-2015</v>
      </c>
      <c r="C313" s="2" t="str">
        <f>+'Base de Datos'!F313</f>
        <v xml:space="preserve">MOTORES Y MAQUINAS S.A. MOTORYSA </v>
      </c>
      <c r="D313" s="2" t="str">
        <f>+'Base de Datos'!G313</f>
        <v>860019063-8</v>
      </c>
      <c r="E313" s="2" t="str">
        <f>+'Base de Datos'!H313</f>
        <v>PRESTAR EL SERVICIO DE MANTENIMIENTO CORRECTIVO CON SUMINISTRO DE REPUESTOS DE LOS AUTOMOTORES MARCA MITSUBISHI AL SERVICIO DEL CONCEJO DE BOGOTA</v>
      </c>
      <c r="F313" s="221">
        <f>+'Base de Datos'!I313</f>
        <v>28000000</v>
      </c>
      <c r="G313" s="220">
        <f>+'Base de Datos'!M313</f>
        <v>42180</v>
      </c>
      <c r="H313" s="220">
        <f>+'Base de Datos'!N313</f>
        <v>42546</v>
      </c>
      <c r="I313" s="179"/>
      <c r="J313" s="360"/>
      <c r="K313" s="237"/>
      <c r="L313" s="363"/>
      <c r="M313" s="179"/>
      <c r="N313" s="360"/>
      <c r="O313" s="179"/>
      <c r="P313" s="365"/>
      <c r="Q313" s="86">
        <f t="shared" si="22"/>
        <v>0</v>
      </c>
      <c r="R313" s="284"/>
      <c r="S313" s="360"/>
      <c r="T313" s="179"/>
      <c r="U313" s="360"/>
      <c r="V313" s="179"/>
      <c r="W313" s="360"/>
      <c r="X313" s="179"/>
      <c r="Y313" s="360"/>
      <c r="Z313" s="353"/>
      <c r="AA313" s="89">
        <f t="shared" si="23"/>
        <v>0</v>
      </c>
      <c r="AB313" s="237">
        <v>1968484</v>
      </c>
      <c r="AC313" s="237">
        <v>11376014</v>
      </c>
      <c r="AD313" s="237">
        <v>6146980</v>
      </c>
      <c r="AE313" s="237">
        <v>2569336</v>
      </c>
      <c r="AF313" s="237">
        <v>4092639</v>
      </c>
      <c r="AG313" s="237">
        <v>443324</v>
      </c>
      <c r="AH313" s="237"/>
      <c r="AI313" s="237"/>
      <c r="AJ313" s="237"/>
      <c r="AK313" s="237"/>
      <c r="AL313" s="237"/>
      <c r="AM313" s="237"/>
      <c r="AN313" s="237"/>
      <c r="AO313" s="237"/>
      <c r="AP313" s="237"/>
      <c r="AQ313" s="237"/>
      <c r="AR313" s="237"/>
      <c r="AS313" s="237"/>
      <c r="AT313" s="360">
        <v>42528</v>
      </c>
      <c r="AU313" s="91">
        <f t="shared" si="24"/>
        <v>26596777</v>
      </c>
    </row>
    <row r="314" spans="2:47" ht="22.5" hidden="1" x14ac:dyDescent="0.25">
      <c r="B314" s="2" t="str">
        <f>+'Base de Datos'!E314</f>
        <v>150236-0-2015</v>
      </c>
      <c r="C314" s="2" t="str">
        <f>+'Base de Datos'!F314</f>
        <v>SISTEG SAS</v>
      </c>
      <c r="D314" s="2" t="str">
        <f>+'Base de Datos'!G314</f>
        <v>802004648 - 1</v>
      </c>
      <c r="E314" s="2" t="str">
        <f>+'Base de Datos'!H314</f>
        <v>Adquisición de memorias para repotenciación de equipos de cómputo para el Concejo de Bogotá D.C.</v>
      </c>
      <c r="F314" s="221">
        <f>+'Base de Datos'!I314</f>
        <v>8086410</v>
      </c>
      <c r="G314" s="220">
        <f>+'Base de Datos'!M314</f>
        <v>42165</v>
      </c>
      <c r="H314" s="220">
        <f>+'Base de Datos'!N314</f>
        <v>42226</v>
      </c>
      <c r="I314" s="179"/>
      <c r="J314" s="360"/>
      <c r="K314" s="237"/>
      <c r="L314" s="363"/>
      <c r="M314" s="179"/>
      <c r="N314" s="360"/>
      <c r="O314" s="179"/>
      <c r="P314" s="365"/>
      <c r="Q314" s="86">
        <f t="shared" si="22"/>
        <v>0</v>
      </c>
      <c r="R314" s="284"/>
      <c r="S314" s="360"/>
      <c r="T314" s="179"/>
      <c r="U314" s="360"/>
      <c r="V314" s="179"/>
      <c r="W314" s="360"/>
      <c r="X314" s="179"/>
      <c r="Y314" s="360"/>
      <c r="Z314" s="353"/>
      <c r="AA314" s="89">
        <f t="shared" si="23"/>
        <v>0</v>
      </c>
      <c r="AB314" s="237">
        <v>8086406</v>
      </c>
      <c r="AC314" s="237"/>
      <c r="AD314" s="237"/>
      <c r="AE314" s="237"/>
      <c r="AF314" s="237"/>
      <c r="AG314" s="237"/>
      <c r="AH314" s="237"/>
      <c r="AI314" s="237"/>
      <c r="AJ314" s="237"/>
      <c r="AK314" s="237"/>
      <c r="AL314" s="237"/>
      <c r="AM314" s="237"/>
      <c r="AN314" s="237"/>
      <c r="AO314" s="237"/>
      <c r="AP314" s="237"/>
      <c r="AQ314" s="237"/>
      <c r="AR314" s="237"/>
      <c r="AS314" s="237"/>
      <c r="AT314" s="360">
        <v>42216</v>
      </c>
      <c r="AU314" s="91">
        <f t="shared" si="24"/>
        <v>8086406</v>
      </c>
    </row>
    <row r="315" spans="2:47" ht="45" hidden="1" x14ac:dyDescent="0.25">
      <c r="B315" s="2" t="str">
        <f>+'Base de Datos'!E315</f>
        <v>150232-0-2015</v>
      </c>
      <c r="C315" s="2" t="str">
        <f>+'Base de Datos'!F315</f>
        <v>FORMARCHIVOS Y SUMINISTROS SAS</v>
      </c>
      <c r="D315" s="2" t="str">
        <f>+'Base de Datos'!G315</f>
        <v>900336588-6</v>
      </c>
      <c r="E315" s="2" t="str">
        <f>+'Base de Datos'!H315</f>
        <v>Suministrar cajas y carpetas para el embalaje de los documentos de archivo para el Concejo de Bogotá, D.C, de conformidad con lo establecido en la presente invitación pública.</v>
      </c>
      <c r="F315" s="221">
        <f>+'Base de Datos'!I315</f>
        <v>5000000</v>
      </c>
      <c r="G315" s="220">
        <f>+'Base de Datos'!M315</f>
        <v>42160</v>
      </c>
      <c r="H315" s="220">
        <f>+'Base de Datos'!N315</f>
        <v>42252</v>
      </c>
      <c r="I315" s="179"/>
      <c r="J315" s="360"/>
      <c r="K315" s="237"/>
      <c r="L315" s="363"/>
      <c r="M315" s="179"/>
      <c r="N315" s="360"/>
      <c r="O315" s="179"/>
      <c r="P315" s="365"/>
      <c r="Q315" s="86">
        <f t="shared" si="22"/>
        <v>0</v>
      </c>
      <c r="R315" s="284"/>
      <c r="S315" s="360"/>
      <c r="T315" s="179"/>
      <c r="U315" s="360"/>
      <c r="V315" s="179"/>
      <c r="W315" s="360"/>
      <c r="X315" s="179"/>
      <c r="Y315" s="360"/>
      <c r="Z315" s="353"/>
      <c r="AA315" s="89">
        <f t="shared" si="23"/>
        <v>0</v>
      </c>
      <c r="AB315" s="237">
        <v>3489976</v>
      </c>
      <c r="AC315" s="237"/>
      <c r="AD315" s="237"/>
      <c r="AE315" s="237"/>
      <c r="AF315" s="237"/>
      <c r="AG315" s="237"/>
      <c r="AH315" s="237"/>
      <c r="AI315" s="237"/>
      <c r="AJ315" s="237"/>
      <c r="AK315" s="237"/>
      <c r="AL315" s="237"/>
      <c r="AM315" s="237"/>
      <c r="AN315" s="237"/>
      <c r="AO315" s="237"/>
      <c r="AP315" s="237"/>
      <c r="AQ315" s="237"/>
      <c r="AR315" s="237"/>
      <c r="AS315" s="237"/>
      <c r="AT315" s="360">
        <v>42244</v>
      </c>
      <c r="AU315" s="91">
        <f t="shared" si="24"/>
        <v>3489976</v>
      </c>
    </row>
    <row r="316" spans="2:47" ht="45" hidden="1" x14ac:dyDescent="0.25">
      <c r="B316" s="2" t="str">
        <f>+'Base de Datos'!E316</f>
        <v>150241-0-2015</v>
      </c>
      <c r="C316" s="2" t="str">
        <f>+'Base de Datos'!F316</f>
        <v>SOLUTION COPY LTDA</v>
      </c>
      <c r="D316" s="2">
        <f>+'Base de Datos'!G316</f>
        <v>830053669</v>
      </c>
      <c r="E316" s="2" t="str">
        <f>+'Base de Datos'!H316</f>
        <v>Prestar el servicio Integral de fotocopiado y servicios afines para el Concejo de Bogotá,D.C. .bajo la modalidad de outsourcing. Según invitación publica del proceso N° SDH-SIE-07-2015</v>
      </c>
      <c r="F316" s="221">
        <f>+'Base de Datos'!I316</f>
        <v>30552000</v>
      </c>
      <c r="G316" s="220">
        <f>+'Base de Datos'!M316</f>
        <v>42187</v>
      </c>
      <c r="H316" s="220">
        <f>+'Base de Datos'!N316</f>
        <v>42431</v>
      </c>
      <c r="I316" s="836">
        <v>11000000</v>
      </c>
      <c r="J316" s="360"/>
      <c r="K316" s="237"/>
      <c r="L316" s="363"/>
      <c r="M316" s="179"/>
      <c r="N316" s="360"/>
      <c r="O316" s="179"/>
      <c r="P316" s="365"/>
      <c r="Q316" s="86">
        <f t="shared" si="22"/>
        <v>11000000</v>
      </c>
      <c r="R316" s="284" t="s">
        <v>378</v>
      </c>
      <c r="S316" s="360">
        <v>42492</v>
      </c>
      <c r="T316" s="179" t="s">
        <v>2441</v>
      </c>
      <c r="U316" s="360">
        <v>42507</v>
      </c>
      <c r="V316" s="178" t="s">
        <v>2455</v>
      </c>
      <c r="W316" s="360">
        <v>42582</v>
      </c>
      <c r="X316" s="179"/>
      <c r="Y316" s="360"/>
      <c r="Z316" s="353" t="s">
        <v>2456</v>
      </c>
      <c r="AA316" s="89">
        <f t="shared" si="23"/>
        <v>42582</v>
      </c>
      <c r="AB316" s="237">
        <v>4679332</v>
      </c>
      <c r="AC316" s="237">
        <v>2915334</v>
      </c>
      <c r="AD316" s="237">
        <v>8408751</v>
      </c>
      <c r="AE316" s="237">
        <v>3220726</v>
      </c>
      <c r="AF316" s="237">
        <v>1632982</v>
      </c>
      <c r="AG316" s="237">
        <v>4343427</v>
      </c>
      <c r="AH316" s="237"/>
      <c r="AI316" s="237">
        <v>2785491</v>
      </c>
      <c r="AJ316" s="237">
        <f>2565957+3998825</f>
        <v>6564782</v>
      </c>
      <c r="AK316" s="237">
        <v>2297157</v>
      </c>
      <c r="AL316" s="237">
        <v>2617629</v>
      </c>
      <c r="AM316" s="237"/>
      <c r="AN316" s="237"/>
      <c r="AO316" s="237"/>
      <c r="AP316" s="237"/>
      <c r="AQ316" s="237"/>
      <c r="AR316" s="237"/>
      <c r="AS316" s="237"/>
      <c r="AT316" s="360">
        <v>42620</v>
      </c>
      <c r="AU316" s="91">
        <f t="shared" si="24"/>
        <v>39465611</v>
      </c>
    </row>
    <row r="317" spans="2:47" ht="56.25" hidden="1" x14ac:dyDescent="0.25">
      <c r="B317" s="2" t="str">
        <f>+'Base de Datos'!E317</f>
        <v>150245-0-2015</v>
      </c>
      <c r="C317" s="2" t="str">
        <f>+'Base de Datos'!F317</f>
        <v>SANDRA MARCELA ROJAS MACIAS</v>
      </c>
      <c r="D317" s="2">
        <f>+'Base de Datos'!G317</f>
        <v>51647190</v>
      </c>
      <c r="E317" s="2" t="str">
        <f>+'Base de Datos'!H317</f>
        <v>Prestar servicios profesionales para la identificación y análisis de información y elementos que permitan a la Oficina de Planeación del Concejo de Bogotá, la implementación del Subsistema de Responsabilidad Social - SRS</v>
      </c>
      <c r="F317" s="221">
        <f>+'Base de Datos'!I317</f>
        <v>40800000</v>
      </c>
      <c r="G317" s="220">
        <f>+'Base de Datos'!M317</f>
        <v>42160</v>
      </c>
      <c r="H317" s="220">
        <f>+'Base de Datos'!N317</f>
        <v>42343</v>
      </c>
      <c r="I317" s="836">
        <v>20400000</v>
      </c>
      <c r="J317" s="360">
        <v>42352</v>
      </c>
      <c r="K317" s="237"/>
      <c r="L317" s="363"/>
      <c r="M317" s="179"/>
      <c r="N317" s="360"/>
      <c r="O317" s="179"/>
      <c r="P317" s="365"/>
      <c r="Q317" s="86">
        <f t="shared" si="22"/>
        <v>20400000</v>
      </c>
      <c r="R317" s="284" t="s">
        <v>1322</v>
      </c>
      <c r="S317" s="360">
        <v>42352</v>
      </c>
      <c r="T317" s="179" t="s">
        <v>379</v>
      </c>
      <c r="U317" s="360">
        <v>42443</v>
      </c>
      <c r="V317" s="179"/>
      <c r="W317" s="360"/>
      <c r="X317" s="179"/>
      <c r="Y317" s="360"/>
      <c r="Z317" s="353" t="s">
        <v>2372</v>
      </c>
      <c r="AA317" s="89">
        <f t="shared" si="23"/>
        <v>42443</v>
      </c>
      <c r="AB317" s="237">
        <v>5893333</v>
      </c>
      <c r="AC317" s="237">
        <v>6800000</v>
      </c>
      <c r="AD317" s="237">
        <v>6800000</v>
      </c>
      <c r="AE317" s="237">
        <v>6800000</v>
      </c>
      <c r="AF317" s="237">
        <v>6800000</v>
      </c>
      <c r="AG317" s="237">
        <v>6800000</v>
      </c>
      <c r="AH317" s="237">
        <v>4760000</v>
      </c>
      <c r="AI317" s="237">
        <v>6800000</v>
      </c>
      <c r="AJ317" s="237">
        <v>6800000</v>
      </c>
      <c r="AK317" s="237">
        <v>2946667</v>
      </c>
      <c r="AL317" s="237"/>
      <c r="AM317" s="237"/>
      <c r="AN317" s="237"/>
      <c r="AO317" s="237"/>
      <c r="AP317" s="237"/>
      <c r="AQ317" s="237"/>
      <c r="AR317" s="237"/>
      <c r="AS317" s="237"/>
      <c r="AT317" s="360">
        <v>42479</v>
      </c>
      <c r="AU317" s="91">
        <f t="shared" si="24"/>
        <v>61200000</v>
      </c>
    </row>
    <row r="318" spans="2:47" ht="45" hidden="1" x14ac:dyDescent="0.25">
      <c r="B318" s="2" t="str">
        <f>+'Base de Datos'!E318</f>
        <v>150244-0-2015</v>
      </c>
      <c r="C318" s="2" t="str">
        <f>+'Base de Datos'!F318</f>
        <v>COTECNA CERTIFICADORA SERVICES LIMITADA</v>
      </c>
      <c r="D318" s="2">
        <f>+'Base de Datos'!G318</f>
        <v>830040274</v>
      </c>
      <c r="E318" s="2" t="str">
        <f>+'Base de Datos'!H318</f>
        <v>Realizar las auditorías de seguimiento a los sistemas de Gestión Ambiental y Seguridad y Salud Ocupacional del Concejo de Bogotá, bajo las normas ISO 14001:2004 y OHSAS 18001:2007</v>
      </c>
      <c r="F318" s="221">
        <f>+'Base de Datos'!I318</f>
        <v>2365972</v>
      </c>
      <c r="G318" s="220">
        <f>+'Base de Datos'!M318</f>
        <v>42174</v>
      </c>
      <c r="H318" s="220">
        <f>+'Base de Datos'!N318</f>
        <v>42296</v>
      </c>
      <c r="I318" s="179"/>
      <c r="J318" s="360"/>
      <c r="K318" s="237"/>
      <c r="L318" s="363"/>
      <c r="M318" s="179"/>
      <c r="N318" s="360"/>
      <c r="O318" s="179"/>
      <c r="P318" s="365"/>
      <c r="Q318" s="86">
        <f t="shared" si="22"/>
        <v>0</v>
      </c>
      <c r="R318" s="284"/>
      <c r="S318" s="360"/>
      <c r="T318" s="179"/>
      <c r="U318" s="360"/>
      <c r="V318" s="179"/>
      <c r="W318" s="360"/>
      <c r="X318" s="179"/>
      <c r="Y318" s="360"/>
      <c r="Z318" s="353"/>
      <c r="AA318" s="89">
        <f t="shared" si="23"/>
        <v>0</v>
      </c>
      <c r="AB318" s="237">
        <v>2365972</v>
      </c>
      <c r="AC318" s="237"/>
      <c r="AD318" s="237"/>
      <c r="AE318" s="237"/>
      <c r="AF318" s="237"/>
      <c r="AG318" s="237"/>
      <c r="AH318" s="237"/>
      <c r="AI318" s="237"/>
      <c r="AJ318" s="237"/>
      <c r="AK318" s="237"/>
      <c r="AL318" s="237"/>
      <c r="AM318" s="237"/>
      <c r="AN318" s="237"/>
      <c r="AO318" s="237"/>
      <c r="AP318" s="237"/>
      <c r="AQ318" s="237"/>
      <c r="AR318" s="237"/>
      <c r="AS318" s="237"/>
      <c r="AT318" s="360">
        <v>42544</v>
      </c>
      <c r="AU318" s="91">
        <f t="shared" si="24"/>
        <v>2365972</v>
      </c>
    </row>
    <row r="319" spans="2:47" ht="33.75" hidden="1" x14ac:dyDescent="0.25">
      <c r="B319" s="2" t="str">
        <f>+'Base de Datos'!E319</f>
        <v>150250-0-2015</v>
      </c>
      <c r="C319" s="2" t="str">
        <f>+'Base de Datos'!F319</f>
        <v>CRISTIAN CAMILO RAMOS MARTINEZ</v>
      </c>
      <c r="D319" s="2">
        <f>+'Base de Datos'!G319</f>
        <v>1016042559</v>
      </c>
      <c r="E319" s="2" t="str">
        <f>+'Base de Datos'!H319</f>
        <v>Prestar los servicios de apoyo, para consolidar y sistematizar la información del proceso de planificación del Subsistema de Responsabilidad Social SRS.</v>
      </c>
      <c r="F319" s="221">
        <f>+'Base de Datos'!I319</f>
        <v>12000000</v>
      </c>
      <c r="G319" s="220">
        <f>+'Base de Datos'!M319</f>
        <v>42173</v>
      </c>
      <c r="H319" s="220">
        <f>+'Base de Datos'!N319</f>
        <v>42356</v>
      </c>
      <c r="I319" s="836">
        <v>6000000</v>
      </c>
      <c r="J319" s="360">
        <v>42356</v>
      </c>
      <c r="K319" s="237"/>
      <c r="L319" s="363"/>
      <c r="M319" s="179"/>
      <c r="N319" s="360"/>
      <c r="O319" s="179"/>
      <c r="P319" s="365"/>
      <c r="Q319" s="86">
        <f t="shared" si="22"/>
        <v>6000000</v>
      </c>
      <c r="R319" s="284" t="s">
        <v>379</v>
      </c>
      <c r="S319" s="360">
        <v>42447</v>
      </c>
      <c r="T319" s="179"/>
      <c r="U319" s="360"/>
      <c r="V319" s="179"/>
      <c r="W319" s="360"/>
      <c r="X319" s="179"/>
      <c r="Y319" s="360"/>
      <c r="Z319" s="353" t="s">
        <v>379</v>
      </c>
      <c r="AA319" s="89">
        <f t="shared" si="23"/>
        <v>42447</v>
      </c>
      <c r="AB319" s="237">
        <v>866666</v>
      </c>
      <c r="AC319" s="237">
        <v>2000000</v>
      </c>
      <c r="AD319" s="237">
        <v>2000000</v>
      </c>
      <c r="AE319" s="237">
        <v>2000000</v>
      </c>
      <c r="AF319" s="237">
        <v>2000000</v>
      </c>
      <c r="AG319" s="237">
        <v>2000000</v>
      </c>
      <c r="AH319" s="237">
        <v>2000000</v>
      </c>
      <c r="AI319" s="237">
        <v>2000000</v>
      </c>
      <c r="AJ319" s="237">
        <v>2000000</v>
      </c>
      <c r="AK319" s="237">
        <v>1133334</v>
      </c>
      <c r="AL319" s="237"/>
      <c r="AM319" s="237"/>
      <c r="AN319" s="237"/>
      <c r="AO319" s="237"/>
      <c r="AP319" s="237"/>
      <c r="AQ319" s="237"/>
      <c r="AR319" s="237"/>
      <c r="AS319" s="237"/>
      <c r="AT319" s="360">
        <v>42479</v>
      </c>
      <c r="AU319" s="91">
        <f t="shared" si="24"/>
        <v>18000000</v>
      </c>
    </row>
    <row r="320" spans="2:47" ht="33.75" hidden="1" x14ac:dyDescent="0.25">
      <c r="B320" s="2" t="str">
        <f>+'Base de Datos'!E320</f>
        <v>150254-0-2015</v>
      </c>
      <c r="C320" s="2" t="str">
        <f>+'Base de Datos'!F320</f>
        <v>OFICOMCO SAS</v>
      </c>
      <c r="D320" s="2" t="str">
        <f>+'Base de Datos'!G320</f>
        <v>900668336-1</v>
      </c>
      <c r="E320" s="2" t="str">
        <f>+'Base de Datos'!H320</f>
        <v>Adquisición de licencias de servidores Windows Server 2012 para el Concejo de Bogotá, de conformidad con lo establecido en la presente invitación pública</v>
      </c>
      <c r="F320" s="221">
        <f>+'Base de Datos'!I320</f>
        <v>11167296</v>
      </c>
      <c r="G320" s="220">
        <f>+'Base de Datos'!M320</f>
        <v>42188</v>
      </c>
      <c r="H320" s="220">
        <f>+'Base de Datos'!N320</f>
        <v>42250</v>
      </c>
      <c r="I320" s="179"/>
      <c r="J320" s="360"/>
      <c r="K320" s="237"/>
      <c r="L320" s="363"/>
      <c r="M320" s="179"/>
      <c r="N320" s="360"/>
      <c r="O320" s="179"/>
      <c r="P320" s="365"/>
      <c r="Q320" s="86">
        <f t="shared" si="22"/>
        <v>0</v>
      </c>
      <c r="R320" s="284"/>
      <c r="S320" s="360"/>
      <c r="T320" s="179"/>
      <c r="U320" s="360"/>
      <c r="V320" s="179"/>
      <c r="W320" s="360"/>
      <c r="X320" s="179"/>
      <c r="Y320" s="360"/>
      <c r="Z320" s="353"/>
      <c r="AA320" s="89">
        <f t="shared" si="23"/>
        <v>0</v>
      </c>
      <c r="AB320" s="237">
        <v>11167296</v>
      </c>
      <c r="AC320" s="237"/>
      <c r="AD320" s="237"/>
      <c r="AE320" s="237"/>
      <c r="AF320" s="237"/>
      <c r="AG320" s="237"/>
      <c r="AH320" s="237"/>
      <c r="AI320" s="237"/>
      <c r="AJ320" s="237"/>
      <c r="AK320" s="237"/>
      <c r="AL320" s="237"/>
      <c r="AM320" s="237"/>
      <c r="AN320" s="237"/>
      <c r="AO320" s="237"/>
      <c r="AP320" s="237"/>
      <c r="AQ320" s="237"/>
      <c r="AR320" s="237"/>
      <c r="AS320" s="237"/>
      <c r="AT320" s="360"/>
      <c r="AU320" s="91">
        <f t="shared" si="24"/>
        <v>11167296</v>
      </c>
    </row>
    <row r="321" spans="2:47" ht="45" hidden="1" x14ac:dyDescent="0.25">
      <c r="B321" s="2" t="str">
        <f>+'Base de Datos'!E321</f>
        <v>150255-0-2015</v>
      </c>
      <c r="C321" s="2" t="str">
        <f>+'Base de Datos'!F321</f>
        <v>MEDALLAS COLOMBIANAS S.A.S</v>
      </c>
      <c r="D321" s="2">
        <f>+'Base de Datos'!G321</f>
        <v>860053195</v>
      </c>
      <c r="E321" s="2" t="str">
        <f>+'Base de Datos'!H321</f>
        <v>Suministro de elementos de promoción institucional y actos protocolarios del Concejo de Bogotá, D.C., de conformidad con lo establecido en la presente invitación pública</v>
      </c>
      <c r="F321" s="221">
        <f>+'Base de Datos'!I321</f>
        <v>29000000</v>
      </c>
      <c r="G321" s="220">
        <f>+'Base de Datos'!M321</f>
        <v>42179</v>
      </c>
      <c r="H321" s="220">
        <f>+'Base de Datos'!N321</f>
        <v>42484</v>
      </c>
      <c r="I321" s="179">
        <v>14417333</v>
      </c>
      <c r="J321" s="360">
        <v>42433</v>
      </c>
      <c r="K321" s="237"/>
      <c r="L321" s="363"/>
      <c r="M321" s="179"/>
      <c r="N321" s="360"/>
      <c r="O321" s="179"/>
      <c r="P321" s="365">
        <v>42433</v>
      </c>
      <c r="Q321" s="86">
        <f t="shared" si="22"/>
        <v>14417333</v>
      </c>
      <c r="R321" s="284" t="s">
        <v>2413</v>
      </c>
      <c r="S321" s="360">
        <v>42514</v>
      </c>
      <c r="T321" s="179" t="s">
        <v>381</v>
      </c>
      <c r="U321" s="360">
        <v>42545</v>
      </c>
      <c r="V321" s="179"/>
      <c r="W321" s="360"/>
      <c r="X321" s="179"/>
      <c r="Y321" s="360"/>
      <c r="Z321" s="353" t="s">
        <v>378</v>
      </c>
      <c r="AA321" s="89">
        <v>42545</v>
      </c>
      <c r="AB321" s="237">
        <v>18170365</v>
      </c>
      <c r="AC321" s="237">
        <v>6456937</v>
      </c>
      <c r="AD321" s="237">
        <v>9280000</v>
      </c>
      <c r="AE321" s="237">
        <v>5759985</v>
      </c>
      <c r="AF321" s="237">
        <v>3709391</v>
      </c>
      <c r="AG321" s="237"/>
      <c r="AH321" s="237"/>
      <c r="AI321" s="237"/>
      <c r="AJ321" s="237"/>
      <c r="AK321" s="237"/>
      <c r="AL321" s="237"/>
      <c r="AM321" s="237"/>
      <c r="AN321" s="237"/>
      <c r="AO321" s="237"/>
      <c r="AP321" s="237"/>
      <c r="AQ321" s="237"/>
      <c r="AR321" s="237"/>
      <c r="AS321" s="237"/>
      <c r="AT321" s="360">
        <v>42576</v>
      </c>
      <c r="AU321" s="91">
        <f t="shared" si="24"/>
        <v>43376678</v>
      </c>
    </row>
    <row r="322" spans="2:47" ht="33.75" hidden="1" x14ac:dyDescent="0.25">
      <c r="B322" s="2" t="str">
        <f>+'Base de Datos'!E322</f>
        <v>150256-0-2015</v>
      </c>
      <c r="C322" s="2" t="str">
        <f>+'Base de Datos'!F322</f>
        <v>DAYANNA STEPHANY FERNANDEZ CARRILLO</v>
      </c>
      <c r="D322" s="2">
        <f>+'Base de Datos'!G322</f>
        <v>1015452774</v>
      </c>
      <c r="E322" s="2" t="str">
        <f>+'Base de Datos'!H322</f>
        <v>Prestar los servicios de apoyo, para la elaboración de la documentación soporte para la implementación del Subsistema de Responsabilidad Social SRS.</v>
      </c>
      <c r="F322" s="221">
        <f>+'Base de Datos'!I322</f>
        <v>12000000</v>
      </c>
      <c r="G322" s="220">
        <f>+'Base de Datos'!M322</f>
        <v>42174</v>
      </c>
      <c r="H322" s="220">
        <f>+'Base de Datos'!N322</f>
        <v>42357</v>
      </c>
      <c r="I322" s="179"/>
      <c r="J322" s="360"/>
      <c r="K322" s="237"/>
      <c r="L322" s="363"/>
      <c r="M322" s="179"/>
      <c r="N322" s="360"/>
      <c r="O322" s="179"/>
      <c r="P322" s="365"/>
      <c r="Q322" s="86">
        <f t="shared" si="22"/>
        <v>0</v>
      </c>
      <c r="R322" s="284"/>
      <c r="S322" s="360"/>
      <c r="T322" s="179"/>
      <c r="U322" s="360"/>
      <c r="V322" s="179"/>
      <c r="W322" s="360"/>
      <c r="X322" s="179"/>
      <c r="Y322" s="360"/>
      <c r="Z322" s="353"/>
      <c r="AA322" s="89">
        <f t="shared" si="23"/>
        <v>0</v>
      </c>
      <c r="AB322" s="237">
        <v>800000</v>
      </c>
      <c r="AC322" s="237">
        <v>2000000</v>
      </c>
      <c r="AD322" s="237">
        <v>2000000</v>
      </c>
      <c r="AE322" s="237">
        <v>2000000</v>
      </c>
      <c r="AF322" s="237">
        <v>2000000</v>
      </c>
      <c r="AG322" s="237">
        <v>2000000</v>
      </c>
      <c r="AH322" s="237">
        <v>1200000</v>
      </c>
      <c r="AI322" s="237"/>
      <c r="AJ322" s="237"/>
      <c r="AK322" s="237"/>
      <c r="AL322" s="237"/>
      <c r="AM322" s="237"/>
      <c r="AN322" s="237"/>
      <c r="AO322" s="237"/>
      <c r="AP322" s="237"/>
      <c r="AQ322" s="237"/>
      <c r="AR322" s="237"/>
      <c r="AS322" s="237"/>
      <c r="AT322" s="360">
        <v>42366</v>
      </c>
      <c r="AU322" s="91">
        <f t="shared" si="24"/>
        <v>12000000</v>
      </c>
    </row>
    <row r="323" spans="2:47" ht="22.5" hidden="1" x14ac:dyDescent="0.25">
      <c r="B323" s="2" t="str">
        <f>+'Base de Datos'!E323</f>
        <v>150252-0-2015</v>
      </c>
      <c r="C323" s="2" t="str">
        <f>+'Base de Datos'!F323</f>
        <v xml:space="preserve">INSTITUCIONAL STAR SERVICES LTDA </v>
      </c>
      <c r="D323" s="2">
        <f>+'Base de Datos'!G323</f>
        <v>830113914</v>
      </c>
      <c r="E323" s="2" t="str">
        <f>+'Base de Datos'!H323</f>
        <v>Suministrar papelería y útiles de escritorio en la modalidad de proveeduría integral para el Concejo de Bogotá.</v>
      </c>
      <c r="F323" s="221">
        <f>+'Base de Datos'!I323</f>
        <v>69400000</v>
      </c>
      <c r="G323" s="220">
        <f>+'Base de Datos'!M323</f>
        <v>42186</v>
      </c>
      <c r="H323" s="220">
        <f>+'Base de Datos'!N323</f>
        <v>42491</v>
      </c>
      <c r="I323" s="179"/>
      <c r="J323" s="360"/>
      <c r="K323" s="237"/>
      <c r="L323" s="363"/>
      <c r="M323" s="179"/>
      <c r="N323" s="360"/>
      <c r="O323" s="179"/>
      <c r="P323" s="365"/>
      <c r="Q323" s="86">
        <f t="shared" ref="Q323:Q368" si="25">SUM(I323,K323,M323,O323)</f>
        <v>0</v>
      </c>
      <c r="R323" s="284" t="s">
        <v>379</v>
      </c>
      <c r="S323" s="360">
        <v>42583</v>
      </c>
      <c r="T323" s="179" t="s">
        <v>978</v>
      </c>
      <c r="U323" s="360">
        <v>42629</v>
      </c>
      <c r="V323" s="179"/>
      <c r="W323" s="360"/>
      <c r="X323" s="179"/>
      <c r="Y323" s="360"/>
      <c r="Z323" s="353" t="s">
        <v>2589</v>
      </c>
      <c r="AA323" s="89">
        <f t="shared" ref="AA323:AA368" si="26">MAX(S323,U323,W323,Y323)</f>
        <v>42629</v>
      </c>
      <c r="AB323" s="237">
        <v>8235064</v>
      </c>
      <c r="AC323" s="237">
        <v>55249744</v>
      </c>
      <c r="AD323" s="237">
        <v>4637552</v>
      </c>
      <c r="AE323" s="237">
        <v>1277538</v>
      </c>
      <c r="AF323" s="237"/>
      <c r="AG323" s="237"/>
      <c r="AH323" s="237"/>
      <c r="AI323" s="237"/>
      <c r="AJ323" s="237"/>
      <c r="AK323" s="237"/>
      <c r="AL323" s="237"/>
      <c r="AM323" s="237"/>
      <c r="AN323" s="237"/>
      <c r="AO323" s="237"/>
      <c r="AP323" s="237"/>
      <c r="AQ323" s="237"/>
      <c r="AR323" s="237"/>
      <c r="AS323" s="237"/>
      <c r="AT323" s="360">
        <v>42650</v>
      </c>
      <c r="AU323" s="91">
        <f t="shared" ref="AU323:AU368" si="27">SUM(AB323:AR323)</f>
        <v>69399898</v>
      </c>
    </row>
    <row r="324" spans="2:47" ht="22.5" hidden="1" x14ac:dyDescent="0.25">
      <c r="B324" s="2" t="str">
        <f>+'Base de Datos'!E324</f>
        <v>150262-0-2015</v>
      </c>
      <c r="C324" s="2" t="str">
        <f>+'Base de Datos'!F324</f>
        <v xml:space="preserve">DIRECTV COLOMBIA LTDA  </v>
      </c>
      <c r="D324" s="2" t="str">
        <f>+'Base de Datos'!G324</f>
        <v>805006014-0</v>
      </c>
      <c r="E324" s="2" t="str">
        <f>+'Base de Datos'!H324</f>
        <v>Suscripción al sistema de Televisión Satelital para ser instalado en la sede del Concejo de Bogotá D.C.</v>
      </c>
      <c r="F324" s="221">
        <f>+'Base de Datos'!I324</f>
        <v>1607400</v>
      </c>
      <c r="G324" s="220">
        <f>+'Base de Datos'!M324</f>
        <v>42202</v>
      </c>
      <c r="H324" s="220">
        <f>+'Base de Datos'!N324</f>
        <v>42567</v>
      </c>
      <c r="I324" s="179"/>
      <c r="J324" s="360"/>
      <c r="K324" s="237"/>
      <c r="L324" s="363"/>
      <c r="M324" s="179"/>
      <c r="N324" s="360"/>
      <c r="O324" s="179"/>
      <c r="P324" s="365"/>
      <c r="Q324" s="86">
        <f t="shared" si="25"/>
        <v>0</v>
      </c>
      <c r="R324" s="284"/>
      <c r="S324" s="360"/>
      <c r="T324" s="179"/>
      <c r="U324" s="360"/>
      <c r="V324" s="179"/>
      <c r="W324" s="360"/>
      <c r="X324" s="179"/>
      <c r="Y324" s="360"/>
      <c r="Z324" s="353"/>
      <c r="AA324" s="89">
        <f t="shared" si="26"/>
        <v>0</v>
      </c>
      <c r="AB324" s="237">
        <v>1586586</v>
      </c>
      <c r="AC324" s="237"/>
      <c r="AD324" s="237"/>
      <c r="AE324" s="237"/>
      <c r="AF324" s="237"/>
      <c r="AG324" s="237"/>
      <c r="AH324" s="237"/>
      <c r="AI324" s="237"/>
      <c r="AJ324" s="237"/>
      <c r="AK324" s="237"/>
      <c r="AL324" s="237"/>
      <c r="AM324" s="237"/>
      <c r="AN324" s="237"/>
      <c r="AO324" s="237"/>
      <c r="AP324" s="237"/>
      <c r="AQ324" s="237"/>
      <c r="AR324" s="237"/>
      <c r="AS324" s="237"/>
      <c r="AT324" s="360">
        <v>42237</v>
      </c>
      <c r="AU324" s="91">
        <f t="shared" si="27"/>
        <v>1586586</v>
      </c>
    </row>
    <row r="325" spans="2:47" ht="78.75" hidden="1" x14ac:dyDescent="0.25">
      <c r="B325" s="2" t="str">
        <f>+'Base de Datos'!E325</f>
        <v>150260-0-2015</v>
      </c>
      <c r="C325" s="2" t="str">
        <f>+'Base de Datos'!F325</f>
        <v>CAJA DE COMPENSACION FAMILIAR COMPENSAR</v>
      </c>
      <c r="D325" s="2" t="str">
        <f>+'Base de Datos'!G325</f>
        <v>860066942 -7</v>
      </c>
      <c r="E325" s="2" t="str">
        <f>+'Base de Datos'!H325</f>
        <v>Prestar el servicio de alquiler de escenarios como salones, auditorios y espacios abiertos, apoyo logístico y servicio de catering para el desarrollo de eventos que requieran el Concejo de Bogotá D.C., de conformidad con lo establecido en el pliego de condiciones del proceso de selección abreviada de menor cuantía No. SDH-SAMC-01-2015 y la propuesta presentada por el contratista.</v>
      </c>
      <c r="F325" s="221">
        <f>+'Base de Datos'!I325</f>
        <v>102000000</v>
      </c>
      <c r="G325" s="220">
        <f>+'Base de Datos'!M325</f>
        <v>42186</v>
      </c>
      <c r="H325" s="220">
        <f>+'Base de Datos'!N325</f>
        <v>42519</v>
      </c>
      <c r="I325" s="179">
        <v>22930204</v>
      </c>
      <c r="J325" s="360">
        <v>42489</v>
      </c>
      <c r="K325" s="237"/>
      <c r="L325" s="363"/>
      <c r="M325" s="179"/>
      <c r="N325" s="360"/>
      <c r="O325" s="179"/>
      <c r="P325" s="365"/>
      <c r="Q325" s="86">
        <f t="shared" si="25"/>
        <v>22930204</v>
      </c>
      <c r="R325" s="284" t="s">
        <v>381</v>
      </c>
      <c r="S325" s="360">
        <v>42522</v>
      </c>
      <c r="T325" s="179"/>
      <c r="U325" s="360"/>
      <c r="V325" s="179"/>
      <c r="W325" s="360"/>
      <c r="X325" s="179"/>
      <c r="Y325" s="360"/>
      <c r="Z325" s="353" t="s">
        <v>381</v>
      </c>
      <c r="AA325" s="89">
        <f t="shared" si="26"/>
        <v>42522</v>
      </c>
      <c r="AB325" s="237">
        <v>4848245</v>
      </c>
      <c r="AC325" s="237">
        <v>2761608</v>
      </c>
      <c r="AD325" s="237">
        <v>1279230</v>
      </c>
      <c r="AE325" s="237">
        <v>8062636</v>
      </c>
      <c r="AF325" s="237">
        <v>55940830</v>
      </c>
      <c r="AG325" s="237">
        <v>8132625</v>
      </c>
      <c r="AH325" s="237">
        <v>10152022</v>
      </c>
      <c r="AI325" s="237">
        <v>4330660</v>
      </c>
      <c r="AJ325" s="237">
        <v>29366331</v>
      </c>
      <c r="AK325" s="237"/>
      <c r="AL325" s="237"/>
      <c r="AM325" s="237"/>
      <c r="AN325" s="237"/>
      <c r="AO325" s="237"/>
      <c r="AP325" s="237"/>
      <c r="AQ325" s="237"/>
      <c r="AR325" s="237"/>
      <c r="AS325" s="237"/>
      <c r="AT325" s="360">
        <v>42528</v>
      </c>
      <c r="AU325" s="91">
        <f t="shared" si="27"/>
        <v>124874187</v>
      </c>
    </row>
    <row r="326" spans="2:47" ht="78.75" hidden="1" x14ac:dyDescent="0.25">
      <c r="B326" s="2" t="str">
        <f>+'Base de Datos'!E326</f>
        <v>150265-0-2015</v>
      </c>
      <c r="C326" s="2" t="str">
        <f>+'Base de Datos'!F326</f>
        <v>FLOREZ &amp; ALVAREZ S.A.</v>
      </c>
      <c r="D326" s="2">
        <f>+'Base de Datos'!G326</f>
        <v>807003866</v>
      </c>
      <c r="E326" s="2" t="str">
        <f>+'Base de Datos'!H326</f>
        <v>Prestar los servicios integrales de aseo y cafetería y el servicio integral de fumigación para las instalaciones del Concejo de Bogotá, D.C. y en los inmuebles por los que la Entidad sea legalmente responsable, de conformidad con lo establecido en el pliego de condiciones del proceso de Subasta Inversa Electrónica No. SDH-SIE-05-2015 y la propuesta presentada por el contratista.</v>
      </c>
      <c r="F326" s="221">
        <f>+'Base de Datos'!I326</f>
        <v>342000000</v>
      </c>
      <c r="G326" s="220">
        <f>+'Base de Datos'!M326</f>
        <v>42187</v>
      </c>
      <c r="H326" s="220">
        <f>+'Base de Datos'!N326</f>
        <v>42492</v>
      </c>
      <c r="I326" s="179">
        <v>72000000</v>
      </c>
      <c r="J326" s="360">
        <v>42552</v>
      </c>
      <c r="K326" s="237">
        <v>20000000</v>
      </c>
      <c r="L326" s="363">
        <v>42705</v>
      </c>
      <c r="M326" s="179"/>
      <c r="N326" s="360"/>
      <c r="O326" s="179"/>
      <c r="P326" s="365"/>
      <c r="Q326" s="86">
        <f t="shared" si="25"/>
        <v>92000000</v>
      </c>
      <c r="R326" s="284" t="s">
        <v>2444</v>
      </c>
      <c r="S326" s="360">
        <v>42552</v>
      </c>
      <c r="T326" s="179" t="s">
        <v>2519</v>
      </c>
      <c r="U326" s="360">
        <v>42675</v>
      </c>
      <c r="V326" s="179" t="s">
        <v>381</v>
      </c>
      <c r="W326" s="360">
        <v>42705</v>
      </c>
      <c r="X326" s="179" t="s">
        <v>2741</v>
      </c>
      <c r="Y326" s="360">
        <v>42728</v>
      </c>
      <c r="Z326" s="353" t="s">
        <v>2742</v>
      </c>
      <c r="AA326" s="89">
        <f t="shared" si="26"/>
        <v>42728</v>
      </c>
      <c r="AB326" s="237">
        <v>72926363</v>
      </c>
      <c r="AC326" s="237">
        <v>20283598</v>
      </c>
      <c r="AD326" s="237">
        <v>17141670</v>
      </c>
      <c r="AE326" s="237">
        <v>19004971</v>
      </c>
      <c r="AF326" s="237">
        <v>20276584</v>
      </c>
      <c r="AG326" s="237">
        <v>23811584</v>
      </c>
      <c r="AH326" s="237">
        <v>21283281</v>
      </c>
      <c r="AI326" s="237">
        <f>38081132+9870748</f>
        <v>47951880</v>
      </c>
      <c r="AJ326" s="237">
        <v>21669976</v>
      </c>
      <c r="AK326" s="237">
        <v>11340862</v>
      </c>
      <c r="AL326" s="237">
        <v>9549339</v>
      </c>
      <c r="AM326" s="237">
        <v>19625984</v>
      </c>
      <c r="AN326" s="237">
        <v>4439636</v>
      </c>
      <c r="AO326" s="237">
        <v>3946280</v>
      </c>
      <c r="AP326" s="237">
        <v>17481631</v>
      </c>
      <c r="AQ326" s="237">
        <v>4500275</v>
      </c>
      <c r="AR326" s="237">
        <v>17655917</v>
      </c>
      <c r="AS326" s="237">
        <f>7392671+14442346</f>
        <v>21835017</v>
      </c>
      <c r="AT326" s="360">
        <v>42795</v>
      </c>
      <c r="AU326" s="91">
        <f>SUM(AB326:AS326)</f>
        <v>374724848</v>
      </c>
    </row>
    <row r="327" spans="2:47" ht="67.5" hidden="1" x14ac:dyDescent="0.25">
      <c r="B327" s="2" t="str">
        <f>+'Base de Datos'!E327</f>
        <v>150271-0-2015</v>
      </c>
      <c r="C327" s="2" t="str">
        <f>+'Base de Datos'!F327</f>
        <v>INSTITUTO DISTRITAL DEL PATRIMONIO CULTURAL - IDPC</v>
      </c>
      <c r="D327" s="2" t="str">
        <f>+'Base de Datos'!G327</f>
        <v>860506170-7</v>
      </c>
      <c r="E327" s="2" t="str">
        <f>+'Base de Datos'!H327</f>
        <v>Aunar esfuerzos, recursos técnicos, humanos y financieros para la intervención y realización de las actividades asociadas a la restauración - conservación de los bienes muebles de carácter patrimonial del Honorable Concejo de Bogotá D.C., correspondientes en el grupo Fase III.</v>
      </c>
      <c r="F327" s="221">
        <f>+'Base de Datos'!I327</f>
        <v>180000000</v>
      </c>
      <c r="G327" s="220">
        <f>+'Base de Datos'!M327</f>
        <v>42219</v>
      </c>
      <c r="H327" s="220">
        <f>+'Base de Datos'!N327</f>
        <v>42492</v>
      </c>
      <c r="I327" s="179"/>
      <c r="J327" s="360"/>
      <c r="K327" s="237"/>
      <c r="L327" s="363"/>
      <c r="M327" s="179"/>
      <c r="N327" s="360"/>
      <c r="O327" s="179"/>
      <c r="P327" s="365"/>
      <c r="Q327" s="86">
        <f t="shared" si="25"/>
        <v>0</v>
      </c>
      <c r="R327" s="284" t="s">
        <v>1855</v>
      </c>
      <c r="S327" s="360">
        <v>42737</v>
      </c>
      <c r="T327" s="179" t="s">
        <v>1378</v>
      </c>
      <c r="U327" s="360">
        <v>42949</v>
      </c>
      <c r="V327" s="179"/>
      <c r="W327" s="360"/>
      <c r="X327" s="179"/>
      <c r="Y327" s="360"/>
      <c r="Z327" s="353" t="s">
        <v>1321</v>
      </c>
      <c r="AA327" s="89">
        <f t="shared" si="26"/>
        <v>42949</v>
      </c>
      <c r="AB327" s="237">
        <v>180000000</v>
      </c>
      <c r="AC327" s="237"/>
      <c r="AD327" s="237"/>
      <c r="AE327" s="237"/>
      <c r="AF327" s="237"/>
      <c r="AG327" s="237"/>
      <c r="AH327" s="237"/>
      <c r="AI327" s="237"/>
      <c r="AJ327" s="237"/>
      <c r="AK327" s="237"/>
      <c r="AL327" s="237"/>
      <c r="AM327" s="237"/>
      <c r="AN327" s="237"/>
      <c r="AO327" s="237"/>
      <c r="AP327" s="237"/>
      <c r="AQ327" s="237"/>
      <c r="AR327" s="237"/>
      <c r="AS327" s="237"/>
      <c r="AT327" s="360">
        <v>42299</v>
      </c>
      <c r="AU327" s="91">
        <f t="shared" si="27"/>
        <v>180000000</v>
      </c>
    </row>
    <row r="328" spans="2:47" ht="56.25" hidden="1" x14ac:dyDescent="0.25">
      <c r="B328" s="2" t="str">
        <f>+'Base de Datos'!E328</f>
        <v>150249-0-2015</v>
      </c>
      <c r="C328" s="2" t="str">
        <f>+'Base de Datos'!F328</f>
        <v>BRANCH OF MICROSOFT COLOMBIA INC</v>
      </c>
      <c r="D328" s="2">
        <f>+'Base de Datos'!G328</f>
        <v>800198591</v>
      </c>
      <c r="E328" s="2" t="str">
        <f>+'Base de Datos'!H328</f>
        <v>Prestar los servicios de administración y soporte técnico para la plataforma Microsoft del Concejo de Bogotá, de conformidad con lo establecido en los documentos y estudios previos y la propuesta presentada por el contratista.</v>
      </c>
      <c r="F328" s="221">
        <f>+'Base de Datos'!I328</f>
        <v>213397762</v>
      </c>
      <c r="G328" s="220">
        <f>+'Base de Datos'!M328</f>
        <v>42181</v>
      </c>
      <c r="H328" s="220">
        <f>+'Base de Datos'!N328</f>
        <v>42537</v>
      </c>
      <c r="I328" s="179"/>
      <c r="J328" s="360"/>
      <c r="K328" s="237"/>
      <c r="L328" s="363"/>
      <c r="M328" s="179"/>
      <c r="N328" s="360"/>
      <c r="O328" s="179"/>
      <c r="P328" s="365"/>
      <c r="Q328" s="86">
        <f t="shared" si="25"/>
        <v>0</v>
      </c>
      <c r="R328" s="284"/>
      <c r="S328" s="360"/>
      <c r="T328" s="179"/>
      <c r="U328" s="360"/>
      <c r="V328" s="179"/>
      <c r="W328" s="360"/>
      <c r="X328" s="179"/>
      <c r="Y328" s="360"/>
      <c r="Z328" s="353"/>
      <c r="AA328" s="89">
        <f t="shared" si="26"/>
        <v>0</v>
      </c>
      <c r="AB328" s="237">
        <v>35566293</v>
      </c>
      <c r="AC328" s="237">
        <v>35566293</v>
      </c>
      <c r="AD328" s="237">
        <v>35566293</v>
      </c>
      <c r="AE328" s="237">
        <v>35566293</v>
      </c>
      <c r="AF328" s="237">
        <v>35566293</v>
      </c>
      <c r="AG328" s="237">
        <v>35566293</v>
      </c>
      <c r="AH328" s="237"/>
      <c r="AI328" s="237"/>
      <c r="AJ328" s="237"/>
      <c r="AK328" s="237"/>
      <c r="AL328" s="237"/>
      <c r="AM328" s="237"/>
      <c r="AN328" s="237"/>
      <c r="AO328" s="237"/>
      <c r="AP328" s="237"/>
      <c r="AQ328" s="237"/>
      <c r="AR328" s="237"/>
      <c r="AS328" s="237"/>
      <c r="AT328" s="360">
        <v>42558</v>
      </c>
      <c r="AU328" s="91">
        <f t="shared" si="27"/>
        <v>213397758</v>
      </c>
    </row>
    <row r="329" spans="2:47" ht="45" hidden="1" x14ac:dyDescent="0.25">
      <c r="B329" s="2" t="str">
        <f>+'Base de Datos'!E329</f>
        <v>150274-0-2015</v>
      </c>
      <c r="C329" s="2" t="str">
        <f>+'Base de Datos'!F329</f>
        <v>MANUEL FERNANDO MALDONADO FONSECA</v>
      </c>
      <c r="D329" s="2">
        <f>+'Base de Datos'!G329</f>
        <v>80854911</v>
      </c>
      <c r="E329" s="2" t="str">
        <f>+'Base de Datos'!H329</f>
        <v>Prestar servicios para apoyar actividades del proceso de relatorìa del Concejo de Bogotà D.C., para la transcripción y elaboración de Actas de sesiones de las diferentes Comisiones y de Sesiones de Plenaria.</v>
      </c>
      <c r="F329" s="221">
        <f>+'Base de Datos'!I329</f>
        <v>10800000</v>
      </c>
      <c r="G329" s="220">
        <f>+'Base de Datos'!M329</f>
        <v>42186</v>
      </c>
      <c r="H329" s="220">
        <f>+'Base de Datos'!N329</f>
        <v>42370</v>
      </c>
      <c r="I329" s="179"/>
      <c r="J329" s="360"/>
      <c r="K329" s="237"/>
      <c r="L329" s="363"/>
      <c r="M329" s="179"/>
      <c r="N329" s="360"/>
      <c r="O329" s="179"/>
      <c r="P329" s="365"/>
      <c r="Q329" s="86">
        <f t="shared" si="25"/>
        <v>0</v>
      </c>
      <c r="R329" s="284"/>
      <c r="S329" s="360"/>
      <c r="T329" s="179"/>
      <c r="U329" s="360"/>
      <c r="V329" s="179"/>
      <c r="W329" s="360"/>
      <c r="X329" s="179"/>
      <c r="Y329" s="360"/>
      <c r="Z329" s="353"/>
      <c r="AA329" s="89">
        <f t="shared" si="26"/>
        <v>0</v>
      </c>
      <c r="AB329" s="237">
        <v>1800000</v>
      </c>
      <c r="AC329" s="237">
        <v>3600000</v>
      </c>
      <c r="AD329" s="237">
        <v>1800000</v>
      </c>
      <c r="AE329" s="237">
        <v>3600000</v>
      </c>
      <c r="AF329" s="237"/>
      <c r="AG329" s="237"/>
      <c r="AH329" s="237"/>
      <c r="AI329" s="237"/>
      <c r="AJ329" s="237"/>
      <c r="AK329" s="237"/>
      <c r="AL329" s="237"/>
      <c r="AM329" s="237"/>
      <c r="AN329" s="237"/>
      <c r="AO329" s="237"/>
      <c r="AP329" s="237"/>
      <c r="AQ329" s="237"/>
      <c r="AR329" s="237"/>
      <c r="AS329" s="237"/>
      <c r="AT329" s="360">
        <v>42598</v>
      </c>
      <c r="AU329" s="91">
        <f t="shared" si="27"/>
        <v>10800000</v>
      </c>
    </row>
    <row r="330" spans="2:47" ht="33.75" hidden="1" x14ac:dyDescent="0.25">
      <c r="B330" s="2" t="str">
        <f>+'Base de Datos'!E330</f>
        <v>150276-0-2015</v>
      </c>
      <c r="C330" s="2" t="str">
        <f>+'Base de Datos'!F330</f>
        <v>JAVIER IGNACIO JATIVA GARCIA</v>
      </c>
      <c r="D330" s="2">
        <f>+'Base de Datos'!G330</f>
        <v>79246871</v>
      </c>
      <c r="E330" s="2" t="str">
        <f>+'Base de Datos'!H330</f>
        <v>Prestar servicios profesionales para apoyar a la Dirección Jurídica del Concejo de Bogotá, con especial énfasis en análisis y respuestas a derechos de petición y PQRS</v>
      </c>
      <c r="F330" s="221">
        <f>+'Base de Datos'!I330</f>
        <v>21600000</v>
      </c>
      <c r="G330" s="220">
        <f>+'Base de Datos'!M330</f>
        <v>42186</v>
      </c>
      <c r="H330" s="220">
        <f>+'Base de Datos'!N330</f>
        <v>42370</v>
      </c>
      <c r="I330" s="839">
        <v>10800000</v>
      </c>
      <c r="J330" s="360">
        <v>42368</v>
      </c>
      <c r="K330" s="237"/>
      <c r="L330" s="363"/>
      <c r="M330" s="179"/>
      <c r="N330" s="360"/>
      <c r="O330" s="179"/>
      <c r="P330" s="365"/>
      <c r="Q330" s="86">
        <f t="shared" si="25"/>
        <v>10800000</v>
      </c>
      <c r="R330" s="284" t="s">
        <v>379</v>
      </c>
      <c r="S330" s="360">
        <v>42461</v>
      </c>
      <c r="T330" s="179"/>
      <c r="U330" s="360"/>
      <c r="V330" s="179"/>
      <c r="W330" s="360"/>
      <c r="X330" s="179"/>
      <c r="Y330" s="360"/>
      <c r="Z330" s="353"/>
      <c r="AA330" s="89">
        <f t="shared" si="26"/>
        <v>42461</v>
      </c>
      <c r="AB330" s="237">
        <v>3600000</v>
      </c>
      <c r="AC330" s="237">
        <v>3600000</v>
      </c>
      <c r="AD330" s="237">
        <v>3600000</v>
      </c>
      <c r="AE330" s="237">
        <v>3600000</v>
      </c>
      <c r="AF330" s="237">
        <v>3600000</v>
      </c>
      <c r="AG330" s="237">
        <v>3600000</v>
      </c>
      <c r="AH330" s="237"/>
      <c r="AI330" s="237">
        <v>3600000</v>
      </c>
      <c r="AJ330" s="237">
        <v>3600000</v>
      </c>
      <c r="AK330" s="237">
        <v>3600000</v>
      </c>
      <c r="AL330" s="237"/>
      <c r="AM330" s="237"/>
      <c r="AN330" s="237"/>
      <c r="AO330" s="237"/>
      <c r="AP330" s="237"/>
      <c r="AQ330" s="237"/>
      <c r="AR330" s="237"/>
      <c r="AS330" s="237"/>
      <c r="AT330" s="360">
        <v>42471</v>
      </c>
      <c r="AU330" s="91">
        <f t="shared" si="27"/>
        <v>32400000</v>
      </c>
    </row>
    <row r="331" spans="2:47" ht="45" hidden="1" x14ac:dyDescent="0.25">
      <c r="B331" s="2" t="str">
        <f>+'Base de Datos'!E331</f>
        <v>150277-0-2015</v>
      </c>
      <c r="C331" s="2" t="str">
        <f>+'Base de Datos'!F331</f>
        <v>FAIBER GABINO CORREA AMEZQUITA</v>
      </c>
      <c r="D331" s="2">
        <f>+'Base de Datos'!G331</f>
        <v>80170782</v>
      </c>
      <c r="E331" s="2" t="str">
        <f>+'Base de Datos'!H331</f>
        <v>Prestar servicios para apoyar actividades del proceso de relatorìa del Concejo de Bogotà D.C., para la transcripción y elaboración de Actas de sesiones de las diferentes Comisiones y de Sesiones de Plenaria.</v>
      </c>
      <c r="F331" s="221">
        <f>+'Base de Datos'!I331</f>
        <v>10800000</v>
      </c>
      <c r="G331" s="220">
        <f>+'Base de Datos'!M331</f>
        <v>42186</v>
      </c>
      <c r="H331" s="220">
        <f>+'Base de Datos'!N331</f>
        <v>42370</v>
      </c>
      <c r="I331" s="179"/>
      <c r="J331" s="360"/>
      <c r="K331" s="237"/>
      <c r="L331" s="363"/>
      <c r="M331" s="179"/>
      <c r="N331" s="360"/>
      <c r="O331" s="179"/>
      <c r="P331" s="365"/>
      <c r="Q331" s="86">
        <f t="shared" si="25"/>
        <v>0</v>
      </c>
      <c r="R331" s="284"/>
      <c r="S331" s="360"/>
      <c r="T331" s="179"/>
      <c r="U331" s="360"/>
      <c r="V331" s="179"/>
      <c r="W331" s="360"/>
      <c r="X331" s="179"/>
      <c r="Y331" s="360"/>
      <c r="Z331" s="353"/>
      <c r="AA331" s="89">
        <f t="shared" si="26"/>
        <v>0</v>
      </c>
      <c r="AB331" s="237">
        <v>1800000</v>
      </c>
      <c r="AC331" s="237">
        <v>1800000</v>
      </c>
      <c r="AD331" s="237">
        <v>1800000</v>
      </c>
      <c r="AE331" s="237">
        <v>3600000</v>
      </c>
      <c r="AF331" s="237"/>
      <c r="AG331" s="237"/>
      <c r="AH331" s="237"/>
      <c r="AI331" s="237"/>
      <c r="AJ331" s="237"/>
      <c r="AK331" s="237"/>
      <c r="AL331" s="237"/>
      <c r="AM331" s="237"/>
      <c r="AN331" s="237"/>
      <c r="AO331" s="237"/>
      <c r="AP331" s="237"/>
      <c r="AQ331" s="237"/>
      <c r="AR331" s="237"/>
      <c r="AS331" s="237"/>
      <c r="AT331" s="360">
        <v>42390</v>
      </c>
      <c r="AU331" s="91">
        <f t="shared" si="27"/>
        <v>9000000</v>
      </c>
    </row>
    <row r="332" spans="2:47" ht="45" hidden="1" x14ac:dyDescent="0.25">
      <c r="B332" s="2" t="str">
        <f>+'Base de Datos'!E332</f>
        <v>150278-0-2015</v>
      </c>
      <c r="C332" s="2" t="str">
        <f>+'Base de Datos'!F332</f>
        <v>YURI VIVIANA REYES BENITEZ</v>
      </c>
      <c r="D332" s="2">
        <f>+'Base de Datos'!G332</f>
        <v>1032369925</v>
      </c>
      <c r="E332" s="2" t="str">
        <f>+'Base de Datos'!H332</f>
        <v>Prestar servicios de apoyo para sistematizar y consolidar la información relacionada con las incapacidades de los funcionarios en el marco del proceso de Seguridad Social del Concejo de Bogotá, D.C.</v>
      </c>
      <c r="F332" s="221">
        <f>+'Base de Datos'!I332</f>
        <v>10800000</v>
      </c>
      <c r="G332" s="220">
        <f>+'Base de Datos'!M332</f>
        <v>42186</v>
      </c>
      <c r="H332" s="220">
        <f>+'Base de Datos'!N332</f>
        <v>42370</v>
      </c>
      <c r="I332" s="179"/>
      <c r="J332" s="360"/>
      <c r="K332" s="237"/>
      <c r="L332" s="363"/>
      <c r="M332" s="179"/>
      <c r="N332" s="360"/>
      <c r="O332" s="179"/>
      <c r="P332" s="365"/>
      <c r="Q332" s="86">
        <f t="shared" si="25"/>
        <v>0</v>
      </c>
      <c r="R332" s="284"/>
      <c r="S332" s="360"/>
      <c r="T332" s="179"/>
      <c r="U332" s="360"/>
      <c r="V332" s="179"/>
      <c r="W332" s="360"/>
      <c r="X332" s="179"/>
      <c r="Y332" s="360"/>
      <c r="Z332" s="353"/>
      <c r="AA332" s="89">
        <f t="shared" si="26"/>
        <v>0</v>
      </c>
      <c r="AB332" s="237">
        <v>1800000</v>
      </c>
      <c r="AC332" s="237">
        <v>1800000</v>
      </c>
      <c r="AD332" s="237">
        <v>1800000</v>
      </c>
      <c r="AE332" s="237">
        <v>1800000</v>
      </c>
      <c r="AF332" s="237">
        <v>1800000</v>
      </c>
      <c r="AG332" s="237">
        <v>1800000</v>
      </c>
      <c r="AH332" s="237"/>
      <c r="AI332" s="237"/>
      <c r="AJ332" s="237"/>
      <c r="AK332" s="237"/>
      <c r="AL332" s="237"/>
      <c r="AM332" s="237"/>
      <c r="AN332" s="237"/>
      <c r="AO332" s="237"/>
      <c r="AP332" s="237"/>
      <c r="AQ332" s="237"/>
      <c r="AR332" s="237"/>
      <c r="AS332" s="237"/>
      <c r="AT332" s="360">
        <v>42390</v>
      </c>
      <c r="AU332" s="91">
        <f t="shared" si="27"/>
        <v>10800000</v>
      </c>
    </row>
    <row r="333" spans="2:47" ht="45" hidden="1" x14ac:dyDescent="0.25">
      <c r="B333" s="2" t="str">
        <f>+'Base de Datos'!E333</f>
        <v>150279-0-2015</v>
      </c>
      <c r="C333" s="2" t="str">
        <f>+'Base de Datos'!F333</f>
        <v>WILLIAM EDUARDO QUINTERO LETRADO</v>
      </c>
      <c r="D333" s="2">
        <f>+'Base de Datos'!G333</f>
        <v>1019064265</v>
      </c>
      <c r="E333" s="2" t="str">
        <f>+'Base de Datos'!H333</f>
        <v>Prestar servicios para apoyar actividades del proceso de relatorìa del Concejo de Bogotà D.C., para la transcripción y elaboración de Actas de sesiones de las diferentes Comisiones y de Sesiones de Plenaria.</v>
      </c>
      <c r="F333" s="221">
        <f>+'Base de Datos'!I333</f>
        <v>10800000</v>
      </c>
      <c r="G333" s="220">
        <f>+'Base de Datos'!M333</f>
        <v>42186</v>
      </c>
      <c r="H333" s="220">
        <f>+'Base de Datos'!N333</f>
        <v>42370</v>
      </c>
      <c r="I333" s="179"/>
      <c r="J333" s="360"/>
      <c r="K333" s="237"/>
      <c r="L333" s="363"/>
      <c r="M333" s="179"/>
      <c r="N333" s="360"/>
      <c r="O333" s="179"/>
      <c r="P333" s="365"/>
      <c r="Q333" s="86">
        <f t="shared" si="25"/>
        <v>0</v>
      </c>
      <c r="R333" s="284"/>
      <c r="S333" s="360"/>
      <c r="T333" s="179"/>
      <c r="U333" s="360"/>
      <c r="V333" s="179"/>
      <c r="W333" s="360"/>
      <c r="X333" s="179"/>
      <c r="Y333" s="360"/>
      <c r="Z333" s="353"/>
      <c r="AA333" s="89">
        <f t="shared" si="26"/>
        <v>0</v>
      </c>
      <c r="AB333" s="237">
        <v>1800000</v>
      </c>
      <c r="AC333" s="237">
        <v>1800000</v>
      </c>
      <c r="AD333" s="237">
        <v>1800000</v>
      </c>
      <c r="AE333" s="237">
        <v>1800000</v>
      </c>
      <c r="AF333" s="237">
        <v>1800000</v>
      </c>
      <c r="AG333" s="237">
        <v>1800000</v>
      </c>
      <c r="AH333" s="237"/>
      <c r="AI333" s="237"/>
      <c r="AJ333" s="237"/>
      <c r="AK333" s="237"/>
      <c r="AL333" s="237"/>
      <c r="AM333" s="237"/>
      <c r="AN333" s="237"/>
      <c r="AO333" s="237"/>
      <c r="AP333" s="237"/>
      <c r="AQ333" s="237"/>
      <c r="AR333" s="237"/>
      <c r="AS333" s="237"/>
      <c r="AT333" s="360">
        <v>42422</v>
      </c>
      <c r="AU333" s="91">
        <f t="shared" si="27"/>
        <v>10800000</v>
      </c>
    </row>
    <row r="334" spans="2:47" ht="45" hidden="1" x14ac:dyDescent="0.25">
      <c r="B334" s="2" t="str">
        <f>+'Base de Datos'!E334</f>
        <v>150280-0-2015</v>
      </c>
      <c r="C334" s="2" t="str">
        <f>+'Base de Datos'!F334</f>
        <v>PATRICIA DEL ROCIO PEÑA GARCIA</v>
      </c>
      <c r="D334" s="2">
        <f>+'Base de Datos'!G334</f>
        <v>36547458</v>
      </c>
      <c r="E334" s="2" t="str">
        <f>+'Base de Datos'!H334</f>
        <v>Prestar servicios para apoyar actividades del proceso de relatoría del Concejo de Bogotá D.C., para la transcripción y elaboración de Actas de sesiones de las diferentes Comisiones y de Sesiones de Plenaria.</v>
      </c>
      <c r="F334" s="221">
        <f>+'Base de Datos'!I334</f>
        <v>10800000</v>
      </c>
      <c r="G334" s="220">
        <f>+'Base de Datos'!M334</f>
        <v>42186</v>
      </c>
      <c r="H334" s="220">
        <f>+'Base de Datos'!N334</f>
        <v>42370</v>
      </c>
      <c r="I334" s="179"/>
      <c r="J334" s="360"/>
      <c r="K334" s="237"/>
      <c r="L334" s="363"/>
      <c r="M334" s="179"/>
      <c r="N334" s="360"/>
      <c r="O334" s="179"/>
      <c r="P334" s="365"/>
      <c r="Q334" s="86">
        <f t="shared" si="25"/>
        <v>0</v>
      </c>
      <c r="R334" s="284"/>
      <c r="S334" s="360"/>
      <c r="T334" s="179"/>
      <c r="U334" s="360"/>
      <c r="V334" s="179"/>
      <c r="W334" s="360"/>
      <c r="X334" s="179"/>
      <c r="Y334" s="360"/>
      <c r="Z334" s="353"/>
      <c r="AA334" s="89">
        <f t="shared" si="26"/>
        <v>0</v>
      </c>
      <c r="AB334" s="237">
        <v>1800000</v>
      </c>
      <c r="AC334" s="237">
        <v>1800000</v>
      </c>
      <c r="AD334" s="237">
        <v>1800000</v>
      </c>
      <c r="AE334" s="237">
        <v>1800000</v>
      </c>
      <c r="AF334" s="237">
        <v>1800000</v>
      </c>
      <c r="AG334" s="237">
        <v>1800000</v>
      </c>
      <c r="AH334" s="237"/>
      <c r="AI334" s="237"/>
      <c r="AJ334" s="237"/>
      <c r="AK334" s="237"/>
      <c r="AL334" s="237"/>
      <c r="AM334" s="237"/>
      <c r="AN334" s="237"/>
      <c r="AO334" s="237"/>
      <c r="AP334" s="237"/>
      <c r="AQ334" s="237"/>
      <c r="AR334" s="237"/>
      <c r="AS334" s="237"/>
      <c r="AT334" s="360">
        <v>42422</v>
      </c>
      <c r="AU334" s="91">
        <f t="shared" si="27"/>
        <v>10800000</v>
      </c>
    </row>
    <row r="335" spans="2:47" ht="45" hidden="1" x14ac:dyDescent="0.25">
      <c r="B335" s="2" t="str">
        <f>+'Base de Datos'!E335</f>
        <v>150286-0-2015</v>
      </c>
      <c r="C335" s="2" t="str">
        <f>+'Base de Datos'!F335</f>
        <v>CLAUDIA ELVIRA RODRIGUEZ POVEDA</v>
      </c>
      <c r="D335" s="2">
        <f>+'Base de Datos'!G335</f>
        <v>35493364</v>
      </c>
      <c r="E335" s="2" t="str">
        <f>+'Base de Datos'!H335</f>
        <v>Prestar servicios profesionales para la identificación y análisis de información y elementos que permitan a la Dirección Administrativa del Concejo de Bogotá, la implementación del Plan Estratégico de Seguridad Vial.</v>
      </c>
      <c r="F335" s="221">
        <f>+'Base de Datos'!I335</f>
        <v>31800000</v>
      </c>
      <c r="G335" s="220">
        <f>+'Base de Datos'!M335</f>
        <v>42186</v>
      </c>
      <c r="H335" s="220">
        <f>+'Base de Datos'!N335</f>
        <v>42370</v>
      </c>
      <c r="I335" s="836">
        <v>15900000</v>
      </c>
      <c r="J335" s="360">
        <v>42368</v>
      </c>
      <c r="K335" s="237"/>
      <c r="L335" s="363"/>
      <c r="M335" s="179"/>
      <c r="N335" s="360"/>
      <c r="O335" s="179"/>
      <c r="P335" s="365"/>
      <c r="Q335" s="86">
        <f t="shared" si="25"/>
        <v>15900000</v>
      </c>
      <c r="R335" s="284" t="s">
        <v>379</v>
      </c>
      <c r="S335" s="360">
        <v>42461</v>
      </c>
      <c r="T335" s="179"/>
      <c r="U335" s="360"/>
      <c r="V335" s="179"/>
      <c r="W335" s="360"/>
      <c r="X335" s="179"/>
      <c r="Y335" s="360"/>
      <c r="Z335" s="353"/>
      <c r="AA335" s="89">
        <f t="shared" si="26"/>
        <v>42461</v>
      </c>
      <c r="AB335" s="237">
        <v>5300000</v>
      </c>
      <c r="AC335" s="237">
        <v>5300000</v>
      </c>
      <c r="AD335" s="237">
        <v>5300000</v>
      </c>
      <c r="AE335" s="237">
        <v>5300000</v>
      </c>
      <c r="AF335" s="237">
        <v>5300000</v>
      </c>
      <c r="AG335" s="237">
        <v>5300000</v>
      </c>
      <c r="AH335" s="237">
        <v>5300000</v>
      </c>
      <c r="AI335" s="237">
        <v>5300000</v>
      </c>
      <c r="AJ335" s="237">
        <v>5300000</v>
      </c>
      <c r="AK335" s="237"/>
      <c r="AL335" s="237"/>
      <c r="AM335" s="237"/>
      <c r="AN335" s="237"/>
      <c r="AO335" s="237"/>
      <c r="AP335" s="237"/>
      <c r="AQ335" s="237"/>
      <c r="AR335" s="237"/>
      <c r="AS335" s="237"/>
      <c r="AT335" s="360">
        <v>42487</v>
      </c>
      <c r="AU335" s="91">
        <f t="shared" si="27"/>
        <v>47700000</v>
      </c>
    </row>
    <row r="336" spans="2:47" ht="45" hidden="1" x14ac:dyDescent="0.25">
      <c r="B336" s="2" t="str">
        <f>+'Base de Datos'!E336</f>
        <v>150275-0-2015</v>
      </c>
      <c r="C336" s="2" t="str">
        <f>+'Base de Datos'!F336</f>
        <v>ROSA YASMID CASTRO CASTELBLANCO</v>
      </c>
      <c r="D336" s="2">
        <f>+'Base de Datos'!G336</f>
        <v>52289212</v>
      </c>
      <c r="E336" s="2" t="str">
        <f>+'Base de Datos'!H336</f>
        <v>Prestar servicios para apoyar actividades del proceso de relatoría del Concejo de Bogotá D.C., para la transcripción y elaboración de Actas de sesiones de las diferentes Comisiones y de Sesiones de Plenaria.</v>
      </c>
      <c r="F336" s="221">
        <f>+'Base de Datos'!I336</f>
        <v>10800000</v>
      </c>
      <c r="G336" s="220">
        <f>+'Base de Datos'!M336</f>
        <v>42186</v>
      </c>
      <c r="H336" s="220">
        <f>+'Base de Datos'!N336</f>
        <v>42370</v>
      </c>
      <c r="I336" s="179"/>
      <c r="J336" s="360"/>
      <c r="K336" s="237"/>
      <c r="L336" s="363"/>
      <c r="M336" s="179"/>
      <c r="N336" s="360"/>
      <c r="O336" s="179"/>
      <c r="P336" s="365"/>
      <c r="Q336" s="86">
        <f t="shared" si="25"/>
        <v>0</v>
      </c>
      <c r="R336" s="284"/>
      <c r="S336" s="360"/>
      <c r="T336" s="179"/>
      <c r="U336" s="360"/>
      <c r="V336" s="179"/>
      <c r="W336" s="360"/>
      <c r="X336" s="179"/>
      <c r="Y336" s="360"/>
      <c r="Z336" s="353"/>
      <c r="AA336" s="89">
        <f t="shared" si="26"/>
        <v>0</v>
      </c>
      <c r="AB336" s="237">
        <v>1800000</v>
      </c>
      <c r="AC336" s="237">
        <v>1800000</v>
      </c>
      <c r="AD336" s="237">
        <v>1800000</v>
      </c>
      <c r="AE336" s="237">
        <v>3600000</v>
      </c>
      <c r="AF336" s="237">
        <v>1800000</v>
      </c>
      <c r="AG336" s="237"/>
      <c r="AH336" s="237"/>
      <c r="AI336" s="237"/>
      <c r="AJ336" s="237"/>
      <c r="AK336" s="237"/>
      <c r="AL336" s="237"/>
      <c r="AM336" s="237"/>
      <c r="AN336" s="237"/>
      <c r="AO336" s="237"/>
      <c r="AP336" s="237"/>
      <c r="AQ336" s="237"/>
      <c r="AR336" s="237"/>
      <c r="AS336" s="237"/>
      <c r="AT336" s="360">
        <v>42360</v>
      </c>
      <c r="AU336" s="91">
        <f t="shared" si="27"/>
        <v>10800000</v>
      </c>
    </row>
    <row r="337" spans="2:47" ht="45" hidden="1" x14ac:dyDescent="0.25">
      <c r="B337" s="2" t="str">
        <f>+'Base de Datos'!E337</f>
        <v>150281-0-2015</v>
      </c>
      <c r="C337" s="2" t="str">
        <f>+'Base de Datos'!F337</f>
        <v>HUGO FERNANDO LONDOÑO ULLOA</v>
      </c>
      <c r="D337" s="2">
        <f>+'Base de Datos'!G337</f>
        <v>19465430</v>
      </c>
      <c r="E337" s="2" t="str">
        <f>+'Base de Datos'!H337</f>
        <v>Prestar los servicios profesionales al Concejo de Bogotá D.C. para apoyar el área de nómina, especialmente en áreas relacionadas con la seguridad social, conforme a lo establecido en los estudios previos</v>
      </c>
      <c r="F337" s="221">
        <f>+'Base de Datos'!I337</f>
        <v>31800000</v>
      </c>
      <c r="G337" s="220">
        <f>+'Base de Datos'!M337</f>
        <v>42186</v>
      </c>
      <c r="H337" s="220">
        <f>+'Base de Datos'!N337</f>
        <v>42370</v>
      </c>
      <c r="I337" s="179"/>
      <c r="J337" s="360"/>
      <c r="K337" s="237"/>
      <c r="L337" s="363"/>
      <c r="M337" s="179"/>
      <c r="N337" s="360"/>
      <c r="O337" s="179"/>
      <c r="P337" s="365"/>
      <c r="Q337" s="86">
        <f t="shared" si="25"/>
        <v>0</v>
      </c>
      <c r="R337" s="284"/>
      <c r="S337" s="360"/>
      <c r="T337" s="179"/>
      <c r="U337" s="360"/>
      <c r="V337" s="179"/>
      <c r="W337" s="360"/>
      <c r="X337" s="179"/>
      <c r="Y337" s="360"/>
      <c r="Z337" s="353"/>
      <c r="AA337" s="89">
        <f t="shared" si="26"/>
        <v>0</v>
      </c>
      <c r="AB337" s="237">
        <v>5300000</v>
      </c>
      <c r="AC337" s="237">
        <v>5300000</v>
      </c>
      <c r="AD337" s="237">
        <v>5300000</v>
      </c>
      <c r="AE337" s="237">
        <v>5300000</v>
      </c>
      <c r="AF337" s="237">
        <v>5300000</v>
      </c>
      <c r="AG337" s="237">
        <v>5300000</v>
      </c>
      <c r="AH337" s="237"/>
      <c r="AI337" s="237"/>
      <c r="AJ337" s="237"/>
      <c r="AK337" s="237"/>
      <c r="AL337" s="237"/>
      <c r="AM337" s="237"/>
      <c r="AN337" s="237"/>
      <c r="AO337" s="237"/>
      <c r="AP337" s="237"/>
      <c r="AQ337" s="237"/>
      <c r="AR337" s="237"/>
      <c r="AS337" s="237"/>
      <c r="AT337" s="360">
        <v>42585</v>
      </c>
      <c r="AU337" s="91">
        <f t="shared" si="27"/>
        <v>31800000</v>
      </c>
    </row>
    <row r="338" spans="2:47" ht="67.5" hidden="1" x14ac:dyDescent="0.25">
      <c r="B338" s="2" t="str">
        <f>+'Base de Datos'!E338</f>
        <v>150300-0-2015</v>
      </c>
      <c r="C338" s="2" t="str">
        <f>+'Base de Datos'!F338</f>
        <v>GERIZIM CENTRO MEDICO ESPECIALIZADO EN SALUD OCUPACIONAL EU</v>
      </c>
      <c r="D338" s="2">
        <f>+'Base de Datos'!G338</f>
        <v>900409217</v>
      </c>
      <c r="E338" s="2" t="str">
        <f>+'Base de Datos'!H338</f>
        <v>Prestar el servicio de exámenes médicos ocupacionales y complementarios y aplicación de vacunas para los funcionarios del Concejo de Bogotá, D.C., de conformidad con el pliego de condiciones del proceso de selección abreviada de menor cuantía SDH-SAMC-02-2015, los documentos soportes y la propuesta presentada.</v>
      </c>
      <c r="F338" s="221">
        <f>+'Base de Datos'!I338</f>
        <v>52390000</v>
      </c>
      <c r="G338" s="220">
        <f>+'Base de Datos'!M338</f>
        <v>42200</v>
      </c>
      <c r="H338" s="220">
        <f>+'Base de Datos'!N338</f>
        <v>42475</v>
      </c>
      <c r="I338" s="179"/>
      <c r="J338" s="360"/>
      <c r="K338" s="237"/>
      <c r="L338" s="363"/>
      <c r="M338" s="179"/>
      <c r="N338" s="360"/>
      <c r="O338" s="179"/>
      <c r="P338" s="365"/>
      <c r="Q338" s="86">
        <f t="shared" si="25"/>
        <v>0</v>
      </c>
      <c r="R338" s="284"/>
      <c r="S338" s="360"/>
      <c r="T338" s="179"/>
      <c r="U338" s="360"/>
      <c r="V338" s="179"/>
      <c r="W338" s="360"/>
      <c r="X338" s="179"/>
      <c r="Y338" s="360"/>
      <c r="Z338" s="353"/>
      <c r="AA338" s="89">
        <f t="shared" si="26"/>
        <v>0</v>
      </c>
      <c r="AB338" s="237">
        <v>7660000</v>
      </c>
      <c r="AC338" s="237"/>
      <c r="AD338" s="237">
        <v>6774000</v>
      </c>
      <c r="AE338" s="237">
        <v>34732000</v>
      </c>
      <c r="AF338" s="237"/>
      <c r="AG338" s="237"/>
      <c r="AH338" s="237"/>
      <c r="AI338" s="237"/>
      <c r="AJ338" s="237"/>
      <c r="AK338" s="237"/>
      <c r="AL338" s="237"/>
      <c r="AM338" s="237"/>
      <c r="AN338" s="237"/>
      <c r="AO338" s="237"/>
      <c r="AP338" s="237"/>
      <c r="AQ338" s="237"/>
      <c r="AR338" s="237"/>
      <c r="AS338" s="237"/>
      <c r="AT338" s="360">
        <v>42528</v>
      </c>
      <c r="AU338" s="91">
        <f t="shared" si="27"/>
        <v>49166000</v>
      </c>
    </row>
    <row r="339" spans="2:47" ht="51" hidden="1" customHeight="1" x14ac:dyDescent="0.25">
      <c r="B339" s="2" t="str">
        <f>+'Base de Datos'!E339</f>
        <v>150309-0-2015</v>
      </c>
      <c r="C339" s="2" t="str">
        <f>+'Base de Datos'!F339</f>
        <v>MARY LUZ MORA PICO</v>
      </c>
      <c r="D339" s="2">
        <f>+'Base de Datos'!G339</f>
        <v>1030580992</v>
      </c>
      <c r="E339" s="2" t="str">
        <f>+'Base de Datos'!H339</f>
        <v>Prestar servicios para apoyar actividades del proceso de relatoría del Concejo de Bogotá D.C., para la transcripción y elaboración de Actas de sesiones de las diferentes Comisiones y de Sesiones de Plenaria.</v>
      </c>
      <c r="F339" s="221">
        <f>+'Base de Datos'!I339</f>
        <v>10800000</v>
      </c>
      <c r="G339" s="220">
        <f>+'Base de Datos'!M339</f>
        <v>42198</v>
      </c>
      <c r="H339" s="220">
        <f>+'Base de Datos'!N339</f>
        <v>42382</v>
      </c>
      <c r="I339" s="179"/>
      <c r="J339" s="360"/>
      <c r="K339" s="237"/>
      <c r="L339" s="363"/>
      <c r="M339" s="179"/>
      <c r="N339" s="360"/>
      <c r="O339" s="179"/>
      <c r="P339" s="365"/>
      <c r="Q339" s="86">
        <f t="shared" si="25"/>
        <v>0</v>
      </c>
      <c r="R339" s="284"/>
      <c r="S339" s="360"/>
      <c r="T339" s="179"/>
      <c r="U339" s="360"/>
      <c r="V339" s="179"/>
      <c r="W339" s="360"/>
      <c r="X339" s="179"/>
      <c r="Y339" s="360"/>
      <c r="Z339" s="353"/>
      <c r="AA339" s="89">
        <f t="shared" si="26"/>
        <v>0</v>
      </c>
      <c r="AB339" s="237">
        <v>1080000</v>
      </c>
      <c r="AC339" s="237">
        <v>1800000</v>
      </c>
      <c r="AD339" s="237">
        <v>1800000</v>
      </c>
      <c r="AE339" s="237"/>
      <c r="AF339" s="237"/>
      <c r="AG339" s="237"/>
      <c r="AH339" s="237"/>
      <c r="AI339" s="237"/>
      <c r="AJ339" s="237"/>
      <c r="AK339" s="237"/>
      <c r="AL339" s="237"/>
      <c r="AM339" s="237"/>
      <c r="AN339" s="237"/>
      <c r="AO339" s="237"/>
      <c r="AP339" s="237"/>
      <c r="AQ339" s="237"/>
      <c r="AR339" s="237"/>
      <c r="AS339" s="237"/>
      <c r="AT339" s="360">
        <v>42409</v>
      </c>
      <c r="AU339" s="91">
        <f t="shared" si="27"/>
        <v>4680000</v>
      </c>
    </row>
    <row r="340" spans="2:47" ht="22.5" hidden="1" x14ac:dyDescent="0.25">
      <c r="B340" s="2" t="str">
        <f>+'Base de Datos'!E340</f>
        <v>150312-0-2015</v>
      </c>
      <c r="C340" s="2" t="str">
        <f>+'Base de Datos'!F340</f>
        <v xml:space="preserve">SIIGO S.A </v>
      </c>
      <c r="D340" s="2">
        <f>+'Base de Datos'!G340</f>
        <v>830048145</v>
      </c>
      <c r="E340" s="2" t="str">
        <f>+'Base de Datos'!H340</f>
        <v xml:space="preserve">Prestar los servicios de mantenimiento y actualización de módulo de contabilidad programa SIIGO </v>
      </c>
      <c r="F340" s="221">
        <f>+'Base de Datos'!I340</f>
        <v>450880</v>
      </c>
      <c r="G340" s="220">
        <f>+'Base de Datos'!M340</f>
        <v>42219</v>
      </c>
      <c r="H340" s="220">
        <f>+'Base de Datos'!N340</f>
        <v>42311</v>
      </c>
      <c r="I340" s="179"/>
      <c r="J340" s="360"/>
      <c r="K340" s="237"/>
      <c r="L340" s="363"/>
      <c r="M340" s="179"/>
      <c r="N340" s="360"/>
      <c r="O340" s="179"/>
      <c r="P340" s="365"/>
      <c r="Q340" s="86">
        <f t="shared" si="25"/>
        <v>0</v>
      </c>
      <c r="R340" s="284"/>
      <c r="S340" s="360"/>
      <c r="T340" s="179"/>
      <c r="U340" s="360"/>
      <c r="V340" s="179"/>
      <c r="W340" s="360"/>
      <c r="X340" s="179"/>
      <c r="Y340" s="360"/>
      <c r="Z340" s="353"/>
      <c r="AA340" s="89">
        <f t="shared" si="26"/>
        <v>0</v>
      </c>
      <c r="AB340" s="237">
        <v>450880</v>
      </c>
      <c r="AC340" s="237"/>
      <c r="AD340" s="237"/>
      <c r="AE340" s="237"/>
      <c r="AF340" s="237"/>
      <c r="AG340" s="237"/>
      <c r="AH340" s="237"/>
      <c r="AI340" s="237"/>
      <c r="AJ340" s="237"/>
      <c r="AK340" s="237"/>
      <c r="AL340" s="237"/>
      <c r="AM340" s="237"/>
      <c r="AN340" s="237"/>
      <c r="AO340" s="237"/>
      <c r="AP340" s="237"/>
      <c r="AQ340" s="237"/>
      <c r="AR340" s="237"/>
      <c r="AS340" s="237"/>
      <c r="AT340" s="360">
        <v>42296</v>
      </c>
      <c r="AU340" s="91">
        <f t="shared" si="27"/>
        <v>450880</v>
      </c>
    </row>
    <row r="341" spans="2:47" ht="56.25" hidden="1" x14ac:dyDescent="0.25">
      <c r="B341" s="2" t="str">
        <f>+'Base de Datos'!E341</f>
        <v>150302-0-2015</v>
      </c>
      <c r="C341" s="2" t="str">
        <f>+'Base de Datos'!F341</f>
        <v xml:space="preserve">AXA COLPATRIA SEGUROS S. A. </v>
      </c>
      <c r="D341" s="2">
        <f>+'Base de Datos'!G341</f>
        <v>860002184</v>
      </c>
      <c r="E341" s="2" t="str">
        <f>+'Base de Datos'!H341</f>
        <v xml:space="preserve">Amparar a los CONCEJALES DE BOGOTÁ D.C., mediante el seguro de Grupo Vida, de conformidad con lo establecido en la propuesta presentada por el contratista y lo estipulado en el pliego de condiciones de la Selección Abreviada de Menor Cuantía No. SDH-SAMC-04-2015 </v>
      </c>
      <c r="F341" s="221">
        <f>+'Base de Datos'!I341</f>
        <v>186482674</v>
      </c>
      <c r="G341" s="220">
        <f>+'Base de Datos'!M341</f>
        <v>0</v>
      </c>
      <c r="H341" s="220">
        <f>+'Base de Datos'!N341</f>
        <v>0</v>
      </c>
      <c r="I341" s="179">
        <v>18223304</v>
      </c>
      <c r="J341" s="360"/>
      <c r="K341" s="237"/>
      <c r="L341" s="363"/>
      <c r="M341" s="179"/>
      <c r="N341" s="360"/>
      <c r="O341" s="179"/>
      <c r="P341" s="365"/>
      <c r="Q341" s="86">
        <f t="shared" si="25"/>
        <v>18223304</v>
      </c>
      <c r="R341" s="284"/>
      <c r="S341" s="360"/>
      <c r="T341" s="179"/>
      <c r="U341" s="360"/>
      <c r="V341" s="179"/>
      <c r="W341" s="360"/>
      <c r="X341" s="179"/>
      <c r="Y341" s="360"/>
      <c r="Z341" s="353"/>
      <c r="AA341" s="89">
        <f t="shared" si="26"/>
        <v>0</v>
      </c>
      <c r="AB341" s="237">
        <v>204705978</v>
      </c>
      <c r="AC341" s="237"/>
      <c r="AD341" s="237"/>
      <c r="AE341" s="237"/>
      <c r="AF341" s="237"/>
      <c r="AG341" s="237"/>
      <c r="AH341" s="237"/>
      <c r="AI341" s="237"/>
      <c r="AJ341" s="237"/>
      <c r="AK341" s="237"/>
      <c r="AL341" s="237"/>
      <c r="AM341" s="237"/>
      <c r="AN341" s="237"/>
      <c r="AO341" s="237"/>
      <c r="AP341" s="237"/>
      <c r="AQ341" s="237"/>
      <c r="AR341" s="237"/>
      <c r="AS341" s="237"/>
      <c r="AT341" s="360"/>
      <c r="AU341" s="91">
        <f t="shared" si="27"/>
        <v>204705978</v>
      </c>
    </row>
    <row r="342" spans="2:47" ht="90" hidden="1" x14ac:dyDescent="0.25">
      <c r="B342" s="2" t="str">
        <f>+'Base de Datos'!E342</f>
        <v>150314-0-2015</v>
      </c>
      <c r="C342" s="2" t="str">
        <f>+'Base de Datos'!F342</f>
        <v>INGEAL S.A.</v>
      </c>
      <c r="D342" s="2">
        <f>+'Base de Datos'!G342</f>
        <v>800039398</v>
      </c>
      <c r="E342" s="2" t="str">
        <f>+'Base de Datos'!H342</f>
        <v>Contratar los servicios de mantenimiento preventivo y correctivo con repuestos y bienes fungibles para los elementos del centro de cómputo y centros de cableado del Concejo de Bogotá D.C., de conformidad con lo establecido en el Pliego de Condiciones del Proceso de Selección Abreviada -Subasta Inversa Electrónica No. SDH-SIE-08-2015 y la propuesta presentada por el contratista.</v>
      </c>
      <c r="F342" s="221">
        <f>+'Base de Datos'!I342</f>
        <v>85933385</v>
      </c>
      <c r="G342" s="220">
        <f>+'Base de Datos'!M342</f>
        <v>42209</v>
      </c>
      <c r="H342" s="220">
        <f>+'Base de Datos'!N342</f>
        <v>42575</v>
      </c>
      <c r="I342" s="179"/>
      <c r="J342" s="360"/>
      <c r="K342" s="237"/>
      <c r="L342" s="363"/>
      <c r="M342" s="179"/>
      <c r="N342" s="360"/>
      <c r="O342" s="179"/>
      <c r="P342" s="365"/>
      <c r="Q342" s="86">
        <f t="shared" si="25"/>
        <v>0</v>
      </c>
      <c r="R342" s="284"/>
      <c r="S342" s="360"/>
      <c r="T342" s="179"/>
      <c r="U342" s="360"/>
      <c r="V342" s="179"/>
      <c r="W342" s="360"/>
      <c r="X342" s="179"/>
      <c r="Y342" s="360"/>
      <c r="Z342" s="353"/>
      <c r="AA342" s="89">
        <f t="shared" si="26"/>
        <v>0</v>
      </c>
      <c r="AB342" s="237">
        <v>18252496</v>
      </c>
      <c r="AC342" s="237">
        <v>18252496</v>
      </c>
      <c r="AD342" s="237">
        <v>24336661</v>
      </c>
      <c r="AE342" s="237">
        <v>19995579</v>
      </c>
      <c r="AF342" s="237"/>
      <c r="AG342" s="237"/>
      <c r="AH342" s="237"/>
      <c r="AI342" s="237"/>
      <c r="AJ342" s="237"/>
      <c r="AK342" s="237"/>
      <c r="AL342" s="237"/>
      <c r="AM342" s="237"/>
      <c r="AN342" s="237"/>
      <c r="AO342" s="237"/>
      <c r="AP342" s="237"/>
      <c r="AQ342" s="237"/>
      <c r="AR342" s="237"/>
      <c r="AS342" s="237"/>
      <c r="AT342" s="360">
        <v>42622</v>
      </c>
      <c r="AU342" s="91">
        <f t="shared" si="27"/>
        <v>80837232</v>
      </c>
    </row>
    <row r="343" spans="2:47" ht="56.25" hidden="1" x14ac:dyDescent="0.25">
      <c r="B343" s="2" t="str">
        <f>+'Base de Datos'!E343</f>
        <v>150316-0-2015</v>
      </c>
      <c r="C343" s="2" t="str">
        <f>+'Base de Datos'!F343</f>
        <v>PROCOLDEXT LTDA</v>
      </c>
      <c r="D343" s="2">
        <f>+'Base de Datos'!G343</f>
        <v>800105847</v>
      </c>
      <c r="E343" s="2" t="str">
        <f>+'Base de Datos'!H343</f>
        <v>Realizar el mantenimiento con suministro de repuestos y recarga de los extintores ubicados en las sedes del Concejo de Bogotá y mantenimiento de gabinetes contra incendio con suministro de repuestos para el Concejo de Bogotá D.C.</v>
      </c>
      <c r="F343" s="221">
        <f>+'Base de Datos'!I343</f>
        <v>3608000</v>
      </c>
      <c r="G343" s="220">
        <f>+'Base de Datos'!M343</f>
        <v>42295</v>
      </c>
      <c r="H343" s="220">
        <f>+'Base de Datos'!N343</f>
        <v>42387</v>
      </c>
      <c r="I343" s="179"/>
      <c r="J343" s="360"/>
      <c r="K343" s="237"/>
      <c r="L343" s="363"/>
      <c r="M343" s="179"/>
      <c r="N343" s="360"/>
      <c r="O343" s="179"/>
      <c r="P343" s="365"/>
      <c r="Q343" s="86">
        <f t="shared" si="25"/>
        <v>0</v>
      </c>
      <c r="R343" s="284"/>
      <c r="S343" s="360"/>
      <c r="T343" s="179"/>
      <c r="U343" s="360"/>
      <c r="V343" s="179"/>
      <c r="W343" s="360"/>
      <c r="X343" s="179"/>
      <c r="Y343" s="360"/>
      <c r="Z343" s="353"/>
      <c r="AA343" s="89">
        <f t="shared" si="26"/>
        <v>0</v>
      </c>
      <c r="AB343" s="237">
        <v>3608000</v>
      </c>
      <c r="AC343" s="237"/>
      <c r="AD343" s="237"/>
      <c r="AE343" s="237"/>
      <c r="AF343" s="237"/>
      <c r="AG343" s="237"/>
      <c r="AH343" s="237"/>
      <c r="AI343" s="237"/>
      <c r="AJ343" s="237"/>
      <c r="AK343" s="237"/>
      <c r="AL343" s="237"/>
      <c r="AM343" s="237"/>
      <c r="AN343" s="237"/>
      <c r="AO343" s="237"/>
      <c r="AP343" s="237"/>
      <c r="AQ343" s="237"/>
      <c r="AR343" s="237"/>
      <c r="AS343" s="237"/>
      <c r="AT343" s="360"/>
      <c r="AU343" s="91">
        <f t="shared" si="27"/>
        <v>3608000</v>
      </c>
    </row>
    <row r="344" spans="2:47" ht="45" hidden="1" x14ac:dyDescent="0.25">
      <c r="B344" s="2" t="str">
        <f>+'Base de Datos'!E344</f>
        <v>150320-0-2015</v>
      </c>
      <c r="C344" s="2" t="str">
        <f>+'Base de Datos'!F344</f>
        <v>GRUPO EDITORIAL NUEVA LEGISLACION S.A.S.</v>
      </c>
      <c r="D344" s="2">
        <f>+'Base de Datos'!G344</f>
        <v>900631629</v>
      </c>
      <c r="E344" s="2" t="str">
        <f>+'Base de Datos'!H344</f>
        <v>Suscripción al servicio de información jurídica de boletines informáticos por correo electrónico, consultas en página WEB y biblioteca de la legislación y jurisprudencia colombiana actualizada para el Concejo de Bogotá D.C.</v>
      </c>
      <c r="F344" s="221">
        <f>+'Base de Datos'!I344</f>
        <v>715000</v>
      </c>
      <c r="G344" s="220">
        <f>+'Base de Datos'!M344</f>
        <v>42221</v>
      </c>
      <c r="H344" s="220">
        <f>+'Base de Datos'!N344</f>
        <v>42587</v>
      </c>
      <c r="I344" s="179"/>
      <c r="J344" s="360"/>
      <c r="K344" s="237"/>
      <c r="L344" s="363"/>
      <c r="M344" s="179"/>
      <c r="N344" s="360"/>
      <c r="O344" s="179"/>
      <c r="P344" s="365"/>
      <c r="Q344" s="86">
        <f t="shared" si="25"/>
        <v>0</v>
      </c>
      <c r="R344" s="284"/>
      <c r="S344" s="360"/>
      <c r="T344" s="179"/>
      <c r="U344" s="360"/>
      <c r="V344" s="179"/>
      <c r="W344" s="360"/>
      <c r="X344" s="179"/>
      <c r="Y344" s="360"/>
      <c r="Z344" s="353"/>
      <c r="AA344" s="89">
        <f t="shared" si="26"/>
        <v>0</v>
      </c>
      <c r="AB344" s="237">
        <v>715000</v>
      </c>
      <c r="AC344" s="237"/>
      <c r="AD344" s="237"/>
      <c r="AE344" s="237"/>
      <c r="AF344" s="237"/>
      <c r="AG344" s="237"/>
      <c r="AH344" s="237"/>
      <c r="AI344" s="237"/>
      <c r="AJ344" s="237"/>
      <c r="AK344" s="237"/>
      <c r="AL344" s="237"/>
      <c r="AM344" s="237"/>
      <c r="AN344" s="237"/>
      <c r="AO344" s="237"/>
      <c r="AP344" s="237"/>
      <c r="AQ344" s="237"/>
      <c r="AR344" s="237"/>
      <c r="AS344" s="237"/>
      <c r="AT344" s="360">
        <v>42293</v>
      </c>
      <c r="AU344" s="91">
        <f t="shared" si="27"/>
        <v>715000</v>
      </c>
    </row>
    <row r="345" spans="2:47" ht="33.75" hidden="1" x14ac:dyDescent="0.25">
      <c r="B345" s="2" t="str">
        <f>+'Base de Datos'!E345</f>
        <v>150308-0-2015</v>
      </c>
      <c r="C345" s="2" t="str">
        <f>+'Base de Datos'!F345</f>
        <v xml:space="preserve">ARANDA SOFTWARE ANDINA SAS  </v>
      </c>
      <c r="D345" s="2">
        <f>+'Base de Datos'!G345</f>
        <v>830099766</v>
      </c>
      <c r="E345" s="2" t="str">
        <f>+'Base de Datos'!H345</f>
        <v>Realizar la adquisición, actualización y soporte de licenciamiento del software Aranda para el Concejo de Bogotá.</v>
      </c>
      <c r="F345" s="221">
        <f>+'Base de Datos'!I345</f>
        <v>80041097</v>
      </c>
      <c r="G345" s="220">
        <f>+'Base de Datos'!M345</f>
        <v>42199</v>
      </c>
      <c r="H345" s="220">
        <f>+'Base de Datos'!N345</f>
        <v>42565</v>
      </c>
      <c r="I345" s="179"/>
      <c r="J345" s="360"/>
      <c r="K345" s="237"/>
      <c r="L345" s="363"/>
      <c r="M345" s="179"/>
      <c r="N345" s="360"/>
      <c r="O345" s="179"/>
      <c r="P345" s="365"/>
      <c r="Q345" s="86">
        <f t="shared" si="25"/>
        <v>0</v>
      </c>
      <c r="R345" s="284"/>
      <c r="S345" s="360"/>
      <c r="T345" s="179"/>
      <c r="U345" s="360"/>
      <c r="V345" s="179"/>
      <c r="W345" s="360"/>
      <c r="X345" s="179"/>
      <c r="Y345" s="360"/>
      <c r="Z345" s="353"/>
      <c r="AA345" s="89">
        <f t="shared" si="26"/>
        <v>0</v>
      </c>
      <c r="AB345" s="237">
        <v>40169576</v>
      </c>
      <c r="AC345" s="237">
        <v>5378534</v>
      </c>
      <c r="AD345" s="237">
        <v>5378534</v>
      </c>
      <c r="AE345" s="237">
        <v>5378534</v>
      </c>
      <c r="AF345" s="237">
        <v>5378534</v>
      </c>
      <c r="AG345" s="237">
        <v>5378534</v>
      </c>
      <c r="AH345" s="237">
        <v>5378534</v>
      </c>
      <c r="AI345" s="237">
        <v>7600317</v>
      </c>
      <c r="AJ345" s="237"/>
      <c r="AK345" s="237"/>
      <c r="AL345" s="237"/>
      <c r="AM345" s="237"/>
      <c r="AN345" s="237"/>
      <c r="AO345" s="237"/>
      <c r="AP345" s="237"/>
      <c r="AQ345" s="237"/>
      <c r="AR345" s="237"/>
      <c r="AS345" s="237"/>
      <c r="AT345" s="360">
        <v>42592</v>
      </c>
      <c r="AU345" s="91">
        <f t="shared" si="27"/>
        <v>80041097</v>
      </c>
    </row>
    <row r="346" spans="2:47" ht="33.75" hidden="1" x14ac:dyDescent="0.25">
      <c r="B346" s="2" t="str">
        <f>+'Base de Datos'!E346</f>
        <v>150322-0-2015</v>
      </c>
      <c r="C346" s="2" t="str">
        <f>+'Base de Datos'!F346</f>
        <v>GREEN TIC S.A.S.</v>
      </c>
      <c r="D346" s="2" t="str">
        <f>+'Base de Datos'!G346</f>
        <v>900392699-3</v>
      </c>
      <c r="E346" s="2" t="str">
        <f>+'Base de Datos'!H346</f>
        <v>Prestar los servicios de mantenimiento preventivo, correctivo y soporte técnico especializado para sistema biométrico del Concejo de Bogotá</v>
      </c>
      <c r="F346" s="221">
        <f>+'Base de Datos'!I346</f>
        <v>20136071</v>
      </c>
      <c r="G346" s="220">
        <f>+'Base de Datos'!M346</f>
        <v>42221</v>
      </c>
      <c r="H346" s="220">
        <f>+'Base de Datos'!N346</f>
        <v>42587</v>
      </c>
      <c r="I346" s="179"/>
      <c r="J346" s="360"/>
      <c r="K346" s="237"/>
      <c r="L346" s="363"/>
      <c r="M346" s="179"/>
      <c r="N346" s="360"/>
      <c r="O346" s="179"/>
      <c r="P346" s="365"/>
      <c r="Q346" s="86">
        <f t="shared" si="25"/>
        <v>0</v>
      </c>
      <c r="R346" s="284"/>
      <c r="S346" s="360"/>
      <c r="T346" s="179"/>
      <c r="U346" s="360"/>
      <c r="V346" s="179"/>
      <c r="W346" s="360"/>
      <c r="X346" s="179"/>
      <c r="Y346" s="360"/>
      <c r="Z346" s="353"/>
      <c r="AA346" s="89">
        <f t="shared" si="26"/>
        <v>0</v>
      </c>
      <c r="AB346" s="237">
        <v>8952790</v>
      </c>
      <c r="AC346" s="237">
        <v>1153272</v>
      </c>
      <c r="AD346" s="237">
        <v>833867</v>
      </c>
      <c r="AE346" s="237"/>
      <c r="AF346" s="237"/>
      <c r="AG346" s="237"/>
      <c r="AH346" s="237"/>
      <c r="AI346" s="237"/>
      <c r="AJ346" s="237"/>
      <c r="AK346" s="237"/>
      <c r="AL346" s="237"/>
      <c r="AM346" s="237"/>
      <c r="AN346" s="237"/>
      <c r="AO346" s="237"/>
      <c r="AP346" s="237"/>
      <c r="AQ346" s="237"/>
      <c r="AR346" s="237"/>
      <c r="AS346" s="237"/>
      <c r="AT346" s="360">
        <v>42711</v>
      </c>
      <c r="AU346" s="91">
        <f t="shared" si="27"/>
        <v>10939929</v>
      </c>
    </row>
    <row r="347" spans="2:47" ht="78.75" hidden="1" x14ac:dyDescent="0.25">
      <c r="B347" s="2" t="str">
        <f>+'Base de Datos'!E347</f>
        <v>150323-0-2015</v>
      </c>
      <c r="C347" s="2" t="str">
        <f>+'Base de Datos'!F347</f>
        <v>ALCALA &amp; ESPINOSA DISEÑO Y CONSTRUCCIÓN Ltda.</v>
      </c>
      <c r="D347" s="2">
        <f>+'Base de Datos'!G347</f>
        <v>9002141080</v>
      </c>
      <c r="E347" s="2" t="str">
        <f>+'Base de Datos'!H347</f>
        <v>Realizar el mantenimiento integral locativo con el suministro de personal, equipo y repuestos, en las instalaciones físicas del Concejo de Bogotá, D.C., de conformidad con lo establecido en el pliego de condiciones del proceso de Selección Abreviada de Menor Cuantía No. SDH-SAMC-05-2015 y la propuesta presentada por el contratista</v>
      </c>
      <c r="F347" s="221">
        <f>+'Base de Datos'!I347</f>
        <v>213921490</v>
      </c>
      <c r="G347" s="220">
        <f>+'Base de Datos'!M347</f>
        <v>42250</v>
      </c>
      <c r="H347" s="220">
        <f>+'Base de Datos'!N347</f>
        <v>42524</v>
      </c>
      <c r="I347" s="836">
        <v>41500000</v>
      </c>
      <c r="J347" s="360">
        <v>42368</v>
      </c>
      <c r="K347" s="237"/>
      <c r="L347" s="363"/>
      <c r="M347" s="179"/>
      <c r="N347" s="360"/>
      <c r="O347" s="179"/>
      <c r="P347" s="365"/>
      <c r="Q347" s="86">
        <f t="shared" si="25"/>
        <v>41500000</v>
      </c>
      <c r="R347" s="284"/>
      <c r="S347" s="360"/>
      <c r="T347" s="179"/>
      <c r="U347" s="360"/>
      <c r="V347" s="179"/>
      <c r="W347" s="360"/>
      <c r="X347" s="179"/>
      <c r="Y347" s="360"/>
      <c r="Z347" s="353"/>
      <c r="AA347" s="89">
        <f t="shared" si="26"/>
        <v>0</v>
      </c>
      <c r="AB347" s="237">
        <v>16661195</v>
      </c>
      <c r="AC347" s="237">
        <v>77092479</v>
      </c>
      <c r="AD347" s="237">
        <v>47833328</v>
      </c>
      <c r="AE347" s="237">
        <v>24855590</v>
      </c>
      <c r="AF347" s="237">
        <v>15576095</v>
      </c>
      <c r="AG347" s="237">
        <v>43975343</v>
      </c>
      <c r="AH347" s="237"/>
      <c r="AI347" s="237"/>
      <c r="AJ347" s="237"/>
      <c r="AK347" s="237"/>
      <c r="AL347" s="237"/>
      <c r="AM347" s="237"/>
      <c r="AN347" s="237"/>
      <c r="AO347" s="237"/>
      <c r="AP347" s="237"/>
      <c r="AQ347" s="237"/>
      <c r="AR347" s="237"/>
      <c r="AS347" s="237"/>
      <c r="AT347" s="360">
        <v>42430</v>
      </c>
      <c r="AU347" s="91">
        <f t="shared" si="27"/>
        <v>225994030</v>
      </c>
    </row>
    <row r="348" spans="2:47" ht="22.5" hidden="1" x14ac:dyDescent="0.25">
      <c r="B348" s="2" t="str">
        <f>+'Base de Datos'!E348</f>
        <v>150329-0-2015</v>
      </c>
      <c r="C348" s="2" t="str">
        <f>+'Base de Datos'!F348</f>
        <v xml:space="preserve">INFORMATICA DOCUMENTAL SAS </v>
      </c>
      <c r="D348" s="2">
        <f>+'Base de Datos'!G348</f>
        <v>830083523</v>
      </c>
      <c r="E348" s="2" t="str">
        <f>+'Base de Datos'!H348</f>
        <v>Adquirir el soporte y actualización de licenciamiento del software Infodoc para el Concejo de Bogotá.</v>
      </c>
      <c r="F348" s="221">
        <f>+'Base de Datos'!I348</f>
        <v>20880000</v>
      </c>
      <c r="G348" s="220">
        <f>+'Base de Datos'!M348</f>
        <v>42226</v>
      </c>
      <c r="H348" s="220">
        <f>+'Base de Datos'!N348</f>
        <v>42592</v>
      </c>
      <c r="I348" s="179"/>
      <c r="J348" s="360"/>
      <c r="K348" s="237"/>
      <c r="L348" s="363"/>
      <c r="M348" s="179"/>
      <c r="N348" s="360"/>
      <c r="O348" s="179"/>
      <c r="P348" s="365"/>
      <c r="Q348" s="86">
        <f t="shared" si="25"/>
        <v>0</v>
      </c>
      <c r="R348" s="284"/>
      <c r="S348" s="360"/>
      <c r="T348" s="179"/>
      <c r="U348" s="360"/>
      <c r="V348" s="179"/>
      <c r="W348" s="360"/>
      <c r="X348" s="179"/>
      <c r="Y348" s="360"/>
      <c r="Z348" s="353"/>
      <c r="AA348" s="89">
        <f t="shared" si="26"/>
        <v>0</v>
      </c>
      <c r="AB348" s="237">
        <v>20880000</v>
      </c>
      <c r="AC348" s="237"/>
      <c r="AD348" s="237"/>
      <c r="AE348" s="237"/>
      <c r="AF348" s="237"/>
      <c r="AG348" s="237"/>
      <c r="AH348" s="237"/>
      <c r="AI348" s="237"/>
      <c r="AJ348" s="237"/>
      <c r="AK348" s="237"/>
      <c r="AL348" s="237"/>
      <c r="AM348" s="237"/>
      <c r="AN348" s="237"/>
      <c r="AO348" s="237"/>
      <c r="AP348" s="237"/>
      <c r="AQ348" s="237"/>
      <c r="AR348" s="237"/>
      <c r="AS348" s="237"/>
      <c r="AT348" s="360">
        <v>42562</v>
      </c>
      <c r="AU348" s="91">
        <f t="shared" si="27"/>
        <v>20880000</v>
      </c>
    </row>
    <row r="349" spans="2:47" ht="22.5" hidden="1" x14ac:dyDescent="0.25">
      <c r="B349" s="2" t="str">
        <f>+'Base de Datos'!E349</f>
        <v>150331-0-2015</v>
      </c>
      <c r="C349" s="2" t="str">
        <f>+'Base de Datos'!F349</f>
        <v xml:space="preserve">VIDEO BEAMS Y LAMPARAS SAS </v>
      </c>
      <c r="D349" s="2" t="str">
        <f>+'Base de Datos'!G349</f>
        <v xml:space="preserve">900643783-2 </v>
      </c>
      <c r="E349" s="2" t="str">
        <f>+'Base de Datos'!H349</f>
        <v xml:space="preserve">Adquisición de audífonos biauriculares para el Concejo de Bogotá D.C </v>
      </c>
      <c r="F349" s="221">
        <f>+'Base de Datos'!I349</f>
        <v>812000</v>
      </c>
      <c r="G349" s="220">
        <f>+'Base de Datos'!M349</f>
        <v>42235</v>
      </c>
      <c r="H349" s="220">
        <f>+'Base de Datos'!N349</f>
        <v>42265</v>
      </c>
      <c r="I349" s="179"/>
      <c r="J349" s="360"/>
      <c r="K349" s="237"/>
      <c r="L349" s="363"/>
      <c r="M349" s="179"/>
      <c r="N349" s="360"/>
      <c r="O349" s="179"/>
      <c r="P349" s="365"/>
      <c r="Q349" s="86">
        <f t="shared" si="25"/>
        <v>0</v>
      </c>
      <c r="R349" s="284"/>
      <c r="S349" s="360"/>
      <c r="T349" s="179"/>
      <c r="U349" s="360"/>
      <c r="V349" s="179"/>
      <c r="W349" s="360"/>
      <c r="X349" s="179"/>
      <c r="Y349" s="360"/>
      <c r="Z349" s="353"/>
      <c r="AA349" s="89">
        <f t="shared" si="26"/>
        <v>0</v>
      </c>
      <c r="AB349" s="237">
        <v>812000</v>
      </c>
      <c r="AC349" s="237"/>
      <c r="AD349" s="237"/>
      <c r="AE349" s="237"/>
      <c r="AF349" s="237"/>
      <c r="AG349" s="237"/>
      <c r="AH349" s="237"/>
      <c r="AI349" s="237"/>
      <c r="AJ349" s="237"/>
      <c r="AK349" s="237"/>
      <c r="AL349" s="237"/>
      <c r="AM349" s="237"/>
      <c r="AN349" s="237"/>
      <c r="AO349" s="237"/>
      <c r="AP349" s="237"/>
      <c r="AQ349" s="237"/>
      <c r="AR349" s="237"/>
      <c r="AS349" s="237"/>
      <c r="AT349" s="360">
        <v>42290</v>
      </c>
      <c r="AU349" s="91">
        <f t="shared" si="27"/>
        <v>812000</v>
      </c>
    </row>
    <row r="350" spans="2:47" ht="22.5" hidden="1" x14ac:dyDescent="0.25">
      <c r="B350" s="2" t="str">
        <f>+'Base de Datos'!E350</f>
        <v>150330-0-2015</v>
      </c>
      <c r="C350" s="2" t="str">
        <f>+'Base de Datos'!F350</f>
        <v xml:space="preserve">COMUNICAN SA </v>
      </c>
      <c r="D350" s="2">
        <f>+'Base de Datos'!G350</f>
        <v>860007590</v>
      </c>
      <c r="E350" s="2" t="str">
        <f>+'Base de Datos'!H350</f>
        <v xml:space="preserve">Suscripción al DIARIO EL ESPECTADOR, para el Concejo de Bogotá D.C. </v>
      </c>
      <c r="F350" s="221">
        <f>+'Base de Datos'!I350</f>
        <v>936000</v>
      </c>
      <c r="G350" s="220">
        <f>+'Base de Datos'!M350</f>
        <v>42261</v>
      </c>
      <c r="H350" s="220">
        <f>+'Base de Datos'!N350</f>
        <v>42627</v>
      </c>
      <c r="I350" s="179"/>
      <c r="J350" s="360"/>
      <c r="K350" s="237"/>
      <c r="L350" s="363"/>
      <c r="M350" s="179"/>
      <c r="N350" s="360"/>
      <c r="O350" s="179"/>
      <c r="P350" s="365"/>
      <c r="Q350" s="86">
        <f t="shared" si="25"/>
        <v>0</v>
      </c>
      <c r="R350" s="284"/>
      <c r="S350" s="360"/>
      <c r="T350" s="179"/>
      <c r="U350" s="360"/>
      <c r="V350" s="179"/>
      <c r="W350" s="360"/>
      <c r="X350" s="179"/>
      <c r="Y350" s="360"/>
      <c r="Z350" s="353"/>
      <c r="AA350" s="89">
        <f t="shared" si="26"/>
        <v>0</v>
      </c>
      <c r="AB350" s="237">
        <v>936000</v>
      </c>
      <c r="AC350" s="237"/>
      <c r="AD350" s="237"/>
      <c r="AE350" s="237"/>
      <c r="AF350" s="237"/>
      <c r="AG350" s="237"/>
      <c r="AH350" s="237"/>
      <c r="AI350" s="237"/>
      <c r="AJ350" s="237"/>
      <c r="AK350" s="237"/>
      <c r="AL350" s="237"/>
      <c r="AM350" s="237"/>
      <c r="AN350" s="237"/>
      <c r="AO350" s="237"/>
      <c r="AP350" s="237"/>
      <c r="AQ350" s="237"/>
      <c r="AR350" s="237"/>
      <c r="AS350" s="237"/>
      <c r="AT350" s="360">
        <v>42293</v>
      </c>
      <c r="AU350" s="91">
        <f t="shared" si="27"/>
        <v>936000</v>
      </c>
    </row>
    <row r="351" spans="2:47" hidden="1" x14ac:dyDescent="0.25">
      <c r="B351" s="2" t="str">
        <f>+'Base de Datos'!E351</f>
        <v>150321-0-2015</v>
      </c>
      <c r="C351" s="2" t="str">
        <f>+'Base de Datos'!F351</f>
        <v>BUSINESSMIND COLOMBIA SA</v>
      </c>
      <c r="D351" s="2" t="str">
        <f>+'Base de Datos'!G351</f>
        <v>900105979-1</v>
      </c>
      <c r="E351" s="2" t="str">
        <f>+'Base de Datos'!H351</f>
        <v>Adquisión de la licencia TOAD para el Concejo de Bogotá.</v>
      </c>
      <c r="F351" s="221">
        <f>+'Base de Datos'!I351</f>
        <v>31577404</v>
      </c>
      <c r="G351" s="220">
        <f>+'Base de Datos'!M351</f>
        <v>42221</v>
      </c>
      <c r="H351" s="220">
        <f>+'Base de Datos'!N351</f>
        <v>42282</v>
      </c>
      <c r="I351" s="179"/>
      <c r="J351" s="360"/>
      <c r="K351" s="237"/>
      <c r="L351" s="363"/>
      <c r="M351" s="179"/>
      <c r="N351" s="360"/>
      <c r="O351" s="179"/>
      <c r="P351" s="365"/>
      <c r="Q351" s="86">
        <f t="shared" si="25"/>
        <v>0</v>
      </c>
      <c r="R351" s="284"/>
      <c r="S351" s="360"/>
      <c r="T351" s="179"/>
      <c r="U351" s="360"/>
      <c r="V351" s="179"/>
      <c r="W351" s="360"/>
      <c r="X351" s="179"/>
      <c r="Y351" s="360"/>
      <c r="Z351" s="353"/>
      <c r="AA351" s="89">
        <f t="shared" si="26"/>
        <v>0</v>
      </c>
      <c r="AB351" s="237">
        <v>31577404</v>
      </c>
      <c r="AC351" s="237"/>
      <c r="AD351" s="237"/>
      <c r="AE351" s="237"/>
      <c r="AF351" s="237"/>
      <c r="AG351" s="237"/>
      <c r="AH351" s="237"/>
      <c r="AI351" s="237"/>
      <c r="AJ351" s="237"/>
      <c r="AK351" s="237"/>
      <c r="AL351" s="237"/>
      <c r="AM351" s="237"/>
      <c r="AN351" s="237"/>
      <c r="AO351" s="237"/>
      <c r="AP351" s="237"/>
      <c r="AQ351" s="237"/>
      <c r="AR351" s="237"/>
      <c r="AS351" s="237"/>
      <c r="AT351" s="360"/>
      <c r="AU351" s="91">
        <f t="shared" si="27"/>
        <v>31577404</v>
      </c>
    </row>
    <row r="352" spans="2:47" ht="56.25" hidden="1" x14ac:dyDescent="0.25">
      <c r="B352" s="2" t="str">
        <f>+'Base de Datos'!E352</f>
        <v>150333-0-2015</v>
      </c>
      <c r="C352" s="2" t="str">
        <f>+'Base de Datos'!F352</f>
        <v>Consultoría Estructural y de Construcción SAS - CEYCO Ingeniería SAS</v>
      </c>
      <c r="D352" s="2" t="str">
        <f>+'Base de Datos'!G352</f>
        <v xml:space="preserve"> 900160387-5</v>
      </c>
      <c r="E352" s="2" t="str">
        <f>+'Base de Datos'!H352</f>
        <v>Realizar la Interventoría técnica administrativa, ambiental, financiera, legal y contable, para el contrato de Mantenimiento Integral Locativo con el suministro de personal, equipos y repuestos, en las instalaciones físicas del Concejo de Bogotá D.C.</v>
      </c>
      <c r="F352" s="221">
        <f>+'Base de Datos'!I352</f>
        <v>14917500</v>
      </c>
      <c r="G352" s="220">
        <f>+'Base de Datos'!M352</f>
        <v>42247</v>
      </c>
      <c r="H352" s="220">
        <f>+'Base de Datos'!N352</f>
        <v>42551</v>
      </c>
      <c r="I352" s="179"/>
      <c r="J352" s="360"/>
      <c r="K352" s="237"/>
      <c r="L352" s="363"/>
      <c r="M352" s="179"/>
      <c r="N352" s="360"/>
      <c r="O352" s="179"/>
      <c r="P352" s="365"/>
      <c r="Q352" s="86">
        <f t="shared" si="25"/>
        <v>0</v>
      </c>
      <c r="R352" s="284" t="s">
        <v>381</v>
      </c>
      <c r="S352" s="360">
        <v>42582</v>
      </c>
      <c r="T352" s="179" t="s">
        <v>381</v>
      </c>
      <c r="U352" s="360">
        <v>42613</v>
      </c>
      <c r="V352" s="179" t="s">
        <v>381</v>
      </c>
      <c r="W352" s="360">
        <v>42643</v>
      </c>
      <c r="X352" s="179" t="s">
        <v>2714</v>
      </c>
      <c r="Y352" s="360">
        <v>42689</v>
      </c>
      <c r="Z352" s="353" t="s">
        <v>2872</v>
      </c>
      <c r="AA352" s="89">
        <v>42862</v>
      </c>
      <c r="AB352" s="237">
        <v>2983500</v>
      </c>
      <c r="AC352" s="237">
        <v>1491750</v>
      </c>
      <c r="AD352" s="237">
        <v>2983499</v>
      </c>
      <c r="AE352" s="237">
        <v>1491750</v>
      </c>
      <c r="AF352" s="237">
        <v>4475249</v>
      </c>
      <c r="AG352" s="237">
        <v>1491752</v>
      </c>
      <c r="AH352" s="237"/>
      <c r="AI352" s="237"/>
      <c r="AJ352" s="237"/>
      <c r="AK352" s="237"/>
      <c r="AL352" s="237"/>
      <c r="AM352" s="237"/>
      <c r="AN352" s="237"/>
      <c r="AO352" s="237"/>
      <c r="AP352" s="237"/>
      <c r="AQ352" s="237"/>
      <c r="AR352" s="237"/>
      <c r="AS352" s="237"/>
      <c r="AT352" s="360">
        <v>43307</v>
      </c>
      <c r="AU352" s="91">
        <f t="shared" si="27"/>
        <v>14917500</v>
      </c>
    </row>
    <row r="353" spans="2:47" ht="33.75" hidden="1" x14ac:dyDescent="0.25">
      <c r="B353" s="2" t="str">
        <f>+'Base de Datos'!E353</f>
        <v>150338-0-2015</v>
      </c>
      <c r="C353" s="2" t="str">
        <f>+'Base de Datos'!F353</f>
        <v>EDITORIAL LA UNIDAD S.A EN EJECUCIÓN DEL ACUERDO DE REESTRUCTURACIÓN</v>
      </c>
      <c r="D353" s="2">
        <f>+'Base de Datos'!G353</f>
        <v>860536029</v>
      </c>
      <c r="E353" s="2" t="str">
        <f>+'Base de Datos'!H353</f>
        <v>Suscripción al diario El Nuevo Siglo, para el Concejo de Bogotá D.C.</v>
      </c>
      <c r="F353" s="221">
        <f>+'Base de Datos'!I353</f>
        <v>880500</v>
      </c>
      <c r="G353" s="220">
        <f>+'Base de Datos'!M353</f>
        <v>42262</v>
      </c>
      <c r="H353" s="220">
        <f>+'Base de Datos'!N353</f>
        <v>42628</v>
      </c>
      <c r="I353" s="179"/>
      <c r="J353" s="360"/>
      <c r="K353" s="237"/>
      <c r="L353" s="363"/>
      <c r="M353" s="179"/>
      <c r="N353" s="360"/>
      <c r="O353" s="179"/>
      <c r="P353" s="365"/>
      <c r="Q353" s="86">
        <f t="shared" si="25"/>
        <v>0</v>
      </c>
      <c r="R353" s="284"/>
      <c r="S353" s="360"/>
      <c r="T353" s="179"/>
      <c r="U353" s="360"/>
      <c r="V353" s="179"/>
      <c r="W353" s="360"/>
      <c r="X353" s="179"/>
      <c r="Y353" s="360"/>
      <c r="Z353" s="353"/>
      <c r="AA353" s="89">
        <f t="shared" si="26"/>
        <v>0</v>
      </c>
      <c r="AB353" s="237">
        <v>880500</v>
      </c>
      <c r="AC353" s="237"/>
      <c r="AD353" s="237"/>
      <c r="AE353" s="237"/>
      <c r="AF353" s="237"/>
      <c r="AG353" s="237"/>
      <c r="AH353" s="237"/>
      <c r="AI353" s="237"/>
      <c r="AJ353" s="237"/>
      <c r="AK353" s="237"/>
      <c r="AL353" s="237"/>
      <c r="AM353" s="237"/>
      <c r="AN353" s="237"/>
      <c r="AO353" s="237"/>
      <c r="AP353" s="237"/>
      <c r="AQ353" s="237"/>
      <c r="AR353" s="237"/>
      <c r="AS353" s="237"/>
      <c r="AT353" s="360">
        <v>42303</v>
      </c>
      <c r="AU353" s="91">
        <f t="shared" si="27"/>
        <v>880500</v>
      </c>
    </row>
    <row r="354" spans="2:47" ht="35.25" hidden="1" customHeight="1" x14ac:dyDescent="0.25">
      <c r="B354" s="2" t="str">
        <f>+'Base de Datos'!E354</f>
        <v>150341-0-2015</v>
      </c>
      <c r="C354" s="2" t="str">
        <f>+'Base de Datos'!F354</f>
        <v>INGENIERIA DE BOMBAS Y PLANTAS LIMITADA</v>
      </c>
      <c r="D354" s="2" t="str">
        <f>+'Base de Datos'!G354</f>
        <v>900152368 - 1</v>
      </c>
      <c r="E354" s="2" t="str">
        <f>+'Base de Datos'!H354</f>
        <v>Prestar el servicio de mantenimiento preventivo y correctivo para los tanques de almacenamiento y equipos de bombeo hidráulicos de agua potable, residual y aguas negras del Concejo de Bogotá, D.C.</v>
      </c>
      <c r="F354" s="221">
        <f>+'Base de Datos'!I354</f>
        <v>5000000</v>
      </c>
      <c r="G354" s="220">
        <f>+'Base de Datos'!M354</f>
        <v>42244</v>
      </c>
      <c r="H354" s="220">
        <f>+'Base de Datos'!N354</f>
        <v>42549</v>
      </c>
      <c r="I354" s="179"/>
      <c r="J354" s="360"/>
      <c r="K354" s="237"/>
      <c r="L354" s="363"/>
      <c r="M354" s="179"/>
      <c r="N354" s="360"/>
      <c r="O354" s="179"/>
      <c r="P354" s="365"/>
      <c r="Q354" s="86">
        <f t="shared" si="25"/>
        <v>0</v>
      </c>
      <c r="R354" s="284" t="s">
        <v>378</v>
      </c>
      <c r="S354" s="360">
        <v>42610</v>
      </c>
      <c r="T354" s="179"/>
      <c r="U354" s="360"/>
      <c r="V354" s="179"/>
      <c r="W354" s="360"/>
      <c r="X354" s="179"/>
      <c r="Y354" s="360"/>
      <c r="Z354" s="353" t="s">
        <v>378</v>
      </c>
      <c r="AA354" s="89">
        <f t="shared" si="26"/>
        <v>42610</v>
      </c>
      <c r="AB354" s="237">
        <v>3448399</v>
      </c>
      <c r="AC354" s="237"/>
      <c r="AD354" s="237"/>
      <c r="AE354" s="237"/>
      <c r="AF354" s="237"/>
      <c r="AG354" s="237"/>
      <c r="AH354" s="237"/>
      <c r="AI354" s="237"/>
      <c r="AJ354" s="237"/>
      <c r="AK354" s="237"/>
      <c r="AL354" s="237"/>
      <c r="AM354" s="237"/>
      <c r="AN354" s="237"/>
      <c r="AO354" s="237"/>
      <c r="AP354" s="237"/>
      <c r="AQ354" s="237"/>
      <c r="AR354" s="237"/>
      <c r="AS354" s="237"/>
      <c r="AT354" s="360">
        <v>42906</v>
      </c>
      <c r="AU354" s="91">
        <f t="shared" si="27"/>
        <v>3448399</v>
      </c>
    </row>
    <row r="355" spans="2:47" ht="22.5" hidden="1" x14ac:dyDescent="0.25">
      <c r="B355" s="2" t="str">
        <f>+'Base de Datos'!E355</f>
        <v>150342-0-2015</v>
      </c>
      <c r="C355" s="2" t="str">
        <f>+'Base de Datos'!F355</f>
        <v>PUBLICACIONES SEMANA S.A.</v>
      </c>
      <c r="D355" s="2">
        <f>+'Base de Datos'!G355</f>
        <v>860509265</v>
      </c>
      <c r="E355" s="2" t="str">
        <f>+'Base de Datos'!H355</f>
        <v>Suscripción  a LA REVISTA SEMANA, para el Concejo de Bogotá D.C.</v>
      </c>
      <c r="F355" s="221">
        <f>+'Base de Datos'!I355</f>
        <v>825000</v>
      </c>
      <c r="G355" s="220">
        <f>+'Base de Datos'!M355</f>
        <v>42278</v>
      </c>
      <c r="H355" s="220">
        <f>+'Base de Datos'!N355</f>
        <v>42644</v>
      </c>
      <c r="I355" s="179"/>
      <c r="J355" s="360"/>
      <c r="K355" s="237"/>
      <c r="L355" s="363"/>
      <c r="M355" s="179"/>
      <c r="N355" s="360"/>
      <c r="O355" s="179"/>
      <c r="P355" s="365"/>
      <c r="Q355" s="86">
        <f t="shared" si="25"/>
        <v>0</v>
      </c>
      <c r="R355" s="284"/>
      <c r="S355" s="360"/>
      <c r="T355" s="179"/>
      <c r="U355" s="360"/>
      <c r="V355" s="179"/>
      <c r="W355" s="360"/>
      <c r="X355" s="179"/>
      <c r="Y355" s="360"/>
      <c r="Z355" s="353"/>
      <c r="AA355" s="89">
        <f t="shared" si="26"/>
        <v>0</v>
      </c>
      <c r="AB355" s="237">
        <v>825000</v>
      </c>
      <c r="AC355" s="237"/>
      <c r="AD355" s="237"/>
      <c r="AE355" s="237"/>
      <c r="AF355" s="237"/>
      <c r="AG355" s="237"/>
      <c r="AH355" s="237"/>
      <c r="AI355" s="237"/>
      <c r="AJ355" s="237"/>
      <c r="AK355" s="237"/>
      <c r="AL355" s="237"/>
      <c r="AM355" s="237"/>
      <c r="AN355" s="237"/>
      <c r="AO355" s="237"/>
      <c r="AP355" s="237"/>
      <c r="AQ355" s="237"/>
      <c r="AR355" s="237"/>
      <c r="AS355" s="237"/>
      <c r="AT355" s="360">
        <v>42338</v>
      </c>
      <c r="AU355" s="91">
        <f t="shared" si="27"/>
        <v>825000</v>
      </c>
    </row>
    <row r="356" spans="2:47" ht="70.5" hidden="1" customHeight="1" x14ac:dyDescent="0.25">
      <c r="B356" s="2" t="str">
        <f>+'Base de Datos'!E356</f>
        <v>150344-0-2015</v>
      </c>
      <c r="C356" s="2" t="str">
        <f>+'Base de Datos'!F356</f>
        <v>UNION TEMPORAL NEWNET - SUMIMAS</v>
      </c>
      <c r="D356" s="2">
        <f>+'Base de Datos'!G356</f>
        <v>900879521</v>
      </c>
      <c r="E356" s="2" t="str">
        <f>+'Base de Datos'!H356</f>
        <v>Contratar el outsourcing integral para los servicios de gestión de mesa de ayuda y gestión de impresión para el Concejo de Bogotá, de conformidad con el alcance del objeto y lo señalado en el pliego de condiciones del proceso de selección SDH-LP-02-2015, sus anexos técnicos y la propuesta</v>
      </c>
      <c r="F356" s="221">
        <f>+'Base de Datos'!I356</f>
        <v>382091582</v>
      </c>
      <c r="G356" s="220">
        <f>+'Base de Datos'!M356</f>
        <v>42261</v>
      </c>
      <c r="H356" s="220">
        <f>+'Base de Datos'!N356</f>
        <v>42565</v>
      </c>
      <c r="I356" s="179">
        <v>103612275</v>
      </c>
      <c r="J356" s="360">
        <v>42565</v>
      </c>
      <c r="K356" s="237">
        <v>32870759</v>
      </c>
      <c r="L356" s="363">
        <v>42657</v>
      </c>
      <c r="M356" s="179"/>
      <c r="N356" s="360"/>
      <c r="O356" s="179"/>
      <c r="P356" s="365"/>
      <c r="Q356" s="86">
        <f t="shared" si="25"/>
        <v>136483034</v>
      </c>
      <c r="R356" s="284" t="s">
        <v>379</v>
      </c>
      <c r="S356" s="360">
        <v>42657</v>
      </c>
      <c r="T356" s="179" t="s">
        <v>381</v>
      </c>
      <c r="U356" s="360">
        <v>42688</v>
      </c>
      <c r="V356" s="179"/>
      <c r="W356" s="360"/>
      <c r="X356" s="179"/>
      <c r="Y356" s="360"/>
      <c r="Z356" s="353" t="s">
        <v>380</v>
      </c>
      <c r="AA356" s="89">
        <f t="shared" si="26"/>
        <v>42688</v>
      </c>
      <c r="AB356" s="843">
        <v>21214654</v>
      </c>
      <c r="AC356" s="843">
        <v>318900</v>
      </c>
      <c r="AD356" s="843">
        <v>23785858</v>
      </c>
      <c r="AE356" s="843">
        <v>26280465</v>
      </c>
      <c r="AF356" s="843">
        <v>187198</v>
      </c>
      <c r="AG356" s="237">
        <v>21616961</v>
      </c>
      <c r="AH356" s="237">
        <v>24394714</v>
      </c>
      <c r="AI356" s="237">
        <v>208800</v>
      </c>
      <c r="AJ356" s="237">
        <v>27319793</v>
      </c>
      <c r="AK356" s="237">
        <v>39606916</v>
      </c>
      <c r="AL356" s="237">
        <v>26191770</v>
      </c>
      <c r="AM356" s="237">
        <v>494856</v>
      </c>
      <c r="AN356" s="237">
        <v>521722</v>
      </c>
      <c r="AO356" s="237">
        <v>29144780</v>
      </c>
      <c r="AP356" s="237">
        <v>70326212</v>
      </c>
      <c r="AQ356" s="237">
        <v>307632</v>
      </c>
      <c r="AR356" s="237">
        <v>2850294</v>
      </c>
      <c r="AS356" s="237">
        <f>509472+29305521+29072545+3211593+7993092+18732853+439427+4744204+39651313</f>
        <v>133660020</v>
      </c>
      <c r="AT356" s="360">
        <v>42684</v>
      </c>
      <c r="AU356" s="91">
        <f>SUM(AB356:AS356)</f>
        <v>448431545</v>
      </c>
    </row>
    <row r="357" spans="2:47" ht="45" hidden="1" x14ac:dyDescent="0.25">
      <c r="B357" s="2" t="str">
        <f>+'Base de Datos'!E357</f>
        <v>150346-0-2015</v>
      </c>
      <c r="C357" s="2" t="str">
        <f>+'Base de Datos'!F357</f>
        <v>JOHN KENNEDY LEON CASTIBLANCO</v>
      </c>
      <c r="D357" s="2">
        <f>+'Base de Datos'!G357</f>
        <v>80100229</v>
      </c>
      <c r="E357" s="2" t="str">
        <f>+'Base de Datos'!H357</f>
        <v>Prestar los servicios profesionales para apoyar en el desarrollo e implementación de los sistemas de información requeridos, construidos bajo la plataforma Oracle, en el Concejo de Bogotá.</v>
      </c>
      <c r="F357" s="221">
        <f>+'Base de Datos'!I357</f>
        <v>33000000</v>
      </c>
      <c r="G357" s="220">
        <f>+'Base de Datos'!M357</f>
        <v>42249</v>
      </c>
      <c r="H357" s="220">
        <f>+'Base de Datos'!N357</f>
        <v>42431</v>
      </c>
      <c r="I357" s="179"/>
      <c r="J357" s="360"/>
      <c r="K357" s="237"/>
      <c r="L357" s="363"/>
      <c r="M357" s="179"/>
      <c r="N357" s="360"/>
      <c r="O357" s="179"/>
      <c r="P357" s="365"/>
      <c r="Q357" s="86">
        <f t="shared" si="25"/>
        <v>0</v>
      </c>
      <c r="R357" s="284"/>
      <c r="S357" s="360"/>
      <c r="T357" s="179"/>
      <c r="U357" s="360"/>
      <c r="V357" s="179"/>
      <c r="W357" s="360"/>
      <c r="X357" s="179"/>
      <c r="Y357" s="360"/>
      <c r="Z357" s="353"/>
      <c r="AA357" s="89">
        <f t="shared" si="26"/>
        <v>0</v>
      </c>
      <c r="AB357" s="237">
        <v>5316666</v>
      </c>
      <c r="AC357" s="237">
        <v>5500000</v>
      </c>
      <c r="AD357" s="237">
        <v>5500000</v>
      </c>
      <c r="AE357" s="237">
        <v>5500000</v>
      </c>
      <c r="AF357" s="237">
        <v>5500000</v>
      </c>
      <c r="AG357" s="237">
        <v>5500000</v>
      </c>
      <c r="AH357" s="237">
        <v>183334</v>
      </c>
      <c r="AI357" s="237"/>
      <c r="AJ357" s="237"/>
      <c r="AK357" s="237"/>
      <c r="AL357" s="237"/>
      <c r="AM357" s="237"/>
      <c r="AN357" s="237"/>
      <c r="AO357" s="237"/>
      <c r="AP357" s="237"/>
      <c r="AQ357" s="237"/>
      <c r="AR357" s="237"/>
      <c r="AS357" s="237"/>
      <c r="AT357" s="360">
        <v>42440</v>
      </c>
      <c r="AU357" s="91">
        <f t="shared" si="27"/>
        <v>33000000</v>
      </c>
    </row>
    <row r="358" spans="2:47" ht="33.75" hidden="1" x14ac:dyDescent="0.25">
      <c r="B358" s="2" t="str">
        <f>+'Base de Datos'!E358</f>
        <v>150348-0-2015</v>
      </c>
      <c r="C358" s="2" t="str">
        <f>+'Base de Datos'!F358</f>
        <v>ORION CONIC S.A.S</v>
      </c>
      <c r="D358" s="2" t="str">
        <f>+'Base de Datos'!G358</f>
        <v>900201461 - 1</v>
      </c>
      <c r="E358" s="2" t="str">
        <f>+'Base de Datos'!H358</f>
        <v>Adquirir a título de compraventa elementos de protección personal para los servidores públicos del Concejo de Bogotá, D.C</v>
      </c>
      <c r="F358" s="221">
        <f>+'Base de Datos'!I358</f>
        <v>19141000</v>
      </c>
      <c r="G358" s="220">
        <f>+'Base de Datos'!M358</f>
        <v>42262</v>
      </c>
      <c r="H358" s="220">
        <f>+'Base de Datos'!N358</f>
        <v>42384</v>
      </c>
      <c r="I358" s="179"/>
      <c r="J358" s="360"/>
      <c r="K358" s="237"/>
      <c r="L358" s="363"/>
      <c r="M358" s="179"/>
      <c r="N358" s="360"/>
      <c r="O358" s="179"/>
      <c r="P358" s="365"/>
      <c r="Q358" s="86">
        <f t="shared" si="25"/>
        <v>0</v>
      </c>
      <c r="R358" s="284"/>
      <c r="S358" s="360"/>
      <c r="T358" s="179"/>
      <c r="U358" s="360"/>
      <c r="V358" s="179"/>
      <c r="W358" s="360"/>
      <c r="X358" s="179"/>
      <c r="Y358" s="360"/>
      <c r="Z358" s="353"/>
      <c r="AA358" s="89">
        <f t="shared" si="26"/>
        <v>0</v>
      </c>
      <c r="AB358" s="237">
        <v>19140398</v>
      </c>
      <c r="AC358" s="237"/>
      <c r="AD358" s="237"/>
      <c r="AE358" s="237"/>
      <c r="AF358" s="237"/>
      <c r="AG358" s="237"/>
      <c r="AH358" s="237"/>
      <c r="AI358" s="237"/>
      <c r="AJ358" s="237"/>
      <c r="AK358" s="237"/>
      <c r="AL358" s="237"/>
      <c r="AM358" s="237"/>
      <c r="AN358" s="237"/>
      <c r="AO358" s="237"/>
      <c r="AP358" s="237"/>
      <c r="AQ358" s="237"/>
      <c r="AR358" s="237"/>
      <c r="AS358" s="237"/>
      <c r="AT358" s="360"/>
      <c r="AU358" s="91">
        <f t="shared" si="27"/>
        <v>19140398</v>
      </c>
    </row>
    <row r="359" spans="2:47" hidden="1" x14ac:dyDescent="0.25">
      <c r="B359" s="2" t="str">
        <f>+'Base de Datos'!E359</f>
        <v>150340-0-2015</v>
      </c>
      <c r="C359" s="2" t="str">
        <f>+'Base de Datos'!F359</f>
        <v>RICOH COLOMBIA S.A.</v>
      </c>
      <c r="D359" s="2">
        <f>+'Base de Datos'!G359</f>
        <v>800026212</v>
      </c>
      <c r="E359" s="2" t="str">
        <f>+'Base de Datos'!H359</f>
        <v>Adquirir el software Equitrac, para el Concejo de Bogotá.</v>
      </c>
      <c r="F359" s="221">
        <f>+'Base de Datos'!I359</f>
        <v>72727824</v>
      </c>
      <c r="G359" s="220">
        <f>+'Base de Datos'!M359</f>
        <v>42244</v>
      </c>
      <c r="H359" s="220">
        <f>+'Base de Datos'!N359</f>
        <v>42305</v>
      </c>
      <c r="I359" s="179"/>
      <c r="J359" s="360"/>
      <c r="K359" s="237"/>
      <c r="L359" s="363"/>
      <c r="M359" s="179"/>
      <c r="N359" s="360"/>
      <c r="O359" s="179"/>
      <c r="P359" s="365"/>
      <c r="Q359" s="86">
        <f t="shared" si="25"/>
        <v>0</v>
      </c>
      <c r="R359" s="284"/>
      <c r="S359" s="360"/>
      <c r="T359" s="179"/>
      <c r="U359" s="360"/>
      <c r="V359" s="179"/>
      <c r="W359" s="360"/>
      <c r="X359" s="179"/>
      <c r="Y359" s="360"/>
      <c r="Z359" s="353"/>
      <c r="AA359" s="89">
        <f t="shared" si="26"/>
        <v>0</v>
      </c>
      <c r="AB359" s="237">
        <v>72727824</v>
      </c>
      <c r="AC359" s="237"/>
      <c r="AD359" s="237"/>
      <c r="AE359" s="237"/>
      <c r="AF359" s="237"/>
      <c r="AG359" s="237"/>
      <c r="AH359" s="237"/>
      <c r="AI359" s="237"/>
      <c r="AJ359" s="237"/>
      <c r="AK359" s="237"/>
      <c r="AL359" s="237"/>
      <c r="AM359" s="237"/>
      <c r="AN359" s="237"/>
      <c r="AO359" s="237"/>
      <c r="AP359" s="237"/>
      <c r="AQ359" s="237"/>
      <c r="AR359" s="237"/>
      <c r="AS359" s="237"/>
      <c r="AT359" s="360"/>
      <c r="AU359" s="91">
        <f t="shared" si="27"/>
        <v>72727824</v>
      </c>
    </row>
    <row r="360" spans="2:47" ht="78.75" hidden="1" x14ac:dyDescent="0.25">
      <c r="B360" s="2" t="str">
        <f>+'Base de Datos'!E360</f>
        <v>150351-0-2015</v>
      </c>
      <c r="C360" s="2" t="str">
        <f>+'Base de Datos'!F360</f>
        <v>UNION TEMPORAL TECNOPROCESOS SAS NEGSA</v>
      </c>
      <c r="D360" s="2">
        <f>+'Base de Datos'!G360</f>
        <v>9008873661</v>
      </c>
      <c r="E360" s="2" t="str">
        <f>+'Base de Datos'!H360</f>
        <v>Prestar los servicios de mantenimiento preventivo, correctivo y soporte técnico especializado para los servidores y sus dispositivos del Concejo de Bogotá, D.C., de conformidad con lo establecido en el pliego de condiciones del proceso de Selección Abreviada por Subasta Inversa Electrónica No. SDH-SIE-10-2015 y la propuesta presentada por el contratista.</v>
      </c>
      <c r="F360" s="221">
        <f>+'Base de Datos'!I360</f>
        <v>154954934</v>
      </c>
      <c r="G360" s="220">
        <f>+'Base de Datos'!M360</f>
        <v>42293</v>
      </c>
      <c r="H360" s="220">
        <f>+'Base de Datos'!N360</f>
        <v>42659</v>
      </c>
      <c r="I360" s="179">
        <v>77477467</v>
      </c>
      <c r="J360" s="360">
        <v>42635</v>
      </c>
      <c r="K360" s="237"/>
      <c r="L360" s="363"/>
      <c r="M360" s="179"/>
      <c r="N360" s="360"/>
      <c r="O360" s="179"/>
      <c r="P360" s="365"/>
      <c r="Q360" s="86">
        <f t="shared" si="25"/>
        <v>77477467</v>
      </c>
      <c r="R360" s="284" t="s">
        <v>382</v>
      </c>
      <c r="S360" s="360">
        <v>42841</v>
      </c>
      <c r="T360" s="179"/>
      <c r="U360" s="360"/>
      <c r="V360" s="179"/>
      <c r="W360" s="360"/>
      <c r="X360" s="179"/>
      <c r="Y360" s="360"/>
      <c r="Z360" s="353" t="s">
        <v>382</v>
      </c>
      <c r="AA360" s="89">
        <f t="shared" si="26"/>
        <v>42841</v>
      </c>
      <c r="AB360" s="237">
        <v>25825822</v>
      </c>
      <c r="AC360" s="237"/>
      <c r="AD360" s="237">
        <v>25825822</v>
      </c>
      <c r="AE360" s="237">
        <v>25825822</v>
      </c>
      <c r="AF360" s="237">
        <v>25825822</v>
      </c>
      <c r="AG360" s="237">
        <v>25825822</v>
      </c>
      <c r="AH360" s="237">
        <v>25825822</v>
      </c>
      <c r="AI360" s="237">
        <v>25825822</v>
      </c>
      <c r="AJ360" s="237">
        <v>25825822</v>
      </c>
      <c r="AK360" s="237">
        <v>25825822</v>
      </c>
      <c r="AL360" s="237"/>
      <c r="AM360" s="237"/>
      <c r="AN360" s="237"/>
      <c r="AO360" s="237"/>
      <c r="AP360" s="237"/>
      <c r="AQ360" s="237"/>
      <c r="AR360" s="237"/>
      <c r="AS360" s="237"/>
      <c r="AT360" s="360">
        <v>42940</v>
      </c>
      <c r="AU360" s="91">
        <f t="shared" si="27"/>
        <v>232432398</v>
      </c>
    </row>
    <row r="361" spans="2:47" ht="45" hidden="1" x14ac:dyDescent="0.25">
      <c r="B361" s="2" t="str">
        <f>+'Base de Datos'!E361</f>
        <v>150358-0-2015</v>
      </c>
      <c r="C361" s="2" t="str">
        <f>+'Base de Datos'!F361</f>
        <v>MITSU MOTORS SERVICE S.A.S.</v>
      </c>
      <c r="D361" s="2" t="str">
        <f>+'Base de Datos'!G361</f>
        <v>900069688-9</v>
      </c>
      <c r="E361" s="2" t="str">
        <f>+'Base de Datos'!H361</f>
        <v>Prestar el servicio de mantenimiento periódico preventivo del parque automotor al servicio del Concejo de Bogotá D.C., de conformidad con lo establecido en la presente invitación pública.</v>
      </c>
      <c r="F361" s="221">
        <f>+'Base de Datos'!I361</f>
        <v>28805000</v>
      </c>
      <c r="G361" s="220">
        <f>+'Base de Datos'!M361</f>
        <v>42296</v>
      </c>
      <c r="H361" s="220">
        <f>+'Base de Datos'!N361</f>
        <v>42662</v>
      </c>
      <c r="I361" s="179"/>
      <c r="J361" s="360"/>
      <c r="K361" s="237"/>
      <c r="L361" s="363"/>
      <c r="M361" s="179"/>
      <c r="N361" s="360"/>
      <c r="O361" s="179"/>
      <c r="P361" s="365"/>
      <c r="Q361" s="86">
        <f t="shared" si="25"/>
        <v>0</v>
      </c>
      <c r="R361" s="849" t="s">
        <v>2734</v>
      </c>
      <c r="S361" s="360">
        <v>42735</v>
      </c>
      <c r="T361" s="179"/>
      <c r="U361" s="360"/>
      <c r="V361" s="179"/>
      <c r="W361" s="360"/>
      <c r="X361" s="179"/>
      <c r="Y361" s="360"/>
      <c r="Z361" s="353" t="s">
        <v>2735</v>
      </c>
      <c r="AA361" s="89">
        <f t="shared" si="26"/>
        <v>42735</v>
      </c>
      <c r="AB361" s="237">
        <v>1275001</v>
      </c>
      <c r="AC361" s="237">
        <v>534501</v>
      </c>
      <c r="AD361" s="237">
        <v>1533685</v>
      </c>
      <c r="AE361" s="237">
        <v>887564</v>
      </c>
      <c r="AF361" s="237">
        <f>930001+212500</f>
        <v>1142501</v>
      </c>
      <c r="AG361" s="237">
        <v>932500</v>
      </c>
      <c r="AH361" s="237">
        <v>754548</v>
      </c>
      <c r="AI361" s="237">
        <v>1131502</v>
      </c>
      <c r="AJ361" s="237">
        <v>1340582</v>
      </c>
      <c r="AK361" s="237">
        <v>1264481</v>
      </c>
      <c r="AL361" s="237">
        <v>1497884</v>
      </c>
      <c r="AM361" s="237"/>
      <c r="AN361" s="237"/>
      <c r="AO361" s="237"/>
      <c r="AP361" s="237"/>
      <c r="AQ361" s="237"/>
      <c r="AR361" s="237"/>
      <c r="AS361" s="237"/>
      <c r="AT361" s="360">
        <v>42794</v>
      </c>
      <c r="AU361" s="91">
        <f t="shared" si="27"/>
        <v>12294749</v>
      </c>
    </row>
    <row r="362" spans="2:47" ht="33.75" hidden="1" x14ac:dyDescent="0.25">
      <c r="B362" s="2" t="str">
        <f>+'Base de Datos'!E362</f>
        <v>150353-0-2015</v>
      </c>
      <c r="C362" s="2" t="str">
        <f>+'Base de Datos'!F362</f>
        <v>PRODUCTORA Y COMERCIALIZADORA ODONTOLÓGICA NEW STETIC S.A.</v>
      </c>
      <c r="D362" s="2" t="str">
        <f>+'Base de Datos'!G362</f>
        <v>890900267-0</v>
      </c>
      <c r="E362" s="2" t="str">
        <f>+'Base de Datos'!H362</f>
        <v>Adquisición de elementos e insumos necesarios para atender los primeros auxilios y dotar los botiquines del Concejo de Bogotá D.C.</v>
      </c>
      <c r="F362" s="221">
        <f>+'Base de Datos'!I362</f>
        <v>6000000</v>
      </c>
      <c r="G362" s="220">
        <f>+'Base de Datos'!M362</f>
        <v>42291</v>
      </c>
      <c r="H362" s="220">
        <f>+'Base de Datos'!N362</f>
        <v>42352</v>
      </c>
      <c r="I362" s="179"/>
      <c r="J362" s="360"/>
      <c r="K362" s="237"/>
      <c r="L362" s="363"/>
      <c r="M362" s="179"/>
      <c r="N362" s="360"/>
      <c r="O362" s="179"/>
      <c r="P362" s="365"/>
      <c r="Q362" s="86">
        <f t="shared" si="25"/>
        <v>0</v>
      </c>
      <c r="R362" s="284"/>
      <c r="S362" s="360"/>
      <c r="T362" s="179"/>
      <c r="U362" s="360"/>
      <c r="V362" s="179"/>
      <c r="W362" s="360"/>
      <c r="X362" s="179"/>
      <c r="Y362" s="360"/>
      <c r="Z362" s="353"/>
      <c r="AA362" s="89">
        <f t="shared" si="26"/>
        <v>0</v>
      </c>
      <c r="AB362" s="237">
        <v>5999890</v>
      </c>
      <c r="AC362" s="237"/>
      <c r="AD362" s="237"/>
      <c r="AE362" s="237"/>
      <c r="AF362" s="237"/>
      <c r="AG362" s="237"/>
      <c r="AH362" s="237"/>
      <c r="AI362" s="237"/>
      <c r="AJ362" s="237"/>
      <c r="AK362" s="237"/>
      <c r="AL362" s="237"/>
      <c r="AM362" s="237"/>
      <c r="AN362" s="237"/>
      <c r="AO362" s="237"/>
      <c r="AP362" s="237"/>
      <c r="AQ362" s="237"/>
      <c r="AR362" s="237"/>
      <c r="AS362" s="237"/>
      <c r="AT362" s="360"/>
      <c r="AU362" s="91">
        <f t="shared" si="27"/>
        <v>5999890</v>
      </c>
    </row>
    <row r="363" spans="2:47" ht="22.5" hidden="1" x14ac:dyDescent="0.25">
      <c r="B363" s="2" t="str">
        <f>+'Base de Datos'!E363</f>
        <v>150363-0-2015</v>
      </c>
      <c r="C363" s="2" t="str">
        <f>+'Base de Datos'!F363</f>
        <v>EDITORIAL EL GLOBO S.A.</v>
      </c>
      <c r="D363" s="2">
        <f>+'Base de Datos'!G363</f>
        <v>860009759</v>
      </c>
      <c r="E363" s="2" t="str">
        <f>+'Base de Datos'!H363</f>
        <v>Suscripción al diario La República para el Concejo de Bogotá D.C.</v>
      </c>
      <c r="F363" s="221">
        <f>+'Base de Datos'!I363</f>
        <v>764100</v>
      </c>
      <c r="G363" s="220">
        <f>+'Base de Datos'!M363</f>
        <v>42336</v>
      </c>
      <c r="H363" s="220">
        <f>+'Base de Datos'!N363</f>
        <v>42702</v>
      </c>
      <c r="I363" s="179"/>
      <c r="J363" s="360"/>
      <c r="K363" s="237"/>
      <c r="L363" s="363"/>
      <c r="M363" s="179"/>
      <c r="N363" s="360"/>
      <c r="O363" s="179"/>
      <c r="P363" s="365"/>
      <c r="Q363" s="86">
        <f t="shared" si="25"/>
        <v>0</v>
      </c>
      <c r="R363" s="284"/>
      <c r="S363" s="360"/>
      <c r="T363" s="179"/>
      <c r="U363" s="360"/>
      <c r="V363" s="179"/>
      <c r="W363" s="360"/>
      <c r="X363" s="179"/>
      <c r="Y363" s="360"/>
      <c r="Z363" s="353"/>
      <c r="AA363" s="89">
        <f t="shared" si="26"/>
        <v>0</v>
      </c>
      <c r="AB363" s="237">
        <v>764100</v>
      </c>
      <c r="AC363" s="237"/>
      <c r="AD363" s="237"/>
      <c r="AE363" s="237"/>
      <c r="AF363" s="237"/>
      <c r="AG363" s="237"/>
      <c r="AH363" s="237"/>
      <c r="AI363" s="237"/>
      <c r="AJ363" s="237"/>
      <c r="AK363" s="237"/>
      <c r="AL363" s="237"/>
      <c r="AM363" s="237"/>
      <c r="AN363" s="237"/>
      <c r="AO363" s="237"/>
      <c r="AP363" s="237"/>
      <c r="AQ363" s="237"/>
      <c r="AR363" s="237"/>
      <c r="AS363" s="237"/>
      <c r="AT363" s="360">
        <v>42356</v>
      </c>
      <c r="AU363" s="91">
        <f t="shared" si="27"/>
        <v>764100</v>
      </c>
    </row>
    <row r="364" spans="2:47" ht="33.75" hidden="1" x14ac:dyDescent="0.25">
      <c r="B364" s="2" t="str">
        <f>+'Base de Datos'!E364</f>
        <v>150369-0-2015</v>
      </c>
      <c r="C364" s="2" t="str">
        <f>+'Base de Datos'!F364</f>
        <v>DANIEL JOSE MORALES VARGAS</v>
      </c>
      <c r="D364" s="2">
        <f>+'Base de Datos'!G364</f>
        <v>17024109</v>
      </c>
      <c r="E364" s="2" t="str">
        <f>+'Base de Datos'!H364</f>
        <v>PRESTAR LOS SERVICIOS PARA LA ELABORACIÓN DEL RETRATO SOBRE LIENZO AL ÓLEO DEL PRESIDENTE DE LA MESA DIRECTIVA DEL CONCEJO DE BOGOTÁ.</v>
      </c>
      <c r="F364" s="221">
        <f>+'Base de Datos'!I364</f>
        <v>6660000</v>
      </c>
      <c r="G364" s="220">
        <f>+'Base de Datos'!M364</f>
        <v>42303</v>
      </c>
      <c r="H364" s="220">
        <f>+'Base de Datos'!N364</f>
        <v>42364</v>
      </c>
      <c r="I364" s="179"/>
      <c r="J364" s="360"/>
      <c r="K364" s="237"/>
      <c r="L364" s="363"/>
      <c r="M364" s="179"/>
      <c r="N364" s="360"/>
      <c r="O364" s="179"/>
      <c r="P364" s="365"/>
      <c r="Q364" s="86">
        <f t="shared" si="25"/>
        <v>0</v>
      </c>
      <c r="R364" s="284"/>
      <c r="S364" s="360"/>
      <c r="T364" s="179"/>
      <c r="U364" s="360"/>
      <c r="V364" s="179"/>
      <c r="W364" s="360"/>
      <c r="X364" s="179"/>
      <c r="Y364" s="360"/>
      <c r="Z364" s="353"/>
      <c r="AA364" s="89">
        <f t="shared" si="26"/>
        <v>0</v>
      </c>
      <c r="AB364" s="237">
        <v>6600000</v>
      </c>
      <c r="AC364" s="237"/>
      <c r="AD364" s="237"/>
      <c r="AE364" s="237"/>
      <c r="AF364" s="237"/>
      <c r="AG364" s="237"/>
      <c r="AH364" s="237"/>
      <c r="AI364" s="237"/>
      <c r="AJ364" s="237"/>
      <c r="AK364" s="237"/>
      <c r="AL364" s="237"/>
      <c r="AM364" s="237"/>
      <c r="AN364" s="237"/>
      <c r="AO364" s="237"/>
      <c r="AP364" s="237"/>
      <c r="AQ364" s="237"/>
      <c r="AR364" s="237"/>
      <c r="AS364" s="237"/>
      <c r="AT364" s="360">
        <v>42408</v>
      </c>
      <c r="AU364" s="91">
        <f t="shared" si="27"/>
        <v>6600000</v>
      </c>
    </row>
    <row r="365" spans="2:47" ht="45" hidden="1" x14ac:dyDescent="0.25">
      <c r="B365" s="2" t="str">
        <f>+'Base de Datos'!E365</f>
        <v>150373-0-2015</v>
      </c>
      <c r="C365" s="2" t="str">
        <f>+'Base de Datos'!F365</f>
        <v>CENTRO DE RECURSOS EDUCATIVOS PARA LA COMPETITIVIDAD EMPRESARIAL LTDA. CRECE LTDA.</v>
      </c>
      <c r="D365" s="2">
        <f>+'Base de Datos'!G365</f>
        <v>830143378</v>
      </c>
      <c r="E365" s="2" t="str">
        <f>+'Base de Datos'!H365</f>
        <v>Ejecutar actividades del Plan Institucional de Capacitación del Concejo de Bogotá, D.C., - Grupo 3, según el pliego de condiciones del proceso SDH-LP-04-2015</v>
      </c>
      <c r="F365" s="221">
        <f>+'Base de Datos'!I365</f>
        <v>436914000</v>
      </c>
      <c r="G365" s="220">
        <f>+'Base de Datos'!M365</f>
        <v>42362</v>
      </c>
      <c r="H365" s="220">
        <f>+'Base de Datos'!N365</f>
        <v>42605</v>
      </c>
      <c r="I365" s="179"/>
      <c r="J365" s="360"/>
      <c r="K365" s="237"/>
      <c r="L365" s="363"/>
      <c r="M365" s="179"/>
      <c r="N365" s="360"/>
      <c r="O365" s="179"/>
      <c r="P365" s="365"/>
      <c r="Q365" s="86">
        <f t="shared" si="25"/>
        <v>0</v>
      </c>
      <c r="R365" s="284" t="s">
        <v>378</v>
      </c>
      <c r="S365" s="360">
        <v>42666</v>
      </c>
      <c r="T365" s="179" t="s">
        <v>2703</v>
      </c>
      <c r="U365" s="360">
        <v>42704</v>
      </c>
      <c r="V365" s="179"/>
      <c r="W365" s="360"/>
      <c r="X365" s="179"/>
      <c r="Y365" s="360"/>
      <c r="Z365" s="353" t="s">
        <v>2704</v>
      </c>
      <c r="AA365" s="89">
        <f t="shared" si="26"/>
        <v>42704</v>
      </c>
      <c r="AB365" s="237">
        <v>93855600</v>
      </c>
      <c r="AC365" s="237">
        <v>61851200</v>
      </c>
      <c r="AD365" s="237">
        <v>59693600</v>
      </c>
      <c r="AE365" s="237"/>
      <c r="AF365" s="237">
        <v>54659200</v>
      </c>
      <c r="AG365" s="237">
        <v>32364000</v>
      </c>
      <c r="AH365" s="237">
        <v>44950000</v>
      </c>
      <c r="AI365" s="237">
        <v>43871200</v>
      </c>
      <c r="AJ365" s="237">
        <v>15822400</v>
      </c>
      <c r="AK365" s="237">
        <v>29846800</v>
      </c>
      <c r="AL365" s="237"/>
      <c r="AM365" s="237"/>
      <c r="AN365" s="237"/>
      <c r="AO365" s="237"/>
      <c r="AP365" s="237"/>
      <c r="AQ365" s="237"/>
      <c r="AR365" s="237"/>
      <c r="AS365" s="237"/>
      <c r="AT365" s="360">
        <v>42716</v>
      </c>
      <c r="AU365" s="91">
        <f t="shared" si="27"/>
        <v>436914000</v>
      </c>
    </row>
    <row r="366" spans="2:47" ht="67.5" hidden="1" x14ac:dyDescent="0.25">
      <c r="B366" s="2" t="str">
        <f>+'Base de Datos'!E366</f>
        <v>150377-0-2015</v>
      </c>
      <c r="C366" s="2" t="str">
        <f>+'Base de Datos'!F366</f>
        <v>CAJA DE COMPENSACION FAMILIAR COMPENSAR</v>
      </c>
      <c r="D366" s="2">
        <f>+'Base de Datos'!G366</f>
        <v>8600669427</v>
      </c>
      <c r="E366" s="2" t="str">
        <f>+'Base de Datos'!H366</f>
        <v>Prestar los servicios para desarrollar actividades contenidas en los Planes de Bienestar e Incentivos y Mejoramiento del Clima Laboral para el Concejo de Bogotá, D.C., de conformidad con lo establecido en el pliego de condiciones de la Licitación Pública No. SDH-LP-03-2015 y la propuesta presentada por el contratista.</v>
      </c>
      <c r="F366" s="221">
        <f>+'Base de Datos'!I366</f>
        <v>550762000</v>
      </c>
      <c r="G366" s="220">
        <f>+'Base de Datos'!M366</f>
        <v>42305</v>
      </c>
      <c r="H366" s="220">
        <f>+'Base de Datos'!N366</f>
        <v>42579</v>
      </c>
      <c r="I366" s="179">
        <v>170000000</v>
      </c>
      <c r="J366" s="360">
        <v>42541</v>
      </c>
      <c r="K366" s="237">
        <v>86744000</v>
      </c>
      <c r="L366" s="363">
        <v>42593</v>
      </c>
      <c r="M366" s="179"/>
      <c r="N366" s="360"/>
      <c r="O366" s="179"/>
      <c r="P366" s="365"/>
      <c r="Q366" s="86">
        <f t="shared" si="25"/>
        <v>256744000</v>
      </c>
      <c r="R366" s="284" t="s">
        <v>2547</v>
      </c>
      <c r="S366" s="360">
        <v>42613</v>
      </c>
      <c r="T366" s="179" t="s">
        <v>1325</v>
      </c>
      <c r="U366" s="360">
        <v>42633</v>
      </c>
      <c r="V366" s="179"/>
      <c r="W366" s="360"/>
      <c r="X366" s="179"/>
      <c r="Y366" s="360"/>
      <c r="Z366" s="353" t="s">
        <v>2614</v>
      </c>
      <c r="AA366" s="89">
        <f t="shared" si="26"/>
        <v>42633</v>
      </c>
      <c r="AB366" s="237">
        <v>366402740</v>
      </c>
      <c r="AC366" s="237">
        <v>27000000</v>
      </c>
      <c r="AD366" s="237">
        <v>46988000</v>
      </c>
      <c r="AE366" s="237">
        <v>14400000</v>
      </c>
      <c r="AF366" s="237">
        <v>42000000</v>
      </c>
      <c r="AG366" s="237">
        <v>7300260</v>
      </c>
      <c r="AH366" s="237">
        <v>24000000</v>
      </c>
      <c r="AI366" s="237">
        <v>22671000</v>
      </c>
      <c r="AJ366" s="237">
        <v>70500200</v>
      </c>
      <c r="AK366" s="237">
        <v>7133304</v>
      </c>
      <c r="AL366" s="237">
        <v>33935488</v>
      </c>
      <c r="AM366" s="237">
        <v>63391000</v>
      </c>
      <c r="AN366" s="237">
        <v>29456721</v>
      </c>
      <c r="AO366" s="237"/>
      <c r="AP366" s="237"/>
      <c r="AQ366" s="237"/>
      <c r="AR366" s="237"/>
      <c r="AS366" s="237"/>
      <c r="AT366" s="360">
        <v>42707</v>
      </c>
      <c r="AU366" s="91">
        <f>SUM(AB366:AR366)</f>
        <v>755178713</v>
      </c>
    </row>
    <row r="367" spans="2:47" ht="22.5" hidden="1" x14ac:dyDescent="0.25">
      <c r="B367" s="2" t="str">
        <f>+'Base de Datos'!E367</f>
        <v>150380-0-2015</v>
      </c>
      <c r="C367" s="2" t="str">
        <f>+'Base de Datos'!F367</f>
        <v>EDITORES CONARTE SAS</v>
      </c>
      <c r="D367" s="2" t="str">
        <f>+'Base de Datos'!G367</f>
        <v>830120684-3</v>
      </c>
      <c r="E367" s="2" t="str">
        <f>+'Base de Datos'!H367</f>
        <v>Prestar el servicio de empaste y encuadernación de documentos del Concejo de Bogotá D.C.</v>
      </c>
      <c r="F367" s="221">
        <f>+'Base de Datos'!I367</f>
        <v>2742000</v>
      </c>
      <c r="G367" s="220">
        <f>+'Base de Datos'!M367</f>
        <v>42321</v>
      </c>
      <c r="H367" s="220">
        <f>+'Base de Datos'!N367</f>
        <v>42534</v>
      </c>
      <c r="I367" s="179"/>
      <c r="J367" s="360"/>
      <c r="K367" s="237"/>
      <c r="L367" s="363"/>
      <c r="M367" s="179"/>
      <c r="N367" s="360"/>
      <c r="O367" s="179"/>
      <c r="P367" s="365"/>
      <c r="Q367" s="86">
        <f t="shared" si="25"/>
        <v>0</v>
      </c>
      <c r="R367" s="284"/>
      <c r="S367" s="360"/>
      <c r="T367" s="179"/>
      <c r="U367" s="360"/>
      <c r="V367" s="179"/>
      <c r="W367" s="360"/>
      <c r="X367" s="179"/>
      <c r="Y367" s="360"/>
      <c r="Z367" s="353"/>
      <c r="AA367" s="89">
        <f t="shared" si="26"/>
        <v>0</v>
      </c>
      <c r="AB367" s="237">
        <v>1625160</v>
      </c>
      <c r="AC367" s="237">
        <v>1116044</v>
      </c>
      <c r="AD367" s="237"/>
      <c r="AE367" s="237"/>
      <c r="AF367" s="237"/>
      <c r="AG367" s="237"/>
      <c r="AH367" s="237"/>
      <c r="AI367" s="237"/>
      <c r="AJ367" s="237"/>
      <c r="AK367" s="237"/>
      <c r="AL367" s="237"/>
      <c r="AM367" s="237"/>
      <c r="AN367" s="237"/>
      <c r="AO367" s="237"/>
      <c r="AP367" s="237"/>
      <c r="AQ367" s="237"/>
      <c r="AR367" s="237"/>
      <c r="AS367" s="237"/>
      <c r="AT367" s="360">
        <v>42594</v>
      </c>
      <c r="AU367" s="91">
        <f t="shared" si="27"/>
        <v>2741204</v>
      </c>
    </row>
    <row r="368" spans="2:47" ht="56.25" hidden="1" x14ac:dyDescent="0.25">
      <c r="B368" s="2" t="str">
        <f>+'Base de Datos'!E368</f>
        <v>150382-0-2015</v>
      </c>
      <c r="C368" s="2" t="str">
        <f>+'Base de Datos'!F368</f>
        <v>OPENLINK SISTEMAS DE REDES DE DATOS S A S</v>
      </c>
      <c r="D368" s="2">
        <f>+'Base de Datos'!G368</f>
        <v>900254691</v>
      </c>
      <c r="E368" s="2" t="str">
        <f>+'Base de Datos'!H368</f>
        <v>Contratar la adquisición de equipos de red switches para el Concejo de Bogotá, de conformidad con el alcance del objeto y lo señalado en el pliego de condiciones del proceso SDH-SIE-14-2015, en la Ficha Técnica y en la propuesta.</v>
      </c>
      <c r="F368" s="221">
        <f>+'Base de Datos'!I368</f>
        <v>1512217703</v>
      </c>
      <c r="G368" s="220">
        <f>+'Base de Datos'!M368</f>
        <v>42333</v>
      </c>
      <c r="H368" s="220">
        <f>+'Base de Datos'!N368</f>
        <v>42515</v>
      </c>
      <c r="I368" s="179"/>
      <c r="J368" s="360"/>
      <c r="K368" s="237"/>
      <c r="L368" s="363"/>
      <c r="M368" s="179"/>
      <c r="N368" s="360"/>
      <c r="O368" s="179"/>
      <c r="P368" s="365"/>
      <c r="Q368" s="86">
        <f t="shared" si="25"/>
        <v>0</v>
      </c>
      <c r="R368" s="284"/>
      <c r="S368" s="360"/>
      <c r="T368" s="179"/>
      <c r="U368" s="360"/>
      <c r="V368" s="179"/>
      <c r="W368" s="360"/>
      <c r="X368" s="179"/>
      <c r="Y368" s="360"/>
      <c r="Z368" s="353"/>
      <c r="AA368" s="89">
        <f t="shared" si="26"/>
        <v>0</v>
      </c>
      <c r="AB368" s="237">
        <v>453665311</v>
      </c>
      <c r="AC368" s="237">
        <v>604887082</v>
      </c>
      <c r="AD368" s="237">
        <v>453665310</v>
      </c>
      <c r="AE368" s="237"/>
      <c r="AF368" s="237"/>
      <c r="AG368" s="237"/>
      <c r="AH368" s="237"/>
      <c r="AI368" s="237"/>
      <c r="AJ368" s="237"/>
      <c r="AK368" s="237"/>
      <c r="AL368" s="237"/>
      <c r="AM368" s="237"/>
      <c r="AN368" s="237"/>
      <c r="AO368" s="237"/>
      <c r="AP368" s="237"/>
      <c r="AQ368" s="237"/>
      <c r="AR368" s="237"/>
      <c r="AS368" s="237"/>
      <c r="AT368" s="360">
        <v>42558</v>
      </c>
      <c r="AU368" s="91">
        <f t="shared" si="27"/>
        <v>1512217703</v>
      </c>
    </row>
    <row r="369" spans="2:47" ht="56.25" hidden="1" x14ac:dyDescent="0.25">
      <c r="B369" s="2" t="str">
        <f>+'Base de Datos'!E369</f>
        <v>150386-0-2015</v>
      </c>
      <c r="C369" s="2" t="str">
        <f>+'Base de Datos'!F369</f>
        <v>ALMACENES EXITO S.A</v>
      </c>
      <c r="D369" s="2">
        <f>+'Base de Datos'!G369</f>
        <v>890900608</v>
      </c>
      <c r="E369" s="2" t="str">
        <f>+'Base de Datos'!H369</f>
        <v>Adquisición de bonos navideños para los hijos de los funcionarios del Concejo de Bogotá, de conformidad con lo establecido en el pliego de condiciones del proceso de selección abreviada de menor cuantía SDH-SAMC-06-2015 y la propuesta presentada por el contratista.</v>
      </c>
      <c r="F369" s="221">
        <f>+'Base de Datos'!I369</f>
        <v>37372300</v>
      </c>
      <c r="G369" s="220">
        <f>+'Base de Datos'!M369</f>
        <v>42331</v>
      </c>
      <c r="H369" s="220">
        <f>+'Base de Datos'!N369</f>
        <v>42392</v>
      </c>
      <c r="I369" s="179"/>
      <c r="J369" s="360"/>
      <c r="K369" s="237"/>
      <c r="L369" s="363"/>
      <c r="M369" s="179"/>
      <c r="N369" s="360"/>
      <c r="O369" s="179"/>
      <c r="P369" s="365"/>
      <c r="Q369" s="86">
        <f t="shared" ref="Q369:Q384" si="28">SUM(I369,K369,M369,O369)</f>
        <v>0</v>
      </c>
      <c r="R369" s="284" t="s">
        <v>544</v>
      </c>
      <c r="S369" s="360">
        <v>42544</v>
      </c>
      <c r="T369" s="179"/>
      <c r="U369" s="360"/>
      <c r="V369" s="179"/>
      <c r="W369" s="360"/>
      <c r="X369" s="179"/>
      <c r="Y369" s="360"/>
      <c r="Z369" s="353" t="s">
        <v>544</v>
      </c>
      <c r="AA369" s="89">
        <f t="shared" ref="AA369:AA384" si="29">MAX(S369,U369,W369,Y369)</f>
        <v>42544</v>
      </c>
      <c r="AB369" s="237">
        <v>29382355</v>
      </c>
      <c r="AC369" s="237">
        <v>515480</v>
      </c>
      <c r="AD369" s="237"/>
      <c r="AE369" s="237"/>
      <c r="AF369" s="237"/>
      <c r="AG369" s="237"/>
      <c r="AH369" s="237"/>
      <c r="AI369" s="237"/>
      <c r="AJ369" s="237"/>
      <c r="AK369" s="237"/>
      <c r="AL369" s="237"/>
      <c r="AM369" s="237"/>
      <c r="AN369" s="237"/>
      <c r="AO369" s="237"/>
      <c r="AP369" s="237"/>
      <c r="AQ369" s="237"/>
      <c r="AR369" s="237"/>
      <c r="AS369" s="237"/>
      <c r="AT369" s="360">
        <v>42599</v>
      </c>
      <c r="AU369" s="91">
        <f t="shared" ref="AU369:AU384" si="30">SUM(AB369:AR369)</f>
        <v>29897835</v>
      </c>
    </row>
    <row r="370" spans="2:47" ht="45" hidden="1" x14ac:dyDescent="0.25">
      <c r="B370" s="2" t="str">
        <f>+'Base de Datos'!E370</f>
        <v>150391-0-2015</v>
      </c>
      <c r="C370" s="2" t="str">
        <f>+'Base de Datos'!F370</f>
        <v>UNIÓN TEMPORAL BMIND - KOGHI</v>
      </c>
      <c r="D370" s="2">
        <f>+'Base de Datos'!G370</f>
        <v>900908963</v>
      </c>
      <c r="E370" s="2" t="str">
        <f>+'Base de Datos'!H370</f>
        <v>Prestar los servicios de administración y soporte técnico para la plataforma Oracle del Concejo de Bogotá, de conformidad con lo establecido en el Pliego de condiciones.</v>
      </c>
      <c r="F370" s="221">
        <f>+'Base de Datos'!I370</f>
        <v>96032643</v>
      </c>
      <c r="G370" s="220">
        <f>+'Base de Datos'!M370</f>
        <v>42345</v>
      </c>
      <c r="H370" s="220">
        <f>+'Base de Datos'!N370</f>
        <v>42620</v>
      </c>
      <c r="I370" s="179"/>
      <c r="J370" s="360"/>
      <c r="K370" s="237"/>
      <c r="L370" s="363"/>
      <c r="M370" s="179"/>
      <c r="N370" s="360"/>
      <c r="O370" s="179"/>
      <c r="P370" s="365"/>
      <c r="Q370" s="86">
        <f t="shared" si="28"/>
        <v>0</v>
      </c>
      <c r="R370" s="284"/>
      <c r="S370" s="360"/>
      <c r="T370" s="179"/>
      <c r="U370" s="360"/>
      <c r="V370" s="179"/>
      <c r="W370" s="360"/>
      <c r="X370" s="179"/>
      <c r="Y370" s="360"/>
      <c r="Z370" s="353"/>
      <c r="AA370" s="89">
        <f t="shared" si="29"/>
        <v>0</v>
      </c>
      <c r="AB370" s="237">
        <v>10678830</v>
      </c>
      <c r="AC370" s="237">
        <v>10669227</v>
      </c>
      <c r="AD370" s="237">
        <v>10669227</v>
      </c>
      <c r="AE370" s="237">
        <v>10669227</v>
      </c>
      <c r="AF370" s="237">
        <v>10669227</v>
      </c>
      <c r="AG370" s="237">
        <v>10669227</v>
      </c>
      <c r="AH370" s="237">
        <v>10669227</v>
      </c>
      <c r="AI370" s="237">
        <v>10669227</v>
      </c>
      <c r="AJ370" s="237">
        <v>10669224</v>
      </c>
      <c r="AK370" s="237"/>
      <c r="AL370" s="237"/>
      <c r="AM370" s="237"/>
      <c r="AN370" s="237"/>
      <c r="AO370" s="237"/>
      <c r="AP370" s="237"/>
      <c r="AQ370" s="237"/>
      <c r="AR370" s="237"/>
      <c r="AS370" s="237"/>
      <c r="AT370" s="360">
        <v>42689</v>
      </c>
      <c r="AU370" s="91">
        <f t="shared" si="30"/>
        <v>96032643</v>
      </c>
    </row>
    <row r="371" spans="2:47" ht="33.75" hidden="1" x14ac:dyDescent="0.25">
      <c r="B371" s="2" t="str">
        <f>+'Base de Datos'!E371</f>
        <v>150394-0-2015</v>
      </c>
      <c r="C371" s="2" t="str">
        <f>+'Base de Datos'!F371</f>
        <v>SOLUCIONES H&amp;S SAS</v>
      </c>
      <c r="D371" s="2" t="str">
        <f>+'Base de Datos'!G371</f>
        <v>900699012 - 3</v>
      </c>
      <c r="E371" s="2" t="str">
        <f>+'Base de Datos'!H371</f>
        <v>Prestar el servicio de alquiler, instalación y desmonte de iluminación y decoración navideña en la sede principal del Concejo de Bogotá D.C.</v>
      </c>
      <c r="F371" s="221">
        <f>+'Base de Datos'!I371</f>
        <v>17340258</v>
      </c>
      <c r="G371" s="220">
        <f>+'Base de Datos'!M371</f>
        <v>42338</v>
      </c>
      <c r="H371" s="220">
        <f>+'Base de Datos'!N371</f>
        <v>42399</v>
      </c>
      <c r="I371" s="179"/>
      <c r="J371" s="360"/>
      <c r="K371" s="237"/>
      <c r="L371" s="363"/>
      <c r="M371" s="179"/>
      <c r="N371" s="360"/>
      <c r="O371" s="179"/>
      <c r="P371" s="365"/>
      <c r="Q371" s="86">
        <f t="shared" si="28"/>
        <v>0</v>
      </c>
      <c r="R371" s="284"/>
      <c r="S371" s="360"/>
      <c r="T371" s="179"/>
      <c r="U371" s="360"/>
      <c r="V371" s="179"/>
      <c r="W371" s="360"/>
      <c r="X371" s="179"/>
      <c r="Y371" s="360"/>
      <c r="Z371" s="353"/>
      <c r="AA371" s="89">
        <f t="shared" si="29"/>
        <v>0</v>
      </c>
      <c r="AB371" s="237">
        <v>17340258</v>
      </c>
      <c r="AC371" s="237"/>
      <c r="AD371" s="237"/>
      <c r="AE371" s="237"/>
      <c r="AF371" s="237"/>
      <c r="AG371" s="237"/>
      <c r="AH371" s="237"/>
      <c r="AI371" s="237"/>
      <c r="AJ371" s="237"/>
      <c r="AK371" s="237"/>
      <c r="AL371" s="237"/>
      <c r="AM371" s="237"/>
      <c r="AN371" s="237"/>
      <c r="AO371" s="237"/>
      <c r="AP371" s="237"/>
      <c r="AQ371" s="237"/>
      <c r="AR371" s="237"/>
      <c r="AS371" s="237"/>
      <c r="AT371" s="360">
        <v>42408</v>
      </c>
      <c r="AU371" s="91">
        <f t="shared" si="30"/>
        <v>17340258</v>
      </c>
    </row>
    <row r="372" spans="2:47" ht="56.25" hidden="1" x14ac:dyDescent="0.25">
      <c r="B372" s="2" t="str">
        <f>+'Base de Datos'!E372</f>
        <v>150398-0-2015</v>
      </c>
      <c r="C372" s="2" t="str">
        <f>+'Base de Datos'!F372</f>
        <v>MARLON ENRIQUE MIRANDA TRUJILLO</v>
      </c>
      <c r="D372" s="2">
        <f>+'Base de Datos'!G372</f>
        <v>72007383</v>
      </c>
      <c r="E372" s="2" t="str">
        <f>+'Base de Datos'!H372</f>
        <v>Prestar los servicios profesionales al Concejo de Bogotá en la revisión al sistema Perno y desarrollo de software para las liquidaciones de los funcionarios realizada por el área de nómina, de conformidad con lo señalado en los estudios previos</v>
      </c>
      <c r="F372" s="221">
        <f>+'Base de Datos'!I372</f>
        <v>27500000</v>
      </c>
      <c r="G372" s="220">
        <f>+'Base de Datos'!M372</f>
        <v>42349</v>
      </c>
      <c r="H372" s="220">
        <f>+'Base de Datos'!N372</f>
        <v>42501</v>
      </c>
      <c r="I372" s="179"/>
      <c r="J372" s="360"/>
      <c r="K372" s="237"/>
      <c r="L372" s="363"/>
      <c r="M372" s="179"/>
      <c r="N372" s="360"/>
      <c r="O372" s="179"/>
      <c r="P372" s="365"/>
      <c r="Q372" s="86">
        <f t="shared" si="28"/>
        <v>0</v>
      </c>
      <c r="R372" s="284"/>
      <c r="S372" s="360"/>
      <c r="T372" s="179"/>
      <c r="U372" s="360"/>
      <c r="V372" s="179"/>
      <c r="W372" s="360"/>
      <c r="X372" s="179"/>
      <c r="Y372" s="360"/>
      <c r="Z372" s="353"/>
      <c r="AA372" s="89">
        <f t="shared" si="29"/>
        <v>0</v>
      </c>
      <c r="AB372" s="237">
        <v>3850000</v>
      </c>
      <c r="AC372" s="237">
        <v>5500000</v>
      </c>
      <c r="AD372" s="237">
        <v>5500000</v>
      </c>
      <c r="AE372" s="237">
        <v>5500000</v>
      </c>
      <c r="AF372" s="237">
        <v>5500000</v>
      </c>
      <c r="AG372" s="237">
        <v>1650000</v>
      </c>
      <c r="AH372" s="237"/>
      <c r="AI372" s="237"/>
      <c r="AJ372" s="237"/>
      <c r="AK372" s="237"/>
      <c r="AL372" s="237"/>
      <c r="AM372" s="237"/>
      <c r="AN372" s="237"/>
      <c r="AO372" s="237"/>
      <c r="AP372" s="237"/>
      <c r="AQ372" s="237"/>
      <c r="AR372" s="237"/>
      <c r="AS372" s="237"/>
      <c r="AT372" s="360">
        <v>42471</v>
      </c>
      <c r="AU372" s="91">
        <f t="shared" si="30"/>
        <v>27500000</v>
      </c>
    </row>
    <row r="373" spans="2:47" ht="45" hidden="1" x14ac:dyDescent="0.25">
      <c r="B373" s="2" t="str">
        <f>+'Base de Datos'!E373</f>
        <v>150397-0-2015</v>
      </c>
      <c r="C373" s="2" t="str">
        <f>+'Base de Datos'!F373</f>
        <v>ORACLE COLOMBIA LTDA</v>
      </c>
      <c r="D373" s="2">
        <f>+'Base de Datos'!G373</f>
        <v>79634149</v>
      </c>
      <c r="E373" s="2" t="str">
        <f>+'Base de Datos'!H373</f>
        <v>Adquisición de licencias Oracle, infraestructura, y servicios de instalación, configuración, migración de datos y movimiento de aplicaciones para el Concejo de Bogotá, D.C.</v>
      </c>
      <c r="F373" s="221">
        <f>+'Base de Datos'!I373</f>
        <v>910786703.20000005</v>
      </c>
      <c r="G373" s="220">
        <f>+'Base de Datos'!M373</f>
        <v>42341</v>
      </c>
      <c r="H373" s="220">
        <f>+'Base de Datos'!N373</f>
        <v>42524</v>
      </c>
      <c r="I373" s="179"/>
      <c r="J373" s="360"/>
      <c r="K373" s="237"/>
      <c r="L373" s="363"/>
      <c r="M373" s="179"/>
      <c r="N373" s="360"/>
      <c r="O373" s="179"/>
      <c r="P373" s="365"/>
      <c r="Q373" s="86">
        <f t="shared" si="28"/>
        <v>0</v>
      </c>
      <c r="R373" s="284"/>
      <c r="S373" s="360"/>
      <c r="T373" s="179"/>
      <c r="U373" s="360"/>
      <c r="V373" s="179"/>
      <c r="W373" s="360"/>
      <c r="X373" s="179"/>
      <c r="Y373" s="360"/>
      <c r="Z373" s="353"/>
      <c r="AA373" s="89">
        <f t="shared" si="29"/>
        <v>0</v>
      </c>
      <c r="AB373" s="237">
        <v>910786703</v>
      </c>
      <c r="AC373" s="237"/>
      <c r="AD373" s="237"/>
      <c r="AE373" s="237"/>
      <c r="AF373" s="237"/>
      <c r="AG373" s="237"/>
      <c r="AH373" s="237"/>
      <c r="AI373" s="237"/>
      <c r="AJ373" s="237"/>
      <c r="AK373" s="237"/>
      <c r="AL373" s="237"/>
      <c r="AM373" s="237"/>
      <c r="AN373" s="237"/>
      <c r="AO373" s="237"/>
      <c r="AP373" s="237"/>
      <c r="AQ373" s="237"/>
      <c r="AR373" s="237"/>
      <c r="AS373" s="237"/>
      <c r="AT373" s="360">
        <v>42516</v>
      </c>
      <c r="AU373" s="91">
        <f t="shared" si="30"/>
        <v>910786703</v>
      </c>
    </row>
    <row r="374" spans="2:47" ht="22.5" hidden="1" x14ac:dyDescent="0.25">
      <c r="B374" s="2" t="str">
        <f>+'Base de Datos'!E374</f>
        <v>150404-0-2015</v>
      </c>
      <c r="C374" s="2" t="str">
        <f>+'Base de Datos'!F374</f>
        <v>PUBLIDRUGS LTDA</v>
      </c>
      <c r="D374" s="2" t="str">
        <f>+'Base de Datos'!G374</f>
        <v>830080146-1</v>
      </c>
      <c r="E374" s="2" t="str">
        <f>+'Base de Datos'!H374</f>
        <v>Adquisición de vallas y conos de seguridad para el Concejo de Bogotá D.C.</v>
      </c>
      <c r="F374" s="221">
        <f>+'Base de Datos'!I374</f>
        <v>8404200</v>
      </c>
      <c r="G374" s="220">
        <f>+'Base de Datos'!M374</f>
        <v>42383</v>
      </c>
      <c r="H374" s="220">
        <f>+'Base de Datos'!N374</f>
        <v>42443</v>
      </c>
      <c r="I374" s="179"/>
      <c r="J374" s="360"/>
      <c r="K374" s="237"/>
      <c r="L374" s="363"/>
      <c r="M374" s="179"/>
      <c r="N374" s="360"/>
      <c r="O374" s="179"/>
      <c r="P374" s="365"/>
      <c r="Q374" s="86">
        <f t="shared" si="28"/>
        <v>0</v>
      </c>
      <c r="R374" s="284"/>
      <c r="S374" s="360"/>
      <c r="T374" s="179"/>
      <c r="U374" s="360"/>
      <c r="V374" s="179"/>
      <c r="W374" s="360"/>
      <c r="X374" s="179"/>
      <c r="Y374" s="360"/>
      <c r="Z374" s="353"/>
      <c r="AA374" s="89">
        <f t="shared" si="29"/>
        <v>0</v>
      </c>
      <c r="AB374" s="237">
        <v>8404200</v>
      </c>
      <c r="AC374" s="237"/>
      <c r="AD374" s="237"/>
      <c r="AE374" s="237"/>
      <c r="AF374" s="237"/>
      <c r="AG374" s="237"/>
      <c r="AH374" s="237"/>
      <c r="AI374" s="237"/>
      <c r="AJ374" s="237"/>
      <c r="AK374" s="237"/>
      <c r="AL374" s="237"/>
      <c r="AM374" s="237"/>
      <c r="AN374" s="237"/>
      <c r="AO374" s="237"/>
      <c r="AP374" s="237"/>
      <c r="AQ374" s="237"/>
      <c r="AR374" s="237"/>
      <c r="AS374" s="237"/>
      <c r="AT374" s="360">
        <v>42503</v>
      </c>
      <c r="AU374" s="91">
        <f t="shared" si="30"/>
        <v>8404200</v>
      </c>
    </row>
    <row r="375" spans="2:47" ht="56.25" hidden="1" x14ac:dyDescent="0.25">
      <c r="B375" s="2" t="str">
        <f>+'Base de Datos'!E375</f>
        <v>150400-0-2015</v>
      </c>
      <c r="C375" s="2" t="str">
        <f>+'Base de Datos'!F375</f>
        <v>CENTURY MEDIA S A S</v>
      </c>
      <c r="D375" s="2" t="str">
        <f>+'Base de Datos'!G375</f>
        <v>830075011 - 4</v>
      </c>
      <c r="E375" s="2" t="str">
        <f>+'Base de Datos'!H375</f>
        <v>Prestar el servicio de diseño, producción y ejecución de estrategias de divulgación en medios de comunicación de carácter masivo, alternativo y comunitario para el Concejo de Bogotá, de conformidad con lo establecido en el pliego de condiciones del proceso SDH-SIE-17-2015</v>
      </c>
      <c r="F375" s="221">
        <f>+'Base de Datos'!I375</f>
        <v>345000000</v>
      </c>
      <c r="G375" s="220">
        <f>+'Base de Datos'!M375</f>
        <v>42383</v>
      </c>
      <c r="H375" s="220">
        <f>+'Base de Datos'!N375</f>
        <v>42627</v>
      </c>
      <c r="I375" s="179">
        <v>172500000</v>
      </c>
      <c r="J375" s="360">
        <v>42627</v>
      </c>
      <c r="K375" s="237"/>
      <c r="L375" s="363"/>
      <c r="M375" s="179"/>
      <c r="N375" s="360"/>
      <c r="O375" s="179"/>
      <c r="P375" s="365"/>
      <c r="Q375" s="86">
        <f t="shared" si="28"/>
        <v>172500000</v>
      </c>
      <c r="R375" s="862" t="s">
        <v>2681</v>
      </c>
      <c r="S375" s="360">
        <v>42766</v>
      </c>
      <c r="T375" s="179"/>
      <c r="U375" s="360"/>
      <c r="V375" s="179"/>
      <c r="W375" s="360"/>
      <c r="X375" s="179"/>
      <c r="Y375" s="360"/>
      <c r="Z375" s="384" t="s">
        <v>2681</v>
      </c>
      <c r="AA375" s="89">
        <f t="shared" si="29"/>
        <v>42766</v>
      </c>
      <c r="AB375" s="237">
        <v>4827384</v>
      </c>
      <c r="AC375" s="237">
        <v>53974368</v>
      </c>
      <c r="AD375" s="237"/>
      <c r="AE375" s="237">
        <v>4020894</v>
      </c>
      <c r="AF375" s="237">
        <v>37556389</v>
      </c>
      <c r="AG375" s="237">
        <v>47221788</v>
      </c>
      <c r="AH375" s="237">
        <v>119341741</v>
      </c>
      <c r="AI375" s="237">
        <v>43871958</v>
      </c>
      <c r="AJ375" s="237">
        <v>20060866</v>
      </c>
      <c r="AK375" s="237">
        <v>14124612</v>
      </c>
      <c r="AL375" s="237">
        <v>729142</v>
      </c>
      <c r="AM375" s="237">
        <v>101110725</v>
      </c>
      <c r="AN375" s="237">
        <v>26797231</v>
      </c>
      <c r="AO375" s="237">
        <v>42757117</v>
      </c>
      <c r="AP375" s="237"/>
      <c r="AQ375" s="237"/>
      <c r="AR375" s="237"/>
      <c r="AS375" s="237"/>
      <c r="AT375" s="360">
        <v>42808</v>
      </c>
      <c r="AU375" s="91">
        <f t="shared" si="30"/>
        <v>516394215</v>
      </c>
    </row>
    <row r="376" spans="2:47" ht="45" hidden="1" x14ac:dyDescent="0.25">
      <c r="B376" s="2" t="str">
        <f>+'Base de Datos'!E376</f>
        <v>150401-0-2015</v>
      </c>
      <c r="C376" s="2" t="str">
        <f>+'Base de Datos'!F376</f>
        <v>ORACLE COLOMBIA LTDA</v>
      </c>
      <c r="D376" s="2">
        <f>+'Base de Datos'!G376</f>
        <v>79634149</v>
      </c>
      <c r="E376" s="2" t="str">
        <f>+'Base de Datos'!H376</f>
        <v>Adquisición de licencias Oracle, infraestructura, y servicios de instalación, configuración, migración de datos y movimiento de aplicaciones para el Concejo de Bogotá, D.C.</v>
      </c>
      <c r="F376" s="221">
        <f>+'Base de Datos'!I376</f>
        <v>295840339</v>
      </c>
      <c r="G376" s="220">
        <f>+'Base de Datos'!M376</f>
        <v>42349</v>
      </c>
      <c r="H376" s="220">
        <f>+'Base de Datos'!N376</f>
        <v>42532</v>
      </c>
      <c r="I376" s="179"/>
      <c r="J376" s="360"/>
      <c r="K376" s="237"/>
      <c r="L376" s="363"/>
      <c r="M376" s="179"/>
      <c r="N376" s="360"/>
      <c r="O376" s="179"/>
      <c r="P376" s="365"/>
      <c r="Q376" s="86">
        <f t="shared" si="28"/>
        <v>0</v>
      </c>
      <c r="R376" s="284"/>
      <c r="S376" s="360"/>
      <c r="T376" s="179"/>
      <c r="U376" s="360"/>
      <c r="V376" s="179"/>
      <c r="W376" s="360"/>
      <c r="X376" s="179"/>
      <c r="Y376" s="360"/>
      <c r="Z376" s="353"/>
      <c r="AA376" s="89">
        <f t="shared" si="29"/>
        <v>0</v>
      </c>
      <c r="AB376" s="237">
        <v>295840339</v>
      </c>
      <c r="AC376" s="237"/>
      <c r="AD376" s="237"/>
      <c r="AE376" s="237"/>
      <c r="AF376" s="237"/>
      <c r="AG376" s="237"/>
      <c r="AH376" s="237"/>
      <c r="AI376" s="237"/>
      <c r="AJ376" s="237"/>
      <c r="AK376" s="237"/>
      <c r="AL376" s="237"/>
      <c r="AM376" s="237"/>
      <c r="AN376" s="237"/>
      <c r="AO376" s="237"/>
      <c r="AP376" s="237"/>
      <c r="AQ376" s="237"/>
      <c r="AR376" s="237"/>
      <c r="AS376" s="237"/>
      <c r="AT376" s="360">
        <v>42724</v>
      </c>
      <c r="AU376" s="91">
        <f t="shared" si="30"/>
        <v>295840339</v>
      </c>
    </row>
    <row r="377" spans="2:47" ht="45" hidden="1" x14ac:dyDescent="0.25">
      <c r="B377" s="2" t="str">
        <f>+'Base de Datos'!E377</f>
        <v>150402-0-2015</v>
      </c>
      <c r="C377" s="2" t="str">
        <f>+'Base de Datos'!F377</f>
        <v>ORACLE COLOMBIA LTDA</v>
      </c>
      <c r="D377" s="2">
        <f>+'Base de Datos'!G377</f>
        <v>79634149</v>
      </c>
      <c r="E377" s="2" t="str">
        <f>+'Base de Datos'!H377</f>
        <v>Adquisición de licencias Oracle, infraestructura, y servicios de instalación, configuración, migración de datos y movimiento de aplicaciones para el Concejo de Bogotá, D.C.</v>
      </c>
      <c r="F377" s="221">
        <f>+'Base de Datos'!I377</f>
        <v>188315358.83000001</v>
      </c>
      <c r="G377" s="220">
        <f>+'Base de Datos'!M377</f>
        <v>42349</v>
      </c>
      <c r="H377" s="220">
        <f>+'Base de Datos'!N377</f>
        <v>42532</v>
      </c>
      <c r="I377" s="179"/>
      <c r="J377" s="360"/>
      <c r="K377" s="237"/>
      <c r="L377" s="363"/>
      <c r="M377" s="179"/>
      <c r="N377" s="360"/>
      <c r="O377" s="179"/>
      <c r="P377" s="365"/>
      <c r="Q377" s="86">
        <f t="shared" si="28"/>
        <v>0</v>
      </c>
      <c r="R377" s="284"/>
      <c r="S377" s="360"/>
      <c r="T377" s="179"/>
      <c r="U377" s="360"/>
      <c r="V377" s="179"/>
      <c r="W377" s="360"/>
      <c r="X377" s="179"/>
      <c r="Y377" s="360"/>
      <c r="Z377" s="353"/>
      <c r="AA377" s="89">
        <f t="shared" si="29"/>
        <v>0</v>
      </c>
      <c r="AB377" s="237">
        <v>188315359</v>
      </c>
      <c r="AC377" s="237"/>
      <c r="AD377" s="237"/>
      <c r="AE377" s="237"/>
      <c r="AF377" s="237"/>
      <c r="AG377" s="237"/>
      <c r="AH377" s="237"/>
      <c r="AI377" s="237"/>
      <c r="AJ377" s="237"/>
      <c r="AK377" s="237"/>
      <c r="AL377" s="237"/>
      <c r="AM377" s="237"/>
      <c r="AN377" s="237"/>
      <c r="AO377" s="237"/>
      <c r="AP377" s="237"/>
      <c r="AQ377" s="237"/>
      <c r="AR377" s="237"/>
      <c r="AS377" s="237"/>
      <c r="AT377" s="360">
        <v>42487</v>
      </c>
      <c r="AU377" s="91">
        <f t="shared" si="30"/>
        <v>188315359</v>
      </c>
    </row>
    <row r="378" spans="2:47" ht="33.75" hidden="1" x14ac:dyDescent="0.25">
      <c r="B378" s="2" t="str">
        <f>+'Base de Datos'!E378</f>
        <v>150405-0-2015</v>
      </c>
      <c r="C378" s="2" t="str">
        <f>+'Base de Datos'!F378</f>
        <v>PROSEGUR TECNOLOGIA S.A.S</v>
      </c>
      <c r="D378" s="2">
        <f>+'Base de Datos'!G378</f>
        <v>830025104</v>
      </c>
      <c r="E378" s="2" t="str">
        <f>+'Base de Datos'!H378</f>
        <v>Prestar los servicios de valoración y mantenimiento preventivo de la plataforma del sistema de voto electrónico del Concejo de Bogotá D.C.</v>
      </c>
      <c r="F378" s="221">
        <f>+'Base de Datos'!I378</f>
        <v>64250000</v>
      </c>
      <c r="G378" s="220">
        <f>+'Base de Datos'!M378</f>
        <v>42384</v>
      </c>
      <c r="H378" s="220">
        <f>+'Base de Datos'!N378</f>
        <v>42505</v>
      </c>
      <c r="I378" s="179"/>
      <c r="J378" s="360"/>
      <c r="K378" s="237"/>
      <c r="L378" s="363"/>
      <c r="M378" s="179"/>
      <c r="N378" s="360"/>
      <c r="O378" s="179"/>
      <c r="P378" s="365"/>
      <c r="Q378" s="86">
        <f t="shared" si="28"/>
        <v>0</v>
      </c>
      <c r="R378" s="284" t="s">
        <v>2458</v>
      </c>
      <c r="S378" s="360">
        <v>42536</v>
      </c>
      <c r="T378" s="179"/>
      <c r="U378" s="360"/>
      <c r="V378" s="179"/>
      <c r="W378" s="360"/>
      <c r="X378" s="179"/>
      <c r="Y378" s="360"/>
      <c r="Z378" s="353" t="s">
        <v>381</v>
      </c>
      <c r="AA378" s="89">
        <f t="shared" si="29"/>
        <v>42536</v>
      </c>
      <c r="AB378" s="237">
        <v>64250000</v>
      </c>
      <c r="AC378" s="237"/>
      <c r="AD378" s="237"/>
      <c r="AE378" s="237"/>
      <c r="AF378" s="237"/>
      <c r="AG378" s="237"/>
      <c r="AH378" s="237"/>
      <c r="AI378" s="237"/>
      <c r="AJ378" s="237"/>
      <c r="AK378" s="237"/>
      <c r="AL378" s="237"/>
      <c r="AM378" s="237"/>
      <c r="AN378" s="237"/>
      <c r="AO378" s="237"/>
      <c r="AP378" s="237"/>
      <c r="AQ378" s="237"/>
      <c r="AR378" s="237"/>
      <c r="AS378" s="237"/>
      <c r="AT378" s="360">
        <v>42613</v>
      </c>
      <c r="AU378" s="91">
        <f t="shared" si="30"/>
        <v>64250000</v>
      </c>
    </row>
    <row r="379" spans="2:47" ht="56.25" hidden="1" x14ac:dyDescent="0.25">
      <c r="B379" s="2" t="str">
        <f>+'Base de Datos'!E379</f>
        <v>150408-0-2015</v>
      </c>
      <c r="C379" s="2" t="str">
        <f>+'Base de Datos'!F379</f>
        <v>SOLUCIONES ICG S.A.S</v>
      </c>
      <c r="D379" s="2" t="str">
        <f>+'Base de Datos'!G379</f>
        <v>900891247-9</v>
      </c>
      <c r="E379" s="2" t="str">
        <f>+'Base de Datos'!H379</f>
        <v>Adquisición de un software Antivirus para garantizar la seguridad en estaciones de trabajo, servidores físicos y virtuales y correo electrónico del Concejo de Bogotá, de conformidad con lo establecido en la presente invitación pública.</v>
      </c>
      <c r="F379" s="221">
        <f>+'Base de Datos'!I379</f>
        <v>64000000</v>
      </c>
      <c r="G379" s="220">
        <f>+'Base de Datos'!M379</f>
        <v>42384</v>
      </c>
      <c r="H379" s="220">
        <f>+'Base de Datos'!N379</f>
        <v>42750</v>
      </c>
      <c r="I379" s="179"/>
      <c r="J379" s="360"/>
      <c r="K379" s="237"/>
      <c r="L379" s="363"/>
      <c r="M379" s="179"/>
      <c r="N379" s="360"/>
      <c r="O379" s="179"/>
      <c r="P379" s="365"/>
      <c r="Q379" s="86">
        <f t="shared" si="28"/>
        <v>0</v>
      </c>
      <c r="R379" s="284"/>
      <c r="S379" s="360"/>
      <c r="T379" s="179"/>
      <c r="U379" s="360"/>
      <c r="V379" s="179"/>
      <c r="W379" s="360"/>
      <c r="X379" s="179"/>
      <c r="Y379" s="360"/>
      <c r="Z379" s="353"/>
      <c r="AA379" s="89">
        <f t="shared" si="29"/>
        <v>0</v>
      </c>
      <c r="AB379" s="237">
        <v>44800000</v>
      </c>
      <c r="AC379" s="237">
        <v>6400000</v>
      </c>
      <c r="AD379" s="237">
        <v>6400000</v>
      </c>
      <c r="AE379" s="237">
        <v>6400000</v>
      </c>
      <c r="AF379" s="237"/>
      <c r="AG379" s="237"/>
      <c r="AH379" s="237"/>
      <c r="AI379" s="237"/>
      <c r="AJ379" s="237"/>
      <c r="AK379" s="237"/>
      <c r="AL379" s="237"/>
      <c r="AM379" s="237"/>
      <c r="AN379" s="237"/>
      <c r="AO379" s="237"/>
      <c r="AP379" s="237"/>
      <c r="AQ379" s="237"/>
      <c r="AR379" s="237"/>
      <c r="AS379" s="237"/>
      <c r="AT379" s="360">
        <v>42654</v>
      </c>
      <c r="AU379" s="91">
        <f t="shared" si="30"/>
        <v>64000000</v>
      </c>
    </row>
    <row r="380" spans="2:47" ht="22.5" hidden="1" x14ac:dyDescent="0.25">
      <c r="B380" s="2" t="str">
        <f>+'Base de Datos'!E380</f>
        <v>160022-0-2016</v>
      </c>
      <c r="C380" s="2" t="str">
        <f>+'Base de Datos'!F380</f>
        <v>CASA EDITORIAL EL TIEMPO SA</v>
      </c>
      <c r="D380" s="2">
        <f>+'Base de Datos'!G380</f>
        <v>860001022</v>
      </c>
      <c r="E380" s="2" t="str">
        <f>+'Base de Datos'!H380</f>
        <v>Suscripción a los diarios el TIEMPO Y PORTAFOLIO  para el concejo de Bogotá D.C.</v>
      </c>
      <c r="F380" s="221">
        <f>+'Base de Datos'!I380</f>
        <v>1226994</v>
      </c>
      <c r="G380" s="220">
        <f>+'Base de Datos'!M380</f>
        <v>42451</v>
      </c>
      <c r="H380" s="220">
        <f>+'Base de Datos'!N380</f>
        <v>42816</v>
      </c>
      <c r="I380" s="179"/>
      <c r="J380" s="360"/>
      <c r="K380" s="237"/>
      <c r="L380" s="363"/>
      <c r="M380" s="179"/>
      <c r="N380" s="360"/>
      <c r="O380" s="179"/>
      <c r="P380" s="365"/>
      <c r="Q380" s="86">
        <f t="shared" si="28"/>
        <v>0</v>
      </c>
      <c r="R380" s="284"/>
      <c r="S380" s="360"/>
      <c r="T380" s="179"/>
      <c r="U380" s="360"/>
      <c r="V380" s="179"/>
      <c r="W380" s="360"/>
      <c r="X380" s="179"/>
      <c r="Y380" s="360"/>
      <c r="Z380" s="353"/>
      <c r="AA380" s="89">
        <f t="shared" si="29"/>
        <v>0</v>
      </c>
      <c r="AB380" s="237">
        <v>1226994</v>
      </c>
      <c r="AC380" s="237"/>
      <c r="AD380" s="237"/>
      <c r="AE380" s="237"/>
      <c r="AF380" s="237"/>
      <c r="AG380" s="237"/>
      <c r="AH380" s="237"/>
      <c r="AI380" s="237"/>
      <c r="AJ380" s="237"/>
      <c r="AK380" s="237"/>
      <c r="AL380" s="237"/>
      <c r="AM380" s="237"/>
      <c r="AN380" s="237"/>
      <c r="AO380" s="237"/>
      <c r="AP380" s="237"/>
      <c r="AQ380" s="237"/>
      <c r="AR380" s="237"/>
      <c r="AS380" s="237"/>
      <c r="AT380" s="360"/>
      <c r="AU380" s="91">
        <f t="shared" si="30"/>
        <v>1226994</v>
      </c>
    </row>
    <row r="381" spans="2:47" ht="22.5" hidden="1" x14ac:dyDescent="0.25">
      <c r="B381" s="2" t="str">
        <f>+'Base de Datos'!E381</f>
        <v>160002-0-2016</v>
      </c>
      <c r="C381" s="2" t="str">
        <f>+'Base de Datos'!F381</f>
        <v>UT AUTOGAS GRUPO EDS</v>
      </c>
      <c r="D381" s="2">
        <f>+'Base de Datos'!G381</f>
        <v>900459737</v>
      </c>
      <c r="E381" s="2" t="str">
        <f>+'Base de Datos'!H381</f>
        <v>Suministro de combustible para el Concejo de Bogotá D.C.</v>
      </c>
      <c r="F381" s="221">
        <f>+'Base de Datos'!I381</f>
        <v>287600000</v>
      </c>
      <c r="G381" s="220">
        <f>+'Base de Datos'!M381</f>
        <v>42375</v>
      </c>
      <c r="H381" s="220">
        <f>+'Base de Datos'!N381</f>
        <v>42558</v>
      </c>
      <c r="I381" s="179">
        <v>50000000</v>
      </c>
      <c r="J381" s="360">
        <v>42643</v>
      </c>
      <c r="K381" s="237">
        <v>75000000</v>
      </c>
      <c r="L381" s="363"/>
      <c r="M381" s="179"/>
      <c r="N381" s="360"/>
      <c r="O381" s="179"/>
      <c r="P381" s="365"/>
      <c r="Q381" s="86">
        <f t="shared" si="28"/>
        <v>125000000</v>
      </c>
      <c r="R381" s="284" t="s">
        <v>379</v>
      </c>
      <c r="S381" s="360">
        <v>42650</v>
      </c>
      <c r="T381" s="179" t="s">
        <v>2687</v>
      </c>
      <c r="U381" s="360"/>
      <c r="V381" s="179"/>
      <c r="W381" s="360"/>
      <c r="X381" s="179"/>
      <c r="Y381" s="360"/>
      <c r="Z381" s="353" t="s">
        <v>2688</v>
      </c>
      <c r="AA381" s="89">
        <v>42766</v>
      </c>
      <c r="AB381" s="237">
        <v>31516212</v>
      </c>
      <c r="AC381" s="237">
        <v>31432102</v>
      </c>
      <c r="AD381" s="237">
        <v>32885402</v>
      </c>
      <c r="AE381" s="237">
        <v>17426988</v>
      </c>
      <c r="AF381" s="237">
        <v>19583112</v>
      </c>
      <c r="AG381" s="237">
        <v>18201664</v>
      </c>
      <c r="AH381" s="237">
        <v>28059159</v>
      </c>
      <c r="AI381" s="237">
        <v>18231077</v>
      </c>
      <c r="AJ381" s="237">
        <v>36039023</v>
      </c>
      <c r="AK381" s="237">
        <v>36735675</v>
      </c>
      <c r="AL381" s="237">
        <v>34923200</v>
      </c>
      <c r="AM381" s="237">
        <v>35857778</v>
      </c>
      <c r="AN381" s="237">
        <v>12210820</v>
      </c>
      <c r="AO381" s="237">
        <v>21432403</v>
      </c>
      <c r="AP381" s="237">
        <v>35558030</v>
      </c>
      <c r="AQ381" s="237"/>
      <c r="AR381" s="237"/>
      <c r="AS381" s="237"/>
      <c r="AT381" s="360">
        <v>42808</v>
      </c>
      <c r="AU381" s="91">
        <f t="shared" si="30"/>
        <v>410092645</v>
      </c>
    </row>
    <row r="382" spans="2:47" ht="90" hidden="1" x14ac:dyDescent="0.25">
      <c r="B382" s="2" t="str">
        <f>+'Base de Datos'!E382</f>
        <v>160049-0-2016</v>
      </c>
      <c r="C382" s="2" t="str">
        <f>+'Base de Datos'!F382</f>
        <v>UNIVERSIDAD NACIONAL DE COLOMBIA</v>
      </c>
      <c r="D382" s="2">
        <f>+'Base de Datos'!G382</f>
        <v>0</v>
      </c>
      <c r="E382" s="2" t="str">
        <f>+'Base de Datos'!H382</f>
        <v>Prestar los servicios para adelantar los procesos de selección, basados en el mérito, mediante procedimiento  y medios técnicos, objetivos e imparciales, que permitan la participación en igualdad de condiciones de los y las concursantes, que se presenten como aspirantes para proveer los cargos del contralor y personero Distritales de Bogotá D. C., conforme a la reglamentación establecida por el Concejo de Bogotá.</v>
      </c>
      <c r="F382" s="221">
        <f>+'Base de Datos'!I382</f>
        <v>601948308</v>
      </c>
      <c r="G382" s="220">
        <f>+'Base de Datos'!M382</f>
        <v>42447</v>
      </c>
      <c r="H382" s="220">
        <f>+'Base de Datos'!N382</f>
        <v>42539</v>
      </c>
      <c r="I382" s="179"/>
      <c r="J382" s="360"/>
      <c r="K382" s="237"/>
      <c r="L382" s="363"/>
      <c r="M382" s="179"/>
      <c r="N382" s="360"/>
      <c r="O382" s="179"/>
      <c r="P382" s="365"/>
      <c r="Q382" s="86">
        <f t="shared" si="28"/>
        <v>0</v>
      </c>
      <c r="R382" s="284"/>
      <c r="S382" s="360"/>
      <c r="T382" s="179"/>
      <c r="U382" s="360"/>
      <c r="V382" s="179"/>
      <c r="W382" s="360"/>
      <c r="X382" s="179"/>
      <c r="Y382" s="360"/>
      <c r="Z382" s="353"/>
      <c r="AA382" s="89">
        <f t="shared" si="29"/>
        <v>0</v>
      </c>
      <c r="AB382" s="237">
        <v>240779323</v>
      </c>
      <c r="AC382" s="237">
        <v>240779323</v>
      </c>
      <c r="AD382" s="237">
        <v>120389662</v>
      </c>
      <c r="AE382" s="237"/>
      <c r="AF382" s="237"/>
      <c r="AG382" s="237"/>
      <c r="AH382" s="237"/>
      <c r="AI382" s="237"/>
      <c r="AJ382" s="237"/>
      <c r="AK382" s="237"/>
      <c r="AL382" s="237"/>
      <c r="AM382" s="237"/>
      <c r="AN382" s="237"/>
      <c r="AO382" s="237"/>
      <c r="AP382" s="237"/>
      <c r="AQ382" s="237"/>
      <c r="AR382" s="237"/>
      <c r="AS382" s="237"/>
      <c r="AT382" s="360">
        <v>42585</v>
      </c>
      <c r="AU382" s="91">
        <f t="shared" si="30"/>
        <v>601948308</v>
      </c>
    </row>
    <row r="383" spans="2:47" ht="56.25" hidden="1" x14ac:dyDescent="0.25">
      <c r="B383" s="2" t="str">
        <f>+'Base de Datos'!E383</f>
        <v>160060-0-2016</v>
      </c>
      <c r="C383" s="2" t="str">
        <f>+'Base de Datos'!F383</f>
        <v>AGR SOLUCIONES S.A.S.</v>
      </c>
      <c r="D383" s="2">
        <f>+'Base de Datos'!G383</f>
        <v>900333228</v>
      </c>
      <c r="E383" s="2" t="str">
        <f>+'Base de Datos'!H383</f>
        <v>Prestar los servicios de mantenimiento correctivo y preventivo para las maquinas: impresoras litográfica Multilith, compaginadora, guillotina y cizalla manual ubicadas en la oficina de anales y publicaciones del Concejo de Bogotá D.C.</v>
      </c>
      <c r="F383" s="221">
        <f>+'Base de Datos'!I383</f>
        <v>4640000</v>
      </c>
      <c r="G383" s="220">
        <f>+'Base de Datos'!M383</f>
        <v>42473</v>
      </c>
      <c r="H383" s="220">
        <f>+'Base de Datos'!N383</f>
        <v>42807</v>
      </c>
      <c r="I383" s="179"/>
      <c r="J383" s="360"/>
      <c r="K383" s="237"/>
      <c r="L383" s="363"/>
      <c r="M383" s="179"/>
      <c r="N383" s="360"/>
      <c r="O383" s="179"/>
      <c r="P383" s="365"/>
      <c r="Q383" s="86">
        <f t="shared" si="28"/>
        <v>0</v>
      </c>
      <c r="R383" s="284"/>
      <c r="S383" s="360"/>
      <c r="T383" s="179"/>
      <c r="U383" s="360"/>
      <c r="V383" s="179"/>
      <c r="W383" s="360"/>
      <c r="X383" s="179"/>
      <c r="Y383" s="360"/>
      <c r="Z383" s="353"/>
      <c r="AA383" s="89">
        <f t="shared" si="29"/>
        <v>0</v>
      </c>
      <c r="AB383" s="237">
        <v>696000</v>
      </c>
      <c r="AC383" s="237">
        <v>696000</v>
      </c>
      <c r="AD383" s="237">
        <v>696000</v>
      </c>
      <c r="AE383" s="237">
        <v>1856000</v>
      </c>
      <c r="AF383" s="237">
        <v>696000</v>
      </c>
      <c r="AG383" s="237"/>
      <c r="AH383" s="237"/>
      <c r="AI383" s="237"/>
      <c r="AJ383" s="237"/>
      <c r="AK383" s="237"/>
      <c r="AL383" s="237"/>
      <c r="AM383" s="237"/>
      <c r="AN383" s="237"/>
      <c r="AO383" s="237"/>
      <c r="AP383" s="237"/>
      <c r="AQ383" s="237"/>
      <c r="AR383" s="237"/>
      <c r="AS383" s="237"/>
      <c r="AT383" s="360">
        <v>42811</v>
      </c>
      <c r="AU383" s="91">
        <f t="shared" si="30"/>
        <v>4640000</v>
      </c>
    </row>
    <row r="384" spans="2:47" ht="33.75" hidden="1" x14ac:dyDescent="0.25">
      <c r="B384" s="2" t="str">
        <f>+'Base de Datos'!E384</f>
        <v>160041-0-2016</v>
      </c>
      <c r="C384" s="2" t="str">
        <f>+'Base de Datos'!F384</f>
        <v>D P C LTDA DESPACHOS PUBLICOS DE COLOMBIA LTDA</v>
      </c>
      <c r="D384" s="2">
        <f>+'Base de Datos'!G384</f>
        <v>800249557</v>
      </c>
      <c r="E384" s="2" t="str">
        <f>+'Base de Datos'!H384</f>
        <v>Adquirir a título de compra ejemplares del Directorio de Despachos Públicos de Colombia 2016, para el Concejo de Bogotá D.C.</v>
      </c>
      <c r="F384" s="221">
        <f>+'Base de Datos'!I384</f>
        <v>4200000</v>
      </c>
      <c r="G384" s="220">
        <f>+'Base de Datos'!M384</f>
        <v>42467</v>
      </c>
      <c r="H384" s="220">
        <f>+'Base de Datos'!N384</f>
        <v>42620</v>
      </c>
      <c r="I384" s="179"/>
      <c r="J384" s="360"/>
      <c r="K384" s="237"/>
      <c r="L384" s="363"/>
      <c r="M384" s="179"/>
      <c r="N384" s="360"/>
      <c r="O384" s="179"/>
      <c r="P384" s="365"/>
      <c r="Q384" s="86">
        <f t="shared" si="28"/>
        <v>0</v>
      </c>
      <c r="R384" s="284"/>
      <c r="S384" s="360"/>
      <c r="T384" s="179"/>
      <c r="U384" s="360"/>
      <c r="V384" s="179"/>
      <c r="W384" s="360"/>
      <c r="X384" s="179"/>
      <c r="Y384" s="360"/>
      <c r="Z384" s="353"/>
      <c r="AA384" s="89">
        <f t="shared" si="29"/>
        <v>0</v>
      </c>
      <c r="AB384" s="237">
        <v>4200000</v>
      </c>
      <c r="AC384" s="237"/>
      <c r="AD384" s="237"/>
      <c r="AE384" s="237"/>
      <c r="AF384" s="237"/>
      <c r="AG384" s="237"/>
      <c r="AH384" s="237"/>
      <c r="AI384" s="237"/>
      <c r="AJ384" s="237"/>
      <c r="AK384" s="237"/>
      <c r="AL384" s="237"/>
      <c r="AM384" s="237"/>
      <c r="AN384" s="237"/>
      <c r="AO384" s="237"/>
      <c r="AP384" s="237"/>
      <c r="AQ384" s="237"/>
      <c r="AR384" s="237"/>
      <c r="AS384" s="237"/>
      <c r="AT384" s="360">
        <v>42601</v>
      </c>
      <c r="AU384" s="91">
        <f t="shared" si="30"/>
        <v>4200000</v>
      </c>
    </row>
    <row r="385" spans="1:49" s="57" customFormat="1" ht="56.25" hidden="1" x14ac:dyDescent="0.25">
      <c r="A385" s="59"/>
      <c r="B385" s="2" t="str">
        <f>+'Base de Datos'!E385</f>
        <v>160045-0-2016</v>
      </c>
      <c r="C385" s="2" t="str">
        <f>+'Base de Datos'!F385</f>
        <v>VELEÑO ORREGO MARTINEZ DIAS ESTUDIO DE ABOGADOS</v>
      </c>
      <c r="D385" s="2">
        <f>+'Base de Datos'!G385</f>
        <v>900583252</v>
      </c>
      <c r="E385" s="2" t="str">
        <f>+'Base de Datos'!H385</f>
        <v>Prestar servicios profesionales para apoyar jurídicamente a la Mesa Directiva del Concejo de Bogotá en la conceptualización de los asuntos que por su complejidad se requieran para el desarrollo de las funciones legales y reglamentarias de la Corporación.</v>
      </c>
      <c r="F385" s="221">
        <f>+'Base de Datos'!I385</f>
        <v>92800000</v>
      </c>
      <c r="G385" s="220">
        <f>+'Base de Datos'!M385</f>
        <v>42461</v>
      </c>
      <c r="H385" s="220">
        <f>+'Base de Datos'!N385</f>
        <v>42767</v>
      </c>
      <c r="I385" s="179"/>
      <c r="J385" s="360"/>
      <c r="K385" s="237"/>
      <c r="L385" s="363"/>
      <c r="M385" s="179"/>
      <c r="N385" s="360"/>
      <c r="O385" s="179"/>
      <c r="P385" s="365"/>
      <c r="Q385" s="86">
        <f t="shared" ref="Q385:Q448" si="31">SUM(I385,K385,M385,O385)</f>
        <v>0</v>
      </c>
      <c r="R385" s="284"/>
      <c r="S385" s="360"/>
      <c r="T385" s="179"/>
      <c r="U385" s="360"/>
      <c r="V385" s="179"/>
      <c r="W385" s="360"/>
      <c r="X385" s="179"/>
      <c r="Y385" s="360"/>
      <c r="Z385" s="353"/>
      <c r="AA385" s="89">
        <f t="shared" ref="AA385:AA448" si="32">MAX(S385,U385,W385,Y385)</f>
        <v>0</v>
      </c>
      <c r="AB385" s="237">
        <v>9280000</v>
      </c>
      <c r="AC385" s="237">
        <v>9280000</v>
      </c>
      <c r="AD385" s="237">
        <v>9280000</v>
      </c>
      <c r="AE385" s="237">
        <v>9280000</v>
      </c>
      <c r="AF385" s="237">
        <v>9280000</v>
      </c>
      <c r="AG385" s="237">
        <v>9280000</v>
      </c>
      <c r="AH385" s="237">
        <v>9280000</v>
      </c>
      <c r="AI385" s="237">
        <v>9280000</v>
      </c>
      <c r="AJ385" s="237">
        <v>9280000</v>
      </c>
      <c r="AK385" s="237"/>
      <c r="AL385" s="237"/>
      <c r="AM385" s="237"/>
      <c r="AN385" s="237"/>
      <c r="AO385" s="237"/>
      <c r="AP385" s="237"/>
      <c r="AQ385" s="237"/>
      <c r="AR385" s="237"/>
      <c r="AS385" s="237"/>
      <c r="AT385" s="360">
        <v>42754</v>
      </c>
      <c r="AU385" s="91">
        <f t="shared" ref="AU385:AU448" si="33">SUM(AB385:AR385)</f>
        <v>83520000</v>
      </c>
      <c r="AV385" s="14"/>
      <c r="AW385" s="1"/>
    </row>
    <row r="386" spans="1:49" s="57" customFormat="1" ht="45" hidden="1" x14ac:dyDescent="0.25">
      <c r="A386" s="59"/>
      <c r="B386" s="2" t="str">
        <f>+'Base de Datos'!E386</f>
        <v>160047-0-2016</v>
      </c>
      <c r="C386" s="2" t="str">
        <f>+'Base de Datos'!F386</f>
        <v>ROSA ENRIQUELINA GÓMEZ CORREDOR</v>
      </c>
      <c r="D386" s="2">
        <f>+'Base de Datos'!G386</f>
        <v>51931422</v>
      </c>
      <c r="E386" s="2" t="str">
        <f>+'Base de Datos'!H386</f>
        <v>Prestar los servicios profesionales para apoyar la definición, contratación y seguimiento de los temas de infraestructura física que  requiera el Concejo de Bogotá D.C.</v>
      </c>
      <c r="F386" s="221">
        <f>+'Base de Datos'!I386</f>
        <v>61800000</v>
      </c>
      <c r="G386" s="220">
        <f>+'Base de Datos'!M386</f>
        <v>42451</v>
      </c>
      <c r="H386" s="220">
        <f>+'Base de Datos'!N386</f>
        <v>42816</v>
      </c>
      <c r="I386" s="179"/>
      <c r="J386" s="360"/>
      <c r="K386" s="237"/>
      <c r="L386" s="363"/>
      <c r="M386" s="179"/>
      <c r="N386" s="360"/>
      <c r="O386" s="179"/>
      <c r="P386" s="365"/>
      <c r="Q386" s="86">
        <f t="shared" si="31"/>
        <v>0</v>
      </c>
      <c r="R386" s="284"/>
      <c r="S386" s="360"/>
      <c r="T386" s="179"/>
      <c r="U386" s="360"/>
      <c r="V386" s="179"/>
      <c r="W386" s="360"/>
      <c r="X386" s="179"/>
      <c r="Y386" s="360"/>
      <c r="Z386" s="353"/>
      <c r="AA386" s="89">
        <f t="shared" si="32"/>
        <v>0</v>
      </c>
      <c r="AB386" s="237">
        <v>1545000</v>
      </c>
      <c r="AC386" s="237">
        <v>5150000</v>
      </c>
      <c r="AD386" s="237">
        <v>5150000</v>
      </c>
      <c r="AE386" s="237">
        <v>5150000</v>
      </c>
      <c r="AF386" s="237">
        <v>5150000</v>
      </c>
      <c r="AG386" s="237">
        <v>5150000</v>
      </c>
      <c r="AH386" s="237">
        <v>5150000</v>
      </c>
      <c r="AI386" s="237">
        <v>5150000</v>
      </c>
      <c r="AJ386" s="237">
        <v>5150000</v>
      </c>
      <c r="AK386" s="237">
        <v>5150000</v>
      </c>
      <c r="AL386" s="237">
        <v>5150000</v>
      </c>
      <c r="AM386" s="237">
        <v>5150000</v>
      </c>
      <c r="AN386" s="237">
        <v>3605000</v>
      </c>
      <c r="AO386" s="237"/>
      <c r="AP386" s="237"/>
      <c r="AQ386" s="237"/>
      <c r="AR386" s="237"/>
      <c r="AS386" s="237"/>
      <c r="AT386" s="360">
        <v>42844</v>
      </c>
      <c r="AU386" s="91">
        <f t="shared" si="33"/>
        <v>61800000</v>
      </c>
      <c r="AV386" s="14"/>
      <c r="AW386" s="1"/>
    </row>
    <row r="387" spans="1:49" s="57" customFormat="1" ht="45" hidden="1" x14ac:dyDescent="0.25">
      <c r="A387" s="59"/>
      <c r="B387" s="2" t="str">
        <f>+'Base de Datos'!E387</f>
        <v>160066-0-2016</v>
      </c>
      <c r="C387" s="2" t="str">
        <f>+'Base de Datos'!F387</f>
        <v>JOHN KENNEDY LEON CASTIBLANCO</v>
      </c>
      <c r="D387" s="2">
        <f>+'Base de Datos'!G387</f>
        <v>80100229</v>
      </c>
      <c r="E387" s="2" t="str">
        <f>+'Base de Datos'!H387</f>
        <v>Prestar servicios profesionales para apoyar en el desarrollo e implementación de los sistemas de información requeridos construidos bajo la plataforma Oracle en el Concejo de Bogotá D.C.</v>
      </c>
      <c r="F387" s="221">
        <f>+'Base de Datos'!I387</f>
        <v>56650000</v>
      </c>
      <c r="G387" s="220">
        <f>+'Base de Datos'!M387</f>
        <v>42466</v>
      </c>
      <c r="H387" s="220">
        <f>+'Base de Datos'!N387</f>
        <v>42772</v>
      </c>
      <c r="I387" s="179"/>
      <c r="J387" s="360"/>
      <c r="K387" s="237"/>
      <c r="L387" s="363"/>
      <c r="M387" s="179"/>
      <c r="N387" s="360"/>
      <c r="O387" s="179"/>
      <c r="P387" s="365"/>
      <c r="Q387" s="86">
        <f t="shared" si="31"/>
        <v>0</v>
      </c>
      <c r="R387" s="284"/>
      <c r="S387" s="360"/>
      <c r="T387" s="179"/>
      <c r="U387" s="360"/>
      <c r="V387" s="179"/>
      <c r="W387" s="360"/>
      <c r="X387" s="179"/>
      <c r="Y387" s="360"/>
      <c r="Z387" s="353"/>
      <c r="AA387" s="89">
        <f t="shared" si="32"/>
        <v>0</v>
      </c>
      <c r="AB387" s="237">
        <v>4720833</v>
      </c>
      <c r="AC387" s="237">
        <v>5665000</v>
      </c>
      <c r="AD387" s="237">
        <v>5665000</v>
      </c>
      <c r="AE387" s="237">
        <v>5665000</v>
      </c>
      <c r="AF387" s="237">
        <v>5665000</v>
      </c>
      <c r="AG387" s="237">
        <v>5665000</v>
      </c>
      <c r="AH387" s="237">
        <v>5665000</v>
      </c>
      <c r="AI387" s="237">
        <v>5665000</v>
      </c>
      <c r="AJ387" s="237">
        <v>5665000</v>
      </c>
      <c r="AK387" s="237">
        <v>5665000</v>
      </c>
      <c r="AL387" s="237">
        <v>944167</v>
      </c>
      <c r="AM387" s="237"/>
      <c r="AN387" s="237"/>
      <c r="AO387" s="237"/>
      <c r="AP387" s="237"/>
      <c r="AQ387" s="237"/>
      <c r="AR387" s="237"/>
      <c r="AS387" s="237"/>
      <c r="AT387" s="360">
        <v>42809</v>
      </c>
      <c r="AU387" s="91">
        <f t="shared" si="33"/>
        <v>56650000</v>
      </c>
      <c r="AV387" s="14"/>
      <c r="AW387" s="1"/>
    </row>
    <row r="388" spans="1:49" s="57" customFormat="1" ht="33.75" hidden="1" x14ac:dyDescent="0.25">
      <c r="A388" s="59"/>
      <c r="B388" s="2" t="str">
        <f>+'Base de Datos'!E388</f>
        <v>160072-0-2016</v>
      </c>
      <c r="C388" s="2" t="str">
        <f>+'Base de Datos'!F388</f>
        <v>RAFAELA ARIZA VARGAS</v>
      </c>
      <c r="D388" s="2">
        <f>+'Base de Datos'!G388</f>
        <v>35457601</v>
      </c>
      <c r="E388" s="2" t="str">
        <f>+'Base de Datos'!H388</f>
        <v>Prestar servicios profesionales para acompañar la Oficina de Comunicaciones del Concejo de Bogotá en la implementación de estrategias comunicativas.</v>
      </c>
      <c r="F388" s="221">
        <f>+'Base de Datos'!I388</f>
        <v>23872500</v>
      </c>
      <c r="G388" s="220">
        <f>+'Base de Datos'!M388</f>
        <v>42479</v>
      </c>
      <c r="H388" s="220">
        <f>+'Base de Datos'!N388</f>
        <v>42754</v>
      </c>
      <c r="I388" s="179"/>
      <c r="J388" s="360"/>
      <c r="K388" s="237"/>
      <c r="L388" s="363"/>
      <c r="M388" s="179"/>
      <c r="N388" s="360"/>
      <c r="O388" s="179"/>
      <c r="P388" s="365"/>
      <c r="Q388" s="86">
        <f t="shared" si="31"/>
        <v>0</v>
      </c>
      <c r="R388" s="284"/>
      <c r="S388" s="360"/>
      <c r="T388" s="179"/>
      <c r="U388" s="360"/>
      <c r="V388" s="179"/>
      <c r="W388" s="360"/>
      <c r="X388" s="179"/>
      <c r="Y388" s="360"/>
      <c r="Z388" s="353"/>
      <c r="AA388" s="89">
        <f t="shared" si="32"/>
        <v>0</v>
      </c>
      <c r="AB388" s="237">
        <v>1061000</v>
      </c>
      <c r="AC388" s="237">
        <v>2652500</v>
      </c>
      <c r="AD388" s="237">
        <v>2652500</v>
      </c>
      <c r="AE388" s="237">
        <v>2652500</v>
      </c>
      <c r="AF388" s="237">
        <v>2652500</v>
      </c>
      <c r="AG388" s="237">
        <v>2652500</v>
      </c>
      <c r="AH388" s="237">
        <v>2652500</v>
      </c>
      <c r="AI388" s="237">
        <v>2652500</v>
      </c>
      <c r="AJ388" s="237">
        <v>2652500</v>
      </c>
      <c r="AK388" s="237">
        <v>1591500</v>
      </c>
      <c r="AL388" s="237"/>
      <c r="AM388" s="237"/>
      <c r="AN388" s="237"/>
      <c r="AO388" s="237"/>
      <c r="AP388" s="237"/>
      <c r="AQ388" s="237"/>
      <c r="AR388" s="237"/>
      <c r="AS388" s="237"/>
      <c r="AT388" s="360">
        <v>42775</v>
      </c>
      <c r="AU388" s="91">
        <f t="shared" si="33"/>
        <v>23872500</v>
      </c>
      <c r="AV388" s="14"/>
      <c r="AW388" s="1"/>
    </row>
    <row r="389" spans="1:49" s="57" customFormat="1" ht="56.25" hidden="1" x14ac:dyDescent="0.25">
      <c r="A389" s="59"/>
      <c r="B389" s="2" t="str">
        <f>+'Base de Datos'!E389</f>
        <v>160076-0-2016</v>
      </c>
      <c r="C389" s="2" t="str">
        <f>+'Base de Datos'!F389</f>
        <v>EDGAR EULICES GONZÁLEZ</v>
      </c>
      <c r="D389" s="2">
        <f>+'Base de Datos'!G389</f>
        <v>4098836</v>
      </c>
      <c r="E389" s="2" t="str">
        <f>+'Base de Datos'!H389</f>
        <v>Prestar los servicios profesionales para acompañar al Concejo de Bogotá, en la revisión y estudios de las historias laborales de los funcionarios para la definición técnica y jurídica del cumplimiento de requisitos en los diferentes regímenes de pensión.</v>
      </c>
      <c r="F389" s="221">
        <f>+'Base de Datos'!I389</f>
        <v>35595000</v>
      </c>
      <c r="G389" s="220">
        <f>+'Base de Datos'!M389</f>
        <v>42485</v>
      </c>
      <c r="H389" s="220">
        <f>+'Base de Datos'!N389</f>
        <v>42760</v>
      </c>
      <c r="I389" s="179"/>
      <c r="J389" s="360"/>
      <c r="K389" s="237"/>
      <c r="L389" s="363"/>
      <c r="M389" s="179"/>
      <c r="N389" s="360"/>
      <c r="O389" s="179"/>
      <c r="P389" s="365"/>
      <c r="Q389" s="86">
        <f t="shared" si="31"/>
        <v>0</v>
      </c>
      <c r="R389" s="284"/>
      <c r="S389" s="360"/>
      <c r="T389" s="179"/>
      <c r="U389" s="360"/>
      <c r="V389" s="179"/>
      <c r="W389" s="360"/>
      <c r="X389" s="179"/>
      <c r="Y389" s="360"/>
      <c r="Z389" s="353"/>
      <c r="AA389" s="89">
        <f t="shared" si="32"/>
        <v>0</v>
      </c>
      <c r="AB389" s="237">
        <v>791000</v>
      </c>
      <c r="AC389" s="237">
        <v>3955000</v>
      </c>
      <c r="AD389" s="237">
        <v>3955000</v>
      </c>
      <c r="AE389" s="237">
        <v>3955000</v>
      </c>
      <c r="AF389" s="237">
        <v>3955000</v>
      </c>
      <c r="AG389" s="237">
        <v>3955000</v>
      </c>
      <c r="AH389" s="237">
        <v>3955000</v>
      </c>
      <c r="AI389" s="237">
        <v>3955000</v>
      </c>
      <c r="AJ389" s="237">
        <v>3955000</v>
      </c>
      <c r="AK389" s="237">
        <v>3164000</v>
      </c>
      <c r="AL389" s="237"/>
      <c r="AM389" s="237"/>
      <c r="AN389" s="237"/>
      <c r="AO389" s="237"/>
      <c r="AP389" s="237"/>
      <c r="AQ389" s="237"/>
      <c r="AR389" s="237"/>
      <c r="AS389" s="237"/>
      <c r="AT389" s="360">
        <v>42776</v>
      </c>
      <c r="AU389" s="91">
        <f t="shared" si="33"/>
        <v>35595000</v>
      </c>
      <c r="AV389" s="14"/>
      <c r="AW389" s="1"/>
    </row>
    <row r="390" spans="1:49" s="57" customFormat="1" ht="56.25" hidden="1" x14ac:dyDescent="0.25">
      <c r="A390" s="59"/>
      <c r="B390" s="2" t="str">
        <f>+'Base de Datos'!E390</f>
        <v>160053-0-2016</v>
      </c>
      <c r="C390" s="2" t="str">
        <f>+'Base de Datos'!F390</f>
        <v>EMPRESA DE TELECOMUNICACIONES DE BOGOTA S.A.   ESP</v>
      </c>
      <c r="D390" s="2" t="str">
        <f>+'Base de Datos'!G390</f>
        <v>899.999.115-8</v>
      </c>
      <c r="E390" s="2" t="str">
        <f>+'Base de Datos'!H390</f>
        <v>Prestar los servicios de conectividad de canales de comunicación dedicados e Internet y servicios complementarios para el Concejo de Bogotá de conformidad con lo establecido en los Estudios Previos y en el anexo técnico</v>
      </c>
      <c r="F390" s="221">
        <f>+'Base de Datos'!I390</f>
        <v>154000000</v>
      </c>
      <c r="G390" s="220">
        <f>+'Base de Datos'!M390</f>
        <v>42466</v>
      </c>
      <c r="H390" s="220">
        <f>+'Base de Datos'!N390</f>
        <v>42741</v>
      </c>
      <c r="I390" s="179">
        <v>40418052</v>
      </c>
      <c r="J390" s="360">
        <v>42741</v>
      </c>
      <c r="K390" s="237"/>
      <c r="L390" s="363"/>
      <c r="M390" s="179"/>
      <c r="N390" s="360"/>
      <c r="O390" s="179"/>
      <c r="P390" s="365"/>
      <c r="Q390" s="86">
        <f t="shared" si="31"/>
        <v>40418052</v>
      </c>
      <c r="R390" s="284" t="s">
        <v>378</v>
      </c>
      <c r="S390" s="360">
        <v>42800</v>
      </c>
      <c r="T390" s="179"/>
      <c r="U390" s="360"/>
      <c r="V390" s="179"/>
      <c r="W390" s="360"/>
      <c r="X390" s="179"/>
      <c r="Y390" s="360"/>
      <c r="Z390" s="353" t="s">
        <v>378</v>
      </c>
      <c r="AA390" s="89">
        <f t="shared" si="32"/>
        <v>42800</v>
      </c>
      <c r="AB390" s="237">
        <v>92062843</v>
      </c>
      <c r="AC390" s="237">
        <v>61375229</v>
      </c>
      <c r="AD390" s="237">
        <v>15740630</v>
      </c>
      <c r="AE390" s="237"/>
      <c r="AF390" s="237"/>
      <c r="AG390" s="237"/>
      <c r="AH390" s="237"/>
      <c r="AI390" s="237"/>
      <c r="AJ390" s="237"/>
      <c r="AK390" s="237"/>
      <c r="AL390" s="237"/>
      <c r="AM390" s="237"/>
      <c r="AN390" s="237"/>
      <c r="AO390" s="237"/>
      <c r="AP390" s="237"/>
      <c r="AQ390" s="237"/>
      <c r="AR390" s="237"/>
      <c r="AS390" s="237"/>
      <c r="AT390" s="360">
        <v>43109</v>
      </c>
      <c r="AU390" s="91">
        <f t="shared" si="33"/>
        <v>169178702</v>
      </c>
      <c r="AV390" s="14"/>
      <c r="AW390" s="1"/>
    </row>
    <row r="391" spans="1:49" s="57" customFormat="1" ht="67.5" hidden="1" x14ac:dyDescent="0.25">
      <c r="A391" s="59"/>
      <c r="B391" s="2" t="str">
        <f>+'Base de Datos'!E391</f>
        <v>160069-0-2016</v>
      </c>
      <c r="C391" s="2" t="str">
        <f>+'Base de Datos'!F391</f>
        <v>UNIDAD NACIONAL DE PROTECCION - UNP</v>
      </c>
      <c r="D391" s="2">
        <f>+'Base de Datos'!G391</f>
        <v>900475780</v>
      </c>
      <c r="E391" s="2" t="str">
        <f>+'Base de Datos'!H391</f>
        <v>Aunar esfuerzos humanos, técnicos, logísticos y administrativos para garantizar el esquema de seguridad requerido por los Concejales del Distrito Capital, que se encuentran en situación de riesgo extraordinario o extremo, como consecuencia directa del ejercicio de sus funciones.</v>
      </c>
      <c r="F391" s="221">
        <f>+'Base de Datos'!I391</f>
        <v>3454655000</v>
      </c>
      <c r="G391" s="220">
        <f>+'Base de Datos'!M391</f>
        <v>42468</v>
      </c>
      <c r="H391" s="220">
        <f>+'Base de Datos'!N391</f>
        <v>42735</v>
      </c>
      <c r="I391" s="179"/>
      <c r="J391" s="360"/>
      <c r="K391" s="237"/>
      <c r="L391" s="363"/>
      <c r="M391" s="179"/>
      <c r="N391" s="360"/>
      <c r="O391" s="179"/>
      <c r="P391" s="365"/>
      <c r="Q391" s="86">
        <f t="shared" si="31"/>
        <v>0</v>
      </c>
      <c r="R391" s="284" t="s">
        <v>962</v>
      </c>
      <c r="S391" s="360">
        <v>42750</v>
      </c>
      <c r="T391" s="179"/>
      <c r="U391" s="360"/>
      <c r="V391" s="179"/>
      <c r="W391" s="360"/>
      <c r="X391" s="179"/>
      <c r="Y391" s="360"/>
      <c r="Z391" s="353" t="s">
        <v>962</v>
      </c>
      <c r="AA391" s="89">
        <f t="shared" si="32"/>
        <v>42750</v>
      </c>
      <c r="AB391" s="237">
        <v>1036396500</v>
      </c>
      <c r="AC391" s="237">
        <v>690931000</v>
      </c>
      <c r="AD391" s="237">
        <v>690931000</v>
      </c>
      <c r="AE391" s="237">
        <v>1006434754</v>
      </c>
      <c r="AF391" s="237"/>
      <c r="AG391" s="237"/>
      <c r="AH391" s="237"/>
      <c r="AI391" s="237"/>
      <c r="AJ391" s="237"/>
      <c r="AK391" s="237"/>
      <c r="AL391" s="237"/>
      <c r="AM391" s="237"/>
      <c r="AN391" s="237"/>
      <c r="AO391" s="237"/>
      <c r="AP391" s="237"/>
      <c r="AQ391" s="237"/>
      <c r="AR391" s="237"/>
      <c r="AS391" s="237"/>
      <c r="AT391" s="360">
        <v>42866</v>
      </c>
      <c r="AU391" s="91">
        <f t="shared" si="33"/>
        <v>3424693254</v>
      </c>
      <c r="AV391" s="14"/>
      <c r="AW391" s="1"/>
    </row>
    <row r="392" spans="1:49" s="57" customFormat="1" ht="56.25" hidden="1" x14ac:dyDescent="0.25">
      <c r="A392" s="59"/>
      <c r="B392" s="2" t="str">
        <f>+'Base de Datos'!E392</f>
        <v>160092-0-2016</v>
      </c>
      <c r="C392" s="2" t="str">
        <f>+'Base de Datos'!F392</f>
        <v>JAVIER IGNACIO JATIVA GARCIA</v>
      </c>
      <c r="D392" s="2">
        <f>+'Base de Datos'!G392</f>
        <v>79246871</v>
      </c>
      <c r="E392" s="2" t="str">
        <f>+'Base de Datos'!H392</f>
        <v xml:space="preserve">Prestar servicios profesionales como abogado para apoyar la Dirección Jurídica del Concejo de Bogotá, en la asesoría y respuesta a derechos de petición, solicitudes, denuncias, quejas, consultas y reclamos que reciba la corporación. </v>
      </c>
      <c r="F392" s="221">
        <f>+'Base de Datos'!I392</f>
        <v>29664000</v>
      </c>
      <c r="G392" s="220">
        <f>+'Base de Datos'!M392</f>
        <v>42494</v>
      </c>
      <c r="H392" s="220">
        <f>+'Base de Datos'!N392</f>
        <v>42739</v>
      </c>
      <c r="I392" s="179"/>
      <c r="J392" s="360"/>
      <c r="K392" s="237"/>
      <c r="L392" s="363"/>
      <c r="M392" s="179"/>
      <c r="N392" s="360"/>
      <c r="O392" s="179"/>
      <c r="P392" s="365"/>
      <c r="Q392" s="86">
        <f t="shared" si="31"/>
        <v>0</v>
      </c>
      <c r="R392" s="284"/>
      <c r="S392" s="360"/>
      <c r="T392" s="179"/>
      <c r="U392" s="360"/>
      <c r="V392" s="179"/>
      <c r="W392" s="360"/>
      <c r="X392" s="179"/>
      <c r="Y392" s="360"/>
      <c r="Z392" s="353"/>
      <c r="AA392" s="89">
        <f t="shared" si="32"/>
        <v>0</v>
      </c>
      <c r="AB392" s="237">
        <v>3337200</v>
      </c>
      <c r="AC392" s="237">
        <v>3708000</v>
      </c>
      <c r="AD392" s="237">
        <v>3708000</v>
      </c>
      <c r="AE392" s="237">
        <v>3708000</v>
      </c>
      <c r="AF392" s="237">
        <v>3708000</v>
      </c>
      <c r="AG392" s="237"/>
      <c r="AH392" s="237">
        <v>3708000</v>
      </c>
      <c r="AI392" s="237">
        <v>3708000</v>
      </c>
      <c r="AJ392" s="237">
        <v>4078800</v>
      </c>
      <c r="AK392" s="237"/>
      <c r="AL392" s="237"/>
      <c r="AM392" s="237"/>
      <c r="AN392" s="237"/>
      <c r="AO392" s="237"/>
      <c r="AP392" s="237"/>
      <c r="AQ392" s="237"/>
      <c r="AR392" s="237"/>
      <c r="AS392" s="237"/>
      <c r="AT392" s="360">
        <v>42752</v>
      </c>
      <c r="AU392" s="91">
        <f t="shared" si="33"/>
        <v>29664000</v>
      </c>
      <c r="AV392" s="14"/>
      <c r="AW392" s="1"/>
    </row>
    <row r="393" spans="1:49" s="57" customFormat="1" ht="33.75" hidden="1" x14ac:dyDescent="0.25">
      <c r="A393" s="59"/>
      <c r="B393" s="2" t="str">
        <f>+'Base de Datos'!E393</f>
        <v>160082-0-2016</v>
      </c>
      <c r="C393" s="2" t="str">
        <f>+'Base de Datos'!F393</f>
        <v>CANAL REGIONAL DE TELEVISION TEVEANDINA LTDA - TEVEANDINA LTDA</v>
      </c>
      <c r="D393" s="2">
        <f>+'Base de Datos'!G393</f>
        <v>830005370</v>
      </c>
      <c r="E393" s="2" t="str">
        <f>+'Base de Datos'!H393</f>
        <v>Prestar los servicios de producción y trasmisión de programas de televisión para el Concejo de Bogotá.</v>
      </c>
      <c r="F393" s="221">
        <f>+'Base de Datos'!I393</f>
        <v>1148500000</v>
      </c>
      <c r="G393" s="220">
        <f>+'Base de Datos'!M393</f>
        <v>42481</v>
      </c>
      <c r="H393" s="220">
        <f>+'Base de Datos'!N393</f>
        <v>42787</v>
      </c>
      <c r="I393" s="179"/>
      <c r="J393" s="360"/>
      <c r="K393" s="237"/>
      <c r="L393" s="363"/>
      <c r="M393" s="179"/>
      <c r="N393" s="360"/>
      <c r="O393" s="179"/>
      <c r="P393" s="365"/>
      <c r="Q393" s="86">
        <f t="shared" si="31"/>
        <v>0</v>
      </c>
      <c r="R393" s="284"/>
      <c r="S393" s="360"/>
      <c r="T393" s="179"/>
      <c r="U393" s="360"/>
      <c r="V393" s="179"/>
      <c r="W393" s="360"/>
      <c r="X393" s="179"/>
      <c r="Y393" s="360"/>
      <c r="Z393" s="353"/>
      <c r="AA393" s="89">
        <f t="shared" si="32"/>
        <v>0</v>
      </c>
      <c r="AB393" s="237">
        <v>53007692</v>
      </c>
      <c r="AC393" s="237">
        <v>106015385</v>
      </c>
      <c r="AD393" s="237">
        <v>176692308</v>
      </c>
      <c r="AE393" s="237">
        <v>141353846</v>
      </c>
      <c r="AF393" s="237">
        <v>318046138</v>
      </c>
      <c r="AG393" s="237">
        <v>141353839</v>
      </c>
      <c r="AH393" s="237">
        <v>212030760</v>
      </c>
      <c r="AI393" s="237"/>
      <c r="AJ393" s="237"/>
      <c r="AK393" s="237"/>
      <c r="AL393" s="237"/>
      <c r="AM393" s="237"/>
      <c r="AN393" s="237"/>
      <c r="AO393" s="237"/>
      <c r="AP393" s="237"/>
      <c r="AQ393" s="237"/>
      <c r="AR393" s="237"/>
      <c r="AS393" s="237"/>
      <c r="AT393" s="360">
        <v>42846</v>
      </c>
      <c r="AU393" s="91">
        <f t="shared" si="33"/>
        <v>1148499968</v>
      </c>
      <c r="AV393" s="14"/>
      <c r="AW393" s="1"/>
    </row>
    <row r="394" spans="1:49" s="57" customFormat="1" ht="22.5" hidden="1" x14ac:dyDescent="0.25">
      <c r="A394" s="59"/>
      <c r="B394" s="2" t="str">
        <f>+'Base de Datos'!E394</f>
        <v>160048-0-2016</v>
      </c>
      <c r="C394" s="2" t="str">
        <f>+'Base de Datos'!F394</f>
        <v>REVISTA EL CONGRESO SIGLO XXI LTDA</v>
      </c>
      <c r="D394" s="2">
        <f>+'Base de Datos'!G394</f>
        <v>830067096</v>
      </c>
      <c r="E394" s="2" t="str">
        <f>+'Base de Datos'!H394</f>
        <v xml:space="preserve">Suscripción a la revista EL CONGRESO Siglo XXI, con destino al Concejo de Bogotá D.C. </v>
      </c>
      <c r="F394" s="221">
        <f>+'Base de Datos'!I394</f>
        <v>8010000</v>
      </c>
      <c r="G394" s="220">
        <f>+'Base de Datos'!M394</f>
        <v>42513</v>
      </c>
      <c r="H394" s="220">
        <f>+'Base de Datos'!N394</f>
        <v>42878</v>
      </c>
      <c r="I394" s="179"/>
      <c r="J394" s="360"/>
      <c r="K394" s="237"/>
      <c r="L394" s="363"/>
      <c r="M394" s="179"/>
      <c r="N394" s="360"/>
      <c r="O394" s="179"/>
      <c r="P394" s="365"/>
      <c r="Q394" s="86">
        <f t="shared" si="31"/>
        <v>0</v>
      </c>
      <c r="R394" s="284"/>
      <c r="S394" s="360"/>
      <c r="T394" s="179"/>
      <c r="U394" s="360"/>
      <c r="V394" s="179"/>
      <c r="W394" s="360"/>
      <c r="X394" s="179"/>
      <c r="Y394" s="360"/>
      <c r="Z394" s="353"/>
      <c r="AA394" s="89">
        <f t="shared" si="32"/>
        <v>0</v>
      </c>
      <c r="AB394" s="237">
        <v>8010000</v>
      </c>
      <c r="AC394" s="237"/>
      <c r="AD394" s="237"/>
      <c r="AE394" s="237"/>
      <c r="AF394" s="237"/>
      <c r="AG394" s="237"/>
      <c r="AH394" s="237"/>
      <c r="AI394" s="237"/>
      <c r="AJ394" s="237"/>
      <c r="AK394" s="237"/>
      <c r="AL394" s="237"/>
      <c r="AM394" s="237"/>
      <c r="AN394" s="237"/>
      <c r="AO394" s="237"/>
      <c r="AP394" s="237"/>
      <c r="AQ394" s="237"/>
      <c r="AR394" s="237"/>
      <c r="AS394" s="237"/>
      <c r="AT394" s="360">
        <v>42534</v>
      </c>
      <c r="AU394" s="91">
        <f t="shared" si="33"/>
        <v>8010000</v>
      </c>
      <c r="AV394" s="14"/>
      <c r="AW394" s="1"/>
    </row>
    <row r="395" spans="1:49" s="57" customFormat="1" ht="33.75" hidden="1" x14ac:dyDescent="0.25">
      <c r="A395" s="59"/>
      <c r="B395" s="2" t="str">
        <f>+'Base de Datos'!E395</f>
        <v>160096-0-2016</v>
      </c>
      <c r="C395" s="2" t="str">
        <f>+'Base de Datos'!F395</f>
        <v>MITSUBISHI ELECTRIC DE COLOMBIA LTDA</v>
      </c>
      <c r="D395" s="2">
        <f>+'Base de Datos'!G395</f>
        <v>860025639</v>
      </c>
      <c r="E395" s="2" t="str">
        <f>+'Base de Datos'!H395</f>
        <v>Prestar los servicios de mantenimiento preventivo y correctivo de los ascensores marca Mitsubishi del Concejo de Bogotá.</v>
      </c>
      <c r="F395" s="221">
        <f>+'Base de Datos'!I395</f>
        <v>14640000</v>
      </c>
      <c r="G395" s="220">
        <f>+'Base de Datos'!M395</f>
        <v>42514</v>
      </c>
      <c r="H395" s="220">
        <f>+'Base de Datos'!N395</f>
        <v>42818</v>
      </c>
      <c r="I395" s="179"/>
      <c r="J395" s="360"/>
      <c r="K395" s="237"/>
      <c r="L395" s="363"/>
      <c r="M395" s="179"/>
      <c r="N395" s="360"/>
      <c r="O395" s="179"/>
      <c r="P395" s="365"/>
      <c r="Q395" s="86">
        <f t="shared" si="31"/>
        <v>0</v>
      </c>
      <c r="R395" s="284"/>
      <c r="S395" s="360"/>
      <c r="T395" s="179"/>
      <c r="U395" s="360"/>
      <c r="V395" s="179"/>
      <c r="W395" s="360"/>
      <c r="X395" s="179"/>
      <c r="Y395" s="360"/>
      <c r="Z395" s="353"/>
      <c r="AA395" s="89">
        <f t="shared" si="32"/>
        <v>0</v>
      </c>
      <c r="AB395" s="237">
        <v>1393166</v>
      </c>
      <c r="AC395" s="237">
        <v>1393166</v>
      </c>
      <c r="AD395" s="237">
        <v>2786332</v>
      </c>
      <c r="AE395" s="237">
        <v>1393166</v>
      </c>
      <c r="AF395" s="237">
        <v>1393166</v>
      </c>
      <c r="AG395" s="237">
        <v>1393166</v>
      </c>
      <c r="AH395" s="237">
        <v>1393166</v>
      </c>
      <c r="AI395" s="237">
        <v>1393166</v>
      </c>
      <c r="AJ395" s="237">
        <v>1393166</v>
      </c>
      <c r="AK395" s="237"/>
      <c r="AL395" s="237"/>
      <c r="AM395" s="237"/>
      <c r="AN395" s="237"/>
      <c r="AO395" s="237"/>
      <c r="AP395" s="237"/>
      <c r="AQ395" s="237"/>
      <c r="AR395" s="237"/>
      <c r="AS395" s="237"/>
      <c r="AT395" s="360">
        <v>42864</v>
      </c>
      <c r="AU395" s="91">
        <f t="shared" si="33"/>
        <v>13931660</v>
      </c>
      <c r="AV395" s="14"/>
      <c r="AW395" s="1"/>
    </row>
    <row r="396" spans="1:49" s="57" customFormat="1" ht="33.75" hidden="1" x14ac:dyDescent="0.25">
      <c r="A396" s="59"/>
      <c r="B396" s="2" t="str">
        <f>+'Base de Datos'!E396</f>
        <v>160101-0-2016</v>
      </c>
      <c r="C396" s="2" t="str">
        <f>+'Base de Datos'!F396</f>
        <v>CLARA INES VARGAS MALAGON</v>
      </c>
      <c r="D396" s="2">
        <f>+'Base de Datos'!G396</f>
        <v>41758887</v>
      </c>
      <c r="E396" s="2" t="str">
        <f>+'Base de Datos'!H396</f>
        <v>Prestar los servicios profesionales al Concejo de Bogotá, para apoyar el área de nómina especialmente en las áreas relacionadas con la seguridad social</v>
      </c>
      <c r="F396" s="221">
        <f>+'Base de Datos'!I396</f>
        <v>44000000</v>
      </c>
      <c r="G396" s="220">
        <f>+'Base de Datos'!M396</f>
        <v>42510</v>
      </c>
      <c r="H396" s="220">
        <f>+'Base de Datos'!N396</f>
        <v>42755</v>
      </c>
      <c r="I396" s="179"/>
      <c r="J396" s="360"/>
      <c r="K396" s="237"/>
      <c r="L396" s="363"/>
      <c r="M396" s="179"/>
      <c r="N396" s="360"/>
      <c r="O396" s="179"/>
      <c r="P396" s="365"/>
      <c r="Q396" s="86">
        <f t="shared" si="31"/>
        <v>0</v>
      </c>
      <c r="R396" s="284"/>
      <c r="S396" s="360"/>
      <c r="T396" s="179"/>
      <c r="U396" s="360"/>
      <c r="V396" s="179"/>
      <c r="W396" s="360"/>
      <c r="X396" s="179"/>
      <c r="Y396" s="360"/>
      <c r="Z396" s="353"/>
      <c r="AA396" s="89">
        <f t="shared" si="32"/>
        <v>0</v>
      </c>
      <c r="AB396" s="237">
        <v>2016666</v>
      </c>
      <c r="AC396" s="237">
        <v>5500000</v>
      </c>
      <c r="AD396" s="237">
        <v>5500000</v>
      </c>
      <c r="AE396" s="237">
        <v>5500000</v>
      </c>
      <c r="AF396" s="237">
        <v>5500000</v>
      </c>
      <c r="AG396" s="237">
        <v>5500000</v>
      </c>
      <c r="AH396" s="237">
        <v>5500000</v>
      </c>
      <c r="AI396" s="237">
        <v>5500000</v>
      </c>
      <c r="AJ396" s="237">
        <v>3483334</v>
      </c>
      <c r="AK396" s="237"/>
      <c r="AL396" s="237"/>
      <c r="AM396" s="237"/>
      <c r="AN396" s="237"/>
      <c r="AO396" s="237"/>
      <c r="AP396" s="237"/>
      <c r="AQ396" s="237"/>
      <c r="AR396" s="237"/>
      <c r="AS396" s="237"/>
      <c r="AT396" s="360">
        <v>42772</v>
      </c>
      <c r="AU396" s="91">
        <f t="shared" si="33"/>
        <v>44000000</v>
      </c>
      <c r="AV396" s="14"/>
      <c r="AW396" s="1"/>
    </row>
    <row r="397" spans="1:49" s="57" customFormat="1" ht="22.5" hidden="1" x14ac:dyDescent="0.25">
      <c r="A397" s="59"/>
      <c r="B397" s="2" t="str">
        <f>+'Base de Datos'!E397</f>
        <v>160105-0-2016</v>
      </c>
      <c r="C397" s="2" t="str">
        <f>+'Base de Datos'!F397</f>
        <v>A&amp;V EXPRESS S.A.</v>
      </c>
      <c r="D397" s="2">
        <f>+'Base de Datos'!G397</f>
        <v>830055842</v>
      </c>
      <c r="E397" s="2" t="str">
        <f>+'Base de Datos'!H397</f>
        <v xml:space="preserve">Prestar los servicios de mensajería expresa masiva para el Concejo de Bogotá, D.C. </v>
      </c>
      <c r="F397" s="221">
        <f>+'Base de Datos'!I397</f>
        <v>33009000</v>
      </c>
      <c r="G397" s="220">
        <f>+'Base de Datos'!M397</f>
        <v>42513</v>
      </c>
      <c r="H397" s="220">
        <f>+'Base de Datos'!N397</f>
        <v>42878</v>
      </c>
      <c r="I397" s="179"/>
      <c r="J397" s="360"/>
      <c r="K397" s="237"/>
      <c r="L397" s="363"/>
      <c r="M397" s="179"/>
      <c r="N397" s="360"/>
      <c r="O397" s="179"/>
      <c r="P397" s="365"/>
      <c r="Q397" s="86">
        <f t="shared" si="31"/>
        <v>0</v>
      </c>
      <c r="R397" s="849" t="s">
        <v>2955</v>
      </c>
      <c r="S397" s="360">
        <v>42898</v>
      </c>
      <c r="T397" s="179"/>
      <c r="U397" s="360"/>
      <c r="V397" s="179"/>
      <c r="W397" s="360"/>
      <c r="X397" s="179"/>
      <c r="Y397" s="360"/>
      <c r="Z397" s="353" t="s">
        <v>2956</v>
      </c>
      <c r="AA397" s="89">
        <f t="shared" si="32"/>
        <v>42898</v>
      </c>
      <c r="AB397" s="237">
        <v>739443</v>
      </c>
      <c r="AC397" s="237">
        <v>2398458</v>
      </c>
      <c r="AD397" s="237">
        <v>2245866</v>
      </c>
      <c r="AE397" s="237">
        <v>2316090</v>
      </c>
      <c r="AF397" s="237">
        <v>2569002</v>
      </c>
      <c r="AG397" s="237">
        <v>2568474</v>
      </c>
      <c r="AH397" s="237">
        <v>2450730</v>
      </c>
      <c r="AI397" s="237">
        <v>3176202</v>
      </c>
      <c r="AJ397" s="237">
        <v>2281590</v>
      </c>
      <c r="AK397" s="237">
        <v>2425665</v>
      </c>
      <c r="AL397" s="237"/>
      <c r="AM397" s="237">
        <v>2709280</v>
      </c>
      <c r="AN397" s="237">
        <v>2303790</v>
      </c>
      <c r="AO397" s="237">
        <v>2863457</v>
      </c>
      <c r="AP397" s="237">
        <v>912749</v>
      </c>
      <c r="AQ397" s="237"/>
      <c r="AR397" s="237"/>
      <c r="AS397" s="237"/>
      <c r="AT397" s="360">
        <v>42920</v>
      </c>
      <c r="AU397" s="91">
        <f>SUM(AB397:AR397)</f>
        <v>31960796</v>
      </c>
      <c r="AV397" s="14"/>
      <c r="AW397" s="1"/>
    </row>
    <row r="398" spans="1:49" s="57" customFormat="1" ht="45" hidden="1" x14ac:dyDescent="0.25">
      <c r="A398" s="59"/>
      <c r="B398" s="2" t="str">
        <f>+'Base de Datos'!E398</f>
        <v>160112-0-2016</v>
      </c>
      <c r="C398" s="2" t="str">
        <f>+'Base de Datos'!F398</f>
        <v>WIESNER FABIÁN ROBAYO SALCEDO</v>
      </c>
      <c r="D398" s="2">
        <f>+'Base de Datos'!G398</f>
        <v>80117116</v>
      </c>
      <c r="E398" s="2" t="str">
        <f>+'Base de Datos'!H398</f>
        <v>Prestar servicios profesionales para la actualización, administración, publicación y salvaguardia de la información publicada en la página WEB e Intranet del Concejo de Bogotá.</v>
      </c>
      <c r="F398" s="221">
        <f>+'Base de Datos'!I398</f>
        <v>37080000</v>
      </c>
      <c r="G398" s="220">
        <f>+'Base de Datos'!M398</f>
        <v>42522</v>
      </c>
      <c r="H398" s="220">
        <f>+'Base de Datos'!N398</f>
        <v>42795</v>
      </c>
      <c r="I398" s="179"/>
      <c r="J398" s="360"/>
      <c r="K398" s="237"/>
      <c r="L398" s="363"/>
      <c r="M398" s="179"/>
      <c r="N398" s="360"/>
      <c r="O398" s="179"/>
      <c r="P398" s="365"/>
      <c r="Q398" s="86">
        <f t="shared" si="31"/>
        <v>0</v>
      </c>
      <c r="R398" s="284"/>
      <c r="S398" s="360"/>
      <c r="T398" s="179"/>
      <c r="U398" s="360"/>
      <c r="V398" s="179"/>
      <c r="W398" s="360"/>
      <c r="X398" s="179"/>
      <c r="Y398" s="360"/>
      <c r="Z398" s="353"/>
      <c r="AA398" s="89">
        <f t="shared" si="32"/>
        <v>0</v>
      </c>
      <c r="AB398" s="237">
        <v>4120000</v>
      </c>
      <c r="AC398" s="237">
        <v>4120000</v>
      </c>
      <c r="AD398" s="237">
        <v>4120000</v>
      </c>
      <c r="AE398" s="237">
        <v>4120000</v>
      </c>
      <c r="AF398" s="237">
        <v>4120000</v>
      </c>
      <c r="AG398" s="237">
        <v>4120000</v>
      </c>
      <c r="AH398" s="237">
        <v>4120000</v>
      </c>
      <c r="AI398" s="237">
        <v>4120000</v>
      </c>
      <c r="AJ398" s="237">
        <v>4120000</v>
      </c>
      <c r="AK398" s="237"/>
      <c r="AL398" s="237"/>
      <c r="AM398" s="237"/>
      <c r="AN398" s="237"/>
      <c r="AO398" s="237"/>
      <c r="AP398" s="237"/>
      <c r="AQ398" s="237"/>
      <c r="AR398" s="237"/>
      <c r="AS398" s="237"/>
      <c r="AT398" s="360">
        <v>42817</v>
      </c>
      <c r="AU398" s="91">
        <f t="shared" si="33"/>
        <v>37080000</v>
      </c>
      <c r="AV398" s="14"/>
      <c r="AW398" s="1"/>
    </row>
    <row r="399" spans="1:49" s="57" customFormat="1" ht="56.25" hidden="1" x14ac:dyDescent="0.25">
      <c r="A399" s="59"/>
      <c r="B399" s="2" t="str">
        <f>+'Base de Datos'!E399</f>
        <v>160119-0-2016</v>
      </c>
      <c r="C399" s="2" t="str">
        <f>+'Base de Datos'!F399</f>
        <v>ANGELICA MARIA RUBIO POLANCO</v>
      </c>
      <c r="D399" s="2">
        <f>+'Base de Datos'!G399</f>
        <v>52963023</v>
      </c>
      <c r="E399" s="2" t="str">
        <f>+'Base de Datos'!H399</f>
        <v>Prestar los servicios profesionales para Apoyar al Director Jurídico del Concejo de Bogotá, en el marco de los asuntos jurídicos y de la defensa judicial con el fin de desarrollar las actividades de acuerdo a la normatividad vigente.</v>
      </c>
      <c r="F399" s="221">
        <f>+'Base de Datos'!I399</f>
        <v>43712000</v>
      </c>
      <c r="G399" s="220">
        <f>+'Base de Datos'!M399</f>
        <v>42523</v>
      </c>
      <c r="H399" s="220">
        <f>+'Base de Datos'!N399</f>
        <v>42768</v>
      </c>
      <c r="I399" s="179"/>
      <c r="J399" s="360"/>
      <c r="K399" s="237"/>
      <c r="L399" s="363"/>
      <c r="M399" s="179"/>
      <c r="N399" s="360"/>
      <c r="O399" s="179"/>
      <c r="P399" s="365"/>
      <c r="Q399" s="86">
        <f t="shared" si="31"/>
        <v>0</v>
      </c>
      <c r="R399" s="284"/>
      <c r="S399" s="360"/>
      <c r="T399" s="179"/>
      <c r="U399" s="360"/>
      <c r="V399" s="179"/>
      <c r="W399" s="360"/>
      <c r="X399" s="179"/>
      <c r="Y399" s="360"/>
      <c r="Z399" s="353"/>
      <c r="AA399" s="89">
        <f t="shared" si="32"/>
        <v>0</v>
      </c>
      <c r="AB399" s="237">
        <v>5281866</v>
      </c>
      <c r="AC399" s="237">
        <v>5464000</v>
      </c>
      <c r="AD399" s="237">
        <v>5464000</v>
      </c>
      <c r="AE399" s="237">
        <v>5464000</v>
      </c>
      <c r="AF399" s="237">
        <v>5464000</v>
      </c>
      <c r="AG399" s="237">
        <v>5464000</v>
      </c>
      <c r="AH399" s="237">
        <v>5464000</v>
      </c>
      <c r="AI399" s="237">
        <v>5646134</v>
      </c>
      <c r="AJ399" s="237"/>
      <c r="AK399" s="237"/>
      <c r="AL399" s="237"/>
      <c r="AM399" s="237"/>
      <c r="AN399" s="237"/>
      <c r="AO399" s="237"/>
      <c r="AP399" s="237"/>
      <c r="AQ399" s="237"/>
      <c r="AR399" s="237"/>
      <c r="AS399" s="237"/>
      <c r="AT399" s="360">
        <v>42774</v>
      </c>
      <c r="AU399" s="91">
        <f t="shared" si="33"/>
        <v>43712000</v>
      </c>
      <c r="AV399" s="14"/>
      <c r="AW399" s="1"/>
    </row>
    <row r="400" spans="1:49" s="57" customFormat="1" ht="33.75" hidden="1" x14ac:dyDescent="0.25">
      <c r="A400" s="59"/>
      <c r="B400" s="2" t="str">
        <f>+'Base de Datos'!E400</f>
        <v>160113-0-2016</v>
      </c>
      <c r="C400" s="2" t="str">
        <f>+'Base de Datos'!F400</f>
        <v>KHAANKO NORBERTO RUIZ RODRÍGUEZ</v>
      </c>
      <c r="D400" s="2">
        <f>+'Base de Datos'!G400</f>
        <v>79887061</v>
      </c>
      <c r="E400" s="2" t="str">
        <f>+'Base de Datos'!H400</f>
        <v>Prestar los servicios profesionales para apoyar el proceso de sistemas  y seguridad de la información del Concejo de Bogotá, en materia de seguridad informática</v>
      </c>
      <c r="F400" s="221">
        <f>+'Base de Datos'!I400</f>
        <v>29664000</v>
      </c>
      <c r="G400" s="220">
        <f>+'Base de Datos'!M400</f>
        <v>42524</v>
      </c>
      <c r="H400" s="220">
        <f>+'Base de Datos'!N400</f>
        <v>42797</v>
      </c>
      <c r="I400" s="179"/>
      <c r="J400" s="360"/>
      <c r="K400" s="237"/>
      <c r="L400" s="363"/>
      <c r="M400" s="179"/>
      <c r="N400" s="360"/>
      <c r="O400" s="179"/>
      <c r="P400" s="365"/>
      <c r="Q400" s="86">
        <f t="shared" si="31"/>
        <v>0</v>
      </c>
      <c r="R400" s="284"/>
      <c r="S400" s="360"/>
      <c r="T400" s="179"/>
      <c r="U400" s="360"/>
      <c r="V400" s="179"/>
      <c r="W400" s="360"/>
      <c r="X400" s="179"/>
      <c r="Y400" s="360"/>
      <c r="Z400" s="353"/>
      <c r="AA400" s="89">
        <f t="shared" si="32"/>
        <v>0</v>
      </c>
      <c r="AB400" s="237">
        <v>3076266</v>
      </c>
      <c r="AC400" s="237">
        <v>3296000</v>
      </c>
      <c r="AD400" s="237">
        <v>3296000</v>
      </c>
      <c r="AE400" s="237">
        <v>3296000</v>
      </c>
      <c r="AF400" s="237">
        <v>3296000</v>
      </c>
      <c r="AG400" s="237">
        <v>3296000</v>
      </c>
      <c r="AH400" s="237">
        <v>3296000</v>
      </c>
      <c r="AI400" s="237">
        <v>3296000</v>
      </c>
      <c r="AJ400" s="237">
        <v>3296000</v>
      </c>
      <c r="AK400" s="237">
        <v>219734</v>
      </c>
      <c r="AL400" s="237"/>
      <c r="AM400" s="237"/>
      <c r="AN400" s="237"/>
      <c r="AO400" s="237"/>
      <c r="AP400" s="237"/>
      <c r="AQ400" s="237"/>
      <c r="AR400" s="237"/>
      <c r="AS400" s="237"/>
      <c r="AT400" s="360">
        <v>42963</v>
      </c>
      <c r="AU400" s="91">
        <f t="shared" si="33"/>
        <v>29664000</v>
      </c>
      <c r="AV400" s="14"/>
      <c r="AW400" s="1"/>
    </row>
    <row r="401" spans="1:49" s="57" customFormat="1" ht="33.75" hidden="1" x14ac:dyDescent="0.25">
      <c r="A401" s="59"/>
      <c r="B401" s="2" t="str">
        <f>+'Base de Datos'!E401</f>
        <v>160089-0-2016</v>
      </c>
      <c r="C401" s="2" t="str">
        <f>+'Base de Datos'!F401</f>
        <v>UNIPLES S.A.</v>
      </c>
      <c r="D401" s="2">
        <f>+'Base de Datos'!G401</f>
        <v>811021363</v>
      </c>
      <c r="E401" s="2" t="str">
        <f>+'Base de Datos'!H401</f>
        <v>Adquisición de medios magnéticos para copias de respaldo para la Secretaria Distrital de Hacienda y el Concejo de Bogotá.</v>
      </c>
      <c r="F401" s="221">
        <f>+'Base de Datos'!I401</f>
        <v>6239000</v>
      </c>
      <c r="G401" s="220">
        <f>+'Base de Datos'!M401</f>
        <v>42508</v>
      </c>
      <c r="H401" s="220">
        <f>+'Base de Datos'!N401</f>
        <v>42569</v>
      </c>
      <c r="I401" s="179"/>
      <c r="J401" s="360"/>
      <c r="K401" s="237"/>
      <c r="L401" s="363"/>
      <c r="M401" s="179"/>
      <c r="N401" s="360"/>
      <c r="O401" s="179"/>
      <c r="P401" s="365"/>
      <c r="Q401" s="86">
        <f t="shared" si="31"/>
        <v>0</v>
      </c>
      <c r="R401" s="284"/>
      <c r="S401" s="360"/>
      <c r="T401" s="179"/>
      <c r="U401" s="360"/>
      <c r="V401" s="179"/>
      <c r="W401" s="360"/>
      <c r="X401" s="179"/>
      <c r="Y401" s="360"/>
      <c r="Z401" s="353"/>
      <c r="AA401" s="89">
        <f t="shared" si="32"/>
        <v>0</v>
      </c>
      <c r="AB401" s="237">
        <v>6238990</v>
      </c>
      <c r="AC401" s="237"/>
      <c r="AD401" s="237"/>
      <c r="AE401" s="237"/>
      <c r="AF401" s="237"/>
      <c r="AG401" s="237"/>
      <c r="AH401" s="237"/>
      <c r="AI401" s="237"/>
      <c r="AJ401" s="237"/>
      <c r="AK401" s="237"/>
      <c r="AL401" s="237"/>
      <c r="AM401" s="237"/>
      <c r="AN401" s="237"/>
      <c r="AO401" s="237"/>
      <c r="AP401" s="237"/>
      <c r="AQ401" s="237"/>
      <c r="AR401" s="237"/>
      <c r="AS401" s="237"/>
      <c r="AT401" s="360">
        <v>42633</v>
      </c>
      <c r="AU401" s="91">
        <f t="shared" si="33"/>
        <v>6238990</v>
      </c>
      <c r="AV401" s="14"/>
      <c r="AW401" s="1"/>
    </row>
    <row r="402" spans="1:49" s="57" customFormat="1" ht="33.75" hidden="1" x14ac:dyDescent="0.25">
      <c r="A402" s="59"/>
      <c r="B402" s="2" t="str">
        <f>+'Base de Datos'!E402</f>
        <v>160127-0-2016</v>
      </c>
      <c r="C402" s="2" t="str">
        <f>+'Base de Datos'!F402</f>
        <v>SECURITYCOM SAS</v>
      </c>
      <c r="D402" s="2">
        <f>+'Base de Datos'!G402</f>
        <v>900587953</v>
      </c>
      <c r="E402" s="2" t="str">
        <f>+'Base de Datos'!H402</f>
        <v>Prestar los servicios de mantenimiento preventivo y correctivo de las alarmas de emergencia ubicadas en la sede principal del Concejo de Bogotá.</v>
      </c>
      <c r="F402" s="221">
        <f>+'Base de Datos'!I402</f>
        <v>2060000</v>
      </c>
      <c r="G402" s="220">
        <f>+'Base de Datos'!M402</f>
        <v>42541</v>
      </c>
      <c r="H402" s="220">
        <f>+'Base de Datos'!N402</f>
        <v>42786</v>
      </c>
      <c r="I402" s="179"/>
      <c r="J402" s="360"/>
      <c r="K402" s="237"/>
      <c r="L402" s="363"/>
      <c r="M402" s="179"/>
      <c r="N402" s="360"/>
      <c r="O402" s="179"/>
      <c r="P402" s="365"/>
      <c r="Q402" s="86">
        <f t="shared" si="31"/>
        <v>0</v>
      </c>
      <c r="R402" s="284" t="s">
        <v>378</v>
      </c>
      <c r="S402" s="360">
        <v>42845</v>
      </c>
      <c r="T402" s="179"/>
      <c r="U402" s="360"/>
      <c r="V402" s="179"/>
      <c r="W402" s="360"/>
      <c r="X402" s="179"/>
      <c r="Y402" s="360"/>
      <c r="Z402" s="353" t="s">
        <v>378</v>
      </c>
      <c r="AA402" s="89">
        <f t="shared" si="32"/>
        <v>42845</v>
      </c>
      <c r="AB402" s="237">
        <v>348000</v>
      </c>
      <c r="AC402" s="237">
        <v>739200</v>
      </c>
      <c r="AD402" s="237">
        <v>348000</v>
      </c>
      <c r="AE402" s="237">
        <v>348000</v>
      </c>
      <c r="AF402" s="237"/>
      <c r="AG402" s="237"/>
      <c r="AH402" s="237"/>
      <c r="AI402" s="237"/>
      <c r="AJ402" s="237"/>
      <c r="AK402" s="237"/>
      <c r="AL402" s="237"/>
      <c r="AM402" s="237"/>
      <c r="AN402" s="237"/>
      <c r="AO402" s="237"/>
      <c r="AP402" s="237"/>
      <c r="AQ402" s="237"/>
      <c r="AR402" s="237"/>
      <c r="AS402" s="237"/>
      <c r="AT402" s="360">
        <v>42877</v>
      </c>
      <c r="AU402" s="91">
        <f t="shared" si="33"/>
        <v>1783200</v>
      </c>
      <c r="AV402" s="14"/>
      <c r="AW402" s="1"/>
    </row>
    <row r="403" spans="1:49" s="57" customFormat="1" ht="56.25" hidden="1" x14ac:dyDescent="0.25">
      <c r="A403" s="59"/>
      <c r="B403" s="2" t="str">
        <f>+'Base de Datos'!E403</f>
        <v>160118-0-2016</v>
      </c>
      <c r="C403" s="2" t="str">
        <f>+'Base de Datos'!F403</f>
        <v>MIGUEL ANDRÉS GUTIÉRREZ ROMERO</v>
      </c>
      <c r="D403" s="2">
        <f>+'Base de Datos'!G403</f>
        <v>80199707</v>
      </c>
      <c r="E403" s="2" t="str">
        <f>+'Base de Datos'!H403</f>
        <v xml:space="preserve">Prestar los servicios de mantenimiento correctivo  correspondiente a la reparación y corrección de las sillas existentes en el Concejo de Bogotá, D.C., con el suministro de repuestos y/o elementos nuevos necesarios  </v>
      </c>
      <c r="F403" s="221">
        <f>+'Base de Datos'!I403</f>
        <v>19931000</v>
      </c>
      <c r="G403" s="220">
        <f>+'Base de Datos'!M403</f>
        <v>42529</v>
      </c>
      <c r="H403" s="220">
        <f>+'Base de Datos'!N403</f>
        <v>42774</v>
      </c>
      <c r="I403" s="179"/>
      <c r="J403" s="360"/>
      <c r="K403" s="237"/>
      <c r="L403" s="363"/>
      <c r="M403" s="179"/>
      <c r="N403" s="360"/>
      <c r="O403" s="179"/>
      <c r="P403" s="365"/>
      <c r="Q403" s="86">
        <f t="shared" si="31"/>
        <v>0</v>
      </c>
      <c r="R403" s="284" t="s">
        <v>378</v>
      </c>
      <c r="S403" s="360">
        <v>42833</v>
      </c>
      <c r="T403" s="179"/>
      <c r="U403" s="360"/>
      <c r="V403" s="179"/>
      <c r="W403" s="360"/>
      <c r="X403" s="179"/>
      <c r="Y403" s="360"/>
      <c r="Z403" s="353" t="s">
        <v>378</v>
      </c>
      <c r="AA403" s="89">
        <f t="shared" si="32"/>
        <v>42833</v>
      </c>
      <c r="AB403" s="237">
        <v>2228437</v>
      </c>
      <c r="AC403" s="237">
        <v>3108268</v>
      </c>
      <c r="AD403" s="237">
        <v>3129126</v>
      </c>
      <c r="AE403" s="237">
        <v>3281660</v>
      </c>
      <c r="AF403" s="237">
        <v>764426</v>
      </c>
      <c r="AG403" s="237">
        <v>499482</v>
      </c>
      <c r="AH403" s="237">
        <v>1033938</v>
      </c>
      <c r="AI403" s="237">
        <v>1913016</v>
      </c>
      <c r="AJ403" s="237">
        <v>2997178</v>
      </c>
      <c r="AK403" s="237">
        <v>975270</v>
      </c>
      <c r="AL403" s="237"/>
      <c r="AM403" s="237"/>
      <c r="AN403" s="237"/>
      <c r="AO403" s="237"/>
      <c r="AP403" s="237"/>
      <c r="AQ403" s="237"/>
      <c r="AR403" s="237"/>
      <c r="AS403" s="237"/>
      <c r="AT403" s="360">
        <v>42859</v>
      </c>
      <c r="AU403" s="91">
        <f t="shared" si="33"/>
        <v>19930801</v>
      </c>
      <c r="AV403" s="14"/>
      <c r="AW403" s="1"/>
    </row>
    <row r="404" spans="1:49" s="57" customFormat="1" ht="78.75" hidden="1" x14ac:dyDescent="0.25">
      <c r="A404" s="59"/>
      <c r="B404" s="2" t="str">
        <f>+'Base de Datos'!E404</f>
        <v>160124-0-2016</v>
      </c>
      <c r="C404" s="2" t="str">
        <f>+'Base de Datos'!F404</f>
        <v>CAJA DE COMPENSACION FAMILIAR COMPENSAR</v>
      </c>
      <c r="D404" s="2" t="str">
        <f>+'Base de Datos'!G404</f>
        <v>860066942-7</v>
      </c>
      <c r="E404" s="2" t="str">
        <f>+'Base de Datos'!H404</f>
        <v>Prestar el servicio de alquiler de escenarios como salones, auditorios y espacios abiertos, apoyo logístico y servicio de catering para el desarrollo de eventos que requieran el Concejo de Bogotá D.C., de conformidad con lo establecido en el pliego de condiciones del proceso de selección abreviada de menos cuantía No. SDH-SAMC-01-2016 y la propuesta presentada por el contratista.</v>
      </c>
      <c r="F404" s="221">
        <f>+'Base de Datos'!I404</f>
        <v>108906000</v>
      </c>
      <c r="G404" s="220">
        <f>+'Base de Datos'!M404</f>
        <v>42531</v>
      </c>
      <c r="H404" s="220">
        <f>+'Base de Datos'!N404</f>
        <v>42835</v>
      </c>
      <c r="I404" s="179">
        <v>40000000</v>
      </c>
      <c r="J404" s="360">
        <v>42860</v>
      </c>
      <c r="K404" s="237"/>
      <c r="L404" s="363"/>
      <c r="M404" s="179"/>
      <c r="N404" s="360"/>
      <c r="O404" s="179"/>
      <c r="P404" s="365"/>
      <c r="Q404" s="86">
        <f t="shared" si="31"/>
        <v>40000000</v>
      </c>
      <c r="R404" s="849" t="s">
        <v>2873</v>
      </c>
      <c r="S404" s="360">
        <v>42846</v>
      </c>
      <c r="T404" s="178" t="s">
        <v>543</v>
      </c>
      <c r="U404" s="360">
        <v>42867</v>
      </c>
      <c r="V404" s="179"/>
      <c r="W404" s="360"/>
      <c r="X404" s="179"/>
      <c r="Y404" s="360"/>
      <c r="Z404" s="353" t="s">
        <v>2874</v>
      </c>
      <c r="AA404" s="89">
        <f t="shared" si="32"/>
        <v>42867</v>
      </c>
      <c r="AB404" s="237">
        <v>3332800</v>
      </c>
      <c r="AC404" s="237">
        <v>785729</v>
      </c>
      <c r="AD404" s="237">
        <v>8996184</v>
      </c>
      <c r="AE404" s="237">
        <v>14891383</v>
      </c>
      <c r="AF404" s="237">
        <v>19332055</v>
      </c>
      <c r="AG404" s="237">
        <v>1396454</v>
      </c>
      <c r="AH404" s="237">
        <v>31496208</v>
      </c>
      <c r="AI404" s="237">
        <v>25732135</v>
      </c>
      <c r="AJ404" s="237">
        <v>516260</v>
      </c>
      <c r="AK404" s="237">
        <v>227532</v>
      </c>
      <c r="AL404" s="237">
        <v>42180170</v>
      </c>
      <c r="AM404" s="237"/>
      <c r="AN404" s="237"/>
      <c r="AO404" s="237"/>
      <c r="AP404" s="237"/>
      <c r="AQ404" s="237"/>
      <c r="AR404" s="237"/>
      <c r="AS404" s="237"/>
      <c r="AT404" s="360">
        <v>42913</v>
      </c>
      <c r="AU404" s="91">
        <f t="shared" si="33"/>
        <v>148886910</v>
      </c>
      <c r="AV404" s="14"/>
      <c r="AW404" s="1"/>
    </row>
    <row r="405" spans="1:49" s="57" customFormat="1" ht="56.25" hidden="1" x14ac:dyDescent="0.25">
      <c r="A405" s="59"/>
      <c r="B405" s="2" t="str">
        <f>+'Base de Datos'!E405</f>
        <v>160129-0-2016</v>
      </c>
      <c r="C405" s="2" t="str">
        <f>+'Base de Datos'!F405</f>
        <v>CRISTIAN CAMILO RAMOS MARTINEZ</v>
      </c>
      <c r="D405" s="2">
        <f>+'Base de Datos'!G409</f>
        <v>79646061</v>
      </c>
      <c r="E405" s="2" t="str">
        <f>+'Base de Datos'!H409</f>
        <v>Prestar servicios profesionales para apoyar en las diferentes comisiones permanentes del Concejo de Bogotá en la respuesta a Derechos de Petición, solicitudes quejas, consultas y reclamos que reciba la corporación.</v>
      </c>
      <c r="F405" s="221">
        <f>+'Base de Datos'!I409</f>
        <v>44000000</v>
      </c>
      <c r="G405" s="220">
        <f>+'Base de Datos'!M409</f>
        <v>42543</v>
      </c>
      <c r="H405" s="220">
        <f>+'Base de Datos'!N409</f>
        <v>42788</v>
      </c>
      <c r="I405" s="179"/>
      <c r="J405" s="360"/>
      <c r="K405" s="237"/>
      <c r="L405" s="363"/>
      <c r="M405" s="179"/>
      <c r="N405" s="360"/>
      <c r="O405" s="179"/>
      <c r="P405" s="365"/>
      <c r="Q405" s="86">
        <f t="shared" si="31"/>
        <v>0</v>
      </c>
      <c r="R405" s="284"/>
      <c r="S405" s="360"/>
      <c r="T405" s="179"/>
      <c r="U405" s="360"/>
      <c r="V405" s="179"/>
      <c r="W405" s="360"/>
      <c r="X405" s="179"/>
      <c r="Y405" s="360"/>
      <c r="Z405" s="353"/>
      <c r="AA405" s="89">
        <f t="shared" si="32"/>
        <v>0</v>
      </c>
      <c r="AB405" s="237">
        <v>1020000</v>
      </c>
      <c r="AC405" s="237">
        <v>1800000</v>
      </c>
      <c r="AD405" s="237">
        <v>1800000</v>
      </c>
      <c r="AE405" s="237">
        <v>1800000</v>
      </c>
      <c r="AF405" s="237">
        <v>1800000</v>
      </c>
      <c r="AG405" s="237">
        <v>1800000</v>
      </c>
      <c r="AH405" s="237">
        <v>1800000</v>
      </c>
      <c r="AI405" s="237">
        <v>1800000</v>
      </c>
      <c r="AJ405" s="237">
        <v>780000</v>
      </c>
      <c r="AK405" s="237"/>
      <c r="AL405" s="237"/>
      <c r="AM405" s="237"/>
      <c r="AN405" s="237"/>
      <c r="AO405" s="237"/>
      <c r="AP405" s="237"/>
      <c r="AQ405" s="237"/>
      <c r="AR405" s="237"/>
      <c r="AS405" s="237"/>
      <c r="AT405" s="360">
        <v>42808</v>
      </c>
      <c r="AU405" s="91">
        <f t="shared" si="33"/>
        <v>14400000</v>
      </c>
      <c r="AV405" s="14"/>
      <c r="AW405" s="1"/>
    </row>
    <row r="406" spans="1:49" s="57" customFormat="1" ht="45" hidden="1" x14ac:dyDescent="0.25">
      <c r="A406" s="59"/>
      <c r="B406" s="2" t="str">
        <f>+'Base de Datos'!E406</f>
        <v>160134-0-2016</v>
      </c>
      <c r="C406" s="2" t="str">
        <f>+'Base de Datos'!F406</f>
        <v>LEIDY YINETH RIVERA GOZNALEZ</v>
      </c>
      <c r="D406" s="2">
        <f>+'Base de Datos'!G410</f>
        <v>52499785</v>
      </c>
      <c r="E406" s="2" t="str">
        <f>+'Base de Datos'!H410</f>
        <v>Prestar los servicios Profesionales para apoyar al Concejo de Bogotá en la adopción y manejo de las estrategias y acciones de cooperación para posicionar a la Corporación en el ámbito Nacional e Internacional</v>
      </c>
      <c r="F406" s="221">
        <f>+'Base de Datos'!I410</f>
        <v>44000000</v>
      </c>
      <c r="G406" s="220">
        <f>+'Base de Datos'!M410</f>
        <v>42542</v>
      </c>
      <c r="H406" s="220">
        <f>+'Base de Datos'!N410</f>
        <v>42787</v>
      </c>
      <c r="I406" s="179"/>
      <c r="J406" s="360"/>
      <c r="K406" s="237"/>
      <c r="L406" s="363"/>
      <c r="M406" s="179"/>
      <c r="N406" s="360"/>
      <c r="O406" s="179"/>
      <c r="P406" s="365"/>
      <c r="Q406" s="86">
        <f t="shared" si="31"/>
        <v>0</v>
      </c>
      <c r="R406" s="284"/>
      <c r="S406" s="360"/>
      <c r="T406" s="179"/>
      <c r="U406" s="360"/>
      <c r="V406" s="179"/>
      <c r="W406" s="360"/>
      <c r="X406" s="179"/>
      <c r="Y406" s="360"/>
      <c r="Z406" s="353"/>
      <c r="AA406" s="89">
        <f t="shared" si="32"/>
        <v>0</v>
      </c>
      <c r="AB406" s="237">
        <v>3116666</v>
      </c>
      <c r="AC406" s="237">
        <v>5500000</v>
      </c>
      <c r="AD406" s="237">
        <v>5500000</v>
      </c>
      <c r="AE406" s="237">
        <v>5500000</v>
      </c>
      <c r="AF406" s="237">
        <v>5500000</v>
      </c>
      <c r="AG406" s="237">
        <v>5500000</v>
      </c>
      <c r="AH406" s="237">
        <v>5500000</v>
      </c>
      <c r="AI406" s="237">
        <v>5500000</v>
      </c>
      <c r="AJ406" s="237">
        <v>2383334</v>
      </c>
      <c r="AK406" s="237"/>
      <c r="AL406" s="237"/>
      <c r="AM406" s="237"/>
      <c r="AN406" s="237"/>
      <c r="AO406" s="237"/>
      <c r="AP406" s="237"/>
      <c r="AQ406" s="237"/>
      <c r="AR406" s="237"/>
      <c r="AS406" s="237"/>
      <c r="AT406" s="360">
        <v>42803</v>
      </c>
      <c r="AU406" s="91">
        <f t="shared" si="33"/>
        <v>44000000</v>
      </c>
      <c r="AV406" s="14"/>
      <c r="AW406" s="1"/>
    </row>
    <row r="407" spans="1:49" s="57" customFormat="1" ht="27" hidden="1" customHeight="1" x14ac:dyDescent="0.25">
      <c r="A407" s="59"/>
      <c r="B407" s="2" t="str">
        <f>+'Base de Datos'!E407</f>
        <v>160087-0-2016</v>
      </c>
      <c r="C407" s="2" t="str">
        <f>+'Base de Datos'!F407</f>
        <v>FACTOR VISUAL EAT</v>
      </c>
      <c r="D407" s="2">
        <f>+'Base de Datos'!G407</f>
        <v>830112518</v>
      </c>
      <c r="E407" s="2" t="str">
        <f>+'Base de Datos'!H407</f>
        <v>Prestar el servicio de actualización, mantenimiento y soporte al sitio web e intranet del Concejo de Bogotá.</v>
      </c>
      <c r="F407" s="221">
        <f>+'Base de Datos'!I407</f>
        <v>45008000</v>
      </c>
      <c r="G407" s="220">
        <f>+'Base de Datos'!M407</f>
        <v>42502</v>
      </c>
      <c r="H407" s="220">
        <f>+'Base de Datos'!N407</f>
        <v>42867</v>
      </c>
      <c r="I407" s="179"/>
      <c r="J407" s="360"/>
      <c r="K407" s="237"/>
      <c r="L407" s="363"/>
      <c r="M407" s="179"/>
      <c r="N407" s="360"/>
      <c r="O407" s="179"/>
      <c r="P407" s="365"/>
      <c r="Q407" s="86">
        <f t="shared" si="31"/>
        <v>0</v>
      </c>
      <c r="R407" s="284"/>
      <c r="S407" s="360"/>
      <c r="T407" s="179"/>
      <c r="U407" s="360"/>
      <c r="V407" s="179"/>
      <c r="W407" s="360"/>
      <c r="X407" s="179"/>
      <c r="Y407" s="360"/>
      <c r="Z407" s="353"/>
      <c r="AA407" s="89">
        <f t="shared" si="32"/>
        <v>0</v>
      </c>
      <c r="AB407" s="237">
        <v>2784000</v>
      </c>
      <c r="AC407" s="237">
        <v>3364000</v>
      </c>
      <c r="AD407" s="237">
        <v>3364000</v>
      </c>
      <c r="AE407" s="237">
        <v>3364000</v>
      </c>
      <c r="AF407" s="237">
        <v>3364000</v>
      </c>
      <c r="AG407" s="237">
        <v>3364000</v>
      </c>
      <c r="AH407" s="237">
        <v>5220000</v>
      </c>
      <c r="AI407" s="237">
        <v>3364000</v>
      </c>
      <c r="AJ407" s="237">
        <v>3364000</v>
      </c>
      <c r="AK407" s="237">
        <v>3364000</v>
      </c>
      <c r="AL407" s="237">
        <v>3364000</v>
      </c>
      <c r="AM407" s="237">
        <v>3364000</v>
      </c>
      <c r="AN407" s="237">
        <v>3364000</v>
      </c>
      <c r="AO407" s="237"/>
      <c r="AP407" s="237"/>
      <c r="AQ407" s="237"/>
      <c r="AR407" s="237"/>
      <c r="AS407" s="237"/>
      <c r="AT407" s="360">
        <v>42867</v>
      </c>
      <c r="AU407" s="91">
        <f t="shared" si="33"/>
        <v>45008000</v>
      </c>
      <c r="AV407" s="14"/>
      <c r="AW407" s="1"/>
    </row>
    <row r="408" spans="1:49" s="57" customFormat="1" ht="42.75" hidden="1" customHeight="1" x14ac:dyDescent="0.25">
      <c r="A408" s="59"/>
      <c r="B408" s="2" t="str">
        <f>+'Base de Datos'!E408</f>
        <v>160137-0-2016</v>
      </c>
      <c r="C408" s="2" t="str">
        <f>+'Base de Datos'!F408</f>
        <v>LAURA VILLARRAGA ALBINO</v>
      </c>
      <c r="D408" s="2">
        <f>+'Base de Datos'!G408</f>
        <v>1136882557</v>
      </c>
      <c r="E408" s="2" t="str">
        <f>+'Base de Datos'!H408</f>
        <v>Prestar servicios profesionales para apoyar la gestión administrativa, documental y contractual en los asuntos de competencia del Concejo de Bogotá, D.C.</v>
      </c>
      <c r="F408" s="221">
        <f>+'Base de Datos'!I408</f>
        <v>19600000</v>
      </c>
      <c r="G408" s="220">
        <f>+'Base de Datos'!M408</f>
        <v>42541</v>
      </c>
      <c r="H408" s="220">
        <f>+'Base de Datos'!N408</f>
        <v>42786</v>
      </c>
      <c r="I408" s="179"/>
      <c r="J408" s="360"/>
      <c r="K408" s="237"/>
      <c r="L408" s="363"/>
      <c r="M408" s="179"/>
      <c r="N408" s="360"/>
      <c r="O408" s="179"/>
      <c r="P408" s="365"/>
      <c r="Q408" s="86">
        <f t="shared" si="31"/>
        <v>0</v>
      </c>
      <c r="R408" s="284"/>
      <c r="S408" s="360"/>
      <c r="T408" s="179"/>
      <c r="U408" s="360"/>
      <c r="V408" s="179"/>
      <c r="W408" s="360"/>
      <c r="X408" s="179"/>
      <c r="Y408" s="360"/>
      <c r="Z408" s="353"/>
      <c r="AA408" s="89">
        <f t="shared" si="32"/>
        <v>0</v>
      </c>
      <c r="AB408" s="237">
        <v>898333</v>
      </c>
      <c r="AC408" s="237">
        <v>2450000</v>
      </c>
      <c r="AD408" s="237">
        <v>2450000</v>
      </c>
      <c r="AE408" s="237">
        <v>2450000</v>
      </c>
      <c r="AF408" s="237">
        <v>2450000</v>
      </c>
      <c r="AG408" s="237">
        <v>2450000</v>
      </c>
      <c r="AH408" s="237">
        <v>2450000</v>
      </c>
      <c r="AI408" s="237">
        <v>2450000</v>
      </c>
      <c r="AJ408" s="237">
        <v>1551667</v>
      </c>
      <c r="AK408" s="237"/>
      <c r="AL408" s="237"/>
      <c r="AM408" s="237"/>
      <c r="AN408" s="237"/>
      <c r="AO408" s="237"/>
      <c r="AP408" s="237"/>
      <c r="AQ408" s="237"/>
      <c r="AR408" s="237"/>
      <c r="AS408" s="237"/>
      <c r="AT408" s="360">
        <v>42824</v>
      </c>
      <c r="AU408" s="91">
        <f t="shared" si="33"/>
        <v>19600000</v>
      </c>
      <c r="AV408" s="14"/>
      <c r="AW408" s="1"/>
    </row>
    <row r="409" spans="1:49" s="57" customFormat="1" ht="45" hidden="1" customHeight="1" x14ac:dyDescent="0.25">
      <c r="A409" s="59"/>
      <c r="B409" s="2" t="str">
        <f>+'Base de Datos'!E409</f>
        <v>160138-0-2016</v>
      </c>
      <c r="C409" s="2" t="str">
        <f>+'Base de Datos'!F409</f>
        <v>WILSON GUERRERO VERA</v>
      </c>
      <c r="D409" s="2">
        <f>+'Base de Datos'!G409</f>
        <v>79646061</v>
      </c>
      <c r="E409" s="2" t="str">
        <f>+'Base de Datos'!H409</f>
        <v>Prestar servicios profesionales para apoyar en las diferentes comisiones permanentes del Concejo de Bogotá en la respuesta a Derechos de Petición, solicitudes quejas, consultas y reclamos que reciba la corporación.</v>
      </c>
      <c r="F409" s="221">
        <f>+'Base de Datos'!I409</f>
        <v>44000000</v>
      </c>
      <c r="G409" s="220">
        <f>+'Base de Datos'!M409</f>
        <v>42543</v>
      </c>
      <c r="H409" s="220">
        <f>+'Base de Datos'!N409</f>
        <v>42788</v>
      </c>
      <c r="I409" s="179"/>
      <c r="J409" s="360"/>
      <c r="K409" s="237"/>
      <c r="L409" s="363"/>
      <c r="M409" s="179"/>
      <c r="N409" s="360"/>
      <c r="O409" s="179"/>
      <c r="P409" s="365"/>
      <c r="Q409" s="86">
        <f t="shared" si="31"/>
        <v>0</v>
      </c>
      <c r="R409" s="284"/>
      <c r="S409" s="360"/>
      <c r="T409" s="179"/>
      <c r="U409" s="360"/>
      <c r="V409" s="179"/>
      <c r="W409" s="360"/>
      <c r="X409" s="179"/>
      <c r="Y409" s="360"/>
      <c r="Z409" s="353"/>
      <c r="AA409" s="89">
        <f t="shared" si="32"/>
        <v>0</v>
      </c>
      <c r="AB409" s="237">
        <v>1650000</v>
      </c>
      <c r="AC409" s="237">
        <v>5500000</v>
      </c>
      <c r="AD409" s="237">
        <v>5500000</v>
      </c>
      <c r="AE409" s="237">
        <v>5500000</v>
      </c>
      <c r="AF409" s="237">
        <v>5500000</v>
      </c>
      <c r="AG409" s="237">
        <v>5500000</v>
      </c>
      <c r="AH409" s="237">
        <v>5500000</v>
      </c>
      <c r="AI409" s="237">
        <v>5500000</v>
      </c>
      <c r="AJ409" s="237">
        <v>3850000</v>
      </c>
      <c r="AK409" s="237"/>
      <c r="AL409" s="237"/>
      <c r="AM409" s="237"/>
      <c r="AN409" s="237"/>
      <c r="AO409" s="237"/>
      <c r="AP409" s="237"/>
      <c r="AQ409" s="237"/>
      <c r="AR409" s="237"/>
      <c r="AS409" s="237"/>
      <c r="AT409" s="360">
        <v>42811</v>
      </c>
      <c r="AU409" s="91">
        <f t="shared" si="33"/>
        <v>44000000</v>
      </c>
      <c r="AV409" s="14"/>
      <c r="AW409" s="1"/>
    </row>
    <row r="410" spans="1:49" s="57" customFormat="1" ht="47.25" hidden="1" customHeight="1" x14ac:dyDescent="0.25">
      <c r="A410" s="59"/>
      <c r="B410" s="2" t="str">
        <f>+'Base de Datos'!E410</f>
        <v>160139-0-2016</v>
      </c>
      <c r="C410" s="2" t="str">
        <f>+'Base de Datos'!F410</f>
        <v>DIANA PILAR DELGADO BARRERO</v>
      </c>
      <c r="D410" s="2">
        <f>+'Base de Datos'!G410</f>
        <v>52499785</v>
      </c>
      <c r="E410" s="2" t="str">
        <f>+'Base de Datos'!H410</f>
        <v>Prestar los servicios Profesionales para apoyar al Concejo de Bogotá en la adopción y manejo de las estrategias y acciones de cooperación para posicionar a la Corporación en el ámbito Nacional e Internacional</v>
      </c>
      <c r="F410" s="221">
        <f>+'Base de Datos'!I410</f>
        <v>44000000</v>
      </c>
      <c r="G410" s="220">
        <f>+'Base de Datos'!M410</f>
        <v>42542</v>
      </c>
      <c r="H410" s="220">
        <f>+'Base de Datos'!N410</f>
        <v>42787</v>
      </c>
      <c r="I410" s="179"/>
      <c r="J410" s="360"/>
      <c r="K410" s="237"/>
      <c r="L410" s="363"/>
      <c r="M410" s="179"/>
      <c r="N410" s="360"/>
      <c r="O410" s="179"/>
      <c r="P410" s="365"/>
      <c r="Q410" s="86">
        <f t="shared" si="31"/>
        <v>0</v>
      </c>
      <c r="R410" s="284"/>
      <c r="S410" s="360"/>
      <c r="T410" s="179"/>
      <c r="U410" s="360"/>
      <c r="V410" s="179"/>
      <c r="W410" s="360"/>
      <c r="X410" s="179"/>
      <c r="Y410" s="360"/>
      <c r="Z410" s="353"/>
      <c r="AA410" s="89">
        <f t="shared" si="32"/>
        <v>0</v>
      </c>
      <c r="AB410" s="237">
        <v>1833333</v>
      </c>
      <c r="AC410" s="237">
        <v>5500000</v>
      </c>
      <c r="AD410" s="237">
        <v>5500000</v>
      </c>
      <c r="AE410" s="237">
        <v>5500000</v>
      </c>
      <c r="AF410" s="237">
        <v>5500000</v>
      </c>
      <c r="AG410" s="237">
        <v>5500000</v>
      </c>
      <c r="AH410" s="237">
        <v>5500000</v>
      </c>
      <c r="AI410" s="237">
        <v>5500000</v>
      </c>
      <c r="AJ410" s="237">
        <v>3666667</v>
      </c>
      <c r="AK410" s="237"/>
      <c r="AL410" s="237"/>
      <c r="AM410" s="237"/>
      <c r="AN410" s="237"/>
      <c r="AO410" s="237"/>
      <c r="AP410" s="237"/>
      <c r="AQ410" s="237"/>
      <c r="AR410" s="237"/>
      <c r="AS410" s="237"/>
      <c r="AT410" s="360">
        <v>42824</v>
      </c>
      <c r="AU410" s="91">
        <f t="shared" si="33"/>
        <v>44000000</v>
      </c>
      <c r="AV410" s="14"/>
      <c r="AW410" s="1"/>
    </row>
    <row r="411" spans="1:49" s="57" customFormat="1" ht="22.5" hidden="1" x14ac:dyDescent="0.25">
      <c r="A411" s="59"/>
      <c r="B411" s="2" t="str">
        <f>+'Base de Datos'!E411</f>
        <v>160141-0-2016</v>
      </c>
      <c r="C411" s="2" t="str">
        <f>+'Base de Datos'!F411</f>
        <v>MARTHA PATRICIA TAPIA HENRIQUEZ</v>
      </c>
      <c r="D411" s="2">
        <f>+'Base de Datos'!G411</f>
        <v>32853319</v>
      </c>
      <c r="E411" s="2" t="str">
        <f>+'Base de Datos'!H411</f>
        <v>Prestar servicios Profesionales de auditorías internas en el área de Control Interno del Concejo de Bogotá.</v>
      </c>
      <c r="F411" s="221">
        <f>+'Base de Datos'!I411</f>
        <v>44000000</v>
      </c>
      <c r="G411" s="220">
        <f>+'Base de Datos'!M411</f>
        <v>42542</v>
      </c>
      <c r="H411" s="220">
        <f>+'Base de Datos'!N411</f>
        <v>42787</v>
      </c>
      <c r="I411" s="179"/>
      <c r="J411" s="360"/>
      <c r="K411" s="237"/>
      <c r="L411" s="363"/>
      <c r="M411" s="179"/>
      <c r="N411" s="360"/>
      <c r="O411" s="179"/>
      <c r="P411" s="365"/>
      <c r="Q411" s="86">
        <f t="shared" si="31"/>
        <v>0</v>
      </c>
      <c r="R411" s="284"/>
      <c r="S411" s="360"/>
      <c r="T411" s="179"/>
      <c r="U411" s="360"/>
      <c r="V411" s="179"/>
      <c r="W411" s="360"/>
      <c r="X411" s="179"/>
      <c r="Y411" s="360"/>
      <c r="Z411" s="353"/>
      <c r="AA411" s="89">
        <f t="shared" si="32"/>
        <v>0</v>
      </c>
      <c r="AB411" s="237">
        <v>1833333</v>
      </c>
      <c r="AC411" s="237">
        <v>5500000</v>
      </c>
      <c r="AD411" s="237">
        <v>5500000</v>
      </c>
      <c r="AE411" s="237">
        <v>5500000</v>
      </c>
      <c r="AF411" s="237">
        <v>5500000</v>
      </c>
      <c r="AG411" s="237">
        <v>5500000</v>
      </c>
      <c r="AH411" s="237">
        <v>5500000</v>
      </c>
      <c r="AI411" s="237">
        <v>5500000</v>
      </c>
      <c r="AJ411" s="237">
        <v>3666667</v>
      </c>
      <c r="AK411" s="237"/>
      <c r="AL411" s="237"/>
      <c r="AM411" s="237"/>
      <c r="AN411" s="237"/>
      <c r="AO411" s="237"/>
      <c r="AP411" s="237"/>
      <c r="AQ411" s="237"/>
      <c r="AR411" s="237"/>
      <c r="AS411" s="237"/>
      <c r="AT411" s="360">
        <v>42824</v>
      </c>
      <c r="AU411" s="91">
        <f t="shared" si="33"/>
        <v>44000000</v>
      </c>
      <c r="AV411" s="14"/>
      <c r="AW411" s="1"/>
    </row>
    <row r="412" spans="1:49" s="57" customFormat="1" ht="45" hidden="1" x14ac:dyDescent="0.25">
      <c r="A412" s="59"/>
      <c r="B412" s="2" t="str">
        <f>+'Base de Datos'!E412</f>
        <v>160143-0-2016</v>
      </c>
      <c r="C412" s="2" t="str">
        <f>+'Base de Datos'!F412</f>
        <v>IVON ADRIANA JIMENEZ ZAPATA</v>
      </c>
      <c r="D412" s="2">
        <f>+'Base de Datos'!G412</f>
        <v>63548489</v>
      </c>
      <c r="E412" s="2" t="str">
        <f>+'Base de Datos'!H412</f>
        <v>Prestar servicios Profesionales de apoyo a la oficina de comunicaciones del Concejo de Bogotá para cumplimiento del plan de comunicaciones internas y externas de la entidad.</v>
      </c>
      <c r="F412" s="221">
        <f>+'Base de Datos'!I412</f>
        <v>44000000</v>
      </c>
      <c r="G412" s="220">
        <f>+'Base de Datos'!M412</f>
        <v>42545</v>
      </c>
      <c r="H412" s="220">
        <f>+'Base de Datos'!N412</f>
        <v>42790</v>
      </c>
      <c r="I412" s="179"/>
      <c r="J412" s="360"/>
      <c r="K412" s="237"/>
      <c r="L412" s="363"/>
      <c r="M412" s="179"/>
      <c r="N412" s="360"/>
      <c r="O412" s="179"/>
      <c r="P412" s="365"/>
      <c r="Q412" s="86">
        <f t="shared" si="31"/>
        <v>0</v>
      </c>
      <c r="R412" s="284"/>
      <c r="S412" s="360"/>
      <c r="T412" s="179"/>
      <c r="U412" s="360"/>
      <c r="V412" s="179"/>
      <c r="W412" s="360"/>
      <c r="X412" s="179"/>
      <c r="Y412" s="360"/>
      <c r="Z412" s="353"/>
      <c r="AA412" s="89">
        <f t="shared" si="32"/>
        <v>0</v>
      </c>
      <c r="AB412" s="237">
        <v>1283333</v>
      </c>
      <c r="AC412" s="237">
        <v>5500000</v>
      </c>
      <c r="AD412" s="237">
        <v>5500000</v>
      </c>
      <c r="AE412" s="237">
        <v>5500000</v>
      </c>
      <c r="AF412" s="237"/>
      <c r="AG412" s="237">
        <v>5500000</v>
      </c>
      <c r="AH412" s="237">
        <v>5500000</v>
      </c>
      <c r="AI412" s="237">
        <v>5500000</v>
      </c>
      <c r="AJ412" s="237">
        <v>5500000</v>
      </c>
      <c r="AK412" s="237">
        <v>4216667</v>
      </c>
      <c r="AL412" s="237"/>
      <c r="AM412" s="237"/>
      <c r="AN412" s="237"/>
      <c r="AO412" s="237"/>
      <c r="AP412" s="237"/>
      <c r="AQ412" s="237"/>
      <c r="AR412" s="237"/>
      <c r="AS412" s="237"/>
      <c r="AT412" s="360">
        <v>42810</v>
      </c>
      <c r="AU412" s="91">
        <f t="shared" si="33"/>
        <v>44000000</v>
      </c>
      <c r="AV412" s="14"/>
      <c r="AW412" s="1"/>
    </row>
    <row r="413" spans="1:49" s="57" customFormat="1" ht="22.5" hidden="1" x14ac:dyDescent="0.25">
      <c r="A413" s="59"/>
      <c r="B413" s="2" t="str">
        <f>+'Base de Datos'!E413</f>
        <v>160136-0-2016</v>
      </c>
      <c r="C413" s="2" t="str">
        <f>+'Base de Datos'!F413</f>
        <v>SGS COLOMBIA S.A.</v>
      </c>
      <c r="D413" s="2">
        <f>+'Base de Datos'!G413</f>
        <v>860049921</v>
      </c>
      <c r="E413" s="2" t="str">
        <f>+'Base de Datos'!H413</f>
        <v>Realizar Auditorías al sistema de gestión de calidad del Concejo de Bogotá.</v>
      </c>
      <c r="F413" s="221">
        <f>+'Base de Datos'!I413</f>
        <v>5086020</v>
      </c>
      <c r="G413" s="220">
        <f>+'Base de Datos'!M413</f>
        <v>42570</v>
      </c>
      <c r="H413" s="220">
        <f>+'Base de Datos'!N413</f>
        <v>42693</v>
      </c>
      <c r="I413" s="179"/>
      <c r="J413" s="360"/>
      <c r="K413" s="237"/>
      <c r="L413" s="363"/>
      <c r="M413" s="179"/>
      <c r="N413" s="360"/>
      <c r="O413" s="179"/>
      <c r="P413" s="365"/>
      <c r="Q413" s="86">
        <f t="shared" si="31"/>
        <v>0</v>
      </c>
      <c r="R413" s="284"/>
      <c r="S413" s="360"/>
      <c r="T413" s="179"/>
      <c r="U413" s="360"/>
      <c r="V413" s="179"/>
      <c r="W413" s="360"/>
      <c r="X413" s="179"/>
      <c r="Y413" s="360"/>
      <c r="Z413" s="353"/>
      <c r="AA413" s="89">
        <f t="shared" si="32"/>
        <v>0</v>
      </c>
      <c r="AB413" s="237">
        <v>5086020</v>
      </c>
      <c r="AC413" s="237"/>
      <c r="AD413" s="237"/>
      <c r="AE413" s="237"/>
      <c r="AF413" s="237"/>
      <c r="AG413" s="237"/>
      <c r="AH413" s="237"/>
      <c r="AI413" s="237"/>
      <c r="AJ413" s="237"/>
      <c r="AK413" s="237"/>
      <c r="AL413" s="237"/>
      <c r="AM413" s="237"/>
      <c r="AN413" s="237"/>
      <c r="AO413" s="237"/>
      <c r="AP413" s="237"/>
      <c r="AQ413" s="237"/>
      <c r="AR413" s="237"/>
      <c r="AS413" s="237"/>
      <c r="AT413" s="360">
        <v>42737</v>
      </c>
      <c r="AU413" s="91">
        <f t="shared" si="33"/>
        <v>5086020</v>
      </c>
      <c r="AV413" s="14"/>
      <c r="AW413" s="1"/>
    </row>
    <row r="414" spans="1:49" s="57" customFormat="1" ht="78.75" hidden="1" x14ac:dyDescent="0.25">
      <c r="A414" s="59"/>
      <c r="B414" s="2" t="str">
        <f>+'Base de Datos'!E414</f>
        <v>160142-0-2016</v>
      </c>
      <c r="C414" s="2" t="str">
        <f>+'Base de Datos'!F414</f>
        <v>CAMILO ANDRÉS SARMIENTO DELGADO</v>
      </c>
      <c r="D414" s="2">
        <f>+'Base de Datos'!G414</f>
        <v>79951750</v>
      </c>
      <c r="E414" s="2" t="str">
        <f>+'Base de Datos'!H414</f>
        <v>Prestar servicios profesionales para apoyar al Director Financiero en los asuntos propios de la dependencia, en el marco del presupuesto anual de gastos de funcionamiento e inversión para el manejo eficiente y eficaz de los recursos financieros conforme al plan estratégico de la entidad de acuerdo con la normatividad vigente.</v>
      </c>
      <c r="F414" s="221">
        <f>+'Base de Datos'!I414</f>
        <v>36000000</v>
      </c>
      <c r="G414" s="220">
        <f>+'Base de Datos'!M414</f>
        <v>42545</v>
      </c>
      <c r="H414" s="220">
        <f>+'Base de Datos'!N414</f>
        <v>42790</v>
      </c>
      <c r="I414" s="179"/>
      <c r="J414" s="360"/>
      <c r="K414" s="237"/>
      <c r="L414" s="363"/>
      <c r="M414" s="179"/>
      <c r="N414" s="360"/>
      <c r="O414" s="179"/>
      <c r="P414" s="365"/>
      <c r="Q414" s="86">
        <f t="shared" si="31"/>
        <v>0</v>
      </c>
      <c r="R414" s="284"/>
      <c r="S414" s="360"/>
      <c r="T414" s="179"/>
      <c r="U414" s="360"/>
      <c r="V414" s="179"/>
      <c r="W414" s="360"/>
      <c r="X414" s="179"/>
      <c r="Y414" s="360"/>
      <c r="Z414" s="353"/>
      <c r="AA414" s="89">
        <f t="shared" si="32"/>
        <v>0</v>
      </c>
      <c r="AB414" s="237">
        <v>1050000</v>
      </c>
      <c r="AC414" s="237">
        <v>4500000</v>
      </c>
      <c r="AD414" s="237">
        <v>4500000</v>
      </c>
      <c r="AE414" s="237">
        <v>4500000</v>
      </c>
      <c r="AF414" s="237">
        <v>4500000</v>
      </c>
      <c r="AG414" s="237">
        <v>4500000</v>
      </c>
      <c r="AH414" s="237">
        <v>4500000</v>
      </c>
      <c r="AI414" s="237">
        <v>4500000</v>
      </c>
      <c r="AJ414" s="237">
        <v>3450000</v>
      </c>
      <c r="AK414" s="237"/>
      <c r="AL414" s="237"/>
      <c r="AM414" s="237"/>
      <c r="AN414" s="237"/>
      <c r="AO414" s="237"/>
      <c r="AP414" s="237"/>
      <c r="AQ414" s="237"/>
      <c r="AR414" s="237"/>
      <c r="AS414" s="237"/>
      <c r="AT414" s="360">
        <v>42823</v>
      </c>
      <c r="AU414" s="91">
        <f t="shared" si="33"/>
        <v>36000000</v>
      </c>
      <c r="AV414" s="14"/>
      <c r="AW414" s="1"/>
    </row>
    <row r="415" spans="1:49" s="57" customFormat="1" ht="56.25" hidden="1" x14ac:dyDescent="0.25">
      <c r="A415" s="59"/>
      <c r="B415" s="2" t="str">
        <f>+'Base de Datos'!E415</f>
        <v>160131-0-2016</v>
      </c>
      <c r="C415" s="2" t="str">
        <f>+'Base de Datos'!F415</f>
        <v>SOLUCIONES Y DIAGNÓSTICOS EN INGENIERÍA ELÉCTRICA LTDA</v>
      </c>
      <c r="D415" s="2" t="str">
        <f>+'Base de Datos'!G415</f>
        <v>900268429-1</v>
      </c>
      <c r="E415" s="2" t="str">
        <f>+'Base de Datos'!H415</f>
        <v>Prestar el servicio de mantenimiento preventivo y correctivo al sistema de generación y transferencia eléctrica de emergencia del Concejo de Bogotá, D.C., de conformidad con lo establecido en la invitación pública SDH-SMINC-10-2016.</v>
      </c>
      <c r="F415" s="221">
        <f>+'Base de Datos'!I415</f>
        <v>8110000</v>
      </c>
      <c r="G415" s="220">
        <f>+'Base de Datos'!M415</f>
        <v>42551</v>
      </c>
      <c r="H415" s="220">
        <f>+'Base de Datos'!N415</f>
        <v>42734</v>
      </c>
      <c r="I415" s="179"/>
      <c r="J415" s="360"/>
      <c r="K415" s="237"/>
      <c r="L415" s="363"/>
      <c r="M415" s="179"/>
      <c r="N415" s="360"/>
      <c r="O415" s="179"/>
      <c r="P415" s="365"/>
      <c r="Q415" s="86">
        <f t="shared" si="31"/>
        <v>0</v>
      </c>
      <c r="R415" s="284" t="s">
        <v>379</v>
      </c>
      <c r="S415" s="360">
        <v>42824</v>
      </c>
      <c r="T415" s="179"/>
      <c r="U415" s="360"/>
      <c r="V415" s="179"/>
      <c r="W415" s="360"/>
      <c r="X415" s="179"/>
      <c r="Y415" s="360"/>
      <c r="Z415" s="353" t="s">
        <v>379</v>
      </c>
      <c r="AA415" s="89">
        <f t="shared" si="32"/>
        <v>42824</v>
      </c>
      <c r="AB415" s="237">
        <v>1440800</v>
      </c>
      <c r="AC415" s="237">
        <v>1760380</v>
      </c>
      <c r="AD415" s="237">
        <v>1372360</v>
      </c>
      <c r="AE415" s="237">
        <v>1372360</v>
      </c>
      <c r="AF415" s="237">
        <v>1931400</v>
      </c>
      <c r="AG415" s="237"/>
      <c r="AH415" s="237"/>
      <c r="AI415" s="237"/>
      <c r="AJ415" s="237"/>
      <c r="AK415" s="237"/>
      <c r="AL415" s="237"/>
      <c r="AM415" s="237"/>
      <c r="AN415" s="237"/>
      <c r="AO415" s="237"/>
      <c r="AP415" s="237"/>
      <c r="AQ415" s="237"/>
      <c r="AR415" s="237"/>
      <c r="AS415" s="237"/>
      <c r="AT415" s="360">
        <v>42844</v>
      </c>
      <c r="AU415" s="91">
        <f t="shared" si="33"/>
        <v>7877300</v>
      </c>
      <c r="AV415" s="14"/>
      <c r="AW415" s="1"/>
    </row>
    <row r="416" spans="1:49" s="57" customFormat="1" ht="56.25" hidden="1" x14ac:dyDescent="0.25">
      <c r="A416" s="59"/>
      <c r="B416" s="2" t="str">
        <f>+'Base de Datos'!E416</f>
        <v>160148-0-2016</v>
      </c>
      <c r="C416" s="2" t="str">
        <f>+'Base de Datos'!F416</f>
        <v>SANDRA MARCELA ROJAS MACIAS</v>
      </c>
      <c r="D416" s="2">
        <f>+'Base de Datos'!G416</f>
        <v>51647190</v>
      </c>
      <c r="E416" s="2" t="str">
        <f>+'Base de Datos'!H416</f>
        <v>Prestar los servicios profesionales para apoyar a  la oficina asesora de planeación y dirección administrativa en la ejecución, mantenimiento, sostenibilidad y mejora continua del subsistema de responsabilidad social del Concejo de Bogotá. D.C.</v>
      </c>
      <c r="F416" s="221">
        <f>+'Base de Datos'!I416</f>
        <v>44000000</v>
      </c>
      <c r="G416" s="220">
        <f>+'Base de Datos'!M416</f>
        <v>42548</v>
      </c>
      <c r="H416" s="220">
        <f>+'Base de Datos'!N416</f>
        <v>42793</v>
      </c>
      <c r="I416" s="179"/>
      <c r="J416" s="360"/>
      <c r="K416" s="237"/>
      <c r="L416" s="363"/>
      <c r="M416" s="179"/>
      <c r="N416" s="360"/>
      <c r="O416" s="179"/>
      <c r="P416" s="365"/>
      <c r="Q416" s="86">
        <f t="shared" si="31"/>
        <v>0</v>
      </c>
      <c r="R416" s="284"/>
      <c r="S416" s="360"/>
      <c r="T416" s="179"/>
      <c r="U416" s="360"/>
      <c r="V416" s="179"/>
      <c r="W416" s="360"/>
      <c r="X416" s="179"/>
      <c r="Y416" s="360"/>
      <c r="Z416" s="353"/>
      <c r="AA416" s="89">
        <f t="shared" si="32"/>
        <v>0</v>
      </c>
      <c r="AB416" s="237">
        <v>6233333</v>
      </c>
      <c r="AC416" s="237">
        <v>5500000</v>
      </c>
      <c r="AD416" s="237">
        <v>5500000</v>
      </c>
      <c r="AE416" s="237">
        <v>5500000</v>
      </c>
      <c r="AF416" s="237">
        <v>5500000</v>
      </c>
      <c r="AG416" s="237">
        <v>5500000</v>
      </c>
      <c r="AH416" s="237">
        <v>5500000</v>
      </c>
      <c r="AI416" s="237">
        <v>4766667</v>
      </c>
      <c r="AJ416" s="237"/>
      <c r="AK416" s="237"/>
      <c r="AL416" s="237"/>
      <c r="AM416" s="237"/>
      <c r="AN416" s="237"/>
      <c r="AO416" s="237"/>
      <c r="AP416" s="237"/>
      <c r="AQ416" s="237"/>
      <c r="AR416" s="237"/>
      <c r="AS416" s="237"/>
      <c r="AT416" s="360">
        <v>42823</v>
      </c>
      <c r="AU416" s="91">
        <f t="shared" si="33"/>
        <v>44000000</v>
      </c>
      <c r="AV416" s="14"/>
      <c r="AW416" s="1"/>
    </row>
    <row r="417" spans="1:49" s="57" customFormat="1" ht="22.5" hidden="1" x14ac:dyDescent="0.25">
      <c r="A417" s="59"/>
      <c r="B417" s="2" t="str">
        <f>+'Base de Datos'!E417</f>
        <v>160150-0-2016</v>
      </c>
      <c r="C417" s="2" t="str">
        <f>+'Base de Datos'!F417</f>
        <v>COLOMBIANA DE COMERCIO S.A. Y/O ALKOSTO S.A.</v>
      </c>
      <c r="D417" s="2" t="str">
        <f>+'Base de Datos'!G417</f>
        <v>890900943-1</v>
      </c>
      <c r="E417" s="2" t="str">
        <f>+'Base de Datos'!H417</f>
        <v>Compraventa de llantas para el Concejo de Bogotá</v>
      </c>
      <c r="F417" s="221">
        <f>+'Base de Datos'!I417</f>
        <v>12637000</v>
      </c>
      <c r="G417" s="220">
        <f>+'Base de Datos'!M417</f>
        <v>0</v>
      </c>
      <c r="H417" s="220">
        <f>+'Base de Datos'!N417</f>
        <v>0</v>
      </c>
      <c r="I417" s="179"/>
      <c r="J417" s="360"/>
      <c r="K417" s="237"/>
      <c r="L417" s="363"/>
      <c r="M417" s="179"/>
      <c r="N417" s="360"/>
      <c r="O417" s="179"/>
      <c r="P417" s="365"/>
      <c r="Q417" s="86">
        <f t="shared" si="31"/>
        <v>0</v>
      </c>
      <c r="R417" s="284"/>
      <c r="S417" s="360"/>
      <c r="T417" s="179"/>
      <c r="U417" s="360"/>
      <c r="V417" s="179"/>
      <c r="W417" s="360"/>
      <c r="X417" s="179"/>
      <c r="Y417" s="360"/>
      <c r="Z417" s="353"/>
      <c r="AA417" s="89">
        <f t="shared" si="32"/>
        <v>0</v>
      </c>
      <c r="AB417" s="237">
        <v>12636504</v>
      </c>
      <c r="AC417" s="237"/>
      <c r="AD417" s="237"/>
      <c r="AE417" s="237"/>
      <c r="AF417" s="237"/>
      <c r="AG417" s="237"/>
      <c r="AH417" s="237"/>
      <c r="AI417" s="237"/>
      <c r="AJ417" s="237"/>
      <c r="AK417" s="237"/>
      <c r="AL417" s="237"/>
      <c r="AM417" s="237"/>
      <c r="AN417" s="237"/>
      <c r="AO417" s="237"/>
      <c r="AP417" s="237"/>
      <c r="AQ417" s="237"/>
      <c r="AR417" s="237"/>
      <c r="AS417" s="237"/>
      <c r="AT417" s="360">
        <v>42559</v>
      </c>
      <c r="AU417" s="91">
        <f t="shared" si="33"/>
        <v>12636504</v>
      </c>
      <c r="AV417" s="14"/>
      <c r="AW417" s="1"/>
    </row>
    <row r="418" spans="1:49" s="57" customFormat="1" ht="45" hidden="1" x14ac:dyDescent="0.25">
      <c r="A418" s="59"/>
      <c r="B418" s="2" t="str">
        <f>+'Base de Datos'!E418</f>
        <v>160144-0-2016</v>
      </c>
      <c r="C418" s="2" t="str">
        <f>+'Base de Datos'!F418</f>
        <v>ELENCO INGENIEROS SAS</v>
      </c>
      <c r="D418" s="2">
        <f>+'Base de Datos'!G418</f>
        <v>900048718</v>
      </c>
      <c r="E418" s="2" t="str">
        <f>+'Base de Datos'!H418</f>
        <v>Realizar el mantenimiento integral y adecuaciones locativas y las obras de mejora que se requieran, con el suministro de personal, equipo, materiales y repuestos, en las instalaciones físicas del Concejo de Bogotá. D.C.</v>
      </c>
      <c r="F418" s="221">
        <f>+'Base de Datos'!I418</f>
        <v>23000000</v>
      </c>
      <c r="G418" s="220">
        <f>+'Base de Datos'!M418</f>
        <v>42549</v>
      </c>
      <c r="H418" s="220">
        <f>+'Base de Datos'!N418</f>
        <v>42579</v>
      </c>
      <c r="I418" s="179"/>
      <c r="J418" s="360"/>
      <c r="K418" s="237"/>
      <c r="L418" s="363"/>
      <c r="M418" s="179"/>
      <c r="N418" s="360"/>
      <c r="O418" s="179"/>
      <c r="P418" s="365"/>
      <c r="Q418" s="86">
        <f t="shared" si="31"/>
        <v>0</v>
      </c>
      <c r="R418" s="284"/>
      <c r="S418" s="360"/>
      <c r="T418" s="179"/>
      <c r="U418" s="360"/>
      <c r="V418" s="179"/>
      <c r="W418" s="360"/>
      <c r="X418" s="179"/>
      <c r="Y418" s="360"/>
      <c r="Z418" s="353"/>
      <c r="AA418" s="89">
        <f t="shared" si="32"/>
        <v>0</v>
      </c>
      <c r="AB418" s="237">
        <v>22847465</v>
      </c>
      <c r="AC418" s="237"/>
      <c r="AD418" s="237"/>
      <c r="AE418" s="237"/>
      <c r="AF418" s="237"/>
      <c r="AG418" s="237"/>
      <c r="AH418" s="237"/>
      <c r="AI418" s="237"/>
      <c r="AJ418" s="237"/>
      <c r="AK418" s="237"/>
      <c r="AL418" s="237"/>
      <c r="AM418" s="237"/>
      <c r="AN418" s="237"/>
      <c r="AO418" s="237"/>
      <c r="AP418" s="237"/>
      <c r="AQ418" s="237"/>
      <c r="AR418" s="237"/>
      <c r="AS418" s="237"/>
      <c r="AT418" s="360">
        <v>42689</v>
      </c>
      <c r="AU418" s="91">
        <f t="shared" si="33"/>
        <v>22847465</v>
      </c>
      <c r="AV418" s="14"/>
      <c r="AW418" s="1"/>
    </row>
    <row r="419" spans="1:49" s="57" customFormat="1" ht="33.75" hidden="1" x14ac:dyDescent="0.25">
      <c r="A419" s="59"/>
      <c r="B419" s="2" t="str">
        <f>+'Base de Datos'!E419</f>
        <v>160132-0-2016</v>
      </c>
      <c r="C419" s="2" t="str">
        <f>+'Base de Datos'!F419</f>
        <v xml:space="preserve">MOTORES Y MAQUINAS S.A. MOTORYSA </v>
      </c>
      <c r="D419" s="2">
        <f>+'Base de Datos'!G419</f>
        <v>860019063</v>
      </c>
      <c r="E419" s="2" t="str">
        <f>+'Base de Datos'!H419</f>
        <v xml:space="preserve">Prestar los servicios de mantenimiento correctivo con suministro de repuestos para los vehículos marca mitsubihi al servicio del Concejo de Bogotá. </v>
      </c>
      <c r="F419" s="221">
        <f>+'Base de Datos'!I419</f>
        <v>15000000</v>
      </c>
      <c r="G419" s="220">
        <f>+'Base de Datos'!M419</f>
        <v>42550</v>
      </c>
      <c r="H419" s="220">
        <f>+'Base de Datos'!N419</f>
        <v>42733</v>
      </c>
      <c r="I419" s="179"/>
      <c r="J419" s="360"/>
      <c r="K419" s="237"/>
      <c r="L419" s="363"/>
      <c r="M419" s="179"/>
      <c r="N419" s="360"/>
      <c r="O419" s="179"/>
      <c r="P419" s="365"/>
      <c r="Q419" s="86">
        <f t="shared" si="31"/>
        <v>0</v>
      </c>
      <c r="R419" s="284" t="s">
        <v>2703</v>
      </c>
      <c r="S419" s="360">
        <v>42766</v>
      </c>
      <c r="T419" s="179"/>
      <c r="U419" s="360"/>
      <c r="V419" s="179"/>
      <c r="W419" s="360"/>
      <c r="X419" s="179"/>
      <c r="Y419" s="360"/>
      <c r="Z419" s="353" t="s">
        <v>2703</v>
      </c>
      <c r="AA419" s="89">
        <f t="shared" si="32"/>
        <v>42766</v>
      </c>
      <c r="AB419" s="237">
        <v>4203949</v>
      </c>
      <c r="AC419" s="237">
        <v>1005185</v>
      </c>
      <c r="AD419" s="237">
        <v>888535</v>
      </c>
      <c r="AE419" s="237">
        <v>7926988</v>
      </c>
      <c r="AF419" s="237">
        <v>952832</v>
      </c>
      <c r="AG419" s="237"/>
      <c r="AH419" s="237"/>
      <c r="AI419" s="237"/>
      <c r="AJ419" s="237"/>
      <c r="AK419" s="237"/>
      <c r="AL419" s="237"/>
      <c r="AM419" s="237"/>
      <c r="AN419" s="237"/>
      <c r="AO419" s="237"/>
      <c r="AP419" s="237"/>
      <c r="AQ419" s="237"/>
      <c r="AR419" s="237"/>
      <c r="AS419" s="237"/>
      <c r="AT419" s="360">
        <v>42761</v>
      </c>
      <c r="AU419" s="91">
        <f t="shared" si="33"/>
        <v>14977489</v>
      </c>
      <c r="AV419" s="14"/>
      <c r="AW419" s="1"/>
    </row>
    <row r="420" spans="1:49" s="57" customFormat="1" ht="33.75" hidden="1" x14ac:dyDescent="0.25">
      <c r="A420" s="59"/>
      <c r="B420" s="2" t="str">
        <f>+'Base de Datos'!E420</f>
        <v>160147-0-2016</v>
      </c>
      <c r="C420" s="2" t="str">
        <f>+'Base de Datos'!F420</f>
        <v>SOCIEDAD ENTORNO COMPAÑÍA LTDA</v>
      </c>
      <c r="D420" s="2">
        <f>+'Base de Datos'!G420</f>
        <v>830034865</v>
      </c>
      <c r="E420" s="2" t="str">
        <f>+'Base de Datos'!H420</f>
        <v>Realizar exámenes médicos ocupacionales y complementarios y aplicación de vacunas para los funcionarios del Concejo de Bogotá, D.C.</v>
      </c>
      <c r="F420" s="221">
        <f>+'Base de Datos'!I420</f>
        <v>53964000</v>
      </c>
      <c r="G420" s="220">
        <f>+'Base de Datos'!M420</f>
        <v>42556</v>
      </c>
      <c r="H420" s="220">
        <f>+'Base de Datos'!N420</f>
        <v>42830</v>
      </c>
      <c r="I420" s="179"/>
      <c r="J420" s="360"/>
      <c r="K420" s="237"/>
      <c r="L420" s="363"/>
      <c r="M420" s="179"/>
      <c r="N420" s="360"/>
      <c r="O420" s="179"/>
      <c r="P420" s="365"/>
      <c r="Q420" s="86">
        <f t="shared" si="31"/>
        <v>0</v>
      </c>
      <c r="R420" s="284" t="s">
        <v>378</v>
      </c>
      <c r="S420" s="360">
        <v>42891</v>
      </c>
      <c r="T420" s="179"/>
      <c r="U420" s="360"/>
      <c r="V420" s="179"/>
      <c r="W420" s="360"/>
      <c r="X420" s="179"/>
      <c r="Y420" s="360"/>
      <c r="Z420" s="353" t="s">
        <v>378</v>
      </c>
      <c r="AA420" s="89">
        <f t="shared" si="32"/>
        <v>42891</v>
      </c>
      <c r="AB420" s="237">
        <v>374400</v>
      </c>
      <c r="AC420" s="237">
        <v>9381700</v>
      </c>
      <c r="AD420" s="237">
        <v>510800</v>
      </c>
      <c r="AE420" s="237">
        <v>1392500</v>
      </c>
      <c r="AF420" s="237">
        <v>4305700</v>
      </c>
      <c r="AG420" s="237">
        <v>1145550</v>
      </c>
      <c r="AH420" s="237">
        <v>700500</v>
      </c>
      <c r="AI420" s="237">
        <v>639600</v>
      </c>
      <c r="AJ420" s="237">
        <v>3793000</v>
      </c>
      <c r="AK420" s="237">
        <v>405600</v>
      </c>
      <c r="AL420" s="237">
        <v>28714400</v>
      </c>
      <c r="AM420" s="237"/>
      <c r="AN420" s="237"/>
      <c r="AO420" s="237"/>
      <c r="AP420" s="237"/>
      <c r="AQ420" s="237"/>
      <c r="AR420" s="237"/>
      <c r="AS420" s="237"/>
      <c r="AT420" s="360">
        <v>42909</v>
      </c>
      <c r="AU420" s="91">
        <f t="shared" si="33"/>
        <v>51363750</v>
      </c>
      <c r="AV420" s="14"/>
      <c r="AW420" s="1"/>
    </row>
    <row r="421" spans="1:49" s="57" customFormat="1" ht="45" hidden="1" x14ac:dyDescent="0.25">
      <c r="A421" s="59"/>
      <c r="B421" s="2" t="str">
        <f>+'Base de Datos'!E421</f>
        <v>160122-0-2016</v>
      </c>
      <c r="C421" s="2" t="str">
        <f>+'Base de Datos'!F421</f>
        <v>HERNANDO BULLA ORJUELA</v>
      </c>
      <c r="D421" s="2">
        <f>+'Base de Datos'!G421</f>
        <v>4831</v>
      </c>
      <c r="E421" s="2" t="str">
        <f>+'Base de Datos'!H421</f>
        <v>Prestar los servicios de mantenimiento preventivo y correctivo con suministro de repuestos de los automotores marca chevrolet al servicio del Concejo de Bogotá, D.C.</v>
      </c>
      <c r="F421" s="221">
        <f>+'Base de Datos'!I421</f>
        <v>23707000</v>
      </c>
      <c r="G421" s="220">
        <f>+'Base de Datos'!M421</f>
        <v>42556</v>
      </c>
      <c r="H421" s="220">
        <f>+'Base de Datos'!N421</f>
        <v>42771</v>
      </c>
      <c r="I421" s="179"/>
      <c r="J421" s="360"/>
      <c r="K421" s="237"/>
      <c r="L421" s="363"/>
      <c r="M421" s="179"/>
      <c r="N421" s="360"/>
      <c r="O421" s="179"/>
      <c r="P421" s="365"/>
      <c r="Q421" s="86">
        <f t="shared" si="31"/>
        <v>0</v>
      </c>
      <c r="R421" s="284" t="s">
        <v>378</v>
      </c>
      <c r="S421" s="360">
        <v>42830</v>
      </c>
      <c r="T421" s="179"/>
      <c r="U421" s="360"/>
      <c r="V421" s="179"/>
      <c r="W421" s="360"/>
      <c r="X421" s="179"/>
      <c r="Y421" s="360"/>
      <c r="Z421" s="353" t="s">
        <v>378</v>
      </c>
      <c r="AA421" s="89">
        <f t="shared" si="32"/>
        <v>42830</v>
      </c>
      <c r="AB421" s="237">
        <v>2495764</v>
      </c>
      <c r="AC421" s="237">
        <v>2070536</v>
      </c>
      <c r="AD421" s="237">
        <v>2288270</v>
      </c>
      <c r="AE421" s="237">
        <v>11004962</v>
      </c>
      <c r="AF421" s="237">
        <v>34698</v>
      </c>
      <c r="AG421" s="237"/>
      <c r="AH421" s="237"/>
      <c r="AI421" s="237"/>
      <c r="AJ421" s="237"/>
      <c r="AK421" s="237"/>
      <c r="AL421" s="237"/>
      <c r="AM421" s="237"/>
      <c r="AN421" s="237"/>
      <c r="AO421" s="237"/>
      <c r="AP421" s="237"/>
      <c r="AQ421" s="237"/>
      <c r="AR421" s="237"/>
      <c r="AS421" s="237"/>
      <c r="AT421" s="360">
        <v>42930</v>
      </c>
      <c r="AU421" s="91">
        <f t="shared" si="33"/>
        <v>17894230</v>
      </c>
      <c r="AV421" s="14"/>
      <c r="AW421" s="1"/>
    </row>
    <row r="422" spans="1:49" s="57" customFormat="1" ht="45" hidden="1" x14ac:dyDescent="0.25">
      <c r="A422" s="59"/>
      <c r="B422" s="2" t="str">
        <f>+'Base de Datos'!E422</f>
        <v>160152-0-2016</v>
      </c>
      <c r="C422" s="2" t="str">
        <f>+'Base de Datos'!F422</f>
        <v>CLAUDIA ELVIRA RODRIGUEZ POVEDA</v>
      </c>
      <c r="D422" s="2">
        <f>+'Base de Datos'!G422</f>
        <v>35493364</v>
      </c>
      <c r="E422" s="2" t="str">
        <f>+'Base de Datos'!H422</f>
        <v xml:space="preserve">Prestar los servicios profesionales para apoyar al Director Administrativo del Concejo de Bogotá, en los asuntos propios de la dependencia en el marco del Sistema Integrado de Gestión. </v>
      </c>
      <c r="F422" s="221">
        <f>+'Base de Datos'!I422</f>
        <v>38500000</v>
      </c>
      <c r="G422" s="220">
        <f>+'Base de Datos'!M422</f>
        <v>42556</v>
      </c>
      <c r="H422" s="220">
        <f>+'Base de Datos'!N422</f>
        <v>42771</v>
      </c>
      <c r="I422" s="179"/>
      <c r="J422" s="360"/>
      <c r="K422" s="237"/>
      <c r="L422" s="363"/>
      <c r="M422" s="179"/>
      <c r="N422" s="360"/>
      <c r="O422" s="179"/>
      <c r="P422" s="365"/>
      <c r="Q422" s="86">
        <f t="shared" si="31"/>
        <v>0</v>
      </c>
      <c r="R422" s="284"/>
      <c r="S422" s="360"/>
      <c r="T422" s="179"/>
      <c r="U422" s="360"/>
      <c r="V422" s="179"/>
      <c r="W422" s="360"/>
      <c r="X422" s="179"/>
      <c r="Y422" s="360"/>
      <c r="Z422" s="353"/>
      <c r="AA422" s="89">
        <f t="shared" si="32"/>
        <v>0</v>
      </c>
      <c r="AB422" s="237">
        <v>4766666</v>
      </c>
      <c r="AC422" s="237">
        <v>5500000</v>
      </c>
      <c r="AD422" s="237">
        <v>5500000</v>
      </c>
      <c r="AE422" s="237">
        <v>5500000</v>
      </c>
      <c r="AF422" s="237">
        <v>5500000</v>
      </c>
      <c r="AG422" s="237">
        <v>5500000</v>
      </c>
      <c r="AH422" s="237">
        <v>5500000</v>
      </c>
      <c r="AI422" s="237">
        <v>733334</v>
      </c>
      <c r="AJ422" s="237"/>
      <c r="AK422" s="237"/>
      <c r="AL422" s="237"/>
      <c r="AM422" s="237"/>
      <c r="AN422" s="237"/>
      <c r="AO422" s="237"/>
      <c r="AP422" s="237"/>
      <c r="AQ422" s="237"/>
      <c r="AR422" s="237"/>
      <c r="AS422" s="237"/>
      <c r="AT422" s="360">
        <v>42803</v>
      </c>
      <c r="AU422" s="91">
        <f t="shared" si="33"/>
        <v>38500000</v>
      </c>
      <c r="AV422" s="14"/>
      <c r="AW422" s="1"/>
    </row>
    <row r="423" spans="1:49" s="57" customFormat="1" ht="22.5" hidden="1" x14ac:dyDescent="0.25">
      <c r="A423" s="59"/>
      <c r="B423" s="2" t="str">
        <f>+'Base de Datos'!E423</f>
        <v>160145-0-2016</v>
      </c>
      <c r="C423" s="2" t="str">
        <f>+'Base de Datos'!F423</f>
        <v>INTELLIGENT BUSINESSES S.A.S-</v>
      </c>
      <c r="D423" s="2" t="str">
        <f>+'Base de Datos'!G423</f>
        <v>830144050-8</v>
      </c>
      <c r="E423" s="2" t="str">
        <f>+'Base de Datos'!H423</f>
        <v>Adquisición de un aire acondicionado para el salón comuneros del Concejo de Bogotá, D.C.</v>
      </c>
      <c r="F423" s="221">
        <f>+'Base de Datos'!I423</f>
        <v>3712000</v>
      </c>
      <c r="G423" s="220">
        <f>+'Base de Datos'!M423</f>
        <v>42562</v>
      </c>
      <c r="H423" s="220">
        <f>+'Base de Datos'!N423</f>
        <v>42654</v>
      </c>
      <c r="I423" s="179"/>
      <c r="J423" s="360"/>
      <c r="K423" s="237"/>
      <c r="L423" s="363"/>
      <c r="M423" s="179"/>
      <c r="N423" s="360"/>
      <c r="O423" s="179"/>
      <c r="P423" s="365"/>
      <c r="Q423" s="86">
        <f t="shared" si="31"/>
        <v>0</v>
      </c>
      <c r="R423" s="284"/>
      <c r="S423" s="360"/>
      <c r="T423" s="179"/>
      <c r="U423" s="360"/>
      <c r="V423" s="179"/>
      <c r="W423" s="360"/>
      <c r="X423" s="179"/>
      <c r="Y423" s="360"/>
      <c r="Z423" s="353"/>
      <c r="AA423" s="89">
        <f t="shared" si="32"/>
        <v>0</v>
      </c>
      <c r="AB423" s="237">
        <v>1113600</v>
      </c>
      <c r="AC423" s="237">
        <v>2598400</v>
      </c>
      <c r="AD423" s="237"/>
      <c r="AE423" s="237"/>
      <c r="AF423" s="237"/>
      <c r="AG423" s="237"/>
      <c r="AH423" s="237"/>
      <c r="AI423" s="237"/>
      <c r="AJ423" s="237"/>
      <c r="AK423" s="237"/>
      <c r="AL423" s="237"/>
      <c r="AM423" s="237"/>
      <c r="AN423" s="237"/>
      <c r="AO423" s="237"/>
      <c r="AP423" s="237"/>
      <c r="AQ423" s="237"/>
      <c r="AR423" s="237"/>
      <c r="AS423" s="237"/>
      <c r="AT423" s="360">
        <v>42636</v>
      </c>
      <c r="AU423" s="91">
        <f t="shared" si="33"/>
        <v>3712000</v>
      </c>
      <c r="AV423" s="14"/>
      <c r="AW423" s="1"/>
    </row>
    <row r="424" spans="1:49" s="57" customFormat="1" ht="45" hidden="1" x14ac:dyDescent="0.25">
      <c r="A424" s="59"/>
      <c r="B424" s="2" t="str">
        <f>+'Base de Datos'!E424</f>
        <v>160153-0-2016</v>
      </c>
      <c r="C424" s="2" t="str">
        <f>+'Base de Datos'!F424</f>
        <v>JOHANA ANDREA POVEDA VELASCO</v>
      </c>
      <c r="D424" s="2">
        <f>+'Base de Datos'!G424</f>
        <v>53097050</v>
      </c>
      <c r="E424" s="2" t="str">
        <f>+'Base de Datos'!H424</f>
        <v>Prestar los servicios profesionales para apoyar el seguimiento a los procesos de adquisición de bienes y servicios y la ejecución de los contratos para el Concejo de Bogotá.</v>
      </c>
      <c r="F424" s="221">
        <f>+'Base de Datos'!I424</f>
        <v>38500000</v>
      </c>
      <c r="G424" s="220">
        <f>+'Base de Datos'!M424</f>
        <v>42562</v>
      </c>
      <c r="H424" s="220">
        <f>+'Base de Datos'!N424</f>
        <v>42777</v>
      </c>
      <c r="I424" s="179"/>
      <c r="J424" s="360"/>
      <c r="K424" s="237"/>
      <c r="L424" s="363"/>
      <c r="M424" s="179"/>
      <c r="N424" s="360"/>
      <c r="O424" s="179"/>
      <c r="P424" s="365"/>
      <c r="Q424" s="86">
        <f t="shared" si="31"/>
        <v>0</v>
      </c>
      <c r="R424" s="284"/>
      <c r="S424" s="360"/>
      <c r="T424" s="179"/>
      <c r="U424" s="360"/>
      <c r="V424" s="179"/>
      <c r="W424" s="360"/>
      <c r="X424" s="179"/>
      <c r="Y424" s="360"/>
      <c r="Z424" s="353"/>
      <c r="AA424" s="89">
        <f t="shared" si="32"/>
        <v>0</v>
      </c>
      <c r="AB424" s="237">
        <v>3666666</v>
      </c>
      <c r="AC424" s="237">
        <v>5500000</v>
      </c>
      <c r="AD424" s="237">
        <v>5500000</v>
      </c>
      <c r="AE424" s="237">
        <v>5500000</v>
      </c>
      <c r="AF424" s="237">
        <v>5500000</v>
      </c>
      <c r="AG424" s="237">
        <v>5500000</v>
      </c>
      <c r="AH424" s="237">
        <v>5500000</v>
      </c>
      <c r="AI424" s="237">
        <v>1833334</v>
      </c>
      <c r="AJ424" s="237"/>
      <c r="AK424" s="237"/>
      <c r="AL424" s="237"/>
      <c r="AM424" s="237"/>
      <c r="AN424" s="237"/>
      <c r="AO424" s="237"/>
      <c r="AP424" s="237"/>
      <c r="AQ424" s="237"/>
      <c r="AR424" s="237"/>
      <c r="AS424" s="237"/>
      <c r="AT424" s="360">
        <v>42870</v>
      </c>
      <c r="AU424" s="91">
        <f t="shared" si="33"/>
        <v>38500000</v>
      </c>
      <c r="AV424" s="14"/>
      <c r="AW424" s="1"/>
    </row>
    <row r="425" spans="1:49" s="57" customFormat="1" ht="90" hidden="1" x14ac:dyDescent="0.25">
      <c r="A425" s="59"/>
      <c r="B425" s="2" t="str">
        <f>+'Base de Datos'!E425</f>
        <v>160161-0-2016</v>
      </c>
      <c r="C425" s="2" t="str">
        <f>+'Base de Datos'!F425</f>
        <v>UNION TEMPORAL ZONA - WAS</v>
      </c>
      <c r="D425" s="2">
        <f>+'Base de Datos'!G425</f>
        <v>900986082</v>
      </c>
      <c r="E425" s="2" t="str">
        <f>+'Base de Datos'!H425</f>
        <v>Prestar el servicio de vigilancia y seguridad privada en las instalaciones del Concejo de Bogotá, D.C., con el fin de asegurar la protección y custodia de las personas y bienes muebles e inmuebles de propiedad de la entidad y de los que legalmente sea o llegare a ser responsable por disposición legal, contractual o convencional, de conformidad con lo dispuesto en el pliego de condiciones del proceso SDH-LP-02-2016</v>
      </c>
      <c r="F425" s="221">
        <f>+'Base de Datos'!I425</f>
        <v>485820000</v>
      </c>
      <c r="G425" s="220">
        <f>+'Base de Datos'!M425</f>
        <v>42583</v>
      </c>
      <c r="H425" s="220">
        <f>+'Base de Datos'!N425</f>
        <v>42887</v>
      </c>
      <c r="I425" s="179">
        <v>259914130</v>
      </c>
      <c r="J425" s="360">
        <v>42887</v>
      </c>
      <c r="K425" s="237"/>
      <c r="L425" s="363"/>
      <c r="M425" s="179"/>
      <c r="N425" s="360"/>
      <c r="O425" s="179"/>
      <c r="P425" s="365"/>
      <c r="Q425" s="86">
        <f t="shared" si="31"/>
        <v>259914130</v>
      </c>
      <c r="R425" s="284" t="s">
        <v>2966</v>
      </c>
      <c r="S425" s="360">
        <v>42932</v>
      </c>
      <c r="T425" s="179"/>
      <c r="U425" s="360"/>
      <c r="V425" s="179"/>
      <c r="W425" s="360"/>
      <c r="X425" s="179"/>
      <c r="Y425" s="360"/>
      <c r="Z425" s="353" t="s">
        <v>2966</v>
      </c>
      <c r="AA425" s="89">
        <f t="shared" si="32"/>
        <v>42932</v>
      </c>
      <c r="AB425" s="237">
        <v>46928128</v>
      </c>
      <c r="AC425" s="237">
        <v>51810236</v>
      </c>
      <c r="AD425" s="237">
        <v>52410548</v>
      </c>
      <c r="AE425" s="237">
        <v>52343844</v>
      </c>
      <c r="AF425" s="237">
        <v>53144264</v>
      </c>
      <c r="AG425" s="237">
        <v>59346612</v>
      </c>
      <c r="AH425" s="237">
        <v>82401342</v>
      </c>
      <c r="AI425" s="237">
        <v>82686823</v>
      </c>
      <c r="AJ425" s="237">
        <v>153806348</v>
      </c>
      <c r="AK425" s="237"/>
      <c r="AL425" s="237">
        <v>70530839</v>
      </c>
      <c r="AM425" s="237">
        <v>39604792</v>
      </c>
      <c r="AN425" s="237"/>
      <c r="AO425" s="237"/>
      <c r="AP425" s="237"/>
      <c r="AQ425" s="237"/>
      <c r="AR425" s="237"/>
      <c r="AS425" s="237"/>
      <c r="AT425" s="360">
        <v>42983</v>
      </c>
      <c r="AU425" s="91">
        <f t="shared" si="33"/>
        <v>745013776</v>
      </c>
      <c r="AV425" s="14"/>
      <c r="AW425" s="1"/>
    </row>
    <row r="426" spans="1:49" s="57" customFormat="1" ht="56.25" hidden="1" x14ac:dyDescent="0.25">
      <c r="A426" s="59"/>
      <c r="B426" s="2" t="str">
        <f>+'Base de Datos'!E426</f>
        <v>160162-0-2016</v>
      </c>
      <c r="C426" s="2" t="str">
        <f>+'Base de Datos'!F426</f>
        <v>JULIO ANDRÉS SANCHEZ SANCHEZ</v>
      </c>
      <c r="D426" s="2">
        <f>+'Base de Datos'!G426</f>
        <v>80766038</v>
      </c>
      <c r="E426" s="2" t="str">
        <f>+'Base de Datos'!H426</f>
        <v>Prestar los servicios profesionales para apoyar la definición de especificaciones y condiciones técnicas para la adquisición de bienes y servicios principalmente los relacionados con tecnología e informática y el seguimiento a la ejecución de los mismos.</v>
      </c>
      <c r="F426" s="221">
        <f>+'Base de Datos'!I426</f>
        <v>38500000</v>
      </c>
      <c r="G426" s="220">
        <f>+'Base de Datos'!M426</f>
        <v>42563</v>
      </c>
      <c r="H426" s="220">
        <f>+'Base de Datos'!N426</f>
        <v>42778</v>
      </c>
      <c r="I426" s="179"/>
      <c r="J426" s="360"/>
      <c r="K426" s="237"/>
      <c r="L426" s="363"/>
      <c r="M426" s="179"/>
      <c r="N426" s="360"/>
      <c r="O426" s="179"/>
      <c r="P426" s="365"/>
      <c r="Q426" s="86">
        <f t="shared" si="31"/>
        <v>0</v>
      </c>
      <c r="R426" s="284"/>
      <c r="S426" s="360"/>
      <c r="T426" s="179"/>
      <c r="U426" s="360"/>
      <c r="V426" s="179"/>
      <c r="W426" s="360"/>
      <c r="X426" s="179"/>
      <c r="Y426" s="360"/>
      <c r="Z426" s="353"/>
      <c r="AA426" s="89">
        <f t="shared" si="32"/>
        <v>0</v>
      </c>
      <c r="AB426" s="237">
        <v>3483333</v>
      </c>
      <c r="AC426" s="237">
        <v>5500000</v>
      </c>
      <c r="AD426" s="237">
        <v>5500000</v>
      </c>
      <c r="AE426" s="237">
        <v>5500000</v>
      </c>
      <c r="AF426" s="237">
        <v>5500000</v>
      </c>
      <c r="AG426" s="237">
        <v>5500000</v>
      </c>
      <c r="AH426" s="237">
        <v>5500000</v>
      </c>
      <c r="AI426" s="237">
        <v>2016667</v>
      </c>
      <c r="AJ426" s="237"/>
      <c r="AK426" s="237"/>
      <c r="AL426" s="237"/>
      <c r="AM426" s="237"/>
      <c r="AN426" s="237"/>
      <c r="AO426" s="237"/>
      <c r="AP426" s="237"/>
      <c r="AQ426" s="237"/>
      <c r="AR426" s="237"/>
      <c r="AS426" s="237"/>
      <c r="AT426" s="360">
        <v>42794</v>
      </c>
      <c r="AU426" s="91">
        <f t="shared" si="33"/>
        <v>38500000</v>
      </c>
      <c r="AV426" s="14"/>
      <c r="AW426" s="1"/>
    </row>
    <row r="427" spans="1:49" s="57" customFormat="1" ht="22.5" hidden="1" x14ac:dyDescent="0.25">
      <c r="A427" s="59"/>
      <c r="B427" s="2" t="str">
        <f>+'Base de Datos'!E427</f>
        <v>160154-0-2016</v>
      </c>
      <c r="C427" s="2" t="str">
        <f>+'Base de Datos'!F427</f>
        <v>BRANCH OF MICROSOFT COLOMBIA INC</v>
      </c>
      <c r="D427" s="2">
        <f>+'Base de Datos'!G427</f>
        <v>800198591</v>
      </c>
      <c r="E427" s="2" t="str">
        <f>+'Base de Datos'!H427</f>
        <v>Prestar los servicios de administración y soporte técnico para la plataforma Microsoft del Concejo de Bogotá.</v>
      </c>
      <c r="F427" s="221">
        <f>+'Base de Datos'!I427</f>
        <v>219700000</v>
      </c>
      <c r="G427" s="220">
        <f>+'Base de Datos'!M427</f>
        <v>42566</v>
      </c>
      <c r="H427" s="220">
        <f>+'Base de Datos'!N427</f>
        <v>42931</v>
      </c>
      <c r="I427" s="179"/>
      <c r="J427" s="360"/>
      <c r="K427" s="237"/>
      <c r="L427" s="363"/>
      <c r="M427" s="179"/>
      <c r="N427" s="360"/>
      <c r="O427" s="179"/>
      <c r="P427" s="365"/>
      <c r="Q427" s="86">
        <f t="shared" si="31"/>
        <v>0</v>
      </c>
      <c r="R427" s="284"/>
      <c r="S427" s="360"/>
      <c r="T427" s="179"/>
      <c r="U427" s="360"/>
      <c r="V427" s="179"/>
      <c r="W427" s="360"/>
      <c r="X427" s="179"/>
      <c r="Y427" s="360"/>
      <c r="Z427" s="353"/>
      <c r="AA427" s="89">
        <f t="shared" si="32"/>
        <v>0</v>
      </c>
      <c r="AB427" s="237">
        <v>36616667</v>
      </c>
      <c r="AC427" s="237">
        <v>36616667</v>
      </c>
      <c r="AD427" s="237">
        <v>36616667</v>
      </c>
      <c r="AE427" s="237">
        <v>36616667</v>
      </c>
      <c r="AF427" s="237">
        <v>36616667</v>
      </c>
      <c r="AG427" s="237">
        <v>36616665</v>
      </c>
      <c r="AH427" s="237"/>
      <c r="AI427" s="237"/>
      <c r="AJ427" s="237"/>
      <c r="AK427" s="237"/>
      <c r="AL427" s="237"/>
      <c r="AM427" s="237"/>
      <c r="AN427" s="237"/>
      <c r="AO427" s="237"/>
      <c r="AP427" s="237"/>
      <c r="AQ427" s="237"/>
      <c r="AR427" s="237"/>
      <c r="AS427" s="237"/>
      <c r="AT427" s="360">
        <v>42940</v>
      </c>
      <c r="AU427" s="91">
        <f t="shared" si="33"/>
        <v>219700000</v>
      </c>
      <c r="AV427" s="14"/>
      <c r="AW427" s="1"/>
    </row>
    <row r="428" spans="1:49" s="57" customFormat="1" ht="22.5" hidden="1" x14ac:dyDescent="0.25">
      <c r="A428" s="59"/>
      <c r="B428" s="2" t="str">
        <f>+'Base de Datos'!E428</f>
        <v>160171-0-2016</v>
      </c>
      <c r="C428" s="2" t="str">
        <f>+'Base de Datos'!F428</f>
        <v>DIRECTV COLOMBIA Ltda.</v>
      </c>
      <c r="D428" s="2">
        <f>+'Base de Datos'!G428</f>
        <v>805006014</v>
      </c>
      <c r="E428" s="2" t="str">
        <f>+'Base de Datos'!H428</f>
        <v>Suscripción al Sistema de Televisión Satelital para ser instalado en la sede en el  Concejo de Bogotá, D.C.</v>
      </c>
      <c r="F428" s="221">
        <f>+'Base de Datos'!I428</f>
        <v>1769832</v>
      </c>
      <c r="G428" s="220">
        <f>+'Base de Datos'!M428</f>
        <v>42573</v>
      </c>
      <c r="H428" s="220">
        <f>+'Base de Datos'!N428</f>
        <v>42937</v>
      </c>
      <c r="I428" s="179"/>
      <c r="J428" s="360"/>
      <c r="K428" s="237"/>
      <c r="L428" s="363"/>
      <c r="M428" s="179"/>
      <c r="N428" s="360"/>
      <c r="O428" s="179"/>
      <c r="P428" s="365"/>
      <c r="Q428" s="86">
        <f t="shared" si="31"/>
        <v>0</v>
      </c>
      <c r="R428" s="284"/>
      <c r="S428" s="360"/>
      <c r="T428" s="179"/>
      <c r="U428" s="360"/>
      <c r="V428" s="179"/>
      <c r="W428" s="360"/>
      <c r="X428" s="179"/>
      <c r="Y428" s="360"/>
      <c r="Z428" s="353"/>
      <c r="AA428" s="89">
        <f t="shared" si="32"/>
        <v>0</v>
      </c>
      <c r="AB428" s="237">
        <v>1738033</v>
      </c>
      <c r="AC428" s="237"/>
      <c r="AD428" s="237"/>
      <c r="AE428" s="237"/>
      <c r="AF428" s="237"/>
      <c r="AG428" s="237"/>
      <c r="AH428" s="237"/>
      <c r="AI428" s="237"/>
      <c r="AJ428" s="237"/>
      <c r="AK428" s="237"/>
      <c r="AL428" s="237"/>
      <c r="AM428" s="237"/>
      <c r="AN428" s="237"/>
      <c r="AO428" s="237"/>
      <c r="AP428" s="237"/>
      <c r="AQ428" s="237"/>
      <c r="AR428" s="237"/>
      <c r="AS428" s="237"/>
      <c r="AT428" s="360">
        <v>42718</v>
      </c>
      <c r="AU428" s="91">
        <f t="shared" si="33"/>
        <v>1738033</v>
      </c>
      <c r="AV428" s="14"/>
      <c r="AW428" s="1"/>
    </row>
    <row r="429" spans="1:49" s="57" customFormat="1" ht="78.75" hidden="1" x14ac:dyDescent="0.25">
      <c r="A429" s="59"/>
      <c r="B429" s="2" t="str">
        <f>+'Base de Datos'!E429</f>
        <v>160163-0-2016</v>
      </c>
      <c r="C429" s="2" t="str">
        <f>+'Base de Datos'!F429</f>
        <v>LUIS EDUARDO CARVAJALINO SANCHEZ</v>
      </c>
      <c r="D429" s="2" t="str">
        <f>+'Base de Datos'!G429</f>
        <v>19214464-2</v>
      </c>
      <c r="E429" s="2" t="str">
        <f>+'Base de Datos'!H429</f>
        <v xml:space="preserve">Realizar la interventoría técnica administrativa, ambiental, financiera, legal y contable para el contrato de mantenimiento integral locativo con suministro de personal, equipo y repuestos, de conformidad con lo establecido en la presente invitación pública, al contrato de obra resultado del proceso de selección abreviada de menor cuantía SDH-SAMC-03-2016 </v>
      </c>
      <c r="F429" s="221">
        <f>+'Base de Datos'!I429</f>
        <v>12650000</v>
      </c>
      <c r="G429" s="220">
        <f>+'Base de Datos'!M429</f>
        <v>42577</v>
      </c>
      <c r="H429" s="220">
        <f>+'Base de Datos'!N429</f>
        <v>42912</v>
      </c>
      <c r="I429" s="179">
        <v>2300000</v>
      </c>
      <c r="J429" s="360">
        <v>42909</v>
      </c>
      <c r="K429" s="237"/>
      <c r="L429" s="363"/>
      <c r="M429" s="179"/>
      <c r="N429" s="360"/>
      <c r="O429" s="179"/>
      <c r="P429" s="365"/>
      <c r="Q429" s="86">
        <f t="shared" si="31"/>
        <v>2300000</v>
      </c>
      <c r="R429" s="284" t="s">
        <v>378</v>
      </c>
      <c r="S429" s="360">
        <v>42973</v>
      </c>
      <c r="T429" s="179"/>
      <c r="U429" s="360"/>
      <c r="V429" s="179"/>
      <c r="W429" s="360"/>
      <c r="X429" s="179"/>
      <c r="Y429" s="360"/>
      <c r="Z429" s="353" t="s">
        <v>378</v>
      </c>
      <c r="AA429" s="89">
        <f t="shared" si="32"/>
        <v>42973</v>
      </c>
      <c r="AB429" s="237">
        <v>3415500</v>
      </c>
      <c r="AC429" s="237">
        <f>1138500</f>
        <v>1138500</v>
      </c>
      <c r="AD429" s="237">
        <v>1138500</v>
      </c>
      <c r="AE429" s="237">
        <v>1138500</v>
      </c>
      <c r="AF429" s="237">
        <v>1138500</v>
      </c>
      <c r="AG429" s="237">
        <v>1138500</v>
      </c>
      <c r="AH429" s="237">
        <v>1138500</v>
      </c>
      <c r="AI429" s="237">
        <v>1138500</v>
      </c>
      <c r="AJ429" s="237">
        <v>1138500</v>
      </c>
      <c r="AK429" s="237">
        <v>126500</v>
      </c>
      <c r="AL429" s="237">
        <v>1012000</v>
      </c>
      <c r="AM429" s="237">
        <v>1288000</v>
      </c>
      <c r="AN429" s="237"/>
      <c r="AO429" s="237"/>
      <c r="AP429" s="237"/>
      <c r="AQ429" s="237"/>
      <c r="AR429" s="237"/>
      <c r="AS429" s="237"/>
      <c r="AT429" s="360">
        <v>43230</v>
      </c>
      <c r="AU429" s="91">
        <f t="shared" si="33"/>
        <v>14950000</v>
      </c>
      <c r="AV429" s="14"/>
      <c r="AW429" s="1"/>
    </row>
    <row r="430" spans="1:49" s="57" customFormat="1" ht="33.75" hidden="1" x14ac:dyDescent="0.25">
      <c r="A430" s="59"/>
      <c r="B430" s="2" t="str">
        <f>+'Base de Datos'!E430</f>
        <v>160165-0-2016</v>
      </c>
      <c r="C430" s="2" t="str">
        <f>+'Base de Datos'!F430</f>
        <v>USA POSTAL S.A.</v>
      </c>
      <c r="D430" s="2" t="str">
        <f>+'Base de Datos'!G430</f>
        <v>830112988-3</v>
      </c>
      <c r="E430" s="2" t="str">
        <f>+'Base de Datos'!H430</f>
        <v>Prestar el servicio de transporte de bienes muebles, equipos de oficina y cajas de archivo documental para el Concejo de Bogotá, D.C.</v>
      </c>
      <c r="F430" s="221">
        <f>+'Base de Datos'!I430</f>
        <v>12928000</v>
      </c>
      <c r="G430" s="220">
        <f>+'Base de Datos'!M430</f>
        <v>42578</v>
      </c>
      <c r="H430" s="220">
        <f>+'Base de Datos'!N430</f>
        <v>42793</v>
      </c>
      <c r="I430" s="179"/>
      <c r="J430" s="360"/>
      <c r="K430" s="237"/>
      <c r="L430" s="363"/>
      <c r="M430" s="179"/>
      <c r="N430" s="360"/>
      <c r="O430" s="179"/>
      <c r="P430" s="365"/>
      <c r="Q430" s="86">
        <f t="shared" si="31"/>
        <v>0</v>
      </c>
      <c r="R430" s="284" t="s">
        <v>378</v>
      </c>
      <c r="S430" s="360">
        <v>42852</v>
      </c>
      <c r="T430" s="179" t="s">
        <v>382</v>
      </c>
      <c r="U430" s="360">
        <v>43035</v>
      </c>
      <c r="V430" s="179" t="s">
        <v>2547</v>
      </c>
      <c r="W430" s="360">
        <v>43069</v>
      </c>
      <c r="X430" s="179"/>
      <c r="Y430" s="360"/>
      <c r="Z430" s="353" t="s">
        <v>3629</v>
      </c>
      <c r="AA430" s="89">
        <f t="shared" si="32"/>
        <v>43069</v>
      </c>
      <c r="AB430" s="237">
        <v>1012500</v>
      </c>
      <c r="AC430" s="237">
        <v>300000</v>
      </c>
      <c r="AD430" s="237">
        <v>2010000</v>
      </c>
      <c r="AE430" s="237">
        <v>1110000</v>
      </c>
      <c r="AF430" s="237">
        <v>900000</v>
      </c>
      <c r="AG430" s="237">
        <v>370000</v>
      </c>
      <c r="AH430" s="237">
        <v>670000</v>
      </c>
      <c r="AI430" s="237"/>
      <c r="AJ430" s="237"/>
      <c r="AK430" s="237"/>
      <c r="AL430" s="237"/>
      <c r="AM430" s="237"/>
      <c r="AN430" s="237"/>
      <c r="AO430" s="237"/>
      <c r="AP430" s="237"/>
      <c r="AQ430" s="237"/>
      <c r="AR430" s="237"/>
      <c r="AS430" s="237"/>
      <c r="AT430" s="360">
        <v>43202</v>
      </c>
      <c r="AU430" s="91">
        <f t="shared" si="33"/>
        <v>6372500</v>
      </c>
      <c r="AV430" s="14"/>
      <c r="AW430" s="1"/>
    </row>
    <row r="431" spans="1:49" s="57" customFormat="1" ht="22.5" hidden="1" x14ac:dyDescent="0.25">
      <c r="A431" s="59"/>
      <c r="B431" s="2" t="str">
        <f>+'Base de Datos'!E431</f>
        <v>160180-0-2016</v>
      </c>
      <c r="C431" s="2" t="str">
        <f>+'Base de Datos'!F431</f>
        <v>INVERSIONES MATAY SAS</v>
      </c>
      <c r="D431" s="2">
        <f>+'Base de Datos'!G431</f>
        <v>900450570</v>
      </c>
      <c r="E431" s="2" t="str">
        <f>+'Base de Datos'!H431</f>
        <v>Arrendamiento de inmueble para uso de parqueadero de vehículos y motocicletas del Concejo de Bogotá, D.C.</v>
      </c>
      <c r="F431" s="221">
        <f>+'Base de Datos'!I431</f>
        <v>230623200</v>
      </c>
      <c r="G431" s="220">
        <f>+'Base de Datos'!M431</f>
        <v>42583</v>
      </c>
      <c r="H431" s="220">
        <f>+'Base de Datos'!N431</f>
        <v>42767</v>
      </c>
      <c r="I431" s="179"/>
      <c r="J431" s="360"/>
      <c r="K431" s="237"/>
      <c r="L431" s="363"/>
      <c r="M431" s="179"/>
      <c r="N431" s="360"/>
      <c r="O431" s="179"/>
      <c r="P431" s="365"/>
      <c r="Q431" s="86">
        <f t="shared" si="31"/>
        <v>0</v>
      </c>
      <c r="R431" s="284"/>
      <c r="S431" s="360"/>
      <c r="T431" s="179"/>
      <c r="U431" s="360"/>
      <c r="V431" s="179"/>
      <c r="W431" s="360"/>
      <c r="X431" s="179"/>
      <c r="Y431" s="360"/>
      <c r="Z431" s="353"/>
      <c r="AA431" s="89">
        <f t="shared" si="32"/>
        <v>0</v>
      </c>
      <c r="AB431" s="237">
        <v>38437200</v>
      </c>
      <c r="AC431" s="237">
        <v>38437200</v>
      </c>
      <c r="AD431" s="237">
        <v>38437200</v>
      </c>
      <c r="AE431" s="237">
        <v>38437200</v>
      </c>
      <c r="AF431" s="237">
        <v>38437200</v>
      </c>
      <c r="AG431" s="237">
        <v>38437200</v>
      </c>
      <c r="AH431" s="237"/>
      <c r="AI431" s="237"/>
      <c r="AJ431" s="237"/>
      <c r="AK431" s="237"/>
      <c r="AL431" s="237"/>
      <c r="AM431" s="237"/>
      <c r="AN431" s="237"/>
      <c r="AO431" s="237"/>
      <c r="AP431" s="237"/>
      <c r="AQ431" s="237"/>
      <c r="AR431" s="237"/>
      <c r="AS431" s="237"/>
      <c r="AT431" s="360">
        <v>42738</v>
      </c>
      <c r="AU431" s="91">
        <f t="shared" si="33"/>
        <v>230623200</v>
      </c>
      <c r="AV431" s="14"/>
      <c r="AW431" s="1"/>
    </row>
    <row r="432" spans="1:49" s="57" customFormat="1" ht="56.25" hidden="1" x14ac:dyDescent="0.25">
      <c r="A432" s="59"/>
      <c r="B432" s="2" t="str">
        <f>+'Base de Datos'!E432</f>
        <v>160166-0-2016</v>
      </c>
      <c r="C432" s="2" t="str">
        <f>+'Base de Datos'!F432</f>
        <v>SGS COLOMBIA S.A.</v>
      </c>
      <c r="D432" s="2">
        <f>+'Base de Datos'!G432</f>
        <v>860049921</v>
      </c>
      <c r="E432" s="2" t="str">
        <f>+'Base de Datos'!H432</f>
        <v>Realizar las auditorias para la renovación de la certificación a los Sistemas  de Gestión de Ambiental y Seguridad y Salud Ocupacional bajo las normas ISO 14001:2004  y OHSAS 18001:2007 al Concejo de Bogotá D.C.</v>
      </c>
      <c r="F432" s="221">
        <f>+'Base de Datos'!I432</f>
        <v>9280000</v>
      </c>
      <c r="G432" s="220">
        <f>+'Base de Datos'!M432</f>
        <v>42580</v>
      </c>
      <c r="H432" s="220">
        <f>+'Base de Datos'!N432</f>
        <v>42703</v>
      </c>
      <c r="I432" s="179"/>
      <c r="J432" s="360"/>
      <c r="K432" s="237"/>
      <c r="L432" s="363"/>
      <c r="M432" s="179"/>
      <c r="N432" s="360"/>
      <c r="O432" s="179"/>
      <c r="P432" s="365"/>
      <c r="Q432" s="86">
        <f t="shared" si="31"/>
        <v>0</v>
      </c>
      <c r="R432" s="284"/>
      <c r="S432" s="360"/>
      <c r="T432" s="179"/>
      <c r="U432" s="360"/>
      <c r="V432" s="179"/>
      <c r="W432" s="360"/>
      <c r="X432" s="179"/>
      <c r="Y432" s="360"/>
      <c r="Z432" s="353"/>
      <c r="AA432" s="89">
        <f t="shared" si="32"/>
        <v>0</v>
      </c>
      <c r="AB432" s="237">
        <v>9280000</v>
      </c>
      <c r="AC432" s="237"/>
      <c r="AD432" s="237"/>
      <c r="AE432" s="237"/>
      <c r="AF432" s="237"/>
      <c r="AG432" s="237"/>
      <c r="AH432" s="237"/>
      <c r="AI432" s="237"/>
      <c r="AJ432" s="237"/>
      <c r="AK432" s="237"/>
      <c r="AL432" s="237"/>
      <c r="AM432" s="237"/>
      <c r="AN432" s="237"/>
      <c r="AO432" s="237"/>
      <c r="AP432" s="237"/>
      <c r="AQ432" s="237"/>
      <c r="AR432" s="237"/>
      <c r="AS432" s="237"/>
      <c r="AT432" s="360">
        <v>42737</v>
      </c>
      <c r="AU432" s="91">
        <f t="shared" si="33"/>
        <v>9280000</v>
      </c>
      <c r="AV432" s="14"/>
      <c r="AW432" s="1"/>
    </row>
    <row r="433" spans="1:49" s="57" customFormat="1" ht="33.75" hidden="1" x14ac:dyDescent="0.25">
      <c r="A433" s="59"/>
      <c r="B433" s="2" t="str">
        <f>+'Base de Datos'!E433</f>
        <v>160178-0-2016</v>
      </c>
      <c r="C433" s="2" t="str">
        <f>+'Base de Datos'!F433</f>
        <v>RIELCO   LTDA</v>
      </c>
      <c r="D433" s="2">
        <f>+'Base de Datos'!G433</f>
        <v>860536079</v>
      </c>
      <c r="E433" s="2" t="str">
        <f>+'Base de Datos'!H433</f>
        <v>Prestar el servicio de mantenimiento con suministro de repuesto para plantas purificadoras semi-industriales de agua del Concejo de Bogotá.</v>
      </c>
      <c r="F433" s="221">
        <f>+'Base de Datos'!I433</f>
        <v>2605500</v>
      </c>
      <c r="G433" s="220">
        <f>+'Base de Datos'!M433</f>
        <v>42583</v>
      </c>
      <c r="H433" s="220">
        <f>+'Base de Datos'!N433</f>
        <v>42767</v>
      </c>
      <c r="I433" s="179"/>
      <c r="J433" s="360"/>
      <c r="K433" s="237"/>
      <c r="L433" s="363"/>
      <c r="M433" s="179"/>
      <c r="N433" s="360"/>
      <c r="O433" s="179"/>
      <c r="P433" s="365"/>
      <c r="Q433" s="86">
        <f t="shared" si="31"/>
        <v>0</v>
      </c>
      <c r="R433" s="284"/>
      <c r="S433" s="360"/>
      <c r="T433" s="179"/>
      <c r="U433" s="360"/>
      <c r="V433" s="179"/>
      <c r="W433" s="360"/>
      <c r="X433" s="179"/>
      <c r="Y433" s="360"/>
      <c r="Z433" s="353"/>
      <c r="AA433" s="89">
        <f t="shared" si="32"/>
        <v>0</v>
      </c>
      <c r="AB433" s="237">
        <v>596201</v>
      </c>
      <c r="AC433" s="237">
        <v>440903</v>
      </c>
      <c r="AD433" s="237"/>
      <c r="AE433" s="237">
        <v>363904</v>
      </c>
      <c r="AF433" s="237"/>
      <c r="AG433" s="237"/>
      <c r="AH433" s="237"/>
      <c r="AI433" s="237"/>
      <c r="AJ433" s="237"/>
      <c r="AK433" s="237"/>
      <c r="AL433" s="237"/>
      <c r="AM433" s="237"/>
      <c r="AN433" s="237"/>
      <c r="AO433" s="237"/>
      <c r="AP433" s="237"/>
      <c r="AQ433" s="237"/>
      <c r="AR433" s="237"/>
      <c r="AS433" s="237"/>
      <c r="AT433" s="360">
        <v>42899</v>
      </c>
      <c r="AU433" s="91">
        <f t="shared" si="33"/>
        <v>1401008</v>
      </c>
      <c r="AV433" s="14"/>
      <c r="AW433" s="1"/>
    </row>
    <row r="434" spans="1:49" s="57" customFormat="1" ht="56.25" hidden="1" x14ac:dyDescent="0.25">
      <c r="A434" s="59"/>
      <c r="B434" s="2" t="str">
        <f>+'Base de Datos'!E434</f>
        <v>160156-0-2016</v>
      </c>
      <c r="C434" s="2" t="str">
        <f>+'Base de Datos'!F434</f>
        <v>MEDALLAS COLOMBIANAS S.A.S</v>
      </c>
      <c r="D434" s="2">
        <f>+'Base de Datos'!G434</f>
        <v>860053195</v>
      </c>
      <c r="E434" s="2" t="str">
        <f>+'Base de Datos'!H434</f>
        <v>Suministro de elementos de promoción institucional y actos protocolarios del Concejo de Bogotá, D.C., de conformidad con lo establecido en la presente invitación pública SDH-SMINC-17-2016 y la propuesta presentada por ustedes.</v>
      </c>
      <c r="F434" s="221">
        <f>+'Base de Datos'!I434</f>
        <v>53583000</v>
      </c>
      <c r="G434" s="220">
        <f>+'Base de Datos'!M434</f>
        <v>42579</v>
      </c>
      <c r="H434" s="220">
        <f>+'Base de Datos'!N434</f>
        <v>42794</v>
      </c>
      <c r="I434" s="179"/>
      <c r="J434" s="360"/>
      <c r="K434" s="237"/>
      <c r="L434" s="363"/>
      <c r="M434" s="179"/>
      <c r="N434" s="360"/>
      <c r="O434" s="179"/>
      <c r="P434" s="365"/>
      <c r="Q434" s="86">
        <f t="shared" si="31"/>
        <v>0</v>
      </c>
      <c r="R434" s="284" t="s">
        <v>378</v>
      </c>
      <c r="S434" s="360">
        <v>42853</v>
      </c>
      <c r="T434" s="179" t="s">
        <v>2241</v>
      </c>
      <c r="U434" s="360">
        <v>42867</v>
      </c>
      <c r="V434" s="179"/>
      <c r="W434" s="360"/>
      <c r="X434" s="179"/>
      <c r="Y434" s="360"/>
      <c r="Z434" s="353" t="s">
        <v>2919</v>
      </c>
      <c r="AA434" s="89">
        <f t="shared" si="32"/>
        <v>42867</v>
      </c>
      <c r="AB434" s="237">
        <v>32318219</v>
      </c>
      <c r="AC434" s="237">
        <v>20344948</v>
      </c>
      <c r="AD434" s="237"/>
      <c r="AE434" s="237"/>
      <c r="AF434" s="237"/>
      <c r="AG434" s="237"/>
      <c r="AH434" s="237"/>
      <c r="AI434" s="237"/>
      <c r="AJ434" s="237"/>
      <c r="AK434" s="237"/>
      <c r="AL434" s="237"/>
      <c r="AM434" s="237"/>
      <c r="AN434" s="237"/>
      <c r="AO434" s="237"/>
      <c r="AP434" s="237"/>
      <c r="AQ434" s="237"/>
      <c r="AR434" s="237"/>
      <c r="AS434" s="237"/>
      <c r="AT434" s="360">
        <v>42962</v>
      </c>
      <c r="AU434" s="91">
        <f t="shared" si="33"/>
        <v>52663167</v>
      </c>
      <c r="AV434" s="14"/>
      <c r="AW434" s="1"/>
    </row>
    <row r="435" spans="1:49" s="57" customFormat="1" ht="90" hidden="1" x14ac:dyDescent="0.25">
      <c r="A435" s="59"/>
      <c r="B435" s="2" t="str">
        <f>+'Base de Datos'!E435</f>
        <v>160170-0-2016</v>
      </c>
      <c r="C435" s="2" t="str">
        <f>+'Base de Datos'!F435</f>
        <v xml:space="preserve">UNION TEMPORAL RGV </v>
      </c>
      <c r="D435" s="2">
        <f>+'Base de Datos'!G435</f>
        <v>900987382</v>
      </c>
      <c r="E435" s="2" t="str">
        <f>+'Base de Datos'!H435</f>
        <v>Realizar el mantenimiento integral, las adecuaciones locativas y las obras de mejora que se requieran, con el consumo del personal, equipo, materiales y repuestos, en las instalaciones físicas del Concejo de Bogotá, D.C., de conformidad con lo establecido en el pliego de condiciones del proceso de selección abreviada de menor cuantía No. SDH-SAMC-03-2016 y la propuesta presentada por el contratista.</v>
      </c>
      <c r="F435" s="221">
        <f>+'Base de Datos'!I435</f>
        <v>221382000</v>
      </c>
      <c r="G435" s="220">
        <f>+'Base de Datos'!M435</f>
        <v>42587</v>
      </c>
      <c r="H435" s="220">
        <f>+'Base de Datos'!N435</f>
        <v>42891</v>
      </c>
      <c r="I435" s="179">
        <v>20000000</v>
      </c>
      <c r="J435" s="360">
        <v>42888</v>
      </c>
      <c r="K435" s="237"/>
      <c r="L435" s="363"/>
      <c r="M435" s="179"/>
      <c r="N435" s="360"/>
      <c r="O435" s="179"/>
      <c r="P435" s="365"/>
      <c r="Q435" s="86">
        <f t="shared" si="31"/>
        <v>20000000</v>
      </c>
      <c r="R435" s="284" t="s">
        <v>378</v>
      </c>
      <c r="S435" s="360">
        <v>42952</v>
      </c>
      <c r="T435" s="179"/>
      <c r="U435" s="360"/>
      <c r="V435" s="179"/>
      <c r="W435" s="360"/>
      <c r="X435" s="179"/>
      <c r="Y435" s="360"/>
      <c r="Z435" s="353" t="s">
        <v>378</v>
      </c>
      <c r="AA435" s="89">
        <f t="shared" si="32"/>
        <v>42952</v>
      </c>
      <c r="AB435" s="237">
        <v>49566676</v>
      </c>
      <c r="AC435" s="237">
        <v>13631814</v>
      </c>
      <c r="AD435" s="237">
        <v>14463368</v>
      </c>
      <c r="AE435" s="237">
        <v>31503722</v>
      </c>
      <c r="AF435" s="237">
        <v>23715065</v>
      </c>
      <c r="AG435" s="237">
        <v>15248140</v>
      </c>
      <c r="AH435" s="237">
        <v>14251458</v>
      </c>
      <c r="AI435" s="237">
        <v>24951433</v>
      </c>
      <c r="AJ435" s="237">
        <v>25184626</v>
      </c>
      <c r="AK435" s="237">
        <v>8865698</v>
      </c>
      <c r="AL435" s="237">
        <v>11280768</v>
      </c>
      <c r="AM435" s="237"/>
      <c r="AN435" s="237"/>
      <c r="AO435" s="237"/>
      <c r="AP435" s="237"/>
      <c r="AQ435" s="237"/>
      <c r="AR435" s="237"/>
      <c r="AS435" s="237"/>
      <c r="AT435" s="360">
        <v>42989</v>
      </c>
      <c r="AU435" s="91">
        <f>SUM(AB435:AR435)</f>
        <v>232662768</v>
      </c>
      <c r="AV435" s="14"/>
      <c r="AW435" s="1"/>
    </row>
    <row r="436" spans="1:49" s="57" customFormat="1" ht="56.25" hidden="1" x14ac:dyDescent="0.25">
      <c r="A436" s="59"/>
      <c r="B436" s="2" t="str">
        <f>+'Base de Datos'!E436</f>
        <v>160188-0-2016</v>
      </c>
      <c r="C436" s="2" t="str">
        <f>+'Base de Datos'!F436</f>
        <v>SOLUTION COPY LTDA</v>
      </c>
      <c r="D436" s="2">
        <f>+'Base de Datos'!G436</f>
        <v>830053669</v>
      </c>
      <c r="E436" s="2" t="str">
        <f>+'Base de Datos'!H436</f>
        <v>Prestar el servicio integral de fotocopiado y servicios afines para el Concejo de Bogotá, de conformidad con lo establecido en el pliego de condiciones del proceso de subasta inversa electrónica No. SDH- SIE-10-2016  y la propuesta presentada por el contratista.</v>
      </c>
      <c r="F436" s="221">
        <f>+'Base de Datos'!I436</f>
        <v>26540000</v>
      </c>
      <c r="G436" s="220">
        <f>+'Base de Datos'!M436</f>
        <v>42583</v>
      </c>
      <c r="H436" s="220">
        <f>+'Base de Datos'!N436</f>
        <v>42767</v>
      </c>
      <c r="I436" s="179">
        <v>8000000</v>
      </c>
      <c r="J436" s="360">
        <v>42916</v>
      </c>
      <c r="K436" s="237">
        <v>1100000</v>
      </c>
      <c r="L436" s="363">
        <v>43007</v>
      </c>
      <c r="M436" s="179"/>
      <c r="N436" s="360"/>
      <c r="O436" s="179"/>
      <c r="P436" s="365"/>
      <c r="Q436" s="86">
        <f t="shared" si="31"/>
        <v>9100000</v>
      </c>
      <c r="R436" s="284" t="s">
        <v>378</v>
      </c>
      <c r="S436" s="360">
        <v>42826</v>
      </c>
      <c r="T436" s="179" t="s">
        <v>379</v>
      </c>
      <c r="U436" s="360">
        <v>42917</v>
      </c>
      <c r="V436" s="179" t="s">
        <v>379</v>
      </c>
      <c r="W436" s="360">
        <v>43009</v>
      </c>
      <c r="X436" s="179" t="s">
        <v>2413</v>
      </c>
      <c r="Y436" s="360">
        <v>43040</v>
      </c>
      <c r="Z436" s="353" t="s">
        <v>3630</v>
      </c>
      <c r="AA436" s="89">
        <f t="shared" si="32"/>
        <v>43040</v>
      </c>
      <c r="AB436" s="237">
        <v>2835422</v>
      </c>
      <c r="AC436" s="237">
        <v>2353059</v>
      </c>
      <c r="AD436" s="237">
        <v>4600896</v>
      </c>
      <c r="AE436" s="237">
        <v>1767772</v>
      </c>
      <c r="AF436" s="237">
        <v>1754232</v>
      </c>
      <c r="AG436" s="237">
        <v>2462956</v>
      </c>
      <c r="AH436" s="237">
        <v>3085961</v>
      </c>
      <c r="AI436" s="237">
        <v>2104047</v>
      </c>
      <c r="AJ436" s="237">
        <v>2467314</v>
      </c>
      <c r="AK436" s="237">
        <v>1824087</v>
      </c>
      <c r="AL436" s="237">
        <v>1196849</v>
      </c>
      <c r="AM436" s="237">
        <v>546283</v>
      </c>
      <c r="AN436" s="237">
        <v>2750225</v>
      </c>
      <c r="AO436" s="237">
        <v>2439826</v>
      </c>
      <c r="AP436" s="237">
        <v>2435118</v>
      </c>
      <c r="AQ436" s="237"/>
      <c r="AR436" s="237"/>
      <c r="AS436" s="237"/>
      <c r="AT436" s="360">
        <v>43091</v>
      </c>
      <c r="AU436" s="91">
        <f t="shared" si="33"/>
        <v>34624047</v>
      </c>
      <c r="AV436" s="14"/>
      <c r="AW436" s="1"/>
    </row>
    <row r="437" spans="1:49" s="57" customFormat="1" ht="33.75" hidden="1" x14ac:dyDescent="0.25">
      <c r="A437" s="59"/>
      <c r="B437" s="2" t="str">
        <f>+'Base de Datos'!E437</f>
        <v>160176-0-2016</v>
      </c>
      <c r="C437" s="2" t="str">
        <f>+'Base de Datos'!F437</f>
        <v>PRODUCTORA Y COMERCIALIZADORA ODONTOLÓGICA NEW STETIC S.A.</v>
      </c>
      <c r="D437" s="2">
        <f>+'Base de Datos'!G437</f>
        <v>890900267</v>
      </c>
      <c r="E437" s="2" t="str">
        <f>+'Base de Datos'!H437</f>
        <v>Adquisición de elementos e insumos necesarios para atender los primeros auxilios y dotar los botiquines del Concejo de Bogotá D.C.</v>
      </c>
      <c r="F437" s="221">
        <f>+'Base de Datos'!I437</f>
        <v>6180000</v>
      </c>
      <c r="G437" s="220">
        <f>+'Base de Datos'!M437</f>
        <v>42590</v>
      </c>
      <c r="H437" s="220">
        <f>+'Base de Datos'!N437</f>
        <v>42682</v>
      </c>
      <c r="I437" s="179"/>
      <c r="J437" s="360"/>
      <c r="K437" s="237"/>
      <c r="L437" s="363"/>
      <c r="M437" s="179"/>
      <c r="N437" s="360"/>
      <c r="O437" s="179"/>
      <c r="P437" s="365"/>
      <c r="Q437" s="86">
        <f t="shared" si="31"/>
        <v>0</v>
      </c>
      <c r="R437" s="284"/>
      <c r="S437" s="360"/>
      <c r="T437" s="179"/>
      <c r="U437" s="360"/>
      <c r="V437" s="179"/>
      <c r="W437" s="360"/>
      <c r="X437" s="179"/>
      <c r="Y437" s="360"/>
      <c r="Z437" s="353"/>
      <c r="AA437" s="89">
        <f t="shared" si="32"/>
        <v>0</v>
      </c>
      <c r="AB437" s="237">
        <v>4195395</v>
      </c>
      <c r="AC437" s="237"/>
      <c r="AD437" s="237"/>
      <c r="AE437" s="237"/>
      <c r="AF437" s="237"/>
      <c r="AG437" s="237"/>
      <c r="AH437" s="237"/>
      <c r="AI437" s="237"/>
      <c r="AJ437" s="237"/>
      <c r="AK437" s="237"/>
      <c r="AL437" s="237"/>
      <c r="AM437" s="237"/>
      <c r="AN437" s="237"/>
      <c r="AO437" s="237"/>
      <c r="AP437" s="237"/>
      <c r="AQ437" s="237"/>
      <c r="AR437" s="237"/>
      <c r="AS437" s="237"/>
      <c r="AT437" s="360">
        <v>42738</v>
      </c>
      <c r="AU437" s="91">
        <f t="shared" si="33"/>
        <v>4195395</v>
      </c>
      <c r="AV437" s="14"/>
      <c r="AW437" s="1"/>
    </row>
    <row r="438" spans="1:49" s="57" customFormat="1" ht="67.5" hidden="1" x14ac:dyDescent="0.25">
      <c r="A438" s="59"/>
      <c r="B438" s="2" t="str">
        <f>+'Base de Datos'!E438</f>
        <v>160185-0-2016</v>
      </c>
      <c r="C438" s="2" t="str">
        <f>+'Base de Datos'!F438</f>
        <v>EDER GIOVANNY CASTIBLANCO ORJUELA</v>
      </c>
      <c r="D438" s="2" t="str">
        <f>+'Base de Datos'!G438</f>
        <v>80807003-8</v>
      </c>
      <c r="E438" s="2" t="str">
        <f>+'Base de Datos'!H438</f>
        <v>Contratar la prestación de servicios de revisión, mantenimiento y recarga de extintores y gabinetes contra incendio con suministro de repuestos y otros elementos de seguridad para el Concejo de Bogotá, de conformidad con lo establecido en la invitación pública SDH-SMINC-28-2016</v>
      </c>
      <c r="F438" s="221">
        <f>+'Base de Datos'!I438</f>
        <v>4429000</v>
      </c>
      <c r="G438" s="220">
        <f>+'Base de Datos'!M438</f>
        <v>42608</v>
      </c>
      <c r="H438" s="220">
        <f>+'Base de Datos'!N438</f>
        <v>42700</v>
      </c>
      <c r="I438" s="179"/>
      <c r="J438" s="360"/>
      <c r="K438" s="237"/>
      <c r="L438" s="363"/>
      <c r="M438" s="179"/>
      <c r="N438" s="360"/>
      <c r="O438" s="179"/>
      <c r="P438" s="365"/>
      <c r="Q438" s="86">
        <f t="shared" si="31"/>
        <v>0</v>
      </c>
      <c r="R438" s="284"/>
      <c r="S438" s="360"/>
      <c r="T438" s="179"/>
      <c r="U438" s="360"/>
      <c r="V438" s="179"/>
      <c r="W438" s="360"/>
      <c r="X438" s="179"/>
      <c r="Y438" s="360"/>
      <c r="Z438" s="353"/>
      <c r="AA438" s="89">
        <f t="shared" si="32"/>
        <v>0</v>
      </c>
      <c r="AB438" s="237">
        <v>2661244</v>
      </c>
      <c r="AC438" s="237"/>
      <c r="AD438" s="237"/>
      <c r="AE438" s="237"/>
      <c r="AF438" s="237"/>
      <c r="AG438" s="237"/>
      <c r="AH438" s="237"/>
      <c r="AI438" s="237"/>
      <c r="AJ438" s="237"/>
      <c r="AK438" s="237"/>
      <c r="AL438" s="237"/>
      <c r="AM438" s="237"/>
      <c r="AN438" s="237"/>
      <c r="AO438" s="237"/>
      <c r="AP438" s="237"/>
      <c r="AQ438" s="237"/>
      <c r="AR438" s="237"/>
      <c r="AS438" s="237"/>
      <c r="AT438" s="360">
        <v>42703</v>
      </c>
      <c r="AU438" s="91">
        <f t="shared" si="33"/>
        <v>2661244</v>
      </c>
      <c r="AV438" s="14"/>
      <c r="AW438" s="1"/>
    </row>
    <row r="439" spans="1:49" s="57" customFormat="1" ht="22.5" hidden="1" x14ac:dyDescent="0.25">
      <c r="A439" s="59"/>
      <c r="B439" s="2" t="str">
        <f>+'Base de Datos'!E439</f>
        <v>160195-0-2016</v>
      </c>
      <c r="C439" s="2" t="str">
        <f>+'Base de Datos'!F439</f>
        <v>SOLUCIONES INTEGRALES MJ SAS</v>
      </c>
      <c r="D439" s="2" t="str">
        <f>+'Base de Datos'!G439</f>
        <v>900664115-2</v>
      </c>
      <c r="E439" s="2" t="str">
        <f>+'Base de Datos'!H439</f>
        <v>Adquisición de elementos de protección personal para los servidores del Concejo de Bogotá.</v>
      </c>
      <c r="F439" s="221">
        <f>+'Base de Datos'!I439</f>
        <v>20806000</v>
      </c>
      <c r="G439" s="220">
        <f>+'Base de Datos'!M439</f>
        <v>42598</v>
      </c>
      <c r="H439" s="220">
        <f>+'Base de Datos'!N439</f>
        <v>42720</v>
      </c>
      <c r="I439" s="179"/>
      <c r="J439" s="360"/>
      <c r="K439" s="237"/>
      <c r="L439" s="363"/>
      <c r="M439" s="179"/>
      <c r="N439" s="360"/>
      <c r="O439" s="179"/>
      <c r="P439" s="365"/>
      <c r="Q439" s="86">
        <f t="shared" si="31"/>
        <v>0</v>
      </c>
      <c r="R439" s="284"/>
      <c r="S439" s="360"/>
      <c r="T439" s="179"/>
      <c r="U439" s="360"/>
      <c r="V439" s="179"/>
      <c r="W439" s="360"/>
      <c r="X439" s="179"/>
      <c r="Y439" s="360"/>
      <c r="Z439" s="353"/>
      <c r="AA439" s="89">
        <f t="shared" si="32"/>
        <v>0</v>
      </c>
      <c r="AB439" s="237">
        <v>17478705</v>
      </c>
      <c r="AC439" s="237"/>
      <c r="AD439" s="237"/>
      <c r="AE439" s="237"/>
      <c r="AF439" s="237"/>
      <c r="AG439" s="237"/>
      <c r="AH439" s="237"/>
      <c r="AI439" s="237"/>
      <c r="AJ439" s="237"/>
      <c r="AK439" s="237"/>
      <c r="AL439" s="237"/>
      <c r="AM439" s="237"/>
      <c r="AN439" s="237"/>
      <c r="AO439" s="237"/>
      <c r="AP439" s="237"/>
      <c r="AQ439" s="237"/>
      <c r="AR439" s="237"/>
      <c r="AS439" s="237"/>
      <c r="AT439" s="360">
        <v>42829</v>
      </c>
      <c r="AU439" s="91">
        <f t="shared" si="33"/>
        <v>17478705</v>
      </c>
      <c r="AV439" s="14"/>
      <c r="AW439" s="1"/>
    </row>
    <row r="440" spans="1:49" s="57" customFormat="1" ht="45" hidden="1" x14ac:dyDescent="0.25">
      <c r="A440" s="59"/>
      <c r="B440" s="2" t="str">
        <f>+'Base de Datos'!E440</f>
        <v>160198-0-2016</v>
      </c>
      <c r="C440" s="2" t="str">
        <f>+'Base de Datos'!F440</f>
        <v>INGENIERIA Y SOLUCIONES EN CONTROL AUTOMATIZACION Y DISEÑO SAS</v>
      </c>
      <c r="D440" s="2" t="str">
        <f>+'Base de Datos'!G440</f>
        <v>900462717-9</v>
      </c>
      <c r="E440" s="2" t="str">
        <f>+'Base de Datos'!H440</f>
        <v>Servicio de mantenimiento correctivo y traslado, incluyendo los repuestos y/o elementos nuevos que requieran los sistemas de archivos rodantes del Concejo de Bogotá.</v>
      </c>
      <c r="F440" s="221">
        <f>+'Base de Datos'!I440</f>
        <v>6973000</v>
      </c>
      <c r="G440" s="220">
        <f>+'Base de Datos'!M440</f>
        <v>42598</v>
      </c>
      <c r="H440" s="220">
        <f>+'Base de Datos'!N440</f>
        <v>42841</v>
      </c>
      <c r="I440" s="179"/>
      <c r="J440" s="360"/>
      <c r="K440" s="237"/>
      <c r="L440" s="363"/>
      <c r="M440" s="179"/>
      <c r="N440" s="360"/>
      <c r="O440" s="179"/>
      <c r="P440" s="365"/>
      <c r="Q440" s="86">
        <f t="shared" si="31"/>
        <v>0</v>
      </c>
      <c r="R440" s="284" t="s">
        <v>379</v>
      </c>
      <c r="S440" s="360">
        <v>42932</v>
      </c>
      <c r="T440" s="179"/>
      <c r="U440" s="360"/>
      <c r="V440" s="179"/>
      <c r="W440" s="360"/>
      <c r="X440" s="179"/>
      <c r="Y440" s="360"/>
      <c r="Z440" s="353" t="s">
        <v>379</v>
      </c>
      <c r="AA440" s="89">
        <f t="shared" si="32"/>
        <v>42932</v>
      </c>
      <c r="AB440" s="237">
        <v>4654894</v>
      </c>
      <c r="AC440" s="237">
        <v>1125945</v>
      </c>
      <c r="AD440" s="237">
        <v>1192161</v>
      </c>
      <c r="AE440" s="237"/>
      <c r="AF440" s="237"/>
      <c r="AG440" s="237"/>
      <c r="AH440" s="237"/>
      <c r="AI440" s="237"/>
      <c r="AJ440" s="237"/>
      <c r="AK440" s="237"/>
      <c r="AL440" s="237"/>
      <c r="AM440" s="237"/>
      <c r="AN440" s="237"/>
      <c r="AO440" s="237"/>
      <c r="AP440" s="237"/>
      <c r="AQ440" s="237"/>
      <c r="AR440" s="237"/>
      <c r="AS440" s="237"/>
      <c r="AT440" s="360">
        <v>43020</v>
      </c>
      <c r="AU440" s="91">
        <f t="shared" si="33"/>
        <v>6973000</v>
      </c>
      <c r="AV440" s="14"/>
      <c r="AW440" s="1"/>
    </row>
    <row r="441" spans="1:49" s="57" customFormat="1" ht="45" hidden="1" x14ac:dyDescent="0.25">
      <c r="A441" s="59"/>
      <c r="B441" s="2" t="str">
        <f>+'Base de Datos'!E441</f>
        <v>160199-0-2016</v>
      </c>
      <c r="C441" s="2" t="str">
        <f>+'Base de Datos'!F441</f>
        <v>BUSINESS TECHNOLOGIES COMPANY</v>
      </c>
      <c r="D441" s="2" t="str">
        <f>+'Base de Datos'!G441</f>
        <v>830109807-8</v>
      </c>
      <c r="E441" s="2" t="str">
        <f>+'Base de Datos'!H441</f>
        <v>Suscripción al servicio de información jurídica a través de un boletín informativo por correo electrónico, consulta web y biblioteca digital de legislación colombiana actualizada.</v>
      </c>
      <c r="F441" s="221">
        <f>+'Base de Datos'!I441</f>
        <v>1132400</v>
      </c>
      <c r="G441" s="220">
        <f>+'Base de Datos'!M441</f>
        <v>42604</v>
      </c>
      <c r="H441" s="220">
        <f>+'Base de Datos'!N441</f>
        <v>42969</v>
      </c>
      <c r="I441" s="179"/>
      <c r="J441" s="360"/>
      <c r="K441" s="237"/>
      <c r="L441" s="363"/>
      <c r="M441" s="179"/>
      <c r="N441" s="360"/>
      <c r="O441" s="179"/>
      <c r="P441" s="365"/>
      <c r="Q441" s="86">
        <f t="shared" si="31"/>
        <v>0</v>
      </c>
      <c r="R441" s="284"/>
      <c r="S441" s="360"/>
      <c r="T441" s="179"/>
      <c r="U441" s="360"/>
      <c r="V441" s="179"/>
      <c r="W441" s="360"/>
      <c r="X441" s="179"/>
      <c r="Y441" s="360"/>
      <c r="Z441" s="353"/>
      <c r="AA441" s="89">
        <f t="shared" si="32"/>
        <v>0</v>
      </c>
      <c r="AB441" s="237">
        <v>1132400</v>
      </c>
      <c r="AC441" s="237"/>
      <c r="AD441" s="237"/>
      <c r="AE441" s="237"/>
      <c r="AF441" s="237"/>
      <c r="AG441" s="237"/>
      <c r="AH441" s="237"/>
      <c r="AI441" s="237"/>
      <c r="AJ441" s="237"/>
      <c r="AK441" s="237"/>
      <c r="AL441" s="237"/>
      <c r="AM441" s="237"/>
      <c r="AN441" s="237"/>
      <c r="AO441" s="237"/>
      <c r="AP441" s="237"/>
      <c r="AQ441" s="237"/>
      <c r="AR441" s="237"/>
      <c r="AS441" s="237"/>
      <c r="AT441" s="360">
        <v>42711</v>
      </c>
      <c r="AU441" s="91">
        <f t="shared" si="33"/>
        <v>1132400</v>
      </c>
      <c r="AV441" s="14"/>
      <c r="AW441" s="1"/>
    </row>
    <row r="442" spans="1:49" s="57" customFormat="1" ht="22.5" hidden="1" x14ac:dyDescent="0.25">
      <c r="A442" s="59"/>
      <c r="B442" s="2" t="str">
        <f>+'Base de Datos'!E442</f>
        <v>160183-0-2016</v>
      </c>
      <c r="C442" s="2" t="str">
        <f>+'Base de Datos'!F442</f>
        <v>BUSINESS INTELLIGENCE SOFTWARE ASSESSOR CORPORATION  Ltda.</v>
      </c>
      <c r="D442" s="2" t="str">
        <f>+'Base de Datos'!G442</f>
        <v>830126645-3</v>
      </c>
      <c r="E442" s="2" t="str">
        <f>+'Base de Datos'!H442</f>
        <v>Prestar soporte y actualización del software de gestión documental-Winisis para el Concejo de Bogotá.</v>
      </c>
      <c r="F442" s="221">
        <f>+'Base de Datos'!I442</f>
        <v>12000000</v>
      </c>
      <c r="G442" s="220">
        <f>+'Base de Datos'!M442</f>
        <v>42612</v>
      </c>
      <c r="H442" s="220">
        <f>+'Base de Datos'!N442</f>
        <v>42977</v>
      </c>
      <c r="I442" s="179"/>
      <c r="J442" s="360"/>
      <c r="K442" s="237"/>
      <c r="L442" s="363"/>
      <c r="M442" s="179"/>
      <c r="N442" s="360"/>
      <c r="O442" s="179"/>
      <c r="P442" s="365"/>
      <c r="Q442" s="86">
        <f t="shared" si="31"/>
        <v>0</v>
      </c>
      <c r="R442" s="284"/>
      <c r="S442" s="360"/>
      <c r="T442" s="179"/>
      <c r="U442" s="360"/>
      <c r="V442" s="179"/>
      <c r="W442" s="360"/>
      <c r="X442" s="179"/>
      <c r="Y442" s="360"/>
      <c r="Z442" s="353"/>
      <c r="AA442" s="89">
        <f t="shared" si="32"/>
        <v>0</v>
      </c>
      <c r="AB442" s="237">
        <v>3000000</v>
      </c>
      <c r="AC442" s="237">
        <v>7000000</v>
      </c>
      <c r="AD442" s="237">
        <v>1000000</v>
      </c>
      <c r="AE442" s="237">
        <v>1000000</v>
      </c>
      <c r="AF442" s="237"/>
      <c r="AG442" s="237"/>
      <c r="AH442" s="237"/>
      <c r="AI442" s="237"/>
      <c r="AJ442" s="237"/>
      <c r="AK442" s="237"/>
      <c r="AL442" s="237"/>
      <c r="AM442" s="237"/>
      <c r="AN442" s="237"/>
      <c r="AO442" s="237"/>
      <c r="AP442" s="237"/>
      <c r="AQ442" s="237"/>
      <c r="AR442" s="237"/>
      <c r="AS442" s="237"/>
      <c r="AT442" s="360">
        <v>43090</v>
      </c>
      <c r="AU442" s="91">
        <f t="shared" si="33"/>
        <v>12000000</v>
      </c>
      <c r="AV442" s="14"/>
      <c r="AW442" s="1"/>
    </row>
    <row r="443" spans="1:49" s="57" customFormat="1" ht="45" hidden="1" x14ac:dyDescent="0.25">
      <c r="A443" s="59"/>
      <c r="B443" s="2" t="str">
        <f>+'Base de Datos'!E443</f>
        <v>160208-0-2016</v>
      </c>
      <c r="C443" s="2" t="str">
        <f>+'Base de Datos'!F443</f>
        <v>SOLUCIONES H &amp; S SAS</v>
      </c>
      <c r="D443" s="2">
        <f>+'Base de Datos'!G443</f>
        <v>900699012</v>
      </c>
      <c r="E443" s="2" t="str">
        <f>+'Base de Datos'!H443</f>
        <v>Prestar el servicio de mantenimiento preventivo y correctivo con suministro de repuestos de la puerta eléctrica y talanqueras de acceso vehicular al Concejo de Bogotá, D.C.</v>
      </c>
      <c r="F443" s="221">
        <f>+'Base de Datos'!I443</f>
        <v>4999000</v>
      </c>
      <c r="G443" s="220">
        <f>+'Base de Datos'!M443</f>
        <v>42622</v>
      </c>
      <c r="H443" s="220">
        <f>+'Base de Datos'!N443</f>
        <v>42803</v>
      </c>
      <c r="I443" s="179"/>
      <c r="J443" s="360"/>
      <c r="K443" s="237"/>
      <c r="L443" s="363"/>
      <c r="M443" s="179"/>
      <c r="N443" s="360"/>
      <c r="O443" s="179"/>
      <c r="P443" s="365"/>
      <c r="Q443" s="86">
        <f t="shared" si="31"/>
        <v>0</v>
      </c>
      <c r="R443" s="284"/>
      <c r="S443" s="360"/>
      <c r="T443" s="179"/>
      <c r="U443" s="360"/>
      <c r="V443" s="179"/>
      <c r="W443" s="360"/>
      <c r="X443" s="179"/>
      <c r="Y443" s="360"/>
      <c r="Z443" s="353"/>
      <c r="AA443" s="89">
        <f t="shared" si="32"/>
        <v>0</v>
      </c>
      <c r="AB443" s="237">
        <v>3270000</v>
      </c>
      <c r="AC443" s="237"/>
      <c r="AD443" s="237"/>
      <c r="AE443" s="237"/>
      <c r="AF443" s="237"/>
      <c r="AG443" s="237"/>
      <c r="AH443" s="237"/>
      <c r="AI443" s="237"/>
      <c r="AJ443" s="237"/>
      <c r="AK443" s="237"/>
      <c r="AL443" s="237"/>
      <c r="AM443" s="237"/>
      <c r="AN443" s="237"/>
      <c r="AO443" s="237"/>
      <c r="AP443" s="237"/>
      <c r="AQ443" s="237"/>
      <c r="AR443" s="237"/>
      <c r="AS443" s="237"/>
      <c r="AT443" s="360">
        <v>42878</v>
      </c>
      <c r="AU443" s="91">
        <f t="shared" si="33"/>
        <v>3270000</v>
      </c>
      <c r="AV443" s="14"/>
      <c r="AW443" s="1"/>
    </row>
    <row r="444" spans="1:49" s="57" customFormat="1" ht="33.75" hidden="1" x14ac:dyDescent="0.25">
      <c r="A444" s="59"/>
      <c r="B444" s="2" t="str">
        <f>+'Base de Datos'!E444</f>
        <v>160213-0-2016</v>
      </c>
      <c r="C444" s="2" t="str">
        <f>+'Base de Datos'!F444</f>
        <v>PUBLICACIONES SEMANA S.A.</v>
      </c>
      <c r="D444" s="2">
        <f>+'Base de Datos'!G444</f>
        <v>860509265</v>
      </c>
      <c r="E444" s="2" t="str">
        <f>+'Base de Datos'!H444</f>
        <v>Suscripción a la Revista Semana, para el Concejo de Bogotá, D.C., de conformidad a lo establecido en los estudios previos.</v>
      </c>
      <c r="F444" s="221">
        <f>+'Base de Datos'!I444</f>
        <v>825000</v>
      </c>
      <c r="G444" s="220">
        <f>+'Base de Datos'!M444</f>
        <v>42646</v>
      </c>
      <c r="H444" s="220">
        <f>+'Base de Datos'!N444</f>
        <v>43011</v>
      </c>
      <c r="I444" s="179"/>
      <c r="J444" s="360"/>
      <c r="K444" s="237"/>
      <c r="L444" s="363"/>
      <c r="M444" s="179"/>
      <c r="N444" s="360"/>
      <c r="O444" s="179"/>
      <c r="P444" s="365"/>
      <c r="Q444" s="86">
        <f t="shared" si="31"/>
        <v>0</v>
      </c>
      <c r="R444" s="284"/>
      <c r="S444" s="360"/>
      <c r="T444" s="179"/>
      <c r="U444" s="360"/>
      <c r="V444" s="179"/>
      <c r="W444" s="360"/>
      <c r="X444" s="179"/>
      <c r="Y444" s="360"/>
      <c r="Z444" s="353"/>
      <c r="AA444" s="89">
        <f t="shared" si="32"/>
        <v>0</v>
      </c>
      <c r="AB444" s="237">
        <v>825000</v>
      </c>
      <c r="AC444" s="237"/>
      <c r="AD444" s="237"/>
      <c r="AE444" s="237"/>
      <c r="AF444" s="237"/>
      <c r="AG444" s="237"/>
      <c r="AH444" s="237"/>
      <c r="AI444" s="237"/>
      <c r="AJ444" s="237"/>
      <c r="AK444" s="237"/>
      <c r="AL444" s="237"/>
      <c r="AM444" s="237"/>
      <c r="AN444" s="237"/>
      <c r="AO444" s="237"/>
      <c r="AP444" s="237"/>
      <c r="AQ444" s="237"/>
      <c r="AR444" s="237"/>
      <c r="AS444" s="237"/>
      <c r="AT444" s="360">
        <v>42702</v>
      </c>
      <c r="AU444" s="91">
        <f t="shared" si="33"/>
        <v>825000</v>
      </c>
      <c r="AV444" s="14"/>
      <c r="AW444" s="1"/>
    </row>
    <row r="445" spans="1:49" s="57" customFormat="1" ht="45" hidden="1" x14ac:dyDescent="0.25">
      <c r="A445" s="59"/>
      <c r="B445" s="2" t="str">
        <f>+'Base de Datos'!E445</f>
        <v>160215-0-2016</v>
      </c>
      <c r="C445" s="2" t="str">
        <f>+'Base de Datos'!F445</f>
        <v>DIDIER WALTE ESTEVEZ VASQUEZ</v>
      </c>
      <c r="D445" s="2">
        <f>+'Base de Datos'!G445</f>
        <v>85473477</v>
      </c>
      <c r="E445" s="2" t="str">
        <f>+'Base de Datos'!H445</f>
        <v>Prestar los servicios de apoyo administrativo y operativo para la liquidación y el cierre de los expedientes contractuales en el marco de las labores de supervisión asignadas a la Dirección del Concejo de Bogotá.</v>
      </c>
      <c r="F445" s="221">
        <f>+'Base de Datos'!I445</f>
        <v>9000000</v>
      </c>
      <c r="G445" s="220">
        <f>+'Base de Datos'!M445</f>
        <v>42625</v>
      </c>
      <c r="H445" s="220">
        <f>+'Base de Datos'!N445</f>
        <v>42778</v>
      </c>
      <c r="I445" s="179"/>
      <c r="J445" s="360"/>
      <c r="K445" s="237"/>
      <c r="L445" s="363"/>
      <c r="M445" s="179"/>
      <c r="N445" s="360"/>
      <c r="O445" s="179"/>
      <c r="P445" s="365"/>
      <c r="Q445" s="86">
        <f t="shared" si="31"/>
        <v>0</v>
      </c>
      <c r="R445" s="284"/>
      <c r="S445" s="360"/>
      <c r="T445" s="179"/>
      <c r="U445" s="360"/>
      <c r="V445" s="179"/>
      <c r="W445" s="360"/>
      <c r="X445" s="179"/>
      <c r="Y445" s="360"/>
      <c r="Z445" s="353"/>
      <c r="AA445" s="89">
        <f t="shared" si="32"/>
        <v>0</v>
      </c>
      <c r="AB445" s="237">
        <v>1140000</v>
      </c>
      <c r="AC445" s="237">
        <v>1800000</v>
      </c>
      <c r="AD445" s="237"/>
      <c r="AE445" s="237">
        <v>1800000</v>
      </c>
      <c r="AF445" s="237">
        <v>1800000</v>
      </c>
      <c r="AG445" s="237">
        <v>1800000</v>
      </c>
      <c r="AH445" s="237">
        <v>660000</v>
      </c>
      <c r="AI445" s="237"/>
      <c r="AJ445" s="237"/>
      <c r="AK445" s="237"/>
      <c r="AL445" s="237"/>
      <c r="AM445" s="237"/>
      <c r="AN445" s="237"/>
      <c r="AO445" s="237"/>
      <c r="AP445" s="237"/>
      <c r="AQ445" s="237"/>
      <c r="AR445" s="237"/>
      <c r="AS445" s="237"/>
      <c r="AT445" s="360">
        <v>42822</v>
      </c>
      <c r="AU445" s="91">
        <f t="shared" si="33"/>
        <v>9000000</v>
      </c>
      <c r="AV445" s="14"/>
      <c r="AW445" s="1"/>
    </row>
    <row r="446" spans="1:49" s="57" customFormat="1" ht="56.25" hidden="1" x14ac:dyDescent="0.25">
      <c r="A446" s="59"/>
      <c r="B446" s="2" t="str">
        <f>+'Base de Datos'!E446</f>
        <v>160216-0-2016</v>
      </c>
      <c r="C446" s="2" t="str">
        <f>+'Base de Datos'!F446</f>
        <v>DANIELA ANTOLINEZ AUGELLO</v>
      </c>
      <c r="D446" s="2">
        <f>+'Base de Datos'!G446</f>
        <v>1090442018</v>
      </c>
      <c r="E446" s="2" t="str">
        <f>+'Base de Datos'!H446</f>
        <v>Prestar los servicios de apoyo al procedimiento de bonos pensionales para coadyuvar con las actividades de actualización y administración de la información de os funcionarios y exfuncionarios en cuanto a los trámites pensionales.</v>
      </c>
      <c r="F446" s="221">
        <f>+'Base de Datos'!I446</f>
        <v>7500000</v>
      </c>
      <c r="G446" s="220">
        <f>+'Base de Datos'!M446</f>
        <v>42625</v>
      </c>
      <c r="H446" s="220">
        <f>+'Base de Datos'!N446</f>
        <v>42778</v>
      </c>
      <c r="I446" s="179"/>
      <c r="J446" s="360"/>
      <c r="K446" s="237"/>
      <c r="L446" s="363"/>
      <c r="M446" s="179"/>
      <c r="N446" s="360"/>
      <c r="O446" s="179"/>
      <c r="P446" s="365"/>
      <c r="Q446" s="86">
        <f t="shared" si="31"/>
        <v>0</v>
      </c>
      <c r="R446" s="284"/>
      <c r="S446" s="360"/>
      <c r="T446" s="179"/>
      <c r="U446" s="360"/>
      <c r="V446" s="179"/>
      <c r="W446" s="360"/>
      <c r="X446" s="179"/>
      <c r="Y446" s="360"/>
      <c r="Z446" s="353"/>
      <c r="AA446" s="89">
        <f t="shared" si="32"/>
        <v>0</v>
      </c>
      <c r="AB446" s="237">
        <v>950000</v>
      </c>
      <c r="AC446" s="237">
        <v>1500000</v>
      </c>
      <c r="AD446" s="237">
        <v>1500000</v>
      </c>
      <c r="AE446" s="237">
        <v>1500000</v>
      </c>
      <c r="AF446" s="237">
        <v>1500000</v>
      </c>
      <c r="AG446" s="237">
        <v>550000</v>
      </c>
      <c r="AH446" s="237"/>
      <c r="AI446" s="237"/>
      <c r="AJ446" s="237"/>
      <c r="AK446" s="237"/>
      <c r="AL446" s="237"/>
      <c r="AM446" s="237"/>
      <c r="AN446" s="237"/>
      <c r="AO446" s="237"/>
      <c r="AP446" s="237"/>
      <c r="AQ446" s="237"/>
      <c r="AR446" s="237"/>
      <c r="AS446" s="237"/>
      <c r="AT446" s="360">
        <v>42803</v>
      </c>
      <c r="AU446" s="91">
        <f t="shared" si="33"/>
        <v>7500000</v>
      </c>
      <c r="AV446" s="14"/>
      <c r="AW446" s="1"/>
    </row>
    <row r="447" spans="1:49" s="57" customFormat="1" ht="33.75" hidden="1" x14ac:dyDescent="0.25">
      <c r="A447" s="59"/>
      <c r="B447" s="2" t="str">
        <f>+'Base de Datos'!E447</f>
        <v>160214-0-2016</v>
      </c>
      <c r="C447" s="2" t="str">
        <f>+'Base de Datos'!F447</f>
        <v xml:space="preserve">ARANDA SOFTWARE ANDINA SAS  </v>
      </c>
      <c r="D447" s="2">
        <f>+'Base de Datos'!G447</f>
        <v>830099766</v>
      </c>
      <c r="E447" s="2" t="str">
        <f>+'Base de Datos'!H447</f>
        <v>Prestar el soporte y actualización del software para la gestión de la mesa de servicios - Aranda para el Concejo de Bogotá.</v>
      </c>
      <c r="F447" s="221">
        <f>+'Base de Datos'!I447</f>
        <v>50871139</v>
      </c>
      <c r="G447" s="220">
        <f>+'Base de Datos'!M447</f>
        <v>42632</v>
      </c>
      <c r="H447" s="220">
        <f>+'Base de Datos'!N447</f>
        <v>42874</v>
      </c>
      <c r="I447" s="179"/>
      <c r="J447" s="360"/>
      <c r="K447" s="237"/>
      <c r="L447" s="363"/>
      <c r="M447" s="179"/>
      <c r="N447" s="360"/>
      <c r="O447" s="179"/>
      <c r="P447" s="365"/>
      <c r="Q447" s="86">
        <f t="shared" si="31"/>
        <v>0</v>
      </c>
      <c r="R447" s="284"/>
      <c r="S447" s="360"/>
      <c r="T447" s="179"/>
      <c r="U447" s="360"/>
      <c r="V447" s="179"/>
      <c r="W447" s="360"/>
      <c r="X447" s="179"/>
      <c r="Y447" s="360"/>
      <c r="Z447" s="353"/>
      <c r="AA447" s="89">
        <f t="shared" si="32"/>
        <v>0</v>
      </c>
      <c r="AB447" s="237">
        <v>28451118</v>
      </c>
      <c r="AC447" s="237">
        <v>11210011</v>
      </c>
      <c r="AD447" s="237"/>
      <c r="AE447" s="237"/>
      <c r="AF447" s="237"/>
      <c r="AG447" s="237"/>
      <c r="AH447" s="237"/>
      <c r="AI447" s="237"/>
      <c r="AJ447" s="237"/>
      <c r="AK447" s="237"/>
      <c r="AL447" s="237"/>
      <c r="AM447" s="237"/>
      <c r="AN447" s="237"/>
      <c r="AO447" s="237"/>
      <c r="AP447" s="237"/>
      <c r="AQ447" s="237"/>
      <c r="AR447" s="237"/>
      <c r="AS447" s="237"/>
      <c r="AT447" s="360">
        <v>42816</v>
      </c>
      <c r="AU447" s="91">
        <f t="shared" si="33"/>
        <v>39661129</v>
      </c>
      <c r="AV447" s="14"/>
      <c r="AW447" s="1"/>
    </row>
    <row r="448" spans="1:49" s="57" customFormat="1" ht="22.5" hidden="1" x14ac:dyDescent="0.25">
      <c r="A448" s="59"/>
      <c r="B448" s="2" t="str">
        <f>+'Base de Datos'!E448</f>
        <v>160234-0-2016</v>
      </c>
      <c r="C448" s="2" t="str">
        <f>+'Base de Datos'!F448</f>
        <v>COMUNICAN S.A.</v>
      </c>
      <c r="D448" s="2">
        <f>+'Base de Datos'!G448</f>
        <v>860007590</v>
      </c>
      <c r="E448" s="2" t="str">
        <f>+'Base de Datos'!H448</f>
        <v>Suscripción al diario EL ESPECTADOR para el Concejo de Bogotá.</v>
      </c>
      <c r="F448" s="221">
        <f>+'Base de Datos'!I448</f>
        <v>974160</v>
      </c>
      <c r="G448" s="220">
        <f>+'Base de Datos'!M448</f>
        <v>42643</v>
      </c>
      <c r="H448" s="220">
        <f>+'Base de Datos'!N448</f>
        <v>43008</v>
      </c>
      <c r="I448" s="179"/>
      <c r="J448" s="360"/>
      <c r="K448" s="237"/>
      <c r="L448" s="363"/>
      <c r="M448" s="179"/>
      <c r="N448" s="360"/>
      <c r="O448" s="179"/>
      <c r="P448" s="365"/>
      <c r="Q448" s="86">
        <f t="shared" si="31"/>
        <v>0</v>
      </c>
      <c r="R448" s="284"/>
      <c r="S448" s="360"/>
      <c r="T448" s="179"/>
      <c r="U448" s="360"/>
      <c r="V448" s="179"/>
      <c r="W448" s="360"/>
      <c r="X448" s="179"/>
      <c r="Y448" s="360"/>
      <c r="Z448" s="353"/>
      <c r="AA448" s="89">
        <f t="shared" si="32"/>
        <v>0</v>
      </c>
      <c r="AB448" s="237">
        <v>974160</v>
      </c>
      <c r="AC448" s="237"/>
      <c r="AD448" s="237"/>
      <c r="AE448" s="237"/>
      <c r="AF448" s="237"/>
      <c r="AG448" s="237"/>
      <c r="AH448" s="237"/>
      <c r="AI448" s="237"/>
      <c r="AJ448" s="237"/>
      <c r="AK448" s="237"/>
      <c r="AL448" s="237"/>
      <c r="AM448" s="237"/>
      <c r="AN448" s="237"/>
      <c r="AO448" s="237"/>
      <c r="AP448" s="237"/>
      <c r="AQ448" s="237"/>
      <c r="AR448" s="237"/>
      <c r="AS448" s="237"/>
      <c r="AT448" s="360">
        <v>42723</v>
      </c>
      <c r="AU448" s="91">
        <f t="shared" si="33"/>
        <v>974160</v>
      </c>
      <c r="AV448" s="14"/>
      <c r="AW448" s="1"/>
    </row>
    <row r="449" spans="1:49" s="57" customFormat="1" ht="45" hidden="1" x14ac:dyDescent="0.25">
      <c r="A449" s="59"/>
      <c r="B449" s="2" t="str">
        <f>+'Base de Datos'!E449</f>
        <v>160225-0-2016</v>
      </c>
      <c r="C449" s="2" t="str">
        <f>+'Base de Datos'!F449</f>
        <v>INSTITUCIONAL STAR SERVICES Ltda.</v>
      </c>
      <c r="D449" s="2">
        <f>+'Base de Datos'!G449</f>
        <v>830113914</v>
      </c>
      <c r="E449" s="2" t="str">
        <f>+'Base de Datos'!H449</f>
        <v>Suministro de papelería, útiles de escritorio para el Concejo de Bogotá de conformidad con lo establecido en el pliego de condiciones SDH-SIE-11-2016 y la propuesta presentada.</v>
      </c>
      <c r="F449" s="221">
        <f>+'Base de Datos'!I449</f>
        <v>71482000</v>
      </c>
      <c r="G449" s="220">
        <f>+'Base de Datos'!M449</f>
        <v>42646</v>
      </c>
      <c r="H449" s="220">
        <f>+'Base de Datos'!N449</f>
        <v>42858</v>
      </c>
      <c r="I449" s="179"/>
      <c r="J449" s="360"/>
      <c r="K449" s="237"/>
      <c r="L449" s="363"/>
      <c r="M449" s="179"/>
      <c r="N449" s="360"/>
      <c r="O449" s="179"/>
      <c r="P449" s="365"/>
      <c r="Q449" s="86">
        <f t="shared" ref="Q449:Q512" si="34">SUM(I449,K449,M449,O449)</f>
        <v>0</v>
      </c>
      <c r="R449" s="284" t="s">
        <v>380</v>
      </c>
      <c r="S449" s="360">
        <v>42981</v>
      </c>
      <c r="T449" s="179"/>
      <c r="U449" s="360"/>
      <c r="V449" s="179"/>
      <c r="W449" s="360"/>
      <c r="X449" s="179"/>
      <c r="Y449" s="360"/>
      <c r="Z449" s="353" t="s">
        <v>2922</v>
      </c>
      <c r="AA449" s="89">
        <f t="shared" ref="AA449:AA512" si="35">MAX(S449,U449,W449,Y449)</f>
        <v>42981</v>
      </c>
      <c r="AB449" s="237">
        <v>4221733</v>
      </c>
      <c r="AC449" s="237">
        <v>8911987</v>
      </c>
      <c r="AD449" s="237">
        <v>7879541</v>
      </c>
      <c r="AE449" s="237">
        <v>5058643</v>
      </c>
      <c r="AF449" s="237">
        <v>9066200</v>
      </c>
      <c r="AG449" s="237">
        <v>36343855</v>
      </c>
      <c r="AH449" s="237"/>
      <c r="AI449" s="237"/>
      <c r="AJ449" s="237"/>
      <c r="AK449" s="237"/>
      <c r="AL449" s="237"/>
      <c r="AM449" s="237"/>
      <c r="AN449" s="237"/>
      <c r="AO449" s="237"/>
      <c r="AP449" s="237"/>
      <c r="AQ449" s="237"/>
      <c r="AR449" s="237"/>
      <c r="AS449" s="237"/>
      <c r="AT449" s="360">
        <v>42996</v>
      </c>
      <c r="AU449" s="91">
        <f t="shared" ref="AU449:AU512" si="36">SUM(AB449:AR449)</f>
        <v>71481959</v>
      </c>
      <c r="AV449" s="14"/>
      <c r="AW449" s="1"/>
    </row>
    <row r="450" spans="1:49" s="57" customFormat="1" ht="33.75" hidden="1" x14ac:dyDescent="0.25">
      <c r="A450" s="59"/>
      <c r="B450" s="2" t="str">
        <f>+'Base de Datos'!E450</f>
        <v>160237-0-2016</v>
      </c>
      <c r="C450" s="2" t="str">
        <f>+'Base de Datos'!F450</f>
        <v>YAMEL ORLANDO MARTINEZ BALAGUERA</v>
      </c>
      <c r="D450" s="2">
        <f>+'Base de Datos'!G450</f>
        <v>74185457</v>
      </c>
      <c r="E450" s="2" t="str">
        <f>+'Base de Datos'!H450</f>
        <v>Prestar servicios profesionales para apoyar operativa y técnicamente la infraestructura tecnológica e informática del Concejo de Bogotá.</v>
      </c>
      <c r="F450" s="221">
        <f>+'Base de Datos'!I450</f>
        <v>22000000</v>
      </c>
      <c r="G450" s="220">
        <f>+'Base de Datos'!M450</f>
        <v>42642</v>
      </c>
      <c r="H450" s="220">
        <f>+'Base de Datos'!N450</f>
        <v>42764</v>
      </c>
      <c r="I450" s="179"/>
      <c r="J450" s="360"/>
      <c r="K450" s="237"/>
      <c r="L450" s="363"/>
      <c r="M450" s="179"/>
      <c r="N450" s="360"/>
      <c r="O450" s="179"/>
      <c r="P450" s="365"/>
      <c r="Q450" s="86">
        <f t="shared" si="34"/>
        <v>0</v>
      </c>
      <c r="R450" s="284"/>
      <c r="S450" s="360"/>
      <c r="T450" s="179"/>
      <c r="U450" s="360"/>
      <c r="V450" s="179"/>
      <c r="W450" s="360"/>
      <c r="X450" s="179"/>
      <c r="Y450" s="360"/>
      <c r="Z450" s="353"/>
      <c r="AA450" s="89">
        <f t="shared" si="35"/>
        <v>0</v>
      </c>
      <c r="AB450" s="237">
        <v>366666</v>
      </c>
      <c r="AC450" s="237">
        <v>5500000</v>
      </c>
      <c r="AD450" s="237">
        <v>5500000</v>
      </c>
      <c r="AE450" s="237"/>
      <c r="AF450" s="237"/>
      <c r="AG450" s="237"/>
      <c r="AH450" s="237"/>
      <c r="AI450" s="237"/>
      <c r="AJ450" s="237"/>
      <c r="AK450" s="237"/>
      <c r="AL450" s="237"/>
      <c r="AM450" s="237"/>
      <c r="AN450" s="237"/>
      <c r="AO450" s="237"/>
      <c r="AP450" s="237"/>
      <c r="AQ450" s="237"/>
      <c r="AR450" s="237"/>
      <c r="AS450" s="237"/>
      <c r="AT450" s="360">
        <v>42710</v>
      </c>
      <c r="AU450" s="91">
        <f t="shared" si="36"/>
        <v>11366666</v>
      </c>
      <c r="AV450" s="14"/>
      <c r="AW450" s="1"/>
    </row>
    <row r="451" spans="1:49" s="57" customFormat="1" ht="22.5" hidden="1" x14ac:dyDescent="0.25">
      <c r="A451" s="59"/>
      <c r="B451" s="2" t="str">
        <f>+'Base de Datos'!E451</f>
        <v>160233-0-2016</v>
      </c>
      <c r="C451" s="2" t="str">
        <f>+'Base de Datos'!F451</f>
        <v xml:space="preserve">INFORMATICA DOCUMENTAL SAS </v>
      </c>
      <c r="D451" s="2">
        <f>+'Base de Datos'!G451</f>
        <v>830083523</v>
      </c>
      <c r="E451" s="2" t="str">
        <f>+'Base de Datos'!H451</f>
        <v>Prestar el soporte y actualización del software para el manejo documental - Infodoc para el Concejo de Bogotá.</v>
      </c>
      <c r="F451" s="221">
        <f>+'Base de Datos'!I451</f>
        <v>8000000</v>
      </c>
      <c r="G451" s="220">
        <f>+'Base de Datos'!M451</f>
        <v>42648</v>
      </c>
      <c r="H451" s="220">
        <f>+'Base de Datos'!N451</f>
        <v>42891</v>
      </c>
      <c r="I451" s="179"/>
      <c r="J451" s="360"/>
      <c r="K451" s="237"/>
      <c r="L451" s="363"/>
      <c r="M451" s="179"/>
      <c r="N451" s="360"/>
      <c r="O451" s="179"/>
      <c r="P451" s="365"/>
      <c r="Q451" s="86">
        <f t="shared" si="34"/>
        <v>0</v>
      </c>
      <c r="R451" s="284"/>
      <c r="S451" s="360"/>
      <c r="T451" s="179"/>
      <c r="U451" s="360"/>
      <c r="V451" s="179"/>
      <c r="W451" s="360"/>
      <c r="X451" s="179"/>
      <c r="Y451" s="360"/>
      <c r="Z451" s="353"/>
      <c r="AA451" s="89">
        <f t="shared" si="35"/>
        <v>0</v>
      </c>
      <c r="AB451" s="237">
        <v>5150000</v>
      </c>
      <c r="AC451" s="237">
        <v>2850000</v>
      </c>
      <c r="AD451" s="237"/>
      <c r="AE451" s="237"/>
      <c r="AF451" s="237"/>
      <c r="AG451" s="237"/>
      <c r="AH451" s="237"/>
      <c r="AI451" s="237"/>
      <c r="AJ451" s="237"/>
      <c r="AK451" s="237"/>
      <c r="AL451" s="237"/>
      <c r="AM451" s="237"/>
      <c r="AN451" s="237"/>
      <c r="AO451" s="237"/>
      <c r="AP451" s="237"/>
      <c r="AQ451" s="237"/>
      <c r="AR451" s="237"/>
      <c r="AS451" s="237"/>
      <c r="AT451" s="360">
        <v>43090</v>
      </c>
      <c r="AU451" s="91">
        <f t="shared" si="36"/>
        <v>8000000</v>
      </c>
      <c r="AV451" s="14"/>
      <c r="AW451" s="1"/>
    </row>
    <row r="452" spans="1:49" s="57" customFormat="1" ht="33.75" hidden="1" x14ac:dyDescent="0.25">
      <c r="A452" s="59"/>
      <c r="B452" s="2" t="str">
        <f>+'Base de Datos'!E452</f>
        <v>160228-0-2016</v>
      </c>
      <c r="C452" s="2" t="str">
        <f>+'Base de Datos'!F452</f>
        <v>UT HACIENDA BOGOTA 2016</v>
      </c>
      <c r="D452" s="2" t="str">
        <f>+'Base de Datos'!G452</f>
        <v>901009929-6</v>
      </c>
      <c r="E452" s="2" t="str">
        <f>+'Base de Datos'!H452</f>
        <v xml:space="preserve">Desarrollar las actividades en los Planes de Bienestar  e Incentivos y Mejoramiento del clima laboral para el Concejo de Bogotá D.C. </v>
      </c>
      <c r="F452" s="221">
        <f>+'Base de Datos'!I452</f>
        <v>669493245</v>
      </c>
      <c r="G452" s="220">
        <f>+'Base de Datos'!M452</f>
        <v>42647</v>
      </c>
      <c r="H452" s="220">
        <f>+'Base de Datos'!N452</f>
        <v>42859</v>
      </c>
      <c r="I452" s="179">
        <v>119367045</v>
      </c>
      <c r="J452" s="360">
        <v>42926</v>
      </c>
      <c r="K452" s="237"/>
      <c r="L452" s="363"/>
      <c r="M452" s="179"/>
      <c r="N452" s="360"/>
      <c r="O452" s="179"/>
      <c r="P452" s="365"/>
      <c r="Q452" s="86">
        <f t="shared" si="34"/>
        <v>119367045</v>
      </c>
      <c r="R452" s="284" t="s">
        <v>2967</v>
      </c>
      <c r="S452" s="360">
        <v>42886</v>
      </c>
      <c r="T452" s="179" t="s">
        <v>978</v>
      </c>
      <c r="U452" s="360">
        <v>42931</v>
      </c>
      <c r="V452" s="179"/>
      <c r="W452" s="360"/>
      <c r="X452" s="179"/>
      <c r="Y452" s="360"/>
      <c r="Z452" s="353" t="s">
        <v>2968</v>
      </c>
      <c r="AA452" s="89">
        <f t="shared" si="35"/>
        <v>42931</v>
      </c>
      <c r="AB452" s="237">
        <v>283050000</v>
      </c>
      <c r="AC452" s="237">
        <v>35000000</v>
      </c>
      <c r="AD452" s="237">
        <v>164880000</v>
      </c>
      <c r="AE452" s="237">
        <v>10302001</v>
      </c>
      <c r="AF452" s="237">
        <v>11500000</v>
      </c>
      <c r="AG452" s="237">
        <v>164761244</v>
      </c>
      <c r="AH452" s="237">
        <v>52081735</v>
      </c>
      <c r="AI452" s="237"/>
      <c r="AJ452" s="237"/>
      <c r="AK452" s="237"/>
      <c r="AL452" s="237"/>
      <c r="AM452" s="237"/>
      <c r="AN452" s="237"/>
      <c r="AO452" s="237"/>
      <c r="AP452" s="237"/>
      <c r="AQ452" s="237"/>
      <c r="AR452" s="237"/>
      <c r="AS452" s="237"/>
      <c r="AT452" s="360">
        <v>42996</v>
      </c>
      <c r="AU452" s="91">
        <f t="shared" si="36"/>
        <v>721574980</v>
      </c>
      <c r="AV452" s="14"/>
      <c r="AW452" s="1"/>
    </row>
    <row r="453" spans="1:49" s="57" customFormat="1" ht="33.75" hidden="1" x14ac:dyDescent="0.25">
      <c r="A453" s="59"/>
      <c r="B453" s="2" t="str">
        <f>+'Base de Datos'!E453</f>
        <v>160238-0-2016</v>
      </c>
      <c r="C453" s="2" t="str">
        <f>+'Base de Datos'!F453</f>
        <v>EDITORIAL LA UNIDAD S.A EN EJECUCIÓN DEL ACUERDO DE REESTRUCTURACIÓN</v>
      </c>
      <c r="D453" s="2">
        <f>+'Base de Datos'!G453</f>
        <v>860536029</v>
      </c>
      <c r="E453" s="2" t="str">
        <f>+'Base de Datos'!H453</f>
        <v>Suscripción al diario el Nuevo Siglo para el Concejo de Bogotá.</v>
      </c>
      <c r="F453" s="221">
        <f>+'Base de Datos'!I453</f>
        <v>930000</v>
      </c>
      <c r="G453" s="220">
        <f>+'Base de Datos'!M453</f>
        <v>42647</v>
      </c>
      <c r="H453" s="220">
        <f>+'Base de Datos'!N453</f>
        <v>43012</v>
      </c>
      <c r="I453" s="179"/>
      <c r="J453" s="360"/>
      <c r="K453" s="237"/>
      <c r="L453" s="363"/>
      <c r="M453" s="179"/>
      <c r="N453" s="360"/>
      <c r="O453" s="179"/>
      <c r="P453" s="365"/>
      <c r="Q453" s="86">
        <f t="shared" si="34"/>
        <v>0</v>
      </c>
      <c r="R453" s="284"/>
      <c r="S453" s="360"/>
      <c r="T453" s="179"/>
      <c r="U453" s="360"/>
      <c r="V453" s="179"/>
      <c r="W453" s="360"/>
      <c r="X453" s="179"/>
      <c r="Y453" s="360"/>
      <c r="Z453" s="353"/>
      <c r="AA453" s="89">
        <f t="shared" si="35"/>
        <v>0</v>
      </c>
      <c r="AB453" s="237">
        <v>930000</v>
      </c>
      <c r="AC453" s="237"/>
      <c r="AD453" s="237"/>
      <c r="AE453" s="237"/>
      <c r="AF453" s="237"/>
      <c r="AG453" s="237"/>
      <c r="AH453" s="237"/>
      <c r="AI453" s="237"/>
      <c r="AJ453" s="237"/>
      <c r="AK453" s="237"/>
      <c r="AL453" s="237"/>
      <c r="AM453" s="237"/>
      <c r="AN453" s="237"/>
      <c r="AO453" s="237"/>
      <c r="AP453" s="237"/>
      <c r="AQ453" s="237"/>
      <c r="AR453" s="237"/>
      <c r="AS453" s="237"/>
      <c r="AT453" s="360">
        <v>42726</v>
      </c>
      <c r="AU453" s="91">
        <f t="shared" si="36"/>
        <v>930000</v>
      </c>
      <c r="AV453" s="14"/>
      <c r="AW453" s="1"/>
    </row>
    <row r="454" spans="1:49" s="57" customFormat="1" ht="45" hidden="1" x14ac:dyDescent="0.25">
      <c r="A454" s="59"/>
      <c r="B454" s="2" t="str">
        <f>+'Base de Datos'!E454</f>
        <v>160236-0-2016</v>
      </c>
      <c r="C454" s="2" t="str">
        <f>+'Base de Datos'!F454</f>
        <v>LUZ YANETH RODRIGUEZ TRIANA</v>
      </c>
      <c r="D454" s="2">
        <f>+'Base de Datos'!G454</f>
        <v>52505397</v>
      </c>
      <c r="E454" s="2" t="str">
        <f>+'Base de Datos'!H454</f>
        <v>Prestar servicios para apoyar los procedimientos de organización documental y demás actividades relacionadas con los expedientes de liquidación y pago de cesantías de los trabajadores del Concejo de Bogotá.</v>
      </c>
      <c r="F454" s="221">
        <f>+'Base de Datos'!I454</f>
        <v>4800000</v>
      </c>
      <c r="G454" s="220">
        <f>+'Base de Datos'!M454</f>
        <v>42646</v>
      </c>
      <c r="H454" s="220">
        <f>+'Base de Datos'!N454</f>
        <v>42769</v>
      </c>
      <c r="I454" s="179"/>
      <c r="J454" s="360"/>
      <c r="K454" s="237"/>
      <c r="L454" s="363"/>
      <c r="M454" s="179"/>
      <c r="N454" s="360"/>
      <c r="O454" s="179"/>
      <c r="P454" s="365"/>
      <c r="Q454" s="86">
        <f t="shared" si="34"/>
        <v>0</v>
      </c>
      <c r="R454" s="284"/>
      <c r="S454" s="360"/>
      <c r="T454" s="179"/>
      <c r="U454" s="360"/>
      <c r="V454" s="179"/>
      <c r="W454" s="360"/>
      <c r="X454" s="179"/>
      <c r="Y454" s="360"/>
      <c r="Z454" s="353"/>
      <c r="AA454" s="89">
        <f t="shared" si="35"/>
        <v>0</v>
      </c>
      <c r="AB454" s="237">
        <v>1040000</v>
      </c>
      <c r="AC454" s="237">
        <v>1200000</v>
      </c>
      <c r="AD454" s="237">
        <v>1200000</v>
      </c>
      <c r="AE454" s="237">
        <v>1200000</v>
      </c>
      <c r="AF454" s="237"/>
      <c r="AG454" s="237"/>
      <c r="AH454" s="237"/>
      <c r="AI454" s="237"/>
      <c r="AJ454" s="237"/>
      <c r="AK454" s="237"/>
      <c r="AL454" s="237"/>
      <c r="AM454" s="237"/>
      <c r="AN454" s="237"/>
      <c r="AO454" s="237"/>
      <c r="AP454" s="237"/>
      <c r="AQ454" s="237"/>
      <c r="AR454" s="237"/>
      <c r="AS454" s="237"/>
      <c r="AT454" s="360">
        <v>42776</v>
      </c>
      <c r="AU454" s="91">
        <f t="shared" si="36"/>
        <v>4640000</v>
      </c>
      <c r="AV454" s="14"/>
      <c r="AW454" s="1"/>
    </row>
    <row r="455" spans="1:49" s="57" customFormat="1" ht="22.5" hidden="1" x14ac:dyDescent="0.25">
      <c r="A455" s="59"/>
      <c r="B455" s="2" t="str">
        <f>+'Base de Datos'!E455</f>
        <v>160242-0-2016</v>
      </c>
      <c r="C455" s="2" t="str">
        <f>+'Base de Datos'!F455</f>
        <v>JONATHAN ESTIBEN ZAMUDIO VARGAS</v>
      </c>
      <c r="D455" s="2">
        <f>+'Base de Datos'!G455</f>
        <v>1030642892</v>
      </c>
      <c r="E455" s="2" t="str">
        <f>+'Base de Datos'!J455</f>
        <v>160242-0-2016</v>
      </c>
      <c r="F455" s="221">
        <f>+'Base de Datos'!K455</f>
        <v>2016</v>
      </c>
      <c r="G455" s="220">
        <f>+'Base de Datos'!M455</f>
        <v>42646</v>
      </c>
      <c r="H455" s="220">
        <f>+'Base de Datos'!N455</f>
        <v>42769</v>
      </c>
      <c r="I455" s="179"/>
      <c r="J455" s="360"/>
      <c r="K455" s="237"/>
      <c r="L455" s="363"/>
      <c r="M455" s="179"/>
      <c r="N455" s="360"/>
      <c r="O455" s="179"/>
      <c r="P455" s="365"/>
      <c r="Q455" s="86">
        <f t="shared" si="34"/>
        <v>0</v>
      </c>
      <c r="R455" s="284"/>
      <c r="S455" s="360"/>
      <c r="T455" s="179"/>
      <c r="U455" s="360"/>
      <c r="V455" s="179"/>
      <c r="W455" s="360"/>
      <c r="X455" s="179"/>
      <c r="Y455" s="360"/>
      <c r="Z455" s="353"/>
      <c r="AA455" s="89">
        <f t="shared" si="35"/>
        <v>0</v>
      </c>
      <c r="AB455" s="237">
        <v>1120000</v>
      </c>
      <c r="AC455" s="237">
        <v>1200000</v>
      </c>
      <c r="AD455" s="237">
        <v>1200000</v>
      </c>
      <c r="AE455" s="237">
        <v>1280000</v>
      </c>
      <c r="AF455" s="237"/>
      <c r="AG455" s="237"/>
      <c r="AH455" s="237"/>
      <c r="AI455" s="237"/>
      <c r="AJ455" s="237"/>
      <c r="AK455" s="237"/>
      <c r="AL455" s="237"/>
      <c r="AM455" s="237"/>
      <c r="AN455" s="237"/>
      <c r="AO455" s="237"/>
      <c r="AP455" s="237"/>
      <c r="AQ455" s="237"/>
      <c r="AR455" s="237"/>
      <c r="AS455" s="237"/>
      <c r="AT455" s="360">
        <v>42787</v>
      </c>
      <c r="AU455" s="91">
        <f t="shared" si="36"/>
        <v>4800000</v>
      </c>
      <c r="AV455" s="14"/>
      <c r="AW455" s="1"/>
    </row>
    <row r="456" spans="1:49" s="57" customFormat="1" ht="45" hidden="1" x14ac:dyDescent="0.25">
      <c r="A456" s="59"/>
      <c r="B456" s="2" t="str">
        <f>+'Base de Datos'!E456</f>
        <v>160231-0-2016</v>
      </c>
      <c r="C456" s="2" t="str">
        <f>+'Base de Datos'!F456</f>
        <v>BOBINADOS Y SUMINISTROS S.A.S</v>
      </c>
      <c r="D456" s="2" t="str">
        <f>+'Base de Datos'!G456</f>
        <v>900595845-4</v>
      </c>
      <c r="E456" s="2" t="str">
        <f>+'Base de Datos'!H456</f>
        <v>Prestar el servicio de almacenamiento para los tanques de almacenamiento y equipos de bombeo hidráulicos de agua potable, residual y aguas negras del Concejo de Bogotá D.C.</v>
      </c>
      <c r="F456" s="221">
        <f>+'Base de Datos'!I456</f>
        <v>5150000</v>
      </c>
      <c r="G456" s="220">
        <f>+'Base de Datos'!M456</f>
        <v>42649</v>
      </c>
      <c r="H456" s="220">
        <f>+'Base de Datos'!N456</f>
        <v>42831</v>
      </c>
      <c r="I456" s="179"/>
      <c r="J456" s="360"/>
      <c r="K456" s="237"/>
      <c r="L456" s="363"/>
      <c r="M456" s="179"/>
      <c r="N456" s="360"/>
      <c r="O456" s="179"/>
      <c r="P456" s="365"/>
      <c r="Q456" s="86">
        <f t="shared" si="34"/>
        <v>0</v>
      </c>
      <c r="R456" s="284"/>
      <c r="S456" s="360"/>
      <c r="T456" s="179"/>
      <c r="U456" s="360"/>
      <c r="V456" s="179"/>
      <c r="W456" s="360"/>
      <c r="X456" s="179"/>
      <c r="Y456" s="360"/>
      <c r="Z456" s="353"/>
      <c r="AA456" s="89">
        <f t="shared" si="35"/>
        <v>0</v>
      </c>
      <c r="AB456" s="237"/>
      <c r="AC456" s="237"/>
      <c r="AD456" s="237"/>
      <c r="AE456" s="237"/>
      <c r="AF456" s="237"/>
      <c r="AG456" s="237"/>
      <c r="AH456" s="237"/>
      <c r="AI456" s="237"/>
      <c r="AJ456" s="237"/>
      <c r="AK456" s="237"/>
      <c r="AL456" s="237"/>
      <c r="AM456" s="237"/>
      <c r="AN456" s="237"/>
      <c r="AO456" s="237"/>
      <c r="AP456" s="237"/>
      <c r="AQ456" s="237"/>
      <c r="AR456" s="237"/>
      <c r="AS456" s="237"/>
      <c r="AT456" s="360"/>
      <c r="AU456" s="91">
        <f t="shared" si="36"/>
        <v>0</v>
      </c>
      <c r="AV456" s="14"/>
      <c r="AW456" s="1"/>
    </row>
    <row r="457" spans="1:49" s="57" customFormat="1" ht="22.5" hidden="1" x14ac:dyDescent="0.25">
      <c r="A457" s="59"/>
      <c r="B457" s="2" t="str">
        <f>+'Base de Datos'!E457</f>
        <v>160245-0-2016</v>
      </c>
      <c r="C457" s="2" t="str">
        <f>+'Base de Datos'!F457</f>
        <v>EDITORIAL EL GLOBO S.A.</v>
      </c>
      <c r="D457" s="2">
        <f>+'Base de Datos'!G457</f>
        <v>860009759</v>
      </c>
      <c r="E457" s="2" t="str">
        <f>+'Base de Datos'!H457</f>
        <v>Suscripción al diario La República para el Concejo de Bogotá D.C.</v>
      </c>
      <c r="F457" s="221">
        <f>+'Base de Datos'!I457</f>
        <v>817587</v>
      </c>
      <c r="G457" s="220">
        <f>+'Base de Datos'!M457</f>
        <v>42703</v>
      </c>
      <c r="H457" s="220">
        <f>+'Base de Datos'!N457</f>
        <v>43068</v>
      </c>
      <c r="I457" s="179"/>
      <c r="J457" s="360"/>
      <c r="K457" s="237"/>
      <c r="L457" s="363"/>
      <c r="M457" s="179"/>
      <c r="N457" s="360"/>
      <c r="O457" s="179"/>
      <c r="P457" s="365"/>
      <c r="Q457" s="86">
        <f t="shared" si="34"/>
        <v>0</v>
      </c>
      <c r="R457" s="284"/>
      <c r="S457" s="360"/>
      <c r="T457" s="179"/>
      <c r="U457" s="360"/>
      <c r="V457" s="179"/>
      <c r="W457" s="360"/>
      <c r="X457" s="179"/>
      <c r="Y457" s="360"/>
      <c r="Z457" s="353"/>
      <c r="AA457" s="89">
        <f t="shared" si="35"/>
        <v>0</v>
      </c>
      <c r="AB457" s="237">
        <v>817587</v>
      </c>
      <c r="AC457" s="237"/>
      <c r="AD457" s="237"/>
      <c r="AE457" s="237"/>
      <c r="AF457" s="237"/>
      <c r="AG457" s="237"/>
      <c r="AH457" s="237"/>
      <c r="AI457" s="237"/>
      <c r="AJ457" s="237"/>
      <c r="AK457" s="237"/>
      <c r="AL457" s="237"/>
      <c r="AM457" s="237"/>
      <c r="AN457" s="237"/>
      <c r="AO457" s="237"/>
      <c r="AP457" s="237"/>
      <c r="AQ457" s="237"/>
      <c r="AR457" s="237"/>
      <c r="AS457" s="237"/>
      <c r="AT457" s="360">
        <v>42716</v>
      </c>
      <c r="AU457" s="91">
        <f t="shared" si="36"/>
        <v>817587</v>
      </c>
      <c r="AV457" s="14"/>
      <c r="AW457" s="1"/>
    </row>
    <row r="458" spans="1:49" s="57" customFormat="1" ht="45" hidden="1" x14ac:dyDescent="0.25">
      <c r="A458" s="59"/>
      <c r="B458" s="2" t="str">
        <f>+'Base de Datos'!E458</f>
        <v>160244-0-2016</v>
      </c>
      <c r="C458" s="2" t="str">
        <f>+'Base de Datos'!F458</f>
        <v>CLAUDIA VIVIANA VANEGAS BELTRAN</v>
      </c>
      <c r="D458" s="2">
        <f>+'Base de Datos'!G458</f>
        <v>51908487</v>
      </c>
      <c r="E458" s="2" t="str">
        <f>+'Base de Datos'!H458</f>
        <v>Prestar servicios profesionales para apoyar el Concejo de Bogotá en el enlace con la Unidad Ejecutora 04 de la Secretaria de Hacienda para la liquidación y cierre de los expedientes contractuales.</v>
      </c>
      <c r="F458" s="221">
        <f>+'Base de Datos'!I458</f>
        <v>22000000</v>
      </c>
      <c r="G458" s="220">
        <f>+'Base de Datos'!M458</f>
        <v>42646</v>
      </c>
      <c r="H458" s="220">
        <f>+'Base de Datos'!N458</f>
        <v>42769</v>
      </c>
      <c r="I458" s="179"/>
      <c r="J458" s="360"/>
      <c r="K458" s="237"/>
      <c r="L458" s="363"/>
      <c r="M458" s="179"/>
      <c r="N458" s="360"/>
      <c r="O458" s="179"/>
      <c r="P458" s="365"/>
      <c r="Q458" s="86">
        <f t="shared" si="34"/>
        <v>0</v>
      </c>
      <c r="R458" s="284"/>
      <c r="S458" s="360"/>
      <c r="T458" s="179"/>
      <c r="U458" s="360"/>
      <c r="V458" s="179"/>
      <c r="W458" s="360"/>
      <c r="X458" s="179"/>
      <c r="Y458" s="360"/>
      <c r="Z458" s="353"/>
      <c r="AA458" s="89">
        <f t="shared" si="35"/>
        <v>0</v>
      </c>
      <c r="AB458" s="237">
        <v>5133333</v>
      </c>
      <c r="AC458" s="237">
        <v>5500000</v>
      </c>
      <c r="AD458" s="237">
        <v>5500000</v>
      </c>
      <c r="AE458" s="237">
        <v>5500000</v>
      </c>
      <c r="AF458" s="237">
        <v>366667</v>
      </c>
      <c r="AG458" s="237"/>
      <c r="AH458" s="237"/>
      <c r="AI458" s="237"/>
      <c r="AJ458" s="237"/>
      <c r="AK458" s="237"/>
      <c r="AL458" s="237"/>
      <c r="AM458" s="237"/>
      <c r="AN458" s="237"/>
      <c r="AO458" s="237"/>
      <c r="AP458" s="237"/>
      <c r="AQ458" s="237"/>
      <c r="AR458" s="237"/>
      <c r="AS458" s="237"/>
      <c r="AT458" s="360">
        <v>42803</v>
      </c>
      <c r="AU458" s="91">
        <f t="shared" si="36"/>
        <v>22000000</v>
      </c>
      <c r="AV458" s="14"/>
      <c r="AW458" s="1"/>
    </row>
    <row r="459" spans="1:49" s="57" customFormat="1" ht="45" hidden="1" x14ac:dyDescent="0.25">
      <c r="A459" s="59"/>
      <c r="B459" s="2" t="str">
        <f>+'Base de Datos'!E459</f>
        <v>160241-0-2016</v>
      </c>
      <c r="C459" s="2" t="str">
        <f>+'Base de Datos'!F459</f>
        <v>GIOVANNI SUAREZ USECHE</v>
      </c>
      <c r="D459" s="2">
        <f>+'Base de Datos'!G459</f>
        <v>79615371</v>
      </c>
      <c r="E459" s="2" t="str">
        <f>+'Base de Datos'!H459</f>
        <v>Prestar servicios profesionales para apoyar el Concejo de Bogotá en el enlace con la Unidad Ejecutora 04 de la Secretaria de Hacienda para la liquidación y cierre de los expedientes contractuales.</v>
      </c>
      <c r="F459" s="221">
        <f>+'Base de Datos'!I459</f>
        <v>22000000</v>
      </c>
      <c r="G459" s="220">
        <f>+'Base de Datos'!M459</f>
        <v>42646</v>
      </c>
      <c r="H459" s="220">
        <f>+'Base de Datos'!N459</f>
        <v>42769</v>
      </c>
      <c r="I459" s="179"/>
      <c r="J459" s="360"/>
      <c r="K459" s="237"/>
      <c r="L459" s="363"/>
      <c r="M459" s="179"/>
      <c r="N459" s="360"/>
      <c r="O459" s="179"/>
      <c r="P459" s="365"/>
      <c r="Q459" s="86">
        <f t="shared" si="34"/>
        <v>0</v>
      </c>
      <c r="R459" s="284"/>
      <c r="S459" s="360"/>
      <c r="T459" s="179"/>
      <c r="U459" s="360"/>
      <c r="V459" s="179"/>
      <c r="W459" s="360"/>
      <c r="X459" s="179"/>
      <c r="Y459" s="360"/>
      <c r="Z459" s="353"/>
      <c r="AA459" s="89">
        <f t="shared" si="35"/>
        <v>0</v>
      </c>
      <c r="AB459" s="237">
        <v>5133333</v>
      </c>
      <c r="AC459" s="237">
        <v>5500000</v>
      </c>
      <c r="AD459" s="237">
        <v>5500000</v>
      </c>
      <c r="AE459" s="237">
        <v>5500000</v>
      </c>
      <c r="AF459" s="237">
        <v>366667</v>
      </c>
      <c r="AG459" s="237"/>
      <c r="AH459" s="237"/>
      <c r="AI459" s="237"/>
      <c r="AJ459" s="237"/>
      <c r="AK459" s="237"/>
      <c r="AL459" s="237"/>
      <c r="AM459" s="237"/>
      <c r="AN459" s="237"/>
      <c r="AO459" s="237"/>
      <c r="AP459" s="237"/>
      <c r="AQ459" s="237"/>
      <c r="AR459" s="237"/>
      <c r="AS459" s="237"/>
      <c r="AT459" s="360">
        <v>42788</v>
      </c>
      <c r="AU459" s="91">
        <f t="shared" si="36"/>
        <v>22000000</v>
      </c>
      <c r="AV459" s="14"/>
      <c r="AW459" s="1"/>
    </row>
    <row r="460" spans="1:49" s="57" customFormat="1" ht="45" hidden="1" x14ac:dyDescent="0.25">
      <c r="A460" s="59"/>
      <c r="B460" s="2" t="str">
        <f>+'Base de Datos'!E460</f>
        <v>160240-0-2016</v>
      </c>
      <c r="C460" s="2" t="str">
        <f>+'Base de Datos'!F460</f>
        <v>DORA PINILLA HERNANDEZ</v>
      </c>
      <c r="D460" s="2">
        <f>+'Base de Datos'!G460</f>
        <v>51976235</v>
      </c>
      <c r="E460" s="2" t="str">
        <f>+'Base de Datos'!H460</f>
        <v>Prestar servicios profesionales para apoyar el Concejo de Bogotá en el enlace con la Unidad Ejecutora 04 de la Secretaria de Hacienda para la liquidación y cierre de los expedientes contractuales.</v>
      </c>
      <c r="F460" s="221">
        <f>+'Base de Datos'!I460</f>
        <v>22000000</v>
      </c>
      <c r="G460" s="220">
        <f>+'Base de Datos'!M460</f>
        <v>42646</v>
      </c>
      <c r="H460" s="220">
        <f>+'Base de Datos'!N460</f>
        <v>42769</v>
      </c>
      <c r="I460" s="179"/>
      <c r="J460" s="360"/>
      <c r="K460" s="237"/>
      <c r="L460" s="363"/>
      <c r="M460" s="179"/>
      <c r="N460" s="360"/>
      <c r="O460" s="179"/>
      <c r="P460" s="365"/>
      <c r="Q460" s="86">
        <f t="shared" si="34"/>
        <v>0</v>
      </c>
      <c r="R460" s="284"/>
      <c r="S460" s="360"/>
      <c r="T460" s="179"/>
      <c r="U460" s="360"/>
      <c r="V460" s="179"/>
      <c r="W460" s="360"/>
      <c r="X460" s="179"/>
      <c r="Y460" s="360"/>
      <c r="Z460" s="353"/>
      <c r="AA460" s="89">
        <f t="shared" si="35"/>
        <v>0</v>
      </c>
      <c r="AB460" s="237">
        <v>5133333</v>
      </c>
      <c r="AC460" s="237">
        <v>5500000</v>
      </c>
      <c r="AD460" s="237">
        <v>5500000</v>
      </c>
      <c r="AE460" s="237">
        <v>5500000</v>
      </c>
      <c r="AF460" s="237">
        <v>366667</v>
      </c>
      <c r="AG460" s="237"/>
      <c r="AH460" s="237"/>
      <c r="AI460" s="237"/>
      <c r="AJ460" s="237"/>
      <c r="AK460" s="237"/>
      <c r="AL460" s="237"/>
      <c r="AM460" s="237"/>
      <c r="AN460" s="237"/>
      <c r="AO460" s="237"/>
      <c r="AP460" s="237"/>
      <c r="AQ460" s="237"/>
      <c r="AR460" s="237"/>
      <c r="AS460" s="237"/>
      <c r="AT460" s="360">
        <v>42804</v>
      </c>
      <c r="AU460" s="91">
        <f t="shared" si="36"/>
        <v>22000000</v>
      </c>
      <c r="AV460" s="14"/>
      <c r="AW460" s="1"/>
    </row>
    <row r="461" spans="1:49" s="57" customFormat="1" ht="56.25" hidden="1" x14ac:dyDescent="0.25">
      <c r="A461" s="59"/>
      <c r="B461" s="2" t="str">
        <f>+'Base de Datos'!E461</f>
        <v>160250-0-2016</v>
      </c>
      <c r="C461" s="2" t="str">
        <f>+'Base de Datos'!F461</f>
        <v>SEAN ELECTRONICA LIMITADA</v>
      </c>
      <c r="D461" s="2">
        <f>+'Base de Datos'!G461</f>
        <v>830124848</v>
      </c>
      <c r="E461" s="2" t="str">
        <f>+'Base de Datos'!H461</f>
        <v>Prestar los servicios de mantenimiento, soporte y actualización con el suministro de repuestos para la infraestructura de telecomunicaciones, cableado estructurado (voz y datos), fibra óptica, energía normal y regulada para el Concejo de Bogotá.</v>
      </c>
      <c r="F461" s="221">
        <f>+'Base de Datos'!I461</f>
        <v>17275885</v>
      </c>
      <c r="G461" s="220">
        <f>+'Base de Datos'!M461</f>
        <v>42664</v>
      </c>
      <c r="H461" s="220">
        <f>+'Base de Datos'!N461</f>
        <v>42815</v>
      </c>
      <c r="I461" s="179">
        <v>8638000</v>
      </c>
      <c r="J461" s="360">
        <v>42818</v>
      </c>
      <c r="K461" s="237"/>
      <c r="L461" s="363"/>
      <c r="M461" s="179"/>
      <c r="N461" s="360"/>
      <c r="O461" s="179"/>
      <c r="P461" s="365"/>
      <c r="Q461" s="86">
        <f t="shared" si="34"/>
        <v>8638000</v>
      </c>
      <c r="R461" s="284" t="s">
        <v>378</v>
      </c>
      <c r="S461" s="360">
        <v>42880</v>
      </c>
      <c r="T461" s="179"/>
      <c r="U461" s="360"/>
      <c r="V461" s="179"/>
      <c r="W461" s="360"/>
      <c r="X461" s="179"/>
      <c r="Y461" s="360"/>
      <c r="Z461" s="353" t="s">
        <v>378</v>
      </c>
      <c r="AA461" s="89">
        <f t="shared" si="35"/>
        <v>42880</v>
      </c>
      <c r="AB461" s="237">
        <v>2063584</v>
      </c>
      <c r="AC461" s="237">
        <v>1235312</v>
      </c>
      <c r="AD461" s="237">
        <v>1724071</v>
      </c>
      <c r="AE461" s="237">
        <v>11997227</v>
      </c>
      <c r="AF461" s="237">
        <v>2973447</v>
      </c>
      <c r="AG461" s="237">
        <v>2417129</v>
      </c>
      <c r="AH461" s="237">
        <v>255691</v>
      </c>
      <c r="AI461" s="237">
        <v>3247395</v>
      </c>
      <c r="AJ461" s="237"/>
      <c r="AK461" s="237"/>
      <c r="AL461" s="237"/>
      <c r="AM461" s="237"/>
      <c r="AN461" s="237"/>
      <c r="AO461" s="237"/>
      <c r="AP461" s="237"/>
      <c r="AQ461" s="237"/>
      <c r="AR461" s="237"/>
      <c r="AS461" s="237"/>
      <c r="AT461" s="360">
        <v>42935</v>
      </c>
      <c r="AU461" s="91">
        <f t="shared" si="36"/>
        <v>25913856</v>
      </c>
      <c r="AV461" s="14"/>
      <c r="AW461" s="1"/>
    </row>
    <row r="462" spans="1:49" s="57" customFormat="1" ht="22.5" hidden="1" x14ac:dyDescent="0.25">
      <c r="A462" s="59"/>
      <c r="B462" s="2" t="str">
        <f>+'Base de Datos'!E462</f>
        <v>160243-0-2016</v>
      </c>
      <c r="C462" s="2" t="str">
        <f>+'Base de Datos'!F462</f>
        <v>BUSINESSMIND COLOMBIA S.A.</v>
      </c>
      <c r="D462" s="2" t="str">
        <f>+'Base de Datos'!G462</f>
        <v>900105979-1</v>
      </c>
      <c r="E462" s="2" t="str">
        <f>+'Base de Datos'!H462</f>
        <v>Prestar servicios de administración y soporte técnico para la plataforma oracle del Concejo de Bogotá, D.C.</v>
      </c>
      <c r="F462" s="221">
        <f>+'Base de Datos'!I462</f>
        <v>46980000</v>
      </c>
      <c r="G462" s="220">
        <f>+'Base de Datos'!M462</f>
        <v>42664</v>
      </c>
      <c r="H462" s="220">
        <f>+'Base de Datos'!N462</f>
        <v>42815</v>
      </c>
      <c r="I462" s="179"/>
      <c r="J462" s="360"/>
      <c r="K462" s="237"/>
      <c r="L462" s="363"/>
      <c r="M462" s="179"/>
      <c r="N462" s="360"/>
      <c r="O462" s="179"/>
      <c r="P462" s="365"/>
      <c r="Q462" s="86">
        <f t="shared" si="34"/>
        <v>0</v>
      </c>
      <c r="R462" s="284"/>
      <c r="S462" s="360"/>
      <c r="T462" s="179"/>
      <c r="U462" s="360"/>
      <c r="V462" s="179"/>
      <c r="W462" s="360"/>
      <c r="X462" s="179"/>
      <c r="Y462" s="360"/>
      <c r="Z462" s="353"/>
      <c r="AA462" s="89">
        <f t="shared" si="35"/>
        <v>0</v>
      </c>
      <c r="AB462" s="237">
        <v>9396000</v>
      </c>
      <c r="AC462" s="237">
        <v>9396000</v>
      </c>
      <c r="AD462" s="237">
        <v>9396000</v>
      </c>
      <c r="AE462" s="237">
        <v>9396000</v>
      </c>
      <c r="AF462" s="237">
        <v>9396000</v>
      </c>
      <c r="AG462" s="237"/>
      <c r="AH462" s="237"/>
      <c r="AI462" s="237"/>
      <c r="AJ462" s="237"/>
      <c r="AK462" s="237"/>
      <c r="AL462" s="237"/>
      <c r="AM462" s="237"/>
      <c r="AN462" s="237"/>
      <c r="AO462" s="237"/>
      <c r="AP462" s="237"/>
      <c r="AQ462" s="237"/>
      <c r="AR462" s="237"/>
      <c r="AS462" s="237"/>
      <c r="AT462" s="360">
        <v>42850</v>
      </c>
      <c r="AU462" s="91">
        <f t="shared" si="36"/>
        <v>46980000</v>
      </c>
      <c r="AV462" s="14"/>
      <c r="AW462" s="1"/>
    </row>
    <row r="463" spans="1:49" s="57" customFormat="1" ht="45" hidden="1" x14ac:dyDescent="0.25">
      <c r="A463" s="59"/>
      <c r="B463" s="2" t="str">
        <f>+'Base de Datos'!E463</f>
        <v>160248-0-2016</v>
      </c>
      <c r="C463" s="2" t="str">
        <f>+'Base de Datos'!F463</f>
        <v>INGEAL S.A.</v>
      </c>
      <c r="D463" s="2">
        <f>+'Base de Datos'!G463</f>
        <v>800039398</v>
      </c>
      <c r="E463" s="2" t="str">
        <f>+'Base de Datos'!H463</f>
        <v xml:space="preserve">Suministrar los servicios de mantenimiento preventivo y correctivo con repuestos y bienes fungibles para los elementos del centro de cableado del Concejo de Bogotá D.C. </v>
      </c>
      <c r="F463" s="221">
        <f>+'Base de Datos'!I463</f>
        <v>132050000</v>
      </c>
      <c r="G463" s="220">
        <f>+'Base de Datos'!M463</f>
        <v>42678</v>
      </c>
      <c r="H463" s="220">
        <f>+'Base de Datos'!N463</f>
        <v>43043</v>
      </c>
      <c r="I463" s="179"/>
      <c r="J463" s="360"/>
      <c r="K463" s="237"/>
      <c r="L463" s="363"/>
      <c r="M463" s="179"/>
      <c r="N463" s="360"/>
      <c r="O463" s="179"/>
      <c r="P463" s="365"/>
      <c r="Q463" s="86">
        <f t="shared" si="34"/>
        <v>0</v>
      </c>
      <c r="R463" s="284"/>
      <c r="S463" s="360"/>
      <c r="T463" s="179"/>
      <c r="U463" s="360"/>
      <c r="V463" s="179"/>
      <c r="W463" s="360"/>
      <c r="X463" s="179"/>
      <c r="Y463" s="360"/>
      <c r="Z463" s="353"/>
      <c r="AA463" s="89">
        <f t="shared" si="35"/>
        <v>0</v>
      </c>
      <c r="AB463" s="237">
        <v>32938618</v>
      </c>
      <c r="AC463" s="237">
        <v>7740680</v>
      </c>
      <c r="AD463" s="237">
        <v>32938618</v>
      </c>
      <c r="AE463" s="237">
        <v>43918157</v>
      </c>
      <c r="AF463" s="237">
        <v>5048320</v>
      </c>
      <c r="AG463" s="237"/>
      <c r="AH463" s="237"/>
      <c r="AI463" s="237"/>
      <c r="AJ463" s="237"/>
      <c r="AK463" s="237"/>
      <c r="AL463" s="237"/>
      <c r="AM463" s="237"/>
      <c r="AN463" s="237"/>
      <c r="AO463" s="237"/>
      <c r="AP463" s="237"/>
      <c r="AQ463" s="237"/>
      <c r="AR463" s="237"/>
      <c r="AS463" s="237"/>
      <c r="AT463" s="360">
        <v>43066</v>
      </c>
      <c r="AU463" s="91">
        <f t="shared" si="36"/>
        <v>122584393</v>
      </c>
      <c r="AV463" s="14"/>
      <c r="AW463" s="1"/>
    </row>
    <row r="464" spans="1:49" s="57" customFormat="1" ht="45" hidden="1" x14ac:dyDescent="0.25">
      <c r="A464" s="59"/>
      <c r="B464" s="2" t="str">
        <f>+'Base de Datos'!E464</f>
        <v>160255-0-2016</v>
      </c>
      <c r="C464" s="2" t="str">
        <f>+'Base de Datos'!F464</f>
        <v>INTERAMERICANA DE SISTEMAS Y SEGURIDAD S.A. INTERSEG SA</v>
      </c>
      <c r="D464" s="2" t="str">
        <f>+'Base de Datos'!G464</f>
        <v>800090427-8</v>
      </c>
      <c r="E464" s="2" t="str">
        <f>+'Base de Datos'!H464</f>
        <v xml:space="preserve">Prestar los servicios de mantenimiento y soporte a la plataforma del sistema de voto electrónico del Concejo de Bogotá, D.C., de conformidad con lo establecido en el pliego de condiciones del proceso SDH-SIE-15-2016 </v>
      </c>
      <c r="F464" s="221">
        <f>+'Base de Datos'!I464</f>
        <v>173000000</v>
      </c>
      <c r="G464" s="220">
        <f>+'Base de Datos'!M464</f>
        <v>42670</v>
      </c>
      <c r="H464" s="220">
        <f>+'Base de Datos'!N464</f>
        <v>43035</v>
      </c>
      <c r="I464" s="179"/>
      <c r="J464" s="360"/>
      <c r="K464" s="237"/>
      <c r="L464" s="363"/>
      <c r="M464" s="179"/>
      <c r="N464" s="360"/>
      <c r="O464" s="179"/>
      <c r="P464" s="365"/>
      <c r="Q464" s="86">
        <f t="shared" si="34"/>
        <v>0</v>
      </c>
      <c r="R464" s="284" t="s">
        <v>2458</v>
      </c>
      <c r="S464" s="360">
        <v>43128</v>
      </c>
      <c r="T464" s="179" t="s">
        <v>3848</v>
      </c>
      <c r="U464" s="360">
        <v>43159</v>
      </c>
      <c r="V464" s="179"/>
      <c r="W464" s="360"/>
      <c r="X464" s="179"/>
      <c r="Y464" s="360"/>
      <c r="Z464" s="353" t="s">
        <v>2444</v>
      </c>
      <c r="AA464" s="89">
        <f t="shared" si="35"/>
        <v>43159</v>
      </c>
      <c r="AB464" s="237">
        <v>30725025</v>
      </c>
      <c r="AC464" s="237">
        <v>30725025</v>
      </c>
      <c r="AD464" s="237">
        <v>30725025</v>
      </c>
      <c r="AE464" s="237">
        <v>18222321</v>
      </c>
      <c r="AF464" s="237">
        <v>4329417</v>
      </c>
      <c r="AG464" s="237"/>
      <c r="AH464" s="237"/>
      <c r="AI464" s="237"/>
      <c r="AJ464" s="237"/>
      <c r="AK464" s="237"/>
      <c r="AL464" s="237"/>
      <c r="AM464" s="237"/>
      <c r="AN464" s="237"/>
      <c r="AO464" s="237"/>
      <c r="AP464" s="237"/>
      <c r="AQ464" s="237"/>
      <c r="AR464" s="237"/>
      <c r="AS464" s="237"/>
      <c r="AT464" s="360">
        <v>43263</v>
      </c>
      <c r="AU464" s="91">
        <f t="shared" si="36"/>
        <v>114726813</v>
      </c>
      <c r="AV464" s="14"/>
      <c r="AW464" s="1"/>
    </row>
    <row r="465" spans="1:49" s="57" customFormat="1" ht="33.75" hidden="1" x14ac:dyDescent="0.25">
      <c r="A465" s="59"/>
      <c r="B465" s="2" t="str">
        <f>+'Base de Datos'!E465</f>
        <v>160260-0-2016</v>
      </c>
      <c r="C465" s="2" t="str">
        <f>+'Base de Datos'!F465</f>
        <v>MAP INGENIEROS Y/O MARIA FERNANDA CORTES EU</v>
      </c>
      <c r="D465" s="2" t="str">
        <f>+'Base de Datos'!G465</f>
        <v>830135234-8</v>
      </c>
      <c r="E465" s="2" t="str">
        <f>+'Base de Datos'!H465</f>
        <v>Adquisición de elementos ergonómicos para adecuar los puestos de trabajo de los funcionarios del Concejo de Bogotá, D.C.</v>
      </c>
      <c r="F465" s="221">
        <f>+'Base de Datos'!I465</f>
        <v>14583984</v>
      </c>
      <c r="G465" s="220">
        <f>+'Base de Datos'!M465</f>
        <v>42690</v>
      </c>
      <c r="H465" s="220">
        <f>+'Base de Datos'!N465</f>
        <v>42766</v>
      </c>
      <c r="I465" s="179"/>
      <c r="J465" s="360"/>
      <c r="K465" s="237"/>
      <c r="L465" s="363"/>
      <c r="M465" s="179"/>
      <c r="N465" s="360"/>
      <c r="O465" s="179"/>
      <c r="P465" s="365"/>
      <c r="Q465" s="86">
        <f t="shared" si="34"/>
        <v>0</v>
      </c>
      <c r="R465" s="284"/>
      <c r="S465" s="360"/>
      <c r="T465" s="179"/>
      <c r="U465" s="360"/>
      <c r="V465" s="179"/>
      <c r="W465" s="360"/>
      <c r="X465" s="179"/>
      <c r="Y465" s="360"/>
      <c r="Z465" s="353"/>
      <c r="AA465" s="89">
        <f t="shared" si="35"/>
        <v>0</v>
      </c>
      <c r="AB465" s="237">
        <v>14583984</v>
      </c>
      <c r="AC465" s="237"/>
      <c r="AD465" s="237"/>
      <c r="AE465" s="237"/>
      <c r="AF465" s="237"/>
      <c r="AG465" s="237"/>
      <c r="AH465" s="237"/>
      <c r="AI465" s="237"/>
      <c r="AJ465" s="237"/>
      <c r="AK465" s="237"/>
      <c r="AL465" s="237"/>
      <c r="AM465" s="237"/>
      <c r="AN465" s="237"/>
      <c r="AO465" s="237"/>
      <c r="AP465" s="237"/>
      <c r="AQ465" s="237"/>
      <c r="AR465" s="237"/>
      <c r="AS465" s="237"/>
      <c r="AT465" s="360">
        <v>42725</v>
      </c>
      <c r="AU465" s="91">
        <f t="shared" si="36"/>
        <v>14583984</v>
      </c>
      <c r="AV465" s="14"/>
      <c r="AW465" s="1"/>
    </row>
    <row r="466" spans="1:49" s="57" customFormat="1" ht="56.25" hidden="1" x14ac:dyDescent="0.25">
      <c r="A466" s="59"/>
      <c r="B466" s="2" t="str">
        <f>+'Base de Datos'!E466</f>
        <v>160269-0-2016</v>
      </c>
      <c r="C466" s="2" t="str">
        <f>+'Base de Datos'!F466</f>
        <v>EMPRESA DE TELECOMUNICACIONES DE BOGOTA S.A.   ESP</v>
      </c>
      <c r="D466" s="2" t="str">
        <f>+'Base de Datos'!G466</f>
        <v>899999115-8</v>
      </c>
      <c r="E466" s="2" t="str">
        <f>+'Base de Datos'!H466</f>
        <v>Contratar el Outsourcing Integral para los servicios de Gestión de Mesa de Ayuda, Gestión de Impresión para el Concejo de Bogotá, de conformidad con los documentos previos y la oferta económica, que hacen parte integral del presente contrato.</v>
      </c>
      <c r="F466" s="221">
        <f>+'Base de Datos'!I466</f>
        <v>103330468</v>
      </c>
      <c r="G466" s="220">
        <f>+'Base de Datos'!M466</f>
        <v>42689</v>
      </c>
      <c r="H466" s="220">
        <f>+'Base de Datos'!N466</f>
        <v>42781</v>
      </c>
      <c r="I466" s="179">
        <v>31914729</v>
      </c>
      <c r="J466" s="360">
        <v>42781</v>
      </c>
      <c r="K466" s="237">
        <v>17021189</v>
      </c>
      <c r="L466" s="363">
        <v>42809</v>
      </c>
      <c r="M466" s="179"/>
      <c r="N466" s="360"/>
      <c r="O466" s="179"/>
      <c r="P466" s="365"/>
      <c r="Q466" s="86">
        <f t="shared" si="34"/>
        <v>48935918</v>
      </c>
      <c r="R466" s="284" t="s">
        <v>381</v>
      </c>
      <c r="S466" s="360">
        <v>42809</v>
      </c>
      <c r="T466" s="178" t="s">
        <v>2846</v>
      </c>
      <c r="U466" s="360">
        <v>42825</v>
      </c>
      <c r="V466" s="179"/>
      <c r="W466" s="360"/>
      <c r="X466" s="179"/>
      <c r="Y466" s="360"/>
      <c r="Z466" s="353" t="s">
        <v>2847</v>
      </c>
      <c r="AA466" s="89">
        <f t="shared" si="35"/>
        <v>42825</v>
      </c>
      <c r="AB466" s="237">
        <v>24156118</v>
      </c>
      <c r="AC466" s="237">
        <v>20597786</v>
      </c>
      <c r="AD466" s="237">
        <v>27523195</v>
      </c>
      <c r="AE466" s="237">
        <v>30406442</v>
      </c>
      <c r="AF466" s="237">
        <v>13702795</v>
      </c>
      <c r="AG466" s="237"/>
      <c r="AH466" s="237"/>
      <c r="AI466" s="237"/>
      <c r="AJ466" s="237"/>
      <c r="AK466" s="237"/>
      <c r="AL466" s="237"/>
      <c r="AM466" s="237"/>
      <c r="AN466" s="237"/>
      <c r="AO466" s="237"/>
      <c r="AP466" s="237"/>
      <c r="AQ466" s="237"/>
      <c r="AR466" s="237"/>
      <c r="AS466" s="237"/>
      <c r="AT466" s="360">
        <v>43109</v>
      </c>
      <c r="AU466" s="91">
        <f t="shared" si="36"/>
        <v>116386336</v>
      </c>
      <c r="AV466" s="14"/>
      <c r="AW466" s="1"/>
    </row>
    <row r="467" spans="1:49" s="57" customFormat="1" ht="22.5" hidden="1" x14ac:dyDescent="0.25">
      <c r="A467" s="59"/>
      <c r="B467" s="2" t="str">
        <f>+'Base de Datos'!E467</f>
        <v>160277-0-2016</v>
      </c>
      <c r="C467" s="2" t="str">
        <f>+'Base de Datos'!F467</f>
        <v>CONTROLES EMPRESARIALES LTDA</v>
      </c>
      <c r="D467" s="2">
        <f>+'Base de Datos'!G467</f>
        <v>800058607</v>
      </c>
      <c r="E467" s="2" t="str">
        <f>+'Base de Datos'!H467</f>
        <v>Adquisición de licencias de Software Microsoft para el Concejo de Bogotá, D.C.</v>
      </c>
      <c r="F467" s="221">
        <f>+'Base de Datos'!I467</f>
        <v>112554160</v>
      </c>
      <c r="G467" s="220">
        <f>+'Base de Datos'!M467</f>
        <v>42696</v>
      </c>
      <c r="H467" s="220">
        <f>+'Base de Datos'!N467</f>
        <v>42726</v>
      </c>
      <c r="I467" s="179"/>
      <c r="J467" s="360"/>
      <c r="K467" s="237"/>
      <c r="L467" s="363"/>
      <c r="M467" s="179"/>
      <c r="N467" s="360"/>
      <c r="O467" s="179"/>
      <c r="P467" s="365"/>
      <c r="Q467" s="86">
        <f t="shared" si="34"/>
        <v>0</v>
      </c>
      <c r="R467" s="284"/>
      <c r="S467" s="360"/>
      <c r="T467" s="179"/>
      <c r="U467" s="360"/>
      <c r="V467" s="179"/>
      <c r="W467" s="360"/>
      <c r="X467" s="179"/>
      <c r="Y467" s="360"/>
      <c r="Z467" s="353"/>
      <c r="AA467" s="89">
        <f t="shared" si="35"/>
        <v>0</v>
      </c>
      <c r="AB467" s="237">
        <v>112554160</v>
      </c>
      <c r="AC467" s="237"/>
      <c r="AD467" s="237"/>
      <c r="AE467" s="237"/>
      <c r="AF467" s="237"/>
      <c r="AG467" s="237"/>
      <c r="AH467" s="237"/>
      <c r="AI467" s="237"/>
      <c r="AJ467" s="237"/>
      <c r="AK467" s="237"/>
      <c r="AL467" s="237"/>
      <c r="AM467" s="237"/>
      <c r="AN467" s="237"/>
      <c r="AO467" s="237"/>
      <c r="AP467" s="237"/>
      <c r="AQ467" s="237"/>
      <c r="AR467" s="237"/>
      <c r="AS467" s="237"/>
      <c r="AT467" s="360"/>
      <c r="AU467" s="91">
        <f t="shared" si="36"/>
        <v>112554160</v>
      </c>
      <c r="AV467" s="14"/>
      <c r="AW467" s="1"/>
    </row>
    <row r="468" spans="1:49" s="57" customFormat="1" ht="22.5" hidden="1" x14ac:dyDescent="0.25">
      <c r="A468" s="59"/>
      <c r="B468" s="2" t="str">
        <f>+'Base de Datos'!E468</f>
        <v>160282-0-2016</v>
      </c>
      <c r="C468" s="2" t="str">
        <f>+'Base de Datos'!F468</f>
        <v>SOLUCIONES H &amp; S  S.A.S</v>
      </c>
      <c r="D468" s="2">
        <f>+'Base de Datos'!G468</f>
        <v>900699012</v>
      </c>
      <c r="E468" s="2" t="str">
        <f>+'Base de Datos'!H468</f>
        <v>Prestar el servicio de alquiler, instalación y desmonte de la decoración navideña para el Concejo de Bogotá D.C.</v>
      </c>
      <c r="F468" s="221">
        <f>+'Base de Datos'!I468</f>
        <v>15999901</v>
      </c>
      <c r="G468" s="220">
        <f>+'Base de Datos'!M468</f>
        <v>42705</v>
      </c>
      <c r="H468" s="220">
        <f>+'Base de Datos'!N468</f>
        <v>42767</v>
      </c>
      <c r="I468" s="179"/>
      <c r="J468" s="360"/>
      <c r="K468" s="237"/>
      <c r="L468" s="363"/>
      <c r="M468" s="179"/>
      <c r="N468" s="360"/>
      <c r="O468" s="179"/>
      <c r="P468" s="365"/>
      <c r="Q468" s="86">
        <f t="shared" si="34"/>
        <v>0</v>
      </c>
      <c r="R468" s="284"/>
      <c r="S468" s="360"/>
      <c r="T468" s="179"/>
      <c r="U468" s="360"/>
      <c r="V468" s="179"/>
      <c r="W468" s="360"/>
      <c r="X468" s="179"/>
      <c r="Y468" s="360"/>
      <c r="Z468" s="353"/>
      <c r="AA468" s="89">
        <f t="shared" si="35"/>
        <v>0</v>
      </c>
      <c r="AB468" s="237">
        <v>15999901</v>
      </c>
      <c r="AC468" s="237"/>
      <c r="AD468" s="237"/>
      <c r="AE468" s="237"/>
      <c r="AF468" s="237"/>
      <c r="AG468" s="237"/>
      <c r="AH468" s="237"/>
      <c r="AI468" s="237"/>
      <c r="AJ468" s="237"/>
      <c r="AK468" s="237"/>
      <c r="AL468" s="237"/>
      <c r="AM468" s="237"/>
      <c r="AN468" s="237"/>
      <c r="AO468" s="237"/>
      <c r="AP468" s="237"/>
      <c r="AQ468" s="237"/>
      <c r="AR468" s="237"/>
      <c r="AS468" s="237"/>
      <c r="AT468" s="360">
        <v>42866</v>
      </c>
      <c r="AU468" s="91">
        <f t="shared" si="36"/>
        <v>15999901</v>
      </c>
      <c r="AV468" s="14"/>
      <c r="AW468" s="1"/>
    </row>
    <row r="469" spans="1:49" s="57" customFormat="1" ht="22.5" hidden="1" x14ac:dyDescent="0.25">
      <c r="A469" s="59"/>
      <c r="B469" s="2" t="str">
        <f>+'Base de Datos'!E469</f>
        <v>160273-0-2016</v>
      </c>
      <c r="C469" s="2" t="str">
        <f>+'Base de Datos'!F469</f>
        <v>EMPRESA DE TELECOMUNICACIONES DE BOGOTA S.A.   ESP</v>
      </c>
      <c r="D469" s="2" t="str">
        <f>+'Base de Datos'!G469</f>
        <v>899999115-8</v>
      </c>
      <c r="E469" s="2" t="str">
        <f>+'Base de Datos'!H469</f>
        <v>Adquirir una solución de telefonía móvil para el Concejo de Bogotá.</v>
      </c>
      <c r="F469" s="221">
        <f>+'Base de Datos'!I469</f>
        <v>12706080</v>
      </c>
      <c r="G469" s="220">
        <f>+'Base de Datos'!M469</f>
        <v>42705</v>
      </c>
      <c r="H469" s="220">
        <f>+'Base de Datos'!N469</f>
        <v>42736</v>
      </c>
      <c r="I469" s="179"/>
      <c r="J469" s="360"/>
      <c r="K469" s="237"/>
      <c r="L469" s="363"/>
      <c r="M469" s="179"/>
      <c r="N469" s="360"/>
      <c r="O469" s="179"/>
      <c r="P469" s="365"/>
      <c r="Q469" s="86">
        <f t="shared" si="34"/>
        <v>0</v>
      </c>
      <c r="R469" s="284"/>
      <c r="S469" s="360"/>
      <c r="T469" s="179"/>
      <c r="U469" s="360"/>
      <c r="V469" s="179"/>
      <c r="W469" s="360"/>
      <c r="X469" s="179"/>
      <c r="Y469" s="360"/>
      <c r="Z469" s="353"/>
      <c r="AA469" s="89">
        <f t="shared" si="35"/>
        <v>0</v>
      </c>
      <c r="AB469" s="237">
        <v>12706032</v>
      </c>
      <c r="AC469" s="237"/>
      <c r="AD469" s="237"/>
      <c r="AE469" s="237"/>
      <c r="AF469" s="237"/>
      <c r="AG469" s="237"/>
      <c r="AH469" s="237"/>
      <c r="AI469" s="237"/>
      <c r="AJ469" s="237"/>
      <c r="AK469" s="237"/>
      <c r="AL469" s="237"/>
      <c r="AM469" s="237"/>
      <c r="AN469" s="237"/>
      <c r="AO469" s="237"/>
      <c r="AP469" s="237"/>
      <c r="AQ469" s="237"/>
      <c r="AR469" s="237"/>
      <c r="AS469" s="237"/>
      <c r="AT469" s="360"/>
      <c r="AU469" s="91">
        <f t="shared" si="36"/>
        <v>12706032</v>
      </c>
      <c r="AV469" s="14"/>
      <c r="AW469" s="1"/>
    </row>
    <row r="470" spans="1:49" s="57" customFormat="1" ht="22.5" hidden="1" x14ac:dyDescent="0.25">
      <c r="A470" s="59"/>
      <c r="B470" s="2" t="str">
        <f>+'Base de Datos'!E470</f>
        <v>160287-0-2016</v>
      </c>
      <c r="C470" s="2" t="str">
        <f>+'Base de Datos'!F470</f>
        <v>ALMACENES ÉXITO S.A.</v>
      </c>
      <c r="D470" s="2">
        <f>+'Base de Datos'!G470</f>
        <v>890900608</v>
      </c>
      <c r="E470" s="2" t="str">
        <f>+'Base de Datos'!H470</f>
        <v>Adquisición de bonos navideños para los hijos de los funcionarios del Concejo de Bogotá, D.C.</v>
      </c>
      <c r="F470" s="221">
        <f>+'Base de Datos'!I470</f>
        <v>35851660</v>
      </c>
      <c r="G470" s="220">
        <f>+'Base de Datos'!M470</f>
        <v>42710</v>
      </c>
      <c r="H470" s="220">
        <f>+'Base de Datos'!N470</f>
        <v>42831</v>
      </c>
      <c r="I470" s="179"/>
      <c r="J470" s="360"/>
      <c r="K470" s="237"/>
      <c r="L470" s="363"/>
      <c r="M470" s="179"/>
      <c r="N470" s="360"/>
      <c r="O470" s="179"/>
      <c r="P470" s="365"/>
      <c r="Q470" s="86">
        <f t="shared" si="34"/>
        <v>0</v>
      </c>
      <c r="R470" s="284"/>
      <c r="S470" s="360"/>
      <c r="T470" s="179"/>
      <c r="U470" s="360"/>
      <c r="V470" s="179"/>
      <c r="W470" s="360"/>
      <c r="X470" s="179"/>
      <c r="Y470" s="360"/>
      <c r="Z470" s="353"/>
      <c r="AA470" s="89">
        <f t="shared" si="35"/>
        <v>0</v>
      </c>
      <c r="AB470" s="237">
        <v>9514479</v>
      </c>
      <c r="AC470" s="237">
        <v>13651209</v>
      </c>
      <c r="AD470" s="237">
        <v>3033609</v>
      </c>
      <c r="AE470" s="237"/>
      <c r="AF470" s="237">
        <v>1792583</v>
      </c>
      <c r="AG470" s="237">
        <v>137890</v>
      </c>
      <c r="AH470" s="237"/>
      <c r="AI470" s="237"/>
      <c r="AJ470" s="237"/>
      <c r="AK470" s="237"/>
      <c r="AL470" s="237"/>
      <c r="AM470" s="237"/>
      <c r="AN470" s="237"/>
      <c r="AO470" s="237"/>
      <c r="AP470" s="237"/>
      <c r="AQ470" s="237"/>
      <c r="AR470" s="237"/>
      <c r="AS470" s="237"/>
      <c r="AT470" s="360">
        <v>42921</v>
      </c>
      <c r="AU470" s="91">
        <f t="shared" si="36"/>
        <v>28129770</v>
      </c>
      <c r="AV470" s="14"/>
      <c r="AW470" s="1"/>
    </row>
    <row r="471" spans="1:49" s="57" customFormat="1" ht="33.75" hidden="1" x14ac:dyDescent="0.25">
      <c r="A471" s="59"/>
      <c r="B471" s="2" t="str">
        <f>+'Base de Datos'!E471</f>
        <v>160294-0-2016</v>
      </c>
      <c r="C471" s="2" t="str">
        <f>+'Base de Datos'!F471</f>
        <v>MARTIN LOPEZ LESMES</v>
      </c>
      <c r="D471" s="2">
        <f>+'Base de Datos'!G471</f>
        <v>1032431625</v>
      </c>
      <c r="E471" s="2" t="str">
        <f>+'Base de Datos'!H471</f>
        <v>PRESTAR LOS SERVICIOS PARA LA ELABORACIÓN DEL RETRATO SOBRE LIENZO AL ÓLEO DEL PRESIDENTE DE LA MESA DIRECTIVA DEL CONCEJO DE BOGOTÁ.</v>
      </c>
      <c r="F471" s="221">
        <f>+'Base de Datos'!I471</f>
        <v>6860000</v>
      </c>
      <c r="G471" s="220">
        <f>+'Base de Datos'!M471</f>
        <v>42717</v>
      </c>
      <c r="H471" s="220">
        <f>+'Base de Datos'!N471</f>
        <v>42779</v>
      </c>
      <c r="I471" s="179"/>
      <c r="J471" s="360"/>
      <c r="K471" s="237"/>
      <c r="L471" s="363"/>
      <c r="M471" s="179"/>
      <c r="N471" s="360"/>
      <c r="O471" s="179"/>
      <c r="P471" s="365"/>
      <c r="Q471" s="86">
        <f t="shared" si="34"/>
        <v>0</v>
      </c>
      <c r="R471" s="284"/>
      <c r="S471" s="360"/>
      <c r="T471" s="179"/>
      <c r="U471" s="360"/>
      <c r="V471" s="179"/>
      <c r="W471" s="360"/>
      <c r="X471" s="179"/>
      <c r="Y471" s="360"/>
      <c r="Z471" s="353"/>
      <c r="AA471" s="89">
        <f t="shared" si="35"/>
        <v>0</v>
      </c>
      <c r="AB471" s="237">
        <v>6860000</v>
      </c>
      <c r="AC471" s="237"/>
      <c r="AD471" s="237"/>
      <c r="AE471" s="237"/>
      <c r="AF471" s="237"/>
      <c r="AG471" s="237"/>
      <c r="AH471" s="237"/>
      <c r="AI471" s="237"/>
      <c r="AJ471" s="237"/>
      <c r="AK471" s="237"/>
      <c r="AL471" s="237"/>
      <c r="AM471" s="237"/>
      <c r="AN471" s="237"/>
      <c r="AO471" s="237"/>
      <c r="AP471" s="237"/>
      <c r="AQ471" s="237"/>
      <c r="AR471" s="237"/>
      <c r="AS471" s="237"/>
      <c r="AT471" s="360">
        <v>42788</v>
      </c>
      <c r="AU471" s="91">
        <f t="shared" si="36"/>
        <v>6860000</v>
      </c>
      <c r="AV471" s="14"/>
      <c r="AW471" s="1"/>
    </row>
    <row r="472" spans="1:49" s="57" customFormat="1" ht="22.5" hidden="1" x14ac:dyDescent="0.25">
      <c r="A472" s="59"/>
      <c r="B472" s="2" t="str">
        <f>+'Base de Datos'!E472</f>
        <v>160296-0-2016</v>
      </c>
      <c r="C472" s="2" t="str">
        <f>+'Base de Datos'!F472</f>
        <v>COLOMBIANA DE COMERCIO S.A. Y/O ALKOSTO S.A.</v>
      </c>
      <c r="D472" s="2">
        <f>+'Base de Datos'!G472</f>
        <v>890900943</v>
      </c>
      <c r="E472" s="2" t="str">
        <f>+'Base de Datos'!H472</f>
        <v>Adquisición de Televisores para el Concejo de Bogotá.</v>
      </c>
      <c r="F472" s="221">
        <f>+'Base de Datos'!I472</f>
        <v>21312104</v>
      </c>
      <c r="G472" s="220">
        <f>+'Base de Datos'!M472</f>
        <v>42711</v>
      </c>
      <c r="H472" s="220">
        <f>+'Base de Datos'!N472</f>
        <v>42719</v>
      </c>
      <c r="I472" s="179"/>
      <c r="J472" s="360"/>
      <c r="K472" s="237"/>
      <c r="L472" s="363"/>
      <c r="M472" s="179"/>
      <c r="N472" s="360"/>
      <c r="O472" s="179"/>
      <c r="P472" s="365"/>
      <c r="Q472" s="86">
        <f t="shared" si="34"/>
        <v>0</v>
      </c>
      <c r="R472" s="284"/>
      <c r="S472" s="360"/>
      <c r="T472" s="179"/>
      <c r="U472" s="360"/>
      <c r="V472" s="179"/>
      <c r="W472" s="360"/>
      <c r="X472" s="179"/>
      <c r="Y472" s="360"/>
      <c r="Z472" s="353"/>
      <c r="AA472" s="89">
        <f t="shared" si="35"/>
        <v>0</v>
      </c>
      <c r="AB472" s="237">
        <v>21312104</v>
      </c>
      <c r="AC472" s="237"/>
      <c r="AD472" s="237"/>
      <c r="AE472" s="237"/>
      <c r="AF472" s="237"/>
      <c r="AG472" s="237"/>
      <c r="AH472" s="237"/>
      <c r="AI472" s="237"/>
      <c r="AJ472" s="237"/>
      <c r="AK472" s="237"/>
      <c r="AL472" s="237"/>
      <c r="AM472" s="237"/>
      <c r="AN472" s="237"/>
      <c r="AO472" s="237"/>
      <c r="AP472" s="237"/>
      <c r="AQ472" s="237"/>
      <c r="AR472" s="237"/>
      <c r="AS472" s="237"/>
      <c r="AT472" s="360">
        <v>42724</v>
      </c>
      <c r="AU472" s="91">
        <f t="shared" si="36"/>
        <v>21312104</v>
      </c>
      <c r="AV472" s="14"/>
      <c r="AW472" s="1"/>
    </row>
    <row r="473" spans="1:49" s="57" customFormat="1" ht="33.75" hidden="1" x14ac:dyDescent="0.25">
      <c r="A473" s="59"/>
      <c r="B473" s="2" t="str">
        <f>+'Base de Datos'!E473</f>
        <v>160293-0-2016</v>
      </c>
      <c r="C473" s="2" t="str">
        <f>+'Base de Datos'!F473</f>
        <v>ANGELA LIZETH PEÑA PARRA</v>
      </c>
      <c r="D473" s="2">
        <f>+'Base de Datos'!G473</f>
        <v>1014236408</v>
      </c>
      <c r="E473" s="2" t="str">
        <f>+'Base de Datos'!H473</f>
        <v>Prestar servicios de apoyo Administrativo y operativo a la Dirección Financiera en las actividades requeridas que se adelantan para gestionar el convenio ICETEX</v>
      </c>
      <c r="F473" s="221">
        <f>+'Base de Datos'!I473</f>
        <v>1800000</v>
      </c>
      <c r="G473" s="220">
        <f>+'Base de Datos'!M473</f>
        <v>42713</v>
      </c>
      <c r="H473" s="220">
        <f>+'Base de Datos'!N473</f>
        <v>42744</v>
      </c>
      <c r="I473" s="179"/>
      <c r="J473" s="360"/>
      <c r="K473" s="237"/>
      <c r="L473" s="363"/>
      <c r="M473" s="179"/>
      <c r="N473" s="360"/>
      <c r="O473" s="179"/>
      <c r="P473" s="365"/>
      <c r="Q473" s="86">
        <f t="shared" si="34"/>
        <v>0</v>
      </c>
      <c r="R473" s="284"/>
      <c r="S473" s="360"/>
      <c r="T473" s="179"/>
      <c r="U473" s="360"/>
      <c r="V473" s="179"/>
      <c r="W473" s="360"/>
      <c r="X473" s="179"/>
      <c r="Y473" s="360"/>
      <c r="Z473" s="353"/>
      <c r="AA473" s="89">
        <f t="shared" si="35"/>
        <v>0</v>
      </c>
      <c r="AB473" s="237">
        <v>1800000</v>
      </c>
      <c r="AC473" s="237"/>
      <c r="AD473" s="237"/>
      <c r="AE473" s="237"/>
      <c r="AF473" s="237"/>
      <c r="AG473" s="237"/>
      <c r="AH473" s="237"/>
      <c r="AI473" s="237"/>
      <c r="AJ473" s="237"/>
      <c r="AK473" s="237"/>
      <c r="AL473" s="237"/>
      <c r="AM473" s="237"/>
      <c r="AN473" s="237"/>
      <c r="AO473" s="237"/>
      <c r="AP473" s="237"/>
      <c r="AQ473" s="237"/>
      <c r="AR473" s="237"/>
      <c r="AS473" s="237"/>
      <c r="AT473" s="360">
        <v>42772</v>
      </c>
      <c r="AU473" s="91">
        <f t="shared" si="36"/>
        <v>1800000</v>
      </c>
      <c r="AV473" s="14"/>
      <c r="AW473" s="1"/>
    </row>
    <row r="474" spans="1:49" s="57" customFormat="1" ht="67.5" hidden="1" x14ac:dyDescent="0.25">
      <c r="A474" s="59"/>
      <c r="B474" s="2" t="str">
        <f>+'Base de Datos'!E474</f>
        <v>160284-0-2016</v>
      </c>
      <c r="C474" s="2" t="str">
        <f>+'Base de Datos'!F474</f>
        <v>EDITORES CONARTE SAS</v>
      </c>
      <c r="D474" s="2" t="str">
        <f>+'Base de Datos'!H474</f>
        <v>Prestar el servicio de empaste y encuadernación de los documentos del Concejo de Bogotá, D.C.</v>
      </c>
      <c r="E474" s="2" t="e">
        <f>+'Base de Datos'!#REF!</f>
        <v>#REF!</v>
      </c>
      <c r="F474" s="221">
        <f>+'Base de Datos'!I474</f>
        <v>3000000</v>
      </c>
      <c r="G474" s="220">
        <f>+'Base de Datos'!M474</f>
        <v>42726</v>
      </c>
      <c r="H474" s="220">
        <f>+'Base de Datos'!N474</f>
        <v>42847</v>
      </c>
      <c r="I474" s="179"/>
      <c r="J474" s="360"/>
      <c r="K474" s="237"/>
      <c r="L474" s="363"/>
      <c r="M474" s="179"/>
      <c r="N474" s="360"/>
      <c r="O474" s="179"/>
      <c r="P474" s="365"/>
      <c r="Q474" s="86">
        <f t="shared" si="34"/>
        <v>0</v>
      </c>
      <c r="R474" s="284"/>
      <c r="S474" s="360"/>
      <c r="T474" s="179"/>
      <c r="U474" s="360"/>
      <c r="V474" s="179"/>
      <c r="W474" s="360"/>
      <c r="X474" s="179"/>
      <c r="Y474" s="360"/>
      <c r="Z474" s="353"/>
      <c r="AA474" s="89">
        <f t="shared" si="35"/>
        <v>0</v>
      </c>
      <c r="AB474" s="237">
        <v>2462930</v>
      </c>
      <c r="AC474" s="237"/>
      <c r="AD474" s="237"/>
      <c r="AE474" s="237"/>
      <c r="AF474" s="237"/>
      <c r="AG474" s="237"/>
      <c r="AH474" s="237"/>
      <c r="AI474" s="237"/>
      <c r="AJ474" s="237"/>
      <c r="AK474" s="237"/>
      <c r="AL474" s="237"/>
      <c r="AM474" s="237"/>
      <c r="AN474" s="237"/>
      <c r="AO474" s="237"/>
      <c r="AP474" s="237"/>
      <c r="AQ474" s="237"/>
      <c r="AR474" s="237"/>
      <c r="AS474" s="237"/>
      <c r="AT474" s="360">
        <v>42955</v>
      </c>
      <c r="AU474" s="91">
        <f t="shared" si="36"/>
        <v>2462930</v>
      </c>
      <c r="AV474" s="14"/>
      <c r="AW474" s="1"/>
    </row>
    <row r="475" spans="1:49" s="57" customFormat="1" ht="33.75" hidden="1" x14ac:dyDescent="0.25">
      <c r="A475" s="59"/>
      <c r="B475" s="2" t="str">
        <f>+'Base de Datos'!E475</f>
        <v>160307-0-2016</v>
      </c>
      <c r="C475" s="2" t="str">
        <f>+'Base de Datos'!F475</f>
        <v>ALGOAP SAS</v>
      </c>
      <c r="D475" s="2" t="str">
        <f>+'Base de Datos'!G475</f>
        <v>900336372-2</v>
      </c>
      <c r="E475" s="2" t="str">
        <f>+'Base de Datos'!H475</f>
        <v xml:space="preserve">Prestar los servicios integrales de aseo y cafetería y el servicio integral de fumigación para las instalaciones del Concejo de Bogotá, D.C. </v>
      </c>
      <c r="F475" s="221">
        <f>+'Base de Datos'!I475</f>
        <v>64285000</v>
      </c>
      <c r="G475" s="220">
        <f>+'Base de Datos'!M475</f>
        <v>42730</v>
      </c>
      <c r="H475" s="220">
        <f>+'Base de Datos'!N475</f>
        <v>42797</v>
      </c>
      <c r="I475" s="179">
        <v>18000000</v>
      </c>
      <c r="J475" s="360">
        <v>42797</v>
      </c>
      <c r="K475" s="237"/>
      <c r="L475" s="363"/>
      <c r="M475" s="179"/>
      <c r="N475" s="360"/>
      <c r="O475" s="179"/>
      <c r="P475" s="365"/>
      <c r="Q475" s="86">
        <f t="shared" si="34"/>
        <v>18000000</v>
      </c>
      <c r="R475" s="284" t="s">
        <v>381</v>
      </c>
      <c r="S475" s="360">
        <v>42828</v>
      </c>
      <c r="T475" s="179"/>
      <c r="U475" s="360"/>
      <c r="V475" s="179"/>
      <c r="W475" s="360"/>
      <c r="X475" s="179"/>
      <c r="Y475" s="360"/>
      <c r="Z475" s="353" t="s">
        <v>381</v>
      </c>
      <c r="AA475" s="89">
        <f t="shared" si="35"/>
        <v>42828</v>
      </c>
      <c r="AB475" s="237">
        <v>20271298</v>
      </c>
      <c r="AC475" s="237">
        <v>42085850</v>
      </c>
      <c r="AD475" s="237">
        <v>14995010</v>
      </c>
      <c r="AE475" s="237"/>
      <c r="AF475" s="237"/>
      <c r="AG475" s="237"/>
      <c r="AH475" s="237"/>
      <c r="AI475" s="237"/>
      <c r="AJ475" s="237"/>
      <c r="AK475" s="237"/>
      <c r="AL475" s="237"/>
      <c r="AM475" s="237"/>
      <c r="AN475" s="237"/>
      <c r="AO475" s="237"/>
      <c r="AP475" s="237"/>
      <c r="AQ475" s="237"/>
      <c r="AR475" s="237"/>
      <c r="AS475" s="237"/>
      <c r="AT475" s="360">
        <v>42877</v>
      </c>
      <c r="AU475" s="91">
        <f t="shared" si="36"/>
        <v>77352158</v>
      </c>
      <c r="AV475" s="14"/>
      <c r="AW475" s="1"/>
    </row>
    <row r="476" spans="1:49" s="57" customFormat="1" ht="22.5" hidden="1" x14ac:dyDescent="0.25">
      <c r="A476" s="59"/>
      <c r="B476" s="2" t="str">
        <f>+'Base de Datos'!E476</f>
        <v>160305-0-2016</v>
      </c>
      <c r="C476" s="2" t="str">
        <f>+'Base de Datos'!F476</f>
        <v>DIVISER SAS</v>
      </c>
      <c r="D476" s="2">
        <f>+'Base de Datos'!G476</f>
        <v>811028699</v>
      </c>
      <c r="E476" s="2" t="str">
        <f>+'Base de Datos'!H476</f>
        <v>Adquisición, entrega y montaje de mobiliario de oficina para el Concejo de Bogotá D.C.</v>
      </c>
      <c r="F476" s="221">
        <f>+'Base de Datos'!I476</f>
        <v>400000000</v>
      </c>
      <c r="G476" s="220">
        <f>+'Base de Datos'!M476</f>
        <v>42752</v>
      </c>
      <c r="H476" s="220">
        <f>+'Base de Datos'!N476</f>
        <v>42826</v>
      </c>
      <c r="I476" s="179"/>
      <c r="J476" s="360"/>
      <c r="K476" s="237"/>
      <c r="L476" s="363"/>
      <c r="M476" s="179"/>
      <c r="N476" s="360"/>
      <c r="O476" s="179"/>
      <c r="P476" s="365"/>
      <c r="Q476" s="86">
        <f t="shared" si="34"/>
        <v>0</v>
      </c>
      <c r="R476" s="849" t="s">
        <v>2925</v>
      </c>
      <c r="S476" s="360">
        <v>42871</v>
      </c>
      <c r="T476" s="179" t="s">
        <v>381</v>
      </c>
      <c r="U476" s="360">
        <v>42903</v>
      </c>
      <c r="V476" s="179" t="s">
        <v>2980</v>
      </c>
      <c r="W476" s="360">
        <v>42933</v>
      </c>
      <c r="X476" s="179"/>
      <c r="Y476" s="360"/>
      <c r="Z476" s="849" t="s">
        <v>2981</v>
      </c>
      <c r="AA476" s="89">
        <f t="shared" si="35"/>
        <v>42933</v>
      </c>
      <c r="AB476" s="237">
        <v>56305890</v>
      </c>
      <c r="AC476" s="237">
        <v>291331728</v>
      </c>
      <c r="AD476" s="237">
        <v>47120025</v>
      </c>
      <c r="AE476" s="237">
        <v>5242281</v>
      </c>
      <c r="AF476" s="237"/>
      <c r="AG476" s="237"/>
      <c r="AH476" s="237"/>
      <c r="AI476" s="237"/>
      <c r="AJ476" s="237"/>
      <c r="AK476" s="237"/>
      <c r="AL476" s="237"/>
      <c r="AM476" s="237"/>
      <c r="AN476" s="237"/>
      <c r="AO476" s="237"/>
      <c r="AP476" s="237"/>
      <c r="AQ476" s="237"/>
      <c r="AR476" s="237"/>
      <c r="AS476" s="237"/>
      <c r="AT476" s="360">
        <v>42993</v>
      </c>
      <c r="AU476" s="91">
        <f t="shared" si="36"/>
        <v>399999924</v>
      </c>
      <c r="AV476" s="14"/>
      <c r="AW476" s="1"/>
    </row>
    <row r="477" spans="1:49" s="57" customFormat="1" ht="22.5" hidden="1" x14ac:dyDescent="0.25">
      <c r="A477" s="59"/>
      <c r="B477" s="2" t="str">
        <f>+'Base de Datos'!E477</f>
        <v>160306-0-2016</v>
      </c>
      <c r="C477" s="2" t="str">
        <f>+'Base de Datos'!F477</f>
        <v>ARTEINOX S.A.S</v>
      </c>
      <c r="D477" s="2" t="str">
        <f>+'Base de Datos'!G477</f>
        <v>900209975-1</v>
      </c>
      <c r="E477" s="2" t="str">
        <f>+'Base de Datos'!H477</f>
        <v xml:space="preserve">Adquisición de hornos microondas industriales para el Concejo de Bogotá. </v>
      </c>
      <c r="F477" s="221">
        <f>+'Base de Datos'!I477</f>
        <v>4499988</v>
      </c>
      <c r="G477" s="220">
        <f>+'Base de Datos'!M477</f>
        <v>42751</v>
      </c>
      <c r="H477" s="220">
        <f>+'Base de Datos'!N477</f>
        <v>42782</v>
      </c>
      <c r="I477" s="179"/>
      <c r="J477" s="360"/>
      <c r="K477" s="237"/>
      <c r="L477" s="363"/>
      <c r="M477" s="179"/>
      <c r="N477" s="360"/>
      <c r="O477" s="179"/>
      <c r="P477" s="365"/>
      <c r="Q477" s="86">
        <f t="shared" si="34"/>
        <v>0</v>
      </c>
      <c r="R477" s="284"/>
      <c r="S477" s="360"/>
      <c r="T477" s="179"/>
      <c r="U477" s="360"/>
      <c r="V477" s="179"/>
      <c r="W477" s="360"/>
      <c r="X477" s="179"/>
      <c r="Y477" s="360"/>
      <c r="Z477" s="353"/>
      <c r="AA477" s="89">
        <f t="shared" si="35"/>
        <v>0</v>
      </c>
      <c r="AB477" s="237">
        <v>4499988</v>
      </c>
      <c r="AC477" s="237"/>
      <c r="AD477" s="237"/>
      <c r="AE477" s="237"/>
      <c r="AF477" s="237"/>
      <c r="AG477" s="237"/>
      <c r="AH477" s="237"/>
      <c r="AI477" s="237"/>
      <c r="AJ477" s="237"/>
      <c r="AK477" s="237"/>
      <c r="AL477" s="237"/>
      <c r="AM477" s="237"/>
      <c r="AN477" s="237"/>
      <c r="AO477" s="237"/>
      <c r="AP477" s="237"/>
      <c r="AQ477" s="237"/>
      <c r="AR477" s="237"/>
      <c r="AS477" s="237"/>
      <c r="AT477" s="360">
        <v>42789</v>
      </c>
      <c r="AU477" s="91">
        <f t="shared" si="36"/>
        <v>4499988</v>
      </c>
      <c r="AV477" s="14"/>
      <c r="AW477" s="1"/>
    </row>
    <row r="478" spans="1:49" s="57" customFormat="1" ht="22.5" hidden="1" x14ac:dyDescent="0.25">
      <c r="A478" s="59"/>
      <c r="B478" s="2" t="str">
        <f>+'Base de Datos'!E478</f>
        <v>160314-0-2016</v>
      </c>
      <c r="C478" s="2" t="str">
        <f>+'Base de Datos'!F478</f>
        <v>SIIGO S.A.</v>
      </c>
      <c r="D478" s="2" t="str">
        <f>+'Base de Datos'!G478</f>
        <v>830048145-8</v>
      </c>
      <c r="E478" s="2" t="str">
        <f>+'Base de Datos'!H478</f>
        <v>Prestar servicios de mantenimiento y actualización de módulo de contabilidad programa SIIGO</v>
      </c>
      <c r="F478" s="221">
        <f>+'Base de Datos'!I478</f>
        <v>495119</v>
      </c>
      <c r="G478" s="220">
        <f>+'Base de Datos'!M478</f>
        <v>42745</v>
      </c>
      <c r="H478" s="220">
        <f>+'Base de Datos'!N478</f>
        <v>43110</v>
      </c>
      <c r="I478" s="179"/>
      <c r="J478" s="360"/>
      <c r="K478" s="237"/>
      <c r="L478" s="363"/>
      <c r="M478" s="179"/>
      <c r="N478" s="360"/>
      <c r="O478" s="179"/>
      <c r="P478" s="365"/>
      <c r="Q478" s="86">
        <f t="shared" si="34"/>
        <v>0</v>
      </c>
      <c r="R478" s="284"/>
      <c r="S478" s="360"/>
      <c r="T478" s="179"/>
      <c r="U478" s="360"/>
      <c r="V478" s="179"/>
      <c r="W478" s="360"/>
      <c r="X478" s="179"/>
      <c r="Y478" s="360"/>
      <c r="Z478" s="353"/>
      <c r="AA478" s="89">
        <f t="shared" si="35"/>
        <v>0</v>
      </c>
      <c r="AB478" s="237">
        <v>426827</v>
      </c>
      <c r="AC478" s="237"/>
      <c r="AD478" s="237"/>
      <c r="AE478" s="237"/>
      <c r="AF478" s="237"/>
      <c r="AG478" s="237"/>
      <c r="AH478" s="237"/>
      <c r="AI478" s="237"/>
      <c r="AJ478" s="237"/>
      <c r="AK478" s="237"/>
      <c r="AL478" s="237"/>
      <c r="AM478" s="237"/>
      <c r="AN478" s="237"/>
      <c r="AO478" s="237"/>
      <c r="AP478" s="237"/>
      <c r="AQ478" s="237"/>
      <c r="AR478" s="237"/>
      <c r="AS478" s="237"/>
      <c r="AT478" s="360">
        <v>43061</v>
      </c>
      <c r="AU478" s="91">
        <f t="shared" si="36"/>
        <v>426827</v>
      </c>
      <c r="AV478" s="14"/>
      <c r="AW478" s="1"/>
    </row>
    <row r="479" spans="1:49" s="57" customFormat="1" ht="33.75" hidden="1" x14ac:dyDescent="0.25">
      <c r="A479" s="59"/>
      <c r="B479" s="2" t="str">
        <f>+'Base de Datos'!E479</f>
        <v>160310-0-2016</v>
      </c>
      <c r="C479" s="2" t="str">
        <f>+'Base de Datos'!F479</f>
        <v>PRACO DIDACOL S.A.S</v>
      </c>
      <c r="D479" s="2" t="str">
        <f>+'Base de Datos'!G479</f>
        <v>860047657-1</v>
      </c>
      <c r="E479" s="2" t="str">
        <f>+'Base de Datos'!H479</f>
        <v>Adquirir a título de compraventa un vehículo para la Secretaria Distrital de Hacienda D.C., destinado al parque automotor del Concejo de Bogotá, D.C.</v>
      </c>
      <c r="F479" s="221">
        <f>+'Base de Datos'!I479</f>
        <v>94318804</v>
      </c>
      <c r="G479" s="220">
        <f>+'Base de Datos'!M479</f>
        <v>42737</v>
      </c>
      <c r="H479" s="220">
        <f>+'Base de Datos'!N479</f>
        <v>42796</v>
      </c>
      <c r="I479" s="179"/>
      <c r="J479" s="360"/>
      <c r="K479" s="237"/>
      <c r="L479" s="363"/>
      <c r="M479" s="179"/>
      <c r="N479" s="360"/>
      <c r="O479" s="179"/>
      <c r="P479" s="365"/>
      <c r="Q479" s="86">
        <f t="shared" si="34"/>
        <v>0</v>
      </c>
      <c r="R479" s="284"/>
      <c r="S479" s="360"/>
      <c r="T479" s="179"/>
      <c r="U479" s="360"/>
      <c r="V479" s="179"/>
      <c r="W479" s="360"/>
      <c r="X479" s="179"/>
      <c r="Y479" s="360"/>
      <c r="Z479" s="353"/>
      <c r="AA479" s="89">
        <f t="shared" si="35"/>
        <v>0</v>
      </c>
      <c r="AB479" s="237">
        <v>66718804</v>
      </c>
      <c r="AC479" s="237"/>
      <c r="AD479" s="237"/>
      <c r="AE479" s="237"/>
      <c r="AF479" s="237"/>
      <c r="AG479" s="237"/>
      <c r="AH479" s="237"/>
      <c r="AI479" s="237"/>
      <c r="AJ479" s="237"/>
      <c r="AK479" s="237"/>
      <c r="AL479" s="237"/>
      <c r="AM479" s="237"/>
      <c r="AN479" s="237"/>
      <c r="AO479" s="237"/>
      <c r="AP479" s="237"/>
      <c r="AQ479" s="237"/>
      <c r="AR479" s="237"/>
      <c r="AS479" s="237"/>
      <c r="AT479" s="360">
        <v>42795</v>
      </c>
      <c r="AU479" s="91">
        <f t="shared" si="36"/>
        <v>66718804</v>
      </c>
      <c r="AV479" s="14"/>
      <c r="AW479" s="1"/>
    </row>
    <row r="480" spans="1:49" s="57" customFormat="1" ht="33.75" hidden="1" x14ac:dyDescent="0.25">
      <c r="A480" s="59"/>
      <c r="B480" s="2" t="str">
        <f>+'Base de Datos'!E480</f>
        <v>160301-0-2016</v>
      </c>
      <c r="C480" s="2" t="str">
        <f>+'Base de Datos'!F480</f>
        <v>INPROSERVICES INGENIERIA SAS</v>
      </c>
      <c r="D480" s="2" t="str">
        <f>+'Base de Datos'!G480</f>
        <v>900226883-2</v>
      </c>
      <c r="E480" s="2" t="str">
        <f>+'Base de Datos'!H480</f>
        <v>Prestar servicios de mantenimiento preventivo, correctivo y soporte técnico especializado para el sistema biométrico del Concejo de Bogotá.</v>
      </c>
      <c r="F480" s="221">
        <f>+'Base de Datos'!I480</f>
        <v>12250000</v>
      </c>
      <c r="G480" s="220">
        <f>+'Base de Datos'!M480</f>
        <v>42732</v>
      </c>
      <c r="H480" s="220">
        <f>+'Base de Datos'!N480</f>
        <v>42883</v>
      </c>
      <c r="I480" s="179"/>
      <c r="J480" s="360"/>
      <c r="K480" s="237"/>
      <c r="L480" s="363"/>
      <c r="M480" s="179"/>
      <c r="N480" s="360"/>
      <c r="O480" s="179"/>
      <c r="P480" s="365"/>
      <c r="Q480" s="86">
        <f t="shared" si="34"/>
        <v>0</v>
      </c>
      <c r="R480" s="284"/>
      <c r="S480" s="360"/>
      <c r="T480" s="179"/>
      <c r="U480" s="360"/>
      <c r="V480" s="179"/>
      <c r="W480" s="360"/>
      <c r="X480" s="179"/>
      <c r="Y480" s="360"/>
      <c r="Z480" s="353"/>
      <c r="AA480" s="89">
        <f t="shared" si="35"/>
        <v>0</v>
      </c>
      <c r="AB480" s="237">
        <v>3623000</v>
      </c>
      <c r="AC480" s="237"/>
      <c r="AD480" s="237"/>
      <c r="AE480" s="237"/>
      <c r="AF480" s="237"/>
      <c r="AG480" s="237"/>
      <c r="AH480" s="237"/>
      <c r="AI480" s="237"/>
      <c r="AJ480" s="237"/>
      <c r="AK480" s="237"/>
      <c r="AL480" s="237"/>
      <c r="AM480" s="237"/>
      <c r="AN480" s="237"/>
      <c r="AO480" s="237"/>
      <c r="AP480" s="237"/>
      <c r="AQ480" s="237"/>
      <c r="AR480" s="237"/>
      <c r="AS480" s="237"/>
      <c r="AT480" s="360">
        <v>42929</v>
      </c>
      <c r="AU480" s="91">
        <f t="shared" si="36"/>
        <v>3623000</v>
      </c>
      <c r="AV480" s="14"/>
      <c r="AW480" s="1"/>
    </row>
    <row r="481" spans="1:49" s="57" customFormat="1" ht="22.5" hidden="1" x14ac:dyDescent="0.25">
      <c r="A481" s="59"/>
      <c r="B481" s="2" t="str">
        <f>+'Base de Datos'!E481</f>
        <v>160315-0-2016</v>
      </c>
      <c r="C481" s="2" t="str">
        <f>+'Base de Datos'!F481</f>
        <v>FABRICAMOS SUDADERA LIMITADA</v>
      </c>
      <c r="D481" s="2" t="str">
        <f>+'Base de Datos'!G481</f>
        <v>800221644-3</v>
      </c>
      <c r="E481" s="2" t="str">
        <f>+'Base de Datos'!H481</f>
        <v>Adquirir uniformes y elementos deportivos para los funcionarios del Concejo de Bogotá, D.C.</v>
      </c>
      <c r="F481" s="221">
        <f>+'Base de Datos'!I481</f>
        <v>19667800</v>
      </c>
      <c r="G481" s="220">
        <f>+'Base de Datos'!M481</f>
        <v>42746</v>
      </c>
      <c r="H481" s="220">
        <f>+'Base de Datos'!N481</f>
        <v>42805</v>
      </c>
      <c r="I481" s="179"/>
      <c r="J481" s="360"/>
      <c r="K481" s="237"/>
      <c r="L481" s="363"/>
      <c r="M481" s="179"/>
      <c r="N481" s="360"/>
      <c r="O481" s="179"/>
      <c r="P481" s="365"/>
      <c r="Q481" s="86">
        <f t="shared" si="34"/>
        <v>0</v>
      </c>
      <c r="R481" s="284"/>
      <c r="S481" s="360"/>
      <c r="T481" s="179"/>
      <c r="U481" s="360"/>
      <c r="V481" s="179"/>
      <c r="W481" s="360"/>
      <c r="X481" s="179"/>
      <c r="Y481" s="360"/>
      <c r="Z481" s="353"/>
      <c r="AA481" s="89">
        <f t="shared" si="35"/>
        <v>0</v>
      </c>
      <c r="AB481" s="237">
        <v>19667800</v>
      </c>
      <c r="AC481" s="237"/>
      <c r="AD481" s="237"/>
      <c r="AE481" s="237"/>
      <c r="AF481" s="237"/>
      <c r="AG481" s="237"/>
      <c r="AH481" s="237"/>
      <c r="AI481" s="237"/>
      <c r="AJ481" s="237"/>
      <c r="AK481" s="237"/>
      <c r="AL481" s="237"/>
      <c r="AM481" s="237"/>
      <c r="AN481" s="237"/>
      <c r="AO481" s="237"/>
      <c r="AP481" s="237"/>
      <c r="AQ481" s="237"/>
      <c r="AR481" s="237"/>
      <c r="AS481" s="237"/>
      <c r="AT481" s="360">
        <v>42818</v>
      </c>
      <c r="AU481" s="91">
        <f t="shared" si="36"/>
        <v>19667800</v>
      </c>
      <c r="AV481" s="14"/>
      <c r="AW481" s="1"/>
    </row>
    <row r="482" spans="1:49" s="57" customFormat="1" ht="22.5" hidden="1" x14ac:dyDescent="0.25">
      <c r="A482" s="59"/>
      <c r="B482" s="2" t="str">
        <f>+'Base de Datos'!E482</f>
        <v>160319-0-2016</v>
      </c>
      <c r="C482" s="2" t="str">
        <f>+'Base de Datos'!F482</f>
        <v>NEX COMPUTER SA</v>
      </c>
      <c r="D482" s="2">
        <f>+'Base de Datos'!G482</f>
        <v>830110570</v>
      </c>
      <c r="E482" s="2" t="str">
        <f>+'Base de Datos'!H482</f>
        <v>Adquisición de equipos de cómputo para el Concejo de Bogotá</v>
      </c>
      <c r="F482" s="221">
        <f>+'Base de Datos'!I482</f>
        <v>564700000</v>
      </c>
      <c r="G482" s="220">
        <f>+'Base de Datos'!M482</f>
        <v>42747</v>
      </c>
      <c r="H482" s="220">
        <f>+'Base de Datos'!N482</f>
        <v>42837</v>
      </c>
      <c r="I482" s="179"/>
      <c r="J482" s="360"/>
      <c r="K482" s="237"/>
      <c r="L482" s="363"/>
      <c r="M482" s="179"/>
      <c r="N482" s="360"/>
      <c r="O482" s="179"/>
      <c r="P482" s="365"/>
      <c r="Q482" s="86">
        <f t="shared" si="34"/>
        <v>0</v>
      </c>
      <c r="R482" s="284"/>
      <c r="S482" s="360"/>
      <c r="T482" s="179"/>
      <c r="U482" s="360"/>
      <c r="V482" s="179"/>
      <c r="W482" s="360"/>
      <c r="X482" s="179"/>
      <c r="Y482" s="360"/>
      <c r="Z482" s="353"/>
      <c r="AA482" s="89">
        <f t="shared" si="35"/>
        <v>0</v>
      </c>
      <c r="AB482" s="237">
        <v>561585401</v>
      </c>
      <c r="AC482" s="237"/>
      <c r="AD482" s="237"/>
      <c r="AE482" s="237"/>
      <c r="AF482" s="237"/>
      <c r="AG482" s="237"/>
      <c r="AH482" s="237"/>
      <c r="AI482" s="237"/>
      <c r="AJ482" s="237"/>
      <c r="AK482" s="237"/>
      <c r="AL482" s="237"/>
      <c r="AM482" s="237"/>
      <c r="AN482" s="237"/>
      <c r="AO482" s="237"/>
      <c r="AP482" s="237"/>
      <c r="AQ482" s="237"/>
      <c r="AR482" s="237"/>
      <c r="AS482" s="237"/>
      <c r="AT482" s="360">
        <v>42867</v>
      </c>
      <c r="AU482" s="91">
        <f t="shared" si="36"/>
        <v>561585401</v>
      </c>
      <c r="AV482" s="14"/>
      <c r="AW482" s="1"/>
    </row>
    <row r="483" spans="1:49" s="57" customFormat="1" hidden="1" x14ac:dyDescent="0.25">
      <c r="A483" s="59"/>
      <c r="B483" s="2" t="str">
        <f>+'Base de Datos'!E483</f>
        <v>160316-0-2016</v>
      </c>
      <c r="C483" s="2" t="str">
        <f>+'Base de Datos'!F483</f>
        <v>REDCOMPUTO  LTDA</v>
      </c>
      <c r="D483" s="2" t="str">
        <f>+'Base de Datos'!G483</f>
        <v>830016004-0</v>
      </c>
      <c r="E483" s="2" t="str">
        <f>+'Base de Datos'!H483</f>
        <v>Adquisición de servidores para el Concejo de Bogotá.</v>
      </c>
      <c r="F483" s="221">
        <f>+'Base de Datos'!I483</f>
        <v>46500000</v>
      </c>
      <c r="G483" s="220">
        <f>+'Base de Datos'!M483</f>
        <v>42751</v>
      </c>
      <c r="H483" s="220">
        <f>+'Base de Datos'!N483</f>
        <v>42871</v>
      </c>
      <c r="I483" s="179"/>
      <c r="J483" s="360"/>
      <c r="K483" s="237"/>
      <c r="L483" s="363"/>
      <c r="M483" s="179"/>
      <c r="N483" s="360"/>
      <c r="O483" s="179"/>
      <c r="P483" s="365"/>
      <c r="Q483" s="86">
        <f t="shared" si="34"/>
        <v>0</v>
      </c>
      <c r="R483" s="284"/>
      <c r="S483" s="360"/>
      <c r="T483" s="179"/>
      <c r="U483" s="360"/>
      <c r="V483" s="179"/>
      <c r="W483" s="360"/>
      <c r="X483" s="179"/>
      <c r="Y483" s="360"/>
      <c r="Z483" s="353"/>
      <c r="AA483" s="89">
        <f t="shared" si="35"/>
        <v>0</v>
      </c>
      <c r="AB483" s="237">
        <f>13950000+18600000</f>
        <v>32550000</v>
      </c>
      <c r="AC483" s="237"/>
      <c r="AD483" s="237">
        <v>13950000</v>
      </c>
      <c r="AE483" s="237"/>
      <c r="AF483" s="237"/>
      <c r="AG483" s="237"/>
      <c r="AH483" s="237"/>
      <c r="AI483" s="237"/>
      <c r="AJ483" s="237"/>
      <c r="AK483" s="237"/>
      <c r="AL483" s="237"/>
      <c r="AM483" s="237"/>
      <c r="AN483" s="237"/>
      <c r="AO483" s="237"/>
      <c r="AP483" s="237"/>
      <c r="AQ483" s="237"/>
      <c r="AR483" s="237"/>
      <c r="AS483" s="237"/>
      <c r="AT483" s="360">
        <v>42830</v>
      </c>
      <c r="AU483" s="91">
        <f t="shared" si="36"/>
        <v>46500000</v>
      </c>
      <c r="AV483" s="14"/>
      <c r="AW483" s="1"/>
    </row>
    <row r="484" spans="1:49" s="57" customFormat="1" ht="56.25" hidden="1" x14ac:dyDescent="0.25">
      <c r="A484" s="59"/>
      <c r="B484" s="2" t="str">
        <f>+'Base de Datos'!E484</f>
        <v>160304-0-2016</v>
      </c>
      <c r="C484" s="2" t="str">
        <f>+'Base de Datos'!F484</f>
        <v>COLOMBIANA DE SOFTWARE Y HARDWARE COLSOF S.A.</v>
      </c>
      <c r="D484" s="2" t="str">
        <f>+'Base de Datos'!G484</f>
        <v>800015583-1</v>
      </c>
      <c r="E484" s="2" t="str">
        <f>+'Base de Datos'!H484</f>
        <v>Adquisición de la librería de cintas LTO para la generación de copias de respaldo (Backup) y reinstalación del software de generación de back ups Data Protector para el Concejo de Bogotá, de conformidad con lo establecido en el presente pliego de condiciones SDH-SIE-20-2016</v>
      </c>
      <c r="F484" s="221">
        <f>+'Base de Datos'!I484</f>
        <v>475686000</v>
      </c>
      <c r="G484" s="220">
        <f>+'Base de Datos'!M484</f>
        <v>42752</v>
      </c>
      <c r="H484" s="220">
        <f>+'Base de Datos'!N484</f>
        <v>42872</v>
      </c>
      <c r="I484" s="179">
        <v>9520000</v>
      </c>
      <c r="J484" s="360">
        <v>42846</v>
      </c>
      <c r="K484" s="237"/>
      <c r="L484" s="363"/>
      <c r="M484" s="179"/>
      <c r="N484" s="360"/>
      <c r="O484" s="179"/>
      <c r="P484" s="365"/>
      <c r="Q484" s="86">
        <f t="shared" si="34"/>
        <v>9520000</v>
      </c>
      <c r="R484" s="284" t="s">
        <v>381</v>
      </c>
      <c r="S484" s="360">
        <v>42903</v>
      </c>
      <c r="T484" s="179"/>
      <c r="U484" s="360"/>
      <c r="V484" s="179"/>
      <c r="W484" s="360"/>
      <c r="X484" s="179"/>
      <c r="Y484" s="360"/>
      <c r="Z484" s="353" t="s">
        <v>381</v>
      </c>
      <c r="AA484" s="89">
        <f t="shared" si="35"/>
        <v>42903</v>
      </c>
      <c r="AB484" s="237">
        <v>68469143</v>
      </c>
      <c r="AC484" s="237"/>
      <c r="AD484" s="237"/>
      <c r="AE484" s="237">
        <v>279977639</v>
      </c>
      <c r="AF484" s="237">
        <v>47587828</v>
      </c>
      <c r="AG484" s="237">
        <v>29429525</v>
      </c>
      <c r="AH484" s="237">
        <v>5965389</v>
      </c>
      <c r="AI484" s="237">
        <v>9520000</v>
      </c>
      <c r="AJ484" s="237"/>
      <c r="AK484" s="237"/>
      <c r="AL484" s="237"/>
      <c r="AM484" s="237"/>
      <c r="AN484" s="237"/>
      <c r="AO484" s="237"/>
      <c r="AP484" s="237"/>
      <c r="AQ484" s="237"/>
      <c r="AR484" s="237"/>
      <c r="AS484" s="237"/>
      <c r="AT484" s="360">
        <v>43074</v>
      </c>
      <c r="AU484" s="91">
        <f t="shared" si="36"/>
        <v>440949524</v>
      </c>
      <c r="AV484" s="14"/>
      <c r="AW484" s="1"/>
    </row>
    <row r="485" spans="1:49" s="57" customFormat="1" ht="45" hidden="1" x14ac:dyDescent="0.25">
      <c r="A485" s="59"/>
      <c r="B485" s="2" t="str">
        <f>+'Base de Datos'!E485</f>
        <v>160317-0-2016</v>
      </c>
      <c r="C485" s="2" t="str">
        <f>+'Base de Datos'!F485</f>
        <v>INVERSIONES INARDEX E.U.</v>
      </c>
      <c r="D485" s="2" t="str">
        <f>+'Base de Datos'!G485</f>
        <v>832010241-1</v>
      </c>
      <c r="E485" s="2" t="str">
        <f>+'Base de Datos'!H485</f>
        <v xml:space="preserve">Suministro e instalación de elementos necesarios para el control de acceso vehicular, seguridad e iluminación al sótano de parqueaderos del Concejo de Bogotá D.C., del inmueble ubicado en la Plazoleta La Democracia.  </v>
      </c>
      <c r="F485" s="221">
        <f>+'Base de Datos'!I485</f>
        <v>108273000</v>
      </c>
      <c r="G485" s="220">
        <f>+'Base de Datos'!M485</f>
        <v>42746</v>
      </c>
      <c r="H485" s="220">
        <f>+'Base de Datos'!N485</f>
        <v>42836</v>
      </c>
      <c r="I485" s="179">
        <v>4338465</v>
      </c>
      <c r="J485" s="360">
        <v>42929</v>
      </c>
      <c r="K485" s="237"/>
      <c r="L485" s="363"/>
      <c r="M485" s="179"/>
      <c r="N485" s="360"/>
      <c r="O485" s="179"/>
      <c r="P485" s="365"/>
      <c r="Q485" s="86">
        <f t="shared" si="34"/>
        <v>4338465</v>
      </c>
      <c r="R485" s="284" t="s">
        <v>378</v>
      </c>
      <c r="S485" s="360">
        <v>42897</v>
      </c>
      <c r="T485" s="179" t="s">
        <v>985</v>
      </c>
      <c r="U485" s="360">
        <v>42916</v>
      </c>
      <c r="V485" s="179" t="s">
        <v>2241</v>
      </c>
      <c r="W485" s="360">
        <v>42930</v>
      </c>
      <c r="X485" s="179"/>
      <c r="Y485" s="360"/>
      <c r="Z485" s="353" t="s">
        <v>2979</v>
      </c>
      <c r="AA485" s="89">
        <f t="shared" si="35"/>
        <v>42930</v>
      </c>
      <c r="AB485" s="237">
        <v>56273000</v>
      </c>
      <c r="AC485" s="237">
        <v>52000000</v>
      </c>
      <c r="AD485" s="237"/>
      <c r="AE485" s="237">
        <v>4338465</v>
      </c>
      <c r="AF485" s="237"/>
      <c r="AG485" s="237"/>
      <c r="AH485" s="237"/>
      <c r="AI485" s="237"/>
      <c r="AJ485" s="237"/>
      <c r="AK485" s="237"/>
      <c r="AL485" s="237"/>
      <c r="AM485" s="237"/>
      <c r="AN485" s="237"/>
      <c r="AO485" s="237"/>
      <c r="AP485" s="237"/>
      <c r="AQ485" s="237"/>
      <c r="AR485" s="237"/>
      <c r="AS485" s="237"/>
      <c r="AT485" s="360">
        <v>43026</v>
      </c>
      <c r="AU485" s="91">
        <f t="shared" si="36"/>
        <v>112611465</v>
      </c>
      <c r="AV485" s="14"/>
      <c r="AW485" s="1"/>
    </row>
    <row r="486" spans="1:49" s="57" customFormat="1" ht="45" hidden="1" x14ac:dyDescent="0.25">
      <c r="A486" s="59"/>
      <c r="B486" s="2" t="str">
        <f>+'Base de Datos'!E486</f>
        <v>160276-0-2016</v>
      </c>
      <c r="C486" s="2" t="str">
        <f>+'Base de Datos'!F486</f>
        <v xml:space="preserve">ECA INTERVENTORIAS Y CONSULTORIAS DE COLOMBIA S.A.S </v>
      </c>
      <c r="D486" s="2" t="str">
        <f>+'Base de Datos'!G486</f>
        <v>800048991-3</v>
      </c>
      <c r="E486" s="2" t="str">
        <f>+'Base de Datos'!H486</f>
        <v xml:space="preserve">Realizar la inspección a los ascensores de las instalaciones del Concejo de Bogotá, de conformidad con lo establecido en el acuerdo distrital 470 de 2011 y la invitación pública SDH-SMINC-43-2016 </v>
      </c>
      <c r="F486" s="221">
        <f>+'Base de Datos'!I486</f>
        <v>700000</v>
      </c>
      <c r="G486" s="220">
        <f>+'Base de Datos'!M486</f>
        <v>42761</v>
      </c>
      <c r="H486" s="220">
        <f>+'Base de Datos'!N486</f>
        <v>43004</v>
      </c>
      <c r="I486" s="179"/>
      <c r="J486" s="360"/>
      <c r="K486" s="237"/>
      <c r="L486" s="363"/>
      <c r="M486" s="179"/>
      <c r="N486" s="360"/>
      <c r="O486" s="179"/>
      <c r="P486" s="365"/>
      <c r="Q486" s="86">
        <f t="shared" si="34"/>
        <v>0</v>
      </c>
      <c r="R486" s="284"/>
      <c r="S486" s="360"/>
      <c r="T486" s="179"/>
      <c r="U486" s="360"/>
      <c r="V486" s="179"/>
      <c r="W486" s="360"/>
      <c r="X486" s="179"/>
      <c r="Y486" s="360"/>
      <c r="Z486" s="353"/>
      <c r="AA486" s="89">
        <f t="shared" si="35"/>
        <v>0</v>
      </c>
      <c r="AB486" s="237">
        <v>700000</v>
      </c>
      <c r="AC486" s="237"/>
      <c r="AD486" s="237"/>
      <c r="AE486" s="237"/>
      <c r="AF486" s="237"/>
      <c r="AG486" s="237"/>
      <c r="AH486" s="237"/>
      <c r="AI486" s="237"/>
      <c r="AJ486" s="237"/>
      <c r="AK486" s="237"/>
      <c r="AL486" s="237"/>
      <c r="AM486" s="237"/>
      <c r="AN486" s="237"/>
      <c r="AO486" s="237"/>
      <c r="AP486" s="237"/>
      <c r="AQ486" s="237"/>
      <c r="AR486" s="237"/>
      <c r="AS486" s="237"/>
      <c r="AT486" s="360"/>
      <c r="AU486" s="91">
        <f t="shared" si="36"/>
        <v>700000</v>
      </c>
      <c r="AV486" s="14"/>
      <c r="AW486" s="1"/>
    </row>
    <row r="487" spans="1:49" s="57" customFormat="1" hidden="1" x14ac:dyDescent="0.25">
      <c r="A487" s="59"/>
      <c r="B487" s="2" t="str">
        <f>+'Base de Datos'!E487</f>
        <v>170004-0-2017</v>
      </c>
      <c r="C487" s="2" t="str">
        <f>+'Base de Datos'!F487</f>
        <v>UT AUTOGAS GRUPO EDS</v>
      </c>
      <c r="D487" s="2">
        <f>+'Base de Datos'!G487</f>
        <v>900459737</v>
      </c>
      <c r="E487" s="2" t="str">
        <f>+'Base de Datos'!H487</f>
        <v>Suministro de combustible para el Concejo de Bogotá D.C.</v>
      </c>
      <c r="F487" s="221">
        <f>+'Base de Datos'!I487</f>
        <v>433000000</v>
      </c>
      <c r="G487" s="220">
        <f>+'Base de Datos'!M487</f>
        <v>42767</v>
      </c>
      <c r="H487" s="220">
        <f>+'Base de Datos'!N487</f>
        <v>43100</v>
      </c>
      <c r="I487" s="179"/>
      <c r="J487" s="360"/>
      <c r="K487" s="237"/>
      <c r="L487" s="363"/>
      <c r="M487" s="179"/>
      <c r="N487" s="360"/>
      <c r="O487" s="179"/>
      <c r="P487" s="365"/>
      <c r="Q487" s="86">
        <f t="shared" si="34"/>
        <v>0</v>
      </c>
      <c r="R487" s="284" t="s">
        <v>1325</v>
      </c>
      <c r="S487" s="360">
        <v>43120</v>
      </c>
      <c r="T487" s="179"/>
      <c r="U487" s="360"/>
      <c r="V487" s="179"/>
      <c r="W487" s="360"/>
      <c r="X487" s="179"/>
      <c r="Y487" s="360"/>
      <c r="Z487" s="353" t="s">
        <v>1325</v>
      </c>
      <c r="AA487" s="89">
        <f t="shared" si="35"/>
        <v>43120</v>
      </c>
      <c r="AB487" s="237">
        <v>34761447</v>
      </c>
      <c r="AC487" s="237">
        <v>39025050</v>
      </c>
      <c r="AD487" s="237">
        <v>32775484</v>
      </c>
      <c r="AE487" s="237">
        <v>38628733</v>
      </c>
      <c r="AF487" s="237">
        <v>35299561</v>
      </c>
      <c r="AG487" s="237">
        <v>34410948</v>
      </c>
      <c r="AH487" s="237">
        <v>39486677</v>
      </c>
      <c r="AI487" s="237">
        <v>39378764</v>
      </c>
      <c r="AJ487" s="237">
        <v>37911133</v>
      </c>
      <c r="AK487" s="237">
        <v>39351909</v>
      </c>
      <c r="AL487" s="237">
        <v>36339738</v>
      </c>
      <c r="AM487" s="237">
        <v>20546100</v>
      </c>
      <c r="AN487" s="237"/>
      <c r="AO487" s="237"/>
      <c r="AP487" s="237"/>
      <c r="AQ487" s="237"/>
      <c r="AR487" s="237"/>
      <c r="AS487" s="237"/>
      <c r="AT487" s="360">
        <v>43152</v>
      </c>
      <c r="AU487" s="91">
        <f t="shared" si="36"/>
        <v>427915544</v>
      </c>
      <c r="AV487" s="14"/>
      <c r="AW487" s="1"/>
    </row>
    <row r="488" spans="1:49" s="57" customFormat="1" ht="67.5" hidden="1" x14ac:dyDescent="0.25">
      <c r="A488" s="59"/>
      <c r="B488" s="2" t="str">
        <f>+'Base de Datos'!E488</f>
        <v>170002-0-2017</v>
      </c>
      <c r="C488" s="2" t="str">
        <f>+'Base de Datos'!F488</f>
        <v>UNIDAD NACIONAL DE PROTECCION - UNP</v>
      </c>
      <c r="D488" s="2">
        <f>+'Base de Datos'!G488</f>
        <v>900475780</v>
      </c>
      <c r="E488" s="2" t="str">
        <f>+'Base de Datos'!H488</f>
        <v>Aunar esfuerzos humanos, técnicos, logísticos y administrativos para garantizar el esquema de seguridad requerido por los Concejales del Distrito Capital, que se encuentran en situación de riesgo extraordinario o extremo, como consecuencia directa del ejercicio de sus funciones.</v>
      </c>
      <c r="F488" s="221">
        <f>+'Base de Datos'!I488</f>
        <v>4108908000</v>
      </c>
      <c r="G488" s="220">
        <f>+'Base de Datos'!M488</f>
        <v>42751</v>
      </c>
      <c r="H488" s="220">
        <f>+'Base de Datos'!N488</f>
        <v>43070</v>
      </c>
      <c r="I488" s="179">
        <v>266119000</v>
      </c>
      <c r="J488" s="360">
        <v>43047</v>
      </c>
      <c r="K488" s="237"/>
      <c r="L488" s="363"/>
      <c r="M488" s="179"/>
      <c r="N488" s="360"/>
      <c r="O488" s="179"/>
      <c r="P488" s="365"/>
      <c r="Q488" s="86">
        <f t="shared" si="34"/>
        <v>266119000</v>
      </c>
      <c r="R488" s="284" t="s">
        <v>1324</v>
      </c>
      <c r="S488" s="360">
        <v>43100</v>
      </c>
      <c r="T488" s="179"/>
      <c r="U488" s="360"/>
      <c r="V488" s="179"/>
      <c r="W488" s="360"/>
      <c r="X488" s="179"/>
      <c r="Y488" s="360"/>
      <c r="Z488" s="353" t="s">
        <v>1324</v>
      </c>
      <c r="AA488" s="89">
        <f t="shared" si="35"/>
        <v>43100</v>
      </c>
      <c r="AB488" s="237">
        <v>1232672400</v>
      </c>
      <c r="AC488" s="237">
        <v>821781600</v>
      </c>
      <c r="AD488" s="237">
        <v>821781600</v>
      </c>
      <c r="AE488" s="237">
        <v>1232672400</v>
      </c>
      <c r="AF488" s="237">
        <v>239958165</v>
      </c>
      <c r="AG488" s="237"/>
      <c r="AH488" s="237"/>
      <c r="AI488" s="237"/>
      <c r="AJ488" s="237"/>
      <c r="AK488" s="237"/>
      <c r="AL488" s="237"/>
      <c r="AM488" s="237"/>
      <c r="AN488" s="237"/>
      <c r="AO488" s="237"/>
      <c r="AP488" s="237"/>
      <c r="AQ488" s="237"/>
      <c r="AR488" s="237"/>
      <c r="AS488" s="237"/>
      <c r="AT488" s="360">
        <v>43090</v>
      </c>
      <c r="AU488" s="91">
        <f t="shared" si="36"/>
        <v>4348866165</v>
      </c>
      <c r="AV488" s="14"/>
      <c r="AW488" s="1"/>
    </row>
    <row r="489" spans="1:49" s="57" customFormat="1" ht="78.75" hidden="1" x14ac:dyDescent="0.25">
      <c r="A489" s="59"/>
      <c r="B489" s="2" t="str">
        <f>+'Base de Datos'!E489</f>
        <v>170001-0-2017</v>
      </c>
      <c r="C489" s="2" t="str">
        <f>+'Base de Datos'!F489</f>
        <v>PERIODICOS Y PUBLICACIONES SA</v>
      </c>
      <c r="D489" s="2" t="str">
        <f>+'Base de Datos'!G489</f>
        <v>804010934-3</v>
      </c>
      <c r="E489" s="2" t="str">
        <f>+'Base de Datos'!H489</f>
        <v xml:space="preserve">Prestar los servicios de diseño, producción y ejecución de estrategias de divulgación en medios de comunicación de carácter masivo y alternativo para el Concejo de Bogotá; D.C., de conformidad con lo establecido en el pliego de condiciones de la subasta inversa electrónica SDH-SIE-24-2016 y la propuesta presentada por el contratista </v>
      </c>
      <c r="F489" s="221">
        <f>+'Base de Datos'!I489</f>
        <v>400000000</v>
      </c>
      <c r="G489" s="220">
        <f>+'Base de Datos'!M489</f>
        <v>42773</v>
      </c>
      <c r="H489" s="220">
        <f>+'Base de Datos'!N489</f>
        <v>43046</v>
      </c>
      <c r="I489" s="179"/>
      <c r="J489" s="360"/>
      <c r="K489" s="237"/>
      <c r="L489" s="363"/>
      <c r="M489" s="179"/>
      <c r="N489" s="360"/>
      <c r="O489" s="179"/>
      <c r="P489" s="365"/>
      <c r="Q489" s="86">
        <f t="shared" si="34"/>
        <v>0</v>
      </c>
      <c r="R489" s="284" t="s">
        <v>380</v>
      </c>
      <c r="S489" s="360">
        <v>43166</v>
      </c>
      <c r="T489" s="179" t="s">
        <v>381</v>
      </c>
      <c r="U489" s="360">
        <v>43197</v>
      </c>
      <c r="V489" s="179"/>
      <c r="W489" s="360"/>
      <c r="X489" s="179"/>
      <c r="Y489" s="360"/>
      <c r="Z489" s="353" t="s">
        <v>544</v>
      </c>
      <c r="AA489" s="89">
        <f t="shared" si="35"/>
        <v>43197</v>
      </c>
      <c r="AB489" s="237">
        <v>201962</v>
      </c>
      <c r="AC489" s="237">
        <v>6425070</v>
      </c>
      <c r="AD489" s="237">
        <v>5690972</v>
      </c>
      <c r="AE489" s="237">
        <v>93142669</v>
      </c>
      <c r="AF489" s="237">
        <v>3047040</v>
      </c>
      <c r="AG489" s="237">
        <v>90291237</v>
      </c>
      <c r="AH489" s="237">
        <v>7732900</v>
      </c>
      <c r="AI489" s="237">
        <v>5297500</v>
      </c>
      <c r="AJ489" s="237">
        <v>15731350</v>
      </c>
      <c r="AK489" s="237">
        <v>39946436</v>
      </c>
      <c r="AL489" s="237">
        <v>59026000</v>
      </c>
      <c r="AM489" s="237">
        <v>63612895</v>
      </c>
      <c r="AN489" s="237">
        <v>2542800</v>
      </c>
      <c r="AO489" s="237">
        <v>7302880</v>
      </c>
      <c r="AP489" s="237"/>
      <c r="AQ489" s="237"/>
      <c r="AR489" s="237"/>
      <c r="AS489" s="237"/>
      <c r="AT489" s="360">
        <v>43257</v>
      </c>
      <c r="AU489" s="91">
        <f t="shared" si="36"/>
        <v>399991711</v>
      </c>
      <c r="AV489" s="14"/>
      <c r="AW489" s="1"/>
    </row>
    <row r="490" spans="1:49" s="57" customFormat="1" ht="45" hidden="1" x14ac:dyDescent="0.25">
      <c r="A490" s="59"/>
      <c r="B490" s="2" t="str">
        <f>+'Base de Datos'!E490</f>
        <v>170014-0-2017</v>
      </c>
      <c r="C490" s="2" t="str">
        <f>+'Base de Datos'!F490</f>
        <v>JAVIER IGNACIO JATIVA GARCIA</v>
      </c>
      <c r="D490" s="2">
        <f>+'Base de Datos'!G490</f>
        <v>79246871</v>
      </c>
      <c r="E490" s="2" t="str">
        <f>+'Base de Datos'!H490</f>
        <v xml:space="preserve">Prestar servicios profesionales para apoyar a la Dirección Jurídica del Concejo de Bogotá, en la asesoría y respuesta a derechos de petición, solicitudes, denuncias, quejas, consultas y reclamos que reciba la corporación. </v>
      </c>
      <c r="F490" s="221">
        <f>+'Base de Datos'!I490</f>
        <v>3860000</v>
      </c>
      <c r="G490" s="220">
        <f>+'Base de Datos'!M490</f>
        <v>42772</v>
      </c>
      <c r="H490" s="220">
        <f>+'Base de Datos'!N490</f>
        <v>42800</v>
      </c>
      <c r="I490" s="179"/>
      <c r="J490" s="360"/>
      <c r="K490" s="237"/>
      <c r="L490" s="363"/>
      <c r="M490" s="179"/>
      <c r="N490" s="360"/>
      <c r="O490" s="179"/>
      <c r="P490" s="365"/>
      <c r="Q490" s="86">
        <f t="shared" si="34"/>
        <v>0</v>
      </c>
      <c r="R490" s="284"/>
      <c r="S490" s="360"/>
      <c r="T490" s="179"/>
      <c r="U490" s="360"/>
      <c r="V490" s="179"/>
      <c r="W490" s="360"/>
      <c r="X490" s="179"/>
      <c r="Y490" s="360"/>
      <c r="Z490" s="353"/>
      <c r="AA490" s="89">
        <f t="shared" si="35"/>
        <v>0</v>
      </c>
      <c r="AB490" s="237">
        <v>3860000</v>
      </c>
      <c r="AC490" s="237"/>
      <c r="AD490" s="237"/>
      <c r="AE490" s="237"/>
      <c r="AF490" s="237"/>
      <c r="AG490" s="237"/>
      <c r="AH490" s="237"/>
      <c r="AI490" s="237"/>
      <c r="AJ490" s="237"/>
      <c r="AK490" s="237"/>
      <c r="AL490" s="237"/>
      <c r="AM490" s="237"/>
      <c r="AN490" s="237"/>
      <c r="AO490" s="237"/>
      <c r="AP490" s="237"/>
      <c r="AQ490" s="237"/>
      <c r="AR490" s="237"/>
      <c r="AS490" s="237"/>
      <c r="AT490" s="360">
        <v>42804</v>
      </c>
      <c r="AU490" s="91">
        <f t="shared" si="36"/>
        <v>3860000</v>
      </c>
      <c r="AV490" s="14"/>
      <c r="AW490" s="1"/>
    </row>
    <row r="491" spans="1:49" s="57" customFormat="1" ht="45" hidden="1" x14ac:dyDescent="0.25">
      <c r="A491" s="59"/>
      <c r="B491" s="2" t="str">
        <f>+'Base de Datos'!E491</f>
        <v>170021-0-2017</v>
      </c>
      <c r="C491" s="2" t="str">
        <f>+'Base de Datos'!F491</f>
        <v>ANGELICA MARIA RUBIO POLANCO</v>
      </c>
      <c r="D491" s="2">
        <f>+'Base de Datos'!G491</f>
        <v>52963023</v>
      </c>
      <c r="E491" s="2" t="str">
        <f>+'Base de Datos'!H491</f>
        <v>Prestar servicios profesionales para apoyar al Director Jurídico del Concejo de Bogotá en el marco de los asuntos jurídicos y de la defensa judicial con el fin de desarrollar las actividades de acuerdo a la normatividad vigente.</v>
      </c>
      <c r="F491" s="221">
        <f>+'Base de Datos'!I491</f>
        <v>5700000</v>
      </c>
      <c r="G491" s="220">
        <f>+'Base de Datos'!M491</f>
        <v>42781</v>
      </c>
      <c r="H491" s="220">
        <f>+'Base de Datos'!N491</f>
        <v>42809</v>
      </c>
      <c r="I491" s="179"/>
      <c r="J491" s="360"/>
      <c r="K491" s="237"/>
      <c r="L491" s="363"/>
      <c r="M491" s="179"/>
      <c r="N491" s="360"/>
      <c r="O491" s="179"/>
      <c r="P491" s="365"/>
      <c r="Q491" s="86">
        <f t="shared" si="34"/>
        <v>0</v>
      </c>
      <c r="R491" s="284"/>
      <c r="S491" s="360"/>
      <c r="T491" s="179"/>
      <c r="U491" s="360"/>
      <c r="V491" s="179"/>
      <c r="W491" s="360"/>
      <c r="X491" s="179"/>
      <c r="Y491" s="360"/>
      <c r="Z491" s="353"/>
      <c r="AA491" s="89">
        <f t="shared" si="35"/>
        <v>0</v>
      </c>
      <c r="AB491" s="237">
        <v>5700000</v>
      </c>
      <c r="AC491" s="237"/>
      <c r="AD491" s="237"/>
      <c r="AE491" s="237"/>
      <c r="AF491" s="237"/>
      <c r="AG491" s="237"/>
      <c r="AH491" s="237"/>
      <c r="AI491" s="237"/>
      <c r="AJ491" s="237"/>
      <c r="AK491" s="237"/>
      <c r="AL491" s="237"/>
      <c r="AM491" s="237"/>
      <c r="AN491" s="237"/>
      <c r="AO491" s="237"/>
      <c r="AP491" s="237"/>
      <c r="AQ491" s="237"/>
      <c r="AR491" s="237"/>
      <c r="AS491" s="237"/>
      <c r="AT491" s="360">
        <v>42816</v>
      </c>
      <c r="AU491" s="91">
        <f t="shared" si="36"/>
        <v>5700000</v>
      </c>
      <c r="AV491" s="14"/>
      <c r="AW491" s="1"/>
    </row>
    <row r="492" spans="1:49" s="57" customFormat="1" ht="22.5" hidden="1" x14ac:dyDescent="0.25">
      <c r="A492" s="59"/>
      <c r="B492" s="2" t="str">
        <f>+'Base de Datos'!E492</f>
        <v>170041-0-2017</v>
      </c>
      <c r="C492" s="2" t="str">
        <f>+'Base de Datos'!F492</f>
        <v>SOLUCIONES ICG SAS</v>
      </c>
      <c r="D492" s="2" t="str">
        <f>+'Base de Datos'!G492</f>
        <v>900891247-9</v>
      </c>
      <c r="E492" s="2" t="str">
        <f>+'Base de Datos'!H492</f>
        <v>Prestar soporte y actualización del software antivirus para el Concejo de Bogotá.</v>
      </c>
      <c r="F492" s="221">
        <f>+'Base de Datos'!I492</f>
        <v>65851149</v>
      </c>
      <c r="G492" s="220">
        <f>+'Base de Datos'!M492</f>
        <v>42815</v>
      </c>
      <c r="H492" s="220">
        <f>+'Base de Datos'!N492</f>
        <v>43180</v>
      </c>
      <c r="I492" s="179"/>
      <c r="J492" s="360"/>
      <c r="K492" s="237"/>
      <c r="L492" s="363"/>
      <c r="M492" s="179"/>
      <c r="N492" s="360"/>
      <c r="O492" s="179"/>
      <c r="P492" s="365"/>
      <c r="Q492" s="86">
        <f t="shared" si="34"/>
        <v>0</v>
      </c>
      <c r="R492" s="284"/>
      <c r="S492" s="360"/>
      <c r="T492" s="179"/>
      <c r="U492" s="360"/>
      <c r="V492" s="179"/>
      <c r="W492" s="360"/>
      <c r="X492" s="179"/>
      <c r="Y492" s="360"/>
      <c r="Z492" s="353"/>
      <c r="AA492" s="89">
        <f t="shared" si="35"/>
        <v>0</v>
      </c>
      <c r="AB492" s="237">
        <v>61371989</v>
      </c>
      <c r="AC492" s="237">
        <v>2239580</v>
      </c>
      <c r="AD492" s="237">
        <v>2239580</v>
      </c>
      <c r="AE492" s="237"/>
      <c r="AF492" s="237"/>
      <c r="AG492" s="237"/>
      <c r="AH492" s="237"/>
      <c r="AI492" s="237"/>
      <c r="AJ492" s="237"/>
      <c r="AK492" s="237"/>
      <c r="AL492" s="237"/>
      <c r="AM492" s="237"/>
      <c r="AN492" s="237"/>
      <c r="AO492" s="237"/>
      <c r="AP492" s="237"/>
      <c r="AQ492" s="237"/>
      <c r="AR492" s="237"/>
      <c r="AS492" s="237"/>
      <c r="AT492" s="360">
        <v>42962</v>
      </c>
      <c r="AU492" s="91">
        <f t="shared" si="36"/>
        <v>65851149</v>
      </c>
      <c r="AV492" s="14"/>
      <c r="AW492" s="1"/>
    </row>
    <row r="493" spans="1:49" s="57" customFormat="1" ht="33.75" hidden="1" x14ac:dyDescent="0.25">
      <c r="A493" s="59"/>
      <c r="B493" s="2" t="str">
        <f>+'Base de Datos'!E493</f>
        <v>170045-0-2017</v>
      </c>
      <c r="C493" s="2" t="str">
        <f>+'Base de Datos'!F493</f>
        <v>EMPRESA DE TELECOMUNICACIONES DE BOGOTA S.A.   ESP</v>
      </c>
      <c r="D493" s="2" t="str">
        <f>+'Base de Datos'!G493</f>
        <v>899999115-8</v>
      </c>
      <c r="E493" s="2" t="str">
        <f>+'Base de Datos'!H493</f>
        <v>Proveer servicios de canales dedicados e internet y servicios complementarios para la Secretaria Distrital de Hacienda y Concejo de Bogotá.</v>
      </c>
      <c r="F493" s="221">
        <f>+'Base de Datos'!I493</f>
        <v>195049000</v>
      </c>
      <c r="G493" s="220">
        <f>+'Base de Datos'!M493</f>
        <v>42801</v>
      </c>
      <c r="H493" s="220">
        <f>+'Base de Datos'!N493</f>
        <v>43046</v>
      </c>
      <c r="I493" s="179"/>
      <c r="J493" s="360"/>
      <c r="K493" s="237"/>
      <c r="L493" s="363"/>
      <c r="M493" s="179"/>
      <c r="N493" s="360"/>
      <c r="O493" s="179"/>
      <c r="P493" s="365"/>
      <c r="Q493" s="86">
        <f t="shared" si="34"/>
        <v>0</v>
      </c>
      <c r="R493" s="284"/>
      <c r="S493" s="360"/>
      <c r="T493" s="179"/>
      <c r="U493" s="360"/>
      <c r="V493" s="179"/>
      <c r="W493" s="360"/>
      <c r="X493" s="179"/>
      <c r="Y493" s="360"/>
      <c r="Z493" s="353"/>
      <c r="AA493" s="89">
        <f t="shared" si="35"/>
        <v>0</v>
      </c>
      <c r="AB493" s="237">
        <v>92805400</v>
      </c>
      <c r="AC493" s="237">
        <v>97524308</v>
      </c>
      <c r="AD493" s="237">
        <v>4719292</v>
      </c>
      <c r="AE493" s="237"/>
      <c r="AF493" s="237"/>
      <c r="AG493" s="237"/>
      <c r="AH493" s="237"/>
      <c r="AI493" s="237"/>
      <c r="AJ493" s="237"/>
      <c r="AK493" s="237"/>
      <c r="AL493" s="237"/>
      <c r="AM493" s="237"/>
      <c r="AN493" s="237"/>
      <c r="AO493" s="237"/>
      <c r="AP493" s="237"/>
      <c r="AQ493" s="237"/>
      <c r="AR493" s="237"/>
      <c r="AS493" s="237"/>
      <c r="AT493" s="360">
        <v>43081</v>
      </c>
      <c r="AU493" s="91">
        <f t="shared" si="36"/>
        <v>195049000</v>
      </c>
      <c r="AV493" s="14"/>
      <c r="AW493" s="1"/>
    </row>
    <row r="494" spans="1:49" s="57" customFormat="1" ht="33.75" hidden="1" x14ac:dyDescent="0.25">
      <c r="A494" s="59"/>
      <c r="B494" s="2" t="str">
        <f>+'Base de Datos'!E494</f>
        <v>170049-0-2017</v>
      </c>
      <c r="C494" s="2" t="str">
        <f>+'Base de Datos'!F494</f>
        <v xml:space="preserve">MOTORES Y MAQUINAS S.A. MOTORYSA </v>
      </c>
      <c r="D494" s="2">
        <f>+'Base de Datos'!G494</f>
        <v>860019063</v>
      </c>
      <c r="E494" s="2" t="str">
        <f>+'Base de Datos'!H494</f>
        <v>Prestar servicios de mantenimiento correctivo con suministro de repuestos para los vehículos marca Mitsubshi al servicio del Concejo de Bogotá.</v>
      </c>
      <c r="F494" s="221">
        <f>+'Base de Datos'!I494</f>
        <v>28800000</v>
      </c>
      <c r="G494" s="220">
        <f>+'Base de Datos'!M494</f>
        <v>42810</v>
      </c>
      <c r="H494" s="220">
        <f>+'Base de Datos'!N494</f>
        <v>43175</v>
      </c>
      <c r="I494" s="179"/>
      <c r="J494" s="360"/>
      <c r="K494" s="237"/>
      <c r="L494" s="363"/>
      <c r="M494" s="179"/>
      <c r="N494" s="360"/>
      <c r="O494" s="179"/>
      <c r="P494" s="365"/>
      <c r="Q494" s="86">
        <f t="shared" si="34"/>
        <v>0</v>
      </c>
      <c r="R494" s="849" t="s">
        <v>3897</v>
      </c>
      <c r="S494" s="360">
        <v>43280</v>
      </c>
      <c r="T494" s="179"/>
      <c r="U494" s="360"/>
      <c r="V494" s="179"/>
      <c r="W494" s="360"/>
      <c r="X494" s="179"/>
      <c r="Y494" s="360"/>
      <c r="Z494" s="849" t="s">
        <v>3897</v>
      </c>
      <c r="AA494" s="89">
        <f t="shared" si="35"/>
        <v>43280</v>
      </c>
      <c r="AB494" s="237">
        <v>829177</v>
      </c>
      <c r="AC494" s="237">
        <v>544450</v>
      </c>
      <c r="AD494" s="237">
        <v>1074824</v>
      </c>
      <c r="AE494" s="237"/>
      <c r="AF494" s="237">
        <v>6668649</v>
      </c>
      <c r="AG494" s="237">
        <v>2478496</v>
      </c>
      <c r="AH494" s="237">
        <v>4978504</v>
      </c>
      <c r="AI494" s="237">
        <v>2510000</v>
      </c>
      <c r="AJ494" s="237"/>
      <c r="AK494" s="237"/>
      <c r="AL494" s="237"/>
      <c r="AM494" s="237"/>
      <c r="AN494" s="237"/>
      <c r="AO494" s="237"/>
      <c r="AP494" s="237"/>
      <c r="AQ494" s="237"/>
      <c r="AR494" s="237"/>
      <c r="AS494" s="237"/>
      <c r="AT494" s="360">
        <v>43304</v>
      </c>
      <c r="AU494" s="91">
        <f t="shared" si="36"/>
        <v>19084100</v>
      </c>
      <c r="AV494" s="14"/>
      <c r="AW494" s="1"/>
    </row>
    <row r="495" spans="1:49" s="57" customFormat="1" ht="22.5" hidden="1" x14ac:dyDescent="0.25">
      <c r="A495" s="59"/>
      <c r="B495" s="2" t="str">
        <f>+'Base de Datos'!E495</f>
        <v>170064-0-2017</v>
      </c>
      <c r="C495" s="2" t="str">
        <f>+'Base de Datos'!F495</f>
        <v>CASA EDITORIAL EL TIEMPO SA</v>
      </c>
      <c r="D495" s="2">
        <f>+'Base de Datos'!G495</f>
        <v>860001022</v>
      </c>
      <c r="E495" s="2" t="str">
        <f>+'Base de Datos'!H495</f>
        <v>Suscripción a los diarios el TIEMPO Y PORTAFOLIO para el Concejo de Bogotá D.C.</v>
      </c>
      <c r="F495" s="221">
        <f>+'Base de Datos'!I495</f>
        <v>1317000</v>
      </c>
      <c r="G495" s="220">
        <f>+'Base de Datos'!M495</f>
        <v>42817</v>
      </c>
      <c r="H495" s="220">
        <f>+'Base de Datos'!N495</f>
        <v>43182</v>
      </c>
      <c r="I495" s="179"/>
      <c r="J495" s="360"/>
      <c r="K495" s="237"/>
      <c r="L495" s="363"/>
      <c r="M495" s="179"/>
      <c r="N495" s="360"/>
      <c r="O495" s="179"/>
      <c r="P495" s="365"/>
      <c r="Q495" s="86">
        <f t="shared" si="34"/>
        <v>0</v>
      </c>
      <c r="R495" s="284"/>
      <c r="S495" s="360"/>
      <c r="T495" s="179"/>
      <c r="U495" s="360"/>
      <c r="V495" s="179"/>
      <c r="W495" s="360"/>
      <c r="X495" s="179"/>
      <c r="Y495" s="360"/>
      <c r="Z495" s="353"/>
      <c r="AA495" s="89">
        <f t="shared" si="35"/>
        <v>0</v>
      </c>
      <c r="AB495" s="237">
        <v>1317000</v>
      </c>
      <c r="AC495" s="237"/>
      <c r="AD495" s="237"/>
      <c r="AE495" s="237"/>
      <c r="AF495" s="237"/>
      <c r="AG495" s="237"/>
      <c r="AH495" s="237"/>
      <c r="AI495" s="237"/>
      <c r="AJ495" s="237"/>
      <c r="AK495" s="237"/>
      <c r="AL495" s="237"/>
      <c r="AM495" s="237"/>
      <c r="AN495" s="237"/>
      <c r="AO495" s="237"/>
      <c r="AP495" s="237"/>
      <c r="AQ495" s="237"/>
      <c r="AR495" s="237"/>
      <c r="AS495" s="237"/>
      <c r="AT495" s="360">
        <v>42849</v>
      </c>
      <c r="AU495" s="91">
        <f t="shared" si="36"/>
        <v>1317000</v>
      </c>
      <c r="AV495" s="14"/>
      <c r="AW495" s="1"/>
    </row>
    <row r="496" spans="1:49" s="57" customFormat="1" ht="33.75" hidden="1" x14ac:dyDescent="0.25">
      <c r="A496" s="59"/>
      <c r="B496" s="2" t="str">
        <f>+'Base de Datos'!E496</f>
        <v>170056-0-2017</v>
      </c>
      <c r="C496" s="2" t="str">
        <f>+'Base de Datos'!F496</f>
        <v>SOLUCIONES H &amp; S S.A.S</v>
      </c>
      <c r="D496" s="2" t="str">
        <f>+'Base de Datos'!G496</f>
        <v>900699012-3</v>
      </c>
      <c r="E496" s="2" t="str">
        <f>+'Base de Datos'!H496</f>
        <v>Prestar servicios de mantenimiento preventivo y correctivo de las alarmas de emergencia ubicadas en la sede principal del Concejo de Bogotá.</v>
      </c>
      <c r="F496" s="221">
        <f>+'Base de Datos'!I496</f>
        <v>2585000</v>
      </c>
      <c r="G496" s="220">
        <f>+'Base de Datos'!M496</f>
        <v>42846</v>
      </c>
      <c r="H496" s="220">
        <f>+'Base de Datos'!N496</f>
        <v>43211</v>
      </c>
      <c r="I496" s="179"/>
      <c r="J496" s="360"/>
      <c r="K496" s="237"/>
      <c r="L496" s="363"/>
      <c r="M496" s="179"/>
      <c r="N496" s="360"/>
      <c r="O496" s="179"/>
      <c r="P496" s="365"/>
      <c r="Q496" s="86">
        <f t="shared" si="34"/>
        <v>0</v>
      </c>
      <c r="R496" s="284"/>
      <c r="S496" s="360"/>
      <c r="T496" s="179"/>
      <c r="U496" s="360"/>
      <c r="V496" s="179"/>
      <c r="W496" s="360"/>
      <c r="X496" s="179"/>
      <c r="Y496" s="360"/>
      <c r="Z496" s="353"/>
      <c r="AA496" s="89">
        <f t="shared" si="35"/>
        <v>0</v>
      </c>
      <c r="AB496" s="237">
        <v>2583920</v>
      </c>
      <c r="AC496" s="237"/>
      <c r="AD496" s="237"/>
      <c r="AE496" s="237"/>
      <c r="AF496" s="237"/>
      <c r="AG496" s="237"/>
      <c r="AH496" s="237"/>
      <c r="AI496" s="237"/>
      <c r="AJ496" s="237"/>
      <c r="AK496" s="237"/>
      <c r="AL496" s="237"/>
      <c r="AM496" s="237"/>
      <c r="AN496" s="237"/>
      <c r="AO496" s="237"/>
      <c r="AP496" s="237"/>
      <c r="AQ496" s="237"/>
      <c r="AR496" s="237"/>
      <c r="AS496" s="237"/>
      <c r="AT496" s="360">
        <v>43242</v>
      </c>
      <c r="AU496" s="91">
        <f t="shared" si="36"/>
        <v>2583920</v>
      </c>
      <c r="AV496" s="14"/>
      <c r="AW496" s="1"/>
    </row>
    <row r="497" spans="1:49" s="57" customFormat="1" ht="45" hidden="1" x14ac:dyDescent="0.25">
      <c r="A497" s="59"/>
      <c r="B497" s="2" t="str">
        <f>+'Base de Datos'!E497</f>
        <v>170069-0-2017</v>
      </c>
      <c r="C497" s="2" t="str">
        <f>+'Base de Datos'!F497</f>
        <v>JOHN KENNEDY LEON CASTIBLANCO</v>
      </c>
      <c r="D497" s="2">
        <f>+'Base de Datos'!G497</f>
        <v>80100229</v>
      </c>
      <c r="E497" s="2" t="str">
        <f>+'Base de Datos'!H497</f>
        <v>Prestar servicios profesionales para apoyar en el desarrollo e implementación de los sistemas de información requeridos construidos bajo la plataforma Oracle en el Concejo de Bogotá D.C.</v>
      </c>
      <c r="F497" s="221">
        <f>+'Base de Datos'!I497</f>
        <v>70699200</v>
      </c>
      <c r="G497" s="220">
        <f>+'Base de Datos'!M497</f>
        <v>42821</v>
      </c>
      <c r="H497" s="220">
        <f>+'Base de Datos'!N497</f>
        <v>43186</v>
      </c>
      <c r="I497" s="179">
        <v>18067573</v>
      </c>
      <c r="J497" s="360">
        <v>43160</v>
      </c>
      <c r="K497" s="237"/>
      <c r="L497" s="363"/>
      <c r="M497" s="179"/>
      <c r="N497" s="360"/>
      <c r="O497" s="179"/>
      <c r="P497" s="365"/>
      <c r="Q497" s="86">
        <f t="shared" si="34"/>
        <v>18067573</v>
      </c>
      <c r="R497" s="849" t="s">
        <v>3882</v>
      </c>
      <c r="S497" s="360">
        <v>43280</v>
      </c>
      <c r="T497" s="179"/>
      <c r="U497" s="360"/>
      <c r="V497" s="179"/>
      <c r="W497" s="360"/>
      <c r="X497" s="179"/>
      <c r="Y497" s="360"/>
      <c r="Z497" s="849" t="s">
        <v>3882</v>
      </c>
      <c r="AA497" s="89">
        <f t="shared" si="35"/>
        <v>43280</v>
      </c>
      <c r="AB497" s="237">
        <v>785547</v>
      </c>
      <c r="AC497" s="237"/>
      <c r="AD497" s="237">
        <v>5891600</v>
      </c>
      <c r="AE497" s="237">
        <v>5891600</v>
      </c>
      <c r="AF497" s="237">
        <v>5891600</v>
      </c>
      <c r="AG497" s="237">
        <v>5891600</v>
      </c>
      <c r="AH497" s="237">
        <v>5891600</v>
      </c>
      <c r="AI497" s="237">
        <v>5891600</v>
      </c>
      <c r="AJ497" s="237">
        <v>5891600</v>
      </c>
      <c r="AK497" s="237">
        <v>5891600</v>
      </c>
      <c r="AL497" s="237">
        <v>5891600</v>
      </c>
      <c r="AM497" s="237">
        <v>5891600</v>
      </c>
      <c r="AN497" s="237">
        <v>5891600</v>
      </c>
      <c r="AO497" s="237">
        <v>5106053</v>
      </c>
      <c r="AP497" s="237">
        <v>785547</v>
      </c>
      <c r="AQ497" s="237">
        <v>5891600</v>
      </c>
      <c r="AR497" s="237">
        <v>5891600</v>
      </c>
      <c r="AS497" s="237">
        <v>5498826</v>
      </c>
      <c r="AT497" s="360">
        <v>43353</v>
      </c>
      <c r="AU497" s="91">
        <f>SUM(AB497:AS497)</f>
        <v>88766773</v>
      </c>
      <c r="AV497" s="14"/>
      <c r="AW497" s="1"/>
    </row>
    <row r="498" spans="1:49" s="57" customFormat="1" ht="45" hidden="1" x14ac:dyDescent="0.25">
      <c r="A498" s="59"/>
      <c r="B498" s="2" t="str">
        <f>+'Base de Datos'!E498</f>
        <v>170059-0-2017</v>
      </c>
      <c r="C498" s="2" t="str">
        <f>+'Base de Datos'!F498</f>
        <v>HERNANDO BULLA ORJUELA</v>
      </c>
      <c r="D498" s="2">
        <f>+'Base de Datos'!G498</f>
        <v>4831</v>
      </c>
      <c r="E498" s="2" t="str">
        <f>+'Base de Datos'!H498</f>
        <v>Prestar los servicios de mantenimiento preventivo y correctivo con suministro de repuestos de los automotores marca chevrolet al servicio del Concejo de Bogotá, D.C.</v>
      </c>
      <c r="F498" s="221">
        <f>+'Base de Datos'!I498</f>
        <v>34535000</v>
      </c>
      <c r="G498" s="220">
        <f>+'Base de Datos'!M498</f>
        <v>42831</v>
      </c>
      <c r="H498" s="220">
        <f>+'Base de Datos'!N498</f>
        <v>43196</v>
      </c>
      <c r="I498" s="179"/>
      <c r="J498" s="360"/>
      <c r="K498" s="237"/>
      <c r="L498" s="363"/>
      <c r="M498" s="179"/>
      <c r="N498" s="360"/>
      <c r="O498" s="179"/>
      <c r="P498" s="365"/>
      <c r="Q498" s="86">
        <f t="shared" si="34"/>
        <v>0</v>
      </c>
      <c r="R498" s="849" t="s">
        <v>976</v>
      </c>
      <c r="S498" s="360">
        <v>43280</v>
      </c>
      <c r="T498" s="179" t="s">
        <v>381</v>
      </c>
      <c r="U498" s="360">
        <v>43310</v>
      </c>
      <c r="V498" s="179"/>
      <c r="W498" s="360"/>
      <c r="X498" s="179"/>
      <c r="Y498" s="360"/>
      <c r="Z498" s="849" t="s">
        <v>998</v>
      </c>
      <c r="AA498" s="89">
        <f t="shared" si="35"/>
        <v>43310</v>
      </c>
      <c r="AB498" s="237">
        <v>3328899</v>
      </c>
      <c r="AC498" s="237">
        <v>1463904</v>
      </c>
      <c r="AD498" s="237">
        <v>2279286</v>
      </c>
      <c r="AE498" s="237">
        <v>7842494</v>
      </c>
      <c r="AF498" s="237"/>
      <c r="AG498" s="237"/>
      <c r="AH498" s="237"/>
      <c r="AI498" s="237"/>
      <c r="AJ498" s="237">
        <v>5219436</v>
      </c>
      <c r="AK498" s="237">
        <v>612780</v>
      </c>
      <c r="AL498" s="237"/>
      <c r="AM498" s="237"/>
      <c r="AN498" s="237"/>
      <c r="AO498" s="237"/>
      <c r="AP498" s="237"/>
      <c r="AQ498" s="237"/>
      <c r="AR498" s="237"/>
      <c r="AS498" s="237"/>
      <c r="AT498" s="360">
        <v>43229</v>
      </c>
      <c r="AU498" s="91">
        <f t="shared" si="36"/>
        <v>20746799</v>
      </c>
      <c r="AV498" s="14"/>
      <c r="AW498" s="1"/>
    </row>
    <row r="499" spans="1:49" s="57" customFormat="1" ht="33.75" hidden="1" x14ac:dyDescent="0.25">
      <c r="A499" s="59"/>
      <c r="B499" s="2" t="str">
        <f>+'Base de Datos'!E499</f>
        <v>170085-0-2017</v>
      </c>
      <c r="C499" s="2" t="str">
        <f>+'Base de Datos'!F499</f>
        <v>SERVIASEO S.A.</v>
      </c>
      <c r="D499" s="2">
        <f>+'Base de Datos'!G499</f>
        <v>860067479</v>
      </c>
      <c r="E499" s="2" t="str">
        <f>+'Base de Datos'!H499</f>
        <v>Prestar servicios integrales de aseo y cafetería y servicio de fumigación para las instalaciones del Concejo de Bogotá, D.C</v>
      </c>
      <c r="F499" s="221">
        <f>+'Base de Datos'!I499</f>
        <v>270913000</v>
      </c>
      <c r="G499" s="220">
        <f>+'Base de Datos'!M499</f>
        <v>42829</v>
      </c>
      <c r="H499" s="220">
        <f>+'Base de Datos'!N499</f>
        <v>43073</v>
      </c>
      <c r="I499" s="179">
        <v>17000000</v>
      </c>
      <c r="J499" s="360">
        <v>43073</v>
      </c>
      <c r="K499" s="237">
        <v>120007500</v>
      </c>
      <c r="L499" s="363">
        <v>43131</v>
      </c>
      <c r="M499" s="179"/>
      <c r="N499" s="360"/>
      <c r="O499" s="179"/>
      <c r="P499" s="365"/>
      <c r="Q499" s="86">
        <f t="shared" si="34"/>
        <v>137007500</v>
      </c>
      <c r="R499" s="849" t="s">
        <v>3753</v>
      </c>
      <c r="S499" s="360">
        <v>43131</v>
      </c>
      <c r="T499" s="179" t="s">
        <v>380</v>
      </c>
      <c r="U499" s="360">
        <v>43251</v>
      </c>
      <c r="V499" s="179"/>
      <c r="W499" s="360"/>
      <c r="X499" s="179"/>
      <c r="Y499" s="360"/>
      <c r="Z499" s="849" t="s">
        <v>3858</v>
      </c>
      <c r="AA499" s="89">
        <f t="shared" si="35"/>
        <v>43251</v>
      </c>
      <c r="AB499" s="237">
        <v>22780969</v>
      </c>
      <c r="AC499" s="237">
        <v>23940637</v>
      </c>
      <c r="AD499" s="237">
        <v>27091759</v>
      </c>
      <c r="AE499" s="237">
        <v>26977441</v>
      </c>
      <c r="AF499" s="237">
        <v>30254652</v>
      </c>
      <c r="AG499" s="237">
        <v>27742942</v>
      </c>
      <c r="AH499" s="237">
        <v>30846374</v>
      </c>
      <c r="AI499" s="237"/>
      <c r="AJ499" s="237">
        <v>29047077</v>
      </c>
      <c r="AK499" s="237">
        <v>32009514</v>
      </c>
      <c r="AL499" s="237">
        <v>23887362</v>
      </c>
      <c r="AM499" s="237">
        <v>10271730</v>
      </c>
      <c r="AN499" s="237">
        <v>20198422</v>
      </c>
      <c r="AO499" s="237">
        <v>3062543</v>
      </c>
      <c r="AP499" s="237">
        <v>27310569</v>
      </c>
      <c r="AQ499" s="237">
        <v>21811431</v>
      </c>
      <c r="AR499" s="237">
        <v>32903149</v>
      </c>
      <c r="AS499" s="237"/>
      <c r="AT499" s="360">
        <v>43304</v>
      </c>
      <c r="AU499" s="91">
        <f t="shared" si="36"/>
        <v>390136571</v>
      </c>
      <c r="AV499" s="14"/>
      <c r="AW499" s="1"/>
    </row>
    <row r="500" spans="1:49" s="57" customFormat="1" ht="33.75" hidden="1" x14ac:dyDescent="0.25">
      <c r="A500" s="59"/>
      <c r="B500" s="2" t="str">
        <f>+'Base de Datos'!E500</f>
        <v>170079-0-2017</v>
      </c>
      <c r="C500" s="2" t="str">
        <f>+'Base de Datos'!F500</f>
        <v>AGR SOLUCIONES SAS</v>
      </c>
      <c r="D500" s="2" t="str">
        <f>+'Base de Datos'!G500</f>
        <v>900333228-6</v>
      </c>
      <c r="E500" s="2" t="str">
        <f>+'Base de Datos'!H500</f>
        <v>Prestar el servicio de mantenimiento con suministro de repuestos para plantas purificadoras semi-industriales de agua del Concejo de Bogotá.</v>
      </c>
      <c r="F500" s="221">
        <f>+'Base de Datos'!I500</f>
        <v>3725711</v>
      </c>
      <c r="G500" s="220">
        <f>+'Base de Datos'!M500</f>
        <v>42831</v>
      </c>
      <c r="H500" s="220">
        <f>+'Base de Datos'!N500</f>
        <v>43196</v>
      </c>
      <c r="I500" s="179"/>
      <c r="J500" s="360"/>
      <c r="K500" s="237"/>
      <c r="L500" s="363"/>
      <c r="M500" s="179"/>
      <c r="N500" s="360"/>
      <c r="O500" s="179"/>
      <c r="P500" s="365"/>
      <c r="Q500" s="86">
        <f t="shared" si="34"/>
        <v>0</v>
      </c>
      <c r="R500" s="284"/>
      <c r="S500" s="360"/>
      <c r="T500" s="179"/>
      <c r="U500" s="360"/>
      <c r="V500" s="179"/>
      <c r="W500" s="360"/>
      <c r="X500" s="179"/>
      <c r="Y500" s="360"/>
      <c r="Z500" s="353"/>
      <c r="AA500" s="89">
        <f t="shared" si="35"/>
        <v>0</v>
      </c>
      <c r="AB500" s="237">
        <v>142800</v>
      </c>
      <c r="AC500" s="237">
        <v>142800</v>
      </c>
      <c r="AD500" s="237"/>
      <c r="AE500" s="237"/>
      <c r="AF500" s="237"/>
      <c r="AG500" s="237"/>
      <c r="AH500" s="237"/>
      <c r="AI500" s="237"/>
      <c r="AJ500" s="237"/>
      <c r="AK500" s="237"/>
      <c r="AL500" s="237"/>
      <c r="AM500" s="237"/>
      <c r="AN500" s="237"/>
      <c r="AO500" s="237"/>
      <c r="AP500" s="237"/>
      <c r="AQ500" s="237"/>
      <c r="AR500" s="237"/>
      <c r="AS500" s="237"/>
      <c r="AT500" s="360">
        <v>42956</v>
      </c>
      <c r="AU500" s="91">
        <f t="shared" si="36"/>
        <v>285600</v>
      </c>
      <c r="AV500" s="14"/>
      <c r="AW500" s="1"/>
    </row>
    <row r="501" spans="1:49" s="57" customFormat="1" ht="45" hidden="1" x14ac:dyDescent="0.25">
      <c r="A501" s="59"/>
      <c r="B501" s="2" t="str">
        <f>+'Base de Datos'!E501</f>
        <v>170083-0-2017</v>
      </c>
      <c r="C501" s="2" t="str">
        <f>+'Base de Datos'!F501</f>
        <v>SOLUCIONES Y DIAGNÓSTICOS EN INGENIERÍA ELÉCTRICA LTDA</v>
      </c>
      <c r="D501" s="2" t="str">
        <f>+'Base de Datos'!G501</f>
        <v>900268429-1</v>
      </c>
      <c r="E501" s="2" t="str">
        <f>+'Base de Datos'!H501</f>
        <v xml:space="preserve">Prestar servicios de mantenimiento preventivo y correctivo al sistema eléctrico del centro Administrativo Distrital CAD y al sistema de generación y transferencia eléctrica de emergencia del Concejo de Bogotá. </v>
      </c>
      <c r="F501" s="221">
        <f>+'Base de Datos'!I501</f>
        <v>10473600</v>
      </c>
      <c r="G501" s="220">
        <f>+'Base de Datos'!M501</f>
        <v>42857</v>
      </c>
      <c r="H501" s="220">
        <f>+'Base de Datos'!N501</f>
        <v>43161</v>
      </c>
      <c r="I501" s="179"/>
      <c r="J501" s="360"/>
      <c r="K501" s="237"/>
      <c r="L501" s="363"/>
      <c r="M501" s="179"/>
      <c r="N501" s="360"/>
      <c r="O501" s="179"/>
      <c r="P501" s="365"/>
      <c r="Q501" s="86">
        <f t="shared" si="34"/>
        <v>0</v>
      </c>
      <c r="R501" s="284"/>
      <c r="S501" s="360"/>
      <c r="T501" s="179"/>
      <c r="U501" s="360"/>
      <c r="V501" s="179"/>
      <c r="W501" s="360"/>
      <c r="X501" s="179"/>
      <c r="Y501" s="360"/>
      <c r="Z501" s="353"/>
      <c r="AA501" s="89">
        <f t="shared" si="35"/>
        <v>0</v>
      </c>
      <c r="AB501" s="237">
        <v>1954488</v>
      </c>
      <c r="AC501" s="237">
        <v>4721000</v>
      </c>
      <c r="AD501" s="237">
        <v>1488960</v>
      </c>
      <c r="AE501" s="237">
        <v>1488960</v>
      </c>
      <c r="AF501" s="237">
        <v>813960</v>
      </c>
      <c r="AG501" s="237"/>
      <c r="AH501" s="237"/>
      <c r="AI501" s="237"/>
      <c r="AJ501" s="237"/>
      <c r="AK501" s="237"/>
      <c r="AL501" s="237"/>
      <c r="AM501" s="237"/>
      <c r="AN501" s="237"/>
      <c r="AO501" s="237"/>
      <c r="AP501" s="237"/>
      <c r="AQ501" s="237"/>
      <c r="AR501" s="237"/>
      <c r="AS501" s="237"/>
      <c r="AT501" s="360">
        <v>43175</v>
      </c>
      <c r="AU501" s="91">
        <f t="shared" si="36"/>
        <v>10467368</v>
      </c>
      <c r="AV501" s="14"/>
      <c r="AW501" s="1"/>
    </row>
    <row r="502" spans="1:49" s="57" customFormat="1" ht="22.5" hidden="1" x14ac:dyDescent="0.25">
      <c r="A502" s="59"/>
      <c r="B502" s="2" t="str">
        <f>+'Base de Datos'!E502</f>
        <v>170095-0-2017</v>
      </c>
      <c r="C502" s="2" t="str">
        <f>+'Base de Datos'!F502</f>
        <v>D P C LTDA DESPACHOS PUBLICOS DE COLOMBIA LTDA</v>
      </c>
      <c r="D502" s="2">
        <f>+'Base de Datos'!G502</f>
        <v>800249557</v>
      </c>
      <c r="E502" s="2" t="str">
        <f>+'Base de Datos'!H502</f>
        <v>Proveer ejemplares del Directorio de Despachos Públicos de Colombia 2017, para el Concejo de Bogotá D.C.</v>
      </c>
      <c r="F502" s="221">
        <f>+'Base de Datos'!I502</f>
        <v>4300000</v>
      </c>
      <c r="G502" s="220">
        <f>+'Base de Datos'!M502</f>
        <v>42849</v>
      </c>
      <c r="H502" s="220">
        <f>+'Base de Datos'!N502</f>
        <v>43002</v>
      </c>
      <c r="I502" s="179"/>
      <c r="J502" s="360"/>
      <c r="K502" s="237"/>
      <c r="L502" s="363"/>
      <c r="M502" s="179"/>
      <c r="N502" s="360"/>
      <c r="O502" s="179"/>
      <c r="P502" s="365"/>
      <c r="Q502" s="86">
        <f t="shared" si="34"/>
        <v>0</v>
      </c>
      <c r="R502" s="284"/>
      <c r="S502" s="360"/>
      <c r="T502" s="179"/>
      <c r="U502" s="360"/>
      <c r="V502" s="179"/>
      <c r="W502" s="360"/>
      <c r="X502" s="179"/>
      <c r="Y502" s="360"/>
      <c r="Z502" s="353"/>
      <c r="AA502" s="89">
        <f t="shared" si="35"/>
        <v>0</v>
      </c>
      <c r="AB502" s="237">
        <v>4300000</v>
      </c>
      <c r="AC502" s="237"/>
      <c r="AD502" s="237"/>
      <c r="AE502" s="237"/>
      <c r="AF502" s="237"/>
      <c r="AG502" s="237"/>
      <c r="AH502" s="237"/>
      <c r="AI502" s="237"/>
      <c r="AJ502" s="237"/>
      <c r="AK502" s="237"/>
      <c r="AL502" s="237"/>
      <c r="AM502" s="237"/>
      <c r="AN502" s="237"/>
      <c r="AO502" s="237"/>
      <c r="AP502" s="237"/>
      <c r="AQ502" s="237"/>
      <c r="AR502" s="237"/>
      <c r="AS502" s="237"/>
      <c r="AT502" s="360">
        <v>42983</v>
      </c>
      <c r="AU502" s="91">
        <f t="shared" si="36"/>
        <v>4300000</v>
      </c>
      <c r="AV502" s="14"/>
      <c r="AW502" s="1"/>
    </row>
    <row r="503" spans="1:49" s="57" customFormat="1" ht="45" hidden="1" x14ac:dyDescent="0.25">
      <c r="A503" s="59"/>
      <c r="B503" s="2" t="str">
        <f>+'Base de Datos'!E503</f>
        <v>170101-0-2017</v>
      </c>
      <c r="C503" s="2" t="str">
        <f>+'Base de Datos'!F503</f>
        <v>ANDRES MAURICIO BARRERA HERNANDEZ</v>
      </c>
      <c r="D503" s="2">
        <f>+'Base de Datos'!G503</f>
        <v>86058835</v>
      </c>
      <c r="E503" s="2" t="str">
        <f>+'Base de Datos'!H503</f>
        <v>Prestar los servicios profesionales para apoyar la definición, contratación y seguimiento a los temas de infraestructura física que requiera el Concejo de Bogotá, D.C.</v>
      </c>
      <c r="F503" s="221">
        <f>+'Base de Datos'!I503</f>
        <v>54000000</v>
      </c>
      <c r="G503" s="220">
        <f>+'Base de Datos'!M503</f>
        <v>42849</v>
      </c>
      <c r="H503" s="220">
        <f>+'Base de Datos'!N503</f>
        <v>43155</v>
      </c>
      <c r="I503" s="179">
        <v>22500000</v>
      </c>
      <c r="J503" s="360">
        <v>43130</v>
      </c>
      <c r="K503" s="237"/>
      <c r="L503" s="363"/>
      <c r="M503" s="179"/>
      <c r="N503" s="360"/>
      <c r="O503" s="179"/>
      <c r="P503" s="365"/>
      <c r="Q503" s="86">
        <f t="shared" si="34"/>
        <v>22500000</v>
      </c>
      <c r="R503" s="849" t="s">
        <v>3849</v>
      </c>
      <c r="S503" s="360">
        <v>43280</v>
      </c>
      <c r="T503" s="179"/>
      <c r="U503" s="360"/>
      <c r="V503" s="179"/>
      <c r="W503" s="360"/>
      <c r="X503" s="179"/>
      <c r="Y503" s="360"/>
      <c r="Z503" s="849" t="s">
        <v>3849</v>
      </c>
      <c r="AA503" s="89">
        <f t="shared" si="35"/>
        <v>43280</v>
      </c>
      <c r="AB503" s="237">
        <v>1260000</v>
      </c>
      <c r="AC503" s="237">
        <v>5400000</v>
      </c>
      <c r="AD503" s="237">
        <v>5400000</v>
      </c>
      <c r="AE503" s="237">
        <v>5400000</v>
      </c>
      <c r="AF503" s="237"/>
      <c r="AG503" s="237">
        <v>5400000</v>
      </c>
      <c r="AH503" s="237">
        <v>5400000</v>
      </c>
      <c r="AI503" s="237">
        <v>5400000</v>
      </c>
      <c r="AJ503" s="237">
        <v>5400000</v>
      </c>
      <c r="AK503" s="237">
        <v>5400000</v>
      </c>
      <c r="AL503" s="237">
        <v>5400000</v>
      </c>
      <c r="AM503" s="237">
        <v>4140000</v>
      </c>
      <c r="AN503" s="237">
        <v>1260000</v>
      </c>
      <c r="AO503" s="237">
        <v>5400000</v>
      </c>
      <c r="AP503" s="237">
        <v>5400000</v>
      </c>
      <c r="AQ503" s="237">
        <v>5400000</v>
      </c>
      <c r="AR503" s="237">
        <v>5040000</v>
      </c>
      <c r="AS503" s="237"/>
      <c r="AT503" s="360">
        <v>43300</v>
      </c>
      <c r="AU503" s="91">
        <f t="shared" si="36"/>
        <v>76500000</v>
      </c>
      <c r="AV503" s="14"/>
      <c r="AW503" s="1"/>
    </row>
    <row r="504" spans="1:49" s="57" customFormat="1" ht="45" hidden="1" x14ac:dyDescent="0.25">
      <c r="A504" s="59"/>
      <c r="B504" s="2" t="str">
        <f>+'Base de Datos'!E504</f>
        <v>170105-0-2017</v>
      </c>
      <c r="C504" s="2" t="str">
        <f>+'Base de Datos'!F504</f>
        <v>CLAUDIA ELVIRA RODRIGUEZ POVEDA</v>
      </c>
      <c r="D504" s="2">
        <f>+'Base de Datos'!G504</f>
        <v>35493364</v>
      </c>
      <c r="E504" s="2" t="str">
        <f>+'Base de Datos'!H504</f>
        <v xml:space="preserve">Prestar servicios profesionales para apoyar al Director Administrativo del Concejo de Bogotá, en los asuntos propios de la dependencia en el marco del Sistema Integrado de Gestión. </v>
      </c>
      <c r="F504" s="221">
        <f>+'Base de Datos'!I504</f>
        <v>51300000</v>
      </c>
      <c r="G504" s="220">
        <f>+'Base de Datos'!M504</f>
        <v>42850</v>
      </c>
      <c r="H504" s="220">
        <f>+'Base de Datos'!N504</f>
        <v>43125</v>
      </c>
      <c r="I504" s="179">
        <v>25650000</v>
      </c>
      <c r="J504" s="360">
        <v>43122</v>
      </c>
      <c r="K504" s="237"/>
      <c r="L504" s="363"/>
      <c r="M504" s="179"/>
      <c r="N504" s="360"/>
      <c r="O504" s="179"/>
      <c r="P504" s="365"/>
      <c r="Q504" s="86">
        <f t="shared" si="34"/>
        <v>25650000</v>
      </c>
      <c r="R504" s="849" t="s">
        <v>2589</v>
      </c>
      <c r="S504" s="360">
        <v>43260</v>
      </c>
      <c r="T504" s="179"/>
      <c r="U504" s="360"/>
      <c r="V504" s="179"/>
      <c r="W504" s="360"/>
      <c r="X504" s="179"/>
      <c r="Y504" s="360"/>
      <c r="Z504" s="353" t="s">
        <v>2589</v>
      </c>
      <c r="AA504" s="89">
        <f t="shared" si="35"/>
        <v>43260</v>
      </c>
      <c r="AB504" s="237">
        <v>1140000</v>
      </c>
      <c r="AC504" s="237">
        <v>5700000</v>
      </c>
      <c r="AD504" s="237">
        <v>5700000</v>
      </c>
      <c r="AE504" s="237">
        <v>5700000</v>
      </c>
      <c r="AF504" s="237">
        <v>5700000</v>
      </c>
      <c r="AG504" s="237">
        <v>5700000</v>
      </c>
      <c r="AH504" s="237">
        <v>5700000</v>
      </c>
      <c r="AI504" s="237">
        <v>5700000</v>
      </c>
      <c r="AJ504" s="237">
        <v>5700000</v>
      </c>
      <c r="AK504" s="237">
        <v>4560000</v>
      </c>
      <c r="AL504" s="237">
        <v>1140000</v>
      </c>
      <c r="AM504" s="237">
        <v>5700000</v>
      </c>
      <c r="AN504" s="237">
        <v>5700000</v>
      </c>
      <c r="AO504" s="237">
        <v>5700000</v>
      </c>
      <c r="AP504" s="237">
        <v>5700000</v>
      </c>
      <c r="AQ504" s="237">
        <v>1710000</v>
      </c>
      <c r="AR504" s="237"/>
      <c r="AS504" s="237"/>
      <c r="AT504" s="360">
        <v>43258</v>
      </c>
      <c r="AU504" s="91">
        <f t="shared" si="36"/>
        <v>76950000</v>
      </c>
      <c r="AV504" s="14"/>
      <c r="AW504" s="1"/>
    </row>
    <row r="505" spans="1:49" s="57" customFormat="1" ht="22.5" hidden="1" x14ac:dyDescent="0.25">
      <c r="A505" s="59"/>
      <c r="B505" s="2" t="str">
        <f>+'Base de Datos'!E505</f>
        <v>170040-0-2017</v>
      </c>
      <c r="C505" s="2" t="str">
        <f>+'Base de Datos'!F505</f>
        <v>ORACLE COLOMBIA LTDA</v>
      </c>
      <c r="D505" s="2">
        <f>+'Base de Datos'!G505</f>
        <v>800103052</v>
      </c>
      <c r="E505" s="2" t="str">
        <f>+'Base de Datos'!H505</f>
        <v>Prestar los servicios de soporte técnico y actualización de productos de Oracle para el Concejo de Bogotá.</v>
      </c>
      <c r="F505" s="221">
        <f>+'Base de Datos'!I505</f>
        <v>208669579</v>
      </c>
      <c r="G505" s="220">
        <f>+'Base de Datos'!M505</f>
        <v>42857</v>
      </c>
      <c r="H505" s="220">
        <f>+'Base de Datos'!N505</f>
        <v>43100</v>
      </c>
      <c r="I505" s="179"/>
      <c r="J505" s="360"/>
      <c r="K505" s="237"/>
      <c r="L505" s="363"/>
      <c r="M505" s="179"/>
      <c r="N505" s="360"/>
      <c r="O505" s="179"/>
      <c r="P505" s="365"/>
      <c r="Q505" s="86">
        <f t="shared" si="34"/>
        <v>0</v>
      </c>
      <c r="R505" s="284"/>
      <c r="S505" s="360"/>
      <c r="T505" s="179"/>
      <c r="U505" s="360"/>
      <c r="V505" s="179"/>
      <c r="W505" s="360"/>
      <c r="X505" s="179"/>
      <c r="Y505" s="360"/>
      <c r="Z505" s="353"/>
      <c r="AA505" s="89">
        <f t="shared" si="35"/>
        <v>0</v>
      </c>
      <c r="AB505" s="237">
        <v>208669579</v>
      </c>
      <c r="AC505" s="237"/>
      <c r="AD505" s="237"/>
      <c r="AE505" s="237"/>
      <c r="AF505" s="237"/>
      <c r="AG505" s="237"/>
      <c r="AH505" s="237"/>
      <c r="AI505" s="237"/>
      <c r="AJ505" s="237"/>
      <c r="AK505" s="237"/>
      <c r="AL505" s="237"/>
      <c r="AM505" s="237"/>
      <c r="AN505" s="237"/>
      <c r="AO505" s="237"/>
      <c r="AP505" s="237"/>
      <c r="AQ505" s="237"/>
      <c r="AR505" s="237"/>
      <c r="AS505" s="237"/>
      <c r="AT505" s="360">
        <v>42895</v>
      </c>
      <c r="AU505" s="91">
        <f t="shared" si="36"/>
        <v>208669579</v>
      </c>
      <c r="AV505" s="14"/>
      <c r="AW505" s="1"/>
    </row>
    <row r="506" spans="1:49" s="57" customFormat="1" ht="56.25" hidden="1" x14ac:dyDescent="0.25">
      <c r="A506" s="59"/>
      <c r="B506" s="2" t="str">
        <f>+'Base de Datos'!E506</f>
        <v>170099-0-2017</v>
      </c>
      <c r="C506" s="2" t="str">
        <f>+'Base de Datos'!F506</f>
        <v>BLANCA EDILSA VARGAS CAVIELES</v>
      </c>
      <c r="D506" s="2">
        <f>+'Base de Datos'!G506</f>
        <v>41782234</v>
      </c>
      <c r="E506" s="2" t="str">
        <f>+'Base de Datos'!H506</f>
        <v>Prestar servicios profesionales para apoyar al Director Jurídico del Concejo de Bogotá, en el marco de los asuntos jurídicos y de la defensa judicial con el fin de desarrollar las actividades de acuerdo a la normatividad vigente.</v>
      </c>
      <c r="F506" s="221">
        <f>+'Base de Datos'!I506</f>
        <v>57000000</v>
      </c>
      <c r="G506" s="220">
        <f>+'Base de Datos'!M506</f>
        <v>42846</v>
      </c>
      <c r="H506" s="220">
        <f>+'Base de Datos'!N506</f>
        <v>43152</v>
      </c>
      <c r="I506" s="179">
        <v>24320000</v>
      </c>
      <c r="J506" s="360">
        <v>43132</v>
      </c>
      <c r="K506" s="237"/>
      <c r="L506" s="363"/>
      <c r="M506" s="179"/>
      <c r="N506" s="360"/>
      <c r="O506" s="179"/>
      <c r="P506" s="365"/>
      <c r="Q506" s="86">
        <f t="shared" si="34"/>
        <v>24320000</v>
      </c>
      <c r="R506" s="849" t="s">
        <v>3869</v>
      </c>
      <c r="S506" s="360">
        <v>43280</v>
      </c>
      <c r="T506" s="179"/>
      <c r="U506" s="360"/>
      <c r="V506" s="179"/>
      <c r="W506" s="360"/>
      <c r="X506" s="179"/>
      <c r="Y506" s="360"/>
      <c r="Z506" s="849" t="s">
        <v>3869</v>
      </c>
      <c r="AA506" s="89">
        <f t="shared" si="35"/>
        <v>43280</v>
      </c>
      <c r="AB506" s="237">
        <v>1900000</v>
      </c>
      <c r="AC506" s="237">
        <v>5700000</v>
      </c>
      <c r="AD506" s="237">
        <v>5700000</v>
      </c>
      <c r="AE506" s="237">
        <v>5700000</v>
      </c>
      <c r="AF506" s="237">
        <v>5700000</v>
      </c>
      <c r="AG506" s="237">
        <v>5700000</v>
      </c>
      <c r="AH506" s="237">
        <v>5700000</v>
      </c>
      <c r="AI506" s="237">
        <v>5700000</v>
      </c>
      <c r="AJ506" s="237">
        <v>5700000</v>
      </c>
      <c r="AK506" s="237">
        <v>5700000</v>
      </c>
      <c r="AL506" s="237">
        <v>3800000</v>
      </c>
      <c r="AM506" s="237">
        <v>1900000</v>
      </c>
      <c r="AN506" s="237">
        <v>5700000</v>
      </c>
      <c r="AO506" s="237">
        <v>5700000</v>
      </c>
      <c r="AP506" s="237">
        <v>5700000</v>
      </c>
      <c r="AQ506" s="237">
        <v>5320000</v>
      </c>
      <c r="AR506" s="237"/>
      <c r="AS506" s="237"/>
      <c r="AT506" s="360">
        <v>43305</v>
      </c>
      <c r="AU506" s="91">
        <f t="shared" si="36"/>
        <v>81320000</v>
      </c>
      <c r="AV506" s="14"/>
      <c r="AW506" s="1"/>
    </row>
    <row r="507" spans="1:49" s="57" customFormat="1" ht="22.5" hidden="1" x14ac:dyDescent="0.25">
      <c r="A507" s="59"/>
      <c r="B507" s="2" t="str">
        <f>+'Base de Datos'!E507</f>
        <v>170081-0-2017</v>
      </c>
      <c r="C507" s="2" t="str">
        <f>+'Base de Datos'!F507</f>
        <v>ESTACION DE SERVIICIO CARRERA 50 S.A.S</v>
      </c>
      <c r="D507" s="2">
        <f>+'Base de Datos'!G507</f>
        <v>800084124</v>
      </c>
      <c r="E507" s="2" t="str">
        <f>+'Base de Datos'!H507</f>
        <v>Prestar servicios de mantenimiento periódico preventivo para los vehículos del Concejo de Bogotá, D.C.</v>
      </c>
      <c r="F507" s="221">
        <f>+'Base de Datos'!I507</f>
        <v>39000000</v>
      </c>
      <c r="G507" s="220">
        <f>+'Base de Datos'!M507</f>
        <v>42846</v>
      </c>
      <c r="H507" s="220">
        <f>+'Base de Datos'!N507</f>
        <v>43186</v>
      </c>
      <c r="I507" s="179"/>
      <c r="J507" s="360"/>
      <c r="K507" s="237"/>
      <c r="L507" s="363"/>
      <c r="M507" s="179"/>
      <c r="N507" s="360"/>
      <c r="O507" s="179"/>
      <c r="P507" s="365"/>
      <c r="Q507" s="86">
        <f t="shared" si="34"/>
        <v>0</v>
      </c>
      <c r="R507" s="284" t="s">
        <v>1324</v>
      </c>
      <c r="S507" s="360">
        <v>43216</v>
      </c>
      <c r="T507" s="179"/>
      <c r="U507" s="360"/>
      <c r="V507" s="179"/>
      <c r="W507" s="360"/>
      <c r="X507" s="179"/>
      <c r="Y507" s="360"/>
      <c r="Z507" s="284" t="s">
        <v>1324</v>
      </c>
      <c r="AA507" s="89">
        <f t="shared" si="35"/>
        <v>43216</v>
      </c>
      <c r="AB507" s="237">
        <v>863294</v>
      </c>
      <c r="AC507" s="237">
        <v>784512</v>
      </c>
      <c r="AD507" s="237">
        <v>953479</v>
      </c>
      <c r="AE507" s="237">
        <v>1153545</v>
      </c>
      <c r="AF507" s="237">
        <v>549616</v>
      </c>
      <c r="AG507" s="237">
        <v>565633</v>
      </c>
      <c r="AH507" s="237">
        <v>781119</v>
      </c>
      <c r="AI507" s="237">
        <v>324188</v>
      </c>
      <c r="AJ507" s="237">
        <v>656610</v>
      </c>
      <c r="AK507" s="237">
        <v>566255</v>
      </c>
      <c r="AL507" s="237">
        <v>905267</v>
      </c>
      <c r="AM507" s="237">
        <v>608743</v>
      </c>
      <c r="AN507" s="237"/>
      <c r="AO507" s="237"/>
      <c r="AP507" s="237"/>
      <c r="AQ507" s="237"/>
      <c r="AR507" s="237"/>
      <c r="AS507" s="237"/>
      <c r="AT507" s="360">
        <v>43222</v>
      </c>
      <c r="AU507" s="91">
        <f>SUM(AB507:AR507)</f>
        <v>8712261</v>
      </c>
      <c r="AV507" s="14"/>
      <c r="AW507" s="1"/>
    </row>
    <row r="508" spans="1:49" s="57" customFormat="1" ht="33.75" hidden="1" x14ac:dyDescent="0.25">
      <c r="A508" s="59"/>
      <c r="B508" s="2" t="str">
        <f>+'Base de Datos'!E508</f>
        <v>170102-0-2017</v>
      </c>
      <c r="C508" s="2" t="str">
        <f>+'Base de Datos'!F508</f>
        <v>CLARA INES VARGAS MALAGON</v>
      </c>
      <c r="D508" s="2">
        <f>+'Base de Datos'!G508</f>
        <v>41758887</v>
      </c>
      <c r="E508" s="2" t="str">
        <f>+'Base de Datos'!H508</f>
        <v>Prestar servicios profesionales al Concejo de Bogotá, D.C., para apoyar el área de nómina, especialmente en las áreas relacionadas con la seguridad social</v>
      </c>
      <c r="F508" s="221">
        <f>+'Base de Datos'!I508</f>
        <v>51300000</v>
      </c>
      <c r="G508" s="220">
        <f>+'Base de Datos'!M508</f>
        <v>42850</v>
      </c>
      <c r="H508" s="220">
        <f>+'Base de Datos'!N508</f>
        <v>43125</v>
      </c>
      <c r="I508" s="179">
        <v>25650000</v>
      </c>
      <c r="J508" s="360">
        <v>43122</v>
      </c>
      <c r="K508" s="237"/>
      <c r="L508" s="363"/>
      <c r="M508" s="179"/>
      <c r="N508" s="360"/>
      <c r="O508" s="179"/>
      <c r="P508" s="365"/>
      <c r="Q508" s="86">
        <f t="shared" si="34"/>
        <v>25650000</v>
      </c>
      <c r="R508" s="849" t="s">
        <v>3847</v>
      </c>
      <c r="S508" s="360">
        <v>43260</v>
      </c>
      <c r="T508" s="179"/>
      <c r="U508" s="360"/>
      <c r="V508" s="179"/>
      <c r="W508" s="360"/>
      <c r="X508" s="179"/>
      <c r="Y508" s="360"/>
      <c r="Z508" s="849" t="s">
        <v>3847</v>
      </c>
      <c r="AA508" s="89">
        <f t="shared" si="35"/>
        <v>43260</v>
      </c>
      <c r="AB508" s="237">
        <v>1140000</v>
      </c>
      <c r="AC508" s="237">
        <v>5700000</v>
      </c>
      <c r="AD508" s="237">
        <v>5700000</v>
      </c>
      <c r="AE508" s="237">
        <v>5700000</v>
      </c>
      <c r="AF508" s="237">
        <v>5700000</v>
      </c>
      <c r="AG508" s="237">
        <v>5700000</v>
      </c>
      <c r="AH508" s="237">
        <v>5700000</v>
      </c>
      <c r="AI508" s="237">
        <v>5700000</v>
      </c>
      <c r="AJ508" s="237">
        <v>5700000</v>
      </c>
      <c r="AK508" s="237">
        <v>4560000</v>
      </c>
      <c r="AL508" s="237">
        <v>1140000</v>
      </c>
      <c r="AM508" s="237">
        <v>5700000</v>
      </c>
      <c r="AN508" s="237">
        <v>5700000</v>
      </c>
      <c r="AO508" s="237">
        <v>5700000</v>
      </c>
      <c r="AP508" s="237">
        <v>5700000</v>
      </c>
      <c r="AQ508" s="237">
        <v>1710000</v>
      </c>
      <c r="AR508" s="237"/>
      <c r="AS508" s="237"/>
      <c r="AT508" s="360">
        <v>43258</v>
      </c>
      <c r="AU508" s="91">
        <f t="shared" si="36"/>
        <v>76950000</v>
      </c>
      <c r="AV508" s="14"/>
      <c r="AW508" s="1"/>
    </row>
    <row r="509" spans="1:49" s="57" customFormat="1" ht="45" hidden="1" x14ac:dyDescent="0.25">
      <c r="A509" s="59"/>
      <c r="B509" s="2" t="str">
        <f>+'Base de Datos'!E509</f>
        <v>170109-0-2017</v>
      </c>
      <c r="C509" s="2" t="str">
        <f>+'Base de Datos'!F509</f>
        <v>LUZ ANGELA CARDENAS MORENO (Cesionaria) / IVON ADRIANA JIMENEZ ZAPATA (Antes)</v>
      </c>
      <c r="D509" s="2">
        <f>+'Base de Datos'!G509</f>
        <v>63548489</v>
      </c>
      <c r="E509" s="2" t="str">
        <f>+'Base de Datos'!H509</f>
        <v>Prestar servicios profesionales para apoyar a la oficina de comunicaciones del Concejo de Bogotá para el cumplimiento al plan de comunicaciones internas y externas de la entidad.</v>
      </c>
      <c r="F509" s="221">
        <f>+'Base de Datos'!I509</f>
        <v>51300000</v>
      </c>
      <c r="G509" s="220">
        <f>+'Base de Datos'!M509</f>
        <v>42851</v>
      </c>
      <c r="H509" s="220">
        <f>+'Base de Datos'!N509</f>
        <v>43126</v>
      </c>
      <c r="I509" s="179">
        <v>25650000</v>
      </c>
      <c r="J509" s="360">
        <v>43122</v>
      </c>
      <c r="K509" s="237"/>
      <c r="L509" s="363"/>
      <c r="M509" s="179"/>
      <c r="N509" s="360"/>
      <c r="O509" s="179"/>
      <c r="P509" s="365"/>
      <c r="Q509" s="86">
        <f t="shared" si="34"/>
        <v>25650000</v>
      </c>
      <c r="R509" s="849" t="s">
        <v>3847</v>
      </c>
      <c r="S509" s="360">
        <v>43261</v>
      </c>
      <c r="T509" s="179"/>
      <c r="U509" s="360"/>
      <c r="V509" s="179"/>
      <c r="W509" s="360"/>
      <c r="X509" s="179"/>
      <c r="Y509" s="360"/>
      <c r="Z509" s="849" t="s">
        <v>3847</v>
      </c>
      <c r="AA509" s="89">
        <f t="shared" si="35"/>
        <v>43261</v>
      </c>
      <c r="AB509" s="237">
        <v>950000</v>
      </c>
      <c r="AC509" s="237">
        <v>5700000</v>
      </c>
      <c r="AD509" s="237">
        <v>5700000</v>
      </c>
      <c r="AE509" s="237">
        <v>5700000</v>
      </c>
      <c r="AF509" s="237">
        <v>5700000</v>
      </c>
      <c r="AG509" s="237">
        <v>5700000</v>
      </c>
      <c r="AH509" s="237">
        <v>5700000</v>
      </c>
      <c r="AI509" s="237">
        <v>5700000</v>
      </c>
      <c r="AJ509" s="237">
        <v>5700000</v>
      </c>
      <c r="AK509" s="237">
        <v>4750000</v>
      </c>
      <c r="AL509" s="237">
        <v>950000</v>
      </c>
      <c r="AM509" s="237">
        <v>5700000</v>
      </c>
      <c r="AN509" s="237">
        <v>4940000</v>
      </c>
      <c r="AO509" s="237">
        <v>5320000</v>
      </c>
      <c r="AP509" s="237">
        <v>5700000</v>
      </c>
      <c r="AQ509" s="237">
        <v>1900000</v>
      </c>
      <c r="AR509" s="237"/>
      <c r="AS509" s="237"/>
      <c r="AT509" s="360">
        <v>43298</v>
      </c>
      <c r="AU509" s="91">
        <f t="shared" si="36"/>
        <v>75810000</v>
      </c>
      <c r="AV509" s="14"/>
      <c r="AW509" s="1"/>
    </row>
    <row r="510" spans="1:49" s="57" customFormat="1" hidden="1" x14ac:dyDescent="0.25">
      <c r="A510" s="59"/>
      <c r="B510" s="2" t="str">
        <f>+'Base de Datos'!E510</f>
        <v>170093-0-2017</v>
      </c>
      <c r="C510" s="2" t="str">
        <f>+'Base de Datos'!F510</f>
        <v>REDCOMPUTO  LTDA</v>
      </c>
      <c r="D510" s="2">
        <f>+'Base de Datos'!G510</f>
        <v>830016004</v>
      </c>
      <c r="E510" s="2" t="str">
        <f>+'Base de Datos'!H510</f>
        <v>Proveer servidor para el Concejo de Bogotá</v>
      </c>
      <c r="F510" s="221">
        <f>+'Base de Datos'!I510</f>
        <v>58228000</v>
      </c>
      <c r="G510" s="220">
        <f>+'Base de Datos'!M510</f>
        <v>42857</v>
      </c>
      <c r="H510" s="220">
        <f>+'Base de Datos'!N510</f>
        <v>42918</v>
      </c>
      <c r="I510" s="179"/>
      <c r="J510" s="360"/>
      <c r="K510" s="237"/>
      <c r="L510" s="363"/>
      <c r="M510" s="179"/>
      <c r="N510" s="360"/>
      <c r="O510" s="179"/>
      <c r="P510" s="365"/>
      <c r="Q510" s="86">
        <f t="shared" si="34"/>
        <v>0</v>
      </c>
      <c r="R510" s="284"/>
      <c r="S510" s="360"/>
      <c r="T510" s="179"/>
      <c r="U510" s="360"/>
      <c r="V510" s="179"/>
      <c r="W510" s="360"/>
      <c r="X510" s="179"/>
      <c r="Y510" s="360"/>
      <c r="Z510" s="353"/>
      <c r="AA510" s="89">
        <f t="shared" si="35"/>
        <v>0</v>
      </c>
      <c r="AB510" s="237">
        <v>58228000</v>
      </c>
      <c r="AC510" s="237"/>
      <c r="AD510" s="237"/>
      <c r="AE510" s="237"/>
      <c r="AF510" s="237"/>
      <c r="AG510" s="237"/>
      <c r="AH510" s="237"/>
      <c r="AI510" s="237"/>
      <c r="AJ510" s="237"/>
      <c r="AK510" s="237"/>
      <c r="AL510" s="237"/>
      <c r="AM510" s="237"/>
      <c r="AN510" s="237"/>
      <c r="AO510" s="237"/>
      <c r="AP510" s="237"/>
      <c r="AQ510" s="237"/>
      <c r="AR510" s="237"/>
      <c r="AS510" s="237"/>
      <c r="AT510" s="360">
        <v>42949</v>
      </c>
      <c r="AU510" s="91">
        <f t="shared" si="36"/>
        <v>58228000</v>
      </c>
      <c r="AV510" s="14"/>
      <c r="AW510" s="1"/>
    </row>
    <row r="511" spans="1:49" s="57" customFormat="1" ht="45" hidden="1" x14ac:dyDescent="0.25">
      <c r="A511" s="59"/>
      <c r="B511" s="2" t="str">
        <f>+'Base de Datos'!E511</f>
        <v>170113-0-2017</v>
      </c>
      <c r="C511" s="2" t="str">
        <f>+'Base de Datos'!F511</f>
        <v>DIANA PILAR DELGADO BARRERO</v>
      </c>
      <c r="D511" s="2">
        <f>+'Base de Datos'!G511</f>
        <v>52499785</v>
      </c>
      <c r="E511" s="2" t="str">
        <f>+'Base de Datos'!H511</f>
        <v>Prestar los servicios Profesionales para apoyar al Concejo de Bogotá en la adopción y manejo de las estrategias y acciones de cooperación para posicionar a la Corporación en el ámbito Nacional e Internacional</v>
      </c>
      <c r="F511" s="221">
        <f>+'Base de Datos'!I511</f>
        <v>51300000</v>
      </c>
      <c r="G511" s="220">
        <f>+'Base de Datos'!M511</f>
        <v>42857</v>
      </c>
      <c r="H511" s="220">
        <f>+'Base de Datos'!N511</f>
        <v>43133</v>
      </c>
      <c r="I511" s="179"/>
      <c r="J511" s="360"/>
      <c r="K511" s="237"/>
      <c r="L511" s="363"/>
      <c r="M511" s="179"/>
      <c r="N511" s="360"/>
      <c r="O511" s="179"/>
      <c r="P511" s="365"/>
      <c r="Q511" s="86">
        <f t="shared" si="34"/>
        <v>0</v>
      </c>
      <c r="R511" s="849" t="s">
        <v>3911</v>
      </c>
      <c r="S511" s="360">
        <v>43222</v>
      </c>
      <c r="T511" s="179"/>
      <c r="U511" s="360"/>
      <c r="V511" s="179"/>
      <c r="W511" s="360"/>
      <c r="X511" s="179"/>
      <c r="Y511" s="360"/>
      <c r="Z511" s="849" t="s">
        <v>3911</v>
      </c>
      <c r="AA511" s="89">
        <f t="shared" si="35"/>
        <v>43222</v>
      </c>
      <c r="AB511" s="237">
        <v>5510000</v>
      </c>
      <c r="AC511" s="237">
        <v>5700000</v>
      </c>
      <c r="AD511" s="237">
        <v>5700000</v>
      </c>
      <c r="AE511" s="237">
        <v>5700000</v>
      </c>
      <c r="AF511" s="237">
        <v>5700000</v>
      </c>
      <c r="AG511" s="237">
        <v>5700000</v>
      </c>
      <c r="AH511" s="237">
        <v>5700000</v>
      </c>
      <c r="AI511" s="237">
        <v>5700000</v>
      </c>
      <c r="AJ511" s="237">
        <v>5700000</v>
      </c>
      <c r="AK511" s="237">
        <v>190000</v>
      </c>
      <c r="AL511" s="237"/>
      <c r="AM511" s="237"/>
      <c r="AN511" s="237"/>
      <c r="AO511" s="237"/>
      <c r="AP511" s="237"/>
      <c r="AQ511" s="237"/>
      <c r="AR511" s="237"/>
      <c r="AS511" s="237"/>
      <c r="AT511" s="360">
        <v>42536</v>
      </c>
      <c r="AU511" s="91">
        <f t="shared" si="36"/>
        <v>51300000</v>
      </c>
      <c r="AV511" s="14"/>
      <c r="AW511" s="1"/>
    </row>
    <row r="512" spans="1:49" s="57" customFormat="1" ht="56.25" hidden="1" x14ac:dyDescent="0.25">
      <c r="A512" s="59"/>
      <c r="B512" s="2" t="str">
        <f>+'Base de Datos'!E512</f>
        <v>170111-0-2017</v>
      </c>
      <c r="C512" s="2" t="str">
        <f>+'Base de Datos'!F512</f>
        <v>WILSON GUERRERO VERA</v>
      </c>
      <c r="D512" s="2">
        <f>+'Base de Datos'!G512</f>
        <v>79646061</v>
      </c>
      <c r="E512" s="2" t="str">
        <f>+'Base de Datos'!H512</f>
        <v>Prestar servicios profesionales para apoyar en las diferentes comisiones permanentes del Concejo de Bogotá en la respuesta a Derechos de Petición, solicitudes quejas, consultas y reclamos que reciba la corporación.</v>
      </c>
      <c r="F512" s="221">
        <f>+'Base de Datos'!I512</f>
        <v>57000000</v>
      </c>
      <c r="G512" s="220">
        <f>+'Base de Datos'!M512</f>
        <v>42857</v>
      </c>
      <c r="H512" s="220">
        <f>+'Base de Datos'!N512</f>
        <v>43161</v>
      </c>
      <c r="I512" s="179">
        <v>22230000</v>
      </c>
      <c r="J512" s="360">
        <v>43126</v>
      </c>
      <c r="K512" s="237"/>
      <c r="L512" s="363"/>
      <c r="M512" s="179"/>
      <c r="N512" s="360"/>
      <c r="O512" s="179"/>
      <c r="P512" s="365"/>
      <c r="Q512" s="86">
        <f t="shared" si="34"/>
        <v>22230000</v>
      </c>
      <c r="R512" s="849" t="s">
        <v>3868</v>
      </c>
      <c r="S512" s="360">
        <v>43280</v>
      </c>
      <c r="T512" s="179"/>
      <c r="U512" s="360"/>
      <c r="V512" s="179"/>
      <c r="W512" s="360"/>
      <c r="X512" s="179"/>
      <c r="Y512" s="360"/>
      <c r="Z512" s="849" t="s">
        <v>3868</v>
      </c>
      <c r="AA512" s="89">
        <f t="shared" si="35"/>
        <v>43280</v>
      </c>
      <c r="AB512" s="237">
        <v>5510000</v>
      </c>
      <c r="AC512" s="237">
        <v>5700000</v>
      </c>
      <c r="AD512" s="237">
        <v>5700000</v>
      </c>
      <c r="AE512" s="237">
        <v>5700000</v>
      </c>
      <c r="AF512" s="237">
        <v>5700000</v>
      </c>
      <c r="AG512" s="237">
        <v>5700000</v>
      </c>
      <c r="AH512" s="237">
        <v>5700000</v>
      </c>
      <c r="AI512" s="237">
        <v>5700000</v>
      </c>
      <c r="AJ512" s="237">
        <v>5700000</v>
      </c>
      <c r="AK512" s="237">
        <v>5700000</v>
      </c>
      <c r="AL512" s="237">
        <v>190000</v>
      </c>
      <c r="AM512" s="237">
        <v>5510000</v>
      </c>
      <c r="AN512" s="237">
        <v>5700000</v>
      </c>
      <c r="AO512" s="237">
        <v>5700000</v>
      </c>
      <c r="AP512" s="237">
        <v>5320000</v>
      </c>
      <c r="AQ512" s="237"/>
      <c r="AR512" s="237"/>
      <c r="AS512" s="237"/>
      <c r="AT512" s="360">
        <v>43353</v>
      </c>
      <c r="AU512" s="91">
        <f t="shared" si="36"/>
        <v>79230000</v>
      </c>
      <c r="AV512" s="14"/>
      <c r="AW512" s="1"/>
    </row>
    <row r="513" spans="1:49" s="57" customFormat="1" ht="45" hidden="1" x14ac:dyDescent="0.25">
      <c r="A513" s="59"/>
      <c r="B513" s="2" t="str">
        <f>+'Base de Datos'!E513</f>
        <v>170115-0-2017</v>
      </c>
      <c r="C513" s="2" t="str">
        <f>+'Base de Datos'!F513</f>
        <v>WIESNER FABIÁN ROBAYO SALCEDO</v>
      </c>
      <c r="D513" s="2">
        <f>+'Base de Datos'!G513</f>
        <v>80117116</v>
      </c>
      <c r="E513" s="2" t="str">
        <f>+'Base de Datos'!H513</f>
        <v>Prestar servicios profesionales para apoyar la actualización, administración, publicación y salvaguarda de la información publicada en la página WEB e intranet del Concejo de Bogotá, D.C.</v>
      </c>
      <c r="F513" s="221">
        <f>+'Base de Datos'!I513</f>
        <v>38999997</v>
      </c>
      <c r="G513" s="220">
        <f>+'Base de Datos'!M513</f>
        <v>42858</v>
      </c>
      <c r="H513" s="220">
        <f>+'Base de Datos'!N513</f>
        <v>43134</v>
      </c>
      <c r="I513" s="179">
        <v>19499999</v>
      </c>
      <c r="J513" s="360">
        <v>43133</v>
      </c>
      <c r="K513" s="237"/>
      <c r="L513" s="363"/>
      <c r="M513" s="179"/>
      <c r="N513" s="360"/>
      <c r="O513" s="179"/>
      <c r="P513" s="365"/>
      <c r="Q513" s="86">
        <f t="shared" ref="Q513:Q576" si="37">SUM(I513,K513,M513,O513)</f>
        <v>19499999</v>
      </c>
      <c r="R513" s="849" t="s">
        <v>3847</v>
      </c>
      <c r="S513" s="360">
        <v>43268</v>
      </c>
      <c r="T513" s="179"/>
      <c r="U513" s="360"/>
      <c r="V513" s="179"/>
      <c r="W513" s="360"/>
      <c r="X513" s="179"/>
      <c r="Y513" s="360"/>
      <c r="Z513" s="353" t="s">
        <v>3859</v>
      </c>
      <c r="AA513" s="89">
        <f t="shared" ref="AA513:AA576" si="38">MAX(S513,U513,W513,Y513)</f>
        <v>43268</v>
      </c>
      <c r="AB513" s="237">
        <v>3900000</v>
      </c>
      <c r="AC513" s="237">
        <v>4333333</v>
      </c>
      <c r="AD513" s="237">
        <v>4333333</v>
      </c>
      <c r="AE513" s="237">
        <v>4333333</v>
      </c>
      <c r="AF513" s="237">
        <v>4333333</v>
      </c>
      <c r="AG513" s="237">
        <v>4333333</v>
      </c>
      <c r="AH513" s="237">
        <v>4333333</v>
      </c>
      <c r="AI513" s="237">
        <v>4333333</v>
      </c>
      <c r="AJ513" s="237">
        <v>4333333</v>
      </c>
      <c r="AK513" s="237">
        <v>433333</v>
      </c>
      <c r="AL513" s="237">
        <v>3900000</v>
      </c>
      <c r="AM513" s="237">
        <v>4333333</v>
      </c>
      <c r="AN513" s="237">
        <v>4333333</v>
      </c>
      <c r="AO513" s="237">
        <v>4333333</v>
      </c>
      <c r="AP513" s="237">
        <v>2600000</v>
      </c>
      <c r="AQ513" s="237"/>
      <c r="AR513" s="237"/>
      <c r="AS513" s="237"/>
      <c r="AT513" s="360">
        <v>43278</v>
      </c>
      <c r="AU513" s="91">
        <f t="shared" ref="AU513:AU576" si="39">SUM(AB513:AR513)</f>
        <v>58499996</v>
      </c>
      <c r="AV513" s="14"/>
      <c r="AW513" s="1"/>
    </row>
    <row r="514" spans="1:49" s="57" customFormat="1" ht="45" hidden="1" x14ac:dyDescent="0.25">
      <c r="A514" s="59"/>
      <c r="B514" s="2" t="str">
        <f>+'Base de Datos'!E514</f>
        <v>170110-0-2017</v>
      </c>
      <c r="C514" s="2" t="str">
        <f>+'Base de Datos'!F514</f>
        <v>MANUEL EDUARDO ROJAS GUZMAN</v>
      </c>
      <c r="D514" s="2">
        <f>+'Base de Datos'!G514</f>
        <v>19244462</v>
      </c>
      <c r="E514" s="2" t="str">
        <f>+'Base de Datos'!H514</f>
        <v>Prestar servicios profesionales como enlace con la Unidad Ejecutora 04 de la Secretaria Distrital de Hacienda para la liquidación y cierre de los expedientes contractuales.</v>
      </c>
      <c r="F514" s="221">
        <f>+'Base de Datos'!I514</f>
        <v>57000000</v>
      </c>
      <c r="G514" s="220">
        <f>+'Base de Datos'!M514</f>
        <v>42857</v>
      </c>
      <c r="H514" s="220">
        <f>+'Base de Datos'!N514</f>
        <v>43161</v>
      </c>
      <c r="I514" s="179">
        <v>22230000</v>
      </c>
      <c r="J514" s="360">
        <v>43130</v>
      </c>
      <c r="K514" s="237"/>
      <c r="L514" s="363"/>
      <c r="M514" s="179"/>
      <c r="N514" s="360"/>
      <c r="O514" s="179"/>
      <c r="P514" s="365"/>
      <c r="Q514" s="86">
        <f t="shared" si="37"/>
        <v>22230000</v>
      </c>
      <c r="R514" s="849" t="s">
        <v>3857</v>
      </c>
      <c r="S514" s="360">
        <v>43280</v>
      </c>
      <c r="T514" s="179"/>
      <c r="U514" s="360"/>
      <c r="V514" s="179"/>
      <c r="W514" s="360"/>
      <c r="X514" s="179"/>
      <c r="Y514" s="360"/>
      <c r="Z514" s="353" t="s">
        <v>3857</v>
      </c>
      <c r="AA514" s="89">
        <f t="shared" si="38"/>
        <v>43280</v>
      </c>
      <c r="AB514" s="237">
        <v>5510000</v>
      </c>
      <c r="AC514" s="237">
        <v>5700000</v>
      </c>
      <c r="AD514" s="237">
        <v>5700000</v>
      </c>
      <c r="AE514" s="237">
        <v>5700000</v>
      </c>
      <c r="AF514" s="237">
        <v>5700000</v>
      </c>
      <c r="AG514" s="237">
        <v>5700000</v>
      </c>
      <c r="AH514" s="237">
        <v>5700000</v>
      </c>
      <c r="AI514" s="237">
        <v>5700000</v>
      </c>
      <c r="AJ514" s="237">
        <v>5700000</v>
      </c>
      <c r="AK514" s="237">
        <v>5700000</v>
      </c>
      <c r="AL514" s="237">
        <v>190000</v>
      </c>
      <c r="AM514" s="237">
        <v>5510000</v>
      </c>
      <c r="AN514" s="237">
        <v>5700000</v>
      </c>
      <c r="AO514" s="237">
        <v>5700000</v>
      </c>
      <c r="AP514" s="237">
        <v>5320000</v>
      </c>
      <c r="AQ514" s="237"/>
      <c r="AR514" s="237"/>
      <c r="AS514" s="237"/>
      <c r="AT514" s="360">
        <v>43311</v>
      </c>
      <c r="AU514" s="91">
        <f t="shared" si="39"/>
        <v>79230000</v>
      </c>
      <c r="AV514" s="14"/>
      <c r="AW514" s="1"/>
    </row>
    <row r="515" spans="1:49" s="57" customFormat="1" ht="45" hidden="1" x14ac:dyDescent="0.25">
      <c r="A515" s="59"/>
      <c r="B515" s="2" t="str">
        <f>+'Base de Datos'!E515</f>
        <v>170112-0-2017</v>
      </c>
      <c r="C515" s="2" t="str">
        <f>+'Base de Datos'!F515</f>
        <v xml:space="preserve"> DORA LILIA MESA GONZALEZ (cesionaria) / GIOVANNI SUAREZ USECHE (Antes)</v>
      </c>
      <c r="D515" s="2">
        <f>+'Base de Datos'!G515</f>
        <v>79615371</v>
      </c>
      <c r="E515" s="2" t="str">
        <f>+'Base de Datos'!H515</f>
        <v>Prestar servicios profesionales para apoyar el seguimiento a los procesos de adquisición de bienes y servicios y la ejecución de los contratos para el Concejo de Bogotá.</v>
      </c>
      <c r="F515" s="221">
        <f>+'Base de Datos'!I515</f>
        <v>57000000</v>
      </c>
      <c r="G515" s="220">
        <f>+'Base de Datos'!M515</f>
        <v>42857</v>
      </c>
      <c r="H515" s="220">
        <f>+'Base de Datos'!N515</f>
        <v>43161</v>
      </c>
      <c r="I515" s="179">
        <v>22230000</v>
      </c>
      <c r="J515" s="360">
        <v>43126</v>
      </c>
      <c r="K515" s="237"/>
      <c r="L515" s="363"/>
      <c r="M515" s="179"/>
      <c r="N515" s="360"/>
      <c r="O515" s="179"/>
      <c r="P515" s="365"/>
      <c r="Q515" s="86">
        <f t="shared" si="37"/>
        <v>22230000</v>
      </c>
      <c r="R515" s="849" t="s">
        <v>3857</v>
      </c>
      <c r="S515" s="360">
        <v>43280</v>
      </c>
      <c r="T515" s="179"/>
      <c r="U515" s="360"/>
      <c r="V515" s="179"/>
      <c r="W515" s="360"/>
      <c r="X515" s="179"/>
      <c r="Y515" s="360"/>
      <c r="Z515" s="849" t="s">
        <v>3857</v>
      </c>
      <c r="AA515" s="89">
        <f t="shared" si="38"/>
        <v>43280</v>
      </c>
      <c r="AB515" s="237">
        <v>5510000</v>
      </c>
      <c r="AC515" s="237">
        <v>5700000</v>
      </c>
      <c r="AD515" s="237">
        <v>5700000</v>
      </c>
      <c r="AE515" s="237">
        <v>5700000</v>
      </c>
      <c r="AF515" s="237">
        <v>5700000</v>
      </c>
      <c r="AG515" s="237">
        <v>5700000</v>
      </c>
      <c r="AH515" s="237">
        <v>1520000</v>
      </c>
      <c r="AI515" s="237">
        <v>1330000</v>
      </c>
      <c r="AJ515" s="237">
        <v>5700000</v>
      </c>
      <c r="AK515" s="237">
        <v>5700000</v>
      </c>
      <c r="AL515" s="237">
        <v>5700000</v>
      </c>
      <c r="AM515" s="237">
        <v>190000</v>
      </c>
      <c r="AN515" s="237">
        <v>5510000</v>
      </c>
      <c r="AO515" s="237">
        <v>5700000</v>
      </c>
      <c r="AP515" s="237">
        <v>5700000</v>
      </c>
      <c r="AQ515" s="237">
        <v>5320000</v>
      </c>
      <c r="AR515" s="237"/>
      <c r="AS515" s="237"/>
      <c r="AT515" s="360">
        <v>43305</v>
      </c>
      <c r="AU515" s="91">
        <f t="shared" si="39"/>
        <v>76380000</v>
      </c>
      <c r="AV515" s="14"/>
      <c r="AW515" s="1"/>
    </row>
    <row r="516" spans="1:49" s="57" customFormat="1" ht="33.75" hidden="1" x14ac:dyDescent="0.25">
      <c r="A516" s="59"/>
      <c r="B516" s="2" t="str">
        <f>+'Base de Datos'!E516</f>
        <v>170108-0-2017</v>
      </c>
      <c r="C516" s="2" t="str">
        <f>+'Base de Datos'!F516</f>
        <v>EMPRESA DE TELECOMUNICACIONES DE BOGOTA ETB SA ESP</v>
      </c>
      <c r="D516" s="2" t="str">
        <f>+'Base de Datos'!G516</f>
        <v>899999115-8</v>
      </c>
      <c r="E516" s="2" t="str">
        <f>+'Base de Datos'!H516</f>
        <v>Proveer el outsoursing integral para los servicios de gestión de mesa de ayuda y gestión de impresión para el Concejo de Bogotá.</v>
      </c>
      <c r="F516" s="221">
        <f>+'Base de Datos'!I516</f>
        <v>443322870</v>
      </c>
      <c r="G516" s="220">
        <f>+'Base de Datos'!M516</f>
        <v>42857</v>
      </c>
      <c r="H516" s="220">
        <f>+'Base de Datos'!N516</f>
        <v>43192</v>
      </c>
      <c r="I516" s="179">
        <v>115711827</v>
      </c>
      <c r="J516" s="360">
        <v>43187</v>
      </c>
      <c r="K516" s="237">
        <v>75390221</v>
      </c>
      <c r="L516" s="363">
        <v>43280</v>
      </c>
      <c r="M516" s="179"/>
      <c r="N516" s="360"/>
      <c r="O516" s="179"/>
      <c r="P516" s="365"/>
      <c r="Q516" s="86">
        <f t="shared" si="37"/>
        <v>191102048</v>
      </c>
      <c r="R516" s="284" t="s">
        <v>3948</v>
      </c>
      <c r="S516" s="360">
        <v>43283</v>
      </c>
      <c r="T516" s="179" t="s">
        <v>379</v>
      </c>
      <c r="U516" s="360">
        <v>43375</v>
      </c>
      <c r="V516" s="179"/>
      <c r="W516" s="360"/>
      <c r="X516" s="179"/>
      <c r="Y516" s="360"/>
      <c r="Z516" s="353" t="s">
        <v>4128</v>
      </c>
      <c r="AA516" s="89">
        <f t="shared" si="38"/>
        <v>43375</v>
      </c>
      <c r="AB516" s="237">
        <v>31625241</v>
      </c>
      <c r="AC516" s="237">
        <v>29809414</v>
      </c>
      <c r="AD516" s="237">
        <v>28639774</v>
      </c>
      <c r="AE516" s="237">
        <v>34175180</v>
      </c>
      <c r="AF516" s="237">
        <v>35122053</v>
      </c>
      <c r="AG516" s="237">
        <v>42013189</v>
      </c>
      <c r="AH516" s="237">
        <v>33417867</v>
      </c>
      <c r="AI516" s="237">
        <v>30774163</v>
      </c>
      <c r="AJ516" s="237">
        <v>32320904</v>
      </c>
      <c r="AK516" s="237">
        <v>26461187</v>
      </c>
      <c r="AL516" s="237">
        <v>33902463</v>
      </c>
      <c r="AM516" s="237">
        <v>52063</v>
      </c>
      <c r="AN516" s="237">
        <v>31494868</v>
      </c>
      <c r="AO516" s="237">
        <v>31139853</v>
      </c>
      <c r="AP516" s="237">
        <v>32855713</v>
      </c>
      <c r="AQ516" s="237">
        <v>31016611</v>
      </c>
      <c r="AR516" s="237">
        <v>31438059</v>
      </c>
      <c r="AS516" s="237">
        <f>33321438+38846134+3610161+10841736</f>
        <v>86619469</v>
      </c>
      <c r="AT516" s="360">
        <v>43503</v>
      </c>
      <c r="AU516" s="91">
        <f>SUM(AB516:AS516)</f>
        <v>602878071</v>
      </c>
      <c r="AV516" s="14"/>
      <c r="AW516" s="1"/>
    </row>
    <row r="517" spans="1:49" s="57" customFormat="1" ht="33.75" hidden="1" x14ac:dyDescent="0.25">
      <c r="A517" s="59"/>
      <c r="B517" s="2" t="str">
        <f>+'Base de Datos'!E517</f>
        <v>170114-0-2017</v>
      </c>
      <c r="C517" s="2" t="str">
        <f>+'Base de Datos'!F517</f>
        <v>KHAANKO NORBERTO RUIZ RODRÍGUEZ</v>
      </c>
      <c r="D517" s="2">
        <f>+'Base de Datos'!G517</f>
        <v>79887061</v>
      </c>
      <c r="E517" s="2" t="str">
        <f>+'Base de Datos'!H517</f>
        <v>Prestar servicios profesionales para apoyar el proceso de sistemas y seguridad de la información del Concejo de Bogotá en materia de seguridad informática.</v>
      </c>
      <c r="F517" s="221">
        <f>+'Base de Datos'!I517</f>
        <v>38999996</v>
      </c>
      <c r="G517" s="220">
        <f>+'Base de Datos'!M517</f>
        <v>42858</v>
      </c>
      <c r="H517" s="220">
        <f>+'Base de Datos'!N517</f>
        <v>43134</v>
      </c>
      <c r="I517" s="179"/>
      <c r="J517" s="360"/>
      <c r="K517" s="237"/>
      <c r="L517" s="363"/>
      <c r="M517" s="179"/>
      <c r="N517" s="360"/>
      <c r="O517" s="179"/>
      <c r="P517" s="365"/>
      <c r="Q517" s="86">
        <f t="shared" si="37"/>
        <v>0</v>
      </c>
      <c r="R517" s="284"/>
      <c r="S517" s="360"/>
      <c r="T517" s="179"/>
      <c r="U517" s="360"/>
      <c r="V517" s="179"/>
      <c r="W517" s="360"/>
      <c r="X517" s="179"/>
      <c r="Y517" s="360"/>
      <c r="Z517" s="353"/>
      <c r="AA517" s="89">
        <f t="shared" si="38"/>
        <v>0</v>
      </c>
      <c r="AB517" s="237">
        <v>3214814</v>
      </c>
      <c r="AC517" s="237">
        <v>3444444</v>
      </c>
      <c r="AD517" s="237">
        <v>3444444</v>
      </c>
      <c r="AE517" s="237">
        <v>1607407</v>
      </c>
      <c r="AF517" s="237"/>
      <c r="AG517" s="237"/>
      <c r="AH517" s="237"/>
      <c r="AI517" s="237"/>
      <c r="AJ517" s="237"/>
      <c r="AK517" s="237"/>
      <c r="AL517" s="237"/>
      <c r="AM517" s="237"/>
      <c r="AN517" s="237"/>
      <c r="AO517" s="237"/>
      <c r="AP517" s="237"/>
      <c r="AQ517" s="237"/>
      <c r="AR517" s="237"/>
      <c r="AS517" s="237">
        <v>43017</v>
      </c>
      <c r="AT517" s="360">
        <v>42963</v>
      </c>
      <c r="AU517" s="91">
        <f t="shared" si="39"/>
        <v>11711109</v>
      </c>
      <c r="AV517" s="14"/>
      <c r="AW517" s="1"/>
    </row>
    <row r="518" spans="1:49" s="57" customFormat="1" ht="45" hidden="1" x14ac:dyDescent="0.25">
      <c r="A518" s="59"/>
      <c r="B518" s="2" t="str">
        <f>+'Base de Datos'!E518</f>
        <v>170122-0-2017</v>
      </c>
      <c r="C518" s="2" t="str">
        <f>+'Base de Datos'!F518</f>
        <v>MARTHA PATRICIA ORTIZ CASTAÑO</v>
      </c>
      <c r="D518" s="2">
        <f>+'Base de Datos'!G518</f>
        <v>41690000</v>
      </c>
      <c r="E518" s="2" t="str">
        <f>+'Base de Datos'!H518</f>
        <v>Prestar los servicios profesionales para apoyar a la Secretaria General del Concejo de Bogotá, en la respuesta a derechos de petición, solicitudes, quejas, consultas y reclamos que reciba la corporación.</v>
      </c>
      <c r="F518" s="221">
        <f>+'Base de Datos'!I518</f>
        <v>38999997</v>
      </c>
      <c r="G518" s="220">
        <f>+'Base de Datos'!M518</f>
        <v>42858</v>
      </c>
      <c r="H518" s="220">
        <f>+'Base de Datos'!N518</f>
        <v>43134</v>
      </c>
      <c r="I518" s="179">
        <v>19499999</v>
      </c>
      <c r="J518" s="360">
        <v>43124</v>
      </c>
      <c r="K518" s="237"/>
      <c r="L518" s="363"/>
      <c r="M518" s="179"/>
      <c r="N518" s="360"/>
      <c r="O518" s="179"/>
      <c r="P518" s="365"/>
      <c r="Q518" s="86">
        <f t="shared" si="37"/>
        <v>19499999</v>
      </c>
      <c r="R518" s="849" t="s">
        <v>3847</v>
      </c>
      <c r="S518" s="360">
        <v>43269</v>
      </c>
      <c r="T518" s="179"/>
      <c r="U518" s="360"/>
      <c r="V518" s="179"/>
      <c r="W518" s="360"/>
      <c r="X518" s="179"/>
      <c r="Y518" s="360"/>
      <c r="Z518" s="353" t="s">
        <v>3847</v>
      </c>
      <c r="AA518" s="89">
        <f t="shared" si="38"/>
        <v>43269</v>
      </c>
      <c r="AB518" s="237">
        <v>4044444</v>
      </c>
      <c r="AC518" s="237">
        <v>4333333</v>
      </c>
      <c r="AD518" s="237">
        <v>4333333</v>
      </c>
      <c r="AE518" s="237">
        <v>4333333</v>
      </c>
      <c r="AF518" s="237">
        <v>4333333</v>
      </c>
      <c r="AG518" s="237">
        <v>4333333</v>
      </c>
      <c r="AH518" s="237">
        <v>4333333</v>
      </c>
      <c r="AI518" s="237">
        <v>4333333</v>
      </c>
      <c r="AJ518" s="237"/>
      <c r="AK518" s="237">
        <v>4333333</v>
      </c>
      <c r="AL518" s="237">
        <v>288889</v>
      </c>
      <c r="AM518" s="237">
        <v>4044444</v>
      </c>
      <c r="AN518" s="237">
        <v>4333333</v>
      </c>
      <c r="AO518" s="237">
        <v>4333333</v>
      </c>
      <c r="AP518" s="237">
        <v>4333333</v>
      </c>
      <c r="AQ518" s="237">
        <v>2455555</v>
      </c>
      <c r="AR518" s="237"/>
      <c r="AS518" s="237"/>
      <c r="AT518" s="360">
        <v>43312</v>
      </c>
      <c r="AU518" s="91">
        <f t="shared" si="39"/>
        <v>58499995</v>
      </c>
      <c r="AV518" s="14"/>
      <c r="AW518" s="1"/>
    </row>
    <row r="519" spans="1:49" s="57" customFormat="1" ht="33.75" hidden="1" x14ac:dyDescent="0.25">
      <c r="A519" s="59"/>
      <c r="B519" s="2" t="str">
        <f>+'Base de Datos'!E519</f>
        <v>170119-0-2017</v>
      </c>
      <c r="C519" s="2" t="str">
        <f>+'Base de Datos'!F519</f>
        <v>ANABIA JULLIETH ANGARITA GALINDO</v>
      </c>
      <c r="D519" s="2">
        <f>+'Base de Datos'!G519</f>
        <v>1013625644</v>
      </c>
      <c r="E519" s="2" t="str">
        <f>+'Base de Datos'!H519</f>
        <v>Prestar servicios profesionales para apoyar la gestión administrativa, documental y contractual en los asuntos de competencia del Concejo de Bogotá, D.C.</v>
      </c>
      <c r="F519" s="221">
        <f>+'Base de Datos'!I519</f>
        <v>22500000</v>
      </c>
      <c r="G519" s="220">
        <f>+'Base de Datos'!M519</f>
        <v>42863</v>
      </c>
      <c r="H519" s="220">
        <f>+'Base de Datos'!N519</f>
        <v>43139</v>
      </c>
      <c r="I519" s="179">
        <v>11166667</v>
      </c>
      <c r="J519" s="360">
        <v>43125</v>
      </c>
      <c r="K519" s="237"/>
      <c r="L519" s="363"/>
      <c r="M519" s="179"/>
      <c r="N519" s="360"/>
      <c r="O519" s="179"/>
      <c r="P519" s="365"/>
      <c r="Q519" s="86">
        <f t="shared" si="37"/>
        <v>11166667</v>
      </c>
      <c r="R519" s="849" t="s">
        <v>3865</v>
      </c>
      <c r="S519" s="360">
        <v>43273</v>
      </c>
      <c r="T519" s="179"/>
      <c r="U519" s="360"/>
      <c r="V519" s="179"/>
      <c r="W519" s="360"/>
      <c r="X519" s="179"/>
      <c r="Y519" s="360"/>
      <c r="Z519" s="849" t="s">
        <v>3865</v>
      </c>
      <c r="AA519" s="89">
        <f t="shared" si="38"/>
        <v>43273</v>
      </c>
      <c r="AB519" s="237">
        <v>1916667</v>
      </c>
      <c r="AC519" s="237">
        <v>2500000</v>
      </c>
      <c r="AD519" s="237">
        <v>2500000</v>
      </c>
      <c r="AE519" s="237">
        <v>2500000</v>
      </c>
      <c r="AF519" s="237">
        <v>2500000</v>
      </c>
      <c r="AG519" s="237">
        <v>2500000</v>
      </c>
      <c r="AH519" s="237">
        <v>2500000</v>
      </c>
      <c r="AI519" s="237">
        <v>2500000</v>
      </c>
      <c r="AJ519" s="237">
        <v>2500000</v>
      </c>
      <c r="AK519" s="237">
        <v>583333</v>
      </c>
      <c r="AL519" s="237">
        <v>1916667</v>
      </c>
      <c r="AM519" s="237">
        <v>2500000</v>
      </c>
      <c r="AN519" s="237">
        <v>2500000</v>
      </c>
      <c r="AO519" s="237">
        <v>2500000</v>
      </c>
      <c r="AP519" s="237">
        <v>1750000</v>
      </c>
      <c r="AQ519" s="237"/>
      <c r="AR519" s="237"/>
      <c r="AS519" s="237"/>
      <c r="AT519" s="360">
        <v>43257</v>
      </c>
      <c r="AU519" s="91">
        <f t="shared" si="39"/>
        <v>33666667</v>
      </c>
      <c r="AV519" s="14"/>
      <c r="AW519" s="1"/>
    </row>
    <row r="520" spans="1:49" s="57" customFormat="1" ht="56.25" hidden="1" x14ac:dyDescent="0.25">
      <c r="A520" s="59"/>
      <c r="B520" s="2" t="str">
        <f>+'Base de Datos'!E520</f>
        <v>170117-0-2017</v>
      </c>
      <c r="C520" s="2" t="str">
        <f>+'Base de Datos'!F520</f>
        <v>FABIO ALEJANDRO GOMEZ CASTAÑO</v>
      </c>
      <c r="D520" s="2">
        <f>+'Base de Datos'!G520</f>
        <v>1018414979</v>
      </c>
      <c r="E520" s="2" t="str">
        <f>+'Base de Datos'!H520</f>
        <v>Prestar servicios profesionales para acompañar al Concejo de Bogotá D.C., en la revisión y estudio de las historias laborales de los funcionarios para la definición técnica y jurídica del cumplimiento de requisitos en los diferentes regímenes de pensión.</v>
      </c>
      <c r="F520" s="221">
        <f>+'Base de Datos'!I520</f>
        <v>51300000</v>
      </c>
      <c r="G520" s="220">
        <f>+'Base de Datos'!M520</f>
        <v>42863</v>
      </c>
      <c r="H520" s="220">
        <f>+'Base de Datos'!N520</f>
        <v>43139</v>
      </c>
      <c r="I520" s="179">
        <v>25460000</v>
      </c>
      <c r="J520" s="360">
        <v>43125</v>
      </c>
      <c r="K520" s="237"/>
      <c r="L520" s="363"/>
      <c r="M520" s="179"/>
      <c r="N520" s="360"/>
      <c r="O520" s="179"/>
      <c r="P520" s="365"/>
      <c r="Q520" s="86">
        <f t="shared" si="37"/>
        <v>25460000</v>
      </c>
      <c r="R520" s="849" t="s">
        <v>3873</v>
      </c>
      <c r="S520" s="360">
        <v>43273</v>
      </c>
      <c r="T520" s="179"/>
      <c r="U520" s="360"/>
      <c r="V520" s="179"/>
      <c r="W520" s="360"/>
      <c r="X520" s="179"/>
      <c r="Y520" s="360"/>
      <c r="Z520" s="849" t="s">
        <v>3873</v>
      </c>
      <c r="AA520" s="89">
        <f t="shared" si="38"/>
        <v>43273</v>
      </c>
      <c r="AB520" s="237">
        <v>4370000</v>
      </c>
      <c r="AC520" s="237">
        <v>5700000</v>
      </c>
      <c r="AD520" s="237">
        <v>5700000</v>
      </c>
      <c r="AE520" s="237">
        <v>5700000</v>
      </c>
      <c r="AF520" s="237">
        <v>5700000</v>
      </c>
      <c r="AG520" s="237">
        <v>5700000</v>
      </c>
      <c r="AH520" s="237">
        <v>5700000</v>
      </c>
      <c r="AI520" s="237">
        <v>5700000</v>
      </c>
      <c r="AJ520" s="237">
        <v>5700000</v>
      </c>
      <c r="AK520" s="237">
        <v>1330000</v>
      </c>
      <c r="AL520" s="237">
        <v>4370000</v>
      </c>
      <c r="AM520" s="237">
        <v>5700000</v>
      </c>
      <c r="AN520" s="237">
        <v>5700000</v>
      </c>
      <c r="AO520" s="237">
        <v>5700000</v>
      </c>
      <c r="AP520" s="237">
        <v>3990000</v>
      </c>
      <c r="AQ520" s="237"/>
      <c r="AR520" s="237"/>
      <c r="AS520" s="237"/>
      <c r="AT520" s="360">
        <v>43308</v>
      </c>
      <c r="AU520" s="91">
        <f t="shared" si="39"/>
        <v>76760000</v>
      </c>
      <c r="AV520" s="14"/>
      <c r="AW520" s="1"/>
    </row>
    <row r="521" spans="1:49" s="57" customFormat="1" ht="33.75" hidden="1" x14ac:dyDescent="0.25">
      <c r="A521" s="59"/>
      <c r="B521" s="2" t="str">
        <f>+'Base de Datos'!E521</f>
        <v>170127-0-2017</v>
      </c>
      <c r="C521" s="2" t="str">
        <f>+'Base de Datos'!F521</f>
        <v>DIEGO ARMANDO PRECIADO PUENTES</v>
      </c>
      <c r="D521" s="2">
        <f>+'Base de Datos'!G521</f>
        <v>1030565608</v>
      </c>
      <c r="E521" s="2" t="str">
        <f>+'Base de Datos'!H521</f>
        <v>Prestar servicios profesionales para apoyar operativa y técnicamente la infraestructura tecnológica e informática del Concejo de Bogotá.</v>
      </c>
      <c r="F521" s="221">
        <f>+'Base de Datos'!I521</f>
        <v>38140000</v>
      </c>
      <c r="G521" s="220">
        <f>+'Base de Datos'!M521</f>
        <v>42873</v>
      </c>
      <c r="H521" s="220">
        <f>+'Base de Datos'!N521</f>
        <v>43177</v>
      </c>
      <c r="I521" s="179">
        <v>12586200</v>
      </c>
      <c r="J521" s="360">
        <v>43147</v>
      </c>
      <c r="K521" s="237"/>
      <c r="L521" s="363"/>
      <c r="M521" s="179"/>
      <c r="N521" s="360"/>
      <c r="O521" s="179"/>
      <c r="P521" s="365"/>
      <c r="Q521" s="86">
        <f t="shared" si="37"/>
        <v>12586200</v>
      </c>
      <c r="R521" s="849" t="s">
        <v>2372</v>
      </c>
      <c r="S521" s="360">
        <v>43278</v>
      </c>
      <c r="T521" s="179"/>
      <c r="U521" s="360"/>
      <c r="V521" s="179"/>
      <c r="W521" s="360"/>
      <c r="X521" s="179"/>
      <c r="Y521" s="360"/>
      <c r="Z521" s="849" t="s">
        <v>987</v>
      </c>
      <c r="AA521" s="89">
        <f t="shared" si="38"/>
        <v>43278</v>
      </c>
      <c r="AB521" s="237">
        <v>1652733</v>
      </c>
      <c r="AC521" s="237">
        <v>3814000</v>
      </c>
      <c r="AD521" s="237">
        <v>3814000</v>
      </c>
      <c r="AE521" s="237">
        <v>3814000</v>
      </c>
      <c r="AF521" s="237">
        <v>3814000</v>
      </c>
      <c r="AG521" s="237">
        <v>3814000</v>
      </c>
      <c r="AH521" s="237">
        <v>3814000</v>
      </c>
      <c r="AI521" s="237">
        <v>3814000</v>
      </c>
      <c r="AJ521" s="237">
        <v>3814000</v>
      </c>
      <c r="AK521" s="237">
        <v>3814000</v>
      </c>
      <c r="AL521" s="237">
        <v>2161267</v>
      </c>
      <c r="AM521" s="237">
        <v>1652733</v>
      </c>
      <c r="AN521" s="237">
        <v>3814000</v>
      </c>
      <c r="AO521" s="237">
        <v>3814000</v>
      </c>
      <c r="AP521" s="237">
        <v>3305467</v>
      </c>
      <c r="AQ521" s="237"/>
      <c r="AR521" s="237"/>
      <c r="AS521" s="237"/>
      <c r="AT521" s="360">
        <v>43311</v>
      </c>
      <c r="AU521" s="91">
        <f t="shared" si="39"/>
        <v>50726200</v>
      </c>
      <c r="AV521" s="14"/>
      <c r="AW521" s="1"/>
    </row>
    <row r="522" spans="1:49" s="57" customFormat="1" ht="22.5" hidden="1" x14ac:dyDescent="0.25">
      <c r="A522" s="59"/>
      <c r="B522" s="2" t="str">
        <f>+'Base de Datos'!E522</f>
        <v>170103-0-2017</v>
      </c>
      <c r="C522" s="2" t="str">
        <f>+'Base de Datos'!F522</f>
        <v>GRANADOS Y CONDECORACIONES</v>
      </c>
      <c r="D522" s="2" t="str">
        <f>+'Base de Datos'!G522</f>
        <v>830055827-1</v>
      </c>
      <c r="E522" s="2" t="str">
        <f>+'Base de Datos'!H522</f>
        <v>Suministro de elementos de promoción institucional y actos protocolarios del Concejo de Bogotá, D.C.</v>
      </c>
      <c r="F522" s="221">
        <f>+'Base de Datos'!I522</f>
        <v>50703000</v>
      </c>
      <c r="G522" s="220">
        <f>+'Base de Datos'!M522</f>
        <v>42874</v>
      </c>
      <c r="H522" s="220">
        <f>+'Base de Datos'!N522</f>
        <v>43239</v>
      </c>
      <c r="I522" s="179">
        <v>6000000</v>
      </c>
      <c r="J522" s="360">
        <v>43229</v>
      </c>
      <c r="K522" s="237"/>
      <c r="L522" s="363"/>
      <c r="M522" s="179"/>
      <c r="N522" s="360"/>
      <c r="O522" s="179"/>
      <c r="P522" s="365"/>
      <c r="Q522" s="86">
        <f t="shared" si="37"/>
        <v>6000000</v>
      </c>
      <c r="R522" s="284"/>
      <c r="S522" s="360"/>
      <c r="T522" s="179"/>
      <c r="U522" s="360"/>
      <c r="V522" s="179"/>
      <c r="W522" s="360"/>
      <c r="X522" s="179"/>
      <c r="Y522" s="360"/>
      <c r="Z522" s="353"/>
      <c r="AA522" s="89">
        <f t="shared" si="38"/>
        <v>0</v>
      </c>
      <c r="AB522" s="237">
        <v>3889905</v>
      </c>
      <c r="AC522" s="237">
        <v>4332109</v>
      </c>
      <c r="AD522" s="237">
        <v>22520365</v>
      </c>
      <c r="AE522" s="237">
        <v>19960621</v>
      </c>
      <c r="AF522" s="237">
        <v>5997949</v>
      </c>
      <c r="AG522" s="237"/>
      <c r="AH522" s="237"/>
      <c r="AI522" s="237"/>
      <c r="AJ522" s="237"/>
      <c r="AK522" s="237"/>
      <c r="AL522" s="237"/>
      <c r="AM522" s="237"/>
      <c r="AN522" s="237"/>
      <c r="AO522" s="237"/>
      <c r="AP522" s="237"/>
      <c r="AQ522" s="237"/>
      <c r="AR522" s="237"/>
      <c r="AS522" s="237"/>
      <c r="AT522" s="360">
        <v>43392</v>
      </c>
      <c r="AU522" s="91">
        <f t="shared" si="39"/>
        <v>56700949</v>
      </c>
      <c r="AV522" s="14"/>
      <c r="AW522" s="1"/>
    </row>
    <row r="523" spans="1:49" s="57" customFormat="1" ht="78.75" hidden="1" x14ac:dyDescent="0.25">
      <c r="A523" s="59"/>
      <c r="B523" s="2" t="str">
        <f>+'Base de Datos'!E523</f>
        <v>170130-0-2017</v>
      </c>
      <c r="C523" s="2" t="str">
        <f>+'Base de Datos'!F523</f>
        <v>DOUGLAS TRADE SAS</v>
      </c>
      <c r="D523" s="2" t="str">
        <f>+'Base de Datos'!G523</f>
        <v>80025780-0</v>
      </c>
      <c r="E523" s="2" t="str">
        <f>+'Base de Datos'!H523</f>
        <v>Prestar el servicio de alquiler de escenarios como salones, auditorios y espacios abiertos, apoyo logístico y servicio de catering para el desarrollo de eventos que requieran el Concejo de Bogotá D.C., de conformidad con lo establecido en el pliego de condiciones del proceso de selección abreviada de menos cuantía No. SDH-SAMC-02-2017 y la propuesta presentada por el contratista.</v>
      </c>
      <c r="F523" s="221">
        <f>+'Base de Datos'!I523</f>
        <v>119000000</v>
      </c>
      <c r="G523" s="220">
        <f>+'Base de Datos'!M523</f>
        <v>42872</v>
      </c>
      <c r="H523" s="220">
        <f>+'Base de Datos'!N523</f>
        <v>43176</v>
      </c>
      <c r="I523" s="179"/>
      <c r="J523" s="360"/>
      <c r="K523" s="237"/>
      <c r="L523" s="363"/>
      <c r="M523" s="179"/>
      <c r="N523" s="360"/>
      <c r="O523" s="179"/>
      <c r="P523" s="365"/>
      <c r="Q523" s="86">
        <f t="shared" si="37"/>
        <v>0</v>
      </c>
      <c r="R523" s="284"/>
      <c r="S523" s="360"/>
      <c r="T523" s="179"/>
      <c r="U523" s="360"/>
      <c r="V523" s="179"/>
      <c r="W523" s="360"/>
      <c r="X523" s="179"/>
      <c r="Y523" s="360"/>
      <c r="Z523" s="353"/>
      <c r="AA523" s="89">
        <f t="shared" si="38"/>
        <v>0</v>
      </c>
      <c r="AB523" s="237">
        <v>764218</v>
      </c>
      <c r="AC523" s="237">
        <v>2217208</v>
      </c>
      <c r="AD523" s="237">
        <v>650454</v>
      </c>
      <c r="AE523" s="237">
        <v>2591225</v>
      </c>
      <c r="AF523" s="237">
        <v>10073072</v>
      </c>
      <c r="AG523" s="237">
        <v>9222262</v>
      </c>
      <c r="AH523" s="237">
        <v>2098565</v>
      </c>
      <c r="AI523" s="237">
        <v>19244323</v>
      </c>
      <c r="AJ523" s="237">
        <v>1920779</v>
      </c>
      <c r="AK523" s="237">
        <v>16745502</v>
      </c>
      <c r="AL523" s="237">
        <v>6576654</v>
      </c>
      <c r="AM523" s="237"/>
      <c r="AN523" s="237"/>
      <c r="AO523" s="237"/>
      <c r="AP523" s="237"/>
      <c r="AQ523" s="237"/>
      <c r="AR523" s="237"/>
      <c r="AS523" s="237"/>
      <c r="AT523" s="360">
        <v>43235</v>
      </c>
      <c r="AU523" s="91">
        <f t="shared" si="39"/>
        <v>72104262</v>
      </c>
      <c r="AV523" s="14"/>
      <c r="AW523" s="1"/>
    </row>
    <row r="524" spans="1:49" s="57" customFormat="1" ht="78.75" hidden="1" x14ac:dyDescent="0.25">
      <c r="A524" s="59"/>
      <c r="B524" s="2" t="str">
        <f>+'Base de Datos'!E524</f>
        <v>170138-0-2017</v>
      </c>
      <c r="C524" s="2" t="str">
        <f>+'Base de Datos'!F524</f>
        <v>SHIRLEY LIZETH BETANCOURT RINCON</v>
      </c>
      <c r="D524" s="2">
        <f>+'Base de Datos'!G524</f>
        <v>1022375085</v>
      </c>
      <c r="E524" s="2" t="str">
        <f>+'Base de Datos'!H524</f>
        <v>Prestar servicios profesionales para apoyar al Director Financiero en los asuntos propios de la dependencia, en el marco del presupuesto anual de gastos de funcionamiento e inversión para el manejo eficiente y eficaz de los recursos financieros conforme al plan estratégico de la entidad de acuerdo con la normatividad vigente.</v>
      </c>
      <c r="F524" s="221">
        <f>+'Base de Datos'!I524</f>
        <v>38999997</v>
      </c>
      <c r="G524" s="220">
        <f>+'Base de Datos'!M524</f>
        <v>42872</v>
      </c>
      <c r="H524" s="220">
        <f>+'Base de Datos'!N524</f>
        <v>43148</v>
      </c>
      <c r="I524" s="179">
        <v>19066665</v>
      </c>
      <c r="J524" s="360">
        <v>43126</v>
      </c>
      <c r="K524" s="237"/>
      <c r="L524" s="363"/>
      <c r="M524" s="179"/>
      <c r="N524" s="360"/>
      <c r="O524" s="179"/>
      <c r="P524" s="365"/>
      <c r="Q524" s="86">
        <f t="shared" si="37"/>
        <v>19066665</v>
      </c>
      <c r="R524" s="849" t="s">
        <v>3870</v>
      </c>
      <c r="S524" s="360">
        <v>43280</v>
      </c>
      <c r="T524" s="179"/>
      <c r="U524" s="360"/>
      <c r="V524" s="179"/>
      <c r="W524" s="360"/>
      <c r="X524" s="179"/>
      <c r="Y524" s="360"/>
      <c r="Z524" s="849" t="s">
        <v>3870</v>
      </c>
      <c r="AA524" s="89">
        <f t="shared" si="38"/>
        <v>43280</v>
      </c>
      <c r="AB524" s="237">
        <v>2022222</v>
      </c>
      <c r="AC524" s="237">
        <v>4333333</v>
      </c>
      <c r="AD524" s="237">
        <v>4333333</v>
      </c>
      <c r="AE524" s="237">
        <v>4333333</v>
      </c>
      <c r="AF524" s="237"/>
      <c r="AG524" s="237">
        <v>4333333</v>
      </c>
      <c r="AH524" s="237">
        <v>4333333</v>
      </c>
      <c r="AI524" s="237">
        <v>4333333</v>
      </c>
      <c r="AJ524" s="237">
        <v>4333333</v>
      </c>
      <c r="AK524" s="237">
        <v>4333333</v>
      </c>
      <c r="AL524" s="237">
        <v>2311111</v>
      </c>
      <c r="AM524" s="237">
        <v>2022222</v>
      </c>
      <c r="AN524" s="237">
        <v>4333333</v>
      </c>
      <c r="AO524" s="237">
        <v>4333333</v>
      </c>
      <c r="AP524" s="237">
        <v>4333333</v>
      </c>
      <c r="AQ524" s="237">
        <v>4044444</v>
      </c>
      <c r="AR524" s="237"/>
      <c r="AS524" s="237"/>
      <c r="AT524" s="360">
        <v>43258</v>
      </c>
      <c r="AU524" s="91">
        <f t="shared" si="39"/>
        <v>58066662</v>
      </c>
      <c r="AV524" s="14"/>
      <c r="AW524" s="1"/>
    </row>
    <row r="525" spans="1:49" s="57" customFormat="1" ht="33.75" hidden="1" x14ac:dyDescent="0.25">
      <c r="A525" s="59"/>
      <c r="B525" s="2" t="str">
        <f>+'Base de Datos'!E525</f>
        <v>170135-0-2017</v>
      </c>
      <c r="C525" s="2" t="str">
        <f>+'Base de Datos'!F525</f>
        <v>LEONARDO ARTURO ZAMORA ZEA</v>
      </c>
      <c r="D525" s="2">
        <f>+'Base de Datos'!G525</f>
        <v>80880912</v>
      </c>
      <c r="E525" s="2" t="str">
        <f>+'Base de Datos'!H525</f>
        <v>Prestar servicios de apoyo para sistematizar y verificar la información relacionada con la generación de la nómina y los registros contables del Concejo de Bogotá.</v>
      </c>
      <c r="F525" s="221">
        <f>+'Base de Datos'!I525</f>
        <v>16875000</v>
      </c>
      <c r="G525" s="220">
        <f>+'Base de Datos'!M525</f>
        <v>42874</v>
      </c>
      <c r="H525" s="220">
        <f>+'Base de Datos'!N525</f>
        <v>43150</v>
      </c>
      <c r="I525" s="179">
        <v>8125000</v>
      </c>
      <c r="J525" s="360">
        <v>43124</v>
      </c>
      <c r="K525" s="237"/>
      <c r="L525" s="363"/>
      <c r="M525" s="179"/>
      <c r="N525" s="360"/>
      <c r="O525" s="179"/>
      <c r="P525" s="365"/>
      <c r="Q525" s="86">
        <f t="shared" si="37"/>
        <v>8125000</v>
      </c>
      <c r="R525" s="849" t="s">
        <v>3871</v>
      </c>
      <c r="S525" s="360">
        <v>43280</v>
      </c>
      <c r="T525" s="179"/>
      <c r="U525" s="360"/>
      <c r="V525" s="179"/>
      <c r="W525" s="360"/>
      <c r="X525" s="179"/>
      <c r="Y525" s="360"/>
      <c r="Z525" s="849" t="s">
        <v>3871</v>
      </c>
      <c r="AA525" s="89">
        <f t="shared" si="38"/>
        <v>43280</v>
      </c>
      <c r="AB525" s="237">
        <v>750000</v>
      </c>
      <c r="AC525" s="237">
        <v>1875000</v>
      </c>
      <c r="AD525" s="237">
        <v>1875000</v>
      </c>
      <c r="AE525" s="237">
        <v>1875000</v>
      </c>
      <c r="AF525" s="237">
        <v>1875000</v>
      </c>
      <c r="AG525" s="237">
        <v>1875000</v>
      </c>
      <c r="AH525" s="237">
        <v>1875000</v>
      </c>
      <c r="AI525" s="237">
        <v>1875000</v>
      </c>
      <c r="AJ525" s="237">
        <v>1875000</v>
      </c>
      <c r="AK525" s="237">
        <v>1125000</v>
      </c>
      <c r="AL525" s="237">
        <v>750000</v>
      </c>
      <c r="AM525" s="237">
        <v>1875000</v>
      </c>
      <c r="AN525" s="237">
        <v>1875000</v>
      </c>
      <c r="AO525" s="237">
        <v>1875000</v>
      </c>
      <c r="AP525" s="237">
        <v>1750000</v>
      </c>
      <c r="AQ525" s="237"/>
      <c r="AR525" s="237"/>
      <c r="AS525" s="237"/>
      <c r="AT525" s="360">
        <v>43311</v>
      </c>
      <c r="AU525" s="91">
        <f t="shared" si="39"/>
        <v>25000000</v>
      </c>
      <c r="AV525" s="14"/>
      <c r="AW525" s="1"/>
    </row>
    <row r="526" spans="1:49" s="57" customFormat="1" ht="45" hidden="1" x14ac:dyDescent="0.25">
      <c r="A526" s="59"/>
      <c r="B526" s="2" t="str">
        <f>+'Base de Datos'!E526</f>
        <v>170137-0-2017</v>
      </c>
      <c r="C526" s="2" t="str">
        <f>+'Base de Datos'!F526</f>
        <v>JOANNA PATRICIA GONZALEZ PAIPA</v>
      </c>
      <c r="D526" s="2">
        <f>+'Base de Datos'!G526</f>
        <v>52144330</v>
      </c>
      <c r="E526" s="2" t="str">
        <f>+'Base de Datos'!H526</f>
        <v>Prestar servicios profesionales en el proceso de auditorías internas en el área de Control Interno del Concejo de Bogotá.</v>
      </c>
      <c r="F526" s="221">
        <f>+'Base de Datos'!I526</f>
        <v>51300000</v>
      </c>
      <c r="G526" s="220">
        <f>+'Base de Datos'!M526</f>
        <v>42873</v>
      </c>
      <c r="H526" s="220">
        <f>+'Base de Datos'!N526</f>
        <v>43149</v>
      </c>
      <c r="I526" s="179">
        <v>24890000</v>
      </c>
      <c r="J526" s="360">
        <v>43130</v>
      </c>
      <c r="K526" s="237"/>
      <c r="L526" s="363"/>
      <c r="M526" s="179"/>
      <c r="N526" s="360"/>
      <c r="O526" s="179"/>
      <c r="P526" s="365"/>
      <c r="Q526" s="86">
        <f t="shared" si="37"/>
        <v>24890000</v>
      </c>
      <c r="R526" s="849" t="s">
        <v>3874</v>
      </c>
      <c r="S526" s="360">
        <v>43280</v>
      </c>
      <c r="T526" s="179"/>
      <c r="U526" s="360"/>
      <c r="V526" s="179"/>
      <c r="W526" s="360"/>
      <c r="X526" s="179"/>
      <c r="Y526" s="360"/>
      <c r="Z526" s="849" t="s">
        <v>3874</v>
      </c>
      <c r="AA526" s="89">
        <f t="shared" si="38"/>
        <v>43280</v>
      </c>
      <c r="AB526" s="237">
        <v>2470000</v>
      </c>
      <c r="AC526" s="237">
        <v>5700000</v>
      </c>
      <c r="AD526" s="237">
        <v>5700000</v>
      </c>
      <c r="AE526" s="237">
        <v>5700000</v>
      </c>
      <c r="AF526" s="237">
        <v>5700000</v>
      </c>
      <c r="AG526" s="237">
        <v>5700000</v>
      </c>
      <c r="AH526" s="237">
        <v>5700000</v>
      </c>
      <c r="AI526" s="237">
        <v>5700000</v>
      </c>
      <c r="AJ526" s="237">
        <v>5700000</v>
      </c>
      <c r="AK526" s="237">
        <v>3230000</v>
      </c>
      <c r="AL526" s="237">
        <v>2470000</v>
      </c>
      <c r="AM526" s="237">
        <v>5700000</v>
      </c>
      <c r="AN526" s="237">
        <v>5700000</v>
      </c>
      <c r="AO526" s="237">
        <v>5700000</v>
      </c>
      <c r="AP526" s="237">
        <v>5320000</v>
      </c>
      <c r="AQ526" s="237"/>
      <c r="AR526" s="237"/>
      <c r="AS526" s="237"/>
      <c r="AT526" s="360">
        <v>43258</v>
      </c>
      <c r="AU526" s="91">
        <f t="shared" si="39"/>
        <v>76190000</v>
      </c>
      <c r="AV526" s="14"/>
      <c r="AW526" s="1"/>
    </row>
    <row r="527" spans="1:49" s="57" customFormat="1" ht="56.25" hidden="1" x14ac:dyDescent="0.25">
      <c r="A527" s="59"/>
      <c r="B527" s="2" t="str">
        <f>+'Base de Datos'!E527</f>
        <v>170139-0-2017</v>
      </c>
      <c r="C527" s="2" t="str">
        <f>+'Base de Datos'!F527</f>
        <v>BRAYAN JEFERSON VARON AGUIRRE</v>
      </c>
      <c r="D527" s="2">
        <f>+'Base de Datos'!G527</f>
        <v>1126599090</v>
      </c>
      <c r="E527" s="2" t="str">
        <f>+'Base de Datos'!H527</f>
        <v>Prestar servicios de apoyo al procedimiento de bonos pensionales para coadyuvar con las actividades de actualización y administración de la información de los funcionarios y exfuncionarios en cuanto a los trámites de pensión.</v>
      </c>
      <c r="F527" s="221">
        <f>+'Base de Datos'!I527</f>
        <v>13500000</v>
      </c>
      <c r="G527" s="220">
        <f>+'Base de Datos'!M527</f>
        <v>42887</v>
      </c>
      <c r="H527" s="220">
        <f>+'Base de Datos'!N527</f>
        <v>43160</v>
      </c>
      <c r="I527" s="179">
        <v>5900000</v>
      </c>
      <c r="J527" s="360">
        <v>43126</v>
      </c>
      <c r="K527" s="237"/>
      <c r="L527" s="363"/>
      <c r="M527" s="179"/>
      <c r="N527" s="360"/>
      <c r="O527" s="179"/>
      <c r="P527" s="365"/>
      <c r="Q527" s="86">
        <f t="shared" si="37"/>
        <v>5900000</v>
      </c>
      <c r="R527" s="849" t="s">
        <v>3850</v>
      </c>
      <c r="S527" s="360">
        <v>43280</v>
      </c>
      <c r="T527" s="179"/>
      <c r="U527" s="360"/>
      <c r="V527" s="179"/>
      <c r="W527" s="360"/>
      <c r="X527" s="179"/>
      <c r="Y527" s="360"/>
      <c r="Z527" s="849" t="s">
        <v>3850</v>
      </c>
      <c r="AA527" s="89">
        <f t="shared" si="38"/>
        <v>43280</v>
      </c>
      <c r="AB527" s="237">
        <v>1500000</v>
      </c>
      <c r="AC527" s="237">
        <v>1500000</v>
      </c>
      <c r="AD527" s="237">
        <v>1500000</v>
      </c>
      <c r="AE527" s="237">
        <v>1500000</v>
      </c>
      <c r="AF527" s="237">
        <v>1500000</v>
      </c>
      <c r="AG527" s="237">
        <v>1500000</v>
      </c>
      <c r="AH527" s="237">
        <v>1500000</v>
      </c>
      <c r="AI527" s="237">
        <v>1500000</v>
      </c>
      <c r="AJ527" s="237">
        <v>1500000</v>
      </c>
      <c r="AK527" s="237">
        <v>1500000</v>
      </c>
      <c r="AL527" s="237">
        <v>1500000</v>
      </c>
      <c r="AM527" s="237">
        <v>1500000</v>
      </c>
      <c r="AN527" s="237">
        <v>1400000</v>
      </c>
      <c r="AO527" s="237"/>
      <c r="AP527" s="237"/>
      <c r="AQ527" s="237"/>
      <c r="AR527" s="237"/>
      <c r="AS527" s="237"/>
      <c r="AT527" s="360">
        <v>43258</v>
      </c>
      <c r="AU527" s="91">
        <f t="shared" si="39"/>
        <v>19400000</v>
      </c>
      <c r="AV527" s="14"/>
      <c r="AW527" s="1"/>
    </row>
    <row r="528" spans="1:49" s="57" customFormat="1" ht="45" hidden="1" x14ac:dyDescent="0.25">
      <c r="A528" s="59"/>
      <c r="B528" s="2" t="str">
        <f>+'Base de Datos'!E528</f>
        <v>170140-0-2017</v>
      </c>
      <c r="C528" s="2" t="str">
        <f>+'Base de Datos'!F528</f>
        <v>JOSE GABRIEL PARRA PIRAZAN</v>
      </c>
      <c r="D528" s="2">
        <f>+'Base de Datos'!G528</f>
        <v>79436393</v>
      </c>
      <c r="E528" s="2" t="str">
        <f>+'Base de Datos'!H528</f>
        <v xml:space="preserve">Prestar servicios profesionales para apoyar a la Dirección Jurídica del Concejo de Bogotá, en la asesoría y respuesta a derechos de petición, solicitudes, denuncias, quejas, consultas y reclamos que reciba la corporación. </v>
      </c>
      <c r="F528" s="221">
        <f>+'Base de Datos'!I528</f>
        <v>34326000</v>
      </c>
      <c r="G528" s="220">
        <f>+'Base de Datos'!M528</f>
        <v>42878</v>
      </c>
      <c r="H528" s="220">
        <f>+'Base de Datos'!N528</f>
        <v>43154</v>
      </c>
      <c r="I528" s="179">
        <v>16018800</v>
      </c>
      <c r="J528" s="360">
        <v>43126</v>
      </c>
      <c r="K528" s="237"/>
      <c r="L528" s="363"/>
      <c r="M528" s="179"/>
      <c r="N528" s="360"/>
      <c r="O528" s="179"/>
      <c r="P528" s="365"/>
      <c r="Q528" s="86">
        <f t="shared" si="37"/>
        <v>16018800</v>
      </c>
      <c r="R528" s="849" t="s">
        <v>3851</v>
      </c>
      <c r="S528" s="360">
        <v>43280</v>
      </c>
      <c r="T528" s="179"/>
      <c r="U528" s="360"/>
      <c r="V528" s="179"/>
      <c r="W528" s="360"/>
      <c r="X528" s="179"/>
      <c r="Y528" s="360"/>
      <c r="Z528" s="849" t="s">
        <v>3851</v>
      </c>
      <c r="AA528" s="89">
        <f t="shared" si="38"/>
        <v>43280</v>
      </c>
      <c r="AB528" s="237">
        <v>1017067</v>
      </c>
      <c r="AC528" s="237">
        <v>3814000</v>
      </c>
      <c r="AD528" s="237">
        <v>3814000</v>
      </c>
      <c r="AE528" s="237">
        <v>3814000</v>
      </c>
      <c r="AF528" s="237">
        <v>3814000</v>
      </c>
      <c r="AG528" s="237">
        <v>3814000</v>
      </c>
      <c r="AH528" s="237">
        <v>3814000</v>
      </c>
      <c r="AI528" s="237">
        <v>3814000</v>
      </c>
      <c r="AJ528" s="237">
        <v>3814000</v>
      </c>
      <c r="AK528" s="237">
        <v>2796933</v>
      </c>
      <c r="AL528" s="237">
        <v>1017067</v>
      </c>
      <c r="AM528" s="237"/>
      <c r="AN528" s="237">
        <v>3814000</v>
      </c>
      <c r="AO528" s="237">
        <v>3814000</v>
      </c>
      <c r="AP528" s="237">
        <v>3814000</v>
      </c>
      <c r="AQ528" s="237">
        <v>3559733</v>
      </c>
      <c r="AR528" s="237"/>
      <c r="AS528" s="237"/>
      <c r="AT528" s="360">
        <v>43258</v>
      </c>
      <c r="AU528" s="91">
        <f t="shared" si="39"/>
        <v>50344800</v>
      </c>
      <c r="AV528" s="14"/>
      <c r="AW528" s="1"/>
    </row>
    <row r="529" spans="1:49" s="57" customFormat="1" ht="33.75" hidden="1" x14ac:dyDescent="0.25">
      <c r="A529" s="59"/>
      <c r="B529" s="2" t="str">
        <f>+'Base de Datos'!E529</f>
        <v>170136-0-2017</v>
      </c>
      <c r="C529" s="2" t="str">
        <f>+'Base de Datos'!F529</f>
        <v>FACTOR VISUAL EAT</v>
      </c>
      <c r="D529" s="2">
        <f>+'Base de Datos'!G529</f>
        <v>830112518</v>
      </c>
      <c r="E529" s="2" t="str">
        <f>+'Base de Datos'!H529</f>
        <v>Prestar los servicios de mantenimiento, actualización y soporte al sitio WEB e Intranet del Concejo de Bogotá, de conformidad con lo establecido en los estudios previos</v>
      </c>
      <c r="F529" s="221">
        <f>+'Base de Datos'!I529</f>
        <v>49980000</v>
      </c>
      <c r="G529" s="220">
        <f>+'Base de Datos'!M529</f>
        <v>42874</v>
      </c>
      <c r="H529" s="220">
        <f>+'Base de Datos'!N529</f>
        <v>43239</v>
      </c>
      <c r="I529" s="179">
        <v>7021000</v>
      </c>
      <c r="J529" s="360">
        <v>43236</v>
      </c>
      <c r="K529" s="237"/>
      <c r="L529" s="363"/>
      <c r="M529" s="179"/>
      <c r="N529" s="360"/>
      <c r="O529" s="179"/>
      <c r="P529" s="365"/>
      <c r="Q529" s="86">
        <f t="shared" si="37"/>
        <v>7021000</v>
      </c>
      <c r="R529" s="284" t="s">
        <v>3987</v>
      </c>
      <c r="S529" s="360">
        <v>43299</v>
      </c>
      <c r="T529" s="179"/>
      <c r="U529" s="360"/>
      <c r="V529" s="179"/>
      <c r="W529" s="360"/>
      <c r="X529" s="179"/>
      <c r="Y529" s="360"/>
      <c r="Z529" s="284" t="s">
        <v>3987</v>
      </c>
      <c r="AA529" s="89">
        <f t="shared" si="38"/>
        <v>43299</v>
      </c>
      <c r="AB529" s="237"/>
      <c r="AC529" s="237">
        <v>4284000</v>
      </c>
      <c r="AD529" s="237">
        <v>3570000</v>
      </c>
      <c r="AE529" s="237">
        <v>6426000</v>
      </c>
      <c r="AF529" s="237">
        <v>3570000</v>
      </c>
      <c r="AG529" s="237">
        <v>3570000</v>
      </c>
      <c r="AH529" s="237">
        <v>3570000</v>
      </c>
      <c r="AI529" s="237">
        <v>3570000</v>
      </c>
      <c r="AJ529" s="237">
        <v>3570000</v>
      </c>
      <c r="AK529" s="237">
        <v>3570000</v>
      </c>
      <c r="AL529" s="237">
        <v>3570000</v>
      </c>
      <c r="AM529" s="237">
        <v>3570000</v>
      </c>
      <c r="AN529" s="237">
        <v>3570000</v>
      </c>
      <c r="AO529" s="237">
        <v>3570000</v>
      </c>
      <c r="AP529" s="237">
        <v>3570000</v>
      </c>
      <c r="AQ529" s="237">
        <v>3451000</v>
      </c>
      <c r="AR529" s="237"/>
      <c r="AS529" s="237"/>
      <c r="AT529" s="360">
        <v>43340</v>
      </c>
      <c r="AU529" s="91">
        <f t="shared" si="39"/>
        <v>57001000</v>
      </c>
      <c r="AV529" s="14"/>
      <c r="AW529" s="1"/>
    </row>
    <row r="530" spans="1:49" s="57" customFormat="1" ht="45" hidden="1" x14ac:dyDescent="0.25">
      <c r="A530" s="59"/>
      <c r="B530" s="2" t="str">
        <f>+'Base de Datos'!E530</f>
        <v>170141-0-2017</v>
      </c>
      <c r="C530" s="2" t="str">
        <f>+'Base de Datos'!F530</f>
        <v>INGENIERIA Y SOLUCIONES EN CONTROL AUTOMATIZACION Y DISEÑO SAS</v>
      </c>
      <c r="D530" s="2">
        <f>+'Base de Datos'!G530</f>
        <v>900462717</v>
      </c>
      <c r="E530" s="2" t="str">
        <f>+'Base de Datos'!H530</f>
        <v>Prestar servicios de mantenimiento correctivo y preventivo para las  máquinas: Guillotina y cizalla manual, ubicada en la oficina de anales y publicaciones del Concejo de Bogotá.</v>
      </c>
      <c r="F530" s="221">
        <f>+'Base de Datos'!I530</f>
        <v>1802850</v>
      </c>
      <c r="G530" s="220">
        <f>+'Base de Datos'!M530</f>
        <v>42887</v>
      </c>
      <c r="H530" s="220">
        <f>+'Base de Datos'!N530</f>
        <v>43191</v>
      </c>
      <c r="I530" s="179"/>
      <c r="J530" s="360"/>
      <c r="K530" s="237"/>
      <c r="L530" s="363"/>
      <c r="M530" s="179"/>
      <c r="N530" s="360"/>
      <c r="O530" s="179"/>
      <c r="P530" s="365"/>
      <c r="Q530" s="86">
        <f t="shared" si="37"/>
        <v>0</v>
      </c>
      <c r="R530" s="284"/>
      <c r="S530" s="360"/>
      <c r="T530" s="179"/>
      <c r="U530" s="360"/>
      <c r="V530" s="179"/>
      <c r="W530" s="360"/>
      <c r="X530" s="179"/>
      <c r="Y530" s="360"/>
      <c r="Z530" s="353"/>
      <c r="AA530" s="89">
        <f t="shared" si="38"/>
        <v>0</v>
      </c>
      <c r="AB530" s="237">
        <v>238000</v>
      </c>
      <c r="AC530" s="237">
        <v>238000</v>
      </c>
      <c r="AD530" s="237">
        <v>238000</v>
      </c>
      <c r="AE530" s="237">
        <v>238000</v>
      </c>
      <c r="AF530" s="237">
        <v>612850</v>
      </c>
      <c r="AG530" s="237"/>
      <c r="AH530" s="237"/>
      <c r="AI530" s="237"/>
      <c r="AJ530" s="237"/>
      <c r="AK530" s="237"/>
      <c r="AL530" s="237"/>
      <c r="AM530" s="237"/>
      <c r="AN530" s="237"/>
      <c r="AO530" s="237"/>
      <c r="AP530" s="237"/>
      <c r="AQ530" s="237"/>
      <c r="AR530" s="237"/>
      <c r="AS530" s="237"/>
      <c r="AT530" s="360">
        <v>43235</v>
      </c>
      <c r="AU530" s="91">
        <f t="shared" si="39"/>
        <v>1564850</v>
      </c>
      <c r="AV530" s="14"/>
      <c r="AW530" s="1"/>
    </row>
    <row r="531" spans="1:49" s="57" customFormat="1" ht="33.75" hidden="1" x14ac:dyDescent="0.25">
      <c r="A531" s="59"/>
      <c r="B531" s="2" t="str">
        <f>+'Base de Datos'!E531</f>
        <v>170148-0-2017</v>
      </c>
      <c r="C531" s="2" t="str">
        <f>+'Base de Datos'!F531</f>
        <v xml:space="preserve">ARANDA SOFTWARE ANDINA SAS  </v>
      </c>
      <c r="D531" s="2">
        <f>+'Base de Datos'!G531</f>
        <v>830099766</v>
      </c>
      <c r="E531" s="2" t="str">
        <f>+'Base de Datos'!H531</f>
        <v>Prestar el soporte y actualización del software para la gestión de la mesa de servicios - Aranda para el Concejo de Bogotá.</v>
      </c>
      <c r="F531" s="221">
        <f>+'Base de Datos'!I531</f>
        <v>63846922</v>
      </c>
      <c r="G531" s="220">
        <f>+'Base de Datos'!M531</f>
        <v>42898</v>
      </c>
      <c r="H531" s="220">
        <f>+'Base de Datos'!N531</f>
        <v>43202</v>
      </c>
      <c r="I531" s="179">
        <v>19154077</v>
      </c>
      <c r="J531" s="360">
        <v>43201</v>
      </c>
      <c r="K531" s="237"/>
      <c r="L531" s="363"/>
      <c r="M531" s="179"/>
      <c r="N531" s="360"/>
      <c r="O531" s="179"/>
      <c r="P531" s="365"/>
      <c r="Q531" s="86">
        <f t="shared" si="37"/>
        <v>19154077</v>
      </c>
      <c r="R531" s="284" t="s">
        <v>379</v>
      </c>
      <c r="S531" s="360">
        <v>43292</v>
      </c>
      <c r="T531" s="179"/>
      <c r="U531" s="360"/>
      <c r="V531" s="179"/>
      <c r="W531" s="360"/>
      <c r="X531" s="179"/>
      <c r="Y531" s="360"/>
      <c r="Z531" s="353" t="s">
        <v>379</v>
      </c>
      <c r="AA531" s="89">
        <f t="shared" si="38"/>
        <v>43292</v>
      </c>
      <c r="AB531" s="237">
        <v>35708052</v>
      </c>
      <c r="AC531" s="237">
        <v>14069434</v>
      </c>
      <c r="AD531" s="237">
        <v>14069433</v>
      </c>
      <c r="AE531" s="237"/>
      <c r="AF531" s="237"/>
      <c r="AG531" s="237"/>
      <c r="AH531" s="237"/>
      <c r="AI531" s="237"/>
      <c r="AJ531" s="237"/>
      <c r="AK531" s="237"/>
      <c r="AL531" s="237"/>
      <c r="AM531" s="237"/>
      <c r="AN531" s="237"/>
      <c r="AO531" s="237"/>
      <c r="AP531" s="237"/>
      <c r="AQ531" s="237"/>
      <c r="AR531" s="237"/>
      <c r="AS531" s="237"/>
      <c r="AT531" s="360">
        <v>43266</v>
      </c>
      <c r="AU531" s="91">
        <f t="shared" si="39"/>
        <v>63846919</v>
      </c>
      <c r="AV531" s="14"/>
      <c r="AW531" s="1"/>
    </row>
    <row r="532" spans="1:49" s="57" customFormat="1" ht="33.75" hidden="1" x14ac:dyDescent="0.25">
      <c r="A532" s="59"/>
      <c r="B532" s="2" t="str">
        <f>+'Base de Datos'!E532</f>
        <v>170152-0-2017</v>
      </c>
      <c r="C532" s="2" t="str">
        <f>+'Base de Datos'!F532</f>
        <v>MEDICAL PROTECTION LTDA. SALUD OCUPACIONAL</v>
      </c>
      <c r="D532" s="2">
        <f>+'Base de Datos'!G532</f>
        <v>900170405</v>
      </c>
      <c r="E532" s="2" t="str">
        <f>+'Base de Datos'!H532</f>
        <v>Realizar exámenes médicos ocupacionales y complementarios y aplicación de vacunas para los funcionarios del Concejo de Bogotá.</v>
      </c>
      <c r="F532" s="221">
        <f>+'Base de Datos'!I532</f>
        <v>56122000</v>
      </c>
      <c r="G532" s="220">
        <f>+'Base de Datos'!M532</f>
        <v>42898</v>
      </c>
      <c r="H532" s="220">
        <f>+'Base de Datos'!N532</f>
        <v>43263</v>
      </c>
      <c r="I532" s="179"/>
      <c r="J532" s="360"/>
      <c r="K532" s="237"/>
      <c r="L532" s="363"/>
      <c r="M532" s="179"/>
      <c r="N532" s="360"/>
      <c r="O532" s="179"/>
      <c r="P532" s="365"/>
      <c r="Q532" s="86">
        <f t="shared" si="37"/>
        <v>0</v>
      </c>
      <c r="R532" s="284" t="s">
        <v>378</v>
      </c>
      <c r="S532" s="360">
        <v>43324</v>
      </c>
      <c r="T532" s="179"/>
      <c r="U532" s="360"/>
      <c r="V532" s="179"/>
      <c r="W532" s="360"/>
      <c r="X532" s="179"/>
      <c r="Y532" s="360"/>
      <c r="Z532" s="353" t="s">
        <v>378</v>
      </c>
      <c r="AA532" s="89">
        <f t="shared" si="38"/>
        <v>43324</v>
      </c>
      <c r="AB532" s="237">
        <v>11514500</v>
      </c>
      <c r="AC532" s="237">
        <v>1600000</v>
      </c>
      <c r="AD532" s="237">
        <v>6540000</v>
      </c>
      <c r="AE532" s="237">
        <v>3813000</v>
      </c>
      <c r="AF532" s="237">
        <v>637500</v>
      </c>
      <c r="AG532" s="237">
        <v>90000</v>
      </c>
      <c r="AH532" s="237">
        <v>3491500</v>
      </c>
      <c r="AI532" s="237">
        <v>1295000</v>
      </c>
      <c r="AJ532" s="237">
        <v>24641000</v>
      </c>
      <c r="AK532" s="237">
        <v>794500</v>
      </c>
      <c r="AL532" s="237">
        <v>705000</v>
      </c>
      <c r="AM532" s="237"/>
      <c r="AN532" s="237"/>
      <c r="AO532" s="237"/>
      <c r="AP532" s="237"/>
      <c r="AQ532" s="237"/>
      <c r="AR532" s="237"/>
      <c r="AS532" s="237"/>
      <c r="AT532" s="360">
        <v>43340</v>
      </c>
      <c r="AU532" s="91">
        <f t="shared" si="39"/>
        <v>55122000</v>
      </c>
      <c r="AV532" s="14"/>
      <c r="AW532" s="1"/>
    </row>
    <row r="533" spans="1:49" s="57" customFormat="1" ht="22.5" hidden="1" x14ac:dyDescent="0.25">
      <c r="A533" s="59"/>
      <c r="B533" s="2" t="str">
        <f>+'Base de Datos'!E533</f>
        <v>170147-0-2017</v>
      </c>
      <c r="C533" s="2" t="str">
        <f>+'Base de Datos'!F533</f>
        <v>SERVICIOS POSTALES NACIONALES S.A.</v>
      </c>
      <c r="D533" s="2">
        <f>+'Base de Datos'!G533</f>
        <v>900062917</v>
      </c>
      <c r="E533" s="2" t="str">
        <f>+'Base de Datos'!H533</f>
        <v>Prestar servicios para la gestión de correspondencia y mensajería expresa masiva para el Concejo de Bogotá</v>
      </c>
      <c r="F533" s="221">
        <f>+'Base de Datos'!I533</f>
        <v>35763045</v>
      </c>
      <c r="G533" s="220">
        <f>+'Base de Datos'!M533</f>
        <v>42899</v>
      </c>
      <c r="H533" s="220">
        <f>+'Base de Datos'!N533</f>
        <v>43186</v>
      </c>
      <c r="I533" s="179">
        <v>11400000</v>
      </c>
      <c r="J533" s="360">
        <v>43181</v>
      </c>
      <c r="K533" s="237"/>
      <c r="L533" s="363"/>
      <c r="M533" s="179"/>
      <c r="N533" s="360"/>
      <c r="O533" s="179"/>
      <c r="P533" s="365"/>
      <c r="Q533" s="86">
        <f t="shared" si="37"/>
        <v>11400000</v>
      </c>
      <c r="R533" s="284" t="s">
        <v>379</v>
      </c>
      <c r="S533" s="360">
        <v>43278</v>
      </c>
      <c r="T533" s="179" t="s">
        <v>962</v>
      </c>
      <c r="U533" s="360">
        <v>43293</v>
      </c>
      <c r="V533" s="179" t="s">
        <v>1325</v>
      </c>
      <c r="W533" s="360">
        <v>43313</v>
      </c>
      <c r="X533" s="179"/>
      <c r="Y533" s="360"/>
      <c r="Z533" s="849" t="s">
        <v>3849</v>
      </c>
      <c r="AA533" s="89">
        <f t="shared" si="38"/>
        <v>43313</v>
      </c>
      <c r="AB533" s="237">
        <v>7383382</v>
      </c>
      <c r="AC533" s="237">
        <v>2930867</v>
      </c>
      <c r="AD533" s="237">
        <v>3028655</v>
      </c>
      <c r="AE533" s="237">
        <v>3258159</v>
      </c>
      <c r="AF533" s="237">
        <v>7109798</v>
      </c>
      <c r="AG533" s="237">
        <v>2677091</v>
      </c>
      <c r="AH533" s="237">
        <v>3484547</v>
      </c>
      <c r="AI533" s="237">
        <v>3349777</v>
      </c>
      <c r="AJ533" s="237">
        <v>2540769</v>
      </c>
      <c r="AK533" s="237">
        <v>768754</v>
      </c>
      <c r="AL533" s="237">
        <v>3147881</v>
      </c>
      <c r="AM533" s="237">
        <v>3024681</v>
      </c>
      <c r="AN533" s="237">
        <v>1689885</v>
      </c>
      <c r="AO533" s="237">
        <v>1242196</v>
      </c>
      <c r="AP533" s="237"/>
      <c r="AQ533" s="237"/>
      <c r="AR533" s="237"/>
      <c r="AS533" s="237"/>
      <c r="AT533" s="360">
        <v>43453</v>
      </c>
      <c r="AU533" s="91">
        <f t="shared" si="39"/>
        <v>45636442</v>
      </c>
      <c r="AV533" s="14"/>
      <c r="AW533" s="1"/>
    </row>
    <row r="534" spans="1:49" s="57" customFormat="1" ht="22.5" hidden="1" x14ac:dyDescent="0.25">
      <c r="A534" s="59"/>
      <c r="B534" s="2" t="str">
        <f>+'Base de Datos'!E534</f>
        <v>170145-0-2017</v>
      </c>
      <c r="C534" s="2" t="str">
        <f>+'Base de Datos'!F534</f>
        <v>COLOMBIANA DE SOFTWARE Y HARDWARE COLSOF S.A.</v>
      </c>
      <c r="D534" s="2">
        <f>+'Base de Datos'!G534</f>
        <v>800015583</v>
      </c>
      <c r="E534" s="2" t="str">
        <f>+'Base de Datos'!H534</f>
        <v>Proveer el servicio de soporte y mantenimiento para la plataforma VMware del Concejo de Bogotá.</v>
      </c>
      <c r="F534" s="221">
        <f>+'Base de Datos'!I534</f>
        <v>50000000</v>
      </c>
      <c r="G534" s="220">
        <f>+'Base de Datos'!M534</f>
        <v>42913</v>
      </c>
      <c r="H534" s="220">
        <f>+'Base de Datos'!N534</f>
        <v>43278</v>
      </c>
      <c r="I534" s="179"/>
      <c r="J534" s="360"/>
      <c r="K534" s="237"/>
      <c r="L534" s="363"/>
      <c r="M534" s="179"/>
      <c r="N534" s="360"/>
      <c r="O534" s="179"/>
      <c r="P534" s="365"/>
      <c r="Q534" s="86">
        <f t="shared" si="37"/>
        <v>0</v>
      </c>
      <c r="R534" s="284"/>
      <c r="S534" s="360"/>
      <c r="T534" s="179"/>
      <c r="U534" s="360"/>
      <c r="V534" s="179"/>
      <c r="W534" s="360"/>
      <c r="X534" s="179"/>
      <c r="Y534" s="360"/>
      <c r="Z534" s="353"/>
      <c r="AA534" s="89">
        <f t="shared" si="38"/>
        <v>0</v>
      </c>
      <c r="AB534" s="237">
        <v>35600000</v>
      </c>
      <c r="AC534" s="237">
        <v>1511995</v>
      </c>
      <c r="AD534" s="237"/>
      <c r="AE534" s="237"/>
      <c r="AF534" s="237"/>
      <c r="AG534" s="237"/>
      <c r="AH534" s="237"/>
      <c r="AI534" s="237"/>
      <c r="AJ534" s="237"/>
      <c r="AK534" s="237"/>
      <c r="AL534" s="237"/>
      <c r="AM534" s="237"/>
      <c r="AN534" s="237"/>
      <c r="AO534" s="237"/>
      <c r="AP534" s="237"/>
      <c r="AQ534" s="237"/>
      <c r="AR534" s="237"/>
      <c r="AS534" s="237"/>
      <c r="AT534" s="360">
        <v>43300</v>
      </c>
      <c r="AU534" s="91">
        <f t="shared" si="39"/>
        <v>37111995</v>
      </c>
      <c r="AV534" s="14"/>
      <c r="AW534" s="1"/>
    </row>
    <row r="535" spans="1:49" s="57" customFormat="1" ht="22.5" hidden="1" x14ac:dyDescent="0.25">
      <c r="A535" s="59"/>
      <c r="B535" s="2" t="str">
        <f>+'Base de Datos'!E535</f>
        <v>170154-0-2017</v>
      </c>
      <c r="C535" s="2" t="str">
        <f>+'Base de Datos'!F535</f>
        <v>BUSINESSMIND COLOMBIA S.A.</v>
      </c>
      <c r="D535" s="2">
        <f>+'Base de Datos'!G535</f>
        <v>900105979</v>
      </c>
      <c r="E535" s="2" t="str">
        <f>+'Base de Datos'!H535</f>
        <v>Prestar los servicios de administración y operación de la plataforma Oracle del Concejo de Bogotá, D.C.</v>
      </c>
      <c r="F535" s="221">
        <f>+'Base de Datos'!I535</f>
        <v>110600000</v>
      </c>
      <c r="G535" s="220">
        <f>+'Base de Datos'!M535</f>
        <v>42906</v>
      </c>
      <c r="H535" s="220">
        <f>+'Base de Datos'!N535</f>
        <v>43210</v>
      </c>
      <c r="I535" s="179">
        <v>25806667</v>
      </c>
      <c r="J535" s="360">
        <v>43209</v>
      </c>
      <c r="K535" s="237"/>
      <c r="L535" s="363"/>
      <c r="M535" s="179"/>
      <c r="N535" s="360"/>
      <c r="O535" s="179"/>
      <c r="P535" s="365"/>
      <c r="Q535" s="86">
        <f t="shared" si="37"/>
        <v>25806667</v>
      </c>
      <c r="R535" s="849" t="s">
        <v>3949</v>
      </c>
      <c r="S535" s="360">
        <v>43281</v>
      </c>
      <c r="T535" s="179"/>
      <c r="U535" s="360"/>
      <c r="V535" s="179"/>
      <c r="W535" s="360"/>
      <c r="X535" s="179"/>
      <c r="Y535" s="360"/>
      <c r="Z535" s="849" t="s">
        <v>3949</v>
      </c>
      <c r="AA535" s="89">
        <f t="shared" si="38"/>
        <v>43281</v>
      </c>
      <c r="AB535" s="237">
        <v>11060000</v>
      </c>
      <c r="AC535" s="237">
        <v>11060000</v>
      </c>
      <c r="AD535" s="237">
        <v>11060000</v>
      </c>
      <c r="AE535" s="237">
        <v>11060000</v>
      </c>
      <c r="AF535" s="237">
        <v>11060000</v>
      </c>
      <c r="AG535" s="237">
        <v>11060000</v>
      </c>
      <c r="AH535" s="237">
        <v>11060000</v>
      </c>
      <c r="AI535" s="237">
        <v>11060000</v>
      </c>
      <c r="AJ535" s="237">
        <v>11060000</v>
      </c>
      <c r="AK535" s="237">
        <v>11060000</v>
      </c>
      <c r="AL535" s="237">
        <v>11060000</v>
      </c>
      <c r="AM535" s="237">
        <v>14746667</v>
      </c>
      <c r="AN535" s="237"/>
      <c r="AO535" s="237"/>
      <c r="AP535" s="237"/>
      <c r="AQ535" s="237"/>
      <c r="AR535" s="237"/>
      <c r="AS535" s="237"/>
      <c r="AT535" s="360">
        <v>43315</v>
      </c>
      <c r="AU535" s="91">
        <f t="shared" si="39"/>
        <v>136406667</v>
      </c>
      <c r="AV535" s="14"/>
      <c r="AW535" s="1"/>
    </row>
    <row r="536" spans="1:49" s="57" customFormat="1" ht="22.5" hidden="1" x14ac:dyDescent="0.25">
      <c r="A536" s="59"/>
      <c r="B536" s="2" t="str">
        <f>+'Base de Datos'!E536</f>
        <v>170167-0-2017</v>
      </c>
      <c r="C536" s="2" t="str">
        <f>+'Base de Datos'!F536</f>
        <v>COMPAÑÍA COMERCIAL CURACAO DE COLOMBIA SA</v>
      </c>
      <c r="D536" s="2" t="str">
        <f>+'Base de Datos'!G536</f>
        <v>860004871-7</v>
      </c>
      <c r="E536" s="2" t="str">
        <f>+'Base de Datos'!H536</f>
        <v>Proveer medios magnéticos para copias de respaldo para el Concejo de Bogotá.</v>
      </c>
      <c r="F536" s="221">
        <f>+'Base de Datos'!I536</f>
        <v>4361500</v>
      </c>
      <c r="G536" s="220">
        <f>+'Base de Datos'!M536</f>
        <v>42922</v>
      </c>
      <c r="H536" s="220">
        <f>+'Base de Datos'!N536</f>
        <v>42984</v>
      </c>
      <c r="I536" s="179"/>
      <c r="J536" s="360"/>
      <c r="K536" s="237"/>
      <c r="L536" s="363"/>
      <c r="M536" s="179"/>
      <c r="N536" s="360"/>
      <c r="O536" s="179"/>
      <c r="P536" s="365"/>
      <c r="Q536" s="86">
        <f t="shared" si="37"/>
        <v>0</v>
      </c>
      <c r="R536" s="284"/>
      <c r="S536" s="360"/>
      <c r="T536" s="179"/>
      <c r="U536" s="360"/>
      <c r="V536" s="179"/>
      <c r="W536" s="360"/>
      <c r="X536" s="179"/>
      <c r="Y536" s="360"/>
      <c r="Z536" s="353"/>
      <c r="AA536" s="89">
        <f t="shared" si="38"/>
        <v>0</v>
      </c>
      <c r="AB536" s="237">
        <v>4361500</v>
      </c>
      <c r="AC536" s="237"/>
      <c r="AD536" s="237"/>
      <c r="AE536" s="237"/>
      <c r="AF536" s="237"/>
      <c r="AG536" s="237"/>
      <c r="AH536" s="237"/>
      <c r="AI536" s="237"/>
      <c r="AJ536" s="237"/>
      <c r="AK536" s="237"/>
      <c r="AL536" s="237"/>
      <c r="AM536" s="237"/>
      <c r="AN536" s="237"/>
      <c r="AO536" s="237"/>
      <c r="AP536" s="237"/>
      <c r="AQ536" s="237"/>
      <c r="AR536" s="237"/>
      <c r="AS536" s="237"/>
      <c r="AT536" s="360">
        <v>42996</v>
      </c>
      <c r="AU536" s="91">
        <f t="shared" si="39"/>
        <v>4361500</v>
      </c>
      <c r="AV536" s="14"/>
      <c r="AW536" s="1"/>
    </row>
    <row r="537" spans="1:49" s="57" customFormat="1" ht="45" hidden="1" x14ac:dyDescent="0.25">
      <c r="A537" s="59"/>
      <c r="B537" s="2" t="str">
        <f>+'Base de Datos'!E537</f>
        <v>170161-0-2017</v>
      </c>
      <c r="C537" s="2" t="str">
        <f>+'Base de Datos'!F537</f>
        <v>INGENIERIA DE BOMBAS Y PLANTAS LIMITADA</v>
      </c>
      <c r="D537" s="2" t="str">
        <f>+'Base de Datos'!G537</f>
        <v>900152368-1</v>
      </c>
      <c r="E537" s="2" t="str">
        <f>+'Base de Datos'!H537</f>
        <v>Prestar el servicio de manteniemiento para los tanques de almacenamiento y equipos de bombeo hidráulicos de agua potable, residual y aguas negras del Concejo de Bogotá D.C.</v>
      </c>
      <c r="F537" s="221">
        <f>+'Base de Datos'!I537</f>
        <v>4491000</v>
      </c>
      <c r="G537" s="220">
        <f>+'Base de Datos'!M537</f>
        <v>42920</v>
      </c>
      <c r="H537" s="220">
        <f>+'Base de Datos'!N537</f>
        <v>43255</v>
      </c>
      <c r="I537" s="179"/>
      <c r="J537" s="360"/>
      <c r="K537" s="237"/>
      <c r="L537" s="363"/>
      <c r="M537" s="179"/>
      <c r="N537" s="360"/>
      <c r="O537" s="179"/>
      <c r="P537" s="365"/>
      <c r="Q537" s="86">
        <f t="shared" si="37"/>
        <v>0</v>
      </c>
      <c r="R537" s="284"/>
      <c r="S537" s="360"/>
      <c r="T537" s="179"/>
      <c r="U537" s="360"/>
      <c r="V537" s="179"/>
      <c r="W537" s="360"/>
      <c r="X537" s="179"/>
      <c r="Y537" s="360"/>
      <c r="Z537" s="353"/>
      <c r="AA537" s="89">
        <f t="shared" si="38"/>
        <v>0</v>
      </c>
      <c r="AB537" s="237">
        <v>780000</v>
      </c>
      <c r="AC537" s="237">
        <v>3630990</v>
      </c>
      <c r="AD537" s="237"/>
      <c r="AE537" s="237"/>
      <c r="AF537" s="237"/>
      <c r="AG537" s="237"/>
      <c r="AH537" s="237"/>
      <c r="AI537" s="237"/>
      <c r="AJ537" s="237"/>
      <c r="AK537" s="237"/>
      <c r="AL537" s="237"/>
      <c r="AM537" s="237"/>
      <c r="AN537" s="237"/>
      <c r="AO537" s="237"/>
      <c r="AP537" s="237"/>
      <c r="AQ537" s="237"/>
      <c r="AR537" s="237"/>
      <c r="AS537" s="237"/>
      <c r="AT537" s="360">
        <v>43311</v>
      </c>
      <c r="AU537" s="91">
        <f t="shared" si="39"/>
        <v>4410990</v>
      </c>
      <c r="AV537" s="14"/>
      <c r="AW537" s="1"/>
    </row>
    <row r="538" spans="1:49" s="57" customFormat="1" ht="56.25" hidden="1" x14ac:dyDescent="0.25">
      <c r="A538" s="59"/>
      <c r="B538" s="2" t="str">
        <f>+'Base de Datos'!E538</f>
        <v>170157-0-2017</v>
      </c>
      <c r="C538" s="2" t="str">
        <f>+'Base de Datos'!F538</f>
        <v>ALL IN SERVICE SAS</v>
      </c>
      <c r="D538" s="2" t="str">
        <f>+'Base de Datos'!G538</f>
        <v>900820473-3</v>
      </c>
      <c r="E538" s="2" t="str">
        <f>+'Base de Datos'!H538</f>
        <v xml:space="preserve">Prestar los servicios de mantenimiento correctivo  correspondiente a la reparación y corrección de las sillas existentes en el Concejo de Bogotá, D.C., con el suministro de repuestos y/o elementos nuevos necesarios para su correcto funcionamiento. </v>
      </c>
      <c r="F538" s="221">
        <f>+'Base de Datos'!I538</f>
        <v>29000000</v>
      </c>
      <c r="G538" s="220">
        <f>+'Base de Datos'!M538</f>
        <v>42920</v>
      </c>
      <c r="H538" s="220">
        <f>+'Base de Datos'!N538</f>
        <v>43194</v>
      </c>
      <c r="I538" s="179"/>
      <c r="J538" s="360"/>
      <c r="K538" s="237"/>
      <c r="L538" s="363"/>
      <c r="M538" s="179"/>
      <c r="N538" s="360"/>
      <c r="O538" s="179"/>
      <c r="P538" s="365"/>
      <c r="Q538" s="86">
        <f t="shared" si="37"/>
        <v>0</v>
      </c>
      <c r="R538" s="284"/>
      <c r="S538" s="360"/>
      <c r="T538" s="179"/>
      <c r="U538" s="360"/>
      <c r="V538" s="179"/>
      <c r="W538" s="360"/>
      <c r="X538" s="179"/>
      <c r="Y538" s="360"/>
      <c r="Z538" s="353"/>
      <c r="AA538" s="89">
        <f t="shared" si="38"/>
        <v>0</v>
      </c>
      <c r="AB538" s="237">
        <v>9637510</v>
      </c>
      <c r="AC538" s="237">
        <v>10774677</v>
      </c>
      <c r="AD538" s="237">
        <v>4479954</v>
      </c>
      <c r="AE538" s="237">
        <v>1334138</v>
      </c>
      <c r="AF538" s="237">
        <v>2773488</v>
      </c>
      <c r="AG538" s="237"/>
      <c r="AH538" s="237"/>
      <c r="AI538" s="237"/>
      <c r="AJ538" s="237"/>
      <c r="AK538" s="237"/>
      <c r="AL538" s="237"/>
      <c r="AM538" s="237"/>
      <c r="AN538" s="237"/>
      <c r="AO538" s="237"/>
      <c r="AP538" s="237"/>
      <c r="AQ538" s="237"/>
      <c r="AR538" s="237"/>
      <c r="AS538" s="237"/>
      <c r="AT538" s="360">
        <v>43236</v>
      </c>
      <c r="AU538" s="91">
        <f t="shared" si="39"/>
        <v>28999767</v>
      </c>
      <c r="AV538" s="14"/>
      <c r="AW538" s="1"/>
    </row>
    <row r="539" spans="1:49" s="57" customFormat="1" ht="78.75" hidden="1" x14ac:dyDescent="0.25">
      <c r="A539" s="59"/>
      <c r="B539" s="2" t="str">
        <f>+'Base de Datos'!E539</f>
        <v>170182-0-2017</v>
      </c>
      <c r="C539" s="2" t="str">
        <f>+'Base de Datos'!F539</f>
        <v>UNION TEMPORAL GRANADINA SERACIS</v>
      </c>
      <c r="D539" s="2" t="str">
        <f>+'Base de Datos'!G539</f>
        <v>901095723-2</v>
      </c>
      <c r="E539" s="2" t="str">
        <f>+'Base de Datos'!H539</f>
        <v xml:space="preserve">Prestar servicio de vigilancia y seguridad privada, para la permanente y adecuada protección de los funcionarios, contratistas, visitantes, contribuyentes y usuarios del Concejo de Bogotá, D.C., y los bienes muebles e inmuebles objeto de esta contratación, de conformidad con lo dispuesto en el pliego de condiciones del proceso SDH-LP-02-2017 </v>
      </c>
      <c r="F539" s="221">
        <f>+'Base de Datos'!I539</f>
        <v>578014000</v>
      </c>
      <c r="G539" s="220">
        <f>+'Base de Datos'!M539</f>
        <v>42933</v>
      </c>
      <c r="H539" s="220">
        <f>+'Base de Datos'!N539</f>
        <v>43117</v>
      </c>
      <c r="I539" s="179">
        <v>303988189</v>
      </c>
      <c r="J539" s="360">
        <v>43133</v>
      </c>
      <c r="K539" s="237"/>
      <c r="L539" s="363"/>
      <c r="M539" s="179"/>
      <c r="N539" s="360"/>
      <c r="O539" s="179"/>
      <c r="P539" s="365"/>
      <c r="Q539" s="86">
        <f t="shared" si="37"/>
        <v>303988189</v>
      </c>
      <c r="R539" s="849" t="s">
        <v>3719</v>
      </c>
      <c r="S539" s="360">
        <v>43134</v>
      </c>
      <c r="T539" s="178" t="s">
        <v>3866</v>
      </c>
      <c r="U539" s="360">
        <v>43231</v>
      </c>
      <c r="V539" s="179"/>
      <c r="W539" s="360"/>
      <c r="X539" s="179"/>
      <c r="Y539" s="360"/>
      <c r="Z539" s="353" t="s">
        <v>3867</v>
      </c>
      <c r="AA539" s="89">
        <f t="shared" si="38"/>
        <v>43231</v>
      </c>
      <c r="AB539" s="237">
        <v>41077512</v>
      </c>
      <c r="AC539" s="237">
        <v>87096564</v>
      </c>
      <c r="AD539" s="237">
        <v>87096564</v>
      </c>
      <c r="AE539" s="237">
        <v>87949614</v>
      </c>
      <c r="AF539" s="237">
        <v>87665264</v>
      </c>
      <c r="AG539" s="237">
        <v>88518314</v>
      </c>
      <c r="AH539" s="237">
        <v>92677969</v>
      </c>
      <c r="AI539" s="237">
        <v>5932199</v>
      </c>
      <c r="AJ539" s="237">
        <v>86143516</v>
      </c>
      <c r="AK539" s="237">
        <v>92677969</v>
      </c>
      <c r="AL539" s="237">
        <v>91194367</v>
      </c>
      <c r="AM539" s="237">
        <v>32079098</v>
      </c>
      <c r="AN539" s="237"/>
      <c r="AO539" s="237"/>
      <c r="AP539" s="237"/>
      <c r="AQ539" s="237"/>
      <c r="AR539" s="237"/>
      <c r="AS539" s="237"/>
      <c r="AT539" s="360">
        <v>43325</v>
      </c>
      <c r="AU539" s="91">
        <f t="shared" si="39"/>
        <v>880108950</v>
      </c>
      <c r="AV539" s="14"/>
      <c r="AW539" s="1"/>
    </row>
    <row r="540" spans="1:49" s="57" customFormat="1" ht="45" hidden="1" x14ac:dyDescent="0.25">
      <c r="A540" s="59"/>
      <c r="B540" s="2" t="str">
        <f>+'Base de Datos'!E540</f>
        <v>170175-0-2017</v>
      </c>
      <c r="C540" s="2" t="str">
        <f>+'Base de Datos'!F540</f>
        <v>PASSWORD CONSULTING SERVICES S.A.S.</v>
      </c>
      <c r="D540" s="2" t="str">
        <f>+'Base de Datos'!G540</f>
        <v>900175316-8</v>
      </c>
      <c r="E540" s="2" t="str">
        <f>+'Base de Datos'!H540</f>
        <v>Prestar los servicios para el mantenimiento, la mejora continua y el acompañamiento previo a la Certificación ISO270001:2013- Subsistema de seguridad de la información.</v>
      </c>
      <c r="F540" s="221">
        <f>+'Base de Datos'!I540</f>
        <v>70086000</v>
      </c>
      <c r="G540" s="220">
        <f>+'Base de Datos'!M540</f>
        <v>42930</v>
      </c>
      <c r="H540" s="220">
        <f>+'Base de Datos'!N540</f>
        <v>43053</v>
      </c>
      <c r="I540" s="179"/>
      <c r="J540" s="360"/>
      <c r="K540" s="237"/>
      <c r="L540" s="363"/>
      <c r="M540" s="179"/>
      <c r="N540" s="360"/>
      <c r="O540" s="179"/>
      <c r="P540" s="365"/>
      <c r="Q540" s="86">
        <f t="shared" si="37"/>
        <v>0</v>
      </c>
      <c r="R540" s="284"/>
      <c r="S540" s="360"/>
      <c r="T540" s="179"/>
      <c r="U540" s="360"/>
      <c r="V540" s="179"/>
      <c r="W540" s="360"/>
      <c r="X540" s="179"/>
      <c r="Y540" s="360"/>
      <c r="Z540" s="353"/>
      <c r="AA540" s="89">
        <f t="shared" si="38"/>
        <v>0</v>
      </c>
      <c r="AB540" s="237"/>
      <c r="AC540" s="237">
        <v>19211000</v>
      </c>
      <c r="AD540" s="237">
        <v>22000000</v>
      </c>
      <c r="AE540" s="237">
        <v>7500000</v>
      </c>
      <c r="AF540" s="237">
        <v>21375000</v>
      </c>
      <c r="AG540" s="237"/>
      <c r="AH540" s="237"/>
      <c r="AI540" s="237"/>
      <c r="AJ540" s="237"/>
      <c r="AK540" s="237"/>
      <c r="AL540" s="237"/>
      <c r="AM540" s="237"/>
      <c r="AN540" s="237"/>
      <c r="AO540" s="237"/>
      <c r="AP540" s="237"/>
      <c r="AQ540" s="237"/>
      <c r="AR540" s="237"/>
      <c r="AS540" s="237"/>
      <c r="AT540" s="360">
        <v>43053</v>
      </c>
      <c r="AU540" s="91">
        <f t="shared" si="39"/>
        <v>70086000</v>
      </c>
      <c r="AV540" s="14"/>
      <c r="AW540" s="1"/>
    </row>
    <row r="541" spans="1:49" s="57" customFormat="1" ht="33.75" hidden="1" x14ac:dyDescent="0.25">
      <c r="A541" s="59"/>
      <c r="B541" s="2" t="str">
        <f>+'Base de Datos'!E541</f>
        <v>170164-0-2017</v>
      </c>
      <c r="C541" s="2" t="str">
        <f>+'Base de Datos'!F541</f>
        <v>MITSUBISHI ELECTRIC DE COLOMBIA LTDA</v>
      </c>
      <c r="D541" s="2">
        <f>+'Base de Datos'!G541</f>
        <v>860025639</v>
      </c>
      <c r="E541" s="2" t="str">
        <f>+'Base de Datos'!H541</f>
        <v>Prestar servicios de mantenimiento preventivo y correctivo a los ascensores marca Mitsubishi del Concejo de Bogotá.</v>
      </c>
      <c r="F541" s="221">
        <f>+'Base de Datos'!I541</f>
        <v>15000000</v>
      </c>
      <c r="G541" s="220">
        <f>+'Base de Datos'!M541</f>
        <v>42948</v>
      </c>
      <c r="H541" s="220">
        <f>+'Base de Datos'!N541</f>
        <v>43236</v>
      </c>
      <c r="I541" s="179">
        <v>6193880</v>
      </c>
      <c r="J541" s="360">
        <v>43235</v>
      </c>
      <c r="K541" s="237"/>
      <c r="L541" s="363"/>
      <c r="M541" s="179"/>
      <c r="N541" s="360"/>
      <c r="O541" s="179"/>
      <c r="P541" s="365"/>
      <c r="Q541" s="86">
        <f t="shared" si="37"/>
        <v>6193880</v>
      </c>
      <c r="R541" s="849" t="s">
        <v>966</v>
      </c>
      <c r="S541" s="360">
        <v>43312</v>
      </c>
      <c r="T541" s="179"/>
      <c r="U541" s="360"/>
      <c r="V541" s="179"/>
      <c r="W541" s="360"/>
      <c r="X541" s="179"/>
      <c r="Y541" s="360"/>
      <c r="Z541" s="849" t="s">
        <v>966</v>
      </c>
      <c r="AA541" s="89">
        <f t="shared" si="38"/>
        <v>43312</v>
      </c>
      <c r="AB541" s="237">
        <v>7646200</v>
      </c>
      <c r="AC541" s="237">
        <v>1529240</v>
      </c>
      <c r="AD541" s="237">
        <v>1529240</v>
      </c>
      <c r="AE541" s="237">
        <v>1529240</v>
      </c>
      <c r="AF541" s="237">
        <v>1529240</v>
      </c>
      <c r="AG541" s="237"/>
      <c r="AH541" s="237">
        <v>1236840</v>
      </c>
      <c r="AI541" s="237">
        <v>292400</v>
      </c>
      <c r="AJ541" s="237">
        <v>1529240</v>
      </c>
      <c r="AK541" s="237">
        <v>1529240</v>
      </c>
      <c r="AL541" s="237"/>
      <c r="AM541" s="237"/>
      <c r="AN541" s="237"/>
      <c r="AO541" s="237"/>
      <c r="AP541" s="237"/>
      <c r="AQ541" s="237"/>
      <c r="AR541" s="237"/>
      <c r="AS541" s="237"/>
      <c r="AT541" s="360">
        <v>43364</v>
      </c>
      <c r="AU541" s="91">
        <f t="shared" si="39"/>
        <v>18350880</v>
      </c>
      <c r="AV541" s="14"/>
      <c r="AW541" s="1"/>
    </row>
    <row r="542" spans="1:49" s="57" customFormat="1" ht="56.25" hidden="1" x14ac:dyDescent="0.25">
      <c r="A542" s="59"/>
      <c r="B542" s="2" t="str">
        <f>+'Base de Datos'!E542</f>
        <v>170178-0-2017</v>
      </c>
      <c r="C542" s="2" t="str">
        <f>+'Base de Datos'!F542</f>
        <v>COLOMBIANA DE SOFTWARE Y HARDWARE COLSOF S.A.</v>
      </c>
      <c r="D542" s="2" t="str">
        <f>+'Base de Datos'!G542</f>
        <v>800015583-1</v>
      </c>
      <c r="E542" s="2" t="str">
        <f>+'Base de Datos'!H542</f>
        <v>Prestar los servicios de mantenimiento preventivo, correctivo y soporte técnico especializado para los servidores y sus dispositivos del Concejo de Bogotá, D.C., de conformidad con lo establecido en el pliego de condiciones No. SDH-SIE-04-2017</v>
      </c>
      <c r="F542" s="221">
        <f>+'Base de Datos'!I542</f>
        <v>196663000</v>
      </c>
      <c r="G542" s="220">
        <f>+'Base de Datos'!M542</f>
        <v>42937</v>
      </c>
      <c r="H542" s="220">
        <f>+'Base de Datos'!N542</f>
        <v>43180</v>
      </c>
      <c r="I542" s="179">
        <v>44511762</v>
      </c>
      <c r="J542" s="360">
        <v>43180</v>
      </c>
      <c r="K542" s="237">
        <v>39249339</v>
      </c>
      <c r="L542" s="363">
        <v>43241</v>
      </c>
      <c r="M542" s="179"/>
      <c r="N542" s="360"/>
      <c r="O542" s="179"/>
      <c r="P542" s="365"/>
      <c r="Q542" s="86">
        <f t="shared" si="37"/>
        <v>83761101</v>
      </c>
      <c r="R542" s="284" t="s">
        <v>378</v>
      </c>
      <c r="S542" s="360">
        <v>43241</v>
      </c>
      <c r="T542" s="178" t="s">
        <v>1832</v>
      </c>
      <c r="U542" s="360">
        <v>43320</v>
      </c>
      <c r="V542" s="179"/>
      <c r="W542" s="360"/>
      <c r="X542" s="179"/>
      <c r="Y542" s="360"/>
      <c r="Z542" s="353" t="s">
        <v>2207</v>
      </c>
      <c r="AA542" s="89">
        <f t="shared" si="38"/>
        <v>43320</v>
      </c>
      <c r="AB542" s="237">
        <v>44511762</v>
      </c>
      <c r="AC542" s="237">
        <v>44511762</v>
      </c>
      <c r="AD542" s="237">
        <v>44511762</v>
      </c>
      <c r="AE542" s="237">
        <v>44511762</v>
      </c>
      <c r="AF542" s="237">
        <v>44511762</v>
      </c>
      <c r="AG542" s="237"/>
      <c r="AH542" s="237">
        <v>18472381</v>
      </c>
      <c r="AI542" s="237">
        <v>39170351</v>
      </c>
      <c r="AJ542" s="237"/>
      <c r="AK542" s="237"/>
      <c r="AL542" s="237"/>
      <c r="AM542" s="237"/>
      <c r="AN542" s="237"/>
      <c r="AO542" s="237"/>
      <c r="AP542" s="237"/>
      <c r="AQ542" s="237"/>
      <c r="AR542" s="237"/>
      <c r="AS542" s="237"/>
      <c r="AT542" s="360">
        <v>43390</v>
      </c>
      <c r="AU542" s="91">
        <f t="shared" si="39"/>
        <v>280201542</v>
      </c>
      <c r="AV542" s="14"/>
      <c r="AW542" s="1"/>
    </row>
    <row r="543" spans="1:49" s="57" customFormat="1" ht="22.5" hidden="1" x14ac:dyDescent="0.25">
      <c r="A543" s="59"/>
      <c r="B543" s="2" t="str">
        <f>+'Base de Datos'!E543</f>
        <v>170185-0-2017</v>
      </c>
      <c r="C543" s="2" t="str">
        <f>+'Base de Datos'!F543</f>
        <v>CANAL CAPITAL</v>
      </c>
      <c r="D543" s="2">
        <f>+'Base de Datos'!G543</f>
        <v>830012587</v>
      </c>
      <c r="E543" s="2" t="str">
        <f>+'Base de Datos'!H543</f>
        <v xml:space="preserve">Prestar servicios de producción y trasmisión de programas de televisión para el Concejo de Bogotá. </v>
      </c>
      <c r="F543" s="221">
        <f>+'Base de Datos'!I543</f>
        <v>909999990</v>
      </c>
      <c r="G543" s="220">
        <f>+'Base de Datos'!M543</f>
        <v>42948</v>
      </c>
      <c r="H543" s="220">
        <f>+'Base de Datos'!N543</f>
        <v>43221</v>
      </c>
      <c r="I543" s="179">
        <v>47319780</v>
      </c>
      <c r="J543" s="360">
        <v>43175</v>
      </c>
      <c r="K543" s="237">
        <v>284000000</v>
      </c>
      <c r="L543" s="363">
        <v>43222</v>
      </c>
      <c r="M543" s="179"/>
      <c r="N543" s="360"/>
      <c r="O543" s="179"/>
      <c r="P543" s="365"/>
      <c r="Q543" s="86">
        <f t="shared" si="37"/>
        <v>331319780</v>
      </c>
      <c r="R543" s="284" t="s">
        <v>378</v>
      </c>
      <c r="S543" s="360">
        <v>43281</v>
      </c>
      <c r="T543" s="179" t="s">
        <v>381</v>
      </c>
      <c r="U543" s="360">
        <v>43311</v>
      </c>
      <c r="V543" s="179"/>
      <c r="W543" s="360"/>
      <c r="X543" s="179"/>
      <c r="Y543" s="360"/>
      <c r="Z543" s="353" t="s">
        <v>379</v>
      </c>
      <c r="AA543" s="89">
        <f t="shared" si="38"/>
        <v>43311</v>
      </c>
      <c r="AB543" s="237">
        <v>151666665</v>
      </c>
      <c r="AC543" s="237">
        <v>126794644</v>
      </c>
      <c r="AD543" s="237">
        <v>129821416</v>
      </c>
      <c r="AE543" s="237"/>
      <c r="AF543" s="237">
        <v>126794644</v>
      </c>
      <c r="AG543" s="237">
        <v>121333332</v>
      </c>
      <c r="AH543" s="237">
        <v>96461311</v>
      </c>
      <c r="AI543" s="237">
        <v>107383936</v>
      </c>
      <c r="AJ543" s="237">
        <v>49744042</v>
      </c>
      <c r="AK543" s="237">
        <v>121912244</v>
      </c>
      <c r="AL543" s="237">
        <v>131081391</v>
      </c>
      <c r="AM543" s="237">
        <v>58710549</v>
      </c>
      <c r="AN543" s="237"/>
      <c r="AO543" s="237"/>
      <c r="AP543" s="237"/>
      <c r="AQ543" s="237"/>
      <c r="AR543" s="237"/>
      <c r="AS543" s="237"/>
      <c r="AT543" s="360">
        <v>43412</v>
      </c>
      <c r="AU543" s="91">
        <f t="shared" si="39"/>
        <v>1221704174</v>
      </c>
      <c r="AV543" s="14"/>
      <c r="AW543" s="1"/>
    </row>
    <row r="544" spans="1:49" s="57" customFormat="1" ht="22.5" hidden="1" x14ac:dyDescent="0.25">
      <c r="A544" s="59"/>
      <c r="B544" s="2" t="str">
        <f>+'Base de Datos'!E544</f>
        <v>170196-0-2017</v>
      </c>
      <c r="C544" s="2" t="str">
        <f>+'Base de Datos'!F544</f>
        <v>COLOMBIANA DE COMERCIO S.A. Y/O ALKOSTO S.A.</v>
      </c>
      <c r="D544" s="2" t="str">
        <f>+'Base de Datos'!G544</f>
        <v>890900943-1</v>
      </c>
      <c r="E544" s="2" t="str">
        <f>+'Base de Datos'!H544</f>
        <v>Adquisición de grabadoras digitales para el Concejo de Bogotá.</v>
      </c>
      <c r="F544" s="221">
        <f>+'Base de Datos'!I544</f>
        <v>3007941</v>
      </c>
      <c r="G544" s="220">
        <f>+'Base de Datos'!M544</f>
        <v>42944</v>
      </c>
      <c r="H544" s="220">
        <f>+'Base de Datos'!N544</f>
        <v>43006</v>
      </c>
      <c r="I544" s="179"/>
      <c r="J544" s="360"/>
      <c r="K544" s="237"/>
      <c r="L544" s="363"/>
      <c r="M544" s="179"/>
      <c r="N544" s="360"/>
      <c r="O544" s="179"/>
      <c r="P544" s="365"/>
      <c r="Q544" s="86">
        <f t="shared" si="37"/>
        <v>0</v>
      </c>
      <c r="R544" s="284"/>
      <c r="S544" s="360"/>
      <c r="T544" s="179"/>
      <c r="U544" s="360"/>
      <c r="V544" s="179"/>
      <c r="W544" s="360"/>
      <c r="X544" s="179"/>
      <c r="Y544" s="360"/>
      <c r="Z544" s="353"/>
      <c r="AA544" s="89">
        <f t="shared" si="38"/>
        <v>0</v>
      </c>
      <c r="AB544" s="237">
        <v>3007941</v>
      </c>
      <c r="AC544" s="237"/>
      <c r="AD544" s="237"/>
      <c r="AE544" s="237"/>
      <c r="AF544" s="237"/>
      <c r="AG544" s="237"/>
      <c r="AH544" s="237"/>
      <c r="AI544" s="237"/>
      <c r="AJ544" s="237"/>
      <c r="AK544" s="237"/>
      <c r="AL544" s="237"/>
      <c r="AM544" s="237"/>
      <c r="AN544" s="237"/>
      <c r="AO544" s="237"/>
      <c r="AP544" s="237"/>
      <c r="AQ544" s="237"/>
      <c r="AR544" s="237"/>
      <c r="AS544" s="237"/>
      <c r="AT544" s="360">
        <v>42992</v>
      </c>
      <c r="AU544" s="91">
        <f t="shared" si="39"/>
        <v>3007941</v>
      </c>
      <c r="AV544" s="14"/>
      <c r="AW544" s="1"/>
    </row>
    <row r="545" spans="1:49" s="57" customFormat="1" ht="22.5" hidden="1" x14ac:dyDescent="0.25">
      <c r="A545" s="59"/>
      <c r="B545" s="2" t="str">
        <f>+'Base de Datos'!E545</f>
        <v>170195-0-2017</v>
      </c>
      <c r="C545" s="2" t="str">
        <f>+'Base de Datos'!F545</f>
        <v>JOHN ALEXANDER SUAREZ SALGUERO</v>
      </c>
      <c r="D545" s="2">
        <f>+'Base de Datos'!G545</f>
        <v>79983036</v>
      </c>
      <c r="E545" s="2" t="str">
        <f>+'Base de Datos'!H545</f>
        <v xml:space="preserve">Prestar servicios de apoyo administrativo a la Dirección Jurídica del Concejo de Bogotá </v>
      </c>
      <c r="F545" s="221">
        <f>+'Base de Datos'!I545</f>
        <v>13125000</v>
      </c>
      <c r="G545" s="220">
        <f>+'Base de Datos'!M545</f>
        <v>42949</v>
      </c>
      <c r="H545" s="220">
        <f>+'Base de Datos'!N545</f>
        <v>43159</v>
      </c>
      <c r="I545" s="179"/>
      <c r="J545" s="360"/>
      <c r="K545" s="237"/>
      <c r="L545" s="363"/>
      <c r="M545" s="179"/>
      <c r="N545" s="360"/>
      <c r="O545" s="179"/>
      <c r="P545" s="365"/>
      <c r="Q545" s="86">
        <f t="shared" si="37"/>
        <v>0</v>
      </c>
      <c r="R545" s="284"/>
      <c r="S545" s="360"/>
      <c r="T545" s="179"/>
      <c r="U545" s="360"/>
      <c r="V545" s="179"/>
      <c r="W545" s="360"/>
      <c r="X545" s="179"/>
      <c r="Y545" s="360"/>
      <c r="Z545" s="353"/>
      <c r="AA545" s="89">
        <f t="shared" si="38"/>
        <v>0</v>
      </c>
      <c r="AB545" s="237">
        <v>1812500</v>
      </c>
      <c r="AC545" s="237">
        <v>1875000</v>
      </c>
      <c r="AD545" s="237">
        <v>1875000</v>
      </c>
      <c r="AE545" s="237">
        <v>1875000</v>
      </c>
      <c r="AF545" s="237">
        <v>1875000</v>
      </c>
      <c r="AG545" s="237">
        <v>1375000</v>
      </c>
      <c r="AH545" s="237"/>
      <c r="AI545" s="237"/>
      <c r="AJ545" s="237"/>
      <c r="AK545" s="237"/>
      <c r="AL545" s="237"/>
      <c r="AM545" s="237"/>
      <c r="AN545" s="237"/>
      <c r="AO545" s="237"/>
      <c r="AP545" s="237"/>
      <c r="AQ545" s="237"/>
      <c r="AR545" s="237"/>
      <c r="AS545" s="237"/>
      <c r="AT545" s="360">
        <v>43153</v>
      </c>
      <c r="AU545" s="91">
        <f t="shared" si="39"/>
        <v>10687500</v>
      </c>
      <c r="AV545" s="14"/>
      <c r="AW545" s="1"/>
    </row>
    <row r="546" spans="1:49" s="57" customFormat="1" ht="22.5" hidden="1" x14ac:dyDescent="0.25">
      <c r="A546" s="59"/>
      <c r="B546" s="2" t="str">
        <f>+'Base de Datos'!E546</f>
        <v>170186-0-2017</v>
      </c>
      <c r="C546" s="2" t="str">
        <f>+'Base de Datos'!F546</f>
        <v xml:space="preserve">INFORMATICA DOCUMENTAL SAS </v>
      </c>
      <c r="D546" s="2">
        <f>+'Base de Datos'!G546</f>
        <v>830083523</v>
      </c>
      <c r="E546" s="2" t="str">
        <f>+'Base de Datos'!H546</f>
        <v>Prestar el soporte y actualización del software para el manejo documental - Infodoc para el Concejo de Bogotá.</v>
      </c>
      <c r="F546" s="221">
        <f>+'Base de Datos'!I546</f>
        <v>8320000</v>
      </c>
      <c r="G546" s="220">
        <f>+'Base de Datos'!M546</f>
        <v>42941</v>
      </c>
      <c r="H546" s="220">
        <f>+'Base de Datos'!N546</f>
        <v>43215</v>
      </c>
      <c r="I546" s="179">
        <v>2002963</v>
      </c>
      <c r="J546" s="360">
        <v>43214</v>
      </c>
      <c r="K546" s="237"/>
      <c r="L546" s="363"/>
      <c r="M546" s="179"/>
      <c r="N546" s="360"/>
      <c r="O546" s="179"/>
      <c r="P546" s="365"/>
      <c r="Q546" s="86">
        <f t="shared" si="37"/>
        <v>2002963</v>
      </c>
      <c r="R546" s="849" t="s">
        <v>3950</v>
      </c>
      <c r="S546" s="360">
        <v>43280</v>
      </c>
      <c r="T546" s="179"/>
      <c r="U546" s="360"/>
      <c r="V546" s="179"/>
      <c r="W546" s="360"/>
      <c r="X546" s="179"/>
      <c r="Y546" s="360"/>
      <c r="Z546" s="849" t="s">
        <v>3950</v>
      </c>
      <c r="AA546" s="89">
        <f t="shared" si="38"/>
        <v>43280</v>
      </c>
      <c r="AB546" s="237">
        <v>4622220</v>
      </c>
      <c r="AC546" s="237">
        <v>2773332</v>
      </c>
      <c r="AD546" s="237">
        <v>924444</v>
      </c>
      <c r="AE546" s="237">
        <v>2002963</v>
      </c>
      <c r="AF546" s="237"/>
      <c r="AG546" s="237"/>
      <c r="AH546" s="237"/>
      <c r="AI546" s="237"/>
      <c r="AJ546" s="237"/>
      <c r="AK546" s="237"/>
      <c r="AL546" s="237"/>
      <c r="AM546" s="237"/>
      <c r="AN546" s="237"/>
      <c r="AO546" s="237"/>
      <c r="AP546" s="237"/>
      <c r="AQ546" s="237"/>
      <c r="AR546" s="237"/>
      <c r="AS546" s="237"/>
      <c r="AT546" s="360">
        <v>43577</v>
      </c>
      <c r="AU546" s="91">
        <f t="shared" si="39"/>
        <v>10322959</v>
      </c>
      <c r="AV546" s="14"/>
      <c r="AW546" s="1"/>
    </row>
    <row r="547" spans="1:49" s="57" customFormat="1" ht="33.75" hidden="1" x14ac:dyDescent="0.25">
      <c r="A547" s="59"/>
      <c r="B547" s="2" t="str">
        <f>+'Base de Datos'!E547</f>
        <v>170194-0-2017</v>
      </c>
      <c r="C547" s="2" t="str">
        <f>+'Base de Datos'!F547</f>
        <v>FACTOR VISUAL EAT</v>
      </c>
      <c r="D547" s="2" t="str">
        <f>+'Base de Datos'!G547</f>
        <v>830112518-5</v>
      </c>
      <c r="E547" s="2" t="str">
        <f>+'Base de Datos'!H547</f>
        <v>Adquisición e Instalación de la Licencia Janus, componente de la Suite CMS Prontus, para streaming de audio y video de la página web del Concejo de Bogotá.</v>
      </c>
      <c r="F547" s="221">
        <f>+'Base de Datos'!I547</f>
        <v>59500000</v>
      </c>
      <c r="G547" s="220">
        <f>+'Base de Datos'!M547</f>
        <v>42955</v>
      </c>
      <c r="H547" s="220">
        <f>+'Base de Datos'!N547</f>
        <v>43320</v>
      </c>
      <c r="I547" s="179"/>
      <c r="J547" s="360"/>
      <c r="K547" s="237"/>
      <c r="L547" s="363"/>
      <c r="M547" s="179"/>
      <c r="N547" s="360"/>
      <c r="O547" s="179"/>
      <c r="P547" s="365"/>
      <c r="Q547" s="86">
        <f t="shared" si="37"/>
        <v>0</v>
      </c>
      <c r="R547" s="284"/>
      <c r="S547" s="360"/>
      <c r="T547" s="179"/>
      <c r="U547" s="360"/>
      <c r="V547" s="179"/>
      <c r="W547" s="360"/>
      <c r="X547" s="179"/>
      <c r="Y547" s="360"/>
      <c r="Z547" s="353"/>
      <c r="AA547" s="89">
        <f t="shared" si="38"/>
        <v>0</v>
      </c>
      <c r="AB547" s="237">
        <v>52360000</v>
      </c>
      <c r="AC547" s="237">
        <v>3570000</v>
      </c>
      <c r="AD547" s="237">
        <v>3570000</v>
      </c>
      <c r="AE547" s="237"/>
      <c r="AF547" s="237"/>
      <c r="AG547" s="237"/>
      <c r="AH547" s="237"/>
      <c r="AI547" s="237"/>
      <c r="AJ547" s="237"/>
      <c r="AK547" s="237"/>
      <c r="AL547" s="237"/>
      <c r="AM547" s="237"/>
      <c r="AN547" s="237"/>
      <c r="AO547" s="237"/>
      <c r="AP547" s="237"/>
      <c r="AQ547" s="237"/>
      <c r="AR547" s="237"/>
      <c r="AS547" s="237"/>
      <c r="AT547" s="360">
        <v>43340</v>
      </c>
      <c r="AU547" s="91">
        <f t="shared" si="39"/>
        <v>59500000</v>
      </c>
      <c r="AV547" s="14"/>
      <c r="AW547" s="1"/>
    </row>
    <row r="548" spans="1:49" s="57" customFormat="1" ht="78.75" hidden="1" x14ac:dyDescent="0.25">
      <c r="A548" s="59"/>
      <c r="B548" s="2" t="str">
        <f>+'Base de Datos'!E548</f>
        <v>170204-0-2017</v>
      </c>
      <c r="C548" s="2" t="str">
        <f>+'Base de Datos'!F548</f>
        <v>JESUS RAFAEL AGUAS CUELLO</v>
      </c>
      <c r="D548" s="2">
        <f>+'Base de Datos'!G548</f>
        <v>100392583</v>
      </c>
      <c r="E548" s="2" t="str">
        <f>+'Base de Datos'!H548</f>
        <v>Prestar los servicios profesionales para apoyar la definición de especificaciones y condiciones técnicas para la adquisición de bienes y servicios relacionados con tecnología e informática, el seguimiento a la ejecución de los mismos y el acompañamiento en la formulación  de estrategias para la optimización del desarrollo tecnológico de la Corporación.</v>
      </c>
      <c r="F548" s="221">
        <f>+'Base de Datos'!I548</f>
        <v>39900000</v>
      </c>
      <c r="G548" s="220">
        <f>+'Base de Datos'!M548</f>
        <v>42969</v>
      </c>
      <c r="H548" s="220">
        <f>+'Base de Datos'!N548</f>
        <v>43181</v>
      </c>
      <c r="I548" s="179">
        <v>18620000</v>
      </c>
      <c r="J548" s="360">
        <v>43138</v>
      </c>
      <c r="K548" s="237"/>
      <c r="L548" s="363"/>
      <c r="M548" s="179"/>
      <c r="N548" s="360"/>
      <c r="O548" s="179"/>
      <c r="P548" s="365"/>
      <c r="Q548" s="86">
        <f t="shared" si="37"/>
        <v>18620000</v>
      </c>
      <c r="R548" s="849" t="s">
        <v>3864</v>
      </c>
      <c r="S548" s="360">
        <v>43281</v>
      </c>
      <c r="T548" s="179"/>
      <c r="U548" s="360"/>
      <c r="V548" s="179"/>
      <c r="W548" s="360"/>
      <c r="X548" s="179"/>
      <c r="Y548" s="360"/>
      <c r="Z548" s="849" t="s">
        <v>3864</v>
      </c>
      <c r="AA548" s="89">
        <f t="shared" si="38"/>
        <v>43281</v>
      </c>
      <c r="AB548" s="237">
        <v>1710000</v>
      </c>
      <c r="AC548" s="237">
        <v>5700000</v>
      </c>
      <c r="AD548" s="237">
        <v>5700000</v>
      </c>
      <c r="AE548" s="237">
        <v>5700000</v>
      </c>
      <c r="AF548" s="237">
        <v>5700000</v>
      </c>
      <c r="AG548" s="237">
        <v>5700000</v>
      </c>
      <c r="AH548" s="237">
        <v>5700000</v>
      </c>
      <c r="AI548" s="237">
        <v>3990000</v>
      </c>
      <c r="AJ548" s="237">
        <v>1710000</v>
      </c>
      <c r="AK548" s="237">
        <v>5700000</v>
      </c>
      <c r="AL548" s="237">
        <v>5700000</v>
      </c>
      <c r="AM548" s="237">
        <v>5510000</v>
      </c>
      <c r="AN548" s="237"/>
      <c r="AO548" s="237"/>
      <c r="AP548" s="237"/>
      <c r="AQ548" s="237"/>
      <c r="AR548" s="237"/>
      <c r="AS548" s="237"/>
      <c r="AT548" s="360">
        <v>43257</v>
      </c>
      <c r="AU548" s="91">
        <f t="shared" si="39"/>
        <v>58520000</v>
      </c>
      <c r="AV548" s="14"/>
      <c r="AW548" s="1"/>
    </row>
    <row r="549" spans="1:49" s="57" customFormat="1" ht="22.5" hidden="1" x14ac:dyDescent="0.25">
      <c r="A549" s="59"/>
      <c r="B549" s="2" t="str">
        <f>+'Base de Datos'!E549</f>
        <v>170206-0-2017</v>
      </c>
      <c r="C549" s="2" t="str">
        <f>+'Base de Datos'!F549</f>
        <v>REVISTA EL CONGRESO SIGLO XXI LTDA</v>
      </c>
      <c r="D549" s="2">
        <f>+'Base de Datos'!G549</f>
        <v>830067096</v>
      </c>
      <c r="E549" s="2" t="str">
        <f>+'Base de Datos'!H549</f>
        <v xml:space="preserve">Suscripción a la revista del Congreso para el Concejo de Bogotá D.C. </v>
      </c>
      <c r="F549" s="221">
        <f>+'Base de Datos'!I549</f>
        <v>8010000</v>
      </c>
      <c r="G549" s="220">
        <f>+'Base de Datos'!M549</f>
        <v>42965</v>
      </c>
      <c r="H549" s="220">
        <f>+'Base de Datos'!N549</f>
        <v>43330</v>
      </c>
      <c r="I549" s="179"/>
      <c r="J549" s="360"/>
      <c r="K549" s="237"/>
      <c r="L549" s="363"/>
      <c r="M549" s="179"/>
      <c r="N549" s="360"/>
      <c r="O549" s="179"/>
      <c r="P549" s="365"/>
      <c r="Q549" s="86">
        <f t="shared" si="37"/>
        <v>0</v>
      </c>
      <c r="R549" s="284"/>
      <c r="S549" s="360"/>
      <c r="T549" s="179"/>
      <c r="U549" s="360"/>
      <c r="V549" s="179"/>
      <c r="W549" s="360"/>
      <c r="X549" s="179"/>
      <c r="Y549" s="360"/>
      <c r="Z549" s="353"/>
      <c r="AA549" s="89">
        <f t="shared" si="38"/>
        <v>0</v>
      </c>
      <c r="AB549" s="237">
        <v>8010000</v>
      </c>
      <c r="AC549" s="237"/>
      <c r="AD549" s="237"/>
      <c r="AE549" s="237"/>
      <c r="AF549" s="237"/>
      <c r="AG549" s="237"/>
      <c r="AH549" s="237"/>
      <c r="AI549" s="237"/>
      <c r="AJ549" s="237"/>
      <c r="AK549" s="237"/>
      <c r="AL549" s="237"/>
      <c r="AM549" s="237"/>
      <c r="AN549" s="237"/>
      <c r="AO549" s="237"/>
      <c r="AP549" s="237"/>
      <c r="AQ549" s="237"/>
      <c r="AR549" s="237"/>
      <c r="AS549" s="237"/>
      <c r="AT549" s="360">
        <v>42989</v>
      </c>
      <c r="AU549" s="91">
        <f t="shared" si="39"/>
        <v>8010000</v>
      </c>
      <c r="AV549" s="14"/>
      <c r="AW549" s="1"/>
    </row>
    <row r="550" spans="1:49" s="57" customFormat="1" ht="33.75" hidden="1" x14ac:dyDescent="0.25">
      <c r="A550" s="59"/>
      <c r="B550" s="2" t="str">
        <f>+'Base de Datos'!E550</f>
        <v>170208-0-2017</v>
      </c>
      <c r="C550" s="2" t="str">
        <f>+'Base de Datos'!F550</f>
        <v>KAREN LILIANA ANGULO CEPEDA</v>
      </c>
      <c r="D550" s="2">
        <f>+'Base de Datos'!G550</f>
        <v>1030659160</v>
      </c>
      <c r="E550" s="2" t="str">
        <f>+'Base de Datos'!H550</f>
        <v>Prestar apoyo a la Dirección Jurídica del Concejo de Bogotá en los procesos y proyectos  en respuesta para la atención de los requerimientos de la ciudadania.</v>
      </c>
      <c r="F550" s="221">
        <f>+'Base de Datos'!I550</f>
        <v>15750000</v>
      </c>
      <c r="G550" s="220">
        <f>+'Base de Datos'!M550</f>
        <v>42971</v>
      </c>
      <c r="H550" s="220">
        <f>+'Base de Datos'!N550</f>
        <v>43183</v>
      </c>
      <c r="I550" s="179">
        <v>7125000</v>
      </c>
      <c r="J550" s="360">
        <v>43129</v>
      </c>
      <c r="K550" s="237"/>
      <c r="L550" s="363"/>
      <c r="M550" s="179"/>
      <c r="N550" s="360"/>
      <c r="O550" s="179"/>
      <c r="P550" s="365"/>
      <c r="Q550" s="86">
        <f t="shared" si="37"/>
        <v>7125000</v>
      </c>
      <c r="R550" s="849" t="s">
        <v>3909</v>
      </c>
      <c r="S550" s="360">
        <v>43280</v>
      </c>
      <c r="T550" s="179"/>
      <c r="U550" s="360"/>
      <c r="V550" s="179"/>
      <c r="W550" s="360"/>
      <c r="X550" s="179"/>
      <c r="Y550" s="360"/>
      <c r="Z550" s="849" t="s">
        <v>3909</v>
      </c>
      <c r="AA550" s="89">
        <f t="shared" si="38"/>
        <v>43280</v>
      </c>
      <c r="AB550" s="237">
        <v>525000</v>
      </c>
      <c r="AC550" s="237">
        <v>2250000</v>
      </c>
      <c r="AD550" s="237">
        <v>2250000</v>
      </c>
      <c r="AE550" s="237">
        <v>2250000</v>
      </c>
      <c r="AF550" s="237">
        <v>2250000</v>
      </c>
      <c r="AG550" s="237">
        <v>2250000</v>
      </c>
      <c r="AH550" s="237">
        <v>2250000</v>
      </c>
      <c r="AI550" s="237">
        <v>1725000</v>
      </c>
      <c r="AJ550" s="237">
        <v>525000</v>
      </c>
      <c r="AK550" s="237">
        <v>2250000</v>
      </c>
      <c r="AL550" s="237">
        <v>2250000</v>
      </c>
      <c r="AM550" s="237">
        <v>2100000</v>
      </c>
      <c r="AN550" s="237"/>
      <c r="AO550" s="237"/>
      <c r="AP550" s="237"/>
      <c r="AQ550" s="237"/>
      <c r="AR550" s="237"/>
      <c r="AS550" s="237"/>
      <c r="AT550" s="360">
        <v>43258</v>
      </c>
      <c r="AU550" s="91">
        <f t="shared" si="39"/>
        <v>22875000</v>
      </c>
      <c r="AV550" s="14"/>
      <c r="AW550" s="1"/>
    </row>
    <row r="551" spans="1:49" s="57" customFormat="1" ht="22.5" hidden="1" x14ac:dyDescent="0.25">
      <c r="A551" s="59"/>
      <c r="B551" s="2" t="str">
        <f>+'Base de Datos'!E551</f>
        <v>170205-0-2017</v>
      </c>
      <c r="C551" s="2" t="str">
        <f>+'Base de Datos'!F551</f>
        <v>DIRECTV COLOMBIA LTDA</v>
      </c>
      <c r="D551" s="2">
        <f>+'Base de Datos'!G551</f>
        <v>805006014</v>
      </c>
      <c r="E551" s="2" t="str">
        <f>+'Base de Datos'!H551</f>
        <v xml:space="preserve">Suscripción al sistema de televisión satelital para ser instalados en la sede del Concejo de Bogotá. </v>
      </c>
      <c r="F551" s="221">
        <f>+'Base de Datos'!I551</f>
        <v>1878120</v>
      </c>
      <c r="G551" s="220">
        <f>+'Base de Datos'!M551</f>
        <v>42963</v>
      </c>
      <c r="H551" s="220">
        <f>+'Base de Datos'!N551</f>
        <v>43327</v>
      </c>
      <c r="I551" s="179"/>
      <c r="J551" s="360"/>
      <c r="K551" s="237"/>
      <c r="L551" s="363"/>
      <c r="M551" s="179"/>
      <c r="N551" s="360"/>
      <c r="O551" s="179"/>
      <c r="P551" s="365"/>
      <c r="Q551" s="86">
        <f t="shared" si="37"/>
        <v>0</v>
      </c>
      <c r="R551" s="284"/>
      <c r="S551" s="360"/>
      <c r="T551" s="179"/>
      <c r="U551" s="360"/>
      <c r="V551" s="179"/>
      <c r="W551" s="360"/>
      <c r="X551" s="179"/>
      <c r="Y551" s="360"/>
      <c r="Z551" s="353"/>
      <c r="AA551" s="89">
        <f t="shared" si="38"/>
        <v>0</v>
      </c>
      <c r="AB551" s="237">
        <v>1878120</v>
      </c>
      <c r="AC551" s="237"/>
      <c r="AD551" s="237"/>
      <c r="AE551" s="237"/>
      <c r="AF551" s="237"/>
      <c r="AG551" s="237"/>
      <c r="AH551" s="237"/>
      <c r="AI551" s="237"/>
      <c r="AJ551" s="237"/>
      <c r="AK551" s="237"/>
      <c r="AL551" s="237"/>
      <c r="AM551" s="237"/>
      <c r="AN551" s="237"/>
      <c r="AO551" s="237"/>
      <c r="AP551" s="237"/>
      <c r="AQ551" s="237"/>
      <c r="AR551" s="237"/>
      <c r="AS551" s="237"/>
      <c r="AT551" s="360">
        <v>43095</v>
      </c>
      <c r="AU551" s="91">
        <f t="shared" si="39"/>
        <v>1878120</v>
      </c>
      <c r="AV551" s="14"/>
      <c r="AW551" s="1"/>
    </row>
    <row r="552" spans="1:49" s="57" customFormat="1" ht="33.75" hidden="1" x14ac:dyDescent="0.25">
      <c r="A552" s="59"/>
      <c r="B552" s="2" t="str">
        <f>+'Base de Datos'!E552</f>
        <v>170216-0-2017</v>
      </c>
      <c r="C552" s="2" t="str">
        <f>+'Base de Datos'!F552</f>
        <v>TECNOLOGIA BIOMEDICA Y SUMINISTROS LTDA</v>
      </c>
      <c r="D552" s="2">
        <f>+'Base de Datos'!G552</f>
        <v>900207129</v>
      </c>
      <c r="E552" s="2" t="str">
        <f>+'Base de Datos'!H552</f>
        <v>Proveer los elementos e insumos necesarios para atender los primeros auxilios y dotar los botiquines del Concejo de Bogotá, D.C.</v>
      </c>
      <c r="F552" s="221">
        <f>+'Base de Datos'!I552</f>
        <v>3790032</v>
      </c>
      <c r="G552" s="220">
        <f>+'Base de Datos'!M552</f>
        <v>42982</v>
      </c>
      <c r="H552" s="220">
        <f>+'Base de Datos'!N552</f>
        <v>43073</v>
      </c>
      <c r="I552" s="179"/>
      <c r="J552" s="360"/>
      <c r="K552" s="237"/>
      <c r="L552" s="363"/>
      <c r="M552" s="179"/>
      <c r="N552" s="360"/>
      <c r="O552" s="179"/>
      <c r="P552" s="365"/>
      <c r="Q552" s="86">
        <f t="shared" si="37"/>
        <v>0</v>
      </c>
      <c r="R552" s="284"/>
      <c r="S552" s="360"/>
      <c r="T552" s="179"/>
      <c r="U552" s="360"/>
      <c r="V552" s="179"/>
      <c r="W552" s="360"/>
      <c r="X552" s="179"/>
      <c r="Y552" s="360"/>
      <c r="Z552" s="353"/>
      <c r="AA552" s="89">
        <f t="shared" si="38"/>
        <v>0</v>
      </c>
      <c r="AB552" s="237">
        <v>3790020</v>
      </c>
      <c r="AC552" s="237"/>
      <c r="AD552" s="237"/>
      <c r="AE552" s="237"/>
      <c r="AF552" s="237"/>
      <c r="AG552" s="237"/>
      <c r="AH552" s="237"/>
      <c r="AI552" s="237"/>
      <c r="AJ552" s="237"/>
      <c r="AK552" s="237"/>
      <c r="AL552" s="237"/>
      <c r="AM552" s="237"/>
      <c r="AN552" s="237"/>
      <c r="AO552" s="237"/>
      <c r="AP552" s="237"/>
      <c r="AQ552" s="237"/>
      <c r="AR552" s="237"/>
      <c r="AS552" s="237"/>
      <c r="AT552" s="360">
        <v>43179</v>
      </c>
      <c r="AU552" s="91">
        <f t="shared" si="39"/>
        <v>3790020</v>
      </c>
      <c r="AV552" s="14"/>
      <c r="AW552" s="1"/>
    </row>
    <row r="553" spans="1:49" s="57" customFormat="1" ht="45" hidden="1" x14ac:dyDescent="0.25">
      <c r="A553" s="59"/>
      <c r="B553" s="2" t="str">
        <f>+'Base de Datos'!E553</f>
        <v>170210-0-2017</v>
      </c>
      <c r="C553" s="2" t="str">
        <f>+'Base de Datos'!F553</f>
        <v>SGS COLOMBIA S.A.S</v>
      </c>
      <c r="D553" s="2" t="str">
        <f>+'Base de Datos'!G553</f>
        <v>860049921-0</v>
      </c>
      <c r="E553" s="2" t="str">
        <f>+'Base de Datos'!H553</f>
        <v xml:space="preserve">Realizar las auditorías para el seguimiento de la certificación para los sistemas de Gestión Ambiental y Seguridad y Salud Ocupacional bajo las normas ISO 14001:2004 y OHSAS 18001:2007 al Concejo de Bogotá. </v>
      </c>
      <c r="F553" s="221">
        <f>+'Base de Datos'!I553</f>
        <v>6956740</v>
      </c>
      <c r="G553" s="220">
        <f>+'Base de Datos'!M553</f>
        <v>42986</v>
      </c>
      <c r="H553" s="220">
        <f>+'Base de Datos'!N553</f>
        <v>43108</v>
      </c>
      <c r="I553" s="179"/>
      <c r="J553" s="360"/>
      <c r="K553" s="237"/>
      <c r="L553" s="363"/>
      <c r="M553" s="179"/>
      <c r="N553" s="360"/>
      <c r="O553" s="179"/>
      <c r="P553" s="365"/>
      <c r="Q553" s="86">
        <f t="shared" si="37"/>
        <v>0</v>
      </c>
      <c r="R553" s="284"/>
      <c r="S553" s="360"/>
      <c r="T553" s="179"/>
      <c r="U553" s="360"/>
      <c r="V553" s="179"/>
      <c r="W553" s="360"/>
      <c r="X553" s="179"/>
      <c r="Y553" s="360"/>
      <c r="Z553" s="353"/>
      <c r="AA553" s="89">
        <f t="shared" si="38"/>
        <v>0</v>
      </c>
      <c r="AB553" s="237">
        <v>6956740</v>
      </c>
      <c r="AC553" s="237"/>
      <c r="AD553" s="237"/>
      <c r="AE553" s="237"/>
      <c r="AF553" s="237"/>
      <c r="AG553" s="237"/>
      <c r="AH553" s="237"/>
      <c r="AI553" s="237"/>
      <c r="AJ553" s="237"/>
      <c r="AK553" s="237"/>
      <c r="AL553" s="237"/>
      <c r="AM553" s="237"/>
      <c r="AN553" s="237"/>
      <c r="AO553" s="237"/>
      <c r="AP553" s="237"/>
      <c r="AQ553" s="237"/>
      <c r="AR553" s="237"/>
      <c r="AS553" s="237"/>
      <c r="AT553" s="360">
        <v>43131</v>
      </c>
      <c r="AU553" s="91">
        <f t="shared" si="39"/>
        <v>6956740</v>
      </c>
      <c r="AV553" s="14"/>
      <c r="AW553" s="1"/>
    </row>
    <row r="554" spans="1:49" s="57" customFormat="1" ht="22.5" hidden="1" x14ac:dyDescent="0.25">
      <c r="A554" s="59"/>
      <c r="B554" s="2" t="str">
        <f>+'Base de Datos'!E554</f>
        <v>170214-0-2017</v>
      </c>
      <c r="C554" s="2" t="str">
        <f>+'Base de Datos'!F554</f>
        <v>SGS COLOMBIA S.A.</v>
      </c>
      <c r="D554" s="2">
        <f>+'Base de Datos'!G554</f>
        <v>860049921</v>
      </c>
      <c r="E554" s="2" t="str">
        <f>+'Base de Datos'!H554</f>
        <v>Realizar la auditorías de seguimiento al Sistema de Gestión de calidad del Concejo de Bogotá.</v>
      </c>
      <c r="F554" s="221">
        <f>+'Base de Datos'!I554</f>
        <v>5217555</v>
      </c>
      <c r="G554" s="220">
        <f>+'Base de Datos'!M554</f>
        <v>42986</v>
      </c>
      <c r="H554" s="220">
        <f>+'Base de Datos'!N554</f>
        <v>43108</v>
      </c>
      <c r="I554" s="179"/>
      <c r="J554" s="360"/>
      <c r="K554" s="237"/>
      <c r="L554" s="363"/>
      <c r="M554" s="179"/>
      <c r="N554" s="360"/>
      <c r="O554" s="179"/>
      <c r="P554" s="365"/>
      <c r="Q554" s="86">
        <f t="shared" si="37"/>
        <v>0</v>
      </c>
      <c r="R554" s="284"/>
      <c r="S554" s="360"/>
      <c r="T554" s="179"/>
      <c r="U554" s="360"/>
      <c r="V554" s="179"/>
      <c r="W554" s="360"/>
      <c r="X554" s="179"/>
      <c r="Y554" s="360"/>
      <c r="Z554" s="353"/>
      <c r="AA554" s="89">
        <f t="shared" si="38"/>
        <v>0</v>
      </c>
      <c r="AB554" s="237">
        <v>5217555</v>
      </c>
      <c r="AC554" s="237"/>
      <c r="AD554" s="237"/>
      <c r="AE554" s="237"/>
      <c r="AF554" s="237"/>
      <c r="AG554" s="237"/>
      <c r="AH554" s="237"/>
      <c r="AI554" s="237"/>
      <c r="AJ554" s="237"/>
      <c r="AK554" s="237"/>
      <c r="AL554" s="237"/>
      <c r="AM554" s="237"/>
      <c r="AN554" s="237"/>
      <c r="AO554" s="237"/>
      <c r="AP554" s="237"/>
      <c r="AQ554" s="237"/>
      <c r="AR554" s="237"/>
      <c r="AS554" s="237"/>
      <c r="AT554" s="360">
        <v>43131</v>
      </c>
      <c r="AU554" s="91">
        <f t="shared" si="39"/>
        <v>5217555</v>
      </c>
      <c r="AV554" s="14"/>
      <c r="AW554" s="1"/>
    </row>
    <row r="555" spans="1:49" s="57" customFormat="1" ht="90" hidden="1" x14ac:dyDescent="0.25">
      <c r="A555" s="59"/>
      <c r="B555" s="2" t="str">
        <f>+'Base de Datos'!E555</f>
        <v>170221-0-2017</v>
      </c>
      <c r="C555" s="2" t="str">
        <f>+'Base de Datos'!F555</f>
        <v>GRUPO TITANIUM SAS (cesionario) / GENESIS CONSTRUCCIONES SAS(Cedente)</v>
      </c>
      <c r="D555" s="2" t="str">
        <f>+'Base de Datos'!G555</f>
        <v>900785161-0</v>
      </c>
      <c r="E555" s="2" t="str">
        <f>+'Base de Datos'!H555</f>
        <v xml:space="preserve">Realizar el mantenimiento integral, las adecuaciones locativas y las obras de mejora que se requieran, con el suministro del personal, equipo, materiales y repuestos, en las instalaciones físicas del Concejo de Bogotá, D.C., de conformidad con lo establecido en el pliego de condiciones del proceso de selección abreviada abreviada de menor cuantia No. SDH-SAMC-07-2017 y la propuesta presentada por el contratista. </v>
      </c>
      <c r="F555" s="221">
        <f>+'Base de Datos'!I555</f>
        <v>259000000</v>
      </c>
      <c r="G555" s="220">
        <f>+'Base de Datos'!M555</f>
        <v>42990</v>
      </c>
      <c r="H555" s="220">
        <f>+'Base de Datos'!N555</f>
        <v>43355</v>
      </c>
      <c r="I555" s="179">
        <v>130000000</v>
      </c>
      <c r="J555" s="360">
        <v>43354</v>
      </c>
      <c r="K555" s="237">
        <v>7140000</v>
      </c>
      <c r="L555" s="363">
        <v>43446</v>
      </c>
      <c r="M555" s="179"/>
      <c r="N555" s="360"/>
      <c r="O555" s="179"/>
      <c r="P555" s="365"/>
      <c r="Q555" s="86">
        <f t="shared" si="37"/>
        <v>137140000</v>
      </c>
      <c r="R555" s="284" t="s">
        <v>379</v>
      </c>
      <c r="S555" s="360">
        <v>43446</v>
      </c>
      <c r="T555" s="178" t="s">
        <v>4502</v>
      </c>
      <c r="U555" s="360">
        <v>43465</v>
      </c>
      <c r="V555" s="178"/>
      <c r="W555" s="360"/>
      <c r="X555" s="179"/>
      <c r="Y555" s="360"/>
      <c r="Z555" s="353" t="s">
        <v>4503</v>
      </c>
      <c r="AA555" s="89">
        <f t="shared" si="38"/>
        <v>43465</v>
      </c>
      <c r="AB555" s="237">
        <v>9084052</v>
      </c>
      <c r="AC555" s="237">
        <v>14588159</v>
      </c>
      <c r="AD555" s="237"/>
      <c r="AE555" s="237">
        <v>46820758</v>
      </c>
      <c r="AF555" s="237">
        <v>43503732</v>
      </c>
      <c r="AG555" s="237">
        <v>52263284</v>
      </c>
      <c r="AH555" s="237">
        <v>51536874</v>
      </c>
      <c r="AI555" s="237">
        <v>15189491</v>
      </c>
      <c r="AJ555" s="237">
        <v>60446471</v>
      </c>
      <c r="AK555" s="237">
        <v>54855017</v>
      </c>
      <c r="AL555" s="237">
        <v>11474592</v>
      </c>
      <c r="AM555" s="237">
        <v>14698512</v>
      </c>
      <c r="AN555" s="237"/>
      <c r="AO555" s="237"/>
      <c r="AP555" s="237"/>
      <c r="AQ555" s="237"/>
      <c r="AR555" s="237"/>
      <c r="AS555" s="237"/>
      <c r="AT555" s="360">
        <v>43448</v>
      </c>
      <c r="AU555" s="91">
        <f t="shared" si="39"/>
        <v>374460942</v>
      </c>
      <c r="AV555" s="14"/>
      <c r="AW555" s="1"/>
    </row>
    <row r="556" spans="1:49" s="57" customFormat="1" ht="22.5" hidden="1" x14ac:dyDescent="0.25">
      <c r="A556" s="59"/>
      <c r="B556" s="2" t="str">
        <f>+'Base de Datos'!E556</f>
        <v>170228-0-2017</v>
      </c>
      <c r="C556" s="2" t="str">
        <f>+'Base de Datos'!F556</f>
        <v>EDITORIAL LA REPUBLICA SAS</v>
      </c>
      <c r="D556" s="2">
        <f>+'Base de Datos'!G556</f>
        <v>901017183</v>
      </c>
      <c r="E556" s="2" t="str">
        <f>+'Base de Datos'!H556</f>
        <v xml:space="preserve">Suscripción al diario  La República para el Concejo de Bogotá. </v>
      </c>
      <c r="F556" s="221">
        <f>+'Base de Datos'!I556</f>
        <v>840000</v>
      </c>
      <c r="G556" s="220">
        <f>+'Base de Datos'!M556</f>
        <v>43069</v>
      </c>
      <c r="H556" s="220">
        <f>+'Base de Datos'!N556</f>
        <v>43434</v>
      </c>
      <c r="I556" s="179"/>
      <c r="J556" s="360"/>
      <c r="K556" s="237"/>
      <c r="L556" s="363"/>
      <c r="M556" s="179"/>
      <c r="N556" s="360"/>
      <c r="O556" s="179"/>
      <c r="P556" s="365"/>
      <c r="Q556" s="86">
        <f t="shared" si="37"/>
        <v>0</v>
      </c>
      <c r="R556" s="284"/>
      <c r="S556" s="360"/>
      <c r="T556" s="179"/>
      <c r="U556" s="360"/>
      <c r="V556" s="179"/>
      <c r="W556" s="360"/>
      <c r="X556" s="179"/>
      <c r="Y556" s="360"/>
      <c r="Z556" s="353"/>
      <c r="AA556" s="89">
        <f t="shared" si="38"/>
        <v>0</v>
      </c>
      <c r="AB556" s="237">
        <v>840000</v>
      </c>
      <c r="AC556" s="237"/>
      <c r="AD556" s="237"/>
      <c r="AE556" s="237"/>
      <c r="AF556" s="237"/>
      <c r="AG556" s="237"/>
      <c r="AH556" s="237"/>
      <c r="AI556" s="237"/>
      <c r="AJ556" s="237"/>
      <c r="AK556" s="237"/>
      <c r="AL556" s="237"/>
      <c r="AM556" s="237"/>
      <c r="AN556" s="237"/>
      <c r="AO556" s="237"/>
      <c r="AP556" s="237"/>
      <c r="AQ556" s="237"/>
      <c r="AR556" s="237"/>
      <c r="AS556" s="237"/>
      <c r="AT556" s="360">
        <v>43088</v>
      </c>
      <c r="AU556" s="91">
        <f t="shared" si="39"/>
        <v>840000</v>
      </c>
      <c r="AV556" s="14"/>
      <c r="AW556" s="1"/>
    </row>
    <row r="557" spans="1:49" s="57" customFormat="1" ht="56.25" hidden="1" x14ac:dyDescent="0.25">
      <c r="A557" s="59"/>
      <c r="B557" s="2" t="str">
        <f>+'Base de Datos'!E557</f>
        <v>170231-0-2017</v>
      </c>
      <c r="C557" s="2" t="str">
        <f>+'Base de Datos'!F557</f>
        <v>ROYAL PARK LTDA</v>
      </c>
      <c r="D557" s="2" t="str">
        <f>+'Base de Datos'!G557</f>
        <v>800184306-1</v>
      </c>
      <c r="E557" s="2" t="str">
        <f>+'Base de Datos'!H557</f>
        <v xml:space="preserve">Desarrollar las actividades contenidas en los Planes de Bienestar  e Incentivos y Mejoramiento del clima laboral para el Concejo de Bogotá D.C., de conformidad con lo establecido en el pliego de condiciones de la licitación Pública No. SDH-LP-03-2017 </v>
      </c>
      <c r="F557" s="221">
        <f>+'Base de Datos'!I557</f>
        <v>855382000</v>
      </c>
      <c r="G557" s="220">
        <f>+'Base de Datos'!M557</f>
        <v>42999</v>
      </c>
      <c r="H557" s="220">
        <f>+'Base de Datos'!N557</f>
        <v>43241</v>
      </c>
      <c r="I557" s="179"/>
      <c r="J557" s="360"/>
      <c r="K557" s="237"/>
      <c r="L557" s="363"/>
      <c r="M557" s="179"/>
      <c r="N557" s="360"/>
      <c r="O557" s="179"/>
      <c r="P557" s="365"/>
      <c r="Q557" s="86">
        <f t="shared" si="37"/>
        <v>0</v>
      </c>
      <c r="R557" s="849" t="s">
        <v>4010</v>
      </c>
      <c r="S557" s="360">
        <v>43312</v>
      </c>
      <c r="T557" s="179" t="s">
        <v>381</v>
      </c>
      <c r="U557" s="360">
        <v>43343</v>
      </c>
      <c r="V557" s="179" t="s">
        <v>2458</v>
      </c>
      <c r="W557" s="360">
        <v>43373</v>
      </c>
      <c r="X557" s="179"/>
      <c r="Y557" s="360"/>
      <c r="Z557" s="849" t="s">
        <v>1534</v>
      </c>
      <c r="AA557" s="89">
        <f t="shared" si="38"/>
        <v>43373</v>
      </c>
      <c r="AB557" s="237">
        <v>25964600</v>
      </c>
      <c r="AC557" s="237">
        <v>343331000</v>
      </c>
      <c r="AD557" s="237"/>
      <c r="AE557" s="237"/>
      <c r="AF557" s="237"/>
      <c r="AG557" s="237"/>
      <c r="AH557" s="237"/>
      <c r="AI557" s="237">
        <v>30472500</v>
      </c>
      <c r="AJ557" s="237"/>
      <c r="AK557" s="237"/>
      <c r="AL557" s="237"/>
      <c r="AM557" s="237">
        <v>78255000</v>
      </c>
      <c r="AN557" s="237">
        <v>191944800</v>
      </c>
      <c r="AO557" s="237"/>
      <c r="AP557" s="237">
        <v>37521688</v>
      </c>
      <c r="AQ557" s="237">
        <v>55000000</v>
      </c>
      <c r="AR557" s="237"/>
      <c r="AS557" s="237"/>
      <c r="AT557" s="360">
        <v>43451</v>
      </c>
      <c r="AU557" s="91">
        <f t="shared" si="39"/>
        <v>762489588</v>
      </c>
      <c r="AV557" s="14"/>
      <c r="AW557" s="1"/>
    </row>
    <row r="558" spans="1:49" s="57" customFormat="1" ht="56.25" hidden="1" x14ac:dyDescent="0.25">
      <c r="A558" s="59"/>
      <c r="B558" s="2" t="str">
        <f>+'Base de Datos'!E558</f>
        <v>170232-0-2017</v>
      </c>
      <c r="C558" s="2" t="str">
        <f>+'Base de Datos'!F558</f>
        <v>MARTHA LILIANA SALAZAR GOMEZ</v>
      </c>
      <c r="D558" s="2">
        <f>+'Base de Datos'!G558</f>
        <v>52733413</v>
      </c>
      <c r="E558" s="2" t="str">
        <f>+'Base de Datos'!H558</f>
        <v>Prestar los servicios profesionales para apoyar a  la oficina asesora de planeación y dirección administrativa en la ejecución, mantenimiento, sostenibilidad y mejora continua del subsistema de responsabilidad social del Concejo de Bogotá. D.C.</v>
      </c>
      <c r="F558" s="221">
        <f>+'Base de Datos'!I558</f>
        <v>22800000</v>
      </c>
      <c r="G558" s="220">
        <f>+'Base de Datos'!M558</f>
        <v>42997</v>
      </c>
      <c r="H558" s="220">
        <f>+'Base de Datos'!N558</f>
        <v>43119</v>
      </c>
      <c r="I558" s="179"/>
      <c r="J558" s="360"/>
      <c r="K558" s="237"/>
      <c r="L558" s="363"/>
      <c r="M558" s="179"/>
      <c r="N558" s="360"/>
      <c r="O558" s="179"/>
      <c r="P558" s="365"/>
      <c r="Q558" s="86">
        <f t="shared" si="37"/>
        <v>0</v>
      </c>
      <c r="R558" s="284"/>
      <c r="S558" s="360"/>
      <c r="T558" s="179"/>
      <c r="U558" s="360"/>
      <c r="V558" s="179"/>
      <c r="W558" s="360"/>
      <c r="X558" s="179"/>
      <c r="Y558" s="360"/>
      <c r="Z558" s="353"/>
      <c r="AA558" s="89">
        <f t="shared" si="38"/>
        <v>0</v>
      </c>
      <c r="AB558" s="237">
        <v>2280000</v>
      </c>
      <c r="AC558" s="237">
        <v>5700000</v>
      </c>
      <c r="AD558" s="237">
        <v>5700000</v>
      </c>
      <c r="AE558" s="237">
        <v>5700000</v>
      </c>
      <c r="AF558" s="237">
        <v>3420000</v>
      </c>
      <c r="AG558" s="237"/>
      <c r="AH558" s="237"/>
      <c r="AI558" s="237"/>
      <c r="AJ558" s="237"/>
      <c r="AK558" s="237"/>
      <c r="AL558" s="237"/>
      <c r="AM558" s="237"/>
      <c r="AN558" s="237"/>
      <c r="AO558" s="237"/>
      <c r="AP558" s="237"/>
      <c r="AQ558" s="237"/>
      <c r="AR558" s="237"/>
      <c r="AS558" s="237"/>
      <c r="AT558" s="360">
        <v>43172</v>
      </c>
      <c r="AU558" s="91">
        <f t="shared" si="39"/>
        <v>22800000</v>
      </c>
      <c r="AV558" s="14"/>
      <c r="AW558" s="1"/>
    </row>
    <row r="559" spans="1:49" s="57" customFormat="1" ht="45" hidden="1" x14ac:dyDescent="0.25">
      <c r="A559" s="59"/>
      <c r="B559" s="2" t="str">
        <f>+'Base de Datos'!E559</f>
        <v>170242-0-2017</v>
      </c>
      <c r="C559" s="2" t="str">
        <f>+'Base de Datos'!F559</f>
        <v>GREEN FON GROUP SAS</v>
      </c>
      <c r="D559" s="2">
        <f>+'Base de Datos'!G559</f>
        <v>900446648</v>
      </c>
      <c r="E559" s="2" t="str">
        <f>+'Base de Datos'!H559</f>
        <v xml:space="preserve">Proveer software para diseño gráfico, de conformidad con lo establecido en la invitación pública del proceso citado en el asunto y la propuesta por ustedes presentada. </v>
      </c>
      <c r="F559" s="221">
        <f>+'Base de Datos'!I559</f>
        <v>12595436</v>
      </c>
      <c r="G559" s="220">
        <f>+'Base de Datos'!M559</f>
        <v>42999</v>
      </c>
      <c r="H559" s="220">
        <f>+'Base de Datos'!N559</f>
        <v>43364</v>
      </c>
      <c r="I559" s="179"/>
      <c r="J559" s="360"/>
      <c r="K559" s="237"/>
      <c r="L559" s="363"/>
      <c r="M559" s="179"/>
      <c r="N559" s="360"/>
      <c r="O559" s="179"/>
      <c r="P559" s="365"/>
      <c r="Q559" s="86">
        <f t="shared" si="37"/>
        <v>0</v>
      </c>
      <c r="R559" s="284"/>
      <c r="S559" s="360"/>
      <c r="T559" s="179"/>
      <c r="U559" s="360"/>
      <c r="V559" s="179"/>
      <c r="W559" s="360"/>
      <c r="X559" s="179"/>
      <c r="Y559" s="360"/>
      <c r="Z559" s="353"/>
      <c r="AA559" s="89">
        <f t="shared" si="38"/>
        <v>0</v>
      </c>
      <c r="AB559" s="237">
        <v>10076349</v>
      </c>
      <c r="AC559" s="237">
        <v>2519087</v>
      </c>
      <c r="AD559" s="237"/>
      <c r="AE559" s="237"/>
      <c r="AF559" s="237"/>
      <c r="AG559" s="237"/>
      <c r="AH559" s="237"/>
      <c r="AI559" s="237"/>
      <c r="AJ559" s="237"/>
      <c r="AK559" s="237"/>
      <c r="AL559" s="237"/>
      <c r="AM559" s="237"/>
      <c r="AN559" s="237"/>
      <c r="AO559" s="237"/>
      <c r="AP559" s="237"/>
      <c r="AQ559" s="237"/>
      <c r="AR559" s="237"/>
      <c r="AS559" s="237"/>
      <c r="AT559" s="360">
        <v>43046</v>
      </c>
      <c r="AU559" s="91">
        <f t="shared" si="39"/>
        <v>12595436</v>
      </c>
      <c r="AV559" s="14"/>
      <c r="AW559" s="1"/>
    </row>
    <row r="560" spans="1:49" s="57" customFormat="1" ht="22.5" hidden="1" x14ac:dyDescent="0.25">
      <c r="A560" s="59"/>
      <c r="B560" s="2" t="str">
        <f>+'Base de Datos'!E560</f>
        <v>170247-0-2017</v>
      </c>
      <c r="C560" s="2" t="str">
        <f>+'Base de Datos'!F560</f>
        <v>COMERCIALIZADORA VIMEL LTDA</v>
      </c>
      <c r="D560" s="2">
        <f>+'Base de Datos'!G560</f>
        <v>830085106</v>
      </c>
      <c r="E560" s="2" t="str">
        <f>+'Base de Datos'!H560</f>
        <v>Suministro de elementos para protección y embalaje de documentos para el Concejo de Bogotá, D.C.</v>
      </c>
      <c r="F560" s="221">
        <f>+'Base de Datos'!I560</f>
        <v>6711600</v>
      </c>
      <c r="G560" s="220">
        <f>+'Base de Datos'!M560</f>
        <v>43004</v>
      </c>
      <c r="H560" s="220">
        <f>+'Base de Datos'!N560</f>
        <v>43185</v>
      </c>
      <c r="I560" s="179"/>
      <c r="J560" s="360"/>
      <c r="K560" s="237"/>
      <c r="L560" s="363"/>
      <c r="M560" s="179"/>
      <c r="N560" s="360"/>
      <c r="O560" s="179"/>
      <c r="P560" s="365"/>
      <c r="Q560" s="86">
        <f t="shared" si="37"/>
        <v>0</v>
      </c>
      <c r="R560" s="284"/>
      <c r="S560" s="360"/>
      <c r="T560" s="179"/>
      <c r="U560" s="360"/>
      <c r="V560" s="179"/>
      <c r="W560" s="360"/>
      <c r="X560" s="179"/>
      <c r="Y560" s="360"/>
      <c r="Z560" s="353"/>
      <c r="AA560" s="89">
        <f t="shared" si="38"/>
        <v>0</v>
      </c>
      <c r="AB560" s="237">
        <v>3213000</v>
      </c>
      <c r="AC560" s="237"/>
      <c r="AD560" s="237">
        <v>3498600</v>
      </c>
      <c r="AE560" s="237"/>
      <c r="AF560" s="237"/>
      <c r="AG560" s="237"/>
      <c r="AH560" s="237"/>
      <c r="AI560" s="237"/>
      <c r="AJ560" s="237"/>
      <c r="AK560" s="237"/>
      <c r="AL560" s="237"/>
      <c r="AM560" s="237"/>
      <c r="AN560" s="237"/>
      <c r="AO560" s="237"/>
      <c r="AP560" s="237"/>
      <c r="AQ560" s="237"/>
      <c r="AR560" s="237"/>
      <c r="AS560" s="237"/>
      <c r="AT560" s="360">
        <v>43202</v>
      </c>
      <c r="AU560" s="91">
        <f t="shared" si="39"/>
        <v>6711600</v>
      </c>
      <c r="AV560" s="14"/>
      <c r="AW560" s="1"/>
    </row>
    <row r="561" spans="1:49" s="57" customFormat="1" ht="22.5" hidden="1" x14ac:dyDescent="0.25">
      <c r="A561" s="59"/>
      <c r="B561" s="2" t="str">
        <f>+'Base de Datos'!E561</f>
        <v>170249-0-2017</v>
      </c>
      <c r="C561" s="2" t="str">
        <f>+'Base de Datos'!F561</f>
        <v xml:space="preserve">COMUNICAN SA </v>
      </c>
      <c r="D561" s="2">
        <f>+'Base de Datos'!G561</f>
        <v>860007590</v>
      </c>
      <c r="E561" s="2" t="str">
        <f>+'Base de Datos'!H561</f>
        <v>Suscripción al diario EL ESPECTADOR para el Concejo de Bogotá.</v>
      </c>
      <c r="F561" s="221">
        <f>+'Base de Datos'!I561</f>
        <v>1185000</v>
      </c>
      <c r="G561" s="220">
        <f>+'Base de Datos'!M561</f>
        <v>43010</v>
      </c>
      <c r="H561" s="220">
        <f>+'Base de Datos'!N561</f>
        <v>43375</v>
      </c>
      <c r="I561" s="179"/>
      <c r="J561" s="360"/>
      <c r="K561" s="237"/>
      <c r="L561" s="363"/>
      <c r="M561" s="179"/>
      <c r="N561" s="360"/>
      <c r="O561" s="179"/>
      <c r="P561" s="365"/>
      <c r="Q561" s="86">
        <f t="shared" si="37"/>
        <v>0</v>
      </c>
      <c r="R561" s="284"/>
      <c r="S561" s="360"/>
      <c r="T561" s="179"/>
      <c r="U561" s="360"/>
      <c r="V561" s="179"/>
      <c r="W561" s="360"/>
      <c r="X561" s="179"/>
      <c r="Y561" s="360"/>
      <c r="Z561" s="353"/>
      <c r="AA561" s="89">
        <f t="shared" si="38"/>
        <v>0</v>
      </c>
      <c r="AB561" s="237">
        <v>1185000</v>
      </c>
      <c r="AC561" s="237"/>
      <c r="AD561" s="237"/>
      <c r="AE561" s="237"/>
      <c r="AF561" s="237"/>
      <c r="AG561" s="237"/>
      <c r="AH561" s="237"/>
      <c r="AI561" s="237"/>
      <c r="AJ561" s="237"/>
      <c r="AK561" s="237"/>
      <c r="AL561" s="237"/>
      <c r="AM561" s="237"/>
      <c r="AN561" s="237"/>
      <c r="AO561" s="237"/>
      <c r="AP561" s="237"/>
      <c r="AQ561" s="237"/>
      <c r="AR561" s="237"/>
      <c r="AS561" s="237"/>
      <c r="AT561" s="360">
        <v>43053</v>
      </c>
      <c r="AU561" s="91">
        <f t="shared" si="39"/>
        <v>1185000</v>
      </c>
      <c r="AV561" s="14"/>
      <c r="AW561" s="1"/>
    </row>
    <row r="562" spans="1:49" s="57" customFormat="1" ht="56.25" hidden="1" x14ac:dyDescent="0.25">
      <c r="A562" s="59"/>
      <c r="B562" s="2" t="str">
        <f>+'Base de Datos'!E562</f>
        <v>170251-0-2017</v>
      </c>
      <c r="C562" s="2" t="str">
        <f>+'Base de Datos'!F562</f>
        <v>DELIGREIZ SUAREZ GOMEZ</v>
      </c>
      <c r="D562" s="2">
        <f>+'Base de Datos'!G562</f>
        <v>1022949330</v>
      </c>
      <c r="E562" s="2" t="str">
        <f>+'Base de Datos'!H562</f>
        <v>Prestar los servicios de apoyo al proceso de recursos físicos de la Dirección Administrativa del Concejo de Bogotá, para coadyuvar con las actividades de actualización y administración de la información del área de mantenimiento.</v>
      </c>
      <c r="F562" s="221">
        <f>+'Base de Datos'!I562</f>
        <v>7500000</v>
      </c>
      <c r="G562" s="220">
        <f>+'Base de Datos'!M562</f>
        <v>43006</v>
      </c>
      <c r="H562" s="220">
        <f>+'Base de Datos'!N562</f>
        <v>43100</v>
      </c>
      <c r="I562" s="179"/>
      <c r="J562" s="360"/>
      <c r="K562" s="237"/>
      <c r="L562" s="363"/>
      <c r="M562" s="179"/>
      <c r="N562" s="360"/>
      <c r="O562" s="179"/>
      <c r="P562" s="365"/>
      <c r="Q562" s="86">
        <f t="shared" si="37"/>
        <v>0</v>
      </c>
      <c r="R562" s="849" t="s">
        <v>3758</v>
      </c>
      <c r="S562" s="360">
        <v>43125</v>
      </c>
      <c r="T562" s="179"/>
      <c r="U562" s="360"/>
      <c r="V562" s="179"/>
      <c r="W562" s="360"/>
      <c r="X562" s="179"/>
      <c r="Y562" s="360"/>
      <c r="Z562" s="353" t="s">
        <v>3758</v>
      </c>
      <c r="AA562" s="89">
        <f t="shared" si="38"/>
        <v>43125</v>
      </c>
      <c r="AB562" s="237">
        <v>187500</v>
      </c>
      <c r="AC562" s="237">
        <v>1875000</v>
      </c>
      <c r="AD562" s="237">
        <v>1875000</v>
      </c>
      <c r="AE562" s="237">
        <v>1875000</v>
      </c>
      <c r="AF562" s="237">
        <v>1562500</v>
      </c>
      <c r="AG562" s="237"/>
      <c r="AH562" s="237"/>
      <c r="AI562" s="237"/>
      <c r="AJ562" s="237"/>
      <c r="AK562" s="237"/>
      <c r="AL562" s="237"/>
      <c r="AM562" s="237"/>
      <c r="AN562" s="237"/>
      <c r="AO562" s="237"/>
      <c r="AP562" s="237"/>
      <c r="AQ562" s="237"/>
      <c r="AR562" s="237"/>
      <c r="AS562" s="237"/>
      <c r="AT562" s="360">
        <v>43145</v>
      </c>
      <c r="AU562" s="91">
        <f t="shared" si="39"/>
        <v>7375000</v>
      </c>
      <c r="AV562" s="14"/>
      <c r="AW562" s="1"/>
    </row>
    <row r="563" spans="1:49" s="57" customFormat="1" ht="67.5" hidden="1" x14ac:dyDescent="0.25">
      <c r="A563" s="59"/>
      <c r="B563" s="2" t="str">
        <f>+'Base de Datos'!E563</f>
        <v>170244-0-2017</v>
      </c>
      <c r="C563" s="2" t="str">
        <f>+'Base de Datos'!F563</f>
        <v>SEAN ELECTRONICA LIMITADA</v>
      </c>
      <c r="D563" s="2">
        <f>+'Base de Datos'!G563</f>
        <v>830124848</v>
      </c>
      <c r="E563" s="2" t="str">
        <f>+'Base de Datos'!H563</f>
        <v>Prestar los servicios de mantenimiento, soporte y actualización con el suministro de repuestos para la infraestructura de telecomunicaciones, cableado estructurado (voz y datos), fibra óptica, energía normal y regulada para el Concejo de Bogotá de conformidad con la invitación pública SDH-SMINC-30-2017.</v>
      </c>
      <c r="F563" s="221">
        <f>+'Base de Datos'!I563</f>
        <v>30000000</v>
      </c>
      <c r="G563" s="220">
        <f>+'Base de Datos'!M563</f>
        <v>43020</v>
      </c>
      <c r="H563" s="220">
        <f>+'Base de Datos'!N563</f>
        <v>43202</v>
      </c>
      <c r="I563" s="179">
        <v>10000000</v>
      </c>
      <c r="J563" s="360">
        <v>43202</v>
      </c>
      <c r="K563" s="237"/>
      <c r="L563" s="363"/>
      <c r="M563" s="179"/>
      <c r="N563" s="360"/>
      <c r="O563" s="179"/>
      <c r="P563" s="365"/>
      <c r="Q563" s="86">
        <f t="shared" si="37"/>
        <v>10000000</v>
      </c>
      <c r="R563" s="284" t="s">
        <v>381</v>
      </c>
      <c r="S563" s="360">
        <v>43232</v>
      </c>
      <c r="T563" s="179" t="s">
        <v>378</v>
      </c>
      <c r="U563" s="360">
        <v>43293</v>
      </c>
      <c r="V563" s="179"/>
      <c r="W563" s="360"/>
      <c r="X563" s="179"/>
      <c r="Y563" s="360"/>
      <c r="Z563" s="353" t="s">
        <v>379</v>
      </c>
      <c r="AA563" s="89">
        <f t="shared" si="38"/>
        <v>43293</v>
      </c>
      <c r="AB563" s="237">
        <v>3829421</v>
      </c>
      <c r="AC563" s="237">
        <v>1607697</v>
      </c>
      <c r="AD563" s="237">
        <v>10845869</v>
      </c>
      <c r="AE563" s="237">
        <v>7786210</v>
      </c>
      <c r="AF563" s="237">
        <v>13711859</v>
      </c>
      <c r="AG563" s="237">
        <v>2210097</v>
      </c>
      <c r="AH563" s="237"/>
      <c r="AI563" s="237"/>
      <c r="AJ563" s="237"/>
      <c r="AK563" s="237"/>
      <c r="AL563" s="237"/>
      <c r="AM563" s="237"/>
      <c r="AN563" s="237"/>
      <c r="AO563" s="237"/>
      <c r="AP563" s="237"/>
      <c r="AQ563" s="237"/>
      <c r="AR563" s="237"/>
      <c r="AS563" s="237"/>
      <c r="AT563" s="360">
        <v>43299</v>
      </c>
      <c r="AU563" s="91">
        <f t="shared" si="39"/>
        <v>39991153</v>
      </c>
      <c r="AV563" s="14"/>
      <c r="AW563" s="1"/>
    </row>
    <row r="564" spans="1:49" s="57" customFormat="1" ht="45" hidden="1" x14ac:dyDescent="0.25">
      <c r="A564" s="59"/>
      <c r="B564" s="2" t="str">
        <f>+'Base de Datos'!E564</f>
        <v>170256-0-2017</v>
      </c>
      <c r="C564" s="2" t="str">
        <f>+'Base de Datos'!F564</f>
        <v>POLITICAS &amp; MEDIOS INVESTIGACIONES LTDA</v>
      </c>
      <c r="D564" s="2">
        <f>+'Base de Datos'!G564</f>
        <v>800109177</v>
      </c>
      <c r="E564" s="2" t="str">
        <f>+'Base de Datos'!H564</f>
        <v>Suscripción al servicio de información jurídica a través de un boletín informativo por correo electrónico, consulta web y biblioteca digital de legislación colombiana actualizada.</v>
      </c>
      <c r="F564" s="221">
        <f>+'Base de Datos'!I564</f>
        <v>975000</v>
      </c>
      <c r="G564" s="220">
        <f>+'Base de Datos'!M564</f>
        <v>43034</v>
      </c>
      <c r="H564" s="220">
        <f>+'Base de Datos'!N564</f>
        <v>43399</v>
      </c>
      <c r="I564" s="179"/>
      <c r="J564" s="360"/>
      <c r="K564" s="237"/>
      <c r="L564" s="363"/>
      <c r="M564" s="179"/>
      <c r="N564" s="360"/>
      <c r="O564" s="179"/>
      <c r="P564" s="365"/>
      <c r="Q564" s="86">
        <f t="shared" si="37"/>
        <v>0</v>
      </c>
      <c r="R564" s="284"/>
      <c r="S564" s="360"/>
      <c r="T564" s="179"/>
      <c r="U564" s="360"/>
      <c r="V564" s="179"/>
      <c r="W564" s="360"/>
      <c r="X564" s="179"/>
      <c r="Y564" s="360"/>
      <c r="Z564" s="353"/>
      <c r="AA564" s="89">
        <f t="shared" si="38"/>
        <v>0</v>
      </c>
      <c r="AB564" s="237">
        <v>975000</v>
      </c>
      <c r="AC564" s="237"/>
      <c r="AD564" s="237"/>
      <c r="AE564" s="237"/>
      <c r="AF564" s="237"/>
      <c r="AG564" s="237"/>
      <c r="AH564" s="237"/>
      <c r="AI564" s="237"/>
      <c r="AJ564" s="237"/>
      <c r="AK564" s="237"/>
      <c r="AL564" s="237"/>
      <c r="AM564" s="237"/>
      <c r="AN564" s="237"/>
      <c r="AO564" s="237"/>
      <c r="AP564" s="237"/>
      <c r="AQ564" s="237"/>
      <c r="AR564" s="237"/>
      <c r="AS564" s="237"/>
      <c r="AT564" s="360">
        <v>43207</v>
      </c>
      <c r="AU564" s="91">
        <f t="shared" si="39"/>
        <v>975000</v>
      </c>
      <c r="AV564" s="14"/>
      <c r="AW564" s="1"/>
    </row>
    <row r="565" spans="1:49" s="57" customFormat="1" ht="67.5" hidden="1" x14ac:dyDescent="0.25">
      <c r="A565" s="59"/>
      <c r="B565" s="2" t="str">
        <f>+'Base de Datos'!E565</f>
        <v>170245-0-2017</v>
      </c>
      <c r="C565" s="2" t="str">
        <f>+'Base de Datos'!F565</f>
        <v>GRUPO TITANIUM SAS</v>
      </c>
      <c r="D565" s="2">
        <f>+'Base de Datos'!G565</f>
        <v>900749719</v>
      </c>
      <c r="E565" s="2" t="str">
        <f>+'Base de Datos'!H565</f>
        <v xml:space="preserve">Ejecutar obras complementarias para la adecuación del espacio destinado para los parqueaderos del Concejo de Bogotá, de conformidad con lo establecido en el pliego de condiciones del proceso de selcción abreviada de menor cuantía N. SDH-SAMC-08-2017 y la propuesta presentada por el contratista. </v>
      </c>
      <c r="F565" s="221">
        <f>+'Base de Datos'!I565</f>
        <v>241357373</v>
      </c>
      <c r="G565" s="220">
        <f>+'Base de Datos'!M565</f>
        <v>43053</v>
      </c>
      <c r="H565" s="220">
        <f>+'Base de Datos'!N565</f>
        <v>43172</v>
      </c>
      <c r="I565" s="179">
        <v>85040124</v>
      </c>
      <c r="J565" s="360">
        <v>43167</v>
      </c>
      <c r="K565" s="237"/>
      <c r="L565" s="363"/>
      <c r="M565" s="179"/>
      <c r="N565" s="360"/>
      <c r="O565" s="179"/>
      <c r="P565" s="365"/>
      <c r="Q565" s="86">
        <f t="shared" si="37"/>
        <v>85040124</v>
      </c>
      <c r="R565" s="849" t="s">
        <v>3896</v>
      </c>
      <c r="S565" s="360">
        <v>43217</v>
      </c>
      <c r="T565" s="178" t="s">
        <v>3957</v>
      </c>
      <c r="U565" s="360">
        <v>43248</v>
      </c>
      <c r="V565" s="179"/>
      <c r="W565" s="360"/>
      <c r="X565" s="179"/>
      <c r="Y565" s="360"/>
      <c r="Z565" s="849" t="s">
        <v>3958</v>
      </c>
      <c r="AA565" s="89">
        <f t="shared" si="38"/>
        <v>43248</v>
      </c>
      <c r="AB565" s="237">
        <v>48271475</v>
      </c>
      <c r="AC565" s="237">
        <v>72407212</v>
      </c>
      <c r="AD565" s="237">
        <v>48271475</v>
      </c>
      <c r="AE565" s="237">
        <v>85040124</v>
      </c>
      <c r="AF565" s="237"/>
      <c r="AG565" s="237"/>
      <c r="AH565" s="237"/>
      <c r="AI565" s="237"/>
      <c r="AJ565" s="237"/>
      <c r="AK565" s="237"/>
      <c r="AL565" s="237"/>
      <c r="AM565" s="237"/>
      <c r="AN565" s="237"/>
      <c r="AO565" s="237"/>
      <c r="AP565" s="237"/>
      <c r="AQ565" s="237"/>
      <c r="AR565" s="237"/>
      <c r="AS565" s="237"/>
      <c r="AT565" s="360">
        <v>43202</v>
      </c>
      <c r="AU565" s="91">
        <f t="shared" si="39"/>
        <v>253990286</v>
      </c>
      <c r="AV565" s="14"/>
      <c r="AW565" s="1"/>
    </row>
    <row r="566" spans="1:49" s="57" customFormat="1" ht="78.75" hidden="1" x14ac:dyDescent="0.25">
      <c r="A566" s="59"/>
      <c r="B566" s="2" t="str">
        <f>+'Base de Datos'!E566</f>
        <v>170266-0-2017</v>
      </c>
      <c r="C566" s="2" t="str">
        <f>+'Base de Datos'!F566</f>
        <v>MONICA PATRICIA SERRANO VARGAS</v>
      </c>
      <c r="D566" s="2">
        <f>+'Base de Datos'!G566</f>
        <v>52390138</v>
      </c>
      <c r="E566" s="2" t="str">
        <f>+'Base de Datos'!H566</f>
        <v xml:space="preserve">Prestar servicios profesionales de apoyo a la Oficina de Comunicaciones del Concejo de Bogotá D.C., en la generación de estrategias que permitan la socialización, divulgación y comunicación de la Ley de Transparencia y demás políticas institucionales, así como prestar apoyo en el cubrimiento mediático de las diferentes sesiones de la corporación.  </v>
      </c>
      <c r="F566" s="221">
        <f>+'Base de Datos'!I566</f>
        <v>12000000</v>
      </c>
      <c r="G566" s="220">
        <f>+'Base de Datos'!M566</f>
        <v>43014</v>
      </c>
      <c r="H566" s="220">
        <f>+'Base de Datos'!N566</f>
        <v>43106</v>
      </c>
      <c r="I566" s="179"/>
      <c r="J566" s="360"/>
      <c r="K566" s="237"/>
      <c r="L566" s="363"/>
      <c r="M566" s="179"/>
      <c r="N566" s="360"/>
      <c r="O566" s="179"/>
      <c r="P566" s="365"/>
      <c r="Q566" s="86">
        <f t="shared" si="37"/>
        <v>0</v>
      </c>
      <c r="R566" s="284"/>
      <c r="S566" s="360"/>
      <c r="T566" s="179"/>
      <c r="U566" s="360"/>
      <c r="V566" s="179"/>
      <c r="W566" s="360"/>
      <c r="X566" s="179"/>
      <c r="Y566" s="360"/>
      <c r="Z566" s="353"/>
      <c r="AA566" s="89">
        <f t="shared" si="38"/>
        <v>0</v>
      </c>
      <c r="AB566" s="237">
        <v>3333333</v>
      </c>
      <c r="AC566" s="237">
        <v>4000000</v>
      </c>
      <c r="AD566" s="237">
        <v>4000000</v>
      </c>
      <c r="AE566" s="237">
        <v>666667</v>
      </c>
      <c r="AF566" s="237"/>
      <c r="AG566" s="237"/>
      <c r="AH566" s="237"/>
      <c r="AI566" s="237"/>
      <c r="AJ566" s="237"/>
      <c r="AK566" s="237"/>
      <c r="AL566" s="237"/>
      <c r="AM566" s="237"/>
      <c r="AN566" s="237"/>
      <c r="AO566" s="237"/>
      <c r="AP566" s="237"/>
      <c r="AQ566" s="237"/>
      <c r="AR566" s="237"/>
      <c r="AS566" s="237"/>
      <c r="AT566" s="360">
        <v>43131</v>
      </c>
      <c r="AU566" s="91">
        <f t="shared" si="39"/>
        <v>12000000</v>
      </c>
      <c r="AV566" s="14"/>
      <c r="AW566" s="1"/>
    </row>
    <row r="567" spans="1:49" s="57" customFormat="1" ht="22.5" hidden="1" x14ac:dyDescent="0.25">
      <c r="A567" s="59"/>
      <c r="B567" s="2" t="str">
        <f>+'Base de Datos'!E567</f>
        <v>170264-0-2017</v>
      </c>
      <c r="C567" s="2" t="str">
        <f>+'Base de Datos'!F567</f>
        <v>AXEDE S.A.</v>
      </c>
      <c r="D567" s="2" t="str">
        <f>+'Base de Datos'!G567</f>
        <v>830077975-8</v>
      </c>
      <c r="E567" s="2" t="str">
        <f>+'Base de Datos'!H567</f>
        <v>Proveer el servicio de mantenimiento  preventivo y correctvo al sistema de telefonía del Concejo de Bogotá.</v>
      </c>
      <c r="F567" s="221">
        <f>+'Base de Datos'!I567</f>
        <v>103000000</v>
      </c>
      <c r="G567" s="220">
        <f>+'Base de Datos'!M567</f>
        <v>43018</v>
      </c>
      <c r="H567" s="220">
        <f>+'Base de Datos'!N567</f>
        <v>43383</v>
      </c>
      <c r="I567" s="179"/>
      <c r="J567" s="360"/>
      <c r="K567" s="237"/>
      <c r="L567" s="363"/>
      <c r="M567" s="179"/>
      <c r="N567" s="360"/>
      <c r="O567" s="179"/>
      <c r="P567" s="365"/>
      <c r="Q567" s="86">
        <f t="shared" si="37"/>
        <v>0</v>
      </c>
      <c r="R567" s="284"/>
      <c r="S567" s="360"/>
      <c r="T567" s="179"/>
      <c r="U567" s="360"/>
      <c r="V567" s="179"/>
      <c r="W567" s="360"/>
      <c r="X567" s="179"/>
      <c r="Y567" s="360"/>
      <c r="Z567" s="353"/>
      <c r="AA567" s="89">
        <f t="shared" si="38"/>
        <v>0</v>
      </c>
      <c r="AB567" s="237">
        <v>76443834</v>
      </c>
      <c r="AC567" s="237">
        <v>7289981</v>
      </c>
      <c r="AD567" s="237">
        <v>7289981</v>
      </c>
      <c r="AE567" s="237">
        <v>7289981</v>
      </c>
      <c r="AF567" s="237"/>
      <c r="AG567" s="237"/>
      <c r="AH567" s="237"/>
      <c r="AI567" s="237"/>
      <c r="AJ567" s="237"/>
      <c r="AK567" s="237"/>
      <c r="AL567" s="237"/>
      <c r="AM567" s="237"/>
      <c r="AN567" s="237"/>
      <c r="AO567" s="237"/>
      <c r="AP567" s="237"/>
      <c r="AQ567" s="237"/>
      <c r="AR567" s="237"/>
      <c r="AS567" s="237"/>
      <c r="AT567" s="360">
        <v>43392</v>
      </c>
      <c r="AU567" s="91">
        <f t="shared" si="39"/>
        <v>98313777</v>
      </c>
      <c r="AV567" s="14"/>
      <c r="AW567" s="1"/>
    </row>
    <row r="568" spans="1:49" s="57" customFormat="1" ht="33.75" hidden="1" x14ac:dyDescent="0.25">
      <c r="A568" s="59"/>
      <c r="B568" s="2" t="str">
        <f>+'Base de Datos'!E568</f>
        <v>170233-0-2017</v>
      </c>
      <c r="C568" s="2" t="str">
        <f>+'Base de Datos'!F568</f>
        <v>EDITORIAL LA UNIDAD S.A EN EJECUCIÓN DEL ACUERDO DE REESTRUCTURACIÓN</v>
      </c>
      <c r="D568" s="2">
        <f>+'Base de Datos'!G568</f>
        <v>860536029</v>
      </c>
      <c r="E568" s="2" t="str">
        <f>+'Base de Datos'!H568</f>
        <v>Suscripción al diario el Nuevo Siglo para el Concejo de Bogotá.</v>
      </c>
      <c r="F568" s="221">
        <f>+'Base de Datos'!I568</f>
        <v>960000</v>
      </c>
      <c r="G568" s="220">
        <f>+'Base de Datos'!M568</f>
        <v>43013</v>
      </c>
      <c r="H568" s="220">
        <f>+'Base de Datos'!N568</f>
        <v>43378</v>
      </c>
      <c r="I568" s="179"/>
      <c r="J568" s="360"/>
      <c r="K568" s="237"/>
      <c r="L568" s="363"/>
      <c r="M568" s="179"/>
      <c r="N568" s="360"/>
      <c r="O568" s="179"/>
      <c r="P568" s="365"/>
      <c r="Q568" s="86">
        <f t="shared" si="37"/>
        <v>0</v>
      </c>
      <c r="R568" s="284"/>
      <c r="S568" s="360"/>
      <c r="T568" s="179"/>
      <c r="U568" s="360"/>
      <c r="V568" s="179"/>
      <c r="W568" s="360"/>
      <c r="X568" s="179"/>
      <c r="Y568" s="360"/>
      <c r="Z568" s="353"/>
      <c r="AA568" s="89">
        <f t="shared" si="38"/>
        <v>0</v>
      </c>
      <c r="AB568" s="237">
        <v>960000</v>
      </c>
      <c r="AC568" s="237"/>
      <c r="AD568" s="237"/>
      <c r="AE568" s="237"/>
      <c r="AF568" s="237"/>
      <c r="AG568" s="237"/>
      <c r="AH568" s="237"/>
      <c r="AI568" s="237"/>
      <c r="AJ568" s="237"/>
      <c r="AK568" s="237"/>
      <c r="AL568" s="237"/>
      <c r="AM568" s="237"/>
      <c r="AN568" s="237"/>
      <c r="AO568" s="237"/>
      <c r="AP568" s="237"/>
      <c r="AQ568" s="237"/>
      <c r="AR568" s="237"/>
      <c r="AS568" s="237"/>
      <c r="AT568" s="360">
        <v>43047</v>
      </c>
      <c r="AU568" s="91">
        <f t="shared" si="39"/>
        <v>960000</v>
      </c>
      <c r="AV568" s="14"/>
      <c r="AW568" s="1"/>
    </row>
    <row r="569" spans="1:49" s="57" customFormat="1" ht="22.5" hidden="1" x14ac:dyDescent="0.25">
      <c r="A569" s="59"/>
      <c r="B569" s="2" t="str">
        <f>+'Base de Datos'!E569</f>
        <v>170274-0-2017</v>
      </c>
      <c r="C569" s="2" t="str">
        <f>+'Base de Datos'!F569</f>
        <v>MAGIQ ALL SAS</v>
      </c>
      <c r="D569" s="2">
        <f>+'Base de Datos'!G569</f>
        <v>900619795</v>
      </c>
      <c r="E569" s="2" t="str">
        <f>+'Base de Datos'!H569</f>
        <v>Suministro de elementos de protección personal para los servidores del Concejo de Bogotá.</v>
      </c>
      <c r="F569" s="221">
        <f>+'Base de Datos'!I569</f>
        <v>23058000</v>
      </c>
      <c r="G569" s="220">
        <f>+'Base de Datos'!M569</f>
        <v>43033</v>
      </c>
      <c r="H569" s="220">
        <f>+'Base de Datos'!N569</f>
        <v>43156</v>
      </c>
      <c r="I569" s="179"/>
      <c r="J569" s="360"/>
      <c r="K569" s="237"/>
      <c r="L569" s="363"/>
      <c r="M569" s="179"/>
      <c r="N569" s="360"/>
      <c r="O569" s="179"/>
      <c r="P569" s="365"/>
      <c r="Q569" s="86">
        <f t="shared" si="37"/>
        <v>0</v>
      </c>
      <c r="R569" s="284"/>
      <c r="S569" s="360"/>
      <c r="T569" s="179"/>
      <c r="U569" s="360"/>
      <c r="V569" s="179"/>
      <c r="W569" s="360"/>
      <c r="X569" s="179"/>
      <c r="Y569" s="360"/>
      <c r="Z569" s="353"/>
      <c r="AA569" s="89">
        <f t="shared" si="38"/>
        <v>0</v>
      </c>
      <c r="AB569" s="237">
        <v>21231623</v>
      </c>
      <c r="AC569" s="237"/>
      <c r="AD569" s="237"/>
      <c r="AE569" s="237"/>
      <c r="AF569" s="237"/>
      <c r="AG569" s="237"/>
      <c r="AH569" s="237"/>
      <c r="AI569" s="237"/>
      <c r="AJ569" s="237"/>
      <c r="AK569" s="237"/>
      <c r="AL569" s="237"/>
      <c r="AM569" s="237"/>
      <c r="AN569" s="237"/>
      <c r="AO569" s="237"/>
      <c r="AP569" s="237"/>
      <c r="AQ569" s="237"/>
      <c r="AR569" s="237"/>
      <c r="AS569" s="237"/>
      <c r="AT569" s="360">
        <v>43250</v>
      </c>
      <c r="AU569" s="91">
        <f t="shared" si="39"/>
        <v>21231623</v>
      </c>
      <c r="AV569" s="14"/>
      <c r="AW569" s="1"/>
    </row>
    <row r="570" spans="1:49" s="57" customFormat="1" ht="45" hidden="1" x14ac:dyDescent="0.25">
      <c r="A570" s="59"/>
      <c r="B570" s="2" t="str">
        <f>+'Base de Datos'!E570</f>
        <v>170275-0-2017</v>
      </c>
      <c r="C570" s="2" t="str">
        <f>+'Base de Datos'!F570</f>
        <v>ALIADOS DE COLOMBIA SAS</v>
      </c>
      <c r="D570" s="2" t="str">
        <f>+'Base de Datos'!G570</f>
        <v>900354406-0</v>
      </c>
      <c r="E570" s="2" t="str">
        <f>+'Base de Datos'!H570</f>
        <v>Prestar el servicio de mantenimiento correctivo que requieran los sistemas de archivos rodantes del Concejo de Bogotá, incluyendo traslado, repuestos o elementos nuevos.</v>
      </c>
      <c r="F570" s="221">
        <f>+'Base de Datos'!I570</f>
        <v>5087000</v>
      </c>
      <c r="G570" s="220">
        <f>+'Base de Datos'!M570</f>
        <v>43028</v>
      </c>
      <c r="H570" s="220">
        <f>+'Base de Datos'!N570</f>
        <v>43393</v>
      </c>
      <c r="I570" s="179"/>
      <c r="J570" s="360"/>
      <c r="K570" s="237"/>
      <c r="L570" s="363"/>
      <c r="M570" s="179"/>
      <c r="N570" s="360"/>
      <c r="O570" s="179"/>
      <c r="P570" s="365"/>
      <c r="Q570" s="86">
        <f t="shared" si="37"/>
        <v>0</v>
      </c>
      <c r="R570" s="284"/>
      <c r="S570" s="360"/>
      <c r="T570" s="179"/>
      <c r="U570" s="360"/>
      <c r="V570" s="179"/>
      <c r="W570" s="360"/>
      <c r="X570" s="179"/>
      <c r="Y570" s="360"/>
      <c r="Z570" s="353"/>
      <c r="AA570" s="89">
        <f t="shared" si="38"/>
        <v>0</v>
      </c>
      <c r="AB570" s="237">
        <v>2970000</v>
      </c>
      <c r="AC570" s="237">
        <v>2113999</v>
      </c>
      <c r="AD570" s="237"/>
      <c r="AE570" s="237"/>
      <c r="AF570" s="237"/>
      <c r="AG570" s="237"/>
      <c r="AH570" s="237"/>
      <c r="AI570" s="237"/>
      <c r="AJ570" s="237"/>
      <c r="AK570" s="237"/>
      <c r="AL570" s="237"/>
      <c r="AM570" s="237"/>
      <c r="AN570" s="237"/>
      <c r="AO570" s="237"/>
      <c r="AP570" s="237"/>
      <c r="AQ570" s="237"/>
      <c r="AR570" s="237"/>
      <c r="AS570" s="237"/>
      <c r="AT570" s="360">
        <v>43453</v>
      </c>
      <c r="AU570" s="91">
        <f t="shared" si="39"/>
        <v>5083999</v>
      </c>
      <c r="AV570" s="14"/>
      <c r="AW570" s="1"/>
    </row>
    <row r="571" spans="1:49" s="57" customFormat="1" ht="45" hidden="1" x14ac:dyDescent="0.25">
      <c r="A571" s="59"/>
      <c r="B571" s="2" t="str">
        <f>+'Base de Datos'!E571</f>
        <v>170289-0-2017</v>
      </c>
      <c r="C571" s="2" t="str">
        <f>+'Base de Datos'!F571</f>
        <v>JORGE HERNÁN SANCHEZ PINEDA</v>
      </c>
      <c r="D571" s="2">
        <f>+'Base de Datos'!G571</f>
        <v>79789613</v>
      </c>
      <c r="E571" s="2" t="str">
        <f>+'Base de Datos'!H571</f>
        <v>Realizar la interventoria al contrato cuyo objeto consiste en ejecutar obras complementarias para la adecuación del espacio destinado para los parqueaderos del Concejo de Bogotá.</v>
      </c>
      <c r="F571" s="221">
        <f>+'Base de Datos'!I571</f>
        <v>9000000</v>
      </c>
      <c r="G571" s="220">
        <f>+'Base de Datos'!M571</f>
        <v>43034</v>
      </c>
      <c r="H571" s="220">
        <f>+'Base de Datos'!N571</f>
        <v>43185</v>
      </c>
      <c r="I571" s="179">
        <v>4133333</v>
      </c>
      <c r="J571" s="360">
        <v>43231</v>
      </c>
      <c r="K571" s="237"/>
      <c r="L571" s="363"/>
      <c r="M571" s="179"/>
      <c r="N571" s="360"/>
      <c r="O571" s="179"/>
      <c r="P571" s="365"/>
      <c r="Q571" s="86">
        <f t="shared" si="37"/>
        <v>4133333</v>
      </c>
      <c r="R571" s="849" t="s">
        <v>3898</v>
      </c>
      <c r="S571" s="360">
        <v>43247</v>
      </c>
      <c r="T571" s="179" t="s">
        <v>381</v>
      </c>
      <c r="U571" s="360">
        <v>43278</v>
      </c>
      <c r="V571" s="179"/>
      <c r="W571" s="360"/>
      <c r="X571" s="179"/>
      <c r="Y571" s="360"/>
      <c r="Z571" s="849" t="s">
        <v>3986</v>
      </c>
      <c r="AA571" s="89">
        <f t="shared" si="38"/>
        <v>43278</v>
      </c>
      <c r="AB571" s="237">
        <v>2000000</v>
      </c>
      <c r="AC571" s="237">
        <v>2000000</v>
      </c>
      <c r="AD571" s="237">
        <v>2000000</v>
      </c>
      <c r="AE571" s="237">
        <v>2000000</v>
      </c>
      <c r="AF571" s="237">
        <v>4133333</v>
      </c>
      <c r="AG571" s="237">
        <v>1000000</v>
      </c>
      <c r="AH571" s="237"/>
      <c r="AI571" s="237"/>
      <c r="AJ571" s="237"/>
      <c r="AK571" s="237"/>
      <c r="AL571" s="237"/>
      <c r="AM571" s="237"/>
      <c r="AN571" s="237"/>
      <c r="AO571" s="237"/>
      <c r="AP571" s="237"/>
      <c r="AQ571" s="237"/>
      <c r="AR571" s="237"/>
      <c r="AS571" s="237"/>
      <c r="AT571" s="360">
        <v>43453</v>
      </c>
      <c r="AU571" s="91">
        <f t="shared" si="39"/>
        <v>13133333</v>
      </c>
      <c r="AV571" s="14"/>
      <c r="AW571" s="1"/>
    </row>
    <row r="572" spans="1:49" s="57" customFormat="1" ht="33.75" hidden="1" x14ac:dyDescent="0.25">
      <c r="A572" s="59"/>
      <c r="B572" s="2" t="str">
        <f>+'Base de Datos'!E572</f>
        <v>170291-0-2017</v>
      </c>
      <c r="C572" s="2" t="str">
        <f>+'Base de Datos'!F572</f>
        <v>EDER GIOVANNY CASTIBLANCO ORJUELA</v>
      </c>
      <c r="D572" s="2">
        <f>+'Base de Datos'!G572</f>
        <v>80807003</v>
      </c>
      <c r="E572" s="2" t="str">
        <f>+'Base de Datos'!H572</f>
        <v>Prestar servicios de revisión, mantenimiento y recarga de extintores con suministro de repuestos y otros elementos de seguridad para el Concejo de Bogotá.</v>
      </c>
      <c r="F572" s="221">
        <f>+'Base de Datos'!I572</f>
        <v>4606000</v>
      </c>
      <c r="G572" s="220">
        <f>+'Base de Datos'!M572</f>
        <v>43041</v>
      </c>
      <c r="H572" s="220">
        <f>+'Base de Datos'!N572</f>
        <v>43133</v>
      </c>
      <c r="I572" s="179"/>
      <c r="J572" s="360"/>
      <c r="K572" s="237"/>
      <c r="L572" s="363"/>
      <c r="M572" s="179"/>
      <c r="N572" s="360"/>
      <c r="O572" s="179"/>
      <c r="P572" s="365"/>
      <c r="Q572" s="86">
        <f t="shared" si="37"/>
        <v>0</v>
      </c>
      <c r="R572" s="284"/>
      <c r="S572" s="360"/>
      <c r="T572" s="179"/>
      <c r="U572" s="360"/>
      <c r="V572" s="179"/>
      <c r="W572" s="360"/>
      <c r="X572" s="179"/>
      <c r="Y572" s="360"/>
      <c r="Z572" s="353"/>
      <c r="AA572" s="89">
        <f t="shared" si="38"/>
        <v>0</v>
      </c>
      <c r="AB572" s="237">
        <v>2576666</v>
      </c>
      <c r="AC572" s="237"/>
      <c r="AD572" s="237"/>
      <c r="AE572" s="237"/>
      <c r="AF572" s="237"/>
      <c r="AG572" s="237"/>
      <c r="AH572" s="237"/>
      <c r="AI572" s="237"/>
      <c r="AJ572" s="237"/>
      <c r="AK572" s="237"/>
      <c r="AL572" s="237"/>
      <c r="AM572" s="237"/>
      <c r="AN572" s="237"/>
      <c r="AO572" s="237"/>
      <c r="AP572" s="237"/>
      <c r="AQ572" s="237"/>
      <c r="AR572" s="237"/>
      <c r="AS572" s="237"/>
      <c r="AT572" s="360">
        <v>43157</v>
      </c>
      <c r="AU572" s="91">
        <f t="shared" si="39"/>
        <v>2576666</v>
      </c>
      <c r="AV572" s="14"/>
      <c r="AW572" s="1"/>
    </row>
    <row r="573" spans="1:49" s="57" customFormat="1" ht="33.75" hidden="1" x14ac:dyDescent="0.25">
      <c r="A573" s="59"/>
      <c r="B573" s="2" t="str">
        <f>+'Base de Datos'!E573</f>
        <v>170272-0-2017</v>
      </c>
      <c r="C573" s="2" t="str">
        <f>+'Base de Datos'!F573</f>
        <v>MAP INGENIEROS Y/O MARIA FERNANDA CORTES EU</v>
      </c>
      <c r="D573" s="2" t="str">
        <f>+'Base de Datos'!G573</f>
        <v>830135234-8</v>
      </c>
      <c r="E573" s="2" t="str">
        <f>+'Base de Datos'!H573</f>
        <v>Proveer elementos ergonómicos para adecuar los puestos de trabajo de los funcionarios del Concejo de Bogotá, D.C.</v>
      </c>
      <c r="F573" s="221">
        <f>+'Base de Datos'!I573</f>
        <v>6717550</v>
      </c>
      <c r="G573" s="220">
        <f>+'Base de Datos'!M573</f>
        <v>43033</v>
      </c>
      <c r="H573" s="220">
        <f>+'Base de Datos'!N573</f>
        <v>43107</v>
      </c>
      <c r="I573" s="179"/>
      <c r="J573" s="360"/>
      <c r="K573" s="237"/>
      <c r="L573" s="363"/>
      <c r="M573" s="179"/>
      <c r="N573" s="360"/>
      <c r="O573" s="179"/>
      <c r="P573" s="365"/>
      <c r="Q573" s="86">
        <f t="shared" si="37"/>
        <v>0</v>
      </c>
      <c r="R573" s="284"/>
      <c r="S573" s="360"/>
      <c r="T573" s="179"/>
      <c r="U573" s="360"/>
      <c r="V573" s="179"/>
      <c r="W573" s="360"/>
      <c r="X573" s="179"/>
      <c r="Y573" s="360"/>
      <c r="Z573" s="353"/>
      <c r="AA573" s="89">
        <f t="shared" si="38"/>
        <v>0</v>
      </c>
      <c r="AB573" s="237">
        <v>6717550</v>
      </c>
      <c r="AC573" s="237"/>
      <c r="AD573" s="237"/>
      <c r="AE573" s="237"/>
      <c r="AF573" s="237"/>
      <c r="AG573" s="237"/>
      <c r="AH573" s="237"/>
      <c r="AI573" s="237"/>
      <c r="AJ573" s="237"/>
      <c r="AK573" s="237"/>
      <c r="AL573" s="237"/>
      <c r="AM573" s="237"/>
      <c r="AN573" s="237"/>
      <c r="AO573" s="237"/>
      <c r="AP573" s="237"/>
      <c r="AQ573" s="237"/>
      <c r="AR573" s="237"/>
      <c r="AS573" s="237"/>
      <c r="AT573" s="360"/>
      <c r="AU573" s="91">
        <f t="shared" si="39"/>
        <v>6717550</v>
      </c>
      <c r="AV573" s="14"/>
      <c r="AW573" s="1"/>
    </row>
    <row r="574" spans="1:49" s="57" customFormat="1" ht="22.5" hidden="1" x14ac:dyDescent="0.25">
      <c r="A574" s="59"/>
      <c r="B574" s="2" t="str">
        <f>+'Base de Datos'!E574</f>
        <v>170298-0-2017</v>
      </c>
      <c r="C574" s="2" t="str">
        <f>+'Base de Datos'!F574</f>
        <v>PUBLICACIONES SEMANA S.A.</v>
      </c>
      <c r="D574" s="2">
        <f>+'Base de Datos'!G574</f>
        <v>860509265</v>
      </c>
      <c r="E574" s="2" t="str">
        <f>+'Base de Datos'!H574</f>
        <v>Suscripción a la Revista Semana, para el Concejo de Bogotá.</v>
      </c>
      <c r="F574" s="221">
        <f>+'Base de Datos'!I574</f>
        <v>870000</v>
      </c>
      <c r="G574" s="220">
        <f>+'Base de Datos'!M574</f>
        <v>43040</v>
      </c>
      <c r="H574" s="220">
        <f>+'Base de Datos'!N574</f>
        <v>43405</v>
      </c>
      <c r="I574" s="179"/>
      <c r="J574" s="360"/>
      <c r="K574" s="237"/>
      <c r="L574" s="363"/>
      <c r="M574" s="179"/>
      <c r="N574" s="360"/>
      <c r="O574" s="179"/>
      <c r="P574" s="365"/>
      <c r="Q574" s="86">
        <f t="shared" si="37"/>
        <v>0</v>
      </c>
      <c r="R574" s="284"/>
      <c r="S574" s="360"/>
      <c r="T574" s="179"/>
      <c r="U574" s="360"/>
      <c r="V574" s="179"/>
      <c r="W574" s="360"/>
      <c r="X574" s="179"/>
      <c r="Y574" s="360"/>
      <c r="Z574" s="353"/>
      <c r="AA574" s="89">
        <f t="shared" si="38"/>
        <v>0</v>
      </c>
      <c r="AB574" s="237">
        <v>870000</v>
      </c>
      <c r="AC574" s="237"/>
      <c r="AD574" s="237"/>
      <c r="AE574" s="237"/>
      <c r="AF574" s="237"/>
      <c r="AG574" s="237"/>
      <c r="AH574" s="237"/>
      <c r="AI574" s="237"/>
      <c r="AJ574" s="237"/>
      <c r="AK574" s="237"/>
      <c r="AL574" s="237"/>
      <c r="AM574" s="237"/>
      <c r="AN574" s="237"/>
      <c r="AO574" s="237"/>
      <c r="AP574" s="237"/>
      <c r="AQ574" s="237"/>
      <c r="AR574" s="237"/>
      <c r="AS574" s="237"/>
      <c r="AT574" s="360">
        <v>43088</v>
      </c>
      <c r="AU574" s="91">
        <f t="shared" si="39"/>
        <v>870000</v>
      </c>
      <c r="AV574" s="14"/>
      <c r="AW574" s="1"/>
    </row>
    <row r="575" spans="1:49" s="57" customFormat="1" ht="56.25" hidden="1" x14ac:dyDescent="0.25">
      <c r="A575" s="59"/>
      <c r="B575" s="2" t="str">
        <f>+'Base de Datos'!E575</f>
        <v>170270-0-2017</v>
      </c>
      <c r="C575" s="2" t="str">
        <f>+'Base de Datos'!F575</f>
        <v>MANGUARE EU</v>
      </c>
      <c r="D575" s="2">
        <f>+'Base de Datos'!G575</f>
        <v>830067856</v>
      </c>
      <c r="E575" s="2" t="str">
        <f>+'Base de Datos'!H575</f>
        <v xml:space="preserve">Contratar la consultoría para los estudios,  memorias de cálculo, planos y presupuesto para la reubicación de la red de acometida de agua potable y red contra incendios, de la red eléctrica de alta tensión y botones de pánico del edificio de 6 pisos del Concejo de Bogotá.  </v>
      </c>
      <c r="F575" s="221">
        <f>+'Base de Datos'!I575</f>
        <v>40817000</v>
      </c>
      <c r="G575" s="220">
        <f>+'Base de Datos'!M575</f>
        <v>43040</v>
      </c>
      <c r="H575" s="220">
        <f>+'Base de Datos'!N575</f>
        <v>43132</v>
      </c>
      <c r="I575" s="179"/>
      <c r="J575" s="360"/>
      <c r="K575" s="237"/>
      <c r="L575" s="363"/>
      <c r="M575" s="179"/>
      <c r="N575" s="360"/>
      <c r="O575" s="179"/>
      <c r="P575" s="365"/>
      <c r="Q575" s="86">
        <f t="shared" si="37"/>
        <v>0</v>
      </c>
      <c r="R575" s="284" t="s">
        <v>381</v>
      </c>
      <c r="S575" s="360">
        <v>43160</v>
      </c>
      <c r="T575" s="179"/>
      <c r="U575" s="360"/>
      <c r="V575" s="179"/>
      <c r="W575" s="360"/>
      <c r="X575" s="179"/>
      <c r="Y575" s="360"/>
      <c r="Z575" s="353" t="s">
        <v>381</v>
      </c>
      <c r="AA575" s="89">
        <f t="shared" si="38"/>
        <v>43160</v>
      </c>
      <c r="AB575" s="237">
        <v>8613400</v>
      </c>
      <c r="AC575" s="237"/>
      <c r="AD575" s="237"/>
      <c r="AE575" s="237"/>
      <c r="AF575" s="237"/>
      <c r="AG575" s="237"/>
      <c r="AH575" s="237"/>
      <c r="AI575" s="237"/>
      <c r="AJ575" s="237"/>
      <c r="AK575" s="237"/>
      <c r="AL575" s="237"/>
      <c r="AM575" s="237"/>
      <c r="AN575" s="237"/>
      <c r="AO575" s="237"/>
      <c r="AP575" s="237"/>
      <c r="AQ575" s="237"/>
      <c r="AR575" s="237"/>
      <c r="AS575" s="237"/>
      <c r="AT575" s="360">
        <v>43059</v>
      </c>
      <c r="AU575" s="91">
        <f t="shared" si="39"/>
        <v>8613400</v>
      </c>
      <c r="AV575" s="14"/>
      <c r="AW575" s="1"/>
    </row>
    <row r="576" spans="1:49" s="57" customFormat="1" ht="56.25" hidden="1" x14ac:dyDescent="0.25">
      <c r="A576" s="59"/>
      <c r="B576" s="2" t="str">
        <f>+'Base de Datos'!E576</f>
        <v>170304-0-2017</v>
      </c>
      <c r="C576" s="2" t="str">
        <f>+'Base de Datos'!F576</f>
        <v>SOLUTION COPY LTDA</v>
      </c>
      <c r="D576" s="2">
        <f>+'Base de Datos'!G576</f>
        <v>830053669</v>
      </c>
      <c r="E576" s="2" t="str">
        <f>+'Base de Datos'!H576</f>
        <v xml:space="preserve">Contratar el servicio integral de fotocopiado y servicios afines para el Concejo de Bogotá D.C., de conformidad con lo establecido en el pliego de peticiones de la selección abreviada subasta inversa electrónica No. SDH-SIE-10-2017 y la propuesta presentada por el contratista. </v>
      </c>
      <c r="F576" s="221">
        <f>+'Base de Datos'!I576</f>
        <v>38989000</v>
      </c>
      <c r="G576" s="220">
        <f>+'Base de Datos'!M576</f>
        <v>43048</v>
      </c>
      <c r="H576" s="220">
        <f>+'Base de Datos'!N576</f>
        <v>43259</v>
      </c>
      <c r="I576" s="179"/>
      <c r="J576" s="360"/>
      <c r="K576" s="237"/>
      <c r="L576" s="363"/>
      <c r="M576" s="179"/>
      <c r="N576" s="360"/>
      <c r="O576" s="179"/>
      <c r="P576" s="365"/>
      <c r="Q576" s="86">
        <f t="shared" si="37"/>
        <v>0</v>
      </c>
      <c r="R576" s="849" t="s">
        <v>976</v>
      </c>
      <c r="S576" s="360">
        <v>43343</v>
      </c>
      <c r="T576" s="179"/>
      <c r="U576" s="360"/>
      <c r="V576" s="179"/>
      <c r="W576" s="360"/>
      <c r="X576" s="179"/>
      <c r="Y576" s="360"/>
      <c r="Z576" s="849" t="s">
        <v>976</v>
      </c>
      <c r="AA576" s="89">
        <f t="shared" si="38"/>
        <v>43343</v>
      </c>
      <c r="AB576" s="237">
        <v>1727098</v>
      </c>
      <c r="AC576" s="237">
        <v>1338500</v>
      </c>
      <c r="AD576" s="237">
        <v>1940225</v>
      </c>
      <c r="AE576" s="237">
        <v>2070446</v>
      </c>
      <c r="AF576" s="237">
        <v>1663131</v>
      </c>
      <c r="AG576" s="237">
        <v>2212512</v>
      </c>
      <c r="AH576" s="237">
        <v>1671313</v>
      </c>
      <c r="AI576" s="237">
        <v>1777333</v>
      </c>
      <c r="AJ576" s="237">
        <v>1607003</v>
      </c>
      <c r="AK576" s="237">
        <v>1823632</v>
      </c>
      <c r="AL576" s="237"/>
      <c r="AM576" s="237"/>
      <c r="AN576" s="237"/>
      <c r="AO576" s="237"/>
      <c r="AP576" s="237"/>
      <c r="AQ576" s="237"/>
      <c r="AR576" s="237"/>
      <c r="AS576" s="237"/>
      <c r="AT576" s="360">
        <v>43364</v>
      </c>
      <c r="AU576" s="91">
        <f t="shared" si="39"/>
        <v>17831193</v>
      </c>
      <c r="AV576" s="14"/>
      <c r="AW576" s="1"/>
    </row>
    <row r="577" spans="1:49" s="57" customFormat="1" ht="33.75" hidden="1" x14ac:dyDescent="0.25">
      <c r="A577" s="59"/>
      <c r="B577" s="2" t="str">
        <f>+'Base de Datos'!E577</f>
        <v>170305-0-2017</v>
      </c>
      <c r="C577" s="2" t="str">
        <f>+'Base de Datos'!F577</f>
        <v>JAVIER ANTONIO AVENDAÑO RINCON</v>
      </c>
      <c r="D577" s="2">
        <f>+'Base de Datos'!G577</f>
        <v>91156558</v>
      </c>
      <c r="E577" s="2" t="str">
        <f>+'Base de Datos'!H577</f>
        <v>Prestar los servicios para la elaboración del retrato sobre el lienzo al óleo del presidente de la mesa directiva del Concejo de Bogotá.</v>
      </c>
      <c r="F577" s="221">
        <f>+'Base de Datos'!I577</f>
        <v>7000000</v>
      </c>
      <c r="G577" s="220">
        <f>+'Base de Datos'!M577</f>
        <v>43048</v>
      </c>
      <c r="H577" s="220">
        <f>+'Base de Datos'!N577</f>
        <v>43108</v>
      </c>
      <c r="I577" s="179"/>
      <c r="J577" s="360"/>
      <c r="K577" s="237"/>
      <c r="L577" s="363"/>
      <c r="M577" s="179"/>
      <c r="N577" s="360"/>
      <c r="O577" s="179"/>
      <c r="P577" s="365"/>
      <c r="Q577" s="86">
        <f t="shared" ref="Q577:Q588" si="40">SUM(I577,K577,M577,O577)</f>
        <v>0</v>
      </c>
      <c r="R577" s="284"/>
      <c r="S577" s="360"/>
      <c r="T577" s="179"/>
      <c r="U577" s="360"/>
      <c r="V577" s="179"/>
      <c r="W577" s="360"/>
      <c r="X577" s="179"/>
      <c r="Y577" s="360"/>
      <c r="Z577" s="353"/>
      <c r="AA577" s="89">
        <f t="shared" ref="AA577:AA588" si="41">MAX(S577,U577,W577,Y577)</f>
        <v>0</v>
      </c>
      <c r="AB577" s="237">
        <v>2800000</v>
      </c>
      <c r="AC577" s="237">
        <v>4200000</v>
      </c>
      <c r="AD577" s="237"/>
      <c r="AE577" s="237"/>
      <c r="AF577" s="237"/>
      <c r="AG577" s="237"/>
      <c r="AH577" s="237"/>
      <c r="AI577" s="237"/>
      <c r="AJ577" s="237"/>
      <c r="AK577" s="237"/>
      <c r="AL577" s="237"/>
      <c r="AM577" s="237"/>
      <c r="AN577" s="237"/>
      <c r="AO577" s="237"/>
      <c r="AP577" s="237"/>
      <c r="AQ577" s="237"/>
      <c r="AR577" s="237"/>
      <c r="AS577" s="237"/>
      <c r="AT577" s="360">
        <v>43146</v>
      </c>
      <c r="AU577" s="91">
        <f t="shared" ref="AU577:AU588" si="42">SUM(AB577:AR577)</f>
        <v>7000000</v>
      </c>
      <c r="AV577" s="14"/>
      <c r="AW577" s="1"/>
    </row>
    <row r="578" spans="1:49" s="57" customFormat="1" ht="22.5" hidden="1" x14ac:dyDescent="0.25">
      <c r="A578" s="59"/>
      <c r="B578" s="2" t="str">
        <f>+'Base de Datos'!E578</f>
        <v>170309-0-2017</v>
      </c>
      <c r="C578" s="2" t="str">
        <f>+'Base de Datos'!F578</f>
        <v>BRANCH OF MICROSOFT COLOMBIA INC</v>
      </c>
      <c r="D578" s="2">
        <f>+'Base de Datos'!G578</f>
        <v>800198591</v>
      </c>
      <c r="E578" s="2" t="str">
        <f>+'Base de Datos'!H578</f>
        <v>Prestar los servicios de administración y soporte técnico para la plataforma Microsoft del Concejo de Bogotá.</v>
      </c>
      <c r="F578" s="221">
        <f>+'Base de Datos'!I578</f>
        <v>228000000</v>
      </c>
      <c r="G578" s="220">
        <f>+'Base de Datos'!M578</f>
        <v>43075</v>
      </c>
      <c r="H578" s="220">
        <f>+'Base de Datos'!N578</f>
        <v>43439</v>
      </c>
      <c r="I578" s="179"/>
      <c r="J578" s="360"/>
      <c r="K578" s="237"/>
      <c r="L578" s="363"/>
      <c r="M578" s="179"/>
      <c r="N578" s="360"/>
      <c r="O578" s="179"/>
      <c r="P578" s="365"/>
      <c r="Q578" s="86">
        <f t="shared" si="40"/>
        <v>0</v>
      </c>
      <c r="R578" s="284"/>
      <c r="S578" s="360"/>
      <c r="T578" s="179"/>
      <c r="U578" s="360"/>
      <c r="V578" s="179"/>
      <c r="W578" s="360"/>
      <c r="X578" s="179"/>
      <c r="Y578" s="360"/>
      <c r="Z578" s="353"/>
      <c r="AA578" s="89">
        <f t="shared" si="41"/>
        <v>0</v>
      </c>
      <c r="AB578" s="237">
        <v>38000000</v>
      </c>
      <c r="AC578" s="237">
        <v>38000000</v>
      </c>
      <c r="AD578" s="237">
        <v>38000000</v>
      </c>
      <c r="AE578" s="237">
        <v>38000000</v>
      </c>
      <c r="AF578" s="237">
        <v>38000000</v>
      </c>
      <c r="AG578" s="237">
        <v>38000000</v>
      </c>
      <c r="AH578" s="237"/>
      <c r="AI578" s="237"/>
      <c r="AJ578" s="237"/>
      <c r="AK578" s="237"/>
      <c r="AL578" s="237"/>
      <c r="AM578" s="237"/>
      <c r="AN578" s="237"/>
      <c r="AO578" s="237"/>
      <c r="AP578" s="237"/>
      <c r="AQ578" s="237"/>
      <c r="AR578" s="237"/>
      <c r="AS578" s="237"/>
      <c r="AT578" s="360">
        <v>43453</v>
      </c>
      <c r="AU578" s="91">
        <f t="shared" si="42"/>
        <v>228000000</v>
      </c>
      <c r="AV578" s="14"/>
      <c r="AW578" s="1"/>
    </row>
    <row r="579" spans="1:49" s="57" customFormat="1" ht="56.25" hidden="1" x14ac:dyDescent="0.25">
      <c r="A579" s="59"/>
      <c r="B579" s="2" t="str">
        <f>+'Base de Datos'!E579</f>
        <v>170311-0-2017</v>
      </c>
      <c r="C579" s="2" t="str">
        <f>+'Base de Datos'!F579</f>
        <v>INSTITUCIONAL STAR SERVICES Ltda.</v>
      </c>
      <c r="D579" s="2">
        <f>+'Base de Datos'!G579</f>
        <v>830113914</v>
      </c>
      <c r="E579" s="2" t="str">
        <f>+'Base de Datos'!H579</f>
        <v>Suministro de papelería, útiles de escritorio para el Concejo de Bogotá de conformidad con lo establecido en el pliego de condiciones de la subasta inversa electrónica  SDH-SIE-09-2017 y la propuesta presentada por el contratista.</v>
      </c>
      <c r="F579" s="221">
        <f>+'Base de Datos'!I579</f>
        <v>79741000</v>
      </c>
      <c r="G579" s="220">
        <f>+'Base de Datos'!M579</f>
        <v>43059</v>
      </c>
      <c r="H579" s="220">
        <f>+'Base de Datos'!N579</f>
        <v>43286</v>
      </c>
      <c r="I579" s="179"/>
      <c r="J579" s="360"/>
      <c r="K579" s="237"/>
      <c r="L579" s="363"/>
      <c r="M579" s="179"/>
      <c r="N579" s="360"/>
      <c r="O579" s="179"/>
      <c r="P579" s="365"/>
      <c r="Q579" s="86">
        <f t="shared" si="40"/>
        <v>0</v>
      </c>
      <c r="R579" s="284"/>
      <c r="S579" s="360"/>
      <c r="T579" s="179"/>
      <c r="U579" s="360"/>
      <c r="V579" s="179"/>
      <c r="W579" s="360"/>
      <c r="X579" s="179"/>
      <c r="Y579" s="360"/>
      <c r="Z579" s="353"/>
      <c r="AA579" s="89">
        <f t="shared" si="41"/>
        <v>0</v>
      </c>
      <c r="AB579" s="237">
        <v>14178779</v>
      </c>
      <c r="AC579" s="237">
        <v>8312278</v>
      </c>
      <c r="AD579" s="237">
        <v>3007467</v>
      </c>
      <c r="AE579" s="237">
        <v>16075982</v>
      </c>
      <c r="AF579" s="237">
        <v>38166493</v>
      </c>
      <c r="AG579" s="237"/>
      <c r="AH579" s="237"/>
      <c r="AI579" s="237"/>
      <c r="AJ579" s="237"/>
      <c r="AK579" s="237"/>
      <c r="AL579" s="237"/>
      <c r="AM579" s="237"/>
      <c r="AN579" s="237"/>
      <c r="AO579" s="237"/>
      <c r="AP579" s="237"/>
      <c r="AQ579" s="237"/>
      <c r="AR579" s="237"/>
      <c r="AS579" s="237"/>
      <c r="AT579" s="360">
        <v>43350</v>
      </c>
      <c r="AU579" s="91">
        <f t="shared" si="42"/>
        <v>79740999</v>
      </c>
      <c r="AV579" s="14"/>
      <c r="AW579" s="1"/>
    </row>
    <row r="580" spans="1:49" s="57" customFormat="1" ht="56.25" hidden="1" x14ac:dyDescent="0.25">
      <c r="A580" s="59"/>
      <c r="B580" s="2" t="str">
        <f>+'Base de Datos'!E580</f>
        <v>170320-0-2017</v>
      </c>
      <c r="C580" s="2" t="str">
        <f>+'Base de Datos'!F580</f>
        <v>UNIDAD NACIONAL DE PROTECCION - UNP</v>
      </c>
      <c r="D580" s="2">
        <f>+'Base de Datos'!G580</f>
        <v>900475780</v>
      </c>
      <c r="E580" s="2" t="str">
        <f>+'Base de Datos'!H580</f>
        <v>Aunar esfuerzos humanos, técnicos, logísticos y administrativos para garantizar el esquema de seguridad, en su componente vehículos, requerido por los Concejales del Distrito Capital, como consecuencia directa del ejercicio de sus funciones.</v>
      </c>
      <c r="F580" s="221">
        <f>+'Base de Datos'!I580</f>
        <v>2840000000</v>
      </c>
      <c r="G580" s="220">
        <f>+'Base de Datos'!M580</f>
        <v>43101</v>
      </c>
      <c r="H580" s="220">
        <f>+'Base de Datos'!N580</f>
        <v>43312</v>
      </c>
      <c r="I580" s="179"/>
      <c r="J580" s="360"/>
      <c r="K580" s="237"/>
      <c r="L580" s="363"/>
      <c r="M580" s="179"/>
      <c r="N580" s="360"/>
      <c r="O580" s="179"/>
      <c r="P580" s="365"/>
      <c r="Q580" s="86">
        <f t="shared" si="40"/>
        <v>0</v>
      </c>
      <c r="R580" s="284"/>
      <c r="S580" s="360"/>
      <c r="T580" s="179"/>
      <c r="U580" s="360"/>
      <c r="V580" s="179"/>
      <c r="W580" s="360"/>
      <c r="X580" s="179"/>
      <c r="Y580" s="360"/>
      <c r="Z580" s="353"/>
      <c r="AA580" s="89">
        <f t="shared" si="41"/>
        <v>0</v>
      </c>
      <c r="AB580" s="237">
        <v>1136000000</v>
      </c>
      <c r="AC580" s="237">
        <v>568000000</v>
      </c>
      <c r="AD580" s="237">
        <v>568000000</v>
      </c>
      <c r="AE580" s="237">
        <v>520222710</v>
      </c>
      <c r="AF580" s="237"/>
      <c r="AG580" s="237"/>
      <c r="AH580" s="237"/>
      <c r="AI580" s="237"/>
      <c r="AJ580" s="237"/>
      <c r="AK580" s="237"/>
      <c r="AL580" s="237"/>
      <c r="AM580" s="237"/>
      <c r="AN580" s="237"/>
      <c r="AO580" s="237"/>
      <c r="AP580" s="237"/>
      <c r="AQ580" s="237"/>
      <c r="AR580" s="237"/>
      <c r="AS580" s="237"/>
      <c r="AT580" s="360">
        <v>43357</v>
      </c>
      <c r="AU580" s="91">
        <f t="shared" si="42"/>
        <v>2792222710</v>
      </c>
      <c r="AV580" s="14"/>
      <c r="AW580" s="1"/>
    </row>
    <row r="581" spans="1:49" s="57" customFormat="1" ht="45" hidden="1" x14ac:dyDescent="0.25">
      <c r="A581" s="59"/>
      <c r="B581" s="2" t="str">
        <f>+'Base de Datos'!E581</f>
        <v>170316-0-2017</v>
      </c>
      <c r="C581" s="2" t="str">
        <f>+'Base de Datos'!F581</f>
        <v>INSTITUTO DISTRITAL DE PATRIMONIO CULTURAL</v>
      </c>
      <c r="D581" s="2">
        <f>+'Base de Datos'!G581</f>
        <v>860506170</v>
      </c>
      <c r="E581" s="2" t="str">
        <f>+'Base de Datos'!H581</f>
        <v>Aunar esfuerzos y recursos técnicos, humanos financieros para adelantar las actividades requeridas para la intervención del acceso principal del edificio de Concejo de Bogotá, D.C.</v>
      </c>
      <c r="F581" s="221">
        <f>+'Base de Datos'!I581</f>
        <v>191000000</v>
      </c>
      <c r="G581" s="220">
        <f>+'Base de Datos'!M581</f>
        <v>43061</v>
      </c>
      <c r="H581" s="220">
        <f>+'Base de Datos'!N581</f>
        <v>43425</v>
      </c>
      <c r="I581" s="179"/>
      <c r="J581" s="360"/>
      <c r="K581" s="237"/>
      <c r="L581" s="363"/>
      <c r="M581" s="179"/>
      <c r="N581" s="360"/>
      <c r="O581" s="179"/>
      <c r="P581" s="365"/>
      <c r="Q581" s="86">
        <f t="shared" si="40"/>
        <v>0</v>
      </c>
      <c r="R581" s="284" t="s">
        <v>1855</v>
      </c>
      <c r="S581" s="360">
        <v>43667</v>
      </c>
      <c r="T581" s="179"/>
      <c r="U581" s="360"/>
      <c r="V581" s="179"/>
      <c r="W581" s="360"/>
      <c r="X581" s="179"/>
      <c r="Y581" s="360"/>
      <c r="Z581" s="284" t="s">
        <v>1855</v>
      </c>
      <c r="AA581" s="89">
        <f t="shared" si="41"/>
        <v>43667</v>
      </c>
      <c r="AB581" s="237"/>
      <c r="AC581" s="237"/>
      <c r="AD581" s="237"/>
      <c r="AE581" s="237"/>
      <c r="AF581" s="237"/>
      <c r="AG581" s="237"/>
      <c r="AH581" s="237"/>
      <c r="AI581" s="237"/>
      <c r="AJ581" s="237"/>
      <c r="AK581" s="237"/>
      <c r="AL581" s="237"/>
      <c r="AM581" s="237"/>
      <c r="AN581" s="237"/>
      <c r="AO581" s="237"/>
      <c r="AP581" s="237"/>
      <c r="AQ581" s="237"/>
      <c r="AR581" s="237"/>
      <c r="AS581" s="237"/>
      <c r="AT581" s="360"/>
      <c r="AU581" s="91">
        <f t="shared" si="42"/>
        <v>0</v>
      </c>
      <c r="AV581" s="14"/>
      <c r="AW581" s="1"/>
    </row>
    <row r="582" spans="1:49" s="57" customFormat="1" ht="22.5" hidden="1" x14ac:dyDescent="0.25">
      <c r="A582" s="59"/>
      <c r="B582" s="2" t="str">
        <f>+'Base de Datos'!E582</f>
        <v>170314-0-2017</v>
      </c>
      <c r="C582" s="2" t="str">
        <f>+'Base de Datos'!F582</f>
        <v>EMPRESA DE TELECOMUNICACIONES DE BOGOTA S.A.   ESP</v>
      </c>
      <c r="D582" s="2">
        <f>+'Base de Datos'!G582</f>
        <v>899999115</v>
      </c>
      <c r="E582" s="2" t="str">
        <f>+'Base de Datos'!H582</f>
        <v>Proveer servicios de canales dedicados e internet y servicios complementarios para el Concejo de Bogotá.</v>
      </c>
      <c r="F582" s="221">
        <f>+'Base de Datos'!I582</f>
        <v>68129166</v>
      </c>
      <c r="G582" s="220">
        <f>+'Base de Datos'!M582</f>
        <v>43053</v>
      </c>
      <c r="H582" s="220">
        <f>+'Base de Datos'!N582</f>
        <v>43234</v>
      </c>
      <c r="I582" s="179">
        <v>22709722</v>
      </c>
      <c r="J582" s="360">
        <v>43228</v>
      </c>
      <c r="K582" s="237"/>
      <c r="L582" s="363"/>
      <c r="M582" s="179"/>
      <c r="N582" s="360"/>
      <c r="O582" s="179"/>
      <c r="P582" s="365"/>
      <c r="Q582" s="86">
        <f t="shared" si="40"/>
        <v>22709722</v>
      </c>
      <c r="R582" s="284" t="s">
        <v>378</v>
      </c>
      <c r="S582" s="360">
        <v>43294</v>
      </c>
      <c r="T582" s="179"/>
      <c r="U582" s="360"/>
      <c r="V582" s="179"/>
      <c r="W582" s="360"/>
      <c r="X582" s="179"/>
      <c r="Y582" s="360"/>
      <c r="Z582" s="353" t="s">
        <v>378</v>
      </c>
      <c r="AA582" s="89">
        <f t="shared" si="41"/>
        <v>43294</v>
      </c>
      <c r="AB582" s="237">
        <v>11354861</v>
      </c>
      <c r="AC582" s="237">
        <v>11354860</v>
      </c>
      <c r="AD582" s="237">
        <v>11354860</v>
      </c>
      <c r="AE582" s="237">
        <v>11354861</v>
      </c>
      <c r="AF582" s="237">
        <v>11354860</v>
      </c>
      <c r="AG582" s="237">
        <v>11354860</v>
      </c>
      <c r="AH582" s="237">
        <v>11354861</v>
      </c>
      <c r="AI582" s="237">
        <v>11354861</v>
      </c>
      <c r="AJ582" s="237"/>
      <c r="AK582" s="237"/>
      <c r="AL582" s="237"/>
      <c r="AM582" s="237"/>
      <c r="AN582" s="237"/>
      <c r="AO582" s="237"/>
      <c r="AP582" s="237"/>
      <c r="AQ582" s="237"/>
      <c r="AR582" s="237"/>
      <c r="AS582" s="237"/>
      <c r="AT582" s="360">
        <v>43340</v>
      </c>
      <c r="AU582" s="91">
        <f t="shared" si="42"/>
        <v>90838884</v>
      </c>
      <c r="AV582" s="14"/>
      <c r="AW582" s="1"/>
    </row>
    <row r="583" spans="1:49" s="57" customFormat="1" ht="22.5" hidden="1" x14ac:dyDescent="0.25">
      <c r="A583" s="59"/>
      <c r="B583" s="2" t="str">
        <f>+'Base de Datos'!E583</f>
        <v>170308-0-2017</v>
      </c>
      <c r="C583" s="2" t="str">
        <f>+'Base de Datos'!F583</f>
        <v>VALORACIONES EMPRESARIALES SAS</v>
      </c>
      <c r="D583" s="2" t="str">
        <f>+'Base de Datos'!G583</f>
        <v>830097305-9</v>
      </c>
      <c r="E583" s="2" t="str">
        <f>+'Base de Datos'!H583</f>
        <v>Prestar los servicios para realizar el avaluó técnico  de los bienes muebles  de propiedad del Concejo de Bogotá.</v>
      </c>
      <c r="F583" s="221">
        <f>+'Base de Datos'!I583</f>
        <v>1380207</v>
      </c>
      <c r="G583" s="220">
        <f>+'Base de Datos'!M583</f>
        <v>43060</v>
      </c>
      <c r="H583" s="220">
        <f>+'Base de Datos'!N583</f>
        <v>43089</v>
      </c>
      <c r="I583" s="179"/>
      <c r="J583" s="360"/>
      <c r="K583" s="237"/>
      <c r="L583" s="363"/>
      <c r="M583" s="179"/>
      <c r="N583" s="360"/>
      <c r="O583" s="179"/>
      <c r="P583" s="365"/>
      <c r="Q583" s="86">
        <f t="shared" si="40"/>
        <v>0</v>
      </c>
      <c r="R583" s="284"/>
      <c r="S583" s="360"/>
      <c r="T583" s="179"/>
      <c r="U583" s="360"/>
      <c r="V583" s="179"/>
      <c r="W583" s="360"/>
      <c r="X583" s="179"/>
      <c r="Y583" s="360"/>
      <c r="Z583" s="353"/>
      <c r="AA583" s="89">
        <f t="shared" si="41"/>
        <v>0</v>
      </c>
      <c r="AB583" s="237">
        <v>1380207</v>
      </c>
      <c r="AC583" s="237"/>
      <c r="AD583" s="237"/>
      <c r="AE583" s="237"/>
      <c r="AF583" s="237"/>
      <c r="AG583" s="237"/>
      <c r="AH583" s="237"/>
      <c r="AI583" s="237"/>
      <c r="AJ583" s="237"/>
      <c r="AK583" s="237"/>
      <c r="AL583" s="237"/>
      <c r="AM583" s="237"/>
      <c r="AN583" s="237"/>
      <c r="AO583" s="237"/>
      <c r="AP583" s="237"/>
      <c r="AQ583" s="237"/>
      <c r="AR583" s="237"/>
      <c r="AS583" s="237"/>
      <c r="AT583" s="360">
        <v>43136</v>
      </c>
      <c r="AU583" s="91">
        <f t="shared" si="42"/>
        <v>1380207</v>
      </c>
      <c r="AV583" s="14"/>
      <c r="AW583" s="1"/>
    </row>
    <row r="584" spans="1:49" s="57" customFormat="1" ht="33.75" hidden="1" x14ac:dyDescent="0.25">
      <c r="A584" s="59"/>
      <c r="B584" s="2" t="str">
        <f>+'Base de Datos'!E584</f>
        <v>170326-0-2017</v>
      </c>
      <c r="C584" s="2" t="str">
        <f>+'Base de Datos'!F584</f>
        <v>USA POSTAL S.A.</v>
      </c>
      <c r="D584" s="2" t="str">
        <f>+'Base de Datos'!G584</f>
        <v>830112988-3</v>
      </c>
      <c r="E584" s="2" t="str">
        <f>+'Base de Datos'!H584</f>
        <v>Prestar servicio de transporte de bienes muebles, equipos de oficina y cajas de archivo documental para el Concejo de Bogotá</v>
      </c>
      <c r="F584" s="221">
        <f>+'Base de Datos'!I584</f>
        <v>6512000</v>
      </c>
      <c r="G584" s="220">
        <f>+'Base de Datos'!M584</f>
        <v>43070</v>
      </c>
      <c r="H584" s="220">
        <f>+'Base de Datos'!N584</f>
        <v>43190</v>
      </c>
      <c r="I584" s="179"/>
      <c r="J584" s="360"/>
      <c r="K584" s="237"/>
      <c r="L584" s="363"/>
      <c r="M584" s="179"/>
      <c r="N584" s="360"/>
      <c r="O584" s="179"/>
      <c r="P584" s="365"/>
      <c r="Q584" s="86">
        <f t="shared" si="40"/>
        <v>0</v>
      </c>
      <c r="R584" s="284" t="s">
        <v>378</v>
      </c>
      <c r="S584" s="360">
        <v>43251</v>
      </c>
      <c r="T584" s="179" t="s">
        <v>381</v>
      </c>
      <c r="U584" s="360">
        <v>43281</v>
      </c>
      <c r="V584" s="179"/>
      <c r="W584" s="360"/>
      <c r="X584" s="179"/>
      <c r="Y584" s="360"/>
      <c r="Z584" s="353" t="s">
        <v>379</v>
      </c>
      <c r="AA584" s="89">
        <f t="shared" si="41"/>
        <v>43281</v>
      </c>
      <c r="AB584" s="237">
        <v>300000</v>
      </c>
      <c r="AC584" s="237">
        <v>900000</v>
      </c>
      <c r="AD584" s="237">
        <v>1500000</v>
      </c>
      <c r="AE584" s="237">
        <v>300000</v>
      </c>
      <c r="AF584" s="237"/>
      <c r="AG584" s="237"/>
      <c r="AH584" s="237"/>
      <c r="AI584" s="237"/>
      <c r="AJ584" s="237"/>
      <c r="AK584" s="237"/>
      <c r="AL584" s="237"/>
      <c r="AM584" s="237"/>
      <c r="AN584" s="237"/>
      <c r="AO584" s="237"/>
      <c r="AP584" s="237"/>
      <c r="AQ584" s="237"/>
      <c r="AR584" s="237"/>
      <c r="AS584" s="237"/>
      <c r="AT584" s="360">
        <v>43311</v>
      </c>
      <c r="AU584" s="91">
        <f t="shared" si="42"/>
        <v>3000000</v>
      </c>
      <c r="AV584" s="14"/>
      <c r="AW584" s="1"/>
    </row>
    <row r="585" spans="1:49" s="57" customFormat="1" ht="33.75" hidden="1" x14ac:dyDescent="0.25">
      <c r="A585" s="59"/>
      <c r="B585" s="2" t="str">
        <f>+'Base de Datos'!E585</f>
        <v>170331-0-2017</v>
      </c>
      <c r="C585" s="2" t="str">
        <f>+'Base de Datos'!F585</f>
        <v>POLITECNICO GRANCOLOMBIANO</v>
      </c>
      <c r="D585" s="2" t="str">
        <f>+'Base de Datos'!G585</f>
        <v>860078643-1</v>
      </c>
      <c r="E585" s="2" t="str">
        <f>+'Base de Datos'!H585</f>
        <v>Servicio integral de capacitación previsto en el Plan Institucional de Capacitación para los funcionarios del Concejo de Bogotá</v>
      </c>
      <c r="F585" s="221">
        <f>+'Base de Datos'!I585</f>
        <v>405331000</v>
      </c>
      <c r="G585" s="220">
        <f>+'Base de Datos'!M585</f>
        <v>43070</v>
      </c>
      <c r="H585" s="220">
        <f>+'Base de Datos'!N585</f>
        <v>43312</v>
      </c>
      <c r="I585" s="179"/>
      <c r="J585" s="360"/>
      <c r="K585" s="237"/>
      <c r="L585" s="363"/>
      <c r="M585" s="179"/>
      <c r="N585" s="360"/>
      <c r="O585" s="179"/>
      <c r="P585" s="365"/>
      <c r="Q585" s="86">
        <f t="shared" si="40"/>
        <v>0</v>
      </c>
      <c r="R585" s="284" t="s">
        <v>379</v>
      </c>
      <c r="S585" s="360">
        <v>43404</v>
      </c>
      <c r="T585" s="179"/>
      <c r="U585" s="360"/>
      <c r="V585" s="179"/>
      <c r="W585" s="360"/>
      <c r="X585" s="179"/>
      <c r="Y585" s="360"/>
      <c r="Z585" s="353" t="s">
        <v>379</v>
      </c>
      <c r="AA585" s="89">
        <f t="shared" si="41"/>
        <v>43404</v>
      </c>
      <c r="AB585" s="237">
        <v>60950000</v>
      </c>
      <c r="AC585" s="237">
        <v>15640000</v>
      </c>
      <c r="AD585" s="237">
        <v>77740000</v>
      </c>
      <c r="AE585" s="237">
        <v>78046000</v>
      </c>
      <c r="AF585" s="237"/>
      <c r="AG585" s="237"/>
      <c r="AH585" s="237"/>
      <c r="AI585" s="237"/>
      <c r="AJ585" s="237"/>
      <c r="AK585" s="237"/>
      <c r="AL585" s="237"/>
      <c r="AM585" s="237"/>
      <c r="AN585" s="237"/>
      <c r="AO585" s="237"/>
      <c r="AP585" s="237"/>
      <c r="AQ585" s="237"/>
      <c r="AR585" s="237"/>
      <c r="AS585" s="237"/>
      <c r="AT585" s="360">
        <v>43451</v>
      </c>
      <c r="AU585" s="91">
        <f t="shared" si="42"/>
        <v>232376000</v>
      </c>
      <c r="AV585" s="14"/>
      <c r="AW585" s="1"/>
    </row>
    <row r="586" spans="1:49" s="57" customFormat="1" ht="22.5" hidden="1" x14ac:dyDescent="0.25">
      <c r="A586" s="59"/>
      <c r="B586" s="2" t="str">
        <f>+'Base de Datos'!E586</f>
        <v>170337-0-2017</v>
      </c>
      <c r="C586" s="2" t="str">
        <f>+'Base de Datos'!F586</f>
        <v xml:space="preserve">DELL COLOMBIA INC </v>
      </c>
      <c r="D586" s="2" t="str">
        <f>+'Base de Datos'!G586</f>
        <v>830035246-7</v>
      </c>
      <c r="E586" s="2" t="str">
        <f>+'Base de Datos'!H586</f>
        <v>Proveer el licenciamiento de correo electrónico del Concejo de Bogotá D.C.</v>
      </c>
      <c r="F586" s="221">
        <f>+'Base de Datos'!I586</f>
        <v>242533577</v>
      </c>
      <c r="G586" s="220">
        <f>+'Base de Datos'!M586</f>
        <v>43068</v>
      </c>
      <c r="H586" s="220">
        <f>+'Base de Datos'!N586</f>
        <v>43082</v>
      </c>
      <c r="I586" s="179"/>
      <c r="J586" s="360"/>
      <c r="K586" s="237"/>
      <c r="L586" s="363"/>
      <c r="M586" s="179"/>
      <c r="N586" s="360"/>
      <c r="O586" s="179"/>
      <c r="P586" s="365"/>
      <c r="Q586" s="86">
        <f t="shared" si="40"/>
        <v>0</v>
      </c>
      <c r="R586" s="284"/>
      <c r="S586" s="360"/>
      <c r="T586" s="179"/>
      <c r="U586" s="360"/>
      <c r="V586" s="179"/>
      <c r="W586" s="360"/>
      <c r="X586" s="179"/>
      <c r="Y586" s="360"/>
      <c r="Z586" s="353"/>
      <c r="AA586" s="89">
        <f t="shared" si="41"/>
        <v>0</v>
      </c>
      <c r="AB586" s="237">
        <v>242531342</v>
      </c>
      <c r="AC586" s="237"/>
      <c r="AD586" s="237"/>
      <c r="AE586" s="237"/>
      <c r="AF586" s="237"/>
      <c r="AG586" s="237"/>
      <c r="AH586" s="237"/>
      <c r="AI586" s="237"/>
      <c r="AJ586" s="237"/>
      <c r="AK586" s="237"/>
      <c r="AL586" s="237"/>
      <c r="AM586" s="237"/>
      <c r="AN586" s="237"/>
      <c r="AO586" s="237"/>
      <c r="AP586" s="237"/>
      <c r="AQ586" s="237"/>
      <c r="AR586" s="237"/>
      <c r="AS586" s="237"/>
      <c r="AT586" s="360">
        <v>43158</v>
      </c>
      <c r="AU586" s="91">
        <f t="shared" si="42"/>
        <v>242531342</v>
      </c>
      <c r="AV586" s="14"/>
      <c r="AW586" s="1"/>
    </row>
    <row r="587" spans="1:49" s="57" customFormat="1" ht="33.75" hidden="1" x14ac:dyDescent="0.25">
      <c r="A587" s="59"/>
      <c r="B587" s="2" t="str">
        <f>+'Base de Datos'!E587</f>
        <v>170334-0-2017</v>
      </c>
      <c r="C587" s="2" t="str">
        <f>+'Base de Datos'!F587</f>
        <v>SGS COLOMBIA SAS</v>
      </c>
      <c r="D587" s="2" t="str">
        <f>+'Base de Datos'!G587</f>
        <v>860049921-0</v>
      </c>
      <c r="E587" s="2" t="str">
        <f>+'Base de Datos'!H587</f>
        <v>Servicio integral de capacitación previsto en el Plan Institucional de Capacitación para los funcionarios del Concejo de Bogotá.</v>
      </c>
      <c r="F587" s="221">
        <f>+'Base de Datos'!I587</f>
        <v>102161000</v>
      </c>
      <c r="G587" s="220">
        <f>+'Base de Datos'!M587</f>
        <v>43080</v>
      </c>
      <c r="H587" s="220">
        <f>+'Base de Datos'!N587</f>
        <v>43322</v>
      </c>
      <c r="I587" s="179"/>
      <c r="J587" s="360"/>
      <c r="K587" s="237"/>
      <c r="L587" s="363"/>
      <c r="M587" s="179"/>
      <c r="N587" s="360"/>
      <c r="O587" s="179"/>
      <c r="P587" s="365"/>
      <c r="Q587" s="86">
        <f t="shared" si="40"/>
        <v>0</v>
      </c>
      <c r="R587" s="284" t="s">
        <v>379</v>
      </c>
      <c r="S587" s="360">
        <v>43414</v>
      </c>
      <c r="T587" s="179"/>
      <c r="U587" s="360"/>
      <c r="V587" s="179"/>
      <c r="W587" s="360"/>
      <c r="X587" s="179"/>
      <c r="Y587" s="360"/>
      <c r="Z587" s="353" t="s">
        <v>379</v>
      </c>
      <c r="AA587" s="89">
        <f t="shared" si="41"/>
        <v>43414</v>
      </c>
      <c r="AB587" s="237">
        <v>26958260</v>
      </c>
      <c r="AC587" s="237">
        <v>29805930</v>
      </c>
      <c r="AD587" s="237"/>
      <c r="AE587" s="237"/>
      <c r="AF587" s="237"/>
      <c r="AG587" s="237"/>
      <c r="AH587" s="237"/>
      <c r="AI587" s="237"/>
      <c r="AJ587" s="237"/>
      <c r="AK587" s="237"/>
      <c r="AL587" s="237"/>
      <c r="AM587" s="237"/>
      <c r="AN587" s="237"/>
      <c r="AO587" s="237"/>
      <c r="AP587" s="237"/>
      <c r="AQ587" s="237"/>
      <c r="AR587" s="237"/>
      <c r="AS587" s="237"/>
      <c r="AT587" s="360">
        <v>43451</v>
      </c>
      <c r="AU587" s="91">
        <f t="shared" si="42"/>
        <v>56764190</v>
      </c>
      <c r="AV587" s="14"/>
      <c r="AW587" s="1"/>
    </row>
    <row r="588" spans="1:49" s="57" customFormat="1" ht="21" hidden="1" customHeight="1" x14ac:dyDescent="0.25">
      <c r="A588" s="59"/>
      <c r="B588" s="2" t="str">
        <f>+'Base de Datos'!E588</f>
        <v>170333-0-2017</v>
      </c>
      <c r="C588" s="2" t="str">
        <f>+'Base de Datos'!F588</f>
        <v>UNION TEMPORAL INGECOM</v>
      </c>
      <c r="D588" s="2">
        <f>+'Base de Datos'!G588</f>
        <v>901132826</v>
      </c>
      <c r="E588" s="2" t="str">
        <f>+'Base de Datos'!H588</f>
        <v>Prestar los servicios de mantenimiento preventivo y correctivo de elementos que soportan la infraestructura tecnológica del centro de cómputo y centros de cableado del Concjeo de Bogotá.</v>
      </c>
      <c r="F588" s="221">
        <f>+'Base de Datos'!I588</f>
        <v>120149000</v>
      </c>
      <c r="G588" s="220">
        <f>+'Base de Datos'!M588</f>
        <v>43083</v>
      </c>
      <c r="H588" s="220">
        <f>+'Base de Datos'!N588</f>
        <v>43447</v>
      </c>
      <c r="I588" s="179">
        <v>30037250</v>
      </c>
      <c r="J588" s="360">
        <v>43446</v>
      </c>
      <c r="K588" s="237"/>
      <c r="L588" s="363"/>
      <c r="M588" s="179"/>
      <c r="N588" s="360"/>
      <c r="O588" s="179"/>
      <c r="P588" s="365"/>
      <c r="Q588" s="86">
        <f t="shared" si="40"/>
        <v>30037250</v>
      </c>
      <c r="R588" s="284" t="s">
        <v>379</v>
      </c>
      <c r="S588" s="360">
        <v>43537</v>
      </c>
      <c r="T588" s="179"/>
      <c r="U588" s="360"/>
      <c r="V588" s="179"/>
      <c r="W588" s="360"/>
      <c r="X588" s="179"/>
      <c r="Y588" s="360"/>
      <c r="Z588" s="353" t="s">
        <v>379</v>
      </c>
      <c r="AA588" s="89">
        <f t="shared" si="41"/>
        <v>43537</v>
      </c>
      <c r="AB588" s="237">
        <v>32563747</v>
      </c>
      <c r="AC588" s="237">
        <v>32563747</v>
      </c>
      <c r="AD588" s="237">
        <v>32563747</v>
      </c>
      <c r="AE588" s="237">
        <v>2943822</v>
      </c>
      <c r="AF588" s="237">
        <v>30037250</v>
      </c>
      <c r="AG588" s="237"/>
      <c r="AH588" s="237"/>
      <c r="AI588" s="237"/>
      <c r="AJ588" s="237"/>
      <c r="AK588" s="237"/>
      <c r="AL588" s="237"/>
      <c r="AM588" s="237"/>
      <c r="AN588" s="237"/>
      <c r="AO588" s="237"/>
      <c r="AP588" s="237"/>
      <c r="AQ588" s="237"/>
      <c r="AR588" s="237"/>
      <c r="AS588" s="237"/>
      <c r="AT588" s="360">
        <v>43550</v>
      </c>
      <c r="AU588" s="91">
        <f t="shared" si="42"/>
        <v>130672313</v>
      </c>
      <c r="AV588" s="14"/>
      <c r="AW588" s="1"/>
    </row>
    <row r="589" spans="1:49" ht="33.75" hidden="1" x14ac:dyDescent="0.25">
      <c r="B589" s="2" t="str">
        <f>+'Base de Datos'!E589</f>
        <v>170345-0-2017</v>
      </c>
      <c r="C589" s="2" t="str">
        <f>+'Base de Datos'!F589</f>
        <v>GRUPO EMPRESARIAL SOLUCIONES CUATRO EN UNO SAS</v>
      </c>
      <c r="D589" s="2">
        <f>+'Base de Datos'!G589</f>
        <v>900280686</v>
      </c>
      <c r="E589" s="2" t="str">
        <f>+'Base de Datos'!H589</f>
        <v>Prestar los servicios de mantenimiento preventivo, correctivo y soporte técnico especilaizado para el sistema biométrico del Concejo de Bogotá.</v>
      </c>
      <c r="F589" s="221">
        <f>+'Base de Datos'!I589</f>
        <v>11637012</v>
      </c>
      <c r="G589" s="220">
        <f>+'Base de Datos'!M589</f>
        <v>43096</v>
      </c>
      <c r="H589" s="220">
        <f>+'Base de Datos'!N589</f>
        <v>43369</v>
      </c>
      <c r="I589" s="179"/>
      <c r="J589" s="360"/>
      <c r="K589" s="237"/>
      <c r="L589" s="363"/>
      <c r="M589" s="179"/>
      <c r="N589" s="360"/>
      <c r="O589" s="179"/>
      <c r="P589" s="365"/>
      <c r="Q589" s="86">
        <f t="shared" ref="Q589:Q601" si="43">SUM(I589,K589,M589,O589)</f>
        <v>0</v>
      </c>
      <c r="R589" s="284"/>
      <c r="S589" s="360"/>
      <c r="T589" s="179"/>
      <c r="U589" s="360"/>
      <c r="V589" s="179"/>
      <c r="W589" s="360"/>
      <c r="X589" s="179"/>
      <c r="Y589" s="360"/>
      <c r="Z589" s="353"/>
      <c r="AA589" s="89">
        <f t="shared" ref="AA589:AA601" si="44">MAX(S589,U589,W589,Y589)</f>
        <v>0</v>
      </c>
      <c r="AB589" s="237">
        <v>3488701</v>
      </c>
      <c r="AC589" s="237">
        <v>6864623</v>
      </c>
      <c r="AD589" s="237">
        <v>1283688</v>
      </c>
      <c r="AE589" s="237"/>
      <c r="AF589" s="237"/>
      <c r="AG589" s="237"/>
      <c r="AH589" s="237"/>
      <c r="AI589" s="237"/>
      <c r="AJ589" s="237"/>
      <c r="AK589" s="237"/>
      <c r="AL589" s="237"/>
      <c r="AM589" s="237"/>
      <c r="AN589" s="237"/>
      <c r="AO589" s="237"/>
      <c r="AP589" s="237"/>
      <c r="AQ589" s="237"/>
      <c r="AR589" s="237"/>
      <c r="AS589" s="237"/>
      <c r="AT589" s="360">
        <v>43455</v>
      </c>
      <c r="AU589" s="91">
        <f t="shared" ref="AU589:AU601" si="45">SUM(AB589:AR589)</f>
        <v>11637012</v>
      </c>
    </row>
    <row r="590" spans="1:49" ht="33.75" hidden="1" x14ac:dyDescent="0.25">
      <c r="B590" s="2" t="str">
        <f>+'Base de Datos'!E590</f>
        <v>170344-0-2017</v>
      </c>
      <c r="C590" s="2" t="str">
        <f>+'Base de Datos'!F590</f>
        <v>PROFESSIONAL ENGINEERING INSPECTIONS SAS</v>
      </c>
      <c r="D590" s="2">
        <f>+'Base de Datos'!G590</f>
        <v>900908055</v>
      </c>
      <c r="E590" s="2" t="str">
        <f>+'Base de Datos'!H590</f>
        <v>Realizar la inspección a los ascensores de las instalaciones del Concejo de Bogotá, de conformidad con lo establecido en el acuerdo distrital 470 de 2011.</v>
      </c>
      <c r="F590" s="221">
        <f>+'Base de Datos'!I590</f>
        <v>571200</v>
      </c>
      <c r="G590" s="220">
        <f>+'Base de Datos'!M590</f>
        <v>43088</v>
      </c>
      <c r="H590" s="220">
        <f>+'Base de Datos'!N590</f>
        <v>43269</v>
      </c>
      <c r="I590" s="179"/>
      <c r="J590" s="360"/>
      <c r="K590" s="237"/>
      <c r="L590" s="363"/>
      <c r="M590" s="179"/>
      <c r="N590" s="360"/>
      <c r="O590" s="179"/>
      <c r="P590" s="365"/>
      <c r="Q590" s="86">
        <f t="shared" si="43"/>
        <v>0</v>
      </c>
      <c r="R590" s="284"/>
      <c r="S590" s="360"/>
      <c r="T590" s="179"/>
      <c r="U590" s="360"/>
      <c r="V590" s="179"/>
      <c r="W590" s="360"/>
      <c r="X590" s="179"/>
      <c r="Y590" s="360"/>
      <c r="Z590" s="353"/>
      <c r="AA590" s="89">
        <f t="shared" si="44"/>
        <v>0</v>
      </c>
      <c r="AB590" s="237"/>
      <c r="AC590" s="237"/>
      <c r="AD590" s="237"/>
      <c r="AE590" s="237"/>
      <c r="AF590" s="237"/>
      <c r="AG590" s="237"/>
      <c r="AH590" s="237"/>
      <c r="AI590" s="237"/>
      <c r="AJ590" s="237"/>
      <c r="AK590" s="237"/>
      <c r="AL590" s="237"/>
      <c r="AM590" s="237"/>
      <c r="AN590" s="237"/>
      <c r="AO590" s="237"/>
      <c r="AP590" s="237"/>
      <c r="AQ590" s="237"/>
      <c r="AR590" s="237"/>
      <c r="AS590" s="237"/>
      <c r="AT590" s="360"/>
      <c r="AU590" s="91">
        <f t="shared" si="45"/>
        <v>0</v>
      </c>
    </row>
    <row r="591" spans="1:49" ht="45" hidden="1" x14ac:dyDescent="0.25">
      <c r="B591" s="2" t="str">
        <f>+'Base de Datos'!E591</f>
        <v>170329-0-2017</v>
      </c>
      <c r="C591" s="2" t="str">
        <f>+'Base de Datos'!F591</f>
        <v>CARLOS ALBERTO CASTELLANOS MEDINA</v>
      </c>
      <c r="D591" s="2">
        <f>+'Base de Datos'!G591</f>
        <v>79797614</v>
      </c>
      <c r="E591" s="2" t="str">
        <f>+'Base de Datos'!H591</f>
        <v>Prestar el soporte y actualización del software de gestión - Winisis para el Concejo de Bogotá, de conformidad con lo establecido en la invitación pública del proceso citado en el asunto y la propuesta por usted presentada.</v>
      </c>
      <c r="F591" s="221">
        <f>+'Base de Datos'!I591</f>
        <v>12500004</v>
      </c>
      <c r="G591" s="220">
        <f>+'Base de Datos'!M591</f>
        <v>43096</v>
      </c>
      <c r="H591" s="220">
        <f>+'Base de Datos'!N591</f>
        <v>43460</v>
      </c>
      <c r="I591" s="179">
        <v>3125001</v>
      </c>
      <c r="J591" s="360">
        <v>43460</v>
      </c>
      <c r="K591" s="237"/>
      <c r="L591" s="363"/>
      <c r="M591" s="179"/>
      <c r="N591" s="360"/>
      <c r="O591" s="179"/>
      <c r="P591" s="365"/>
      <c r="Q591" s="86">
        <f t="shared" si="43"/>
        <v>3125001</v>
      </c>
      <c r="R591" s="284" t="s">
        <v>379</v>
      </c>
      <c r="S591" s="360">
        <v>43550</v>
      </c>
      <c r="T591" s="179"/>
      <c r="U591" s="360"/>
      <c r="V591" s="179"/>
      <c r="W591" s="360"/>
      <c r="X591" s="179"/>
      <c r="Y591" s="360"/>
      <c r="Z591" s="353" t="s">
        <v>379</v>
      </c>
      <c r="AA591" s="89">
        <f t="shared" si="44"/>
        <v>43550</v>
      </c>
      <c r="AB591" s="237">
        <v>1041667</v>
      </c>
      <c r="AC591" s="237">
        <v>1041667</v>
      </c>
      <c r="AD591" s="237">
        <v>1041667</v>
      </c>
      <c r="AE591" s="237">
        <v>1041667</v>
      </c>
      <c r="AF591" s="237">
        <v>1041667</v>
      </c>
      <c r="AG591" s="237">
        <v>1041667</v>
      </c>
      <c r="AH591" s="237">
        <v>1041667</v>
      </c>
      <c r="AI591" s="237">
        <v>1041667</v>
      </c>
      <c r="AJ591" s="237">
        <v>1041667</v>
      </c>
      <c r="AK591" s="237">
        <v>1041667</v>
      </c>
      <c r="AL591" s="237">
        <v>1041667</v>
      </c>
      <c r="AM591" s="237">
        <v>1041667</v>
      </c>
      <c r="AN591" s="237">
        <v>1041667</v>
      </c>
      <c r="AO591" s="237">
        <v>1041667</v>
      </c>
      <c r="AP591" s="237">
        <v>1041667</v>
      </c>
      <c r="AQ591" s="237"/>
      <c r="AR591" s="237"/>
      <c r="AS591" s="237"/>
      <c r="AT591" s="360">
        <v>43585</v>
      </c>
      <c r="AU591" s="91">
        <f t="shared" si="45"/>
        <v>15625005</v>
      </c>
    </row>
    <row r="592" spans="1:49" ht="22.5" hidden="1" x14ac:dyDescent="0.25">
      <c r="B592" s="2" t="str">
        <f>+'Base de Datos'!E592</f>
        <v>170346-0-2017</v>
      </c>
      <c r="C592" s="2" t="str">
        <f>+'Base de Datos'!F592</f>
        <v>SOLUCIONES H &amp; S SAS</v>
      </c>
      <c r="D592" s="2">
        <f>+'Base de Datos'!G592</f>
        <v>900699012</v>
      </c>
      <c r="E592" s="2" t="str">
        <f>+'Base de Datos'!H592</f>
        <v>Prestar el servicio de alquiler, instalación y desmonte de la decoración navideña para el Concejo de Bogotá D.C.</v>
      </c>
      <c r="F592" s="221">
        <f>+'Base de Datos'!I592</f>
        <v>16300000</v>
      </c>
      <c r="G592" s="220">
        <f>+'Base de Datos'!M592</f>
        <v>43091</v>
      </c>
      <c r="H592" s="220">
        <f>+'Base de Datos'!N592</f>
        <v>43152</v>
      </c>
      <c r="I592" s="179"/>
      <c r="J592" s="360"/>
      <c r="K592" s="237"/>
      <c r="L592" s="363"/>
      <c r="M592" s="179"/>
      <c r="N592" s="360"/>
      <c r="O592" s="179"/>
      <c r="P592" s="365"/>
      <c r="Q592" s="86">
        <f t="shared" si="43"/>
        <v>0</v>
      </c>
      <c r="R592" s="284"/>
      <c r="S592" s="360"/>
      <c r="T592" s="179"/>
      <c r="U592" s="360"/>
      <c r="V592" s="179"/>
      <c r="W592" s="360"/>
      <c r="X592" s="179"/>
      <c r="Y592" s="360"/>
      <c r="Z592" s="353"/>
      <c r="AA592" s="89">
        <f t="shared" si="44"/>
        <v>0</v>
      </c>
      <c r="AB592" s="237"/>
      <c r="AC592" s="237">
        <v>16300000</v>
      </c>
      <c r="AD592" s="237"/>
      <c r="AE592" s="237"/>
      <c r="AF592" s="237"/>
      <c r="AG592" s="237"/>
      <c r="AH592" s="237"/>
      <c r="AI592" s="237"/>
      <c r="AJ592" s="237"/>
      <c r="AK592" s="237"/>
      <c r="AL592" s="237"/>
      <c r="AM592" s="237"/>
      <c r="AN592" s="237"/>
      <c r="AO592" s="237"/>
      <c r="AP592" s="237"/>
      <c r="AQ592" s="237"/>
      <c r="AR592" s="237"/>
      <c r="AS592" s="237"/>
      <c r="AT592" s="360">
        <v>43124</v>
      </c>
      <c r="AU592" s="91">
        <f t="shared" si="45"/>
        <v>16300000</v>
      </c>
    </row>
    <row r="593" spans="2:47" ht="22.5" hidden="1" x14ac:dyDescent="0.25">
      <c r="B593" s="2" t="str">
        <f>+'Base de Datos'!E593</f>
        <v>170347-0-2017</v>
      </c>
      <c r="C593" s="2" t="str">
        <f>+'Base de Datos'!F593</f>
        <v>ALMACNES ÉXITO SA</v>
      </c>
      <c r="D593" s="2">
        <f>+'Base de Datos'!G593</f>
        <v>890900608</v>
      </c>
      <c r="E593" s="2" t="str">
        <f>+'Base de Datos'!H593</f>
        <v>Proveer bonos navideños para los hujis de los funcionarios del Concejo de Bogotá.</v>
      </c>
      <c r="F593" s="221">
        <f>+'Base de Datos'!I593</f>
        <v>35410320</v>
      </c>
      <c r="G593" s="220">
        <f>+'Base de Datos'!M593</f>
        <v>43091</v>
      </c>
      <c r="H593" s="220">
        <f>+'Base de Datos'!N593</f>
        <v>43211</v>
      </c>
      <c r="I593" s="179"/>
      <c r="J593" s="360"/>
      <c r="K593" s="237"/>
      <c r="L593" s="363"/>
      <c r="M593" s="179"/>
      <c r="N593" s="360"/>
      <c r="O593" s="179"/>
      <c r="P593" s="365"/>
      <c r="Q593" s="86">
        <f t="shared" si="43"/>
        <v>0</v>
      </c>
      <c r="R593" s="284"/>
      <c r="S593" s="360"/>
      <c r="T593" s="179"/>
      <c r="U593" s="360"/>
      <c r="V593" s="179"/>
      <c r="W593" s="360"/>
      <c r="X593" s="179"/>
      <c r="Y593" s="360"/>
      <c r="Z593" s="353"/>
      <c r="AA593" s="89">
        <f t="shared" si="44"/>
        <v>0</v>
      </c>
      <c r="AB593" s="237">
        <v>30535881</v>
      </c>
      <c r="AC593" s="237"/>
      <c r="AD593" s="237"/>
      <c r="AE593" s="237"/>
      <c r="AF593" s="237"/>
      <c r="AG593" s="237"/>
      <c r="AH593" s="237"/>
      <c r="AI593" s="237">
        <v>590172</v>
      </c>
      <c r="AJ593" s="237"/>
      <c r="AK593" s="237"/>
      <c r="AL593" s="237"/>
      <c r="AM593" s="237"/>
      <c r="AN593" s="237"/>
      <c r="AO593" s="237"/>
      <c r="AP593" s="237"/>
      <c r="AQ593" s="237"/>
      <c r="AR593" s="237"/>
      <c r="AS593" s="237"/>
      <c r="AT593" s="360">
        <v>43231</v>
      </c>
      <c r="AU593" s="91">
        <f t="shared" si="45"/>
        <v>31126053</v>
      </c>
    </row>
    <row r="594" spans="2:47" ht="56.25" hidden="1" x14ac:dyDescent="0.25">
      <c r="B594" s="2" t="str">
        <f>+'Base de Datos'!E594</f>
        <v>170357-0-2017</v>
      </c>
      <c r="C594" s="2" t="str">
        <f>+'Base de Datos'!F594</f>
        <v>UNION TEMPORAL LA PREVISORA SA</v>
      </c>
      <c r="D594" s="2" t="str">
        <f>+'Base de Datos'!G594</f>
        <v>901140271-8</v>
      </c>
      <c r="E594" s="2" t="str">
        <f>+'Base de Datos'!H594</f>
        <v>Contar con el seguro de vida para los Concejales de Bogotá, D.C., de conformidad con lo establecido en el pliego de condiciones de la selección Abreviada No. SDH-SAMC-12-2017 y la propuesta presentada por el contratista.</v>
      </c>
      <c r="F594" s="221">
        <f>+'Base de Datos'!I594</f>
        <v>165980000</v>
      </c>
      <c r="G594" s="220">
        <f>+'Base de Datos'!M594</f>
        <v>43092</v>
      </c>
      <c r="H594" s="220">
        <f>+'Base de Datos'!N594</f>
        <v>43402</v>
      </c>
      <c r="I594" s="179"/>
      <c r="J594" s="360"/>
      <c r="K594" s="237"/>
      <c r="L594" s="363"/>
      <c r="M594" s="179"/>
      <c r="N594" s="360"/>
      <c r="O594" s="179"/>
      <c r="P594" s="365"/>
      <c r="Q594" s="86">
        <f t="shared" si="43"/>
        <v>0</v>
      </c>
      <c r="R594" s="284"/>
      <c r="S594" s="360"/>
      <c r="T594" s="179"/>
      <c r="U594" s="360"/>
      <c r="V594" s="179"/>
      <c r="W594" s="360"/>
      <c r="X594" s="179"/>
      <c r="Y594" s="360"/>
      <c r="Z594" s="353"/>
      <c r="AA594" s="89">
        <f t="shared" si="44"/>
        <v>0</v>
      </c>
      <c r="AB594" s="237">
        <v>162615666</v>
      </c>
      <c r="AC594" s="237"/>
      <c r="AD594" s="237"/>
      <c r="AE594" s="237"/>
      <c r="AF594" s="237"/>
      <c r="AG594" s="237"/>
      <c r="AH594" s="237"/>
      <c r="AI594" s="237"/>
      <c r="AJ594" s="237"/>
      <c r="AK594" s="237"/>
      <c r="AL594" s="237"/>
      <c r="AM594" s="237"/>
      <c r="AN594" s="237"/>
      <c r="AO594" s="237"/>
      <c r="AP594" s="237"/>
      <c r="AQ594" s="237"/>
      <c r="AR594" s="237"/>
      <c r="AS594" s="237"/>
      <c r="AT594" s="360">
        <v>43119</v>
      </c>
      <c r="AU594" s="91">
        <f t="shared" si="45"/>
        <v>162615666</v>
      </c>
    </row>
    <row r="595" spans="2:47" ht="33.75" hidden="1" x14ac:dyDescent="0.25">
      <c r="B595" s="2" t="str">
        <f>+'Base de Datos'!E595</f>
        <v>170353-0-2017</v>
      </c>
      <c r="C595" s="2" t="str">
        <f>+'Base de Datos'!F595</f>
        <v>AUTOMOTORES COMAGRO SA</v>
      </c>
      <c r="D595" s="2">
        <f>+'Base de Datos'!G595</f>
        <v>830006901</v>
      </c>
      <c r="E595" s="2" t="str">
        <f>+'Base de Datos'!H595</f>
        <v>Adquirir a título de compraventa, dos (2) vehículos tipo camioneta, destinadas al parque automotor del Concejo de Bogotá D.C.</v>
      </c>
      <c r="F595" s="221">
        <f>+'Base de Datos'!I595</f>
        <v>219937796</v>
      </c>
      <c r="G595" s="220">
        <f>+'Base de Datos'!M595</f>
        <v>43089</v>
      </c>
      <c r="H595" s="220">
        <f>+'Base de Datos'!N595</f>
        <v>43144</v>
      </c>
      <c r="I595" s="179"/>
      <c r="J595" s="360"/>
      <c r="K595" s="237"/>
      <c r="L595" s="363"/>
      <c r="M595" s="179"/>
      <c r="N595" s="360"/>
      <c r="O595" s="179"/>
      <c r="P595" s="365"/>
      <c r="Q595" s="86">
        <f t="shared" si="43"/>
        <v>0</v>
      </c>
      <c r="R595" s="284"/>
      <c r="S595" s="360"/>
      <c r="T595" s="179"/>
      <c r="U595" s="360"/>
      <c r="V595" s="179"/>
      <c r="W595" s="360"/>
      <c r="X595" s="179"/>
      <c r="Y595" s="360"/>
      <c r="Z595" s="353"/>
      <c r="AA595" s="89">
        <f t="shared" si="44"/>
        <v>0</v>
      </c>
      <c r="AB595" s="237">
        <v>219785882</v>
      </c>
      <c r="AC595" s="237"/>
      <c r="AD595" s="237"/>
      <c r="AE595" s="237"/>
      <c r="AF595" s="237"/>
      <c r="AG595" s="237"/>
      <c r="AH595" s="237"/>
      <c r="AI595" s="237"/>
      <c r="AJ595" s="237"/>
      <c r="AK595" s="237"/>
      <c r="AL595" s="237"/>
      <c r="AM595" s="237"/>
      <c r="AN595" s="237"/>
      <c r="AO595" s="237"/>
      <c r="AP595" s="237"/>
      <c r="AQ595" s="237"/>
      <c r="AR595" s="237"/>
      <c r="AS595" s="237"/>
      <c r="AT595" s="360">
        <v>43199</v>
      </c>
      <c r="AU595" s="91">
        <f t="shared" si="45"/>
        <v>219785882</v>
      </c>
    </row>
    <row r="596" spans="2:47" ht="112.5" hidden="1" x14ac:dyDescent="0.25">
      <c r="B596" s="2" t="str">
        <f>+'Base de Datos'!E596</f>
        <v>170358-0-2017</v>
      </c>
      <c r="C596" s="2" t="str">
        <f>+'Base de Datos'!F596</f>
        <v xml:space="preserve">AXA COLPATRIA SEGUROS S. A. </v>
      </c>
      <c r="D596" s="2">
        <f>+'Base de Datos'!G596</f>
        <v>901140878</v>
      </c>
      <c r="E596" s="2" t="str">
        <f>+'Base de Datos'!H596</f>
        <v xml:space="preserve">Contratar los seguros que amparen los intereses patrimoniales actuales y futuros, así como los bienes de propiedad del Concjeo de Bogotá D.C., que esten bajo su responsabilidad y custodia y aquellos que sean adquiridos para desarrollar las funciones inherentes a su actividad, y cualquier otra póliza de seguros que requiera la entidad en el desarrollo de su actividad, de conformidad con lo establecido en el pliego de condiciones de la selección abreviada de menor cuantía N. SDH-SAMC-12-2017 y la propuesta presentada por el contratista. </v>
      </c>
      <c r="F596" s="221">
        <f>+'Base de Datos'!I596</f>
        <v>147000000</v>
      </c>
      <c r="G596" s="220">
        <f>+'Base de Datos'!M596</f>
        <v>43092</v>
      </c>
      <c r="H596" s="220">
        <f>+'Base de Datos'!N596</f>
        <v>43356</v>
      </c>
      <c r="I596" s="179">
        <v>2639250</v>
      </c>
      <c r="J596" s="360">
        <v>43312</v>
      </c>
      <c r="K596" s="237">
        <v>26000000</v>
      </c>
      <c r="L596" s="363">
        <v>43355</v>
      </c>
      <c r="M596" s="179"/>
      <c r="N596" s="360"/>
      <c r="O596" s="179"/>
      <c r="P596" s="365"/>
      <c r="Q596" s="86">
        <f t="shared" si="43"/>
        <v>28639250</v>
      </c>
      <c r="R596" s="849" t="s">
        <v>4280</v>
      </c>
      <c r="S596" s="360">
        <v>43402</v>
      </c>
      <c r="T596" s="179"/>
      <c r="U596" s="360"/>
      <c r="V596" s="179"/>
      <c r="W596" s="360"/>
      <c r="X596" s="179"/>
      <c r="Y596" s="360"/>
      <c r="Z596" s="849" t="s">
        <v>4280</v>
      </c>
      <c r="AA596" s="89">
        <f t="shared" si="44"/>
        <v>43402</v>
      </c>
      <c r="AB596" s="237">
        <v>7064218</v>
      </c>
      <c r="AC596" s="237">
        <v>138488182</v>
      </c>
      <c r="AD596" s="237">
        <v>19729</v>
      </c>
      <c r="AE596" s="237">
        <v>1427870</v>
      </c>
      <c r="AF596" s="237">
        <v>1043230</v>
      </c>
      <c r="AG596" s="237">
        <v>353052</v>
      </c>
      <c r="AH596" s="237">
        <v>26469124</v>
      </c>
      <c r="AI596" s="237"/>
      <c r="AJ596" s="237"/>
      <c r="AK596" s="237"/>
      <c r="AL596" s="237"/>
      <c r="AM596" s="237"/>
      <c r="AN596" s="237"/>
      <c r="AO596" s="237"/>
      <c r="AP596" s="237"/>
      <c r="AQ596" s="237"/>
      <c r="AR596" s="237"/>
      <c r="AS596" s="237"/>
      <c r="AT596" s="360">
        <v>43390</v>
      </c>
      <c r="AU596" s="91">
        <f t="shared" si="45"/>
        <v>174865405</v>
      </c>
    </row>
    <row r="597" spans="2:47" hidden="1" x14ac:dyDescent="0.25">
      <c r="B597" s="2" t="str">
        <f>+'Base de Datos'!E597</f>
        <v>170359-0-2017</v>
      </c>
      <c r="C597" s="2" t="str">
        <f>+'Base de Datos'!F597</f>
        <v xml:space="preserve">DELL COLOMBIA INC </v>
      </c>
      <c r="D597" s="2" t="str">
        <f>+'Base de Datos'!G597</f>
        <v>830035246-7</v>
      </c>
      <c r="E597" s="2" t="str">
        <f>+'Base de Datos'!H597</f>
        <v>Proveer o actualizar licencias para servidores</v>
      </c>
      <c r="F597" s="221">
        <f>+'Base de Datos'!I597</f>
        <v>43945784</v>
      </c>
      <c r="G597" s="220">
        <f>+'Base de Datos'!M597</f>
        <v>43090</v>
      </c>
      <c r="H597" s="220">
        <f>+'Base de Datos'!N597</f>
        <v>43137</v>
      </c>
      <c r="I597" s="179"/>
      <c r="J597" s="360"/>
      <c r="K597" s="237"/>
      <c r="L597" s="363"/>
      <c r="M597" s="179"/>
      <c r="N597" s="360"/>
      <c r="O597" s="179"/>
      <c r="P597" s="365"/>
      <c r="Q597" s="86">
        <f t="shared" si="43"/>
        <v>0</v>
      </c>
      <c r="R597" s="284"/>
      <c r="S597" s="360"/>
      <c r="T597" s="179"/>
      <c r="U597" s="360"/>
      <c r="V597" s="179"/>
      <c r="W597" s="360"/>
      <c r="X597" s="179"/>
      <c r="Y597" s="360"/>
      <c r="Z597" s="353"/>
      <c r="AA597" s="89">
        <f t="shared" si="44"/>
        <v>0</v>
      </c>
      <c r="AB597" s="237">
        <v>43945455</v>
      </c>
      <c r="AC597" s="237"/>
      <c r="AD597" s="237"/>
      <c r="AE597" s="237"/>
      <c r="AF597" s="237"/>
      <c r="AG597" s="237"/>
      <c r="AH597" s="237"/>
      <c r="AI597" s="237"/>
      <c r="AJ597" s="237"/>
      <c r="AK597" s="237"/>
      <c r="AL597" s="237"/>
      <c r="AM597" s="237"/>
      <c r="AN597" s="237"/>
      <c r="AO597" s="237"/>
      <c r="AP597" s="237"/>
      <c r="AQ597" s="237"/>
      <c r="AR597" s="237"/>
      <c r="AS597" s="237"/>
      <c r="AT597" s="360">
        <v>43200</v>
      </c>
      <c r="AU597" s="91">
        <f t="shared" si="45"/>
        <v>43945455</v>
      </c>
    </row>
    <row r="598" spans="2:47" ht="33.75" hidden="1" x14ac:dyDescent="0.25">
      <c r="B598" s="2" t="str">
        <f>+'Base de Datos'!E598</f>
        <v>170364-0-2017</v>
      </c>
      <c r="C598" s="2" t="str">
        <f>+'Base de Datos'!F598</f>
        <v>OPENLINK SISTEMAS DE REDES SAS</v>
      </c>
      <c r="D598" s="2">
        <f>+'Base de Datos'!G598</f>
        <v>9002546914</v>
      </c>
      <c r="E598" s="2" t="str">
        <f>+'Base de Datos'!H598</f>
        <v>Proveer una solución  avanzada de seguridad perimetral, correo electrónico y monitoreo de la infresteructura tecnológica para el Concejo de Bogotá.</v>
      </c>
      <c r="F598" s="221">
        <f>+'Base de Datos'!I598</f>
        <v>474509835</v>
      </c>
      <c r="G598" s="220">
        <f>+'Base de Datos'!M598</f>
        <v>43104</v>
      </c>
      <c r="H598" s="220">
        <f>+'Base de Datos'!N598</f>
        <v>43468</v>
      </c>
      <c r="I598" s="179"/>
      <c r="J598" s="360"/>
      <c r="K598" s="237"/>
      <c r="L598" s="363"/>
      <c r="M598" s="179"/>
      <c r="N598" s="360"/>
      <c r="O598" s="179"/>
      <c r="P598" s="365"/>
      <c r="Q598" s="86">
        <f t="shared" si="43"/>
        <v>0</v>
      </c>
      <c r="R598" s="284"/>
      <c r="S598" s="360"/>
      <c r="T598" s="179"/>
      <c r="U598" s="360"/>
      <c r="V598" s="179"/>
      <c r="W598" s="360"/>
      <c r="X598" s="179"/>
      <c r="Y598" s="360"/>
      <c r="Z598" s="353"/>
      <c r="AA598" s="89">
        <f t="shared" si="44"/>
        <v>0</v>
      </c>
      <c r="AB598" s="237">
        <v>368383008</v>
      </c>
      <c r="AC598" s="237">
        <v>52431769</v>
      </c>
      <c r="AD598" s="237">
        <v>53695058</v>
      </c>
      <c r="AE598" s="237"/>
      <c r="AF598" s="237"/>
      <c r="AG598" s="237"/>
      <c r="AH598" s="237"/>
      <c r="AI598" s="237"/>
      <c r="AJ598" s="237"/>
      <c r="AK598" s="237"/>
      <c r="AL598" s="237"/>
      <c r="AM598" s="237"/>
      <c r="AN598" s="237"/>
      <c r="AO598" s="237"/>
      <c r="AP598" s="237"/>
      <c r="AQ598" s="237"/>
      <c r="AR598" s="237"/>
      <c r="AS598" s="237"/>
      <c r="AT598" s="360">
        <v>43390</v>
      </c>
      <c r="AU598" s="91">
        <f t="shared" si="45"/>
        <v>474509835</v>
      </c>
    </row>
    <row r="599" spans="2:47" ht="56.25" hidden="1" x14ac:dyDescent="0.25">
      <c r="B599" s="2" t="str">
        <f>+'Base de Datos'!E599</f>
        <v>170368-0-2017</v>
      </c>
      <c r="C599" s="2" t="str">
        <f>+'Base de Datos'!F599</f>
        <v>ZILL BUSINESS SOLUTIONS SAS</v>
      </c>
      <c r="D599" s="2" t="str">
        <f>+'Base de Datos'!G599</f>
        <v>900405611-4</v>
      </c>
      <c r="E599" s="2" t="str">
        <f>+'Base de Datos'!H599</f>
        <v>Realizar la adecuación a los baños del edificio del Concejo de Bogotá, de conformidad con lo establecido en el pliego de condiciones del proceso de selección abreviada de menor cuantía No. SDH-SAMC-13-2017 y la propuesta presentada por el contratista.</v>
      </c>
      <c r="F599" s="221">
        <f>+'Base de Datos'!I599</f>
        <v>259718863</v>
      </c>
      <c r="G599" s="220">
        <f>+'Base de Datos'!M599</f>
        <v>43116</v>
      </c>
      <c r="H599" s="220">
        <f>+'Base de Datos'!N599</f>
        <v>43235</v>
      </c>
      <c r="I599" s="179">
        <v>97171827</v>
      </c>
      <c r="J599" s="360">
        <v>43235</v>
      </c>
      <c r="K599" s="237"/>
      <c r="L599" s="363"/>
      <c r="M599" s="179"/>
      <c r="N599" s="360"/>
      <c r="O599" s="179"/>
      <c r="P599" s="365"/>
      <c r="Q599" s="86">
        <f t="shared" si="43"/>
        <v>97171827</v>
      </c>
      <c r="R599" s="284" t="s">
        <v>378</v>
      </c>
      <c r="S599" s="360">
        <v>43296</v>
      </c>
      <c r="T599" s="179"/>
      <c r="U599" s="360"/>
      <c r="V599" s="179"/>
      <c r="W599" s="360"/>
      <c r="X599" s="179"/>
      <c r="Y599" s="360"/>
      <c r="Z599" s="353" t="s">
        <v>378</v>
      </c>
      <c r="AA599" s="89">
        <f t="shared" si="44"/>
        <v>43296</v>
      </c>
      <c r="AB599" s="237">
        <v>51943773</v>
      </c>
      <c r="AC599" s="237">
        <v>77915659</v>
      </c>
      <c r="AD599" s="237">
        <v>51943773</v>
      </c>
      <c r="AE599" s="237">
        <v>97171827</v>
      </c>
      <c r="AF599" s="237">
        <v>77915658</v>
      </c>
      <c r="AG599" s="237"/>
      <c r="AH599" s="237"/>
      <c r="AI599" s="237"/>
      <c r="AJ599" s="237"/>
      <c r="AK599" s="237"/>
      <c r="AL599" s="237"/>
      <c r="AM599" s="237"/>
      <c r="AN599" s="237"/>
      <c r="AO599" s="237"/>
      <c r="AP599" s="237"/>
      <c r="AQ599" s="237"/>
      <c r="AR599" s="237"/>
      <c r="AS599" s="237"/>
      <c r="AT599" s="360">
        <v>43270</v>
      </c>
      <c r="AU599" s="91">
        <f t="shared" si="45"/>
        <v>356890690</v>
      </c>
    </row>
    <row r="600" spans="2:47" ht="56.25" hidden="1" x14ac:dyDescent="0.25">
      <c r="B600" s="2" t="str">
        <f>+'Base de Datos'!E600</f>
        <v>170369-0-2017</v>
      </c>
      <c r="C600" s="2" t="str">
        <f>+'Base de Datos'!F600</f>
        <v>NUEVA ERA SOLUCIONES S.A.S</v>
      </c>
      <c r="D600" s="2" t="str">
        <f>+'Base de Datos'!G600</f>
        <v>830037278-1</v>
      </c>
      <c r="E600" s="2" t="str">
        <f>+'Base de Datos'!H600</f>
        <v>Proveer 45 equipos portátiles para el Concejo de Bogotá, de conformidad con lo establecido en el pliego de condiciones de la Selección Abreviada Subasta Inversa Electrónica No. SDH-SIE-19-2017 y a propuesta presentada por el contratista.</v>
      </c>
      <c r="F600" s="221">
        <f>+'Base de Datos'!I600</f>
        <v>223899975</v>
      </c>
      <c r="G600" s="220">
        <f>+'Base de Datos'!M600</f>
        <v>43112</v>
      </c>
      <c r="H600" s="220">
        <f>+'Base de Datos'!N600</f>
        <v>43201</v>
      </c>
      <c r="I600" s="179"/>
      <c r="J600" s="360"/>
      <c r="K600" s="237"/>
      <c r="L600" s="363"/>
      <c r="M600" s="179"/>
      <c r="N600" s="360"/>
      <c r="O600" s="179"/>
      <c r="P600" s="365"/>
      <c r="Q600" s="86">
        <f t="shared" si="43"/>
        <v>0</v>
      </c>
      <c r="R600" s="284"/>
      <c r="S600" s="360"/>
      <c r="T600" s="179"/>
      <c r="U600" s="360"/>
      <c r="V600" s="179"/>
      <c r="W600" s="360"/>
      <c r="X600" s="179"/>
      <c r="Y600" s="360"/>
      <c r="Z600" s="353"/>
      <c r="AA600" s="89">
        <f t="shared" si="44"/>
        <v>0</v>
      </c>
      <c r="AB600" s="237">
        <v>223899974</v>
      </c>
      <c r="AC600" s="237"/>
      <c r="AD600" s="237"/>
      <c r="AE600" s="237"/>
      <c r="AF600" s="237"/>
      <c r="AG600" s="237"/>
      <c r="AH600" s="237"/>
      <c r="AI600" s="237"/>
      <c r="AJ600" s="237"/>
      <c r="AK600" s="237"/>
      <c r="AL600" s="237"/>
      <c r="AM600" s="237"/>
      <c r="AN600" s="237"/>
      <c r="AO600" s="237"/>
      <c r="AP600" s="237"/>
      <c r="AQ600" s="237"/>
      <c r="AR600" s="237"/>
      <c r="AS600" s="237"/>
      <c r="AT600" s="360">
        <v>43223</v>
      </c>
      <c r="AU600" s="91">
        <f t="shared" si="45"/>
        <v>223899974</v>
      </c>
    </row>
    <row r="601" spans="2:47" hidden="1" x14ac:dyDescent="0.25">
      <c r="B601" s="2" t="str">
        <f>+'Base de Datos'!E601</f>
        <v>180007-0-2018</v>
      </c>
      <c r="C601" s="2" t="str">
        <f>+'Base de Datos'!F601</f>
        <v>GRUPO EDS AUTOGAS S.A.S.</v>
      </c>
      <c r="D601" s="2" t="str">
        <f>+'Base de Datos'!G601</f>
        <v>900459737-5</v>
      </c>
      <c r="E601" s="2" t="str">
        <f>+'Base de Datos'!H601</f>
        <v>Suministro de combustible para el Concejo de Bogotá D.C.</v>
      </c>
      <c r="F601" s="221">
        <f>+'Base de Datos'!I601</f>
        <v>344000000</v>
      </c>
      <c r="G601" s="220">
        <f>+'Base de Datos'!M601</f>
        <v>43121</v>
      </c>
      <c r="H601" s="220">
        <f>+'Base de Datos'!N601</f>
        <v>43378</v>
      </c>
      <c r="I601" s="179"/>
      <c r="J601" s="360"/>
      <c r="K601" s="237"/>
      <c r="L601" s="363"/>
      <c r="M601" s="179"/>
      <c r="N601" s="360"/>
      <c r="O601" s="179"/>
      <c r="P601" s="365"/>
      <c r="Q601" s="86">
        <f t="shared" si="43"/>
        <v>0</v>
      </c>
      <c r="R601" s="284"/>
      <c r="S601" s="360"/>
      <c r="T601" s="179"/>
      <c r="U601" s="360"/>
      <c r="V601" s="179"/>
      <c r="W601" s="360"/>
      <c r="X601" s="179"/>
      <c r="Y601" s="360"/>
      <c r="Z601" s="353"/>
      <c r="AA601" s="89">
        <f t="shared" si="44"/>
        <v>0</v>
      </c>
      <c r="AB601" s="237">
        <v>13971853</v>
      </c>
      <c r="AC601" s="237">
        <v>40648026</v>
      </c>
      <c r="AD601" s="237">
        <v>37551189</v>
      </c>
      <c r="AE601" s="237">
        <v>38889568</v>
      </c>
      <c r="AF601" s="237">
        <v>40457650</v>
      </c>
      <c r="AG601" s="237">
        <v>36821848</v>
      </c>
      <c r="AH601" s="237">
        <v>37230787</v>
      </c>
      <c r="AI601" s="237">
        <v>41067596</v>
      </c>
      <c r="AJ601" s="237">
        <v>41360031</v>
      </c>
      <c r="AK601" s="237">
        <v>9992762</v>
      </c>
      <c r="AL601" s="237"/>
      <c r="AM601" s="237"/>
      <c r="AN601" s="237"/>
      <c r="AO601" s="237"/>
      <c r="AP601" s="237"/>
      <c r="AQ601" s="237"/>
      <c r="AR601" s="237"/>
      <c r="AS601" s="237"/>
      <c r="AT601" s="360">
        <v>43453</v>
      </c>
      <c r="AU601" s="91">
        <f t="shared" si="45"/>
        <v>337991310</v>
      </c>
    </row>
    <row r="602" spans="2:47" ht="33.75" hidden="1" x14ac:dyDescent="0.25">
      <c r="B602" s="2" t="str">
        <f>+'Base de Datos'!E602</f>
        <v>180083-0-2018</v>
      </c>
      <c r="C602" s="2" t="str">
        <f>+'Base de Datos'!F602</f>
        <v>JAVIER ANTONIO AVENDAÑO RINCON</v>
      </c>
      <c r="D602" s="2">
        <f>+'Base de Datos'!G602</f>
        <v>91156558</v>
      </c>
      <c r="E602" s="2" t="str">
        <f>+'Base de Datos'!H602</f>
        <v>Prestar servicios para la elaboración del retrato sobre lienzo al óleo del Presidente de la mesa directiva del Concejo de Bogotá.</v>
      </c>
      <c r="F602" s="221">
        <f>+'Base de Datos'!I602</f>
        <v>7300000</v>
      </c>
      <c r="G602" s="220">
        <f>+'Base de Datos'!M602</f>
        <v>43129</v>
      </c>
      <c r="H602" s="220">
        <f>+'Base de Datos'!N602</f>
        <v>43187</v>
      </c>
      <c r="I602" s="179"/>
      <c r="J602" s="360"/>
      <c r="K602" s="237"/>
      <c r="L602" s="363"/>
      <c r="M602" s="179"/>
      <c r="N602" s="360"/>
      <c r="O602" s="179"/>
      <c r="P602" s="365"/>
      <c r="Q602" s="86">
        <f t="shared" ref="Q602:Q665" si="46">SUM(I602,K602,M602,O602)</f>
        <v>0</v>
      </c>
      <c r="R602" s="284"/>
      <c r="S602" s="360"/>
      <c r="T602" s="179"/>
      <c r="U602" s="360"/>
      <c r="V602" s="179"/>
      <c r="W602" s="360"/>
      <c r="X602" s="179"/>
      <c r="Y602" s="360"/>
      <c r="Z602" s="353"/>
      <c r="AA602" s="89">
        <f t="shared" ref="AA602:AA665" si="47">MAX(S602,U602,W602,Y602)</f>
        <v>0</v>
      </c>
      <c r="AB602" s="237">
        <v>2920000</v>
      </c>
      <c r="AC602" s="237">
        <v>4380000</v>
      </c>
      <c r="AD602" s="237"/>
      <c r="AE602" s="237"/>
      <c r="AF602" s="237"/>
      <c r="AG602" s="237"/>
      <c r="AH602" s="237"/>
      <c r="AI602" s="237"/>
      <c r="AJ602" s="237"/>
      <c r="AK602" s="237"/>
      <c r="AL602" s="237"/>
      <c r="AM602" s="237"/>
      <c r="AN602" s="237"/>
      <c r="AO602" s="237"/>
      <c r="AP602" s="237"/>
      <c r="AQ602" s="237"/>
      <c r="AR602" s="237"/>
      <c r="AS602" s="237"/>
      <c r="AT602" s="360">
        <v>43235</v>
      </c>
      <c r="AU602" s="91">
        <f t="shared" ref="AU602:AU665" si="48">SUM(AB602:AR602)</f>
        <v>7300000</v>
      </c>
    </row>
    <row r="603" spans="2:47" ht="33.75" hidden="1" x14ac:dyDescent="0.25">
      <c r="B603" s="2" t="str">
        <f>+'Base de Datos'!E603</f>
        <v>180086-0-2018</v>
      </c>
      <c r="C603" s="2" t="str">
        <f>+'Base de Datos'!F603</f>
        <v>DPC LTDA PUBLICACIONES DESPACHOS PÚBLICOS DE COLOMBIA LTDA</v>
      </c>
      <c r="D603" s="2" t="str">
        <f>+'Base de Datos'!G603</f>
        <v>800249557-2</v>
      </c>
      <c r="E603" s="2" t="str">
        <f>+'Base de Datos'!H603</f>
        <v>Proveer ejemplares del Directorio de Despachos Públicos de Colombia 2018, para el Concejo de Bogotá D.C.</v>
      </c>
      <c r="F603" s="221">
        <f>+'Base de Datos'!I603</f>
        <v>4300000</v>
      </c>
      <c r="G603" s="220">
        <f>+'Base de Datos'!M603</f>
        <v>43133</v>
      </c>
      <c r="H603" s="220">
        <f>+'Base de Datos'!N603</f>
        <v>43252</v>
      </c>
      <c r="I603" s="179"/>
      <c r="J603" s="360"/>
      <c r="K603" s="237"/>
      <c r="L603" s="363"/>
      <c r="M603" s="179"/>
      <c r="N603" s="360"/>
      <c r="O603" s="179"/>
      <c r="P603" s="365"/>
      <c r="Q603" s="86">
        <f t="shared" si="46"/>
        <v>0</v>
      </c>
      <c r="R603" s="284" t="s">
        <v>378</v>
      </c>
      <c r="S603" s="360">
        <v>43313</v>
      </c>
      <c r="T603" s="179" t="s">
        <v>4199</v>
      </c>
      <c r="U603" s="360">
        <v>43342</v>
      </c>
      <c r="V603" s="179"/>
      <c r="W603" s="360"/>
      <c r="X603" s="179"/>
      <c r="Y603" s="360"/>
      <c r="Z603" s="353" t="s">
        <v>4200</v>
      </c>
      <c r="AA603" s="89">
        <f t="shared" si="47"/>
        <v>43342</v>
      </c>
      <c r="AB603" s="237">
        <v>4300000</v>
      </c>
      <c r="AC603" s="237"/>
      <c r="AD603" s="237"/>
      <c r="AE603" s="237"/>
      <c r="AF603" s="237"/>
      <c r="AG603" s="237"/>
      <c r="AH603" s="237"/>
      <c r="AI603" s="237"/>
      <c r="AJ603" s="237"/>
      <c r="AK603" s="237"/>
      <c r="AL603" s="237"/>
      <c r="AM603" s="237"/>
      <c r="AN603" s="237"/>
      <c r="AO603" s="237"/>
      <c r="AP603" s="237"/>
      <c r="AQ603" s="237"/>
      <c r="AR603" s="237"/>
      <c r="AS603" s="237"/>
      <c r="AT603" s="360">
        <v>43364</v>
      </c>
      <c r="AU603" s="91">
        <f t="shared" si="48"/>
        <v>4300000</v>
      </c>
    </row>
    <row r="604" spans="2:47" ht="56.25" hidden="1" x14ac:dyDescent="0.25">
      <c r="B604" s="2" t="str">
        <f>+'Base de Datos'!E604</f>
        <v>180053-0-2018</v>
      </c>
      <c r="C604" s="2" t="str">
        <f>+'Base de Datos'!F604</f>
        <v>DELIGREIZ SUAREZ GOMEZ</v>
      </c>
      <c r="D604" s="2">
        <f>+'Base de Datos'!G604</f>
        <v>1022949330</v>
      </c>
      <c r="E604" s="2" t="str">
        <f>+'Base de Datos'!H604</f>
        <v>Prestar los servicios de apoyo al proceso de recursos físicos de la Dirección Administrativa del Concejo de Bogotá, para coadyuvar con las actividades de actualización y administración de la información del área de mantenimiento.</v>
      </c>
      <c r="F604" s="221">
        <f>+'Base de Datos'!I604</f>
        <v>9982000</v>
      </c>
      <c r="G604" s="220">
        <f>+'Base de Datos'!M604</f>
        <v>43129</v>
      </c>
      <c r="H604" s="220">
        <f>+'Base de Datos'!N604</f>
        <v>43285</v>
      </c>
      <c r="I604" s="179"/>
      <c r="J604" s="360"/>
      <c r="K604" s="237"/>
      <c r="L604" s="363"/>
      <c r="M604" s="179"/>
      <c r="N604" s="360"/>
      <c r="O604" s="179"/>
      <c r="P604" s="365"/>
      <c r="Q604" s="86">
        <f t="shared" si="46"/>
        <v>0</v>
      </c>
      <c r="R604" s="284"/>
      <c r="S604" s="360"/>
      <c r="T604" s="179"/>
      <c r="U604" s="360"/>
      <c r="V604" s="179"/>
      <c r="W604" s="360"/>
      <c r="X604" s="179"/>
      <c r="Y604" s="360"/>
      <c r="Z604" s="353"/>
      <c r="AA604" s="89">
        <f t="shared" si="47"/>
        <v>0</v>
      </c>
      <c r="AB604" s="237">
        <v>128800</v>
      </c>
      <c r="AC604" s="237">
        <v>1932000</v>
      </c>
      <c r="AD604" s="237">
        <v>1932000</v>
      </c>
      <c r="AE604" s="237">
        <v>1932000</v>
      </c>
      <c r="AF604" s="237">
        <v>1932000</v>
      </c>
      <c r="AG604" s="237">
        <v>1932000</v>
      </c>
      <c r="AH604" s="237">
        <v>193200</v>
      </c>
      <c r="AI604" s="237"/>
      <c r="AJ604" s="237"/>
      <c r="AK604" s="237"/>
      <c r="AL604" s="237"/>
      <c r="AM604" s="237"/>
      <c r="AN604" s="237"/>
      <c r="AO604" s="237"/>
      <c r="AP604" s="237"/>
      <c r="AQ604" s="237"/>
      <c r="AR604" s="237"/>
      <c r="AS604" s="237"/>
      <c r="AT604" s="360">
        <v>43258</v>
      </c>
      <c r="AU604" s="91">
        <f t="shared" si="48"/>
        <v>9982000</v>
      </c>
    </row>
    <row r="605" spans="2:47" ht="45" hidden="1" x14ac:dyDescent="0.25">
      <c r="B605" s="2" t="str">
        <f>+'Base de Datos'!E605</f>
        <v>180099-0-2018</v>
      </c>
      <c r="C605" s="2" t="str">
        <f>+'Base de Datos'!F605</f>
        <v>JUAN DIEGO ESPÍTIA ROA</v>
      </c>
      <c r="D605" s="2">
        <f>+'Base de Datos'!G605</f>
        <v>79730476</v>
      </c>
      <c r="E605" s="2" t="str">
        <f>+'Base de Datos'!H605</f>
        <v>Prestar servicios profesionales como enlace con la Unidad Ejecutora 04 de la Secretaria Distrital de Hacienda para la liquidación y cierre de los expedientes contractuales.</v>
      </c>
      <c r="F605" s="221">
        <f>+'Base de Datos'!I605</f>
        <v>70452000</v>
      </c>
      <c r="G605" s="220">
        <f>+'Base de Datos'!M605</f>
        <v>43132</v>
      </c>
      <c r="H605" s="220">
        <f>+'Base de Datos'!N605</f>
        <v>43496</v>
      </c>
      <c r="I605" s="179"/>
      <c r="J605" s="360"/>
      <c r="K605" s="237"/>
      <c r="L605" s="363"/>
      <c r="M605" s="179"/>
      <c r="N605" s="360"/>
      <c r="O605" s="179"/>
      <c r="P605" s="365"/>
      <c r="Q605" s="86">
        <f t="shared" si="46"/>
        <v>0</v>
      </c>
      <c r="R605" s="284"/>
      <c r="S605" s="360"/>
      <c r="T605" s="179"/>
      <c r="U605" s="360"/>
      <c r="V605" s="179"/>
      <c r="W605" s="360"/>
      <c r="X605" s="179"/>
      <c r="Y605" s="360"/>
      <c r="Z605" s="353"/>
      <c r="AA605" s="89">
        <f t="shared" si="47"/>
        <v>0</v>
      </c>
      <c r="AB605" s="237">
        <v>5871000</v>
      </c>
      <c r="AC605" s="237">
        <v>5871000</v>
      </c>
      <c r="AD605" s="237">
        <v>5871000</v>
      </c>
      <c r="AE605" s="237">
        <v>5871000</v>
      </c>
      <c r="AF605" s="237">
        <v>5871000</v>
      </c>
      <c r="AG605" s="237">
        <v>5871000</v>
      </c>
      <c r="AH605" s="237">
        <v>5871000</v>
      </c>
      <c r="AI605" s="237">
        <v>5871000</v>
      </c>
      <c r="AJ605" s="237">
        <v>5871000</v>
      </c>
      <c r="AK605" s="237">
        <v>5871000</v>
      </c>
      <c r="AL605" s="237">
        <v>5871000</v>
      </c>
      <c r="AM605" s="237">
        <v>5871000</v>
      </c>
      <c r="AN605" s="237"/>
      <c r="AO605" s="237"/>
      <c r="AP605" s="237"/>
      <c r="AQ605" s="237"/>
      <c r="AR605" s="237"/>
      <c r="AS605" s="237"/>
      <c r="AT605" s="360">
        <v>43508</v>
      </c>
      <c r="AU605" s="91">
        <f t="shared" si="48"/>
        <v>70452000</v>
      </c>
    </row>
    <row r="606" spans="2:47" ht="22.5" hidden="1" x14ac:dyDescent="0.25">
      <c r="B606" s="2" t="str">
        <f>+'Base de Datos'!E606</f>
        <v>180118-0-2018</v>
      </c>
      <c r="C606" s="2" t="str">
        <f>+'Base de Datos'!F606</f>
        <v>CASA EDITORIAL EL TIEMPO</v>
      </c>
      <c r="D606" s="2">
        <f>+'Base de Datos'!G606</f>
        <v>860001022</v>
      </c>
      <c r="E606" s="2" t="str">
        <f>+'Base de Datos'!H606</f>
        <v>Suscripción a los diarios el TIEMPO Y PORTAFOLIO para el Concejo de Bogotá D.C.</v>
      </c>
      <c r="F606" s="221">
        <f>+'Base de Datos'!I606</f>
        <v>1379700</v>
      </c>
      <c r="G606" s="220">
        <f>+'Base de Datos'!M606</f>
        <v>43185</v>
      </c>
      <c r="H606" s="220">
        <f>+'Base de Datos'!N606</f>
        <v>43549</v>
      </c>
      <c r="I606" s="179"/>
      <c r="J606" s="360"/>
      <c r="K606" s="237"/>
      <c r="L606" s="363"/>
      <c r="M606" s="179"/>
      <c r="N606" s="360"/>
      <c r="O606" s="179"/>
      <c r="P606" s="365"/>
      <c r="Q606" s="86">
        <f t="shared" si="46"/>
        <v>0</v>
      </c>
      <c r="R606" s="284"/>
      <c r="S606" s="360"/>
      <c r="T606" s="179"/>
      <c r="U606" s="360"/>
      <c r="V606" s="179"/>
      <c r="W606" s="360"/>
      <c r="X606" s="179"/>
      <c r="Y606" s="360"/>
      <c r="Z606" s="353"/>
      <c r="AA606" s="89">
        <f t="shared" si="47"/>
        <v>0</v>
      </c>
      <c r="AB606" s="237">
        <v>1379700</v>
      </c>
      <c r="AC606" s="237"/>
      <c r="AD606" s="237"/>
      <c r="AE606" s="237"/>
      <c r="AF606" s="237"/>
      <c r="AG606" s="237"/>
      <c r="AH606" s="237"/>
      <c r="AI606" s="237"/>
      <c r="AJ606" s="237"/>
      <c r="AK606" s="237"/>
      <c r="AL606" s="237"/>
      <c r="AM606" s="237"/>
      <c r="AN606" s="237"/>
      <c r="AO606" s="237"/>
      <c r="AP606" s="237"/>
      <c r="AQ606" s="237"/>
      <c r="AR606" s="237"/>
      <c r="AS606" s="237"/>
      <c r="AT606" s="360">
        <v>43215</v>
      </c>
      <c r="AU606" s="91">
        <f t="shared" si="48"/>
        <v>1379700</v>
      </c>
    </row>
    <row r="607" spans="2:47" ht="45" hidden="1" x14ac:dyDescent="0.25">
      <c r="B607" s="2" t="str">
        <f>+'Base de Datos'!E607</f>
        <v>180130-0-2018</v>
      </c>
      <c r="C607" s="2" t="str">
        <f>+'Base de Datos'!F607</f>
        <v>SILVERIO MONTAÑA MONTAÑA</v>
      </c>
      <c r="D607" s="2">
        <f>+'Base de Datos'!G607</f>
        <v>9395124</v>
      </c>
      <c r="E607" s="2" t="str">
        <f>+'Base de Datos'!H607</f>
        <v>Prestar servicios profesionales para apoyar jurídicamente a la Mesa Directiva del Concejo de Bogotá, en los asuntos que por su complejidad se requieran para el desarrollo de las funciones legales y reglamentarias de la Corporación.</v>
      </c>
      <c r="F607" s="221">
        <f>+'Base de Datos'!I607</f>
        <v>77000000</v>
      </c>
      <c r="G607" s="220">
        <f>+'Base de Datos'!M607</f>
        <v>43132</v>
      </c>
      <c r="H607" s="220">
        <f>+'Base de Datos'!N607</f>
        <v>43326</v>
      </c>
      <c r="I607" s="179"/>
      <c r="J607" s="360"/>
      <c r="K607" s="237"/>
      <c r="L607" s="363"/>
      <c r="M607" s="179"/>
      <c r="N607" s="360"/>
      <c r="O607" s="179"/>
      <c r="P607" s="365"/>
      <c r="Q607" s="86">
        <f t="shared" si="46"/>
        <v>0</v>
      </c>
      <c r="R607" s="284"/>
      <c r="S607" s="360"/>
      <c r="T607" s="179"/>
      <c r="U607" s="360"/>
      <c r="V607" s="179"/>
      <c r="W607" s="360"/>
      <c r="X607" s="179"/>
      <c r="Y607" s="360"/>
      <c r="Z607" s="353"/>
      <c r="AA607" s="89">
        <f t="shared" si="47"/>
        <v>0</v>
      </c>
      <c r="AB607" s="237">
        <v>7000000</v>
      </c>
      <c r="AC607" s="237">
        <v>7000000</v>
      </c>
      <c r="AD607" s="237">
        <v>7000000</v>
      </c>
      <c r="AE607" s="237">
        <v>7000000</v>
      </c>
      <c r="AF607" s="237">
        <v>7000000</v>
      </c>
      <c r="AG607" s="237">
        <v>7000000</v>
      </c>
      <c r="AH607" s="237">
        <v>3266667</v>
      </c>
      <c r="AI607" s="237"/>
      <c r="AJ607" s="237"/>
      <c r="AK607" s="237"/>
      <c r="AL607" s="237"/>
      <c r="AM607" s="237"/>
      <c r="AN607" s="237"/>
      <c r="AO607" s="237"/>
      <c r="AP607" s="237"/>
      <c r="AQ607" s="237"/>
      <c r="AR607" s="237"/>
      <c r="AS607" s="237"/>
      <c r="AT607" s="360">
        <v>43392</v>
      </c>
      <c r="AU607" s="91">
        <f t="shared" si="48"/>
        <v>45266667</v>
      </c>
    </row>
    <row r="608" spans="2:47" ht="56.25" hidden="1" x14ac:dyDescent="0.25">
      <c r="B608" s="2" t="str">
        <f>+'Base de Datos'!E608</f>
        <v>180085-0-2018</v>
      </c>
      <c r="C608" s="2" t="str">
        <f>+'Base de Datos'!F608</f>
        <v>MARTHA LILIANA SALAZAR GOMEZ</v>
      </c>
      <c r="D608" s="2">
        <f>+'Base de Datos'!G608</f>
        <v>52733413</v>
      </c>
      <c r="E608" s="2" t="str">
        <f>+'Base de Datos'!H608</f>
        <v>Prestar los servicios profesionales para apoyar a  la oficina asesora de planeación y dirección administrativa en la ejecución, mantenimiento, sostenibilidad y mejora continua del subsistema de responsabilidad social del Concejo de Bogotá. D.C.</v>
      </c>
      <c r="F608" s="221">
        <f>+'Base de Datos'!I608</f>
        <v>70452000</v>
      </c>
      <c r="G608" s="220">
        <f>+'Base de Datos'!M608</f>
        <v>43136</v>
      </c>
      <c r="H608" s="220">
        <f>+'Base de Datos'!N608</f>
        <v>43500</v>
      </c>
      <c r="I608" s="179"/>
      <c r="J608" s="360"/>
      <c r="K608" s="237"/>
      <c r="L608" s="363"/>
      <c r="M608" s="179"/>
      <c r="N608" s="360"/>
      <c r="O608" s="179"/>
      <c r="P608" s="365"/>
      <c r="Q608" s="86">
        <f t="shared" si="46"/>
        <v>0</v>
      </c>
      <c r="R608" s="284"/>
      <c r="S608" s="360"/>
      <c r="T608" s="179"/>
      <c r="U608" s="360"/>
      <c r="V608" s="179"/>
      <c r="W608" s="360"/>
      <c r="X608" s="179"/>
      <c r="Y608" s="360"/>
      <c r="Z608" s="353"/>
      <c r="AA608" s="89">
        <f t="shared" si="47"/>
        <v>0</v>
      </c>
      <c r="AB608" s="237">
        <v>5088200</v>
      </c>
      <c r="AC608" s="237">
        <v>5871000</v>
      </c>
      <c r="AD608" s="237">
        <v>5871000</v>
      </c>
      <c r="AE608" s="237">
        <v>5871000</v>
      </c>
      <c r="AF608" s="237">
        <v>5871000</v>
      </c>
      <c r="AG608" s="237">
        <v>5871000</v>
      </c>
      <c r="AH608" s="237">
        <v>5871000</v>
      </c>
      <c r="AI608" s="237">
        <v>5871000</v>
      </c>
      <c r="AJ608" s="237">
        <v>5871000</v>
      </c>
      <c r="AK608" s="237">
        <v>5871000</v>
      </c>
      <c r="AL608" s="237">
        <v>5871000</v>
      </c>
      <c r="AM608" s="237">
        <v>5871000</v>
      </c>
      <c r="AN608" s="237">
        <v>782800</v>
      </c>
      <c r="AO608" s="237"/>
      <c r="AP608" s="237"/>
      <c r="AQ608" s="237"/>
      <c r="AR608" s="237"/>
      <c r="AS608" s="237"/>
      <c r="AT608" s="360">
        <v>43536</v>
      </c>
      <c r="AU608" s="91">
        <f t="shared" si="48"/>
        <v>70452000</v>
      </c>
    </row>
    <row r="609" spans="2:47" ht="33.75" hidden="1" x14ac:dyDescent="0.25">
      <c r="B609" s="2" t="str">
        <f>+'Base de Datos'!E609</f>
        <v>180103-0-2018</v>
      </c>
      <c r="C609" s="2" t="str">
        <f>+'Base de Datos'!F609</f>
        <v>WILLIAM TEJADA CELIS</v>
      </c>
      <c r="D609" s="2">
        <f>+'Base de Datos'!G609</f>
        <v>80734819</v>
      </c>
      <c r="E609" s="2" t="str">
        <f>+'Base de Datos'!H609</f>
        <v>Prestar servicios profesionales para apoyar el proceso de sistemas y seguridad de la información del Concejo de Bogotá en materia de seguridad informática.</v>
      </c>
      <c r="F609" s="221">
        <f>+'Base de Datos'!I609</f>
        <v>21286908</v>
      </c>
      <c r="G609" s="220">
        <f>+'Base de Datos'!M609</f>
        <v>43132</v>
      </c>
      <c r="H609" s="220">
        <f>+'Base de Datos'!N609</f>
        <v>43312</v>
      </c>
      <c r="I609" s="179"/>
      <c r="J609" s="360"/>
      <c r="K609" s="237"/>
      <c r="L609" s="363"/>
      <c r="M609" s="179"/>
      <c r="N609" s="360"/>
      <c r="O609" s="179"/>
      <c r="P609" s="365"/>
      <c r="Q609" s="86">
        <f t="shared" si="46"/>
        <v>0</v>
      </c>
      <c r="R609" s="284"/>
      <c r="S609" s="360"/>
      <c r="T609" s="179"/>
      <c r="U609" s="360"/>
      <c r="V609" s="179"/>
      <c r="W609" s="360"/>
      <c r="X609" s="179"/>
      <c r="Y609" s="360"/>
      <c r="Z609" s="353"/>
      <c r="AA609" s="89">
        <f t="shared" si="47"/>
        <v>0</v>
      </c>
      <c r="AB609" s="237">
        <v>3547818</v>
      </c>
      <c r="AC609" s="237">
        <v>3547818</v>
      </c>
      <c r="AD609" s="237">
        <v>3547818</v>
      </c>
      <c r="AE609" s="237">
        <v>3547818</v>
      </c>
      <c r="AF609" s="237">
        <v>3547818</v>
      </c>
      <c r="AG609" s="237">
        <v>3547818</v>
      </c>
      <c r="AH609" s="237"/>
      <c r="AI609" s="237"/>
      <c r="AJ609" s="237"/>
      <c r="AK609" s="237"/>
      <c r="AL609" s="237"/>
      <c r="AM609" s="237"/>
      <c r="AN609" s="237"/>
      <c r="AO609" s="237"/>
      <c r="AP609" s="237"/>
      <c r="AQ609" s="237"/>
      <c r="AR609" s="237"/>
      <c r="AS609" s="237"/>
      <c r="AT609" s="360">
        <v>43326</v>
      </c>
      <c r="AU609" s="91">
        <f t="shared" si="48"/>
        <v>21286908</v>
      </c>
    </row>
    <row r="610" spans="2:47" ht="45" hidden="1" x14ac:dyDescent="0.25">
      <c r="B610" s="2" t="str">
        <f>+'Base de Datos'!E610</f>
        <v>180129-0-2018</v>
      </c>
      <c r="C610" s="2" t="str">
        <f>+'Base de Datos'!F610</f>
        <v>HIUSTY NAYET LOPEZ VELEZ (Cesionaria) / YOANA INES TRUJILLO AGUDELO (Antes)</v>
      </c>
      <c r="D610" s="2">
        <f>+'Base de Datos'!G610</f>
        <v>52961573</v>
      </c>
      <c r="E610" s="2" t="str">
        <f>+'Base de Datos'!H610</f>
        <v>Prestar los servicios profesionales para apoyar al Concejo de Bogotá D.C., en el desarrollo de las actividades protocolarias de los diferentes eventos que lleva acabo la corporación en ejercicio de sus funciones.</v>
      </c>
      <c r="F610" s="221">
        <f>+'Base de Datos'!I610</f>
        <v>56100000</v>
      </c>
      <c r="G610" s="220">
        <f>+'Base de Datos'!M610</f>
        <v>43140</v>
      </c>
      <c r="H610" s="220">
        <f>+'Base de Datos'!N610</f>
        <v>43473</v>
      </c>
      <c r="I610" s="179"/>
      <c r="J610" s="360"/>
      <c r="K610" s="237"/>
      <c r="L610" s="363"/>
      <c r="M610" s="179"/>
      <c r="N610" s="360"/>
      <c r="O610" s="179"/>
      <c r="P610" s="365"/>
      <c r="Q610" s="86">
        <f t="shared" si="46"/>
        <v>0</v>
      </c>
      <c r="R610" s="849" t="s">
        <v>3896</v>
      </c>
      <c r="S610" s="360">
        <v>43518</v>
      </c>
      <c r="T610" s="179"/>
      <c r="U610" s="360"/>
      <c r="V610" s="179"/>
      <c r="W610" s="360"/>
      <c r="X610" s="179"/>
      <c r="Y610" s="360"/>
      <c r="Z610" s="849" t="s">
        <v>3896</v>
      </c>
      <c r="AA610" s="89">
        <f t="shared" si="47"/>
        <v>43518</v>
      </c>
      <c r="AB610" s="237">
        <v>5100000</v>
      </c>
      <c r="AC610" s="237">
        <v>1190000</v>
      </c>
      <c r="AD610" s="237">
        <v>5100000</v>
      </c>
      <c r="AE610" s="237">
        <v>5100000</v>
      </c>
      <c r="AF610" s="237">
        <v>5100000</v>
      </c>
      <c r="AG610" s="237">
        <v>5100000</v>
      </c>
      <c r="AH610" s="237">
        <v>5100000</v>
      </c>
      <c r="AI610" s="237">
        <v>5100000</v>
      </c>
      <c r="AJ610" s="237">
        <v>5100000</v>
      </c>
      <c r="AK610" s="237">
        <v>5100000</v>
      </c>
      <c r="AL610" s="237">
        <v>5100000</v>
      </c>
      <c r="AM610" s="237">
        <v>3740000</v>
      </c>
      <c r="AN610" s="237"/>
      <c r="AO610" s="237"/>
      <c r="AP610" s="237"/>
      <c r="AQ610" s="237"/>
      <c r="AR610" s="237"/>
      <c r="AS610" s="237"/>
      <c r="AT610" s="360">
        <v>43567</v>
      </c>
      <c r="AU610" s="91">
        <f t="shared" si="48"/>
        <v>55930000</v>
      </c>
    </row>
    <row r="611" spans="2:47" ht="78.75" hidden="1" x14ac:dyDescent="0.25">
      <c r="B611" s="2" t="str">
        <f>+'Base de Datos'!E611</f>
        <v>180123-0-2018</v>
      </c>
      <c r="C611" s="2" t="str">
        <f>+'Base de Datos'!F611</f>
        <v>MARIA ALEJANDRA GAITÁN NAVARRETE (Cesionaria) / ÁNGELA MARÍA CANIZALEZ HERRERA (Antes)</v>
      </c>
      <c r="D611" s="2">
        <f>+'Base de Datos'!G611</f>
        <v>52334577</v>
      </c>
      <c r="E611" s="2" t="str">
        <f>+'Base de Datos'!H611</f>
        <v>Prestar servicios profesionales de apoyo a la oficina de comunicaciones del Concejo de Bogotá, en la generación de estrategias que permitan la socialización divulagación y comunicación de la ley de transparencia y demás políticas institucionales, así como prestar apoyo en el cubrimiento mediático de las diferentes sesiones de la corporación.</v>
      </c>
      <c r="F611" s="221">
        <f>+'Base de Datos'!I611</f>
        <v>49440000</v>
      </c>
      <c r="G611" s="220">
        <f>+'Base de Datos'!M611</f>
        <v>43196</v>
      </c>
      <c r="H611" s="220">
        <f>+'Base de Datos'!N611</f>
        <v>43560</v>
      </c>
      <c r="I611" s="179"/>
      <c r="J611" s="360"/>
      <c r="K611" s="237"/>
      <c r="L611" s="363"/>
      <c r="M611" s="179"/>
      <c r="N611" s="360"/>
      <c r="O611" s="179"/>
      <c r="P611" s="365"/>
      <c r="Q611" s="86">
        <f t="shared" si="46"/>
        <v>0</v>
      </c>
      <c r="R611" s="284"/>
      <c r="S611" s="360"/>
      <c r="T611" s="179"/>
      <c r="U611" s="360"/>
      <c r="V611" s="179"/>
      <c r="W611" s="360"/>
      <c r="X611" s="179"/>
      <c r="Y611" s="360"/>
      <c r="Z611" s="353"/>
      <c r="AA611" s="89">
        <f t="shared" si="47"/>
        <v>0</v>
      </c>
      <c r="AB611" s="237">
        <v>3433333</v>
      </c>
      <c r="AC611" s="237">
        <v>4120000</v>
      </c>
      <c r="AD611" s="237">
        <v>4120000</v>
      </c>
      <c r="AE611" s="237">
        <v>4120000</v>
      </c>
      <c r="AF611" s="237">
        <v>4120000</v>
      </c>
      <c r="AG611" s="237">
        <v>4120000</v>
      </c>
      <c r="AH611" s="237">
        <v>4120000</v>
      </c>
      <c r="AI611" s="237">
        <v>4120000</v>
      </c>
      <c r="AJ611" s="237">
        <v>4120000</v>
      </c>
      <c r="AK611" s="237">
        <v>4120000</v>
      </c>
      <c r="AL611" s="237">
        <v>4120000</v>
      </c>
      <c r="AM611" s="237">
        <v>4120000</v>
      </c>
      <c r="AN611" s="237">
        <v>686667</v>
      </c>
      <c r="AO611" s="237"/>
      <c r="AP611" s="237"/>
      <c r="AQ611" s="237"/>
      <c r="AR611" s="237"/>
      <c r="AS611" s="237"/>
      <c r="AT611" s="360">
        <v>43612</v>
      </c>
      <c r="AU611" s="91">
        <f t="shared" si="48"/>
        <v>49440000</v>
      </c>
    </row>
    <row r="612" spans="2:47" ht="22.5" hidden="1" x14ac:dyDescent="0.25">
      <c r="B612" s="2" t="str">
        <f>+'Base de Datos'!E612</f>
        <v>180087-0-2018</v>
      </c>
      <c r="C612" s="2" t="str">
        <f>+'Base de Datos'!F612</f>
        <v>ORACLE COLOMBIA LTDA</v>
      </c>
      <c r="D612" s="2">
        <f>+'Base de Datos'!G612</f>
        <v>800103052</v>
      </c>
      <c r="E612" s="2" t="str">
        <f>+'Base de Datos'!H612</f>
        <v>Prestar servicios de soporte y mantenimiento de todos los productos Oracle adquiridos por el Concejo de Bogotá.</v>
      </c>
      <c r="F612" s="221">
        <f>+'Base de Datos'!I612</f>
        <v>203714167</v>
      </c>
      <c r="G612" s="220">
        <f>+'Base de Datos'!M612</f>
        <v>43126</v>
      </c>
      <c r="H612" s="220">
        <f>+'Base de Datos'!N612</f>
        <v>43465</v>
      </c>
      <c r="I612" s="179"/>
      <c r="J612" s="360"/>
      <c r="K612" s="237"/>
      <c r="L612" s="363"/>
      <c r="M612" s="179"/>
      <c r="N612" s="360"/>
      <c r="O612" s="179"/>
      <c r="P612" s="365"/>
      <c r="Q612" s="86">
        <f t="shared" si="46"/>
        <v>0</v>
      </c>
      <c r="R612" s="284"/>
      <c r="S612" s="360"/>
      <c r="T612" s="179"/>
      <c r="U612" s="360"/>
      <c r="V612" s="179"/>
      <c r="W612" s="360"/>
      <c r="X612" s="179"/>
      <c r="Y612" s="360"/>
      <c r="Z612" s="353"/>
      <c r="AA612" s="89">
        <f t="shared" si="47"/>
        <v>0</v>
      </c>
      <c r="AB612" s="237">
        <v>203714167</v>
      </c>
      <c r="AC612" s="237"/>
      <c r="AD612" s="237"/>
      <c r="AE612" s="237"/>
      <c r="AF612" s="237"/>
      <c r="AG612" s="237"/>
      <c r="AH612" s="237"/>
      <c r="AI612" s="237"/>
      <c r="AJ612" s="237"/>
      <c r="AK612" s="237"/>
      <c r="AL612" s="237"/>
      <c r="AM612" s="237"/>
      <c r="AN612" s="237"/>
      <c r="AO612" s="237"/>
      <c r="AP612" s="237"/>
      <c r="AQ612" s="237"/>
      <c r="AR612" s="237"/>
      <c r="AS612" s="237"/>
      <c r="AT612" s="360">
        <v>43242</v>
      </c>
      <c r="AU612" s="91">
        <f t="shared" si="48"/>
        <v>203714167</v>
      </c>
    </row>
    <row r="613" spans="2:47" ht="22.5" hidden="1" x14ac:dyDescent="0.25">
      <c r="B613" s="2" t="str">
        <f>+'Base de Datos'!E613</f>
        <v>180140-0-2018</v>
      </c>
      <c r="C613" s="2" t="str">
        <f>+'Base de Datos'!F613</f>
        <v>SIIGO S.A.</v>
      </c>
      <c r="D613" s="2" t="str">
        <f>+'Base de Datos'!G613</f>
        <v>830048145-8</v>
      </c>
      <c r="E613" s="2" t="str">
        <f>+'Base de Datos'!H613</f>
        <v>Prestar servicios de mantenimiento y actualización de módulo de contabilidad programa SIIGO</v>
      </c>
      <c r="F613" s="221">
        <f>+'Base de Datos'!I613</f>
        <v>426827</v>
      </c>
      <c r="G613" s="220">
        <f>+'Base de Datos'!M613</f>
        <v>43220</v>
      </c>
      <c r="H613" s="220">
        <f>+'Base de Datos'!N613</f>
        <v>43584</v>
      </c>
      <c r="I613" s="179"/>
      <c r="J613" s="360"/>
      <c r="K613" s="237"/>
      <c r="L613" s="363"/>
      <c r="M613" s="179"/>
      <c r="N613" s="360"/>
      <c r="O613" s="179"/>
      <c r="P613" s="365"/>
      <c r="Q613" s="86">
        <f t="shared" si="46"/>
        <v>0</v>
      </c>
      <c r="R613" s="284"/>
      <c r="S613" s="360"/>
      <c r="T613" s="179"/>
      <c r="U613" s="360"/>
      <c r="V613" s="179"/>
      <c r="W613" s="360"/>
      <c r="X613" s="179"/>
      <c r="Y613" s="360"/>
      <c r="Z613" s="353"/>
      <c r="AA613" s="89">
        <f t="shared" si="47"/>
        <v>0</v>
      </c>
      <c r="AB613" s="237">
        <v>426827</v>
      </c>
      <c r="AC613" s="237"/>
      <c r="AD613" s="237"/>
      <c r="AE613" s="237"/>
      <c r="AF613" s="237"/>
      <c r="AG613" s="237"/>
      <c r="AH613" s="237"/>
      <c r="AI613" s="237"/>
      <c r="AJ613" s="237"/>
      <c r="AK613" s="237"/>
      <c r="AL613" s="237"/>
      <c r="AM613" s="237"/>
      <c r="AN613" s="237"/>
      <c r="AO613" s="237"/>
      <c r="AP613" s="237"/>
      <c r="AQ613" s="237"/>
      <c r="AR613" s="237"/>
      <c r="AS613" s="237"/>
      <c r="AT613" s="360">
        <v>43252</v>
      </c>
      <c r="AU613" s="91">
        <f t="shared" si="48"/>
        <v>426827</v>
      </c>
    </row>
    <row r="614" spans="2:47" ht="22.5" hidden="1" x14ac:dyDescent="0.25">
      <c r="B614" s="2" t="str">
        <f>+'Base de Datos'!E614</f>
        <v>180149-0-2018</v>
      </c>
      <c r="C614" s="2" t="str">
        <f>+'Base de Datos'!F614</f>
        <v>EL RINCON DEPORTIVO DE LA 24 / CLAUDIA ROCIO MARIN ROJAS</v>
      </c>
      <c r="D614" s="2">
        <f>+'Base de Datos'!G614</f>
        <v>52713367</v>
      </c>
      <c r="E614" s="2" t="str">
        <f>+'Base de Datos'!H614</f>
        <v>Suministro de uniformes y elementos deportivos para los funcionarios del Concejo de Bogotá.</v>
      </c>
      <c r="F614" s="221">
        <f>+'Base de Datos'!I614</f>
        <v>11634980</v>
      </c>
      <c r="G614" s="220">
        <f>+'Base de Datos'!M614</f>
        <v>43194</v>
      </c>
      <c r="H614" s="220">
        <f>+'Base de Datos'!N614</f>
        <v>43254</v>
      </c>
      <c r="I614" s="179"/>
      <c r="J614" s="360"/>
      <c r="K614" s="237"/>
      <c r="L614" s="363"/>
      <c r="M614" s="179"/>
      <c r="N614" s="360"/>
      <c r="O614" s="179"/>
      <c r="P614" s="365"/>
      <c r="Q614" s="86">
        <f t="shared" si="46"/>
        <v>0</v>
      </c>
      <c r="R614" s="284"/>
      <c r="S614" s="360"/>
      <c r="T614" s="179"/>
      <c r="U614" s="360"/>
      <c r="V614" s="179"/>
      <c r="W614" s="360"/>
      <c r="X614" s="179"/>
      <c r="Y614" s="360"/>
      <c r="Z614" s="353"/>
      <c r="AA614" s="89">
        <f t="shared" si="47"/>
        <v>0</v>
      </c>
      <c r="AB614" s="237">
        <v>11618540</v>
      </c>
      <c r="AC614" s="237"/>
      <c r="AD614" s="237"/>
      <c r="AE614" s="237"/>
      <c r="AF614" s="237"/>
      <c r="AG614" s="237"/>
      <c r="AH614" s="237"/>
      <c r="AI614" s="237"/>
      <c r="AJ614" s="237"/>
      <c r="AK614" s="237"/>
      <c r="AL614" s="237"/>
      <c r="AM614" s="237"/>
      <c r="AN614" s="237"/>
      <c r="AO614" s="237"/>
      <c r="AP614" s="237"/>
      <c r="AQ614" s="237"/>
      <c r="AR614" s="237"/>
      <c r="AS614" s="237"/>
      <c r="AT614" s="360">
        <v>43311</v>
      </c>
      <c r="AU614" s="91">
        <f t="shared" si="48"/>
        <v>11618540</v>
      </c>
    </row>
    <row r="615" spans="2:47" ht="45" hidden="1" x14ac:dyDescent="0.25">
      <c r="B615" s="2" t="str">
        <f>+'Base de Datos'!E615</f>
        <v>180151-0-2018</v>
      </c>
      <c r="C615" s="2" t="str">
        <f>+'Base de Datos'!F615</f>
        <v>INGENIERIA DE BOMBAS Y PLANTAS LIMITADA</v>
      </c>
      <c r="D615" s="2" t="str">
        <f>+'Base de Datos'!G615</f>
        <v>900152368-1</v>
      </c>
      <c r="E615" s="2" t="str">
        <f>+'Base de Datos'!H615</f>
        <v xml:space="preserve">Prestar servicios de mantenimiento preventivo y correctivo al sistema eléctrico del centro Administrativo Distrital CAD y al sistema de generación y transferencia eléctrica de emergencia del Concejo de Bogotá. </v>
      </c>
      <c r="F615" s="221">
        <f>+'Base de Datos'!I615</f>
        <v>9705000</v>
      </c>
      <c r="G615" s="220">
        <f>+'Base de Datos'!M615</f>
        <v>43201</v>
      </c>
      <c r="H615" s="220">
        <f>+'Base de Datos'!N615</f>
        <v>43565</v>
      </c>
      <c r="I615" s="179"/>
      <c r="J615" s="360"/>
      <c r="K615" s="237"/>
      <c r="L615" s="363"/>
      <c r="M615" s="179"/>
      <c r="N615" s="360"/>
      <c r="O615" s="179"/>
      <c r="P615" s="365"/>
      <c r="Q615" s="86">
        <f t="shared" si="46"/>
        <v>0</v>
      </c>
      <c r="R615" s="284" t="s">
        <v>378</v>
      </c>
      <c r="S615" s="360">
        <v>43626</v>
      </c>
      <c r="T615" s="179"/>
      <c r="U615" s="360"/>
      <c r="V615" s="179"/>
      <c r="W615" s="360"/>
      <c r="X615" s="179"/>
      <c r="Y615" s="360"/>
      <c r="Z615" s="284" t="s">
        <v>378</v>
      </c>
      <c r="AA615" s="89">
        <f t="shared" si="47"/>
        <v>43626</v>
      </c>
      <c r="AB615" s="237">
        <v>700000</v>
      </c>
      <c r="AC615" s="237"/>
      <c r="AD615" s="237"/>
      <c r="AE615" s="237"/>
      <c r="AF615" s="237"/>
      <c r="AG615" s="237"/>
      <c r="AH615" s="237"/>
      <c r="AI615" s="237"/>
      <c r="AJ615" s="237"/>
      <c r="AK615" s="237"/>
      <c r="AL615" s="237"/>
      <c r="AM615" s="237"/>
      <c r="AN615" s="237"/>
      <c r="AO615" s="237"/>
      <c r="AP615" s="237"/>
      <c r="AQ615" s="237"/>
      <c r="AR615" s="237"/>
      <c r="AS615" s="237"/>
      <c r="AT615" s="360">
        <v>43291</v>
      </c>
      <c r="AU615" s="91">
        <f t="shared" si="48"/>
        <v>700000</v>
      </c>
    </row>
    <row r="616" spans="2:47" hidden="1" x14ac:dyDescent="0.25">
      <c r="B616" s="2" t="str">
        <f>+'Base de Datos'!E616</f>
        <v>180156-0-2018</v>
      </c>
      <c r="C616" s="2" t="str">
        <f>+'Base de Datos'!F616</f>
        <v xml:space="preserve">CENCOSUD COLOMBIA </v>
      </c>
      <c r="D616" s="2" t="str">
        <f>+'Base de Datos'!G616</f>
        <v>900155107-1</v>
      </c>
      <c r="E616" s="2" t="str">
        <f>+'Base de Datos'!H616</f>
        <v>Proveer televisores para el Concejo de Bogotá</v>
      </c>
      <c r="F616" s="221">
        <f>+'Base de Datos'!I616</f>
        <v>18899730</v>
      </c>
      <c r="G616" s="220">
        <f>+'Base de Datos'!M616</f>
        <v>43182</v>
      </c>
      <c r="H616" s="220">
        <f>+'Base de Datos'!N616</f>
        <v>43193</v>
      </c>
      <c r="I616" s="179"/>
      <c r="J616" s="360"/>
      <c r="K616" s="237"/>
      <c r="L616" s="363"/>
      <c r="M616" s="179"/>
      <c r="N616" s="360"/>
      <c r="O616" s="179"/>
      <c r="P616" s="365"/>
      <c r="Q616" s="86">
        <f t="shared" si="46"/>
        <v>0</v>
      </c>
      <c r="R616" s="284"/>
      <c r="S616" s="360"/>
      <c r="T616" s="179"/>
      <c r="U616" s="360"/>
      <c r="V616" s="179"/>
      <c r="W616" s="360"/>
      <c r="X616" s="179"/>
      <c r="Y616" s="360"/>
      <c r="Z616" s="353"/>
      <c r="AA616" s="89">
        <f t="shared" si="47"/>
        <v>0</v>
      </c>
      <c r="AB616" s="237">
        <v>18899730</v>
      </c>
      <c r="AC616" s="237"/>
      <c r="AD616" s="237"/>
      <c r="AE616" s="237"/>
      <c r="AF616" s="237"/>
      <c r="AG616" s="237"/>
      <c r="AH616" s="237"/>
      <c r="AI616" s="237"/>
      <c r="AJ616" s="237"/>
      <c r="AK616" s="237"/>
      <c r="AL616" s="237"/>
      <c r="AM616" s="237"/>
      <c r="AN616" s="237"/>
      <c r="AO616" s="237"/>
      <c r="AP616" s="237"/>
      <c r="AQ616" s="237"/>
      <c r="AR616" s="237"/>
      <c r="AS616" s="237"/>
      <c r="AT616" s="360">
        <v>43222</v>
      </c>
      <c r="AU616" s="91">
        <f t="shared" si="48"/>
        <v>18899730</v>
      </c>
    </row>
    <row r="617" spans="2:47" ht="45" hidden="1" x14ac:dyDescent="0.25">
      <c r="B617" s="2" t="str">
        <f>+'Base de Datos'!E617</f>
        <v>180163-0-2018</v>
      </c>
      <c r="C617" s="2" t="str">
        <f>+'Base de Datos'!F617</f>
        <v>ACOMEDIOS PUBLICIDAD Y MERCADEO</v>
      </c>
      <c r="D617" s="2">
        <f>+'Base de Datos'!G617</f>
        <v>800000457</v>
      </c>
      <c r="E617" s="2" t="str">
        <f>+'Base de Datos'!H617</f>
        <v>Prestar servicios de diseño, producción y ejecución de estrategias de divulgación en medios de comunicación de carácter masivo y alternativo para el Concejo de Bogotá; D.C.</v>
      </c>
      <c r="F617" s="221">
        <f>+'Base de Datos'!I617</f>
        <v>490000000</v>
      </c>
      <c r="G617" s="220">
        <f>+'Base de Datos'!M617</f>
        <v>43213</v>
      </c>
      <c r="H617" s="220">
        <f>+'Base de Datos'!N617</f>
        <v>43577</v>
      </c>
      <c r="I617" s="179">
        <v>100000000</v>
      </c>
      <c r="J617" s="360">
        <v>43462</v>
      </c>
      <c r="K617" s="179">
        <v>22000000</v>
      </c>
      <c r="L617" s="360">
        <v>43536</v>
      </c>
      <c r="M617" s="179"/>
      <c r="N617" s="360"/>
      <c r="O617" s="179"/>
      <c r="P617" s="365"/>
      <c r="Q617" s="86">
        <f t="shared" si="46"/>
        <v>122000000</v>
      </c>
      <c r="R617" s="284"/>
      <c r="S617" s="360"/>
      <c r="T617" s="179"/>
      <c r="U617" s="360"/>
      <c r="V617" s="179"/>
      <c r="W617" s="360"/>
      <c r="X617" s="179"/>
      <c r="Y617" s="360"/>
      <c r="Z617" s="353"/>
      <c r="AA617" s="89">
        <f t="shared" si="47"/>
        <v>0</v>
      </c>
      <c r="AB617" s="237">
        <v>197922875</v>
      </c>
      <c r="AC617" s="237">
        <v>181498659</v>
      </c>
      <c r="AD617" s="237">
        <v>74290591</v>
      </c>
      <c r="AE617" s="237">
        <v>36287875</v>
      </c>
      <c r="AF617" s="237">
        <v>97457315</v>
      </c>
      <c r="AG617" s="237"/>
      <c r="AH617" s="237"/>
      <c r="AI617" s="237"/>
      <c r="AJ617" s="237"/>
      <c r="AK617" s="237"/>
      <c r="AL617" s="237"/>
      <c r="AM617" s="237"/>
      <c r="AN617" s="237"/>
      <c r="AO617" s="237"/>
      <c r="AP617" s="237"/>
      <c r="AQ617" s="237"/>
      <c r="AR617" s="237"/>
      <c r="AS617" s="237"/>
      <c r="AT617" s="360">
        <v>43613</v>
      </c>
      <c r="AU617" s="91">
        <f t="shared" si="48"/>
        <v>587457315</v>
      </c>
    </row>
    <row r="618" spans="2:47" ht="22.5" hidden="1" x14ac:dyDescent="0.25">
      <c r="B618" s="2" t="str">
        <f>+'Base de Datos'!E618</f>
        <v>180162-0-2018</v>
      </c>
      <c r="C618" s="2" t="str">
        <f>+'Base de Datos'!F618</f>
        <v>SOLUCIONES ICG SAS</v>
      </c>
      <c r="D618" s="2" t="str">
        <f>+'Base de Datos'!G618</f>
        <v>900981247-9</v>
      </c>
      <c r="E618" s="2" t="str">
        <f>+'Base de Datos'!H618</f>
        <v>Prestar servicios de soporte y actualización del software antivirus para el Concejo de Bogotá</v>
      </c>
      <c r="F618" s="221">
        <f>+'Base de Datos'!I618</f>
        <v>69997918</v>
      </c>
      <c r="G618" s="220">
        <f>+'Base de Datos'!M618</f>
        <v>43214</v>
      </c>
      <c r="H618" s="220">
        <f>+'Base de Datos'!N618</f>
        <v>43578</v>
      </c>
      <c r="I618" s="179"/>
      <c r="J618" s="360"/>
      <c r="K618" s="237"/>
      <c r="L618" s="363"/>
      <c r="M618" s="179"/>
      <c r="N618" s="360"/>
      <c r="O618" s="179"/>
      <c r="P618" s="365"/>
      <c r="Q618" s="86">
        <f t="shared" si="46"/>
        <v>0</v>
      </c>
      <c r="R618" s="284"/>
      <c r="S618" s="360"/>
      <c r="T618" s="179"/>
      <c r="U618" s="360"/>
      <c r="V618" s="179"/>
      <c r="W618" s="360"/>
      <c r="X618" s="179"/>
      <c r="Y618" s="360"/>
      <c r="Z618" s="353"/>
      <c r="AA618" s="89">
        <f t="shared" si="47"/>
        <v>0</v>
      </c>
      <c r="AB618" s="237">
        <v>65521138</v>
      </c>
      <c r="AC618" s="237">
        <v>2238390</v>
      </c>
      <c r="AD618" s="237">
        <v>2238390</v>
      </c>
      <c r="AE618" s="237"/>
      <c r="AF618" s="237"/>
      <c r="AG618" s="237"/>
      <c r="AH618" s="237"/>
      <c r="AI618" s="237"/>
      <c r="AJ618" s="237"/>
      <c r="AK618" s="237"/>
      <c r="AL618" s="237"/>
      <c r="AM618" s="237"/>
      <c r="AN618" s="237"/>
      <c r="AO618" s="237"/>
      <c r="AP618" s="237"/>
      <c r="AQ618" s="237"/>
      <c r="AR618" s="237"/>
      <c r="AS618" s="237"/>
      <c r="AT618" s="360">
        <v>43362</v>
      </c>
      <c r="AU618" s="91">
        <f t="shared" si="48"/>
        <v>69997918</v>
      </c>
    </row>
    <row r="619" spans="2:47" ht="22.5" hidden="1" x14ac:dyDescent="0.25">
      <c r="B619" s="2" t="str">
        <f>+'Base de Datos'!E619</f>
        <v>180169-0-2018</v>
      </c>
      <c r="C619" s="2" t="str">
        <f>+'Base de Datos'!F619</f>
        <v>KEY MARKET SAS EN REORGANIZACION</v>
      </c>
      <c r="D619" s="2">
        <f>+'Base de Datos'!G619</f>
        <v>830073623</v>
      </c>
      <c r="E619" s="2" t="str">
        <f>+'Base de Datos'!H619</f>
        <v>Proveer medios magnéticos para copias de respaldo para el Concejo de Bogotá.</v>
      </c>
      <c r="F619" s="221">
        <f>+'Base de Datos'!I619</f>
        <v>26614000</v>
      </c>
      <c r="G619" s="220">
        <f>+'Base de Datos'!M619</f>
        <v>43227</v>
      </c>
      <c r="H619" s="220">
        <f>+'Base de Datos'!N619</f>
        <v>43287</v>
      </c>
      <c r="I619" s="179"/>
      <c r="J619" s="360"/>
      <c r="K619" s="237"/>
      <c r="L619" s="363"/>
      <c r="M619" s="179"/>
      <c r="N619" s="360"/>
      <c r="O619" s="179"/>
      <c r="P619" s="365"/>
      <c r="Q619" s="86">
        <f t="shared" si="46"/>
        <v>0</v>
      </c>
      <c r="R619" s="284"/>
      <c r="S619" s="360"/>
      <c r="T619" s="179"/>
      <c r="U619" s="360"/>
      <c r="V619" s="179"/>
      <c r="W619" s="360"/>
      <c r="X619" s="179"/>
      <c r="Y619" s="360"/>
      <c r="Z619" s="353"/>
      <c r="AA619" s="89">
        <f t="shared" si="47"/>
        <v>0</v>
      </c>
      <c r="AB619" s="237">
        <v>26614000</v>
      </c>
      <c r="AC619" s="237"/>
      <c r="AD619" s="237"/>
      <c r="AE619" s="237"/>
      <c r="AF619" s="237"/>
      <c r="AG619" s="237"/>
      <c r="AH619" s="237"/>
      <c r="AI619" s="237"/>
      <c r="AJ619" s="237"/>
      <c r="AK619" s="237"/>
      <c r="AL619" s="237"/>
      <c r="AM619" s="237"/>
      <c r="AN619" s="237"/>
      <c r="AO619" s="237"/>
      <c r="AP619" s="237"/>
      <c r="AQ619" s="237"/>
      <c r="AR619" s="237"/>
      <c r="AS619" s="237"/>
      <c r="AT619" s="360">
        <v>43266</v>
      </c>
      <c r="AU619" s="91">
        <f t="shared" si="48"/>
        <v>26614000</v>
      </c>
    </row>
    <row r="620" spans="2:47" ht="22.5" hidden="1" x14ac:dyDescent="0.25">
      <c r="B620" s="2" t="str">
        <f>+'Base de Datos'!E620</f>
        <v>180158-0-2018</v>
      </c>
      <c r="C620" s="2" t="str">
        <f>+'Base de Datos'!F620</f>
        <v>CAR SCANNERS SAS</v>
      </c>
      <c r="D620" s="2">
        <f>+'Base de Datos'!G620</f>
        <v>900693270</v>
      </c>
      <c r="E620" s="2" t="str">
        <f>+'Base de Datos'!H620</f>
        <v>Prestar los servicios de mantenimiento periódico preventivo para los vehículos del Concejo de Bogotá D.C.</v>
      </c>
      <c r="F620" s="221">
        <f>+'Base de Datos'!I620</f>
        <v>35650000</v>
      </c>
      <c r="G620" s="220">
        <f>+'Base de Datos'!M620</f>
        <v>43217</v>
      </c>
      <c r="H620" s="220">
        <f>+'Base de Datos'!N620</f>
        <v>43581</v>
      </c>
      <c r="I620" s="179"/>
      <c r="J620" s="360"/>
      <c r="K620" s="237"/>
      <c r="L620" s="363"/>
      <c r="M620" s="179"/>
      <c r="N620" s="360"/>
      <c r="O620" s="179"/>
      <c r="P620" s="365"/>
      <c r="Q620" s="86">
        <f t="shared" si="46"/>
        <v>0</v>
      </c>
      <c r="R620" s="284"/>
      <c r="S620" s="360"/>
      <c r="T620" s="179"/>
      <c r="U620" s="360"/>
      <c r="V620" s="179"/>
      <c r="W620" s="360"/>
      <c r="X620" s="179"/>
      <c r="Y620" s="360"/>
      <c r="Z620" s="353"/>
      <c r="AA620" s="89">
        <f t="shared" si="47"/>
        <v>0</v>
      </c>
      <c r="AB620" s="237">
        <v>803361</v>
      </c>
      <c r="AC620" s="237">
        <v>521350</v>
      </c>
      <c r="AD620" s="237">
        <v>2599524</v>
      </c>
      <c r="AE620" s="237">
        <v>1051401</v>
      </c>
      <c r="AF620" s="237">
        <v>1047254</v>
      </c>
      <c r="AG620" s="237">
        <v>870754</v>
      </c>
      <c r="AH620" s="237">
        <v>739643</v>
      </c>
      <c r="AI620" s="237">
        <v>801415</v>
      </c>
      <c r="AJ620" s="237"/>
      <c r="AK620" s="237"/>
      <c r="AL620" s="237"/>
      <c r="AM620" s="237"/>
      <c r="AN620" s="237"/>
      <c r="AO620" s="237"/>
      <c r="AP620" s="237"/>
      <c r="AQ620" s="237"/>
      <c r="AR620" s="237"/>
      <c r="AS620" s="237"/>
      <c r="AT620" s="360">
        <v>43608</v>
      </c>
      <c r="AU620" s="91">
        <f t="shared" si="48"/>
        <v>8434702</v>
      </c>
    </row>
    <row r="621" spans="2:47" ht="67.5" hidden="1" x14ac:dyDescent="0.25">
      <c r="B621" s="2" t="str">
        <f>+'Base de Datos'!E621</f>
        <v>180172-0-2018</v>
      </c>
      <c r="C621" s="2" t="str">
        <f>+'Base de Datos'!F621</f>
        <v>J Y F INVERSIONES SAS</v>
      </c>
      <c r="D621" s="2">
        <f>+'Base de Datos'!G621</f>
        <v>900424713</v>
      </c>
      <c r="E621" s="2" t="str">
        <f>+'Base de Datos'!H621</f>
        <v>Prestar servicios de alquiler de escenarios como salones, auditorios y espacios  abiertos, apoyo logísticos y servicios de catering  para el desarrollo de eventos que requieran el Concejo de Bogotá D.C., de conformidad con lo establecido en la invitación pública del proceso citado en el asunto y la propuesta por ustedes presentada.</v>
      </c>
      <c r="F621" s="221">
        <f>+'Base de Datos'!I621</f>
        <v>55000000</v>
      </c>
      <c r="G621" s="220">
        <f>+'Base de Datos'!M621</f>
        <v>43227</v>
      </c>
      <c r="H621" s="220">
        <f>+'Base de Datos'!N621</f>
        <v>43287</v>
      </c>
      <c r="I621" s="179"/>
      <c r="J621" s="360"/>
      <c r="K621" s="237"/>
      <c r="L621" s="363"/>
      <c r="M621" s="179"/>
      <c r="N621" s="360"/>
      <c r="O621" s="179"/>
      <c r="P621" s="365"/>
      <c r="Q621" s="86">
        <f t="shared" si="46"/>
        <v>0</v>
      </c>
      <c r="R621" s="284" t="s">
        <v>4130</v>
      </c>
      <c r="S621" s="360">
        <v>43322</v>
      </c>
      <c r="T621" s="179"/>
      <c r="U621" s="360"/>
      <c r="V621" s="179"/>
      <c r="W621" s="360"/>
      <c r="X621" s="179"/>
      <c r="Y621" s="360"/>
      <c r="Z621" s="284" t="s">
        <v>4130</v>
      </c>
      <c r="AA621" s="89">
        <f t="shared" si="47"/>
        <v>43322</v>
      </c>
      <c r="AB621" s="237">
        <v>34774800</v>
      </c>
      <c r="AC621" s="237">
        <v>2425500</v>
      </c>
      <c r="AD621" s="237"/>
      <c r="AE621" s="237"/>
      <c r="AF621" s="237"/>
      <c r="AG621" s="237"/>
      <c r="AH621" s="237"/>
      <c r="AI621" s="237"/>
      <c r="AJ621" s="237"/>
      <c r="AK621" s="237"/>
      <c r="AL621" s="237"/>
      <c r="AM621" s="237"/>
      <c r="AN621" s="237"/>
      <c r="AO621" s="237"/>
      <c r="AP621" s="237"/>
      <c r="AQ621" s="237"/>
      <c r="AR621" s="237"/>
      <c r="AS621" s="237"/>
      <c r="AT621" s="360">
        <v>43413</v>
      </c>
      <c r="AU621" s="91">
        <f t="shared" si="48"/>
        <v>37200300</v>
      </c>
    </row>
    <row r="622" spans="2:47" ht="22.5" hidden="1" x14ac:dyDescent="0.25">
      <c r="B622" s="2" t="str">
        <f>+'Base de Datos'!E622</f>
        <v>180171-0-2018</v>
      </c>
      <c r="C622" s="2" t="str">
        <f>+'Base de Datos'!F622</f>
        <v>M.A. ELECTRONIKA SAS</v>
      </c>
      <c r="D622" s="2">
        <f>+'Base de Datos'!G622</f>
        <v>900011339</v>
      </c>
      <c r="E622" s="2" t="str">
        <f>+'Base de Datos'!H622</f>
        <v>Adquisición de monitores industriales para el Concejo de Bogotá</v>
      </c>
      <c r="F622" s="221">
        <f>+'Base de Datos'!I622</f>
        <v>19027386</v>
      </c>
      <c r="G622" s="220">
        <f>+'Base de Datos'!M622</f>
        <v>43231</v>
      </c>
      <c r="H622" s="220">
        <f>+'Base de Datos'!N622</f>
        <v>43322</v>
      </c>
      <c r="I622" s="179"/>
      <c r="J622" s="360"/>
      <c r="K622" s="237"/>
      <c r="L622" s="363"/>
      <c r="M622" s="179"/>
      <c r="N622" s="360"/>
      <c r="O622" s="179"/>
      <c r="P622" s="365"/>
      <c r="Q622" s="86">
        <f t="shared" si="46"/>
        <v>0</v>
      </c>
      <c r="R622" s="284"/>
      <c r="S622" s="360"/>
      <c r="T622" s="179"/>
      <c r="U622" s="360"/>
      <c r="V622" s="179"/>
      <c r="W622" s="360"/>
      <c r="X622" s="179"/>
      <c r="Y622" s="360"/>
      <c r="Z622" s="353"/>
      <c r="AA622" s="89">
        <f t="shared" si="47"/>
        <v>0</v>
      </c>
      <c r="AB622" s="237">
        <v>19027386</v>
      </c>
      <c r="AC622" s="237"/>
      <c r="AD622" s="237"/>
      <c r="AE622" s="237"/>
      <c r="AF622" s="237"/>
      <c r="AG622" s="237"/>
      <c r="AH622" s="237"/>
      <c r="AI622" s="237"/>
      <c r="AJ622" s="237"/>
      <c r="AK622" s="237"/>
      <c r="AL622" s="237"/>
      <c r="AM622" s="237"/>
      <c r="AN622" s="237"/>
      <c r="AO622" s="237"/>
      <c r="AP622" s="237"/>
      <c r="AQ622" s="237"/>
      <c r="AR622" s="237"/>
      <c r="AS622" s="237"/>
      <c r="AT622" s="360">
        <v>43293</v>
      </c>
      <c r="AU622" s="91">
        <f t="shared" si="48"/>
        <v>19027386</v>
      </c>
    </row>
    <row r="623" spans="2:47" ht="90" hidden="1" x14ac:dyDescent="0.25">
      <c r="B623" s="2" t="str">
        <f>+'Base de Datos'!E623</f>
        <v>180177-0-2018</v>
      </c>
      <c r="C623" s="2" t="str">
        <f>+'Base de Datos'!F623</f>
        <v>UT ZONA SECANCOL 2018</v>
      </c>
      <c r="D623" s="2" t="str">
        <f>+'Base de Datos'!G623</f>
        <v>901179382-6</v>
      </c>
      <c r="E623" s="2" t="str">
        <f>+'Base de Datos'!H623</f>
        <v xml:space="preserve">Prestar servicio de vigilancia y seguridad privada, para la permanente y adecuada protección de los funcionarios, contratistas, visitantes, contribuyentes y usuarios del Concejo de Bogotá, D.C., y los bienes muebles e inmuebles objeto de esta contratación, de conformidad con lo dispuesto en el pliego de condiciones del proceso SDH-LP-01-2018 y la proupesta presentada por el contratista. </v>
      </c>
      <c r="F623" s="221">
        <f>+'Base de Datos'!I623</f>
        <v>1083000000</v>
      </c>
      <c r="G623" s="220">
        <f>+'Base de Datos'!M623</f>
        <v>43232</v>
      </c>
      <c r="H623" s="220">
        <f>+'Base de Datos'!N623</f>
        <v>43523</v>
      </c>
      <c r="I623" s="179">
        <v>25500000</v>
      </c>
      <c r="J623" s="360">
        <v>43584</v>
      </c>
      <c r="K623" s="237"/>
      <c r="L623" s="363"/>
      <c r="M623" s="179"/>
      <c r="N623" s="360"/>
      <c r="O623" s="179"/>
      <c r="P623" s="365"/>
      <c r="Q623" s="86">
        <f t="shared" si="46"/>
        <v>25500000</v>
      </c>
      <c r="R623" s="849" t="s">
        <v>4700</v>
      </c>
      <c r="S623" s="360">
        <v>43585</v>
      </c>
      <c r="T623" s="179" t="s">
        <v>381</v>
      </c>
      <c r="U623" s="360">
        <v>43615</v>
      </c>
      <c r="V623" s="179"/>
      <c r="W623" s="360"/>
      <c r="X623" s="179"/>
      <c r="Y623" s="360"/>
      <c r="Z623" s="849" t="s">
        <v>2979</v>
      </c>
      <c r="AA623" s="89">
        <f t="shared" si="47"/>
        <v>43615</v>
      </c>
      <c r="AB623" s="237">
        <v>53615657</v>
      </c>
      <c r="AC623" s="237">
        <v>85869199</v>
      </c>
      <c r="AD623" s="237">
        <v>84656413</v>
      </c>
      <c r="AE623" s="237">
        <v>1241135</v>
      </c>
      <c r="AF623" s="237">
        <v>85262865</v>
      </c>
      <c r="AG623" s="237">
        <v>84959639</v>
      </c>
      <c r="AH623" s="237">
        <v>85262865</v>
      </c>
      <c r="AI623" s="237">
        <v>84656413</v>
      </c>
      <c r="AJ623" s="237">
        <v>303226</v>
      </c>
      <c r="AK623" s="237">
        <v>85791942</v>
      </c>
      <c r="AL623" s="237">
        <v>90401128</v>
      </c>
      <c r="AM623" s="237">
        <v>89758293</v>
      </c>
      <c r="AN623" s="237">
        <v>89436877</v>
      </c>
      <c r="AO623" s="237"/>
      <c r="AP623" s="237">
        <v>90079711</v>
      </c>
      <c r="AQ623" s="237"/>
      <c r="AR623" s="237"/>
      <c r="AS623" s="237"/>
      <c r="AT623" s="360">
        <v>43627</v>
      </c>
      <c r="AU623" s="91">
        <f t="shared" si="48"/>
        <v>1011295363</v>
      </c>
    </row>
    <row r="624" spans="2:47" hidden="1" x14ac:dyDescent="0.25">
      <c r="B624" s="2" t="str">
        <f>+'Base de Datos'!E624</f>
        <v>180175-0-2018</v>
      </c>
      <c r="C624" s="2" t="str">
        <f>+'Base de Datos'!F624</f>
        <v>ALKOSTO SA</v>
      </c>
      <c r="D624" s="2" t="str">
        <f>+'Base de Datos'!G624</f>
        <v>8908900943-1</v>
      </c>
      <c r="E624" s="2" t="str">
        <f>+'Base de Datos'!H624</f>
        <v>Adquirir tablets para el Concejo de Bogotá</v>
      </c>
      <c r="F624" s="221">
        <f>+'Base de Datos'!I624</f>
        <v>6682215</v>
      </c>
      <c r="G624" s="220">
        <f>+'Base de Datos'!M624</f>
        <v>43228</v>
      </c>
      <c r="H624" s="220">
        <f>+'Base de Datos'!N624</f>
        <v>43236</v>
      </c>
      <c r="I624" s="179"/>
      <c r="J624" s="360"/>
      <c r="K624" s="237"/>
      <c r="L624" s="363"/>
      <c r="M624" s="179"/>
      <c r="N624" s="360"/>
      <c r="O624" s="179"/>
      <c r="P624" s="365"/>
      <c r="Q624" s="86">
        <f t="shared" si="46"/>
        <v>0</v>
      </c>
      <c r="R624" s="284"/>
      <c r="S624" s="360"/>
      <c r="T624" s="179"/>
      <c r="U624" s="360"/>
      <c r="V624" s="179"/>
      <c r="W624" s="360"/>
      <c r="X624" s="179"/>
      <c r="Y624" s="360"/>
      <c r="Z624" s="353"/>
      <c r="AA624" s="89">
        <f t="shared" si="47"/>
        <v>0</v>
      </c>
      <c r="AB624" s="237">
        <v>6682215</v>
      </c>
      <c r="AC624" s="237"/>
      <c r="AD624" s="237"/>
      <c r="AE624" s="237"/>
      <c r="AF624" s="237"/>
      <c r="AG624" s="237"/>
      <c r="AH624" s="237"/>
      <c r="AI624" s="237"/>
      <c r="AJ624" s="237"/>
      <c r="AK624" s="237"/>
      <c r="AL624" s="237"/>
      <c r="AM624" s="237"/>
      <c r="AN624" s="237"/>
      <c r="AO624" s="237"/>
      <c r="AP624" s="237"/>
      <c r="AQ624" s="237"/>
      <c r="AR624" s="237"/>
      <c r="AS624" s="237"/>
      <c r="AT624" s="360">
        <v>43241</v>
      </c>
      <c r="AU624" s="91">
        <f t="shared" si="48"/>
        <v>6682215</v>
      </c>
    </row>
    <row r="625" spans="2:47" ht="22.5" hidden="1" x14ac:dyDescent="0.25">
      <c r="B625" s="2" t="str">
        <f>+'Base de Datos'!E625</f>
        <v>180174-0-2018</v>
      </c>
      <c r="C625" s="2" t="str">
        <f>+'Base de Datos'!F625</f>
        <v>MACHINETRONICS SAS</v>
      </c>
      <c r="D625" s="2" t="str">
        <f>+'Base de Datos'!G625</f>
        <v>900042114-6</v>
      </c>
      <c r="E625" s="2" t="str">
        <f>+'Base de Datos'!H625</f>
        <v>Proveer solución de pantallas Video Wall para el Concejo de Bogotá</v>
      </c>
      <c r="F625" s="221">
        <f>+'Base de Datos'!I625</f>
        <v>49203666</v>
      </c>
      <c r="G625" s="220">
        <f>+'Base de Datos'!M625</f>
        <v>43237</v>
      </c>
      <c r="H625" s="220">
        <f>+'Base de Datos'!N625</f>
        <v>43328</v>
      </c>
      <c r="I625" s="179"/>
      <c r="J625" s="360"/>
      <c r="K625" s="237"/>
      <c r="L625" s="363"/>
      <c r="M625" s="179"/>
      <c r="N625" s="360"/>
      <c r="O625" s="179"/>
      <c r="P625" s="365"/>
      <c r="Q625" s="86">
        <f t="shared" si="46"/>
        <v>0</v>
      </c>
      <c r="R625" s="284"/>
      <c r="S625" s="360"/>
      <c r="T625" s="179"/>
      <c r="U625" s="360"/>
      <c r="V625" s="179"/>
      <c r="W625" s="360"/>
      <c r="X625" s="179"/>
      <c r="Y625" s="360"/>
      <c r="Z625" s="353"/>
      <c r="AA625" s="89">
        <f t="shared" si="47"/>
        <v>0</v>
      </c>
      <c r="AB625" s="237">
        <v>36743666</v>
      </c>
      <c r="AC625" s="237">
        <v>12460000</v>
      </c>
      <c r="AD625" s="237"/>
      <c r="AE625" s="237"/>
      <c r="AF625" s="237"/>
      <c r="AG625" s="237"/>
      <c r="AH625" s="237"/>
      <c r="AI625" s="237"/>
      <c r="AJ625" s="237"/>
      <c r="AK625" s="237"/>
      <c r="AL625" s="237"/>
      <c r="AM625" s="237"/>
      <c r="AN625" s="237"/>
      <c r="AO625" s="237"/>
      <c r="AP625" s="237"/>
      <c r="AQ625" s="237"/>
      <c r="AR625" s="237"/>
      <c r="AS625" s="237"/>
      <c r="AT625" s="360"/>
      <c r="AU625" s="91">
        <f t="shared" si="48"/>
        <v>49203666</v>
      </c>
    </row>
    <row r="626" spans="2:47" ht="56.25" hidden="1" x14ac:dyDescent="0.25">
      <c r="B626" s="2" t="str">
        <f>+'Base de Datos'!E626</f>
        <v>180176-0-2018</v>
      </c>
      <c r="C626" s="2" t="str">
        <f>+'Base de Datos'!F626</f>
        <v xml:space="preserve">COMERCIALIZADORA, SERVICIOS Y MANTENIMIENTO "DICXON ALEXANDER PATIÑO MORENO" SAS- COSERMAN SAS CC </v>
      </c>
      <c r="D626" s="2" t="str">
        <f>+'Base de Datos'!G626</f>
        <v>901148476-1</v>
      </c>
      <c r="E626" s="2" t="str">
        <f>+'Base de Datos'!H626</f>
        <v xml:space="preserve">Prestar los servicios de mantenimiento correctivo  correspondiente a la reparación y corrección de las sillas existentes en el Concejo de Bogotá, D.C., con el suministro de repuestos necesarios para su correcto funcionamiento. </v>
      </c>
      <c r="F626" s="221">
        <f>+'Base de Datos'!I626</f>
        <v>33190000</v>
      </c>
      <c r="G626" s="220">
        <f>+'Base de Datos'!M626</f>
        <v>43241</v>
      </c>
      <c r="H626" s="220">
        <f>+'Base de Datos'!N626</f>
        <v>43516</v>
      </c>
      <c r="I626" s="179"/>
      <c r="J626" s="360"/>
      <c r="K626" s="237"/>
      <c r="L626" s="363"/>
      <c r="M626" s="179"/>
      <c r="N626" s="360"/>
      <c r="O626" s="179"/>
      <c r="P626" s="365"/>
      <c r="Q626" s="86">
        <f t="shared" si="46"/>
        <v>0</v>
      </c>
      <c r="R626" s="284"/>
      <c r="S626" s="360"/>
      <c r="T626" s="179"/>
      <c r="U626" s="360"/>
      <c r="V626" s="179"/>
      <c r="W626" s="360"/>
      <c r="X626" s="179"/>
      <c r="Y626" s="360"/>
      <c r="Z626" s="353"/>
      <c r="AA626" s="89">
        <f t="shared" si="47"/>
        <v>0</v>
      </c>
      <c r="AB626" s="237">
        <v>5454796</v>
      </c>
      <c r="AC626" s="237">
        <v>4432417</v>
      </c>
      <c r="AD626" s="237">
        <v>3868360</v>
      </c>
      <c r="AE626" s="237">
        <v>7505912</v>
      </c>
      <c r="AF626" s="237">
        <v>5521880</v>
      </c>
      <c r="AG626" s="237">
        <v>4404240</v>
      </c>
      <c r="AH626" s="237">
        <v>2002320</v>
      </c>
      <c r="AI626" s="237"/>
      <c r="AJ626" s="237"/>
      <c r="AK626" s="237"/>
      <c r="AL626" s="237"/>
      <c r="AM626" s="237"/>
      <c r="AN626" s="237"/>
      <c r="AO626" s="237"/>
      <c r="AP626" s="237"/>
      <c r="AQ626" s="237"/>
      <c r="AR626" s="237"/>
      <c r="AS626" s="237"/>
      <c r="AT626" s="360">
        <v>43566</v>
      </c>
      <c r="AU626" s="91">
        <f t="shared" si="48"/>
        <v>33189925</v>
      </c>
    </row>
    <row r="627" spans="2:47" ht="22.5" hidden="1" x14ac:dyDescent="0.25">
      <c r="B627" s="2" t="str">
        <f>+'Base de Datos'!E627</f>
        <v>180179-0-2018</v>
      </c>
      <c r="C627" s="2" t="str">
        <f>+'Base de Datos'!F627</f>
        <v>GRUPO JARVAN Y DYS SAS</v>
      </c>
      <c r="D627" s="2" t="str">
        <f>+'Base de Datos'!G627</f>
        <v>900921716-1</v>
      </c>
      <c r="E627" s="2" t="str">
        <f>+'Base de Datos'!H627</f>
        <v>Suministro de elementos de promoción institucional y actos protocolarios del Concejo de Bogotá</v>
      </c>
      <c r="F627" s="221">
        <f>+'Base de Datos'!I627</f>
        <v>46208000</v>
      </c>
      <c r="G627" s="220">
        <f>+'Base de Datos'!M627</f>
        <v>43244</v>
      </c>
      <c r="H627" s="220">
        <f>+'Base de Datos'!N627</f>
        <v>43608</v>
      </c>
      <c r="I627" s="179"/>
      <c r="J627" s="360"/>
      <c r="K627" s="237"/>
      <c r="L627" s="363"/>
      <c r="M627" s="179"/>
      <c r="N627" s="360"/>
      <c r="O627" s="179"/>
      <c r="P627" s="365"/>
      <c r="Q627" s="86">
        <f t="shared" si="46"/>
        <v>0</v>
      </c>
      <c r="R627" s="284"/>
      <c r="S627" s="360"/>
      <c r="T627" s="179"/>
      <c r="U627" s="360"/>
      <c r="V627" s="179"/>
      <c r="W627" s="360"/>
      <c r="X627" s="179"/>
      <c r="Y627" s="360"/>
      <c r="Z627" s="353"/>
      <c r="AA627" s="89">
        <f t="shared" si="47"/>
        <v>0</v>
      </c>
      <c r="AB627" s="237">
        <v>22730000</v>
      </c>
      <c r="AC627" s="237">
        <v>19193940</v>
      </c>
      <c r="AD627" s="237"/>
      <c r="AE627" s="237"/>
      <c r="AF627" s="237"/>
      <c r="AG627" s="237"/>
      <c r="AH627" s="237"/>
      <c r="AI627" s="237"/>
      <c r="AJ627" s="237"/>
      <c r="AK627" s="237"/>
      <c r="AL627" s="237"/>
      <c r="AM627" s="237"/>
      <c r="AN627" s="237"/>
      <c r="AO627" s="237"/>
      <c r="AP627" s="237"/>
      <c r="AQ627" s="237"/>
      <c r="AR627" s="237"/>
      <c r="AS627" s="237"/>
      <c r="AT627" s="360">
        <v>43609</v>
      </c>
      <c r="AU627" s="91">
        <f t="shared" si="48"/>
        <v>41923940</v>
      </c>
    </row>
    <row r="628" spans="2:47" ht="56.25" hidden="1" x14ac:dyDescent="0.25">
      <c r="B628" s="2" t="str">
        <f>+'Base de Datos'!E628</f>
        <v>180181-0-2018</v>
      </c>
      <c r="C628" s="2" t="str">
        <f>+'Base de Datos'!F628</f>
        <v>ASEAR S.A. ESP</v>
      </c>
      <c r="D628" s="2">
        <f>+'Base de Datos'!G628</f>
        <v>811044253</v>
      </c>
      <c r="E628" s="2" t="str">
        <f>+'Base de Datos'!H628</f>
        <v>Prestar servicios integrales de aseo y cafetería y servicio de fumigación para las instalaciones del Concejo de Bogotá, D.C., de conformidad con lo establecido en el pliego de condiciones de la Licitación Pública No. SDH-LP-02-2018 y la propuesta presentada por el contratista.</v>
      </c>
      <c r="F628" s="221">
        <f>+'Base de Datos'!I628</f>
        <v>314000000</v>
      </c>
      <c r="G628" s="220">
        <f>+'Base de Datos'!M628</f>
        <v>43252</v>
      </c>
      <c r="H628" s="220">
        <f>+'Base de Datos'!N628</f>
        <v>43510</v>
      </c>
      <c r="I628" s="179">
        <v>72000000</v>
      </c>
      <c r="J628" s="360">
        <v>43539</v>
      </c>
      <c r="K628" s="237">
        <v>25744384</v>
      </c>
      <c r="L628" s="363">
        <v>43600</v>
      </c>
      <c r="M628" s="179"/>
      <c r="N628" s="360"/>
      <c r="O628" s="179"/>
      <c r="P628" s="365"/>
      <c r="Q628" s="86">
        <f t="shared" si="46"/>
        <v>97744384</v>
      </c>
      <c r="R628" s="284" t="s">
        <v>381</v>
      </c>
      <c r="S628" s="360">
        <v>43539</v>
      </c>
      <c r="T628" s="179" t="s">
        <v>378</v>
      </c>
      <c r="U628" s="360">
        <v>43600</v>
      </c>
      <c r="V628" s="179" t="s">
        <v>381</v>
      </c>
      <c r="W628" s="360">
        <v>43631</v>
      </c>
      <c r="X628" s="179"/>
      <c r="Y628" s="360"/>
      <c r="Z628" s="353" t="s">
        <v>4939</v>
      </c>
      <c r="AA628" s="89">
        <f>MAX(S628,U628,W628,Y628)</f>
        <v>43631</v>
      </c>
      <c r="AB628" s="237">
        <v>33141016</v>
      </c>
      <c r="AC628" s="237">
        <v>32397351</v>
      </c>
      <c r="AD628" s="237">
        <v>35404576</v>
      </c>
      <c r="AE628" s="237">
        <v>37757829</v>
      </c>
      <c r="AF628" s="237">
        <v>29912535</v>
      </c>
      <c r="AG628" s="237">
        <v>28760330</v>
      </c>
      <c r="AH628" s="237">
        <v>30763865</v>
      </c>
      <c r="AI628" s="237">
        <v>33154594</v>
      </c>
      <c r="AJ628" s="237">
        <v>32272294</v>
      </c>
      <c r="AK628" s="237">
        <v>16390711</v>
      </c>
      <c r="AL628" s="237">
        <v>14657609</v>
      </c>
      <c r="AM628" s="237"/>
      <c r="AN628" s="237"/>
      <c r="AO628" s="237"/>
      <c r="AP628" s="237"/>
      <c r="AQ628" s="237"/>
      <c r="AR628" s="237"/>
      <c r="AS628" s="237"/>
      <c r="AT628" s="360">
        <v>43608</v>
      </c>
      <c r="AU628" s="91">
        <f t="shared" si="48"/>
        <v>324612710</v>
      </c>
    </row>
    <row r="629" spans="2:47" ht="33.75" hidden="1" x14ac:dyDescent="0.25">
      <c r="B629" s="2" t="str">
        <f>+'Base de Datos'!E629</f>
        <v>180184-0-2018</v>
      </c>
      <c r="C629" s="2" t="str">
        <f>+'Base de Datos'!F629</f>
        <v>INGENIERIA DE BOMBAS Y PLANTAS SAS</v>
      </c>
      <c r="D629" s="2">
        <f>+'Base de Datos'!G629</f>
        <v>900152368</v>
      </c>
      <c r="E629" s="2" t="str">
        <f>+'Base de Datos'!H629</f>
        <v>Prestar servicios de mantenimiento para los tanques de almacenamiento y equipos de bombeo hidráulicos de agua potable, residual y aguas negras del Concejo de Bogotá.</v>
      </c>
      <c r="F629" s="221">
        <f>+'Base de Datos'!I629</f>
        <v>4600000</v>
      </c>
      <c r="G629" s="220">
        <f>+'Base de Datos'!M629</f>
        <v>43272</v>
      </c>
      <c r="H629" s="220">
        <f>+'Base de Datos'!N629</f>
        <v>43636</v>
      </c>
      <c r="I629" s="179"/>
      <c r="J629" s="360"/>
      <c r="K629" s="237"/>
      <c r="L629" s="363"/>
      <c r="M629" s="179"/>
      <c r="N629" s="360"/>
      <c r="O629" s="179"/>
      <c r="P629" s="365"/>
      <c r="Q629" s="86">
        <f t="shared" si="46"/>
        <v>0</v>
      </c>
      <c r="R629" s="284"/>
      <c r="S629" s="360"/>
      <c r="T629" s="179"/>
      <c r="U629" s="360"/>
      <c r="V629" s="179"/>
      <c r="W629" s="360"/>
      <c r="X629" s="179"/>
      <c r="Y629" s="360"/>
      <c r="Z629" s="353"/>
      <c r="AA629" s="89">
        <f t="shared" si="47"/>
        <v>0</v>
      </c>
      <c r="AB629" s="237">
        <v>360000</v>
      </c>
      <c r="AC629" s="237"/>
      <c r="AD629" s="237"/>
      <c r="AE629" s="237"/>
      <c r="AF629" s="237"/>
      <c r="AG629" s="237"/>
      <c r="AH629" s="237"/>
      <c r="AI629" s="237"/>
      <c r="AJ629" s="237"/>
      <c r="AK629" s="237"/>
      <c r="AL629" s="237"/>
      <c r="AM629" s="237"/>
      <c r="AN629" s="237"/>
      <c r="AO629" s="237"/>
      <c r="AP629" s="237"/>
      <c r="AQ629" s="237"/>
      <c r="AR629" s="237"/>
      <c r="AS629" s="237"/>
      <c r="AT629" s="360">
        <v>43390</v>
      </c>
      <c r="AU629" s="91">
        <f t="shared" si="48"/>
        <v>360000</v>
      </c>
    </row>
    <row r="630" spans="2:47" ht="22.5" hidden="1" x14ac:dyDescent="0.25">
      <c r="B630" s="2" t="str">
        <f>+'Base de Datos'!E630</f>
        <v>180182-0-2018</v>
      </c>
      <c r="C630" s="2" t="str">
        <f>+'Base de Datos'!F630</f>
        <v>SGS COLOMBIA SAS</v>
      </c>
      <c r="D630" s="2" t="str">
        <f>+'Base de Datos'!G630</f>
        <v>860049921-0</v>
      </c>
      <c r="E630" s="2" t="str">
        <f>+'Base de Datos'!H630</f>
        <v>Realizar las auditorias para la recertificación del Sistema de Gestión de Calidad del Concejo de Bogotá</v>
      </c>
      <c r="F630" s="221">
        <f>+'Base de Datos'!I630</f>
        <v>7663600</v>
      </c>
      <c r="G630" s="220">
        <f>+'Base de Datos'!M630</f>
        <v>43263</v>
      </c>
      <c r="H630" s="220">
        <f>+'Base de Datos'!N630</f>
        <v>43384</v>
      </c>
      <c r="I630" s="179"/>
      <c r="J630" s="360"/>
      <c r="K630" s="237"/>
      <c r="L630" s="363"/>
      <c r="M630" s="179"/>
      <c r="N630" s="360"/>
      <c r="O630" s="179"/>
      <c r="P630" s="365"/>
      <c r="Q630" s="86">
        <f t="shared" si="46"/>
        <v>0</v>
      </c>
      <c r="R630" s="284" t="s">
        <v>378</v>
      </c>
      <c r="S630" s="360">
        <v>43445</v>
      </c>
      <c r="T630" s="179"/>
      <c r="U630" s="360"/>
      <c r="V630" s="179"/>
      <c r="W630" s="360"/>
      <c r="X630" s="179"/>
      <c r="Y630" s="360"/>
      <c r="Z630" s="353" t="s">
        <v>378</v>
      </c>
      <c r="AA630" s="89">
        <f t="shared" si="47"/>
        <v>43445</v>
      </c>
      <c r="AB630" s="237">
        <v>7663600</v>
      </c>
      <c r="AC630" s="237"/>
      <c r="AD630" s="237"/>
      <c r="AE630" s="237"/>
      <c r="AF630" s="237"/>
      <c r="AG630" s="237"/>
      <c r="AH630" s="237"/>
      <c r="AI630" s="237"/>
      <c r="AJ630" s="237"/>
      <c r="AK630" s="237"/>
      <c r="AL630" s="237"/>
      <c r="AM630" s="237"/>
      <c r="AN630" s="237"/>
      <c r="AO630" s="237"/>
      <c r="AP630" s="237"/>
      <c r="AQ630" s="237"/>
      <c r="AR630" s="237"/>
      <c r="AS630" s="237"/>
      <c r="AT630" s="360">
        <v>43483</v>
      </c>
      <c r="AU630" s="91">
        <f t="shared" si="48"/>
        <v>7663600</v>
      </c>
    </row>
    <row r="631" spans="2:47" ht="33.75" hidden="1" x14ac:dyDescent="0.25">
      <c r="B631" s="2" t="str">
        <f>+'Base de Datos'!E631</f>
        <v>180173-0-2018</v>
      </c>
      <c r="C631" s="2" t="str">
        <f>+'Base de Datos'!F631</f>
        <v>COLOMBIANA DE SOFTWARE Y HARDWARE COLSOF S.A.</v>
      </c>
      <c r="D631" s="2">
        <f>+'Base de Datos'!G631</f>
        <v>800015583</v>
      </c>
      <c r="E631" s="2" t="str">
        <f>+'Base de Datos'!H631</f>
        <v>Proveer Licenciamiento Data protector, de conformidad con lo establecido en la invitación pública del proceso citado en el asunto y la propuesta por usted presentada.</v>
      </c>
      <c r="F631" s="221">
        <f>+'Base de Datos'!I631</f>
        <v>13499360</v>
      </c>
      <c r="G631" s="220">
        <f>+'Base de Datos'!M631</f>
        <v>43332</v>
      </c>
      <c r="H631" s="220">
        <f>+'Base de Datos'!N631</f>
        <v>43392</v>
      </c>
      <c r="I631" s="179"/>
      <c r="J631" s="360"/>
      <c r="K631" s="237"/>
      <c r="L631" s="363"/>
      <c r="M631" s="179"/>
      <c r="N631" s="360"/>
      <c r="O631" s="179"/>
      <c r="P631" s="365"/>
      <c r="Q631" s="86">
        <f t="shared" si="46"/>
        <v>0</v>
      </c>
      <c r="R631" s="284"/>
      <c r="S631" s="360"/>
      <c r="T631" s="179"/>
      <c r="U631" s="360"/>
      <c r="V631" s="179"/>
      <c r="W631" s="360"/>
      <c r="X631" s="179"/>
      <c r="Y631" s="360"/>
      <c r="Z631" s="353"/>
      <c r="AA631" s="89">
        <f t="shared" si="47"/>
        <v>0</v>
      </c>
      <c r="AB631" s="237">
        <v>13499360</v>
      </c>
      <c r="AC631" s="237"/>
      <c r="AD631" s="237"/>
      <c r="AE631" s="237"/>
      <c r="AF631" s="237"/>
      <c r="AG631" s="237"/>
      <c r="AH631" s="237"/>
      <c r="AI631" s="237"/>
      <c r="AJ631" s="237"/>
      <c r="AK631" s="237"/>
      <c r="AL631" s="237"/>
      <c r="AM631" s="237"/>
      <c r="AN631" s="237"/>
      <c r="AO631" s="237"/>
      <c r="AP631" s="237"/>
      <c r="AQ631" s="237"/>
      <c r="AR631" s="237"/>
      <c r="AS631" s="237"/>
      <c r="AT631" s="360">
        <v>43395</v>
      </c>
      <c r="AU631" s="91">
        <f t="shared" si="48"/>
        <v>13499360</v>
      </c>
    </row>
    <row r="632" spans="2:47" ht="33.75" hidden="1" x14ac:dyDescent="0.25">
      <c r="B632" s="2" t="str">
        <f>+'Base de Datos'!E632</f>
        <v>180205-0-2018</v>
      </c>
      <c r="C632" s="2" t="str">
        <f>+'Base de Datos'!F632</f>
        <v xml:space="preserve">ARANDA SOFTWARE ANDINA SAS  </v>
      </c>
      <c r="D632" s="2">
        <f>+'Base de Datos'!G632</f>
        <v>830099766</v>
      </c>
      <c r="E632" s="2" t="str">
        <f>+'Base de Datos'!H632</f>
        <v>Prestar servicios de actualización y soporte para el software para la gestión de la mesa de servicios - Aranda para el Concejo de Bogotá</v>
      </c>
      <c r="F632" s="221">
        <f>+'Base de Datos'!I632</f>
        <v>57462030</v>
      </c>
      <c r="G632" s="220">
        <f>+'Base de Datos'!M632</f>
        <v>43304</v>
      </c>
      <c r="H632" s="220">
        <f>+'Base de Datos'!N632</f>
        <v>43577</v>
      </c>
      <c r="I632" s="179"/>
      <c r="J632" s="360"/>
      <c r="K632" s="237"/>
      <c r="L632" s="363"/>
      <c r="M632" s="179"/>
      <c r="N632" s="360"/>
      <c r="O632" s="179"/>
      <c r="P632" s="365"/>
      <c r="Q632" s="86">
        <f t="shared" si="46"/>
        <v>0</v>
      </c>
      <c r="R632" s="284"/>
      <c r="S632" s="360"/>
      <c r="T632" s="179"/>
      <c r="U632" s="360"/>
      <c r="V632" s="179"/>
      <c r="W632" s="360"/>
      <c r="X632" s="179"/>
      <c r="Y632" s="360"/>
      <c r="Z632" s="353"/>
      <c r="AA632" s="89">
        <f t="shared" si="47"/>
        <v>0</v>
      </c>
      <c r="AB632" s="237">
        <v>32137050</v>
      </c>
      <c r="AC632" s="237">
        <v>14069433</v>
      </c>
      <c r="AD632" s="237"/>
      <c r="AE632" s="237"/>
      <c r="AF632" s="237"/>
      <c r="AG632" s="237"/>
      <c r="AH632" s="237"/>
      <c r="AI632" s="237"/>
      <c r="AJ632" s="237"/>
      <c r="AK632" s="237"/>
      <c r="AL632" s="237"/>
      <c r="AM632" s="237"/>
      <c r="AN632" s="237"/>
      <c r="AO632" s="237"/>
      <c r="AP632" s="237"/>
      <c r="AQ632" s="237"/>
      <c r="AR632" s="237"/>
      <c r="AS632" s="237"/>
      <c r="AT632" s="360">
        <v>43494</v>
      </c>
      <c r="AU632" s="91">
        <f t="shared" si="48"/>
        <v>46206483</v>
      </c>
    </row>
    <row r="633" spans="2:47" ht="45" hidden="1" x14ac:dyDescent="0.25">
      <c r="B633" s="2" t="str">
        <f>+'Base de Datos'!E633</f>
        <v>180195-0-2018</v>
      </c>
      <c r="C633" s="2" t="str">
        <f>+'Base de Datos'!F633</f>
        <v>HECTOR MANUEL LEON URQUIJO</v>
      </c>
      <c r="D633" s="2">
        <f>+'Base de Datos'!G633</f>
        <v>19258732</v>
      </c>
      <c r="E633" s="2" t="str">
        <f>+'Base de Datos'!H633</f>
        <v>Adquisición e instalación de mobiliario y adeacuación de las áreas para los servicios ubicados en el sotano de parqueaderos y para la oficina de presidencia del Concejo de Bogotá.</v>
      </c>
      <c r="F633" s="221">
        <f>+'Base de Datos'!I633</f>
        <v>52348000</v>
      </c>
      <c r="G633" s="220">
        <f>+'Base de Datos'!M633</f>
        <v>43297</v>
      </c>
      <c r="H633" s="220">
        <f>+'Base de Datos'!N633</f>
        <v>43358</v>
      </c>
      <c r="I633" s="179"/>
      <c r="J633" s="360"/>
      <c r="K633" s="237"/>
      <c r="L633" s="363"/>
      <c r="M633" s="179"/>
      <c r="N633" s="360"/>
      <c r="O633" s="179"/>
      <c r="P633" s="365"/>
      <c r="Q633" s="86">
        <f t="shared" si="46"/>
        <v>0</v>
      </c>
      <c r="R633" s="284"/>
      <c r="S633" s="360"/>
      <c r="T633" s="179"/>
      <c r="U633" s="360"/>
      <c r="V633" s="179"/>
      <c r="W633" s="360"/>
      <c r="X633" s="179"/>
      <c r="Y633" s="360"/>
      <c r="Z633" s="353"/>
      <c r="AA633" s="89">
        <f t="shared" si="47"/>
        <v>0</v>
      </c>
      <c r="AB633" s="237">
        <v>52348000</v>
      </c>
      <c r="AC633" s="237"/>
      <c r="AD633" s="237"/>
      <c r="AE633" s="237"/>
      <c r="AF633" s="237"/>
      <c r="AG633" s="237"/>
      <c r="AH633" s="237"/>
      <c r="AI633" s="237"/>
      <c r="AJ633" s="237"/>
      <c r="AK633" s="237"/>
      <c r="AL633" s="237"/>
      <c r="AM633" s="237"/>
      <c r="AN633" s="237"/>
      <c r="AO633" s="237"/>
      <c r="AP633" s="237"/>
      <c r="AQ633" s="237"/>
      <c r="AR633" s="237"/>
      <c r="AS633" s="237"/>
      <c r="AT633" s="360">
        <v>43454</v>
      </c>
      <c r="AU633" s="91">
        <f t="shared" si="48"/>
        <v>52348000</v>
      </c>
    </row>
    <row r="634" spans="2:47" ht="22.5" hidden="1" x14ac:dyDescent="0.25">
      <c r="B634" s="2" t="str">
        <f>+'Base de Datos'!E634</f>
        <v>180192-0-2018</v>
      </c>
      <c r="C634" s="2" t="str">
        <f>+'Base de Datos'!F634</f>
        <v>TEAM MANAGEMENT INFRASTRUCTURE SAS</v>
      </c>
      <c r="D634" s="2">
        <f>+'Base de Datos'!G634</f>
        <v>900220002</v>
      </c>
      <c r="E634" s="2" t="str">
        <f>+'Base de Datos'!H634</f>
        <v>Prestar servicios de soporte y mantenimiento para la plataforma VMware del Concejo de Bogotá.</v>
      </c>
      <c r="F634" s="221">
        <f>+'Base de Datos'!I634</f>
        <v>43000000</v>
      </c>
      <c r="G634" s="220">
        <f>+'Base de Datos'!M634</f>
        <v>43286</v>
      </c>
      <c r="H634" s="220">
        <f>+'Base de Datos'!N634</f>
        <v>43650</v>
      </c>
      <c r="I634" s="179"/>
      <c r="J634" s="360"/>
      <c r="K634" s="237"/>
      <c r="L634" s="363"/>
      <c r="M634" s="179"/>
      <c r="N634" s="360"/>
      <c r="O634" s="179"/>
      <c r="P634" s="365"/>
      <c r="Q634" s="86">
        <f t="shared" si="46"/>
        <v>0</v>
      </c>
      <c r="R634" s="284"/>
      <c r="S634" s="360"/>
      <c r="T634" s="179"/>
      <c r="U634" s="360"/>
      <c r="V634" s="179"/>
      <c r="W634" s="360"/>
      <c r="X634" s="179"/>
      <c r="Y634" s="360"/>
      <c r="Z634" s="353"/>
      <c r="AA634" s="89">
        <f t="shared" si="47"/>
        <v>0</v>
      </c>
      <c r="AB634" s="237">
        <v>38022658</v>
      </c>
      <c r="AC634" s="237">
        <v>1095015</v>
      </c>
      <c r="AD634" s="237">
        <v>1095015</v>
      </c>
      <c r="AE634" s="237">
        <v>1493202</v>
      </c>
      <c r="AF634" s="237">
        <v>995468</v>
      </c>
      <c r="AG634" s="237"/>
      <c r="AH634" s="237"/>
      <c r="AI634" s="237"/>
      <c r="AJ634" s="237"/>
      <c r="AK634" s="237"/>
      <c r="AL634" s="237"/>
      <c r="AM634" s="237"/>
      <c r="AN634" s="237"/>
      <c r="AO634" s="237"/>
      <c r="AP634" s="237"/>
      <c r="AQ634" s="237"/>
      <c r="AR634" s="237"/>
      <c r="AS634" s="237"/>
      <c r="AT634" s="360">
        <v>43556</v>
      </c>
      <c r="AU634" s="91">
        <f t="shared" si="48"/>
        <v>42701358</v>
      </c>
    </row>
    <row r="635" spans="2:47" ht="45" hidden="1" x14ac:dyDescent="0.25">
      <c r="B635" s="2" t="str">
        <f>+'Base de Datos'!E635</f>
        <v>180186-0-2018</v>
      </c>
      <c r="C635" s="2" t="str">
        <f>+'Base de Datos'!F635</f>
        <v>PURIFICADORES Y FILTROS INTERNACIONAL LTDA</v>
      </c>
      <c r="D635" s="2" t="str">
        <f>+'Base de Datos'!G635</f>
        <v>830021842-6</v>
      </c>
      <c r="E635" s="2" t="str">
        <f>+'Base de Datos'!H635</f>
        <v>Prestar servicios de mantenimiento preventivo con suministro de repuestos para plantas purificadoras semi-industriales de agua de la Secretaría Distrital de Hacienda y el Concejo de Bogotá.</v>
      </c>
      <c r="F635" s="221">
        <f>+'Base de Datos'!I635</f>
        <v>3059584</v>
      </c>
      <c r="G635" s="220">
        <f>+'Base de Datos'!M635</f>
        <v>43277</v>
      </c>
      <c r="H635" s="220">
        <f>+'Base de Datos'!N635</f>
        <v>43459</v>
      </c>
      <c r="I635" s="179"/>
      <c r="J635" s="360"/>
      <c r="K635" s="237"/>
      <c r="L635" s="363"/>
      <c r="M635" s="179"/>
      <c r="N635" s="360"/>
      <c r="O635" s="179"/>
      <c r="P635" s="365"/>
      <c r="Q635" s="86">
        <f t="shared" si="46"/>
        <v>0</v>
      </c>
      <c r="R635" s="284" t="s">
        <v>381</v>
      </c>
      <c r="S635" s="360">
        <v>43490</v>
      </c>
      <c r="T635" s="179"/>
      <c r="U635" s="360"/>
      <c r="V635" s="179"/>
      <c r="W635" s="360"/>
      <c r="X635" s="179"/>
      <c r="Y635" s="360"/>
      <c r="Z635" s="284" t="s">
        <v>381</v>
      </c>
      <c r="AA635" s="89">
        <f t="shared" si="47"/>
        <v>43490</v>
      </c>
      <c r="AB635" s="237">
        <v>578530</v>
      </c>
      <c r="AC635" s="237">
        <v>517569</v>
      </c>
      <c r="AD635" s="237"/>
      <c r="AE635" s="237"/>
      <c r="AF635" s="237"/>
      <c r="AG635" s="237"/>
      <c r="AH635" s="237"/>
      <c r="AI635" s="237"/>
      <c r="AJ635" s="237"/>
      <c r="AK635" s="237"/>
      <c r="AL635" s="237"/>
      <c r="AM635" s="237"/>
      <c r="AN635" s="237"/>
      <c r="AO635" s="237"/>
      <c r="AP635" s="237"/>
      <c r="AQ635" s="237"/>
      <c r="AR635" s="237"/>
      <c r="AS635" s="237"/>
      <c r="AT635" s="360">
        <v>43483</v>
      </c>
      <c r="AU635" s="91">
        <f t="shared" si="48"/>
        <v>1096099</v>
      </c>
    </row>
    <row r="636" spans="2:47" ht="33.75" hidden="1" x14ac:dyDescent="0.25">
      <c r="B636" s="2" t="str">
        <f>+'Base de Datos'!E636</f>
        <v>180207-0-2018</v>
      </c>
      <c r="C636" s="2" t="str">
        <f>+'Base de Datos'!F636</f>
        <v>TRANSPORTES COCOCARGA LTDA</v>
      </c>
      <c r="D636" s="2">
        <f>+'Base de Datos'!G636</f>
        <v>900332934</v>
      </c>
      <c r="E636" s="2" t="str">
        <f>+'Base de Datos'!H636</f>
        <v>Prestar servicio de transporte de bienes muebles, equipos de oficina y cajas de archivo documental para el Concejo de Bogotá</v>
      </c>
      <c r="F636" s="221">
        <f>+'Base de Datos'!I636</f>
        <v>2810000</v>
      </c>
      <c r="G636" s="220">
        <f>+'Base de Datos'!M636</f>
        <v>43311</v>
      </c>
      <c r="H636" s="220">
        <f>+'Base de Datos'!N636</f>
        <v>43494</v>
      </c>
      <c r="I636" s="179"/>
      <c r="J636" s="360"/>
      <c r="K636" s="237"/>
      <c r="L636" s="363"/>
      <c r="M636" s="179"/>
      <c r="N636" s="360"/>
      <c r="O636" s="179"/>
      <c r="P636" s="365"/>
      <c r="Q636" s="86">
        <f t="shared" si="46"/>
        <v>0</v>
      </c>
      <c r="R636" s="284"/>
      <c r="S636" s="360"/>
      <c r="T636" s="179"/>
      <c r="U636" s="360"/>
      <c r="V636" s="179"/>
      <c r="W636" s="360"/>
      <c r="X636" s="179"/>
      <c r="Y636" s="360"/>
      <c r="Z636" s="353"/>
      <c r="AA636" s="89">
        <f t="shared" si="47"/>
        <v>0</v>
      </c>
      <c r="AB636" s="237">
        <v>520000</v>
      </c>
      <c r="AC636" s="237">
        <v>1910000</v>
      </c>
      <c r="AD636" s="237"/>
      <c r="AE636" s="237"/>
      <c r="AF636" s="237"/>
      <c r="AG636" s="237"/>
      <c r="AH636" s="237"/>
      <c r="AI636" s="237"/>
      <c r="AJ636" s="237"/>
      <c r="AK636" s="237"/>
      <c r="AL636" s="237"/>
      <c r="AM636" s="237"/>
      <c r="AN636" s="237"/>
      <c r="AO636" s="237"/>
      <c r="AP636" s="237"/>
      <c r="AQ636" s="237"/>
      <c r="AR636" s="237"/>
      <c r="AS636" s="237"/>
      <c r="AT636" s="360">
        <v>43552</v>
      </c>
      <c r="AU636" s="91">
        <f t="shared" si="48"/>
        <v>2430000</v>
      </c>
    </row>
    <row r="637" spans="2:47" ht="22.5" hidden="1" x14ac:dyDescent="0.25">
      <c r="B637" s="2" t="str">
        <f>+'Base de Datos'!E637</f>
        <v>180208-0-2018</v>
      </c>
      <c r="C637" s="2" t="str">
        <f>+'Base de Datos'!F637</f>
        <v>HANS OLIVER BELTRAN PALMA</v>
      </c>
      <c r="D637" s="2">
        <f>+'Base de Datos'!G637</f>
        <v>79667596</v>
      </c>
      <c r="E637" s="2" t="str">
        <f>+'Base de Datos'!H637</f>
        <v>Contratar la adqusición, entrega y montaje de mobiliario para el salón Lara Bonilla del Concejo de Bogotá</v>
      </c>
      <c r="F637" s="221">
        <f>+'Base de Datos'!I637</f>
        <v>55138787</v>
      </c>
      <c r="G637" s="220">
        <f>+'Base de Datos'!M637</f>
        <v>43306</v>
      </c>
      <c r="H637" s="220">
        <f>+'Base de Datos'!N637</f>
        <v>43367</v>
      </c>
      <c r="I637" s="179">
        <v>5125473</v>
      </c>
      <c r="J637" s="360">
        <v>43378</v>
      </c>
      <c r="K637" s="237"/>
      <c r="L637" s="363"/>
      <c r="M637" s="179"/>
      <c r="N637" s="360"/>
      <c r="O637" s="179"/>
      <c r="P637" s="365"/>
      <c r="Q637" s="86">
        <f t="shared" si="46"/>
        <v>5125473</v>
      </c>
      <c r="R637" s="849" t="s">
        <v>4301</v>
      </c>
      <c r="S637" s="360">
        <v>43378</v>
      </c>
      <c r="T637" s="178" t="s">
        <v>2956</v>
      </c>
      <c r="U637" s="360">
        <v>43398</v>
      </c>
      <c r="V637" s="179"/>
      <c r="W637" s="360"/>
      <c r="X637" s="179"/>
      <c r="Y637" s="360"/>
      <c r="Z637" s="849" t="s">
        <v>4349</v>
      </c>
      <c r="AA637" s="89">
        <f t="shared" si="47"/>
        <v>43398</v>
      </c>
      <c r="AB637" s="237">
        <v>60179424</v>
      </c>
      <c r="AC637" s="237"/>
      <c r="AD637" s="237"/>
      <c r="AE637" s="237"/>
      <c r="AF637" s="237"/>
      <c r="AG637" s="237"/>
      <c r="AH637" s="237"/>
      <c r="AI637" s="237"/>
      <c r="AJ637" s="237"/>
      <c r="AK637" s="237"/>
      <c r="AL637" s="237"/>
      <c r="AM637" s="237"/>
      <c r="AN637" s="237"/>
      <c r="AO637" s="237"/>
      <c r="AP637" s="237"/>
      <c r="AQ637" s="237"/>
      <c r="AR637" s="237"/>
      <c r="AS637" s="237"/>
      <c r="AT637" s="360">
        <v>43452</v>
      </c>
      <c r="AU637" s="91">
        <f t="shared" si="48"/>
        <v>60179424</v>
      </c>
    </row>
    <row r="638" spans="2:47" ht="22.5" hidden="1" x14ac:dyDescent="0.25">
      <c r="B638" s="2" t="str">
        <f>+'Base de Datos'!E638</f>
        <v>180210-0-2018</v>
      </c>
      <c r="C638" s="2" t="str">
        <f>+'Base de Datos'!F638</f>
        <v>PC MICROS SAS</v>
      </c>
      <c r="D638" s="2">
        <f>+'Base de Datos'!G638</f>
        <v>860403052</v>
      </c>
      <c r="E638" s="2" t="str">
        <f>+'Base de Datos'!H638</f>
        <v>Proveer el servicio de migración de Microsoft Exchange 2010 a 2016 para el Concejo de Bogotá</v>
      </c>
      <c r="F638" s="221">
        <f>+'Base de Datos'!I638</f>
        <v>32450000</v>
      </c>
      <c r="G638" s="220">
        <f>+'Base de Datos'!M638</f>
        <v>43308</v>
      </c>
      <c r="H638" s="220">
        <f>+'Base de Datos'!N638</f>
        <v>43399</v>
      </c>
      <c r="I638" s="179"/>
      <c r="J638" s="360"/>
      <c r="K638" s="237"/>
      <c r="L638" s="363"/>
      <c r="M638" s="179"/>
      <c r="N638" s="360"/>
      <c r="O638" s="179"/>
      <c r="P638" s="365"/>
      <c r="Q638" s="86">
        <f t="shared" si="46"/>
        <v>0</v>
      </c>
      <c r="R638" s="849" t="s">
        <v>4401</v>
      </c>
      <c r="S638" s="360">
        <v>43441</v>
      </c>
      <c r="T638" s="179"/>
      <c r="U638" s="360"/>
      <c r="V638" s="179"/>
      <c r="W638" s="360"/>
      <c r="X638" s="179"/>
      <c r="Y638" s="360"/>
      <c r="Z638" s="849" t="s">
        <v>4401</v>
      </c>
      <c r="AA638" s="89">
        <f t="shared" si="47"/>
        <v>43441</v>
      </c>
      <c r="AB638" s="237">
        <v>27450000</v>
      </c>
      <c r="AC638" s="237">
        <v>5000000</v>
      </c>
      <c r="AD638" s="237"/>
      <c r="AE638" s="237"/>
      <c r="AF638" s="237"/>
      <c r="AG638" s="237"/>
      <c r="AH638" s="237"/>
      <c r="AI638" s="237"/>
      <c r="AJ638" s="237"/>
      <c r="AK638" s="237"/>
      <c r="AL638" s="237"/>
      <c r="AM638" s="237"/>
      <c r="AN638" s="237"/>
      <c r="AO638" s="237"/>
      <c r="AP638" s="237"/>
      <c r="AQ638" s="237"/>
      <c r="AR638" s="237"/>
      <c r="AS638" s="237"/>
      <c r="AT638" s="360">
        <v>43553</v>
      </c>
      <c r="AU638" s="91">
        <f t="shared" si="48"/>
        <v>32450000</v>
      </c>
    </row>
    <row r="639" spans="2:47" ht="45" hidden="1" x14ac:dyDescent="0.25">
      <c r="B639" s="2" t="str">
        <f>+'Base de Datos'!E639</f>
        <v>180197-0-2018</v>
      </c>
      <c r="C639" s="2" t="str">
        <f>+'Base de Datos'!F639</f>
        <v xml:space="preserve">LUZ ANGELA CARDENAS MORENO </v>
      </c>
      <c r="D639" s="2">
        <f>+'Base de Datos'!G639</f>
        <v>52911222</v>
      </c>
      <c r="E639" s="2" t="str">
        <f>+'Base de Datos'!H639</f>
        <v>Prestar servicios profesionales para apoyar a la oficina de comunicaciones del Concejo de Bogotá para el cumplimiento al plan de comunicaciones internas y externas de la entidad.</v>
      </c>
      <c r="F639" s="221">
        <f>+'Base de Datos'!I639</f>
        <v>41097000</v>
      </c>
      <c r="G639" s="220">
        <f>+'Base de Datos'!M639</f>
        <v>43287</v>
      </c>
      <c r="H639" s="220">
        <f>+'Base de Datos'!N639</f>
        <v>43496</v>
      </c>
      <c r="I639" s="179"/>
      <c r="J639" s="360"/>
      <c r="K639" s="237"/>
      <c r="L639" s="363"/>
      <c r="M639" s="179"/>
      <c r="N639" s="360"/>
      <c r="O639" s="179"/>
      <c r="P639" s="365"/>
      <c r="Q639" s="86">
        <f t="shared" si="46"/>
        <v>0</v>
      </c>
      <c r="R639" s="284"/>
      <c r="S639" s="360"/>
      <c r="T639" s="179"/>
      <c r="U639" s="360"/>
      <c r="V639" s="179"/>
      <c r="W639" s="360"/>
      <c r="X639" s="179"/>
      <c r="Y639" s="360"/>
      <c r="Z639" s="353"/>
      <c r="AA639" s="89">
        <f t="shared" si="47"/>
        <v>0</v>
      </c>
      <c r="AB639" s="237">
        <v>4892500</v>
      </c>
      <c r="AC639" s="237">
        <v>5871000</v>
      </c>
      <c r="AD639" s="237">
        <v>5871000</v>
      </c>
      <c r="AE639" s="237">
        <v>5871000</v>
      </c>
      <c r="AF639" s="237">
        <v>5871000</v>
      </c>
      <c r="AG639" s="237">
        <v>5871000</v>
      </c>
      <c r="AH639" s="237">
        <v>5871000</v>
      </c>
      <c r="AI639" s="237"/>
      <c r="AJ639" s="237"/>
      <c r="AK639" s="237"/>
      <c r="AL639" s="237"/>
      <c r="AM639" s="237"/>
      <c r="AN639" s="237"/>
      <c r="AO639" s="237"/>
      <c r="AP639" s="237"/>
      <c r="AQ639" s="237"/>
      <c r="AR639" s="237"/>
      <c r="AS639" s="237"/>
      <c r="AT639" s="360">
        <v>43496</v>
      </c>
      <c r="AU639" s="91">
        <f t="shared" si="48"/>
        <v>40118500</v>
      </c>
    </row>
    <row r="640" spans="2:47" ht="22.5" hidden="1" x14ac:dyDescent="0.25">
      <c r="B640" s="2" t="str">
        <f>+'Base de Datos'!E640</f>
        <v>180200-0-2018</v>
      </c>
      <c r="C640" s="2" t="str">
        <f>+'Base de Datos'!F640</f>
        <v>EMPRESA DE TELECOMUNICACIONES DE BOGOTA S.A.   ESP</v>
      </c>
      <c r="D640" s="2" t="str">
        <f>+'Base de Datos'!G640</f>
        <v>899999115-8</v>
      </c>
      <c r="E640" s="2" t="str">
        <f>+'Base de Datos'!H640</f>
        <v>Proveer servicios de canales dedicados e internet y servicios complementarios para el Concejo de Bogotá.</v>
      </c>
      <c r="F640" s="221">
        <f>+'Base de Datos'!I640</f>
        <v>88608961</v>
      </c>
      <c r="G640" s="220">
        <f>+'Base de Datos'!M640</f>
        <v>43295</v>
      </c>
      <c r="H640" s="220">
        <f>+'Base de Datos'!N640</f>
        <v>43537</v>
      </c>
      <c r="I640" s="179"/>
      <c r="J640" s="360"/>
      <c r="K640" s="237"/>
      <c r="L640" s="363"/>
      <c r="M640" s="179"/>
      <c r="N640" s="360"/>
      <c r="O640" s="179"/>
      <c r="P640" s="365"/>
      <c r="Q640" s="86">
        <f t="shared" si="46"/>
        <v>0</v>
      </c>
      <c r="R640" s="284"/>
      <c r="S640" s="360"/>
      <c r="T640" s="179"/>
      <c r="U640" s="360"/>
      <c r="V640" s="179"/>
      <c r="W640" s="360"/>
      <c r="X640" s="179"/>
      <c r="Y640" s="360"/>
      <c r="Z640" s="353"/>
      <c r="AA640" s="89">
        <f t="shared" si="47"/>
        <v>0</v>
      </c>
      <c r="AB640" s="237">
        <v>11076120</v>
      </c>
      <c r="AC640" s="237">
        <v>11076120</v>
      </c>
      <c r="AD640" s="237">
        <v>11076120</v>
      </c>
      <c r="AE640" s="237">
        <v>11076120</v>
      </c>
      <c r="AF640" s="237">
        <v>33228356</v>
      </c>
      <c r="AG640" s="237">
        <v>11076121</v>
      </c>
      <c r="AH640" s="237"/>
      <c r="AI640" s="237"/>
      <c r="AJ640" s="237"/>
      <c r="AK640" s="237"/>
      <c r="AL640" s="237"/>
      <c r="AM640" s="237"/>
      <c r="AN640" s="237"/>
      <c r="AO640" s="237"/>
      <c r="AP640" s="237"/>
      <c r="AQ640" s="237"/>
      <c r="AR640" s="237"/>
      <c r="AS640" s="237"/>
      <c r="AT640" s="360">
        <v>43556</v>
      </c>
      <c r="AU640" s="91">
        <f t="shared" si="48"/>
        <v>88608957</v>
      </c>
    </row>
    <row r="641" spans="2:47" ht="22.5" hidden="1" x14ac:dyDescent="0.25">
      <c r="B641" s="2" t="str">
        <f>+'Base de Datos'!E641</f>
        <v>180206-0-2018</v>
      </c>
      <c r="C641" s="2" t="str">
        <f>+'Base de Datos'!F641</f>
        <v>OPENLINK SISTEMA DE REDES DE DATOS SA</v>
      </c>
      <c r="D641" s="2">
        <f>+'Base de Datos'!G641</f>
        <v>900254691</v>
      </c>
      <c r="E641" s="2" t="str">
        <f>+'Base de Datos'!H641</f>
        <v>Adquirir switches de acceso para el Concejo de Bogotá</v>
      </c>
      <c r="F641" s="221">
        <f>+'Base de Datos'!I641</f>
        <v>135000000</v>
      </c>
      <c r="G641" s="220">
        <f>+'Base de Datos'!M641</f>
        <v>43297</v>
      </c>
      <c r="H641" s="220">
        <f>+'Base de Datos'!N641</f>
        <v>43419</v>
      </c>
      <c r="I641" s="179"/>
      <c r="J641" s="360"/>
      <c r="K641" s="237"/>
      <c r="L641" s="363"/>
      <c r="M641" s="179"/>
      <c r="N641" s="360"/>
      <c r="O641" s="179"/>
      <c r="P641" s="365"/>
      <c r="Q641" s="86">
        <f t="shared" si="46"/>
        <v>0</v>
      </c>
      <c r="R641" s="284"/>
      <c r="S641" s="360"/>
      <c r="T641" s="179"/>
      <c r="U641" s="360"/>
      <c r="V641" s="179"/>
      <c r="W641" s="360"/>
      <c r="X641" s="179"/>
      <c r="Y641" s="360"/>
      <c r="Z641" s="353"/>
      <c r="AA641" s="89">
        <f t="shared" si="47"/>
        <v>0</v>
      </c>
      <c r="AB641" s="237">
        <v>104045323</v>
      </c>
      <c r="AC641" s="237"/>
      <c r="AD641" s="237">
        <v>30954677</v>
      </c>
      <c r="AE641" s="237"/>
      <c r="AF641" s="237"/>
      <c r="AG641" s="237"/>
      <c r="AH641" s="237"/>
      <c r="AI641" s="237"/>
      <c r="AJ641" s="237"/>
      <c r="AK641" s="237"/>
      <c r="AL641" s="237"/>
      <c r="AM641" s="237"/>
      <c r="AN641" s="237"/>
      <c r="AO641" s="237"/>
      <c r="AP641" s="237"/>
      <c r="AQ641" s="237"/>
      <c r="AR641" s="237"/>
      <c r="AS641" s="237"/>
      <c r="AT641" s="360">
        <v>43444</v>
      </c>
      <c r="AU641" s="91">
        <f t="shared" si="48"/>
        <v>135000000</v>
      </c>
    </row>
    <row r="642" spans="2:47" ht="45" hidden="1" x14ac:dyDescent="0.25">
      <c r="B642" s="2" t="str">
        <f>+'Base de Datos'!E642</f>
        <v>180212-0-2018</v>
      </c>
      <c r="C642" s="2" t="str">
        <f>+'Base de Datos'!F642</f>
        <v>MARTHA PATRICIA ORTIZ CASTAÑO</v>
      </c>
      <c r="D642" s="2">
        <f>+'Base de Datos'!G642</f>
        <v>41690000</v>
      </c>
      <c r="E642" s="2" t="str">
        <f>+'Base de Datos'!H642</f>
        <v>Prestar los servicios profesionales para apoyar a la Secretaria General del Concejo de Bogotá, en la respuesta a derechos de petición, solicitudes, quejas, consultas y reclamos que reciba la corporación.</v>
      </c>
      <c r="F642" s="221">
        <f>+'Base de Datos'!I642</f>
        <v>27120000</v>
      </c>
      <c r="G642" s="220">
        <f>+'Base de Datos'!M642</f>
        <v>43313</v>
      </c>
      <c r="H642" s="220">
        <f>+'Base de Datos'!N642</f>
        <v>43496</v>
      </c>
      <c r="I642" s="179">
        <v>13560000</v>
      </c>
      <c r="J642" s="360">
        <v>43496</v>
      </c>
      <c r="K642" s="237"/>
      <c r="L642" s="363"/>
      <c r="M642" s="179"/>
      <c r="N642" s="360"/>
      <c r="O642" s="179"/>
      <c r="P642" s="365"/>
      <c r="Q642" s="86">
        <f t="shared" si="46"/>
        <v>13560000</v>
      </c>
      <c r="R642" s="284" t="s">
        <v>379</v>
      </c>
      <c r="S642" s="360">
        <v>43585</v>
      </c>
      <c r="T642" s="179"/>
      <c r="U642" s="360"/>
      <c r="V642" s="179"/>
      <c r="W642" s="360"/>
      <c r="X642" s="179"/>
      <c r="Y642" s="360"/>
      <c r="Z642" s="284" t="s">
        <v>379</v>
      </c>
      <c r="AA642" s="89">
        <f t="shared" si="47"/>
        <v>43585</v>
      </c>
      <c r="AB642" s="237">
        <v>4520000</v>
      </c>
      <c r="AC642" s="237">
        <v>4520000</v>
      </c>
      <c r="AD642" s="237">
        <v>4520000</v>
      </c>
      <c r="AE642" s="237">
        <v>4520000</v>
      </c>
      <c r="AF642" s="237">
        <v>4520000</v>
      </c>
      <c r="AG642" s="237">
        <v>4520000</v>
      </c>
      <c r="AH642" s="237">
        <v>4520000</v>
      </c>
      <c r="AI642" s="237">
        <v>4520000</v>
      </c>
      <c r="AJ642" s="237">
        <v>4520000</v>
      </c>
      <c r="AK642" s="237"/>
      <c r="AL642" s="237"/>
      <c r="AM642" s="237"/>
      <c r="AN642" s="237"/>
      <c r="AO642" s="237"/>
      <c r="AP642" s="237"/>
      <c r="AQ642" s="237"/>
      <c r="AR642" s="237"/>
      <c r="AS642" s="237"/>
      <c r="AT642" s="360">
        <v>43605</v>
      </c>
      <c r="AU642" s="91">
        <f t="shared" si="48"/>
        <v>40680000</v>
      </c>
    </row>
    <row r="643" spans="2:47" ht="45" hidden="1" x14ac:dyDescent="0.25">
      <c r="B643" s="2" t="str">
        <f>+'Base de Datos'!E643</f>
        <v>180218-0-2018</v>
      </c>
      <c r="C643" s="2" t="str">
        <f>+'Base de Datos'!F643</f>
        <v xml:space="preserve">DIEGO EDUARDO PABON BULLA </v>
      </c>
      <c r="D643" s="2">
        <f>+'Base de Datos'!G643</f>
        <v>1032424231</v>
      </c>
      <c r="E643" s="2" t="str">
        <f>+'Base de Datos'!H643</f>
        <v>Prestar los servicios Profesionales para apoyar al Concejo de Bogotá en la adopción y manejo de las estrategias y acciones de cooperación para posicionar a la Corporación en el ámbito Nacional e Internacional</v>
      </c>
      <c r="F643" s="221">
        <f>+'Base de Datos'!I643</f>
        <v>32814000</v>
      </c>
      <c r="G643" s="220">
        <f>+'Base de Datos'!M643</f>
        <v>43313</v>
      </c>
      <c r="H643" s="220">
        <f>+'Base de Datos'!N643</f>
        <v>43496</v>
      </c>
      <c r="I643" s="179"/>
      <c r="J643" s="360"/>
      <c r="K643" s="237"/>
      <c r="L643" s="363"/>
      <c r="M643" s="179"/>
      <c r="N643" s="360"/>
      <c r="O643" s="179"/>
      <c r="P643" s="365"/>
      <c r="Q643" s="86">
        <f t="shared" si="46"/>
        <v>0</v>
      </c>
      <c r="R643" s="284"/>
      <c r="S643" s="360"/>
      <c r="T643" s="179"/>
      <c r="U643" s="360"/>
      <c r="V643" s="179"/>
      <c r="W643" s="360"/>
      <c r="X643" s="179"/>
      <c r="Y643" s="360"/>
      <c r="Z643" s="353"/>
      <c r="AA643" s="89">
        <f t="shared" si="47"/>
        <v>0</v>
      </c>
      <c r="AB643" s="237">
        <v>5469000</v>
      </c>
      <c r="AC643" s="237">
        <v>5469000</v>
      </c>
      <c r="AD643" s="237">
        <v>5469000</v>
      </c>
      <c r="AE643" s="237">
        <v>5469000</v>
      </c>
      <c r="AF643" s="237">
        <v>5469000</v>
      </c>
      <c r="AG643" s="237">
        <v>5469000</v>
      </c>
      <c r="AH643" s="237"/>
      <c r="AI643" s="237"/>
      <c r="AJ643" s="237"/>
      <c r="AK643" s="237"/>
      <c r="AL643" s="237"/>
      <c r="AM643" s="237"/>
      <c r="AN643" s="237"/>
      <c r="AO643" s="237"/>
      <c r="AP643" s="237"/>
      <c r="AQ643" s="237"/>
      <c r="AR643" s="237"/>
      <c r="AS643" s="237"/>
      <c r="AT643" s="360">
        <v>43510</v>
      </c>
      <c r="AU643" s="91">
        <f t="shared" si="48"/>
        <v>32814000</v>
      </c>
    </row>
    <row r="644" spans="2:47" ht="56.25" hidden="1" x14ac:dyDescent="0.25">
      <c r="B644" s="2" t="str">
        <f>+'Base de Datos'!E644</f>
        <v>180221-0-2018</v>
      </c>
      <c r="C644" s="2" t="str">
        <f>+'Base de Datos'!F644</f>
        <v>UNIDAD NACIONAL DE PROTECCION - UNP</v>
      </c>
      <c r="D644" s="2">
        <f>+'Base de Datos'!G644</f>
        <v>900475780</v>
      </c>
      <c r="E644" s="2" t="str">
        <f>+'Base de Datos'!H644</f>
        <v>Aunar esfuerzos humanos, técnicos, logísticos y administrativos para garantizar el esquema de seguridad, en su componente vehículos, requerido por los Concejales del Distrito Capital, como consecuencia directa del ejercicio de sus funciones.</v>
      </c>
      <c r="F644" s="221">
        <f>+'Base de Datos'!I644</f>
        <v>2414107000</v>
      </c>
      <c r="G644" s="220">
        <f>+'Base de Datos'!M644</f>
        <v>43313</v>
      </c>
      <c r="H644" s="220">
        <f>+'Base de Datos'!N644</f>
        <v>43488</v>
      </c>
      <c r="I644" s="179"/>
      <c r="J644" s="360"/>
      <c r="K644" s="237"/>
      <c r="L644" s="363"/>
      <c r="M644" s="179"/>
      <c r="N644" s="360"/>
      <c r="O644" s="179"/>
      <c r="P644" s="365"/>
      <c r="Q644" s="86">
        <f t="shared" si="46"/>
        <v>0</v>
      </c>
      <c r="R644" s="284"/>
      <c r="S644" s="360"/>
      <c r="T644" s="179"/>
      <c r="U644" s="360"/>
      <c r="V644" s="179"/>
      <c r="W644" s="360"/>
      <c r="X644" s="179"/>
      <c r="Y644" s="360"/>
      <c r="Z644" s="353"/>
      <c r="AA644" s="89">
        <f t="shared" si="47"/>
        <v>0</v>
      </c>
      <c r="AB644" s="237">
        <v>965642800</v>
      </c>
      <c r="AC644" s="237">
        <v>724232100</v>
      </c>
      <c r="AD644" s="237">
        <v>482821400</v>
      </c>
      <c r="AE644" s="237"/>
      <c r="AF644" s="237"/>
      <c r="AG644" s="237"/>
      <c r="AH644" s="237"/>
      <c r="AI644" s="237"/>
      <c r="AJ644" s="237"/>
      <c r="AK644" s="237"/>
      <c r="AL644" s="237"/>
      <c r="AM644" s="237"/>
      <c r="AN644" s="237"/>
      <c r="AO644" s="237"/>
      <c r="AP644" s="237"/>
      <c r="AQ644" s="237"/>
      <c r="AR644" s="237"/>
      <c r="AS644" s="237"/>
      <c r="AT644" s="360">
        <v>43426</v>
      </c>
      <c r="AU644" s="91">
        <f t="shared" si="48"/>
        <v>2172696300</v>
      </c>
    </row>
    <row r="645" spans="2:47" ht="78.75" hidden="1" x14ac:dyDescent="0.25">
      <c r="B645" s="2" t="str">
        <f>+'Base de Datos'!E645</f>
        <v>180216-0-2018</v>
      </c>
      <c r="C645" s="2" t="str">
        <f>+'Base de Datos'!F645</f>
        <v>AURA ELISA GUERRERO MORENO</v>
      </c>
      <c r="D645" s="2">
        <f>+'Base de Datos'!G645</f>
        <v>35510194</v>
      </c>
      <c r="E645" s="2" t="str">
        <f>+'Base de Datos'!H645</f>
        <v>Prestar los servicios profesionales para la definición de especificaciones y condiciones técnicas para la adquisición de bienes y servicios relacionados con tecnología e informática, el seguimiento a la ejecución de los mismos y el acompañamiento en la formulación  de estrategias para la optimización del desarrollo tecnológico de la Corporación.</v>
      </c>
      <c r="F645" s="221">
        <f>+'Base de Datos'!I645</f>
        <v>32812164</v>
      </c>
      <c r="G645" s="220">
        <f>+'Base de Datos'!M645</f>
        <v>43313</v>
      </c>
      <c r="H645" s="220">
        <f>+'Base de Datos'!N645</f>
        <v>43496</v>
      </c>
      <c r="I645" s="179">
        <v>10937388</v>
      </c>
      <c r="J645" s="360">
        <v>43496</v>
      </c>
      <c r="K645" s="237"/>
      <c r="L645" s="363"/>
      <c r="M645" s="179"/>
      <c r="N645" s="360"/>
      <c r="O645" s="179"/>
      <c r="P645" s="365"/>
      <c r="Q645" s="86">
        <f t="shared" si="46"/>
        <v>10937388</v>
      </c>
      <c r="R645" s="284" t="s">
        <v>378</v>
      </c>
      <c r="S645" s="360">
        <v>43554</v>
      </c>
      <c r="T645" s="179"/>
      <c r="U645" s="360"/>
      <c r="V645" s="179"/>
      <c r="W645" s="360"/>
      <c r="X645" s="179"/>
      <c r="Y645" s="360"/>
      <c r="Z645" s="284" t="s">
        <v>378</v>
      </c>
      <c r="AA645" s="89">
        <f t="shared" si="47"/>
        <v>43554</v>
      </c>
      <c r="AB645" s="237">
        <v>5468694</v>
      </c>
      <c r="AC645" s="237">
        <v>5468694</v>
      </c>
      <c r="AD645" s="237">
        <v>5468694</v>
      </c>
      <c r="AE645" s="237">
        <v>5468694</v>
      </c>
      <c r="AF645" s="237">
        <v>5468694</v>
      </c>
      <c r="AG645" s="237">
        <v>5468694</v>
      </c>
      <c r="AH645" s="237">
        <v>5468694</v>
      </c>
      <c r="AI645" s="237">
        <v>5468694</v>
      </c>
      <c r="AJ645" s="237"/>
      <c r="AK645" s="237"/>
      <c r="AL645" s="237"/>
      <c r="AM645" s="237"/>
      <c r="AN645" s="237"/>
      <c r="AO645" s="237"/>
      <c r="AP645" s="237"/>
      <c r="AQ645" s="237"/>
      <c r="AR645" s="237"/>
      <c r="AS645" s="237"/>
      <c r="AT645" s="360">
        <v>43556</v>
      </c>
      <c r="AU645" s="91">
        <f t="shared" si="48"/>
        <v>43749552</v>
      </c>
    </row>
    <row r="646" spans="2:47" ht="56.25" hidden="1" x14ac:dyDescent="0.25">
      <c r="B646" s="2" t="str">
        <f>+'Base de Datos'!E646</f>
        <v>180209-0-2018</v>
      </c>
      <c r="C646" s="2" t="str">
        <f>+'Base de Datos'!F646</f>
        <v>SGS COLOMBIA SAS</v>
      </c>
      <c r="D646" s="2">
        <f>+'Base de Datos'!G646</f>
        <v>860049921</v>
      </c>
      <c r="E646" s="2" t="str">
        <f>+'Base de Datos'!H646</f>
        <v>Realizar las auditorías para el seguimiento de la certificación para los sistemas de Gestión Ambiental y Seguridad y Salud Ocupacional bajo las normas ISO 14001:2004 y OHSAS 18001:2007 al Concejo de Bogotá D.C.</v>
      </c>
      <c r="F646" s="221">
        <f>+'Base de Datos'!I646</f>
        <v>9055900</v>
      </c>
      <c r="G646" s="220">
        <f>+'Base de Datos'!M646</f>
        <v>43315</v>
      </c>
      <c r="H646" s="220">
        <f>+'Base de Datos'!N646</f>
        <v>43436</v>
      </c>
      <c r="I646" s="179"/>
      <c r="J646" s="360"/>
      <c r="K646" s="237"/>
      <c r="L646" s="363"/>
      <c r="M646" s="179"/>
      <c r="N646" s="360"/>
      <c r="O646" s="179"/>
      <c r="P646" s="365"/>
      <c r="Q646" s="86">
        <f t="shared" si="46"/>
        <v>0</v>
      </c>
      <c r="R646" s="284"/>
      <c r="S646" s="360"/>
      <c r="T646" s="179"/>
      <c r="U646" s="360"/>
      <c r="V646" s="179"/>
      <c r="W646" s="360"/>
      <c r="X646" s="179"/>
      <c r="Y646" s="360"/>
      <c r="Z646" s="353"/>
      <c r="AA646" s="89">
        <f t="shared" si="47"/>
        <v>0</v>
      </c>
      <c r="AB646" s="237">
        <v>9055900</v>
      </c>
      <c r="AC646" s="237"/>
      <c r="AD646" s="237"/>
      <c r="AE646" s="237"/>
      <c r="AF646" s="237"/>
      <c r="AG646" s="237"/>
      <c r="AH646" s="237"/>
      <c r="AI646" s="237"/>
      <c r="AJ646" s="237"/>
      <c r="AK646" s="237"/>
      <c r="AL646" s="237"/>
      <c r="AM646" s="237"/>
      <c r="AN646" s="237"/>
      <c r="AO646" s="237"/>
      <c r="AP646" s="237"/>
      <c r="AQ646" s="237"/>
      <c r="AR646" s="237"/>
      <c r="AS646" s="237"/>
      <c r="AT646" s="360">
        <v>43483</v>
      </c>
      <c r="AU646" s="91">
        <f t="shared" si="48"/>
        <v>9055900</v>
      </c>
    </row>
    <row r="647" spans="2:47" ht="45" hidden="1" x14ac:dyDescent="0.25">
      <c r="B647" s="2" t="str">
        <f>+'Base de Datos'!E647</f>
        <v>180217-0-2018</v>
      </c>
      <c r="C647" s="2" t="str">
        <f>+'Base de Datos'!F647</f>
        <v>ANDRES FELIPE CORZO VILLAMIZAR</v>
      </c>
      <c r="D647" s="2">
        <f>+'Base de Datos'!G647</f>
        <v>1098792121</v>
      </c>
      <c r="E647" s="2" t="str">
        <f>+'Base de Datos'!H647</f>
        <v>Prestar los servicios profesionales para apoyar la Dirección Financiera en la gestión de las actividades relacionadas con el seguimiento a la ejecución contractual del Concejo de Bogotá D.C.</v>
      </c>
      <c r="F647" s="221">
        <f>+'Base de Datos'!I647</f>
        <v>18750000</v>
      </c>
      <c r="G647" s="220">
        <f>+'Base de Datos'!M647</f>
        <v>43313</v>
      </c>
      <c r="H647" s="220">
        <f>+'Base de Datos'!N647</f>
        <v>43496</v>
      </c>
      <c r="I647" s="179"/>
      <c r="J647" s="360"/>
      <c r="K647" s="237"/>
      <c r="L647" s="363"/>
      <c r="M647" s="179"/>
      <c r="N647" s="360"/>
      <c r="O647" s="179"/>
      <c r="P647" s="365"/>
      <c r="Q647" s="86">
        <f t="shared" si="46"/>
        <v>0</v>
      </c>
      <c r="R647" s="284"/>
      <c r="S647" s="360"/>
      <c r="T647" s="179"/>
      <c r="U647" s="360"/>
      <c r="V647" s="179"/>
      <c r="W647" s="360"/>
      <c r="X647" s="179"/>
      <c r="Y647" s="360"/>
      <c r="Z647" s="353"/>
      <c r="AA647" s="89">
        <f t="shared" si="47"/>
        <v>0</v>
      </c>
      <c r="AB647" s="237">
        <v>3125000</v>
      </c>
      <c r="AC647" s="237">
        <v>3125000</v>
      </c>
      <c r="AD647" s="237">
        <v>3125000</v>
      </c>
      <c r="AE647" s="237">
        <v>3125000</v>
      </c>
      <c r="AF647" s="237">
        <v>3125000</v>
      </c>
      <c r="AG647" s="237">
        <v>3125000</v>
      </c>
      <c r="AH647" s="237"/>
      <c r="AI647" s="237"/>
      <c r="AJ647" s="237"/>
      <c r="AK647" s="237"/>
      <c r="AL647" s="237"/>
      <c r="AM647" s="237"/>
      <c r="AN647" s="237"/>
      <c r="AO647" s="237"/>
      <c r="AP647" s="237"/>
      <c r="AQ647" s="237"/>
      <c r="AR647" s="237"/>
      <c r="AS647" s="237"/>
      <c r="AT647" s="360">
        <v>43503</v>
      </c>
      <c r="AU647" s="91">
        <f t="shared" si="48"/>
        <v>18750000</v>
      </c>
    </row>
    <row r="648" spans="2:47" ht="56.25" hidden="1" x14ac:dyDescent="0.25">
      <c r="B648" s="2" t="str">
        <f>+'Base de Datos'!E648</f>
        <v>180232-0-2018</v>
      </c>
      <c r="C648" s="2" t="str">
        <f>+'Base de Datos'!F648</f>
        <v>NIDIA GOMÉS CORTÉS</v>
      </c>
      <c r="D648" s="2">
        <f>+'Base de Datos'!G648</f>
        <v>39812526</v>
      </c>
      <c r="E648" s="2" t="str">
        <f>+'Base de Datos'!H648</f>
        <v>Prestar servicios profesionales para apoyar en las diferentes comisiones permanentes del Concejo de Bogotá en la respuesta a los derechos de petición, solicitudes, quejas, consultas y reclamos que reciba la corporación.</v>
      </c>
      <c r="F648" s="221">
        <f>+'Base de Datos'!I648</f>
        <v>32814000</v>
      </c>
      <c r="G648" s="220">
        <f>+'Base de Datos'!M648</f>
        <v>43315</v>
      </c>
      <c r="H648" s="220">
        <f>+'Base de Datos'!N648</f>
        <v>43496</v>
      </c>
      <c r="I648" s="179">
        <v>16042400</v>
      </c>
      <c r="J648" s="360">
        <v>43496</v>
      </c>
      <c r="K648" s="237"/>
      <c r="L648" s="363"/>
      <c r="M648" s="179"/>
      <c r="N648" s="360"/>
      <c r="O648" s="179"/>
      <c r="P648" s="365"/>
      <c r="Q648" s="86">
        <f t="shared" si="46"/>
        <v>16042400</v>
      </c>
      <c r="R648" s="849" t="s">
        <v>4602</v>
      </c>
      <c r="S648" s="360">
        <v>43585</v>
      </c>
      <c r="T648" s="179"/>
      <c r="U648" s="360"/>
      <c r="V648" s="179"/>
      <c r="W648" s="360"/>
      <c r="X648" s="179"/>
      <c r="Y648" s="360"/>
      <c r="Z648" s="849" t="s">
        <v>4602</v>
      </c>
      <c r="AA648" s="89">
        <f t="shared" si="47"/>
        <v>43585</v>
      </c>
      <c r="AB648" s="237">
        <v>5104400</v>
      </c>
      <c r="AC648" s="237">
        <v>5469000</v>
      </c>
      <c r="AD648" s="237">
        <v>5469000</v>
      </c>
      <c r="AE648" s="237">
        <v>5469000</v>
      </c>
      <c r="AF648" s="237">
        <v>5469000</v>
      </c>
      <c r="AG648" s="237">
        <v>5469000</v>
      </c>
      <c r="AH648" s="237">
        <v>5469000</v>
      </c>
      <c r="AI648" s="237">
        <v>364600</v>
      </c>
      <c r="AJ648" s="237">
        <v>5104400</v>
      </c>
      <c r="AK648" s="237">
        <v>5468600</v>
      </c>
      <c r="AL648" s="237"/>
      <c r="AM648" s="237"/>
      <c r="AN648" s="237"/>
      <c r="AO648" s="237"/>
      <c r="AP648" s="237"/>
      <c r="AQ648" s="237"/>
      <c r="AR648" s="237"/>
      <c r="AS648" s="237"/>
      <c r="AT648" s="360">
        <v>43634</v>
      </c>
      <c r="AU648" s="91">
        <f>SUM(AB648:AR648)</f>
        <v>48856000</v>
      </c>
    </row>
    <row r="649" spans="2:47" ht="33.75" hidden="1" x14ac:dyDescent="0.25">
      <c r="B649" s="2" t="str">
        <f>+'Base de Datos'!E649</f>
        <v>180231-0-2018</v>
      </c>
      <c r="C649" s="2" t="str">
        <f>+'Base de Datos'!F649</f>
        <v>DANIEL ALBERTO PIEDRAHITA NUÑEZ</v>
      </c>
      <c r="D649" s="2">
        <f>+'Base de Datos'!G649</f>
        <v>92030702</v>
      </c>
      <c r="E649" s="2" t="str">
        <f>+'Base de Datos'!H649</f>
        <v>Prestar los servicios profesionales para apoyar el proceso de auditorías internas en el área de control interno del Concejo de Bogotá.</v>
      </c>
      <c r="F649" s="221">
        <f>+'Base de Datos'!I649</f>
        <v>32814000</v>
      </c>
      <c r="G649" s="220">
        <f>+'Base de Datos'!M649</f>
        <v>43315</v>
      </c>
      <c r="H649" s="220">
        <f>+'Base de Datos'!N649</f>
        <v>43496</v>
      </c>
      <c r="I649" s="179">
        <v>16042400</v>
      </c>
      <c r="J649" s="360">
        <v>43496</v>
      </c>
      <c r="K649" s="237"/>
      <c r="L649" s="363"/>
      <c r="M649" s="179"/>
      <c r="N649" s="360"/>
      <c r="O649" s="179"/>
      <c r="P649" s="365"/>
      <c r="Q649" s="86">
        <f t="shared" si="46"/>
        <v>16042400</v>
      </c>
      <c r="R649" s="849" t="s">
        <v>4615</v>
      </c>
      <c r="S649" s="360">
        <v>43585</v>
      </c>
      <c r="T649" s="179"/>
      <c r="U649" s="360"/>
      <c r="V649" s="179"/>
      <c r="W649" s="360"/>
      <c r="X649" s="179"/>
      <c r="Y649" s="360"/>
      <c r="Z649" s="849" t="s">
        <v>4615</v>
      </c>
      <c r="AA649" s="89">
        <f t="shared" si="47"/>
        <v>43585</v>
      </c>
      <c r="AB649" s="237">
        <v>5104400</v>
      </c>
      <c r="AC649" s="237">
        <v>5469000</v>
      </c>
      <c r="AD649" s="237">
        <v>5469000</v>
      </c>
      <c r="AE649" s="237">
        <v>5469000</v>
      </c>
      <c r="AF649" s="237">
        <v>5469000</v>
      </c>
      <c r="AG649" s="237">
        <v>5469000</v>
      </c>
      <c r="AH649" s="237">
        <v>364600</v>
      </c>
      <c r="AI649" s="237">
        <v>5104400</v>
      </c>
      <c r="AJ649" s="237">
        <v>5469000</v>
      </c>
      <c r="AK649" s="237">
        <v>5469000</v>
      </c>
      <c r="AL649" s="237"/>
      <c r="AM649" s="237"/>
      <c r="AN649" s="237"/>
      <c r="AO649" s="237"/>
      <c r="AP649" s="237"/>
      <c r="AQ649" s="237"/>
      <c r="AR649" s="237"/>
      <c r="AS649" s="237"/>
      <c r="AT649" s="360">
        <v>43613</v>
      </c>
      <c r="AU649" s="91">
        <f t="shared" si="48"/>
        <v>48856400</v>
      </c>
    </row>
    <row r="650" spans="2:47" ht="33.75" hidden="1" x14ac:dyDescent="0.25">
      <c r="B650" s="2" t="str">
        <f>+'Base de Datos'!E650</f>
        <v>180229-0-2018</v>
      </c>
      <c r="C650" s="2" t="str">
        <f>+'Base de Datos'!F650</f>
        <v>JEFFERSON FARUK CAMPOS RAMIREZ</v>
      </c>
      <c r="D650" s="2">
        <f>+'Base de Datos'!G650</f>
        <v>1013610856</v>
      </c>
      <c r="E650" s="2" t="str">
        <f>+'Base de Datos'!H650</f>
        <v>Prestar los servicios profesionales para apoyar el proceso de sistemas y seguridad de la información del Concejo de Bogotá en materia de seguridad informática.</v>
      </c>
      <c r="F650" s="221">
        <f>+'Base de Datos'!I650</f>
        <v>21286909</v>
      </c>
      <c r="G650" s="220">
        <f>+'Base de Datos'!M650</f>
        <v>43315</v>
      </c>
      <c r="H650" s="220">
        <f>+'Base de Datos'!N650</f>
        <v>43496</v>
      </c>
      <c r="I650" s="179">
        <v>6740854</v>
      </c>
      <c r="J650" s="360">
        <v>43496</v>
      </c>
      <c r="K650" s="237"/>
      <c r="L650" s="363"/>
      <c r="M650" s="179"/>
      <c r="N650" s="360"/>
      <c r="O650" s="179"/>
      <c r="P650" s="365"/>
      <c r="Q650" s="86">
        <f t="shared" si="46"/>
        <v>6740854</v>
      </c>
      <c r="R650" s="284" t="s">
        <v>4601</v>
      </c>
      <c r="S650" s="360">
        <v>43554</v>
      </c>
      <c r="T650" s="179"/>
      <c r="U650" s="360"/>
      <c r="V650" s="179"/>
      <c r="W650" s="360"/>
      <c r="X650" s="179"/>
      <c r="Y650" s="360"/>
      <c r="Z650" s="284" t="s">
        <v>4601</v>
      </c>
      <c r="AA650" s="89">
        <f t="shared" si="47"/>
        <v>43554</v>
      </c>
      <c r="AB650" s="237">
        <v>3311297</v>
      </c>
      <c r="AC650" s="237">
        <v>3547818</v>
      </c>
      <c r="AD650" s="237">
        <v>3547818</v>
      </c>
      <c r="AE650" s="237">
        <v>3547818</v>
      </c>
      <c r="AF650" s="237">
        <v>3547818</v>
      </c>
      <c r="AG650" s="237">
        <v>3547818</v>
      </c>
      <c r="AH650" s="237">
        <v>3547818</v>
      </c>
      <c r="AI650" s="237">
        <v>236522</v>
      </c>
      <c r="AJ650" s="237">
        <v>3193036</v>
      </c>
      <c r="AK650" s="237"/>
      <c r="AL650" s="237"/>
      <c r="AM650" s="237"/>
      <c r="AN650" s="237"/>
      <c r="AO650" s="237"/>
      <c r="AP650" s="237"/>
      <c r="AQ650" s="237"/>
      <c r="AR650" s="237"/>
      <c r="AS650" s="237"/>
      <c r="AT650" s="360">
        <v>43556</v>
      </c>
      <c r="AU650" s="91">
        <f t="shared" si="48"/>
        <v>28027763</v>
      </c>
    </row>
    <row r="651" spans="2:47" ht="56.25" hidden="1" x14ac:dyDescent="0.25">
      <c r="B651" s="2" t="str">
        <f>+'Base de Datos'!E651</f>
        <v>180228-0-2018</v>
      </c>
      <c r="C651" s="2" t="str">
        <f>+'Base de Datos'!F651</f>
        <v>DANY ALEXANDER FONSECA SANABRIA</v>
      </c>
      <c r="D651" s="2">
        <f>+'Base de Datos'!G651</f>
        <v>79629653</v>
      </c>
      <c r="E651" s="2" t="str">
        <f>+'Base de Datos'!H651</f>
        <v>Prestar servicios profesionales para acompañar al Concejo de Bogotá D.C., en la revisión y estudio de las historias laborales de los funcionarios para la definición técnica y jurídica del cumplimiento de requisitos en los diferentes regímenes de pensión.</v>
      </c>
      <c r="F651" s="221">
        <f>+'Base de Datos'!I651</f>
        <v>37500000</v>
      </c>
      <c r="G651" s="220">
        <f>+'Base de Datos'!M651</f>
        <v>43315</v>
      </c>
      <c r="H651" s="220">
        <f>+'Base de Datos'!N651</f>
        <v>43496</v>
      </c>
      <c r="I651" s="179">
        <v>18333333</v>
      </c>
      <c r="J651" s="360">
        <v>43496</v>
      </c>
      <c r="K651" s="237"/>
      <c r="L651" s="363"/>
      <c r="M651" s="179"/>
      <c r="N651" s="360"/>
      <c r="O651" s="179"/>
      <c r="P651" s="365"/>
      <c r="Q651" s="86">
        <f t="shared" si="46"/>
        <v>18333333</v>
      </c>
      <c r="R651" s="849" t="s">
        <v>4602</v>
      </c>
      <c r="S651" s="360">
        <v>43585</v>
      </c>
      <c r="T651" s="179"/>
      <c r="U651" s="360"/>
      <c r="V651" s="179"/>
      <c r="W651" s="360"/>
      <c r="X651" s="179"/>
      <c r="Y651" s="360"/>
      <c r="Z651" s="849" t="s">
        <v>4602</v>
      </c>
      <c r="AA651" s="89">
        <f t="shared" si="47"/>
        <v>43585</v>
      </c>
      <c r="AB651" s="237">
        <v>5833333</v>
      </c>
      <c r="AC651" s="237">
        <v>6250000</v>
      </c>
      <c r="AD651" s="237">
        <v>6250000</v>
      </c>
      <c r="AE651" s="237">
        <v>6250000</v>
      </c>
      <c r="AF651" s="237">
        <v>6250000</v>
      </c>
      <c r="AG651" s="237">
        <v>6250000</v>
      </c>
      <c r="AH651" s="237">
        <v>6250000</v>
      </c>
      <c r="AI651" s="237">
        <v>416667</v>
      </c>
      <c r="AJ651" s="237">
        <v>5833333</v>
      </c>
      <c r="AK651" s="237">
        <v>6250000</v>
      </c>
      <c r="AL651" s="237"/>
      <c r="AM651" s="237"/>
      <c r="AN651" s="237"/>
      <c r="AO651" s="237"/>
      <c r="AP651" s="237"/>
      <c r="AQ651" s="237"/>
      <c r="AR651" s="237"/>
      <c r="AS651" s="237"/>
      <c r="AT651" s="360">
        <v>43585</v>
      </c>
      <c r="AU651" s="91">
        <f>SUM(AB651:AR651)</f>
        <v>55833333</v>
      </c>
    </row>
    <row r="652" spans="2:47" ht="45" hidden="1" x14ac:dyDescent="0.25">
      <c r="B652" s="2" t="str">
        <f>+'Base de Datos'!E652</f>
        <v>180223-0-2018</v>
      </c>
      <c r="C652" s="2" t="str">
        <f>+'Base de Datos'!F652</f>
        <v>JOSE GABRIEL PARRA PIRAZAN</v>
      </c>
      <c r="D652" s="2">
        <f>+'Base de Datos'!G652</f>
        <v>79436393</v>
      </c>
      <c r="E652" s="2" t="str">
        <f>+'Base de Datos'!H652</f>
        <v xml:space="preserve">Prestar servicios profesionales para apoyar a la Dirección Jurídica del Concejo de Bogotá, en la asesoría y respuesta a derechos de petición, solicitudes, denuncias, quejas, consultas y reclamos que reciba la corporación. </v>
      </c>
      <c r="F652" s="221">
        <f>+'Base de Datos'!I652</f>
        <v>23819958</v>
      </c>
      <c r="G652" s="220">
        <f>+'Base de Datos'!M652</f>
        <v>43315</v>
      </c>
      <c r="H652" s="220">
        <f>+'Base de Datos'!N652</f>
        <v>43496</v>
      </c>
      <c r="I652" s="179">
        <v>11645313</v>
      </c>
      <c r="J652" s="360">
        <v>43495</v>
      </c>
      <c r="K652" s="237"/>
      <c r="L652" s="363"/>
      <c r="M652" s="179"/>
      <c r="N652" s="360"/>
      <c r="O652" s="179"/>
      <c r="P652" s="365"/>
      <c r="Q652" s="86">
        <f t="shared" si="46"/>
        <v>11645313</v>
      </c>
      <c r="R652" s="849" t="s">
        <v>4615</v>
      </c>
      <c r="S652" s="360">
        <v>43585</v>
      </c>
      <c r="T652" s="179"/>
      <c r="U652" s="360"/>
      <c r="V652" s="179"/>
      <c r="W652" s="360"/>
      <c r="X652" s="179"/>
      <c r="Y652" s="360"/>
      <c r="Z652" s="849" t="s">
        <v>4615</v>
      </c>
      <c r="AA652" s="89">
        <f t="shared" si="47"/>
        <v>43585</v>
      </c>
      <c r="AB652" s="237">
        <v>3705327</v>
      </c>
      <c r="AC652" s="237">
        <v>3969993</v>
      </c>
      <c r="AD652" s="237">
        <v>3969993</v>
      </c>
      <c r="AE652" s="237">
        <v>3969993</v>
      </c>
      <c r="AF652" s="237">
        <v>3969993</v>
      </c>
      <c r="AG652" s="237">
        <v>3969993</v>
      </c>
      <c r="AH652" s="237">
        <v>3969993</v>
      </c>
      <c r="AI652" s="237">
        <v>264666</v>
      </c>
      <c r="AJ652" s="237">
        <v>3705327</v>
      </c>
      <c r="AK652" s="237">
        <v>3969993</v>
      </c>
      <c r="AL652" s="237"/>
      <c r="AM652" s="237"/>
      <c r="AN652" s="237"/>
      <c r="AO652" s="237"/>
      <c r="AP652" s="237"/>
      <c r="AQ652" s="237"/>
      <c r="AR652" s="237"/>
      <c r="AS652" s="237"/>
      <c r="AT652" s="360">
        <v>43592</v>
      </c>
      <c r="AU652" s="91">
        <f t="shared" si="48"/>
        <v>35465271</v>
      </c>
    </row>
    <row r="653" spans="2:47" ht="33.75" hidden="1" x14ac:dyDescent="0.25">
      <c r="B653" s="2" t="str">
        <f>+'Base de Datos'!E653</f>
        <v>180227-0-2018</v>
      </c>
      <c r="C653" s="2" t="str">
        <f>+'Base de Datos'!F653</f>
        <v>ANABIA JULIETH ANGARITA GALINDO</v>
      </c>
      <c r="D653" s="2">
        <f>+'Base de Datos'!G653</f>
        <v>1013625644</v>
      </c>
      <c r="E653" s="2" t="str">
        <f>+'Base de Datos'!H653</f>
        <v>Prestar servicios profesionales para apoyar la gestión administrativa, documental y contractual en los asuntos de competencia del Concejo de Bogotá, D.C.</v>
      </c>
      <c r="F653" s="221">
        <f>+'Base de Datos'!I653</f>
        <v>15613500</v>
      </c>
      <c r="G653" s="220">
        <f>+'Base de Datos'!M653</f>
        <v>43315</v>
      </c>
      <c r="H653" s="220">
        <f>+'Base de Datos'!N653</f>
        <v>43496</v>
      </c>
      <c r="I653" s="179">
        <v>5031017</v>
      </c>
      <c r="J653" s="360">
        <v>43496</v>
      </c>
      <c r="K653" s="237"/>
      <c r="L653" s="363"/>
      <c r="M653" s="179"/>
      <c r="N653" s="360"/>
      <c r="O653" s="179"/>
      <c r="P653" s="365"/>
      <c r="Q653" s="86">
        <f t="shared" si="46"/>
        <v>5031017</v>
      </c>
      <c r="R653" s="284" t="s">
        <v>4607</v>
      </c>
      <c r="S653" s="360">
        <v>43554</v>
      </c>
      <c r="T653" s="179"/>
      <c r="U653" s="360"/>
      <c r="V653" s="179"/>
      <c r="W653" s="360"/>
      <c r="X653" s="179"/>
      <c r="Y653" s="360"/>
      <c r="Z653" s="284" t="s">
        <v>4607</v>
      </c>
      <c r="AA653" s="89">
        <f t="shared" si="47"/>
        <v>43554</v>
      </c>
      <c r="AB653" s="237">
        <v>2428767</v>
      </c>
      <c r="AC653" s="237">
        <v>2602250</v>
      </c>
      <c r="AD653" s="237">
        <v>2602250</v>
      </c>
      <c r="AE653" s="237">
        <v>2602250</v>
      </c>
      <c r="AF653" s="237">
        <v>2602250</v>
      </c>
      <c r="AG653" s="237">
        <v>2602250</v>
      </c>
      <c r="AH653" s="237">
        <v>2602250</v>
      </c>
      <c r="AI653" s="237">
        <v>173483</v>
      </c>
      <c r="AJ653" s="237">
        <v>2428766</v>
      </c>
      <c r="AK653" s="237"/>
      <c r="AL653" s="237"/>
      <c r="AM653" s="237"/>
      <c r="AN653" s="237"/>
      <c r="AO653" s="237"/>
      <c r="AP653" s="237"/>
      <c r="AQ653" s="237"/>
      <c r="AR653" s="237"/>
      <c r="AS653" s="237"/>
      <c r="AT653" s="360">
        <v>43555</v>
      </c>
      <c r="AU653" s="91">
        <f t="shared" si="48"/>
        <v>20644516</v>
      </c>
    </row>
    <row r="654" spans="2:47" ht="78.75" hidden="1" x14ac:dyDescent="0.25">
      <c r="B654" s="2" t="str">
        <f>+'Base de Datos'!E654</f>
        <v>180222-0-2018</v>
      </c>
      <c r="C654" s="2" t="str">
        <f>+'Base de Datos'!F654</f>
        <v>JEAN CLAUDE WILLINGTON CORTES MANCERA (Cesionario) /  HALIA CLIMENE ZAMBRANO ACOSTA (Antes)</v>
      </c>
      <c r="D654" s="2">
        <f>+'Base de Datos'!G654</f>
        <v>79965574</v>
      </c>
      <c r="E654" s="2" t="str">
        <f>+'Base de Datos'!H654</f>
        <v>Prestar servicios profesionales para apoyar al Director Financiero en los asuntos propios de la dependencia en el marco del presupuesto anual de gastos de funcionamiento e inversión para el manejo eficiente y eficaz de los recursos financieros con forme al plan estratégico de la entidad de acuerdo a la normatividad vigente.</v>
      </c>
      <c r="F654" s="221">
        <f>+'Base de Datos'!I654</f>
        <v>28122000</v>
      </c>
      <c r="G654" s="220">
        <f>+'Base de Datos'!M654</f>
        <v>43315</v>
      </c>
      <c r="H654" s="220">
        <f>+'Base de Datos'!N654</f>
        <v>43496</v>
      </c>
      <c r="I654" s="179">
        <v>9061533</v>
      </c>
      <c r="J654" s="360">
        <v>43496</v>
      </c>
      <c r="K654" s="237"/>
      <c r="L654" s="363"/>
      <c r="M654" s="179"/>
      <c r="N654" s="360"/>
      <c r="O654" s="179"/>
      <c r="P654" s="365"/>
      <c r="Q654" s="86">
        <f t="shared" si="46"/>
        <v>9061533</v>
      </c>
      <c r="R654" s="284" t="s">
        <v>4607</v>
      </c>
      <c r="S654" s="360">
        <v>43554</v>
      </c>
      <c r="T654" s="179"/>
      <c r="U654" s="360"/>
      <c r="V654" s="179"/>
      <c r="W654" s="360"/>
      <c r="X654" s="179"/>
      <c r="Y654" s="360"/>
      <c r="Z654" s="284" t="s">
        <v>4607</v>
      </c>
      <c r="AA654" s="89">
        <f t="shared" si="47"/>
        <v>43554</v>
      </c>
      <c r="AB654" s="237">
        <v>4374533</v>
      </c>
      <c r="AC654" s="237">
        <v>4687000</v>
      </c>
      <c r="AD654" s="237">
        <v>2968433</v>
      </c>
      <c r="AE654" s="237">
        <v>4687000</v>
      </c>
      <c r="AF654" s="237">
        <v>4687000</v>
      </c>
      <c r="AG654" s="237">
        <v>4687000</v>
      </c>
      <c r="AH654" s="237">
        <v>2031033</v>
      </c>
      <c r="AI654" s="237">
        <v>2655967</v>
      </c>
      <c r="AJ654" s="237">
        <v>4687000</v>
      </c>
      <c r="AK654" s="237"/>
      <c r="AL654" s="237"/>
      <c r="AM654" s="237"/>
      <c r="AN654" s="237"/>
      <c r="AO654" s="237"/>
      <c r="AP654" s="237"/>
      <c r="AQ654" s="237"/>
      <c r="AR654" s="237"/>
      <c r="AS654" s="237"/>
      <c r="AT654" s="360">
        <v>43555</v>
      </c>
      <c r="AU654" s="91">
        <f t="shared" si="48"/>
        <v>35464966</v>
      </c>
    </row>
    <row r="655" spans="2:47" ht="56.25" hidden="1" x14ac:dyDescent="0.25">
      <c r="B655" s="2" t="str">
        <f>+'Base de Datos'!E655</f>
        <v>180234-0-2018</v>
      </c>
      <c r="C655" s="2" t="str">
        <f>+'Base de Datos'!F655</f>
        <v>CONSTANZA BRIGITTE MAHECHA JIMENEZ</v>
      </c>
      <c r="D655" s="2">
        <f>+'Base de Datos'!G655</f>
        <v>1030532647</v>
      </c>
      <c r="E655" s="2" t="str">
        <f>+'Base de Datos'!H655</f>
        <v>Prestar los servicios de apoyo al proceso de recursos físicos de la Dirección Administrativa del Concejo de Bogotá, para coadyuvar con las actividades de actualización y administración de la información del área de mantenimiento.</v>
      </c>
      <c r="F655" s="221">
        <f>+'Base de Datos'!I655</f>
        <v>9765000</v>
      </c>
      <c r="G655" s="220">
        <f>+'Base de Datos'!M655</f>
        <v>43320</v>
      </c>
      <c r="H655" s="220">
        <f>+'Base de Datos'!N655</f>
        <v>43472</v>
      </c>
      <c r="I655" s="179">
        <v>4882500</v>
      </c>
      <c r="J655" s="360">
        <v>43479</v>
      </c>
      <c r="K655" s="237"/>
      <c r="L655" s="363"/>
      <c r="M655" s="179"/>
      <c r="N655" s="360"/>
      <c r="O655" s="179"/>
      <c r="P655" s="365"/>
      <c r="Q655" s="86">
        <f t="shared" si="46"/>
        <v>4882500</v>
      </c>
      <c r="R655" s="849" t="s">
        <v>966</v>
      </c>
      <c r="S655" s="360">
        <v>43553</v>
      </c>
      <c r="T655" s="179"/>
      <c r="U655" s="360"/>
      <c r="V655" s="179"/>
      <c r="W655" s="360"/>
      <c r="X655" s="179"/>
      <c r="Y655" s="360"/>
      <c r="Z655" s="849" t="s">
        <v>966</v>
      </c>
      <c r="AA655" s="89">
        <f t="shared" si="47"/>
        <v>43553</v>
      </c>
      <c r="AB655" s="237">
        <v>1497300</v>
      </c>
      <c r="AC655" s="237">
        <v>1953000</v>
      </c>
      <c r="AD655" s="237">
        <v>1953000</v>
      </c>
      <c r="AE655" s="237">
        <v>1953000</v>
      </c>
      <c r="AF655" s="237">
        <v>1953000</v>
      </c>
      <c r="AG655" s="237">
        <v>1497300</v>
      </c>
      <c r="AH655" s="237">
        <v>1953000</v>
      </c>
      <c r="AI655" s="237"/>
      <c r="AJ655" s="237">
        <v>1887900</v>
      </c>
      <c r="AK655" s="237"/>
      <c r="AL655" s="237"/>
      <c r="AM655" s="237"/>
      <c r="AN655" s="237"/>
      <c r="AO655" s="237"/>
      <c r="AP655" s="237"/>
      <c r="AQ655" s="237"/>
      <c r="AR655" s="237"/>
      <c r="AS655" s="237"/>
      <c r="AT655" s="360">
        <v>43567</v>
      </c>
      <c r="AU655" s="91">
        <f t="shared" si="48"/>
        <v>14647500</v>
      </c>
    </row>
    <row r="656" spans="2:47" ht="33.75" hidden="1" x14ac:dyDescent="0.25">
      <c r="B656" s="2" t="str">
        <f>+'Base de Datos'!E656</f>
        <v>180263-0-2018</v>
      </c>
      <c r="C656" s="2" t="str">
        <f>+'Base de Datos'!F656</f>
        <v>VIVIANA MARCELA RODRIGUEZ OTAVO</v>
      </c>
      <c r="D656" s="2">
        <f>+'Base de Datos'!G656</f>
        <v>1016064307</v>
      </c>
      <c r="E656" s="2" t="str">
        <f>+'Base de Datos'!H656</f>
        <v>Prestar apoyo a la Dirección Jurídica del Concejo de Bogotá en los procesos y proyectos  en respuesta para la atención de los requerimientos de la ciudadania.</v>
      </c>
      <c r="F656" s="221">
        <f>+'Base de Datos'!I656</f>
        <v>11718000</v>
      </c>
      <c r="G656" s="220">
        <f>+'Base de Datos'!M656</f>
        <v>43320</v>
      </c>
      <c r="H656" s="220">
        <f>+'Base de Datos'!N656</f>
        <v>43496</v>
      </c>
      <c r="I656" s="179">
        <v>3450300</v>
      </c>
      <c r="J656" s="360">
        <v>43494</v>
      </c>
      <c r="K656" s="237"/>
      <c r="L656" s="363"/>
      <c r="M656" s="179"/>
      <c r="N656" s="360"/>
      <c r="O656" s="179"/>
      <c r="P656" s="365"/>
      <c r="Q656" s="86">
        <f t="shared" si="46"/>
        <v>3450300</v>
      </c>
      <c r="R656" s="284" t="s">
        <v>2614</v>
      </c>
      <c r="S656" s="360">
        <v>43554</v>
      </c>
      <c r="T656" s="179"/>
      <c r="U656" s="360"/>
      <c r="V656" s="179"/>
      <c r="W656" s="360"/>
      <c r="X656" s="179"/>
      <c r="Y656" s="360"/>
      <c r="Z656" s="284" t="s">
        <v>2614</v>
      </c>
      <c r="AA656" s="89">
        <f t="shared" si="47"/>
        <v>43554</v>
      </c>
      <c r="AB656" s="237">
        <v>1497300</v>
      </c>
      <c r="AC656" s="237">
        <v>1953000</v>
      </c>
      <c r="AD656" s="237">
        <v>1953000</v>
      </c>
      <c r="AE656" s="237">
        <v>1953000</v>
      </c>
      <c r="AF656" s="237">
        <v>1953000</v>
      </c>
      <c r="AG656" s="237">
        <v>1953000</v>
      </c>
      <c r="AH656" s="237">
        <v>1953000</v>
      </c>
      <c r="AI656" s="237">
        <v>455700</v>
      </c>
      <c r="AJ656" s="237">
        <v>1497300</v>
      </c>
      <c r="AK656" s="237"/>
      <c r="AL656" s="237"/>
      <c r="AM656" s="237"/>
      <c r="AN656" s="237"/>
      <c r="AO656" s="237"/>
      <c r="AP656" s="237"/>
      <c r="AQ656" s="237"/>
      <c r="AR656" s="237"/>
      <c r="AS656" s="237"/>
      <c r="AT656" s="360">
        <v>43504</v>
      </c>
      <c r="AU656" s="91">
        <f t="shared" si="48"/>
        <v>15168300</v>
      </c>
    </row>
    <row r="657" spans="2:47" ht="33.75" hidden="1" x14ac:dyDescent="0.25">
      <c r="B657" s="2" t="str">
        <f>+'Base de Datos'!E657</f>
        <v>180280-0-2018</v>
      </c>
      <c r="C657" s="2" t="str">
        <f>+'Base de Datos'!F657</f>
        <v>ANDRES FERNANDO ZUÑIGA FORERO</v>
      </c>
      <c r="D657" s="2">
        <f>+'Base de Datos'!G657</f>
        <v>1032397721</v>
      </c>
      <c r="E657" s="2" t="str">
        <f>+'Base de Datos'!H657</f>
        <v>Prestar los servicios como apoyo administrativo a la Comisión del Plan de desarrollo y ordenamiento Territorial del Concejo de Bogotá.</v>
      </c>
      <c r="F657" s="221">
        <f>+'Base de Datos'!I657</f>
        <v>11718000</v>
      </c>
      <c r="G657" s="220">
        <f>+'Base de Datos'!M657</f>
        <v>43326</v>
      </c>
      <c r="H657" s="220">
        <f>+'Base de Datos'!N657</f>
        <v>43496</v>
      </c>
      <c r="I657" s="179">
        <v>3059700</v>
      </c>
      <c r="J657" s="360">
        <v>43495</v>
      </c>
      <c r="K657" s="237"/>
      <c r="L657" s="363"/>
      <c r="M657" s="179"/>
      <c r="N657" s="360"/>
      <c r="O657" s="179"/>
      <c r="P657" s="365"/>
      <c r="Q657" s="86">
        <f t="shared" si="46"/>
        <v>3059700</v>
      </c>
      <c r="R657" s="284" t="s">
        <v>4653</v>
      </c>
      <c r="S657" s="360">
        <v>43554</v>
      </c>
      <c r="T657" s="179"/>
      <c r="U657" s="360"/>
      <c r="V657" s="179"/>
      <c r="W657" s="360"/>
      <c r="X657" s="179"/>
      <c r="Y657" s="360"/>
      <c r="Z657" s="284" t="s">
        <v>4653</v>
      </c>
      <c r="AA657" s="89">
        <f t="shared" si="47"/>
        <v>43554</v>
      </c>
      <c r="AB657" s="237">
        <v>1106700</v>
      </c>
      <c r="AC657" s="237">
        <v>1953000</v>
      </c>
      <c r="AD657" s="237">
        <v>1953000</v>
      </c>
      <c r="AE657" s="237">
        <v>1953000</v>
      </c>
      <c r="AF657" s="237">
        <v>1953000</v>
      </c>
      <c r="AG657" s="237">
        <v>1953000</v>
      </c>
      <c r="AH657" s="237">
        <v>846300</v>
      </c>
      <c r="AI657" s="237">
        <v>1106700</v>
      </c>
      <c r="AJ657" s="237">
        <v>1953000</v>
      </c>
      <c r="AK657" s="237"/>
      <c r="AL657" s="237"/>
      <c r="AM657" s="237"/>
      <c r="AN657" s="237"/>
      <c r="AO657" s="237"/>
      <c r="AP657" s="237"/>
      <c r="AQ657" s="237"/>
      <c r="AR657" s="237"/>
      <c r="AS657" s="237"/>
      <c r="AT657" s="360">
        <v>43587</v>
      </c>
      <c r="AU657" s="91">
        <f t="shared" si="48"/>
        <v>14777700</v>
      </c>
    </row>
    <row r="658" spans="2:47" ht="33.75" hidden="1" x14ac:dyDescent="0.25">
      <c r="B658" s="2" t="str">
        <f>+'Base de Datos'!E658</f>
        <v>180211-0-2018</v>
      </c>
      <c r="C658" s="2" t="str">
        <f>+'Base de Datos'!F658</f>
        <v>HERNANDO BULLA ORJUELA</v>
      </c>
      <c r="D658" s="2">
        <f>+'Base de Datos'!G658</f>
        <v>4831</v>
      </c>
      <c r="E658" s="2" t="str">
        <f>+'Base de Datos'!H658</f>
        <v>Prestar los servicios de mantenimiento preventivo y correctivo con suministro de repuestos para los vehículos marca chevrolet al servicio del Concejo de Bogotá, D.C.</v>
      </c>
      <c r="F658" s="221">
        <f>+'Base de Datos'!I658</f>
        <v>8400000</v>
      </c>
      <c r="G658" s="220">
        <f>+'Base de Datos'!M658</f>
        <v>43327</v>
      </c>
      <c r="H658" s="220">
        <f>+'Base de Datos'!N658</f>
        <v>43569</v>
      </c>
      <c r="I658" s="179"/>
      <c r="J658" s="360"/>
      <c r="K658" s="237"/>
      <c r="L658" s="363"/>
      <c r="M658" s="179"/>
      <c r="N658" s="360"/>
      <c r="O658" s="179"/>
      <c r="P658" s="365"/>
      <c r="Q658" s="86">
        <f t="shared" si="46"/>
        <v>0</v>
      </c>
      <c r="R658" s="284"/>
      <c r="S658" s="360"/>
      <c r="T658" s="179"/>
      <c r="U658" s="360"/>
      <c r="V658" s="179"/>
      <c r="W658" s="360"/>
      <c r="X658" s="179"/>
      <c r="Y658" s="360"/>
      <c r="Z658" s="353"/>
      <c r="AA658" s="89">
        <f t="shared" si="47"/>
        <v>0</v>
      </c>
      <c r="AB658" s="237">
        <v>4348636</v>
      </c>
      <c r="AC658" s="237"/>
      <c r="AD658" s="237"/>
      <c r="AE658" s="237"/>
      <c r="AF658" s="237"/>
      <c r="AG658" s="237"/>
      <c r="AH658" s="237"/>
      <c r="AI658" s="237"/>
      <c r="AJ658" s="237"/>
      <c r="AK658" s="237"/>
      <c r="AL658" s="237"/>
      <c r="AM658" s="237"/>
      <c r="AN658" s="237"/>
      <c r="AO658" s="237"/>
      <c r="AP658" s="237"/>
      <c r="AQ658" s="237"/>
      <c r="AR658" s="237"/>
      <c r="AS658" s="237"/>
      <c r="AT658" s="360">
        <v>43542</v>
      </c>
      <c r="AU658" s="91">
        <f t="shared" si="48"/>
        <v>4348636</v>
      </c>
    </row>
    <row r="659" spans="2:47" ht="22.5" hidden="1" x14ac:dyDescent="0.25">
      <c r="B659" s="2" t="str">
        <f>+'Base de Datos'!E659</f>
        <v>180213-0-2018</v>
      </c>
      <c r="C659" s="2" t="str">
        <f>+'Base de Datos'!F659</f>
        <v>CANAL CAPITAL</v>
      </c>
      <c r="D659" s="2" t="str">
        <f>+'Base de Datos'!G659</f>
        <v>830012587-4</v>
      </c>
      <c r="E659" s="2" t="str">
        <f>+'Base de Datos'!H659</f>
        <v xml:space="preserve">Prestar servicios de producción y trasmisión de programas de televisión para el Concejo de Bogotá. </v>
      </c>
      <c r="F659" s="221">
        <f>+'Base de Datos'!I659</f>
        <v>969949607</v>
      </c>
      <c r="G659" s="220">
        <f>+'Base de Datos'!M659</f>
        <v>43327</v>
      </c>
      <c r="H659" s="220">
        <f>+'Base de Datos'!N659</f>
        <v>43538</v>
      </c>
      <c r="I659" s="179"/>
      <c r="J659" s="360"/>
      <c r="K659" s="237"/>
      <c r="L659" s="363"/>
      <c r="M659" s="179"/>
      <c r="N659" s="360"/>
      <c r="O659" s="179"/>
      <c r="P659" s="365"/>
      <c r="Q659" s="86">
        <f t="shared" si="46"/>
        <v>0</v>
      </c>
      <c r="R659" s="284" t="s">
        <v>381</v>
      </c>
      <c r="S659" s="360">
        <v>43569</v>
      </c>
      <c r="T659" s="179" t="s">
        <v>381</v>
      </c>
      <c r="U659" s="360">
        <v>43599</v>
      </c>
      <c r="V659" s="179"/>
      <c r="W659" s="360"/>
      <c r="X659" s="179"/>
      <c r="Y659" s="360"/>
      <c r="Z659" s="284" t="s">
        <v>378</v>
      </c>
      <c r="AA659" s="89">
        <f t="shared" si="47"/>
        <v>43599</v>
      </c>
      <c r="AB659" s="237">
        <v>130988415</v>
      </c>
      <c r="AC659" s="237">
        <v>130117359</v>
      </c>
      <c r="AD659" s="237">
        <v>120468609</v>
      </c>
      <c r="AE659" s="237">
        <v>110318053</v>
      </c>
      <c r="AF659" s="237">
        <v>93511540</v>
      </c>
      <c r="AG659" s="237"/>
      <c r="AH659" s="237"/>
      <c r="AI659" s="237"/>
      <c r="AJ659" s="237"/>
      <c r="AK659" s="237"/>
      <c r="AL659" s="237"/>
      <c r="AM659" s="237"/>
      <c r="AN659" s="237"/>
      <c r="AO659" s="237"/>
      <c r="AP659" s="237"/>
      <c r="AQ659" s="237"/>
      <c r="AR659" s="237"/>
      <c r="AS659" s="237"/>
      <c r="AT659" s="360">
        <v>43609</v>
      </c>
      <c r="AU659" s="91">
        <f t="shared" si="48"/>
        <v>585403976</v>
      </c>
    </row>
    <row r="660" spans="2:47" ht="78.75" hidden="1" x14ac:dyDescent="0.25">
      <c r="B660" s="2" t="str">
        <f>+'Base de Datos'!E660</f>
        <v>180226-0-2018</v>
      </c>
      <c r="C660" s="2" t="str">
        <f>+'Base de Datos'!F660</f>
        <v>J Y F INVERSIONES SAS</v>
      </c>
      <c r="D660" s="2">
        <f>+'Base de Datos'!G660</f>
        <v>900424713</v>
      </c>
      <c r="E660" s="2" t="str">
        <f>+'Base de Datos'!H660</f>
        <v>Prestar servicios de alquiler de escenarios como salones, auditorios y espacios  abiertos, apoyo logísticos y servicios de catering  para el desarrollo de eventos que requieran el Concejo de Bogotá D.C., de conformidad con lo establecido en el pliego de condiciones del proceso de selección abreviada de menor cuantía No. SDH-SAMC-01-2018 y la propuesta por el contratista.</v>
      </c>
      <c r="F660" s="221">
        <f>+'Base de Datos'!I660</f>
        <v>91200000</v>
      </c>
      <c r="G660" s="220">
        <f>+'Base de Datos'!M660</f>
        <v>43325</v>
      </c>
      <c r="H660" s="220">
        <f>+'Base de Datos'!N660</f>
        <v>43567</v>
      </c>
      <c r="I660" s="179">
        <v>17000000</v>
      </c>
      <c r="J660" s="360">
        <v>43567</v>
      </c>
      <c r="K660" s="237"/>
      <c r="L660" s="363"/>
      <c r="M660" s="179"/>
      <c r="N660" s="360"/>
      <c r="O660" s="179"/>
      <c r="P660" s="365"/>
      <c r="Q660" s="86">
        <f t="shared" si="46"/>
        <v>17000000</v>
      </c>
      <c r="R660" s="284" t="s">
        <v>4860</v>
      </c>
      <c r="S660" s="360">
        <v>43605</v>
      </c>
      <c r="T660" s="178" t="s">
        <v>4946</v>
      </c>
      <c r="U660" s="360">
        <v>43617</v>
      </c>
      <c r="V660" s="179"/>
      <c r="W660" s="360"/>
      <c r="X660" s="179"/>
      <c r="Y660" s="360"/>
      <c r="Z660" s="284" t="s">
        <v>1323</v>
      </c>
      <c r="AA660" s="89">
        <f t="shared" si="47"/>
        <v>43617</v>
      </c>
      <c r="AB660" s="237">
        <v>1981500</v>
      </c>
      <c r="AC660" s="237">
        <v>2388999</v>
      </c>
      <c r="AD660" s="237">
        <v>4003000</v>
      </c>
      <c r="AE660" s="237"/>
      <c r="AF660" s="237">
        <v>2545000</v>
      </c>
      <c r="AG660" s="237"/>
      <c r="AH660" s="237">
        <v>47471000</v>
      </c>
      <c r="AI660" s="237">
        <v>5217500</v>
      </c>
      <c r="AJ660" s="237">
        <v>4244500</v>
      </c>
      <c r="AK660" s="237"/>
      <c r="AL660" s="237"/>
      <c r="AM660" s="237"/>
      <c r="AN660" s="237"/>
      <c r="AO660" s="237"/>
      <c r="AP660" s="237"/>
      <c r="AQ660" s="237"/>
      <c r="AR660" s="237"/>
      <c r="AS660" s="237"/>
      <c r="AT660" s="360">
        <v>43626</v>
      </c>
      <c r="AU660" s="91">
        <f t="shared" si="48"/>
        <v>67851499</v>
      </c>
    </row>
    <row r="661" spans="2:47" ht="33.75" hidden="1" x14ac:dyDescent="0.25">
      <c r="B661" s="2" t="str">
        <f>+'Base de Datos'!E661</f>
        <v>180284-0-2018</v>
      </c>
      <c r="C661" s="2" t="str">
        <f>+'Base de Datos'!F661</f>
        <v>VICTOR MANUEL BARAHONA ARIZA</v>
      </c>
      <c r="D661" s="2">
        <f>+'Base de Datos'!G661</f>
        <v>1077970840</v>
      </c>
      <c r="E661" s="2" t="str">
        <f>+'Base de Datos'!H661</f>
        <v>Prestar servicios de apoyo para sistematizar y verificar la información relacionada con la generación de la nómina y los registros contables.</v>
      </c>
      <c r="F661" s="221">
        <f>+'Base de Datos'!I661</f>
        <v>13200000</v>
      </c>
      <c r="G661" s="220">
        <f>+'Base de Datos'!M661</f>
        <v>43326</v>
      </c>
      <c r="H661" s="220">
        <f>+'Base de Datos'!N661</f>
        <v>43496</v>
      </c>
      <c r="I661" s="179">
        <v>5646667</v>
      </c>
      <c r="J661" s="360">
        <v>43496</v>
      </c>
      <c r="K661" s="237"/>
      <c r="L661" s="363"/>
      <c r="M661" s="179"/>
      <c r="N661" s="360"/>
      <c r="O661" s="179"/>
      <c r="P661" s="365"/>
      <c r="Q661" s="86">
        <f t="shared" si="46"/>
        <v>5646667</v>
      </c>
      <c r="R661" s="849" t="s">
        <v>4667</v>
      </c>
      <c r="S661" s="360">
        <v>43585</v>
      </c>
      <c r="T661" s="179"/>
      <c r="U661" s="360"/>
      <c r="V661" s="179"/>
      <c r="W661" s="360"/>
      <c r="X661" s="179"/>
      <c r="Y661" s="360"/>
      <c r="Z661" s="849" t="s">
        <v>4667</v>
      </c>
      <c r="AA661" s="89">
        <f t="shared" si="47"/>
        <v>43585</v>
      </c>
      <c r="AB661" s="237">
        <v>1246667</v>
      </c>
      <c r="AC661" s="237">
        <v>2200000</v>
      </c>
      <c r="AD661" s="237">
        <v>2200000</v>
      </c>
      <c r="AE661" s="237">
        <v>2200000</v>
      </c>
      <c r="AF661" s="237">
        <v>2200000</v>
      </c>
      <c r="AG661" s="237">
        <v>2200000</v>
      </c>
      <c r="AH661" s="237">
        <v>953333</v>
      </c>
      <c r="AI661" s="237">
        <v>1246667</v>
      </c>
      <c r="AJ661" s="237">
        <v>2200000</v>
      </c>
      <c r="AK661" s="237"/>
      <c r="AL661" s="237"/>
      <c r="AM661" s="237"/>
      <c r="AN661" s="237"/>
      <c r="AO661" s="237"/>
      <c r="AP661" s="237"/>
      <c r="AQ661" s="237"/>
      <c r="AR661" s="237"/>
      <c r="AS661" s="237"/>
      <c r="AT661" s="360">
        <v>43563</v>
      </c>
      <c r="AU661" s="91">
        <f t="shared" si="48"/>
        <v>16646667</v>
      </c>
    </row>
    <row r="662" spans="2:47" ht="45" hidden="1" x14ac:dyDescent="0.25">
      <c r="B662" s="2" t="str">
        <f>+'Base de Datos'!E662</f>
        <v>180281-0-2018</v>
      </c>
      <c r="C662" s="2" t="str">
        <f>+'Base de Datos'!F662</f>
        <v>ANDREA PAOLA MELENDEZ PINEDA</v>
      </c>
      <c r="D662" s="2">
        <f>+'Base de Datos'!G663</f>
        <v>1065587417</v>
      </c>
      <c r="E662" s="2" t="str">
        <f>+'Base de Datos'!H662</f>
        <v xml:space="preserve">Prestar servicios profesionales para apoyar jurídicamente a la Dirección Administrativa del Concejo de Bogotá en el seguimiento a los procesos contractuales y ejecución de los contratos a cargo del área. </v>
      </c>
      <c r="F662" s="221">
        <f>+'Base de Datos'!I662</f>
        <v>37500000</v>
      </c>
      <c r="G662" s="220">
        <f>+'Base de Datos'!M662</f>
        <v>43322</v>
      </c>
      <c r="H662" s="220">
        <f>+'Base de Datos'!N662</f>
        <v>43496</v>
      </c>
      <c r="I662" s="179"/>
      <c r="J662" s="360"/>
      <c r="K662" s="237"/>
      <c r="L662" s="363"/>
      <c r="M662" s="179"/>
      <c r="N662" s="360"/>
      <c r="O662" s="179"/>
      <c r="P662" s="365"/>
      <c r="Q662" s="86">
        <f t="shared" si="46"/>
        <v>0</v>
      </c>
      <c r="R662" s="284"/>
      <c r="S662" s="360"/>
      <c r="T662" s="179"/>
      <c r="U662" s="360"/>
      <c r="V662" s="179"/>
      <c r="W662" s="360"/>
      <c r="X662" s="179"/>
      <c r="Y662" s="360"/>
      <c r="Z662" s="353"/>
      <c r="AA662" s="89">
        <f t="shared" si="47"/>
        <v>0</v>
      </c>
      <c r="AB662" s="237">
        <v>4375000</v>
      </c>
      <c r="AC662" s="237">
        <v>6250000</v>
      </c>
      <c r="AD662" s="237">
        <v>6250000</v>
      </c>
      <c r="AE662" s="237">
        <v>6250000</v>
      </c>
      <c r="AF662" s="237">
        <v>6250000</v>
      </c>
      <c r="AG662" s="237">
        <v>6250000</v>
      </c>
      <c r="AH662" s="237"/>
      <c r="AI662" s="237"/>
      <c r="AJ662" s="237"/>
      <c r="AK662" s="237"/>
      <c r="AL662" s="237"/>
      <c r="AM662" s="237"/>
      <c r="AN662" s="237"/>
      <c r="AO662" s="237"/>
      <c r="AP662" s="237"/>
      <c r="AQ662" s="237"/>
      <c r="AR662" s="237"/>
      <c r="AS662" s="237"/>
      <c r="AT662" s="360">
        <v>43504</v>
      </c>
      <c r="AU662" s="91">
        <f t="shared" si="48"/>
        <v>35625000</v>
      </c>
    </row>
    <row r="663" spans="2:47" ht="45" hidden="1" x14ac:dyDescent="0.25">
      <c r="B663" s="2" t="str">
        <f>+'Base de Datos'!E663</f>
        <v>180279-0-2018</v>
      </c>
      <c r="C663" s="2" t="str">
        <f>+'Base de Datos'!F663</f>
        <v>LUIS FERNANDO MEZA DAZA</v>
      </c>
      <c r="D663" s="2" t="e">
        <f>+'Base de Datos'!#REF!</f>
        <v>#REF!</v>
      </c>
      <c r="E663" s="2" t="str">
        <f>+'Base de Datos'!H663</f>
        <v>Prestar servicios profesionales para apoyar  a la Dirección Administrativa en la gestión de las actividades relacionadas con el seguimiento  a los temas de infraestructura física que requiera el Concejo de Bogotá.</v>
      </c>
      <c r="F663" s="221">
        <f>+'Base de Datos'!I663</f>
        <v>16404000</v>
      </c>
      <c r="G663" s="220">
        <f>+'Base de Datos'!M663</f>
        <v>43322</v>
      </c>
      <c r="H663" s="220">
        <f>+'Base de Datos'!N663</f>
        <v>43496</v>
      </c>
      <c r="I663" s="179"/>
      <c r="J663" s="360"/>
      <c r="K663" s="237"/>
      <c r="L663" s="363"/>
      <c r="M663" s="179"/>
      <c r="N663" s="360"/>
      <c r="O663" s="179"/>
      <c r="P663" s="365"/>
      <c r="Q663" s="86">
        <f t="shared" si="46"/>
        <v>0</v>
      </c>
      <c r="R663" s="284"/>
      <c r="S663" s="360"/>
      <c r="T663" s="179"/>
      <c r="U663" s="360"/>
      <c r="V663" s="179"/>
      <c r="W663" s="360"/>
      <c r="X663" s="179"/>
      <c r="Y663" s="360"/>
      <c r="Z663" s="353"/>
      <c r="AA663" s="89">
        <f t="shared" si="47"/>
        <v>0</v>
      </c>
      <c r="AB663" s="237">
        <v>1913800</v>
      </c>
      <c r="AC663" s="237">
        <v>2734000</v>
      </c>
      <c r="AD663" s="237">
        <v>2734000</v>
      </c>
      <c r="AE663" s="237">
        <v>2734000</v>
      </c>
      <c r="AF663" s="237">
        <v>2734000</v>
      </c>
      <c r="AG663" s="237">
        <v>2734000</v>
      </c>
      <c r="AH663" s="237"/>
      <c r="AI663" s="237"/>
      <c r="AJ663" s="237"/>
      <c r="AK663" s="237"/>
      <c r="AL663" s="237"/>
      <c r="AM663" s="237"/>
      <c r="AN663" s="237"/>
      <c r="AO663" s="237"/>
      <c r="AP663" s="237"/>
      <c r="AQ663" s="237"/>
      <c r="AR663" s="237"/>
      <c r="AS663" s="237"/>
      <c r="AT663" s="360">
        <v>43500</v>
      </c>
      <c r="AU663" s="91">
        <f t="shared" si="48"/>
        <v>15583800</v>
      </c>
    </row>
    <row r="664" spans="2:47" ht="45" hidden="1" x14ac:dyDescent="0.25">
      <c r="B664" s="2" t="str">
        <f>+'Base de Datos'!E664</f>
        <v>180214-0-2018</v>
      </c>
      <c r="C664" s="2" t="str">
        <f>+'Base de Datos'!F664</f>
        <v>SISDATA SAS</v>
      </c>
      <c r="D664" s="2">
        <f>+'Base de Datos'!G664</f>
        <v>900534413</v>
      </c>
      <c r="E664" s="2" t="str">
        <f>+'Base de Datos'!H664</f>
        <v>Proveer computadores al Concejo de Bogotá, de acuerdo con lo establecido en el pliego de condiciones de la Subasta inversa electrónica SDH-SIE-07-2018 y la propuesta presentada por el contratista.</v>
      </c>
      <c r="F664" s="221">
        <f>+'Base de Datos'!I664</f>
        <v>393873426</v>
      </c>
      <c r="G664" s="220">
        <f>+'Base de Datos'!M664</f>
        <v>43322</v>
      </c>
      <c r="H664" s="220">
        <f>+'Base de Datos'!N664</f>
        <v>43366</v>
      </c>
      <c r="I664" s="179">
        <v>184923315</v>
      </c>
      <c r="J664" s="360">
        <v>43378</v>
      </c>
      <c r="K664" s="237"/>
      <c r="L664" s="363"/>
      <c r="M664" s="179"/>
      <c r="N664" s="360"/>
      <c r="O664" s="179"/>
      <c r="P664" s="365"/>
      <c r="Q664" s="86">
        <f t="shared" si="46"/>
        <v>184923315</v>
      </c>
      <c r="R664" s="284" t="s">
        <v>4302</v>
      </c>
      <c r="S664" s="360">
        <v>43378</v>
      </c>
      <c r="T664" s="178" t="s">
        <v>4349</v>
      </c>
      <c r="U664" s="360"/>
      <c r="V664" s="179"/>
      <c r="W664" s="360"/>
      <c r="X664" s="179"/>
      <c r="Y664" s="360"/>
      <c r="Z664" s="284" t="s">
        <v>4353</v>
      </c>
      <c r="AA664" s="89">
        <v>43408</v>
      </c>
      <c r="AB664" s="237">
        <v>393873426</v>
      </c>
      <c r="AC664" s="237">
        <v>184923315</v>
      </c>
      <c r="AD664" s="237"/>
      <c r="AE664" s="237"/>
      <c r="AF664" s="237"/>
      <c r="AG664" s="237"/>
      <c r="AH664" s="237"/>
      <c r="AI664" s="237"/>
      <c r="AJ664" s="237"/>
      <c r="AK664" s="237"/>
      <c r="AL664" s="237"/>
      <c r="AM664" s="237"/>
      <c r="AN664" s="237"/>
      <c r="AO664" s="237"/>
      <c r="AP664" s="237"/>
      <c r="AQ664" s="237"/>
      <c r="AR664" s="237"/>
      <c r="AS664" s="237"/>
      <c r="AT664" s="360">
        <v>43418</v>
      </c>
      <c r="AU664" s="91">
        <f t="shared" si="48"/>
        <v>578796741</v>
      </c>
    </row>
    <row r="665" spans="2:47" ht="33.75" hidden="1" x14ac:dyDescent="0.25">
      <c r="B665" s="2" t="str">
        <f>+'Base de Datos'!E665</f>
        <v>180283-0-2018</v>
      </c>
      <c r="C665" s="2" t="str">
        <f>+'Base de Datos'!F665</f>
        <v xml:space="preserve">INFORMATICA DOCUMENTAL SAS </v>
      </c>
      <c r="D665" s="2">
        <f>+'Base de Datos'!G665</f>
        <v>830083523</v>
      </c>
      <c r="E665" s="2" t="str">
        <f>+'Base de Datos'!H665</f>
        <v>Prestar servicios de actualización y soporte para el software para el manejo documental Infodoc para el Concejo de Bogotá</v>
      </c>
      <c r="F665" s="221">
        <f>+'Base de Datos'!I665</f>
        <v>6735778</v>
      </c>
      <c r="G665" s="220">
        <f>+'Base de Datos'!M665</f>
        <v>43333</v>
      </c>
      <c r="H665" s="220">
        <f>+'Base de Datos'!N665</f>
        <v>43544</v>
      </c>
      <c r="I665" s="179"/>
      <c r="J665" s="360"/>
      <c r="K665" s="237"/>
      <c r="L665" s="363"/>
      <c r="M665" s="179"/>
      <c r="N665" s="360"/>
      <c r="O665" s="179"/>
      <c r="P665" s="365"/>
      <c r="Q665" s="86">
        <f t="shared" si="46"/>
        <v>0</v>
      </c>
      <c r="R665" s="284"/>
      <c r="S665" s="360"/>
      <c r="T665" s="179"/>
      <c r="U665" s="360"/>
      <c r="V665" s="179"/>
      <c r="W665" s="360"/>
      <c r="X665" s="179"/>
      <c r="Y665" s="360"/>
      <c r="Z665" s="353"/>
      <c r="AA665" s="89">
        <f t="shared" si="47"/>
        <v>0</v>
      </c>
      <c r="AB665" s="237">
        <v>6735778</v>
      </c>
      <c r="AC665" s="237"/>
      <c r="AD665" s="237"/>
      <c r="AE665" s="237"/>
      <c r="AF665" s="237"/>
      <c r="AG665" s="237"/>
      <c r="AH665" s="237"/>
      <c r="AI665" s="237"/>
      <c r="AJ665" s="237"/>
      <c r="AK665" s="237"/>
      <c r="AL665" s="237"/>
      <c r="AM665" s="237"/>
      <c r="AN665" s="237"/>
      <c r="AO665" s="237"/>
      <c r="AP665" s="237"/>
      <c r="AQ665" s="237"/>
      <c r="AR665" s="237"/>
      <c r="AS665" s="237"/>
      <c r="AT665" s="360">
        <v>43595</v>
      </c>
      <c r="AU665" s="91">
        <f t="shared" si="48"/>
        <v>6735778</v>
      </c>
    </row>
    <row r="666" spans="2:47" ht="22.5" hidden="1" x14ac:dyDescent="0.25">
      <c r="B666" s="2" t="str">
        <f>+'Base de Datos'!E666</f>
        <v>180290-0-2018</v>
      </c>
      <c r="C666" s="2" t="str">
        <f>+'Base de Datos'!F666</f>
        <v>AUTOMOTORES COMAGRO SA</v>
      </c>
      <c r="D666" s="2">
        <f>+'Base de Datos'!G666</f>
        <v>830006901</v>
      </c>
      <c r="E666" s="2" t="str">
        <f>+'Base de Datos'!H666</f>
        <v>Entregar a título de compraventa vehículos con destino al parque automotor del Concejo de Bogotá D.C.</v>
      </c>
      <c r="F666" s="221">
        <f>+'Base de Datos'!I666</f>
        <v>200870570</v>
      </c>
      <c r="G666" s="220">
        <f>+'Base de Datos'!M666</f>
        <v>43325</v>
      </c>
      <c r="H666" s="220">
        <f>+'Base de Datos'!N666</f>
        <v>43385</v>
      </c>
      <c r="I666" s="179"/>
      <c r="J666" s="360"/>
      <c r="K666" s="237"/>
      <c r="L666" s="363"/>
      <c r="M666" s="179"/>
      <c r="N666" s="360"/>
      <c r="O666" s="179"/>
      <c r="P666" s="365"/>
      <c r="Q666" s="86">
        <f t="shared" ref="Q666:Q676" si="49">SUM(I666,K666,M666,O666)</f>
        <v>0</v>
      </c>
      <c r="R666" s="284"/>
      <c r="S666" s="360"/>
      <c r="T666" s="179"/>
      <c r="U666" s="360"/>
      <c r="V666" s="179"/>
      <c r="W666" s="360"/>
      <c r="X666" s="179"/>
      <c r="Y666" s="360"/>
      <c r="Z666" s="353"/>
      <c r="AA666" s="89">
        <f t="shared" ref="AA666:AA676" si="50">MAX(S666,U666,W666,Y666)</f>
        <v>0</v>
      </c>
      <c r="AB666" s="237">
        <v>200870204</v>
      </c>
      <c r="AC666" s="237"/>
      <c r="AD666" s="237"/>
      <c r="AE666" s="237"/>
      <c r="AF666" s="237"/>
      <c r="AG666" s="237"/>
      <c r="AH666" s="237"/>
      <c r="AI666" s="237"/>
      <c r="AJ666" s="237"/>
      <c r="AK666" s="237"/>
      <c r="AL666" s="237"/>
      <c r="AM666" s="237"/>
      <c r="AN666" s="237"/>
      <c r="AO666" s="237"/>
      <c r="AP666" s="237"/>
      <c r="AQ666" s="237"/>
      <c r="AR666" s="237"/>
      <c r="AS666" s="237"/>
      <c r="AT666" s="360">
        <v>43364</v>
      </c>
      <c r="AU666" s="91">
        <f t="shared" ref="AU666:AU676" si="51">SUM(AB666:AR666)</f>
        <v>200870204</v>
      </c>
    </row>
    <row r="667" spans="2:47" ht="45" hidden="1" x14ac:dyDescent="0.25">
      <c r="B667" s="2" t="str">
        <f>+'Base de Datos'!E667</f>
        <v>180291-0-2018</v>
      </c>
      <c r="C667" s="2" t="str">
        <f>+'Base de Datos'!F667</f>
        <v>SONIA MARINA SAAVEDRA CACERES</v>
      </c>
      <c r="D667" s="2">
        <f>+'Base de Datos'!G667</f>
        <v>40031917</v>
      </c>
      <c r="E667" s="2" t="str">
        <f>+'Base de Datos'!H667</f>
        <v>Prestar servicios profesionales para apoyar el seguimiento a los procesos de adquisición de bienes y servicios y la ejecución de los contratos para el Concejo de Bogotá.</v>
      </c>
      <c r="F667" s="221">
        <f>+'Base de Datos'!I667</f>
        <v>37500000</v>
      </c>
      <c r="G667" s="220">
        <f>+'Base de Datos'!M667</f>
        <v>43328</v>
      </c>
      <c r="H667" s="220">
        <f>+'Base de Datos'!N667</f>
        <v>43496</v>
      </c>
      <c r="I667" s="179">
        <v>9375000</v>
      </c>
      <c r="J667" s="360">
        <v>43495</v>
      </c>
      <c r="K667" s="237"/>
      <c r="L667" s="363"/>
      <c r="M667" s="179"/>
      <c r="N667" s="360"/>
      <c r="O667" s="179"/>
      <c r="P667" s="365"/>
      <c r="Q667" s="86">
        <f t="shared" si="49"/>
        <v>9375000</v>
      </c>
      <c r="R667" s="284" t="s">
        <v>978</v>
      </c>
      <c r="S667" s="360">
        <v>43554</v>
      </c>
      <c r="T667" s="179"/>
      <c r="U667" s="360"/>
      <c r="V667" s="179"/>
      <c r="W667" s="360"/>
      <c r="X667" s="179"/>
      <c r="Y667" s="360"/>
      <c r="Z667" s="284" t="s">
        <v>978</v>
      </c>
      <c r="AA667" s="89">
        <f t="shared" si="50"/>
        <v>43554</v>
      </c>
      <c r="AB667" s="237">
        <v>3125000</v>
      </c>
      <c r="AC667" s="237">
        <v>6250000</v>
      </c>
      <c r="AD667" s="237">
        <v>6250000</v>
      </c>
      <c r="AE667" s="237">
        <v>6250000</v>
      </c>
      <c r="AF667" s="237">
        <v>6250000</v>
      </c>
      <c r="AG667" s="237">
        <v>6250000</v>
      </c>
      <c r="AH667" s="237">
        <v>6250000</v>
      </c>
      <c r="AI667" s="237">
        <v>3125000</v>
      </c>
      <c r="AJ667" s="237">
        <v>3125000</v>
      </c>
      <c r="AK667" s="237"/>
      <c r="AL667" s="237"/>
      <c r="AM667" s="237"/>
      <c r="AN667" s="237"/>
      <c r="AO667" s="237"/>
      <c r="AP667" s="237"/>
      <c r="AQ667" s="237"/>
      <c r="AR667" s="237"/>
      <c r="AS667" s="237"/>
      <c r="AT667" s="360">
        <v>43555</v>
      </c>
      <c r="AU667" s="91">
        <f t="shared" si="51"/>
        <v>46875000</v>
      </c>
    </row>
    <row r="668" spans="2:47" ht="33.75" hidden="1" x14ac:dyDescent="0.25">
      <c r="B668" s="2" t="str">
        <f>+'Base de Datos'!E668</f>
        <v>180287-0-2018</v>
      </c>
      <c r="C668" s="2" t="str">
        <f>+'Base de Datos'!F668</f>
        <v>DIEGO ARMANDO PRECIADO PUENTES</v>
      </c>
      <c r="D668" s="2">
        <f>+'Base de Datos'!G668</f>
        <v>1030565608</v>
      </c>
      <c r="E668" s="2" t="str">
        <f>+'Base de Datos'!H668</f>
        <v>Prestar servicios profesionales para apoyar operativa y técnicamente la infraestructura tecnológica e informática del Concejo de Bogotá.</v>
      </c>
      <c r="F668" s="221">
        <f>+'Base de Datos'!I668</f>
        <v>23819958</v>
      </c>
      <c r="G668" s="220">
        <f>+'Base de Datos'!M668</f>
        <v>43327</v>
      </c>
      <c r="H668" s="220">
        <f>+'Base de Datos'!N668</f>
        <v>43496</v>
      </c>
      <c r="I668" s="179"/>
      <c r="J668" s="360"/>
      <c r="K668" s="237"/>
      <c r="L668" s="363"/>
      <c r="M668" s="179"/>
      <c r="N668" s="360"/>
      <c r="O668" s="179"/>
      <c r="P668" s="365"/>
      <c r="Q668" s="86">
        <f t="shared" si="49"/>
        <v>0</v>
      </c>
      <c r="R668" s="284"/>
      <c r="S668" s="360"/>
      <c r="T668" s="179"/>
      <c r="U668" s="360"/>
      <c r="V668" s="179"/>
      <c r="W668" s="360"/>
      <c r="X668" s="179"/>
      <c r="Y668" s="360"/>
      <c r="Z668" s="353"/>
      <c r="AA668" s="89">
        <f t="shared" si="50"/>
        <v>0</v>
      </c>
      <c r="AB668" s="237">
        <v>2117330</v>
      </c>
      <c r="AC668" s="237">
        <v>3969993</v>
      </c>
      <c r="AD668" s="237">
        <v>3969993</v>
      </c>
      <c r="AE668" s="237">
        <v>3969993</v>
      </c>
      <c r="AF668" s="237">
        <v>3969993</v>
      </c>
      <c r="AG668" s="237">
        <v>3969993</v>
      </c>
      <c r="AH668" s="237"/>
      <c r="AI668" s="237"/>
      <c r="AJ668" s="237"/>
      <c r="AK668" s="237"/>
      <c r="AL668" s="237"/>
      <c r="AM668" s="237"/>
      <c r="AN668" s="237"/>
      <c r="AO668" s="237"/>
      <c r="AP668" s="237"/>
      <c r="AQ668" s="237"/>
      <c r="AR668" s="237"/>
      <c r="AS668" s="237"/>
      <c r="AT668" s="360">
        <v>43510</v>
      </c>
      <c r="AU668" s="91">
        <f t="shared" si="51"/>
        <v>21967295</v>
      </c>
    </row>
    <row r="669" spans="2:47" ht="33.75" hidden="1" x14ac:dyDescent="0.25">
      <c r="B669" s="2" t="str">
        <f>+'Base de Datos'!E669</f>
        <v>180293-0-2018</v>
      </c>
      <c r="C669" s="2" t="str">
        <f>+'Base de Datos'!F669</f>
        <v>MEDICAL PROTECTION LTDA. SALUD OCUPACIONAL</v>
      </c>
      <c r="D669" s="2">
        <f>+'Base de Datos'!G669</f>
        <v>900170405</v>
      </c>
      <c r="E669" s="2" t="str">
        <f>+'Base de Datos'!H669</f>
        <v>Realizar exámenes médicos ocupacionales y complementarios y aplicación de vacunas para los funcionarios del Concejo de Bogotá.</v>
      </c>
      <c r="F669" s="221">
        <f>+'Base de Datos'!I669</f>
        <v>52412300</v>
      </c>
      <c r="G669" s="220">
        <f>+'Base de Datos'!M669</f>
        <v>43335</v>
      </c>
      <c r="H669" s="220">
        <f>+'Base de Datos'!N669</f>
        <v>43577</v>
      </c>
      <c r="I669" s="179"/>
      <c r="J669" s="360"/>
      <c r="K669" s="237"/>
      <c r="L669" s="363"/>
      <c r="M669" s="179"/>
      <c r="N669" s="360"/>
      <c r="O669" s="179"/>
      <c r="P669" s="365"/>
      <c r="Q669" s="86">
        <f t="shared" si="49"/>
        <v>0</v>
      </c>
      <c r="R669" s="284" t="s">
        <v>378</v>
      </c>
      <c r="S669" s="360">
        <v>43638</v>
      </c>
      <c r="T669" s="179"/>
      <c r="U669" s="360"/>
      <c r="V669" s="179"/>
      <c r="W669" s="360"/>
      <c r="X669" s="179"/>
      <c r="Y669" s="360"/>
      <c r="Z669" s="284" t="s">
        <v>378</v>
      </c>
      <c r="AA669" s="89">
        <f t="shared" si="50"/>
        <v>43638</v>
      </c>
      <c r="AB669" s="237">
        <v>1069000</v>
      </c>
      <c r="AC669" s="237">
        <v>1023000</v>
      </c>
      <c r="AD669" s="237">
        <v>1191600</v>
      </c>
      <c r="AE669" s="237">
        <v>10108600</v>
      </c>
      <c r="AF669" s="237">
        <v>8513100</v>
      </c>
      <c r="AG669" s="237">
        <v>1045800</v>
      </c>
      <c r="AH669" s="237">
        <v>1737600</v>
      </c>
      <c r="AI669" s="237">
        <v>1538800</v>
      </c>
      <c r="AJ669" s="237"/>
      <c r="AK669" s="237"/>
      <c r="AL669" s="237"/>
      <c r="AM669" s="237"/>
      <c r="AN669" s="237"/>
      <c r="AO669" s="237"/>
      <c r="AP669" s="237"/>
      <c r="AQ669" s="237"/>
      <c r="AR669" s="237"/>
      <c r="AS669" s="237"/>
      <c r="AT669" s="360">
        <v>43606</v>
      </c>
      <c r="AU669" s="91">
        <f t="shared" si="51"/>
        <v>26227500</v>
      </c>
    </row>
    <row r="670" spans="2:47" ht="33.75" hidden="1" x14ac:dyDescent="0.25">
      <c r="B670" s="2" t="str">
        <f>+'Base de Datos'!E670</f>
        <v>180295-0-2018</v>
      </c>
      <c r="C670" s="2" t="str">
        <f>+'Base de Datos'!F670</f>
        <v>ANA MARIA MONROY MORA</v>
      </c>
      <c r="D670" s="2">
        <f>+'Base de Datos'!G670</f>
        <v>1018414677</v>
      </c>
      <c r="E670" s="2" t="str">
        <f>+'Base de Datos'!H670</f>
        <v>Prestar servicios profesionales para apoyar la ejecución de las actividades contenidas en el Plan de Bienestar Social del Concejo de Bogotá.</v>
      </c>
      <c r="F670" s="221">
        <f>+'Base de Datos'!I670</f>
        <v>32814000</v>
      </c>
      <c r="G670" s="220">
        <f>+'Base de Datos'!M670</f>
        <v>43335</v>
      </c>
      <c r="H670" s="220">
        <f>+'Base de Datos'!N670</f>
        <v>43496</v>
      </c>
      <c r="I670" s="179"/>
      <c r="J670" s="360"/>
      <c r="K670" s="237"/>
      <c r="L670" s="363"/>
      <c r="M670" s="179"/>
      <c r="N670" s="360"/>
      <c r="O670" s="179"/>
      <c r="P670" s="365"/>
      <c r="Q670" s="86">
        <f t="shared" si="49"/>
        <v>0</v>
      </c>
      <c r="R670" s="284"/>
      <c r="S670" s="360"/>
      <c r="T670" s="179"/>
      <c r="U670" s="360"/>
      <c r="V670" s="179"/>
      <c r="W670" s="360"/>
      <c r="X670" s="179"/>
      <c r="Y670" s="360"/>
      <c r="Z670" s="353"/>
      <c r="AA670" s="89">
        <f t="shared" si="50"/>
        <v>0</v>
      </c>
      <c r="AB670" s="237">
        <v>1458400</v>
      </c>
      <c r="AC670" s="237">
        <v>5469000</v>
      </c>
      <c r="AD670" s="237">
        <v>5469000</v>
      </c>
      <c r="AE670" s="237">
        <v>5469000</v>
      </c>
      <c r="AF670" s="237">
        <v>5469000</v>
      </c>
      <c r="AG670" s="237">
        <v>5469000</v>
      </c>
      <c r="AH670" s="237"/>
      <c r="AI670" s="237"/>
      <c r="AJ670" s="237"/>
      <c r="AK670" s="237"/>
      <c r="AL670" s="237"/>
      <c r="AM670" s="237"/>
      <c r="AN670" s="237"/>
      <c r="AO670" s="237"/>
      <c r="AP670" s="237"/>
      <c r="AQ670" s="237"/>
      <c r="AR670" s="237"/>
      <c r="AS670" s="237"/>
      <c r="AT670" s="360">
        <v>43496</v>
      </c>
      <c r="AU670" s="91">
        <f t="shared" si="51"/>
        <v>28803400</v>
      </c>
    </row>
    <row r="671" spans="2:47" ht="22.5" hidden="1" x14ac:dyDescent="0.25">
      <c r="B671" s="2" t="str">
        <f>+'Base de Datos'!E671</f>
        <v>180224-0-2018</v>
      </c>
      <c r="C671" s="2" t="str">
        <f>+'Base de Datos'!F671</f>
        <v>SERVICIOS POSTALES NACIONALES S.A.</v>
      </c>
      <c r="D671" s="2">
        <f>+'Base de Datos'!G671</f>
        <v>900062917</v>
      </c>
      <c r="E671" s="2" t="str">
        <f>+'Base de Datos'!H671</f>
        <v>Prestar servicios para la gestión de correspondencia y mensajería expresa masiva para el Concejo de Bogotá</v>
      </c>
      <c r="F671" s="221">
        <f>+'Base de Datos'!I671</f>
        <v>40935600</v>
      </c>
      <c r="G671" s="220">
        <f>+'Base de Datos'!M671</f>
        <v>43322</v>
      </c>
      <c r="H671" s="220">
        <f>+'Base de Datos'!N671</f>
        <v>43505</v>
      </c>
      <c r="I671" s="179"/>
      <c r="J671" s="360"/>
      <c r="K671" s="237"/>
      <c r="L671" s="363"/>
      <c r="M671" s="179"/>
      <c r="N671" s="360"/>
      <c r="O671" s="179"/>
      <c r="P671" s="365"/>
      <c r="Q671" s="86">
        <f t="shared" si="49"/>
        <v>0</v>
      </c>
      <c r="R671" s="849" t="s">
        <v>4668</v>
      </c>
      <c r="S671" s="360">
        <v>43521</v>
      </c>
      <c r="T671" s="179"/>
      <c r="U671" s="360"/>
      <c r="V671" s="179"/>
      <c r="W671" s="360"/>
      <c r="X671" s="179"/>
      <c r="Y671" s="360"/>
      <c r="Z671" s="849" t="s">
        <v>4668</v>
      </c>
      <c r="AA671" s="89">
        <f t="shared" si="50"/>
        <v>43521</v>
      </c>
      <c r="AB671" s="237">
        <v>4861354</v>
      </c>
      <c r="AC671" s="237">
        <v>5025754</v>
      </c>
      <c r="AD671" s="237">
        <v>3655554</v>
      </c>
      <c r="AE671" s="237">
        <v>7592721</v>
      </c>
      <c r="AF671" s="237">
        <v>7914587</v>
      </c>
      <c r="AG671" s="237"/>
      <c r="AH671" s="237">
        <v>3540524</v>
      </c>
      <c r="AI671" s="237"/>
      <c r="AJ671" s="237"/>
      <c r="AK671" s="237"/>
      <c r="AL671" s="237"/>
      <c r="AM671" s="237"/>
      <c r="AN671" s="237"/>
      <c r="AO671" s="237"/>
      <c r="AP671" s="237"/>
      <c r="AQ671" s="237"/>
      <c r="AR671" s="237"/>
      <c r="AS671" s="237"/>
      <c r="AT671" s="360">
        <v>43628</v>
      </c>
      <c r="AU671" s="91">
        <f t="shared" si="51"/>
        <v>32590494</v>
      </c>
    </row>
    <row r="672" spans="2:47" ht="33.75" hidden="1" x14ac:dyDescent="0.25">
      <c r="B672" s="2" t="str">
        <f>+'Base de Datos'!E672</f>
        <v>180296-0-2018</v>
      </c>
      <c r="C672" s="2" t="str">
        <f>+'Base de Datos'!F672</f>
        <v>FELIPE RUEDA POSADA</v>
      </c>
      <c r="D672" s="2">
        <f>+'Base de Datos'!G672</f>
        <v>79569100</v>
      </c>
      <c r="E672" s="2" t="str">
        <f>+'Base de Datos'!H672</f>
        <v>Prestar servicios profesionales para apoyar la formulación al plan estratégico de tecnología (PETIC) del Concejo de Bogotá.</v>
      </c>
      <c r="F672" s="221">
        <f>+'Base de Datos'!I672</f>
        <v>34375000</v>
      </c>
      <c r="G672" s="220">
        <f>+'Base de Datos'!M672</f>
        <v>43340</v>
      </c>
      <c r="H672" s="220">
        <f>+'Base de Datos'!N672</f>
        <v>43496</v>
      </c>
      <c r="I672" s="179"/>
      <c r="J672" s="360"/>
      <c r="K672" s="237"/>
      <c r="L672" s="363"/>
      <c r="M672" s="179"/>
      <c r="N672" s="360"/>
      <c r="O672" s="179"/>
      <c r="P672" s="365"/>
      <c r="Q672" s="86">
        <f t="shared" si="49"/>
        <v>0</v>
      </c>
      <c r="R672" s="284"/>
      <c r="S672" s="360"/>
      <c r="T672" s="179"/>
      <c r="U672" s="360"/>
      <c r="V672" s="179"/>
      <c r="W672" s="360"/>
      <c r="X672" s="179"/>
      <c r="Y672" s="360"/>
      <c r="Z672" s="353"/>
      <c r="AA672" s="89">
        <f t="shared" si="50"/>
        <v>0</v>
      </c>
      <c r="AB672" s="237">
        <v>833333</v>
      </c>
      <c r="AC672" s="237">
        <v>6250000</v>
      </c>
      <c r="AD672" s="237">
        <v>6250000</v>
      </c>
      <c r="AE672" s="237">
        <v>6250000</v>
      </c>
      <c r="AF672" s="237">
        <v>6250000</v>
      </c>
      <c r="AG672" s="237">
        <v>6250000</v>
      </c>
      <c r="AH672" s="237"/>
      <c r="AI672" s="237"/>
      <c r="AJ672" s="237"/>
      <c r="AK672" s="237"/>
      <c r="AL672" s="237"/>
      <c r="AM672" s="237"/>
      <c r="AN672" s="237"/>
      <c r="AO672" s="237"/>
      <c r="AP672" s="237"/>
      <c r="AQ672" s="237"/>
      <c r="AR672" s="237"/>
      <c r="AS672" s="237"/>
      <c r="AT672" s="360">
        <v>43511</v>
      </c>
      <c r="AU672" s="91">
        <f t="shared" si="51"/>
        <v>32083333</v>
      </c>
    </row>
    <row r="673" spans="2:47" ht="22.5" hidden="1" x14ac:dyDescent="0.25">
      <c r="B673" s="2" t="str">
        <f>+'Base de Datos'!E673</f>
        <v>180302-0-2018</v>
      </c>
      <c r="C673" s="2" t="str">
        <f>+'Base de Datos'!F673</f>
        <v>PANAMERICANA LIBRERÍA Y PAPELERIA SA</v>
      </c>
      <c r="D673" s="2" t="str">
        <f>+'Base de Datos'!G673</f>
        <v>830037946-3</v>
      </c>
      <c r="E673" s="2" t="str">
        <f>+'Base de Datos'!H673</f>
        <v>Proveer de equipos y elementos para dotar la sala de lactancia  del Concejo de Bogotá.</v>
      </c>
      <c r="F673" s="221">
        <f>+'Base de Datos'!I673</f>
        <v>966456</v>
      </c>
      <c r="G673" s="220">
        <f>+'Base de Datos'!M673</f>
        <v>43340</v>
      </c>
      <c r="H673" s="220">
        <f>+'Base de Datos'!N673</f>
        <v>43349</v>
      </c>
      <c r="I673" s="179"/>
      <c r="J673" s="360"/>
      <c r="K673" s="237"/>
      <c r="L673" s="363"/>
      <c r="M673" s="179"/>
      <c r="N673" s="360"/>
      <c r="O673" s="179"/>
      <c r="P673" s="365"/>
      <c r="Q673" s="86">
        <f t="shared" si="49"/>
        <v>0</v>
      </c>
      <c r="R673" s="284"/>
      <c r="S673" s="360"/>
      <c r="T673" s="179"/>
      <c r="U673" s="360"/>
      <c r="V673" s="179"/>
      <c r="W673" s="360"/>
      <c r="X673" s="179"/>
      <c r="Y673" s="360"/>
      <c r="Z673" s="353"/>
      <c r="AA673" s="89">
        <f>MAX(S673,U673,W673,Y673)</f>
        <v>0</v>
      </c>
      <c r="AB673" s="237">
        <v>966456</v>
      </c>
      <c r="AC673" s="237"/>
      <c r="AD673" s="237"/>
      <c r="AE673" s="237"/>
      <c r="AF673" s="237"/>
      <c r="AG673" s="237"/>
      <c r="AH673" s="237"/>
      <c r="AI673" s="237"/>
      <c r="AJ673" s="237"/>
      <c r="AK673" s="237"/>
      <c r="AL673" s="237"/>
      <c r="AM673" s="237"/>
      <c r="AN673" s="237"/>
      <c r="AO673" s="237"/>
      <c r="AP673" s="237"/>
      <c r="AQ673" s="237"/>
      <c r="AR673" s="237"/>
      <c r="AS673" s="237"/>
      <c r="AT673" s="360">
        <v>43392</v>
      </c>
      <c r="AU673" s="91">
        <f t="shared" si="51"/>
        <v>966456</v>
      </c>
    </row>
    <row r="674" spans="2:47" ht="56.25" hidden="1" x14ac:dyDescent="0.25">
      <c r="B674" s="2" t="str">
        <f>+'Base de Datos'!E674</f>
        <v>180306-0-2018</v>
      </c>
      <c r="C674" s="2" t="str">
        <f>+'Base de Datos'!F674</f>
        <v>SOLUTION COPY LTDA</v>
      </c>
      <c r="D674" s="2">
        <f>+'Base de Datos'!G674</f>
        <v>830053669</v>
      </c>
      <c r="E674" s="2" t="str">
        <f>+'Base de Datos'!H674</f>
        <v xml:space="preserve">Prestar servicios integrales de fotocopiado y servicios afines para el Concejo de Bogotá D.C., de conformidad con lo establecido en el pliego de condiciones de la selección abreviada subasta inversa electrónica No. SDH-SIE-11-2018 y la oferta presentada por el contratista. </v>
      </c>
      <c r="F674" s="221">
        <f>+'Base de Datos'!I674</f>
        <v>17287703</v>
      </c>
      <c r="G674" s="220">
        <f>+'Base de Datos'!M674</f>
        <v>43346</v>
      </c>
      <c r="H674" s="220">
        <f>+'Base de Datos'!N674</f>
        <v>43557</v>
      </c>
      <c r="I674" s="179"/>
      <c r="J674" s="360"/>
      <c r="K674" s="237"/>
      <c r="L674" s="363"/>
      <c r="M674" s="179"/>
      <c r="N674" s="360"/>
      <c r="O674" s="179"/>
      <c r="P674" s="365"/>
      <c r="Q674" s="86">
        <f t="shared" si="49"/>
        <v>0</v>
      </c>
      <c r="R674" s="284" t="s">
        <v>2458</v>
      </c>
      <c r="S674" s="360">
        <v>43587</v>
      </c>
      <c r="T674" s="179"/>
      <c r="U674" s="360"/>
      <c r="V674" s="179"/>
      <c r="W674" s="360"/>
      <c r="X674" s="179"/>
      <c r="Y674" s="360"/>
      <c r="Z674" s="284" t="s">
        <v>2458</v>
      </c>
      <c r="AA674" s="89">
        <f t="shared" si="50"/>
        <v>43587</v>
      </c>
      <c r="AB674" s="237">
        <v>2196308</v>
      </c>
      <c r="AC674" s="237">
        <v>4224224</v>
      </c>
      <c r="AD674" s="237">
        <v>1722936</v>
      </c>
      <c r="AE674" s="237">
        <v>1586409</v>
      </c>
      <c r="AF674" s="237">
        <v>2115652</v>
      </c>
      <c r="AG674" s="237">
        <v>2203210</v>
      </c>
      <c r="AH674" s="237">
        <v>2984082</v>
      </c>
      <c r="AI674" s="237"/>
      <c r="AJ674" s="237"/>
      <c r="AK674" s="237"/>
      <c r="AL674" s="237"/>
      <c r="AM674" s="237"/>
      <c r="AN674" s="237"/>
      <c r="AO674" s="237"/>
      <c r="AP674" s="237"/>
      <c r="AQ674" s="237"/>
      <c r="AR674" s="237"/>
      <c r="AS674" s="237"/>
      <c r="AT674" s="360">
        <v>43626</v>
      </c>
      <c r="AU674" s="91">
        <f t="shared" si="51"/>
        <v>17032821</v>
      </c>
    </row>
    <row r="675" spans="2:47" ht="22.5" hidden="1" x14ac:dyDescent="0.25">
      <c r="B675" s="2" t="str">
        <f>+'Base de Datos'!E675</f>
        <v>180309-0-2018</v>
      </c>
      <c r="C675" s="2" t="str">
        <f>+'Base de Datos'!F675</f>
        <v xml:space="preserve">COMUNICAN SA </v>
      </c>
      <c r="D675" s="2">
        <f>+'Base de Datos'!G675</f>
        <v>860007590</v>
      </c>
      <c r="E675" s="2" t="str">
        <f>+'Base de Datos'!H675</f>
        <v>Suscripción al diario EL ESPECTADOR para el Concejo de Bogotá.</v>
      </c>
      <c r="F675" s="221">
        <f>+'Base de Datos'!I675</f>
        <v>1029000</v>
      </c>
      <c r="G675" s="220">
        <f>+'Base de Datos'!M675</f>
        <v>43376</v>
      </c>
      <c r="H675" s="220">
        <f>+'Base de Datos'!N675</f>
        <v>43740</v>
      </c>
      <c r="I675" s="179"/>
      <c r="J675" s="360"/>
      <c r="K675" s="237"/>
      <c r="L675" s="363"/>
      <c r="M675" s="179"/>
      <c r="N675" s="360"/>
      <c r="O675" s="179"/>
      <c r="P675" s="365"/>
      <c r="Q675" s="86">
        <f t="shared" si="49"/>
        <v>0</v>
      </c>
      <c r="R675" s="284"/>
      <c r="S675" s="360"/>
      <c r="T675" s="179"/>
      <c r="U675" s="360"/>
      <c r="V675" s="179"/>
      <c r="W675" s="360"/>
      <c r="X675" s="179"/>
      <c r="Y675" s="360"/>
      <c r="Z675" s="353"/>
      <c r="AA675" s="89">
        <f t="shared" si="50"/>
        <v>0</v>
      </c>
      <c r="AB675" s="237">
        <v>1029000</v>
      </c>
      <c r="AC675" s="237"/>
      <c r="AD675" s="237"/>
      <c r="AE675" s="237"/>
      <c r="AF675" s="237"/>
      <c r="AG675" s="237"/>
      <c r="AH675" s="237"/>
      <c r="AI675" s="237"/>
      <c r="AJ675" s="237"/>
      <c r="AK675" s="237"/>
      <c r="AL675" s="237"/>
      <c r="AM675" s="237"/>
      <c r="AN675" s="237"/>
      <c r="AO675" s="237"/>
      <c r="AP675" s="237"/>
      <c r="AQ675" s="237"/>
      <c r="AR675" s="237"/>
      <c r="AS675" s="237"/>
      <c r="AT675" s="360">
        <v>43553</v>
      </c>
      <c r="AU675" s="91">
        <f t="shared" si="51"/>
        <v>1029000</v>
      </c>
    </row>
    <row r="676" spans="2:47" ht="33.75" hidden="1" x14ac:dyDescent="0.25">
      <c r="B676" s="2" t="str">
        <f>+'Base de Datos'!E676</f>
        <v>180204-0-2018</v>
      </c>
      <c r="C676" s="2" t="str">
        <f>+'Base de Datos'!F676</f>
        <v xml:space="preserve">MOTORES Y MAQUINAS S.A. MOTORYSA </v>
      </c>
      <c r="D676" s="2">
        <f>+'Base de Datos'!G676</f>
        <v>860019063</v>
      </c>
      <c r="E676" s="2" t="str">
        <f>+'Base de Datos'!H676</f>
        <v>Prestar servicios de mantenimiento correctivo con suministro de repuestos para los vehículos marca Mitsubshi al servicio del Concejo de Bogotá.</v>
      </c>
      <c r="F676" s="221">
        <f>+'Base de Datos'!I676</f>
        <v>18450000</v>
      </c>
      <c r="G676" s="220">
        <f>+'Base de Datos'!M676</f>
        <v>43357</v>
      </c>
      <c r="H676" s="220">
        <f>+'Base de Datos'!N676</f>
        <v>43721</v>
      </c>
      <c r="I676" s="179"/>
      <c r="J676" s="360"/>
      <c r="K676" s="237"/>
      <c r="L676" s="363"/>
      <c r="M676" s="179"/>
      <c r="N676" s="360"/>
      <c r="O676" s="179"/>
      <c r="P676" s="365"/>
      <c r="Q676" s="86">
        <f t="shared" si="49"/>
        <v>0</v>
      </c>
      <c r="R676" s="284"/>
      <c r="S676" s="360"/>
      <c r="T676" s="179"/>
      <c r="U676" s="360"/>
      <c r="V676" s="179"/>
      <c r="W676" s="360"/>
      <c r="X676" s="179"/>
      <c r="Y676" s="360"/>
      <c r="Z676" s="353"/>
      <c r="AA676" s="89">
        <f t="shared" si="50"/>
        <v>0</v>
      </c>
      <c r="AB676" s="237">
        <v>5909550</v>
      </c>
      <c r="AC676" s="237"/>
      <c r="AD676" s="237"/>
      <c r="AE676" s="237"/>
      <c r="AF676" s="237"/>
      <c r="AG676" s="237"/>
      <c r="AH676" s="237"/>
      <c r="AI676" s="237"/>
      <c r="AJ676" s="237"/>
      <c r="AK676" s="237"/>
      <c r="AL676" s="237"/>
      <c r="AM676" s="237"/>
      <c r="AN676" s="237"/>
      <c r="AO676" s="237"/>
      <c r="AP676" s="237"/>
      <c r="AQ676" s="237"/>
      <c r="AR676" s="237"/>
      <c r="AS676" s="237"/>
      <c r="AT676" s="360">
        <v>43515</v>
      </c>
      <c r="AU676" s="91">
        <f t="shared" si="51"/>
        <v>5909550</v>
      </c>
    </row>
    <row r="677" spans="2:47" ht="56.25" hidden="1" x14ac:dyDescent="0.25">
      <c r="B677" s="2" t="str">
        <f>+'Base de Datos'!E677</f>
        <v>180308-0-2018</v>
      </c>
      <c r="C677" s="2" t="str">
        <f>+'Base de Datos'!F677</f>
        <v>EDGAR OSIRIS QUIJANO GOMEZ</v>
      </c>
      <c r="D677" s="2">
        <f>+'Base de Datos'!G677</f>
        <v>79352706</v>
      </c>
      <c r="E677" s="2" t="str">
        <f>+'Base de Datos'!H677</f>
        <v>Prestar servicios profesionales para apoyar técnicamente al Concejo de Bogotá en la estructuración de las solicitudes de contratción, definición y seguimiento de los procesos relacionados con la infraestructura física que requiera el Concejo de Bogotá.</v>
      </c>
      <c r="F677" s="221">
        <f>+'Base de Datos'!I677</f>
        <v>27345000</v>
      </c>
      <c r="G677" s="220">
        <f>+'Base de Datos'!M677</f>
        <v>43349</v>
      </c>
      <c r="H677" s="220">
        <f>+'Base de Datos'!N677</f>
        <v>43496</v>
      </c>
      <c r="I677" s="179"/>
      <c r="J677" s="360"/>
      <c r="K677" s="237"/>
      <c r="L677" s="363"/>
      <c r="M677" s="179"/>
      <c r="N677" s="360"/>
      <c r="O677" s="179"/>
      <c r="P677" s="365"/>
      <c r="Q677" s="86">
        <f t="shared" ref="Q677:Q726" si="52">SUM(I677,K677,M677,O677)</f>
        <v>0</v>
      </c>
      <c r="R677" s="284"/>
      <c r="S677" s="360"/>
      <c r="T677" s="179"/>
      <c r="U677" s="360"/>
      <c r="V677" s="179"/>
      <c r="W677" s="360"/>
      <c r="X677" s="179"/>
      <c r="Y677" s="360"/>
      <c r="Z677" s="353"/>
      <c r="AA677" s="89">
        <f t="shared" ref="AA677:AA726" si="53">MAX(S677,U677,W677,Y677)</f>
        <v>0</v>
      </c>
      <c r="AB677" s="237">
        <v>4557500</v>
      </c>
      <c r="AC677" s="237">
        <v>5469000</v>
      </c>
      <c r="AD677" s="237">
        <v>5469000</v>
      </c>
      <c r="AE677" s="237">
        <v>5469000</v>
      </c>
      <c r="AF677" s="237"/>
      <c r="AG677" s="237"/>
      <c r="AH677" s="237"/>
      <c r="AI677" s="237"/>
      <c r="AJ677" s="237"/>
      <c r="AK677" s="237"/>
      <c r="AL677" s="237"/>
      <c r="AM677" s="237"/>
      <c r="AN677" s="237"/>
      <c r="AO677" s="237"/>
      <c r="AP677" s="237"/>
      <c r="AQ677" s="237"/>
      <c r="AR677" s="237"/>
      <c r="AS677" s="237"/>
      <c r="AT677" s="360">
        <v>43543</v>
      </c>
      <c r="AU677" s="91">
        <f t="shared" ref="AU677:AU726" si="54">SUM(AB677:AR677)</f>
        <v>20964500</v>
      </c>
    </row>
    <row r="678" spans="2:47" ht="56.25" hidden="1" x14ac:dyDescent="0.25">
      <c r="B678" s="2" t="str">
        <f>+'Base de Datos'!E678</f>
        <v>180301-0-2018</v>
      </c>
      <c r="C678" s="2" t="str">
        <f>+'Base de Datos'!F678</f>
        <v>CONTRONET LTDA</v>
      </c>
      <c r="D678" s="2" t="str">
        <f>+'Base de Datos'!G678</f>
        <v>800230639-4</v>
      </c>
      <c r="E678" s="2" t="str">
        <f>+'Base de Datos'!H678</f>
        <v>Prestar servicios de actualización, mantenimiento y soporte con el suministro de repuestos para la infraestructura de telecomunicaciones , cableado estructurado (voz y datos), fibra óptica, energía normal y regulada del Concejo de Bogotá, D.C.</v>
      </c>
      <c r="F678" s="221">
        <f>+'Base de Datos'!I678</f>
        <v>30000000</v>
      </c>
      <c r="G678" s="220">
        <f>+'Base de Datos'!M678</f>
        <v>43355</v>
      </c>
      <c r="H678" s="220">
        <f>+'Base de Datos'!N678</f>
        <v>43535</v>
      </c>
      <c r="I678" s="179">
        <v>15000000</v>
      </c>
      <c r="J678" s="360">
        <v>43532</v>
      </c>
      <c r="K678" s="237"/>
      <c r="L678" s="363"/>
      <c r="M678" s="179"/>
      <c r="N678" s="360"/>
      <c r="O678" s="179"/>
      <c r="P678" s="365"/>
      <c r="Q678" s="86">
        <f t="shared" si="52"/>
        <v>15000000</v>
      </c>
      <c r="R678" s="284" t="s">
        <v>379</v>
      </c>
      <c r="S678" s="360">
        <v>43626</v>
      </c>
      <c r="T678" s="179"/>
      <c r="U678" s="360"/>
      <c r="V678" s="179"/>
      <c r="W678" s="360"/>
      <c r="X678" s="179"/>
      <c r="Y678" s="360"/>
      <c r="Z678" s="284" t="s">
        <v>379</v>
      </c>
      <c r="AA678" s="89">
        <f t="shared" si="53"/>
        <v>43626</v>
      </c>
      <c r="AB678" s="237">
        <v>15328260</v>
      </c>
      <c r="AC678" s="237">
        <v>11175000</v>
      </c>
      <c r="AD678" s="237">
        <v>6488100</v>
      </c>
      <c r="AE678" s="237">
        <v>4565900</v>
      </c>
      <c r="AF678" s="237"/>
      <c r="AG678" s="237"/>
      <c r="AH678" s="237"/>
      <c r="AI678" s="237"/>
      <c r="AJ678" s="237"/>
      <c r="AK678" s="237"/>
      <c r="AL678" s="237"/>
      <c r="AM678" s="237"/>
      <c r="AN678" s="237"/>
      <c r="AO678" s="237"/>
      <c r="AP678" s="237"/>
      <c r="AQ678" s="237"/>
      <c r="AR678" s="237"/>
      <c r="AS678" s="237"/>
      <c r="AT678" s="360">
        <v>43613</v>
      </c>
      <c r="AU678" s="91">
        <f t="shared" si="54"/>
        <v>37557260</v>
      </c>
    </row>
    <row r="679" spans="2:47" ht="33.75" hidden="1" x14ac:dyDescent="0.25">
      <c r="B679" s="2" t="str">
        <f>+'Base de Datos'!E679</f>
        <v>180203-0-2018</v>
      </c>
      <c r="C679" s="2" t="str">
        <f>+'Base de Datos'!F679</f>
        <v>MITSUBISHI ELECTRIC DE COLOMBIA LTDA</v>
      </c>
      <c r="D679" s="2">
        <f>+'Base de Datos'!G679</f>
        <v>860025639</v>
      </c>
      <c r="E679" s="2" t="str">
        <f>+'Base de Datos'!H679</f>
        <v>Prestar servicios de mantenimiento preventivo y correctivo a los ascensores marca Mitsubishi del Concejo de Bogotá.</v>
      </c>
      <c r="F679" s="221">
        <f>+'Base de Datos'!I679</f>
        <v>15450000</v>
      </c>
      <c r="G679" s="220">
        <f>+'Base de Datos'!M679</f>
        <v>43360</v>
      </c>
      <c r="H679" s="220">
        <f>+'Base de Datos'!N679</f>
        <v>43632</v>
      </c>
      <c r="I679" s="179"/>
      <c r="J679" s="360"/>
      <c r="K679" s="237"/>
      <c r="L679" s="363"/>
      <c r="M679" s="179"/>
      <c r="N679" s="360"/>
      <c r="O679" s="179"/>
      <c r="P679" s="365"/>
      <c r="Q679" s="86">
        <f t="shared" si="52"/>
        <v>0</v>
      </c>
      <c r="R679" s="284"/>
      <c r="S679" s="360"/>
      <c r="T679" s="179"/>
      <c r="U679" s="360"/>
      <c r="V679" s="179"/>
      <c r="W679" s="360"/>
      <c r="X679" s="179"/>
      <c r="Y679" s="360"/>
      <c r="Z679" s="353"/>
      <c r="AA679" s="89">
        <f t="shared" si="53"/>
        <v>0</v>
      </c>
      <c r="AB679" s="237">
        <v>1619464</v>
      </c>
      <c r="AC679" s="237">
        <v>1619464</v>
      </c>
      <c r="AD679" s="237">
        <v>1619464</v>
      </c>
      <c r="AE679" s="237"/>
      <c r="AF679" s="237"/>
      <c r="AG679" s="237"/>
      <c r="AH679" s="237"/>
      <c r="AI679" s="237"/>
      <c r="AJ679" s="237"/>
      <c r="AK679" s="237"/>
      <c r="AL679" s="237"/>
      <c r="AM679" s="237"/>
      <c r="AN679" s="237"/>
      <c r="AO679" s="237"/>
      <c r="AP679" s="237"/>
      <c r="AQ679" s="237"/>
      <c r="AR679" s="237"/>
      <c r="AS679" s="237"/>
      <c r="AT679" s="360">
        <v>43546</v>
      </c>
      <c r="AU679" s="91">
        <f t="shared" si="54"/>
        <v>4858392</v>
      </c>
    </row>
    <row r="680" spans="2:47" ht="45" hidden="1" x14ac:dyDescent="0.25">
      <c r="B680" s="2" t="str">
        <f>+'Base de Datos'!E680</f>
        <v>180316-0-2018</v>
      </c>
      <c r="C680" s="2" t="str">
        <f>+'Base de Datos'!F680</f>
        <v>NANCY MORENO LOPEZ</v>
      </c>
      <c r="D680" s="2">
        <f>+'Base de Datos'!G680</f>
        <v>51964728</v>
      </c>
      <c r="E680" s="2" t="str">
        <f>+'Base de Datos'!H680</f>
        <v>Prestar servicios profesionales para apoyar la actualización y publicación de la información en la página WEB e intranet y otros medios que disponga el Concejo de Bogotá, D.C.</v>
      </c>
      <c r="F680" s="221">
        <f>+'Base de Datos'!I680</f>
        <v>17139090</v>
      </c>
      <c r="G680" s="220">
        <f>+'Base de Datos'!M680</f>
        <v>43355</v>
      </c>
      <c r="H680" s="220">
        <f>+'Base de Datos'!N680</f>
        <v>43496</v>
      </c>
      <c r="I680" s="179"/>
      <c r="J680" s="360"/>
      <c r="K680" s="237"/>
      <c r="L680" s="363"/>
      <c r="M680" s="179"/>
      <c r="N680" s="360"/>
      <c r="O680" s="179"/>
      <c r="P680" s="365"/>
      <c r="Q680" s="86">
        <f t="shared" si="52"/>
        <v>0</v>
      </c>
      <c r="R680" s="284"/>
      <c r="S680" s="360"/>
      <c r="T680" s="179"/>
      <c r="U680" s="360"/>
      <c r="V680" s="179"/>
      <c r="W680" s="360"/>
      <c r="X680" s="179"/>
      <c r="Y680" s="360"/>
      <c r="Z680" s="353"/>
      <c r="AA680" s="89">
        <f t="shared" si="53"/>
        <v>0</v>
      </c>
      <c r="AB680" s="237">
        <v>2246951</v>
      </c>
      <c r="AC680" s="237">
        <v>3547818</v>
      </c>
      <c r="AD680" s="237">
        <v>3547818</v>
      </c>
      <c r="AE680" s="237">
        <v>3547818</v>
      </c>
      <c r="AF680" s="237">
        <v>3547818</v>
      </c>
      <c r="AG680" s="237"/>
      <c r="AH680" s="237"/>
      <c r="AI680" s="237"/>
      <c r="AJ680" s="237"/>
      <c r="AK680" s="237"/>
      <c r="AL680" s="237"/>
      <c r="AM680" s="237"/>
      <c r="AN680" s="237"/>
      <c r="AO680" s="237"/>
      <c r="AP680" s="237"/>
      <c r="AQ680" s="237"/>
      <c r="AR680" s="237"/>
      <c r="AS680" s="237"/>
      <c r="AT680" s="360">
        <v>43503</v>
      </c>
      <c r="AU680" s="91">
        <f t="shared" si="54"/>
        <v>16438223</v>
      </c>
    </row>
    <row r="681" spans="2:47" ht="22.5" hidden="1" x14ac:dyDescent="0.25">
      <c r="B681" s="2" t="str">
        <f>+'Base de Datos'!E681</f>
        <v>180315-0-2018</v>
      </c>
      <c r="C681" s="2" t="str">
        <f>+'Base de Datos'!F681</f>
        <v>BUSINESSMIND COLOMBIA SA - BMIND COLOMBIA SA</v>
      </c>
      <c r="D681" s="2">
        <f>+'Base de Datos'!G681</f>
        <v>900105979</v>
      </c>
      <c r="E681" s="2" t="str">
        <f>+'Base de Datos'!H681</f>
        <v>Prestar servicios de administración y operación de la plataforma oracle del Concejo de Bogotá</v>
      </c>
      <c r="F681" s="221">
        <f>+'Base de Datos'!I681</f>
        <v>61010740</v>
      </c>
      <c r="G681" s="220">
        <f>+'Base de Datos'!M681</f>
        <v>43361</v>
      </c>
      <c r="H681" s="220">
        <f>+'Base de Datos'!N681</f>
        <v>43513</v>
      </c>
      <c r="I681" s="179">
        <v>24404296</v>
      </c>
      <c r="J681" s="360">
        <v>43511</v>
      </c>
      <c r="K681" s="237"/>
      <c r="L681" s="363"/>
      <c r="M681" s="179"/>
      <c r="N681" s="360"/>
      <c r="O681" s="179"/>
      <c r="P681" s="365"/>
      <c r="Q681" s="86">
        <f t="shared" si="52"/>
        <v>24404296</v>
      </c>
      <c r="R681" s="284" t="s">
        <v>378</v>
      </c>
      <c r="S681" s="360">
        <v>43572</v>
      </c>
      <c r="T681" s="179"/>
      <c r="U681" s="360"/>
      <c r="V681" s="179"/>
      <c r="W681" s="360"/>
      <c r="X681" s="179"/>
      <c r="Y681" s="360"/>
      <c r="Z681" s="284" t="s">
        <v>378</v>
      </c>
      <c r="AA681" s="89">
        <f t="shared" si="53"/>
        <v>43572</v>
      </c>
      <c r="AB681" s="237">
        <v>12202148</v>
      </c>
      <c r="AC681" s="237">
        <v>12202148</v>
      </c>
      <c r="AD681" s="237">
        <v>12202148</v>
      </c>
      <c r="AE681" s="237">
        <v>12202148</v>
      </c>
      <c r="AF681" s="237">
        <v>12202148</v>
      </c>
      <c r="AG681" s="237">
        <v>12202148</v>
      </c>
      <c r="AH681" s="237">
        <v>12202148</v>
      </c>
      <c r="AI681" s="237"/>
      <c r="AJ681" s="237"/>
      <c r="AK681" s="237"/>
      <c r="AL681" s="237"/>
      <c r="AM681" s="237"/>
      <c r="AN681" s="237"/>
      <c r="AO681" s="237"/>
      <c r="AP681" s="237"/>
      <c r="AQ681" s="237"/>
      <c r="AR681" s="237"/>
      <c r="AS681" s="237"/>
      <c r="AT681" s="360">
        <v>43598</v>
      </c>
      <c r="AU681" s="91">
        <f t="shared" si="54"/>
        <v>85415036</v>
      </c>
    </row>
    <row r="682" spans="2:47" ht="33.75" hidden="1" x14ac:dyDescent="0.25">
      <c r="B682" s="2" t="str">
        <f>+'Base de Datos'!E682</f>
        <v>180320-0-2018</v>
      </c>
      <c r="C682" s="2" t="str">
        <f>+'Base de Datos'!F682</f>
        <v>ERIKA ALEXANDRA MORALES VASQUEZ</v>
      </c>
      <c r="D682" s="2">
        <f>+'Base de Datos'!G682</f>
        <v>52888971</v>
      </c>
      <c r="E682" s="2" t="str">
        <f>+'Base de Datos'!H682</f>
        <v>Prestar los servicios profesionales en la realización de las actividades requeridas para el análisis y estudio de cargas laborales para el Concejo de Bogotá.</v>
      </c>
      <c r="F682" s="221">
        <f>+'Base de Datos'!I682</f>
        <v>18748000</v>
      </c>
      <c r="G682" s="220">
        <f>+'Base de Datos'!M682</f>
        <v>43367</v>
      </c>
      <c r="H682" s="220">
        <f>+'Base de Datos'!N682</f>
        <v>43488</v>
      </c>
      <c r="I682" s="179"/>
      <c r="J682" s="360"/>
      <c r="K682" s="237"/>
      <c r="L682" s="363"/>
      <c r="M682" s="179"/>
      <c r="N682" s="360"/>
      <c r="O682" s="179"/>
      <c r="P682" s="365"/>
      <c r="Q682" s="86">
        <f t="shared" si="52"/>
        <v>0</v>
      </c>
      <c r="R682" s="284"/>
      <c r="S682" s="360"/>
      <c r="T682" s="179"/>
      <c r="U682" s="360"/>
      <c r="V682" s="179"/>
      <c r="W682" s="360"/>
      <c r="X682" s="179"/>
      <c r="Y682" s="360"/>
      <c r="Z682" s="353"/>
      <c r="AA682" s="89">
        <f t="shared" si="53"/>
        <v>0</v>
      </c>
      <c r="AB682" s="237">
        <v>1093633</v>
      </c>
      <c r="AC682" s="237">
        <v>4687000</v>
      </c>
      <c r="AD682" s="237">
        <v>4687000</v>
      </c>
      <c r="AE682" s="237">
        <v>4687000</v>
      </c>
      <c r="AF682" s="237">
        <v>3593367</v>
      </c>
      <c r="AG682" s="237"/>
      <c r="AH682" s="237"/>
      <c r="AI682" s="237"/>
      <c r="AJ682" s="237"/>
      <c r="AK682" s="237"/>
      <c r="AL682" s="237"/>
      <c r="AM682" s="237"/>
      <c r="AN682" s="237"/>
      <c r="AO682" s="237"/>
      <c r="AP682" s="237"/>
      <c r="AQ682" s="237"/>
      <c r="AR682" s="237"/>
      <c r="AS682" s="237"/>
      <c r="AT682" s="360">
        <v>43524</v>
      </c>
      <c r="AU682" s="91">
        <f t="shared" si="54"/>
        <v>18748000</v>
      </c>
    </row>
    <row r="683" spans="2:47" ht="33.75" hidden="1" x14ac:dyDescent="0.25">
      <c r="B683" s="2" t="str">
        <f>+'Base de Datos'!E683</f>
        <v>180319-0-2018</v>
      </c>
      <c r="C683" s="2" t="str">
        <f>+'Base de Datos'!F683</f>
        <v>LINA ADELAIDA JIMENEZ AVELLANEDA</v>
      </c>
      <c r="D683" s="2">
        <f>+'Base de Datos'!G683</f>
        <v>52959805</v>
      </c>
      <c r="E683" s="2" t="str">
        <f>+'Base de Datos'!H683</f>
        <v>Prestar los servicios profesionales en la realización de las actividades requeridas para el análisis y estudio de cargas laborales para el Concejo de Bogotá.</v>
      </c>
      <c r="F683" s="221">
        <f>+'Base de Datos'!I683</f>
        <v>18748000</v>
      </c>
      <c r="G683" s="220">
        <f>+'Base de Datos'!M683</f>
        <v>43367</v>
      </c>
      <c r="H683" s="220">
        <f>+'Base de Datos'!N683</f>
        <v>43488</v>
      </c>
      <c r="I683" s="179"/>
      <c r="J683" s="360"/>
      <c r="K683" s="237"/>
      <c r="L683" s="363"/>
      <c r="M683" s="179"/>
      <c r="N683" s="360"/>
      <c r="O683" s="179"/>
      <c r="P683" s="365"/>
      <c r="Q683" s="86">
        <f t="shared" si="52"/>
        <v>0</v>
      </c>
      <c r="R683" s="284"/>
      <c r="S683" s="360"/>
      <c r="T683" s="179"/>
      <c r="U683" s="360"/>
      <c r="V683" s="179"/>
      <c r="W683" s="360"/>
      <c r="X683" s="179"/>
      <c r="Y683" s="360"/>
      <c r="Z683" s="353"/>
      <c r="AA683" s="89">
        <f t="shared" si="53"/>
        <v>0</v>
      </c>
      <c r="AB683" s="237">
        <v>1093633</v>
      </c>
      <c r="AC683" s="237">
        <v>4687000</v>
      </c>
      <c r="AD683" s="237">
        <v>4687000</v>
      </c>
      <c r="AE683" s="237">
        <v>4687000</v>
      </c>
      <c r="AF683" s="237">
        <v>3593367</v>
      </c>
      <c r="AG683" s="237"/>
      <c r="AH683" s="237"/>
      <c r="AI683" s="237"/>
      <c r="AJ683" s="237"/>
      <c r="AK683" s="237"/>
      <c r="AL683" s="237"/>
      <c r="AM683" s="237"/>
      <c r="AN683" s="237"/>
      <c r="AO683" s="237"/>
      <c r="AP683" s="237"/>
      <c r="AQ683" s="237"/>
      <c r="AR683" s="237"/>
      <c r="AS683" s="237"/>
      <c r="AT683" s="360">
        <v>43602</v>
      </c>
      <c r="AU683" s="91">
        <f t="shared" si="54"/>
        <v>18748000</v>
      </c>
    </row>
    <row r="684" spans="2:47" ht="22.5" hidden="1" x14ac:dyDescent="0.25">
      <c r="B684" s="2" t="str">
        <f>+'Base de Datos'!E684</f>
        <v>180340-0-2018</v>
      </c>
      <c r="C684" s="2" t="str">
        <f>+'Base de Datos'!F684</f>
        <v>ORGANIZACIÓN TERPEL SA</v>
      </c>
      <c r="D684" s="2">
        <f>+'Base de Datos'!G684</f>
        <v>830095213</v>
      </c>
      <c r="E684" s="2" t="str">
        <f>+'Base de Datos'!H684</f>
        <v>Suministro de combustible para el parque automotor asignado al Concejo de Bogotá D.C.</v>
      </c>
      <c r="F684" s="221">
        <f>+'Base de Datos'!I684</f>
        <v>144000000</v>
      </c>
      <c r="G684" s="220">
        <f>+'Base de Datos'!M684</f>
        <v>43379</v>
      </c>
      <c r="H684" s="220">
        <f>+'Base de Datos'!N684</f>
        <v>43491</v>
      </c>
      <c r="I684" s="179"/>
      <c r="J684" s="360"/>
      <c r="K684" s="237"/>
      <c r="L684" s="363"/>
      <c r="M684" s="179"/>
      <c r="N684" s="360"/>
      <c r="O684" s="179"/>
      <c r="P684" s="365"/>
      <c r="Q684" s="86">
        <f t="shared" si="52"/>
        <v>0</v>
      </c>
      <c r="R684" s="284"/>
      <c r="S684" s="360"/>
      <c r="T684" s="179"/>
      <c r="U684" s="360"/>
      <c r="V684" s="179"/>
      <c r="W684" s="360"/>
      <c r="X684" s="179"/>
      <c r="Y684" s="360"/>
      <c r="Z684" s="353"/>
      <c r="AA684" s="89">
        <f t="shared" si="53"/>
        <v>0</v>
      </c>
      <c r="AB684" s="237">
        <v>33055338</v>
      </c>
      <c r="AC684" s="237">
        <v>21086586</v>
      </c>
      <c r="AD684" s="237">
        <v>20714008</v>
      </c>
      <c r="AE684" s="237">
        <v>24754329</v>
      </c>
      <c r="AF684" s="237">
        <v>15385616</v>
      </c>
      <c r="AG684" s="237">
        <v>12525396</v>
      </c>
      <c r="AH684" s="237">
        <v>16478727</v>
      </c>
      <c r="AI684" s="237"/>
      <c r="AJ684" s="237"/>
      <c r="AK684" s="237"/>
      <c r="AL684" s="237"/>
      <c r="AM684" s="237"/>
      <c r="AN684" s="237"/>
      <c r="AO684" s="237"/>
      <c r="AP684" s="237"/>
      <c r="AQ684" s="237"/>
      <c r="AR684" s="237"/>
      <c r="AS684" s="237"/>
      <c r="AT684" s="360">
        <v>43535</v>
      </c>
      <c r="AU684" s="91">
        <f t="shared" si="54"/>
        <v>144000000</v>
      </c>
    </row>
    <row r="685" spans="2:47" ht="22.5" hidden="1" x14ac:dyDescent="0.25">
      <c r="B685" s="2" t="str">
        <f>+'Base de Datos'!E685</f>
        <v>180335-0-2018</v>
      </c>
      <c r="C685" s="2" t="str">
        <f>+'Base de Datos'!F685</f>
        <v>PUBLICACIONES SEMANA S.A.</v>
      </c>
      <c r="D685" s="2">
        <f>+'Base de Datos'!G685</f>
        <v>860509265</v>
      </c>
      <c r="E685" s="2" t="str">
        <f>+'Base de Datos'!H685</f>
        <v>Suscripción a la Revista Semana, para el Concejo de Bogotá.</v>
      </c>
      <c r="F685" s="221">
        <f>+'Base de Datos'!I685</f>
        <v>885000</v>
      </c>
      <c r="G685" s="220">
        <f>+'Base de Datos'!M685</f>
        <v>43406</v>
      </c>
      <c r="H685" s="220">
        <f>+'Base de Datos'!N685</f>
        <v>43770</v>
      </c>
      <c r="I685" s="179"/>
      <c r="J685" s="360"/>
      <c r="K685" s="237"/>
      <c r="L685" s="363"/>
      <c r="M685" s="179"/>
      <c r="N685" s="360"/>
      <c r="O685" s="179"/>
      <c r="P685" s="365"/>
      <c r="Q685" s="86">
        <f t="shared" si="52"/>
        <v>0</v>
      </c>
      <c r="R685" s="284"/>
      <c r="S685" s="360"/>
      <c r="T685" s="179"/>
      <c r="U685" s="360"/>
      <c r="V685" s="179"/>
      <c r="W685" s="360"/>
      <c r="X685" s="179"/>
      <c r="Y685" s="360"/>
      <c r="Z685" s="353"/>
      <c r="AA685" s="89">
        <f t="shared" si="53"/>
        <v>0</v>
      </c>
      <c r="AB685" s="237">
        <v>885000</v>
      </c>
      <c r="AC685" s="237"/>
      <c r="AD685" s="237"/>
      <c r="AE685" s="237"/>
      <c r="AF685" s="237"/>
      <c r="AG685" s="237"/>
      <c r="AH685" s="237"/>
      <c r="AI685" s="237"/>
      <c r="AJ685" s="237"/>
      <c r="AK685" s="237"/>
      <c r="AL685" s="237"/>
      <c r="AM685" s="237"/>
      <c r="AN685" s="237"/>
      <c r="AO685" s="237"/>
      <c r="AP685" s="237"/>
      <c r="AQ685" s="237"/>
      <c r="AR685" s="237"/>
      <c r="AS685" s="237"/>
      <c r="AT685" s="360">
        <v>43451</v>
      </c>
      <c r="AU685" s="91">
        <f t="shared" si="54"/>
        <v>885000</v>
      </c>
    </row>
    <row r="686" spans="2:47" ht="22.5" hidden="1" x14ac:dyDescent="0.25">
      <c r="B686" s="2" t="str">
        <f>+'Base de Datos'!E686</f>
        <v>180333-0-2018</v>
      </c>
      <c r="C686" s="2" t="str">
        <f>+'Base de Datos'!F686</f>
        <v>ABC INTERCARGO SAS</v>
      </c>
      <c r="D686" s="2" t="str">
        <f>+'Base de Datos'!G686</f>
        <v>900654487-4</v>
      </c>
      <c r="E686" s="2" t="str">
        <f>+'Base de Datos'!H686</f>
        <v>Suministro de elementos de protección personal para los servidores del Concejo de Bogotá.</v>
      </c>
      <c r="F686" s="221">
        <f>+'Base de Datos'!I686</f>
        <v>11297490</v>
      </c>
      <c r="G686" s="220">
        <f>+'Base de Datos'!M686</f>
        <v>43384</v>
      </c>
      <c r="H686" s="220">
        <f>+'Base de Datos'!N686</f>
        <v>43506</v>
      </c>
      <c r="I686" s="179"/>
      <c r="J686" s="360"/>
      <c r="K686" s="237"/>
      <c r="L686" s="363"/>
      <c r="M686" s="179"/>
      <c r="N686" s="360"/>
      <c r="O686" s="179"/>
      <c r="P686" s="365"/>
      <c r="Q686" s="86">
        <f t="shared" si="52"/>
        <v>0</v>
      </c>
      <c r="R686" s="284"/>
      <c r="S686" s="360"/>
      <c r="T686" s="179"/>
      <c r="U686" s="360"/>
      <c r="V686" s="179"/>
      <c r="W686" s="360"/>
      <c r="X686" s="179"/>
      <c r="Y686" s="360"/>
      <c r="Z686" s="353"/>
      <c r="AA686" s="89">
        <f t="shared" si="53"/>
        <v>0</v>
      </c>
      <c r="AB686" s="237"/>
      <c r="AC686" s="237"/>
      <c r="AD686" s="237"/>
      <c r="AE686" s="237"/>
      <c r="AF686" s="237"/>
      <c r="AG686" s="237"/>
      <c r="AH686" s="237"/>
      <c r="AI686" s="237"/>
      <c r="AJ686" s="237"/>
      <c r="AK686" s="237"/>
      <c r="AL686" s="237"/>
      <c r="AM686" s="237"/>
      <c r="AN686" s="237"/>
      <c r="AO686" s="237"/>
      <c r="AP686" s="237"/>
      <c r="AQ686" s="237"/>
      <c r="AR686" s="237"/>
      <c r="AS686" s="237"/>
      <c r="AT686" s="360"/>
      <c r="AU686" s="91">
        <f t="shared" si="54"/>
        <v>0</v>
      </c>
    </row>
    <row r="687" spans="2:47" ht="67.5" hidden="1" x14ac:dyDescent="0.25">
      <c r="B687" s="2" t="str">
        <f>+'Base de Datos'!E687</f>
        <v>180339-0-2018</v>
      </c>
      <c r="C687" s="2" t="str">
        <f>+'Base de Datos'!F687</f>
        <v>BLANCA LISBETH CAMARGO BARRERA</v>
      </c>
      <c r="D687" s="2">
        <f>+'Base de Datos'!G687</f>
        <v>52196310</v>
      </c>
      <c r="E687" s="2" t="str">
        <f>+'Base de Datos'!H687</f>
        <v>Prestar servicios profesionales para apoyar al Proceso de Fondo Cuenta del Concejo de Bogotá  y a la Dirección Financiera en los asuntos propios de la dependencia para el manejo eficiente y eficaz de los recursos financieros conforme al plan estratégico de la entidad de acuerdo a la normatividad vigente.</v>
      </c>
      <c r="F687" s="221">
        <f>+'Base de Datos'!I687</f>
        <v>31200000</v>
      </c>
      <c r="G687" s="220">
        <f>+'Base de Datos'!M687</f>
        <v>43383</v>
      </c>
      <c r="H687" s="220">
        <f>+'Base de Datos'!N687</f>
        <v>43496</v>
      </c>
      <c r="I687" s="179"/>
      <c r="J687" s="360"/>
      <c r="K687" s="237"/>
      <c r="L687" s="363"/>
      <c r="M687" s="179"/>
      <c r="N687" s="360"/>
      <c r="O687" s="179"/>
      <c r="P687" s="365"/>
      <c r="Q687" s="86">
        <f t="shared" si="52"/>
        <v>0</v>
      </c>
      <c r="R687" s="284"/>
      <c r="S687" s="360"/>
      <c r="T687" s="179"/>
      <c r="U687" s="360"/>
      <c r="V687" s="179"/>
      <c r="W687" s="360"/>
      <c r="X687" s="179"/>
      <c r="Y687" s="360"/>
      <c r="Z687" s="353"/>
      <c r="AA687" s="89">
        <f t="shared" si="53"/>
        <v>0</v>
      </c>
      <c r="AB687" s="237">
        <v>5460000</v>
      </c>
      <c r="AC687" s="237">
        <v>7800000</v>
      </c>
      <c r="AD687" s="237">
        <v>7800000</v>
      </c>
      <c r="AE687" s="237">
        <v>7800000</v>
      </c>
      <c r="AF687" s="237"/>
      <c r="AG687" s="237"/>
      <c r="AH687" s="237"/>
      <c r="AI687" s="237"/>
      <c r="AJ687" s="237"/>
      <c r="AK687" s="237"/>
      <c r="AL687" s="237"/>
      <c r="AM687" s="237"/>
      <c r="AN687" s="237"/>
      <c r="AO687" s="237"/>
      <c r="AP687" s="237"/>
      <c r="AQ687" s="237"/>
      <c r="AR687" s="237"/>
      <c r="AS687" s="237"/>
      <c r="AT687" s="360">
        <v>43504</v>
      </c>
      <c r="AU687" s="91">
        <f t="shared" si="54"/>
        <v>28860000</v>
      </c>
    </row>
    <row r="688" spans="2:47" ht="45" hidden="1" x14ac:dyDescent="0.25">
      <c r="B688" s="2" t="str">
        <f>+'Base de Datos'!E688</f>
        <v>180337-0-2018</v>
      </c>
      <c r="C688" s="2" t="str">
        <f>+'Base de Datos'!F688</f>
        <v>JAMES RINCON CASTAÑO</v>
      </c>
      <c r="D688" s="2">
        <f>+'Base de Datos'!G688</f>
        <v>80830146</v>
      </c>
      <c r="E688" s="2" t="str">
        <f>+'Base de Datos'!H688</f>
        <v>Prestar servicios profesionales para apoyar al Director Jurídico del Concejo de Bogotá en el marco de los asuntos jurídicos y de la defensa judicial con el fin de desarrollar las actividades de acuerdo a la normatividad vigente.</v>
      </c>
      <c r="F688" s="221">
        <f>+'Base de Datos'!I688</f>
        <v>21876000</v>
      </c>
      <c r="G688" s="220">
        <f>+'Base de Datos'!M688</f>
        <v>43383</v>
      </c>
      <c r="H688" s="220">
        <f>+'Base de Datos'!N688</f>
        <v>43496</v>
      </c>
      <c r="I688" s="179"/>
      <c r="J688" s="360"/>
      <c r="K688" s="237"/>
      <c r="L688" s="363"/>
      <c r="M688" s="179"/>
      <c r="N688" s="360"/>
      <c r="O688" s="179"/>
      <c r="P688" s="365"/>
      <c r="Q688" s="86">
        <f t="shared" si="52"/>
        <v>0</v>
      </c>
      <c r="R688" s="284"/>
      <c r="S688" s="360"/>
      <c r="T688" s="179"/>
      <c r="U688" s="360"/>
      <c r="V688" s="179"/>
      <c r="W688" s="360"/>
      <c r="X688" s="179"/>
      <c r="Y688" s="360"/>
      <c r="Z688" s="353"/>
      <c r="AA688" s="89">
        <f t="shared" si="53"/>
        <v>0</v>
      </c>
      <c r="AB688" s="237">
        <v>3828300</v>
      </c>
      <c r="AC688" s="237">
        <v>5469000</v>
      </c>
      <c r="AD688" s="237">
        <v>5469000</v>
      </c>
      <c r="AE688" s="237">
        <v>5469000</v>
      </c>
      <c r="AF688" s="237"/>
      <c r="AG688" s="237"/>
      <c r="AH688" s="237"/>
      <c r="AI688" s="237"/>
      <c r="AJ688" s="237"/>
      <c r="AK688" s="237"/>
      <c r="AL688" s="237"/>
      <c r="AM688" s="237"/>
      <c r="AN688" s="237"/>
      <c r="AO688" s="237"/>
      <c r="AP688" s="237"/>
      <c r="AQ688" s="237"/>
      <c r="AR688" s="237"/>
      <c r="AS688" s="237"/>
      <c r="AT688" s="360">
        <v>43508</v>
      </c>
      <c r="AU688" s="91">
        <f t="shared" si="54"/>
        <v>20235300</v>
      </c>
    </row>
    <row r="689" spans="2:47" ht="33.75" hidden="1" x14ac:dyDescent="0.25">
      <c r="B689" s="2" t="str">
        <f>+'Base de Datos'!E689</f>
        <v>180336-0-2018</v>
      </c>
      <c r="C689" s="2" t="str">
        <f>+'Base de Datos'!F689</f>
        <v>SEGURIDAD PERCOL LTDA</v>
      </c>
      <c r="D689" s="2" t="str">
        <f>+'Base de Datos'!G689</f>
        <v>900230597-6</v>
      </c>
      <c r="E689" s="2" t="str">
        <f>+'Base de Datos'!H689</f>
        <v>Prestar servicios de mantenimiento preventivo y correctivo de las alarmas de emergencia ubicadas en la sede principal del Concejo de Bogotá.</v>
      </c>
      <c r="F689" s="221">
        <f>+'Base de Datos'!I689</f>
        <v>2200000</v>
      </c>
      <c r="G689" s="220">
        <f>+'Base de Datos'!M689</f>
        <v>43389</v>
      </c>
      <c r="H689" s="220">
        <f>+'Base de Datos'!N689</f>
        <v>43511</v>
      </c>
      <c r="I689" s="179"/>
      <c r="J689" s="360"/>
      <c r="K689" s="237"/>
      <c r="L689" s="363"/>
      <c r="M689" s="179"/>
      <c r="N689" s="360"/>
      <c r="O689" s="179"/>
      <c r="P689" s="365"/>
      <c r="Q689" s="86">
        <f t="shared" si="52"/>
        <v>0</v>
      </c>
      <c r="R689" s="284"/>
      <c r="S689" s="360"/>
      <c r="T689" s="179"/>
      <c r="U689" s="360"/>
      <c r="V689" s="179"/>
      <c r="W689" s="360"/>
      <c r="X689" s="179"/>
      <c r="Y689" s="360"/>
      <c r="Z689" s="353"/>
      <c r="AA689" s="89">
        <f t="shared" si="53"/>
        <v>0</v>
      </c>
      <c r="AB689" s="237">
        <v>1447247</v>
      </c>
      <c r="AC689" s="237"/>
      <c r="AD689" s="237"/>
      <c r="AE689" s="237"/>
      <c r="AF689" s="237"/>
      <c r="AG689" s="237"/>
      <c r="AH689" s="237"/>
      <c r="AI689" s="237"/>
      <c r="AJ689" s="237"/>
      <c r="AK689" s="237"/>
      <c r="AL689" s="237"/>
      <c r="AM689" s="237"/>
      <c r="AN689" s="237"/>
      <c r="AO689" s="237"/>
      <c r="AP689" s="237"/>
      <c r="AQ689" s="237"/>
      <c r="AR689" s="237"/>
      <c r="AS689" s="237"/>
      <c r="AT689" s="360">
        <v>43622</v>
      </c>
      <c r="AU689" s="91">
        <f t="shared" si="54"/>
        <v>1447247</v>
      </c>
    </row>
    <row r="690" spans="2:47" ht="67.5" hidden="1" x14ac:dyDescent="0.25">
      <c r="B690" s="2" t="str">
        <f>+'Base de Datos'!E690</f>
        <v>180347-0-2018</v>
      </c>
      <c r="C690" s="2" t="str">
        <f>+'Base de Datos'!F690</f>
        <v>JOSE FERNANDO PARRA ORDUS</v>
      </c>
      <c r="D690" s="2">
        <f>+'Base de Datos'!G690</f>
        <v>91206998</v>
      </c>
      <c r="E690" s="2" t="str">
        <f>+'Base de Datos'!H690</f>
        <v>Prestar servicios profesionales para apooyar la proposición de mejores prácticas que mejoren la experiencia de usuario  y usabilidad de la página Web del Concejo y realizar la administración y salvaguarda de la información publicada en la página web e Intranet del Concjeo de Bogotá D.C.</v>
      </c>
      <c r="F690" s="221">
        <f>+'Base de Datos'!I690</f>
        <v>31200000</v>
      </c>
      <c r="G690" s="220">
        <f>+'Base de Datos'!M690</f>
        <v>43385</v>
      </c>
      <c r="H690" s="220">
        <f>+'Base de Datos'!N690</f>
        <v>43496</v>
      </c>
      <c r="I690" s="179">
        <v>12480000</v>
      </c>
      <c r="J690" s="360">
        <v>43496</v>
      </c>
      <c r="K690" s="237"/>
      <c r="L690" s="363"/>
      <c r="M690" s="179"/>
      <c r="N690" s="360"/>
      <c r="O690" s="179"/>
      <c r="P690" s="365"/>
      <c r="Q690" s="86">
        <f t="shared" si="52"/>
        <v>12480000</v>
      </c>
      <c r="R690" s="284" t="s">
        <v>2088</v>
      </c>
      <c r="S690" s="360">
        <v>43554</v>
      </c>
      <c r="T690" s="179"/>
      <c r="U690" s="360"/>
      <c r="V690" s="179"/>
      <c r="W690" s="360"/>
      <c r="X690" s="179"/>
      <c r="Y690" s="360"/>
      <c r="Z690" s="284" t="s">
        <v>2088</v>
      </c>
      <c r="AA690" s="89">
        <f t="shared" si="53"/>
        <v>43554</v>
      </c>
      <c r="AB690" s="237">
        <v>4940000</v>
      </c>
      <c r="AC690" s="237">
        <v>7800000</v>
      </c>
      <c r="AD690" s="237">
        <v>7800000</v>
      </c>
      <c r="AE690" s="237">
        <v>7800000</v>
      </c>
      <c r="AF690" s="237">
        <v>2860000</v>
      </c>
      <c r="AG690" s="237">
        <v>4940000</v>
      </c>
      <c r="AH690" s="237">
        <v>7540000</v>
      </c>
      <c r="AI690" s="237"/>
      <c r="AJ690" s="237"/>
      <c r="AK690" s="237"/>
      <c r="AL690" s="237"/>
      <c r="AM690" s="237"/>
      <c r="AN690" s="237"/>
      <c r="AO690" s="237"/>
      <c r="AP690" s="237"/>
      <c r="AQ690" s="237"/>
      <c r="AR690" s="237"/>
      <c r="AS690" s="237"/>
      <c r="AT690" s="360">
        <v>43560</v>
      </c>
      <c r="AU690" s="91">
        <f t="shared" si="54"/>
        <v>43680000</v>
      </c>
    </row>
    <row r="691" spans="2:47" ht="45" hidden="1" x14ac:dyDescent="0.25">
      <c r="B691" s="2" t="str">
        <f>+'Base de Datos'!E691</f>
        <v>180342-0-2018</v>
      </c>
      <c r="C691" s="2" t="str">
        <f>+'Base de Datos'!F691</f>
        <v>MANUEL FELIPE VEGA NOVOA</v>
      </c>
      <c r="D691" s="2">
        <f>+'Base de Datos'!G691</f>
        <v>1014264880</v>
      </c>
      <c r="E691" s="2" t="str">
        <f>+'Base de Datos'!H691</f>
        <v>Prestar servicios para apoyar el procedimiento de bonos pensionales para coadyuvar con las actualización y administración de la información de los funcionarios y exfuncionarios en cuanto a los trámites pensionales.</v>
      </c>
      <c r="F691" s="221">
        <f>+'Base de Datos'!I691</f>
        <v>7486640</v>
      </c>
      <c r="G691" s="220">
        <f>+'Base de Datos'!M691</f>
        <v>43385</v>
      </c>
      <c r="H691" s="220">
        <f>+'Base de Datos'!N691</f>
        <v>43496</v>
      </c>
      <c r="I691" s="179"/>
      <c r="J691" s="360"/>
      <c r="K691" s="237"/>
      <c r="L691" s="363"/>
      <c r="M691" s="179"/>
      <c r="N691" s="360"/>
      <c r="O691" s="179"/>
      <c r="P691" s="365"/>
      <c r="Q691" s="86">
        <f t="shared" si="52"/>
        <v>0</v>
      </c>
      <c r="R691" s="284"/>
      <c r="S691" s="360"/>
      <c r="T691" s="179"/>
      <c r="U691" s="360"/>
      <c r="V691" s="179"/>
      <c r="W691" s="360"/>
      <c r="X691" s="179"/>
      <c r="Y691" s="360"/>
      <c r="Z691" s="353"/>
      <c r="AA691" s="89">
        <f t="shared" si="53"/>
        <v>0</v>
      </c>
      <c r="AB691" s="237">
        <v>1185385</v>
      </c>
      <c r="AC691" s="237">
        <v>1871660</v>
      </c>
      <c r="AD691" s="237">
        <v>1871660</v>
      </c>
      <c r="AE691" s="237">
        <v>1871660</v>
      </c>
      <c r="AF691" s="237"/>
      <c r="AG691" s="237"/>
      <c r="AH691" s="237"/>
      <c r="AI691" s="237"/>
      <c r="AJ691" s="237"/>
      <c r="AK691" s="237"/>
      <c r="AL691" s="237"/>
      <c r="AM691" s="237"/>
      <c r="AN691" s="237"/>
      <c r="AO691" s="237"/>
      <c r="AP691" s="237"/>
      <c r="AQ691" s="237"/>
      <c r="AR691" s="237"/>
      <c r="AS691" s="237"/>
      <c r="AT691" s="360">
        <v>43502</v>
      </c>
      <c r="AU691" s="91">
        <f t="shared" si="54"/>
        <v>6800365</v>
      </c>
    </row>
    <row r="692" spans="2:47" ht="45" hidden="1" x14ac:dyDescent="0.25">
      <c r="B692" s="2" t="str">
        <f>+'Base de Datos'!E692</f>
        <v>180341-0-2018</v>
      </c>
      <c r="C692" s="2" t="str">
        <f>+'Base de Datos'!F692</f>
        <v>PATRICIA VILLEGAS RODRIGUEZ</v>
      </c>
      <c r="D692" s="2">
        <f>+'Base de Datos'!G692</f>
        <v>52095685</v>
      </c>
      <c r="E692" s="2" t="str">
        <f>+'Base de Datos'!H692</f>
        <v>Prestar servicios profesionales para apoyar en el desarrollo e implementación de los sistemas de información requeridos construidos bajo la plataforma Oracle en el Concejo de Bogotá D.C.</v>
      </c>
      <c r="F692" s="221">
        <f>+'Base de Datos'!I692</f>
        <v>24273392</v>
      </c>
      <c r="G692" s="220">
        <f>+'Base de Datos'!M692</f>
        <v>43389</v>
      </c>
      <c r="H692" s="220">
        <f>+'Base de Datos'!N692</f>
        <v>43496</v>
      </c>
      <c r="I692" s="179">
        <v>12136696</v>
      </c>
      <c r="J692" s="360">
        <v>43511</v>
      </c>
      <c r="K692" s="237"/>
      <c r="L692" s="363"/>
      <c r="M692" s="179"/>
      <c r="N692" s="360"/>
      <c r="O692" s="179"/>
      <c r="P692" s="365"/>
      <c r="Q692" s="86">
        <f t="shared" si="52"/>
        <v>12136696</v>
      </c>
      <c r="R692" s="284" t="s">
        <v>378</v>
      </c>
      <c r="S692" s="360">
        <v>43570</v>
      </c>
      <c r="T692" s="179"/>
      <c r="U692" s="360"/>
      <c r="V692" s="179"/>
      <c r="W692" s="360"/>
      <c r="X692" s="179"/>
      <c r="Y692" s="360"/>
      <c r="Z692" s="284" t="s">
        <v>378</v>
      </c>
      <c r="AA692" s="89">
        <f t="shared" si="53"/>
        <v>43570</v>
      </c>
      <c r="AB692" s="237">
        <v>3034174</v>
      </c>
      <c r="AC692" s="237">
        <v>6068348</v>
      </c>
      <c r="AD692" s="237">
        <v>6068348</v>
      </c>
      <c r="AE692" s="237">
        <v>6068348</v>
      </c>
      <c r="AF692" s="237">
        <v>3034174</v>
      </c>
      <c r="AG692" s="237">
        <v>3034174</v>
      </c>
      <c r="AH692" s="237">
        <v>6068348</v>
      </c>
      <c r="AI692" s="237">
        <v>3034174</v>
      </c>
      <c r="AJ692" s="237"/>
      <c r="AK692" s="237"/>
      <c r="AL692" s="237"/>
      <c r="AM692" s="237"/>
      <c r="AN692" s="237"/>
      <c r="AO692" s="237"/>
      <c r="AP692" s="237"/>
      <c r="AQ692" s="237"/>
      <c r="AR692" s="237"/>
      <c r="AS692" s="237"/>
      <c r="AT692" s="360">
        <v>43620</v>
      </c>
      <c r="AU692" s="91">
        <f t="shared" si="54"/>
        <v>36410088</v>
      </c>
    </row>
    <row r="693" spans="2:47" ht="33.75" hidden="1" x14ac:dyDescent="0.25">
      <c r="B693" s="2" t="str">
        <f>+'Base de Datos'!E693</f>
        <v>180343-0-2018</v>
      </c>
      <c r="C693" s="2" t="str">
        <f>+'Base de Datos'!F693</f>
        <v>EDITORIAL LA UNIDAD S.A EN EJECUCIÓN DEL ACUERDO DE REESTRUCTURACIÓN</v>
      </c>
      <c r="D693" s="2">
        <f>+'Base de Datos'!G693</f>
        <v>860536029</v>
      </c>
      <c r="E693" s="2" t="str">
        <f>+'Base de Datos'!H693</f>
        <v>Suscripción al diario el Nuevo Siglo para el Concejo de Bogotá.</v>
      </c>
      <c r="F693" s="221">
        <f>+'Base de Datos'!I693</f>
        <v>990000</v>
      </c>
      <c r="G693" s="220">
        <f>+'Base de Datos'!M693</f>
        <v>43384</v>
      </c>
      <c r="H693" s="220">
        <f>+'Base de Datos'!N693</f>
        <v>43748</v>
      </c>
      <c r="I693" s="179"/>
      <c r="J693" s="360"/>
      <c r="K693" s="237"/>
      <c r="L693" s="363"/>
      <c r="M693" s="179"/>
      <c r="N693" s="360"/>
      <c r="O693" s="179"/>
      <c r="P693" s="365"/>
      <c r="Q693" s="86">
        <f t="shared" si="52"/>
        <v>0</v>
      </c>
      <c r="R693" s="284"/>
      <c r="S693" s="360"/>
      <c r="T693" s="179"/>
      <c r="U693" s="360"/>
      <c r="V693" s="179"/>
      <c r="W693" s="360"/>
      <c r="X693" s="179"/>
      <c r="Y693" s="360"/>
      <c r="Z693" s="353"/>
      <c r="AA693" s="89">
        <f t="shared" si="53"/>
        <v>0</v>
      </c>
      <c r="AB693" s="237"/>
      <c r="AC693" s="237"/>
      <c r="AD693" s="237"/>
      <c r="AE693" s="237"/>
      <c r="AF693" s="237"/>
      <c r="AG693" s="237"/>
      <c r="AH693" s="237"/>
      <c r="AI693" s="237"/>
      <c r="AJ693" s="237"/>
      <c r="AK693" s="237"/>
      <c r="AL693" s="237"/>
      <c r="AM693" s="237"/>
      <c r="AN693" s="237"/>
      <c r="AO693" s="237"/>
      <c r="AP693" s="237"/>
      <c r="AQ693" s="237"/>
      <c r="AR693" s="237"/>
      <c r="AS693" s="237"/>
      <c r="AT693" s="360"/>
      <c r="AU693" s="91">
        <f t="shared" si="54"/>
        <v>0</v>
      </c>
    </row>
    <row r="694" spans="2:47" ht="22.5" hidden="1" x14ac:dyDescent="0.25">
      <c r="B694" s="2" t="str">
        <f>+'Base de Datos'!E694</f>
        <v>180344-0-2018</v>
      </c>
      <c r="C694" s="2" t="str">
        <f>+'Base de Datos'!F694</f>
        <v>EDITORIAL LA REPUBLICA SAS</v>
      </c>
      <c r="D694" s="2">
        <f>+'Base de Datos'!G694</f>
        <v>901017183</v>
      </c>
      <c r="E694" s="2" t="str">
        <f>+'Base de Datos'!H694</f>
        <v xml:space="preserve">Suscripción al diario  La República para el Concejo de Bogotá. </v>
      </c>
      <c r="F694" s="221">
        <f>+'Base de Datos'!I694</f>
        <v>870000</v>
      </c>
      <c r="G694" s="220">
        <f>+'Base de Datos'!M694</f>
        <v>43437</v>
      </c>
      <c r="H694" s="220">
        <f>+'Base de Datos'!N694</f>
        <v>43801</v>
      </c>
      <c r="I694" s="179"/>
      <c r="J694" s="360"/>
      <c r="K694" s="237"/>
      <c r="L694" s="363"/>
      <c r="M694" s="179"/>
      <c r="N694" s="360"/>
      <c r="O694" s="179"/>
      <c r="P694" s="365"/>
      <c r="Q694" s="86">
        <f t="shared" si="52"/>
        <v>0</v>
      </c>
      <c r="R694" s="284"/>
      <c r="S694" s="360"/>
      <c r="T694" s="179"/>
      <c r="U694" s="360"/>
      <c r="V694" s="179"/>
      <c r="W694" s="360"/>
      <c r="X694" s="179"/>
      <c r="Y694" s="360"/>
      <c r="Z694" s="353"/>
      <c r="AA694" s="89">
        <f t="shared" si="53"/>
        <v>0</v>
      </c>
      <c r="AB694" s="237">
        <v>870000</v>
      </c>
      <c r="AC694" s="237"/>
      <c r="AD694" s="237"/>
      <c r="AE694" s="237"/>
      <c r="AF694" s="237"/>
      <c r="AG694" s="237"/>
      <c r="AH694" s="237"/>
      <c r="AI694" s="237"/>
      <c r="AJ694" s="237"/>
      <c r="AK694" s="237"/>
      <c r="AL694" s="237"/>
      <c r="AM694" s="237"/>
      <c r="AN694" s="237"/>
      <c r="AO694" s="237"/>
      <c r="AP694" s="237"/>
      <c r="AQ694" s="237"/>
      <c r="AR694" s="237"/>
      <c r="AS694" s="237"/>
      <c r="AT694" s="360">
        <v>43523</v>
      </c>
      <c r="AU694" s="91">
        <f t="shared" si="54"/>
        <v>870000</v>
      </c>
    </row>
    <row r="695" spans="2:47" ht="33.75" hidden="1" x14ac:dyDescent="0.25">
      <c r="B695" s="2" t="str">
        <f>+'Base de Datos'!E695</f>
        <v>180323-0-2018</v>
      </c>
      <c r="C695" s="2" t="str">
        <f>+'Base de Datos'!F695</f>
        <v>SGS COLOMBIA SAS</v>
      </c>
      <c r="D695" s="2">
        <f>+'Base de Datos'!G695</f>
        <v>860049921</v>
      </c>
      <c r="E695" s="2" t="str">
        <f>+'Base de Datos'!H695</f>
        <v>Realizar la auditoria de certficación de la norma ISO27001:2013 sobre el sistema de gestión de seguridad de la Información del Concejo de Bogotá.</v>
      </c>
      <c r="F695" s="221">
        <f>+'Base de Datos'!I695</f>
        <v>11305000</v>
      </c>
      <c r="G695" s="220">
        <f>+'Base de Datos'!M695</f>
        <v>43391</v>
      </c>
      <c r="H695" s="220">
        <f>+'Base de Datos'!N695</f>
        <v>43513</v>
      </c>
      <c r="I695" s="179"/>
      <c r="J695" s="360"/>
      <c r="K695" s="237"/>
      <c r="L695" s="363"/>
      <c r="M695" s="179"/>
      <c r="N695" s="360"/>
      <c r="O695" s="179"/>
      <c r="P695" s="365"/>
      <c r="Q695" s="86">
        <f t="shared" si="52"/>
        <v>0</v>
      </c>
      <c r="R695" s="284"/>
      <c r="S695" s="360"/>
      <c r="T695" s="179"/>
      <c r="U695" s="360"/>
      <c r="V695" s="179"/>
      <c r="W695" s="360"/>
      <c r="X695" s="179"/>
      <c r="Y695" s="360"/>
      <c r="Z695" s="353"/>
      <c r="AA695" s="89">
        <f t="shared" si="53"/>
        <v>0</v>
      </c>
      <c r="AB695" s="237"/>
      <c r="AC695" s="237"/>
      <c r="AD695" s="237"/>
      <c r="AE695" s="237"/>
      <c r="AF695" s="237"/>
      <c r="AG695" s="237"/>
      <c r="AH695" s="237"/>
      <c r="AI695" s="237"/>
      <c r="AJ695" s="237"/>
      <c r="AK695" s="237"/>
      <c r="AL695" s="237"/>
      <c r="AM695" s="237"/>
      <c r="AN695" s="237"/>
      <c r="AO695" s="237"/>
      <c r="AP695" s="237"/>
      <c r="AQ695" s="237"/>
      <c r="AR695" s="237"/>
      <c r="AS695" s="237"/>
      <c r="AT695" s="360"/>
      <c r="AU695" s="91">
        <f t="shared" si="54"/>
        <v>0</v>
      </c>
    </row>
    <row r="696" spans="2:47" ht="67.5" hidden="1" x14ac:dyDescent="0.25">
      <c r="B696" s="2" t="str">
        <f>+'Base de Datos'!E696</f>
        <v>180353-0-2018</v>
      </c>
      <c r="C696" s="2" t="str">
        <f>+'Base de Datos'!F696</f>
        <v>UT- SDH- TSSYRTECT-2018</v>
      </c>
      <c r="D696" s="2" t="str">
        <f>+'Base de Datos'!G696</f>
        <v>901222588-1</v>
      </c>
      <c r="E696" s="2" t="str">
        <f>+'Base de Datos'!H696</f>
        <v xml:space="preserve">Prestar el outsoursing integral para los servicios de mesa de ayuda y gestión de impresión para el Concejo de Bogotá, de conformidad con lo establecido en el complemento del pliego de condiciones, de la selección abreviada de menor cuantía No. SDH-SAMC-06-2018 y la propuesta presentada por el contratista. </v>
      </c>
      <c r="F696" s="221">
        <f>+'Base de Datos'!I696</f>
        <v>455925360</v>
      </c>
      <c r="G696" s="220">
        <f>+'Base de Datos'!M696</f>
        <v>43396</v>
      </c>
      <c r="H696" s="220">
        <f>+'Base de Datos'!N696</f>
        <v>43607</v>
      </c>
      <c r="I696" s="179"/>
      <c r="J696" s="360"/>
      <c r="K696" s="237"/>
      <c r="L696" s="363"/>
      <c r="M696" s="179"/>
      <c r="N696" s="360"/>
      <c r="O696" s="179"/>
      <c r="P696" s="365"/>
      <c r="Q696" s="86">
        <f t="shared" si="52"/>
        <v>0</v>
      </c>
      <c r="R696" s="284" t="s">
        <v>1325</v>
      </c>
      <c r="S696" s="360">
        <v>43627</v>
      </c>
      <c r="T696" s="179"/>
      <c r="U696" s="360"/>
      <c r="V696" s="179"/>
      <c r="W696" s="360"/>
      <c r="X696" s="179"/>
      <c r="Y696" s="360"/>
      <c r="Z696" s="284" t="s">
        <v>1325</v>
      </c>
      <c r="AA696" s="89">
        <f t="shared" si="53"/>
        <v>43627</v>
      </c>
      <c r="AB696" s="237">
        <v>86660409</v>
      </c>
      <c r="AC696" s="237">
        <v>35593232</v>
      </c>
      <c r="AD696" s="237">
        <v>45456373</v>
      </c>
      <c r="AE696" s="237">
        <v>48044183</v>
      </c>
      <c r="AF696" s="237">
        <v>50719095</v>
      </c>
      <c r="AG696" s="237">
        <v>50837070</v>
      </c>
      <c r="AH696" s="237">
        <v>13577627</v>
      </c>
      <c r="AI696" s="237"/>
      <c r="AJ696" s="237"/>
      <c r="AK696" s="237"/>
      <c r="AL696" s="237"/>
      <c r="AM696" s="237"/>
      <c r="AN696" s="237"/>
      <c r="AO696" s="237"/>
      <c r="AP696" s="237"/>
      <c r="AQ696" s="237"/>
      <c r="AR696" s="237"/>
      <c r="AS696" s="237"/>
      <c r="AT696" s="360">
        <v>43629</v>
      </c>
      <c r="AU696" s="91">
        <f t="shared" si="54"/>
        <v>330887989</v>
      </c>
    </row>
    <row r="697" spans="2:47" ht="22.5" hidden="1" x14ac:dyDescent="0.25">
      <c r="B697" s="2" t="str">
        <f>+'Base de Datos'!E697</f>
        <v>180351-0-2018</v>
      </c>
      <c r="C697" s="2" t="str">
        <f>+'Base de Datos'!F697</f>
        <v>OPENLINK SISTEMAS DE REDES DE DATOS S A S</v>
      </c>
      <c r="D697" s="2" t="str">
        <f>+'Base de Datos'!G697</f>
        <v>900254691-4</v>
      </c>
      <c r="E697" s="2" t="str">
        <f>+'Base de Datos'!H697</f>
        <v>Actualizar la solución Fortianalyzer para el Concejo de Bogotá.</v>
      </c>
      <c r="F697" s="221">
        <f>+'Base de Datos'!I697</f>
        <v>77878170</v>
      </c>
      <c r="G697" s="220">
        <f>+'Base de Datos'!M697</f>
        <v>43396</v>
      </c>
      <c r="H697" s="220">
        <f>+'Base de Datos'!N697</f>
        <v>43760</v>
      </c>
      <c r="I697" s="179"/>
      <c r="J697" s="360"/>
      <c r="K697" s="237"/>
      <c r="L697" s="363"/>
      <c r="M697" s="179"/>
      <c r="N697" s="360"/>
      <c r="O697" s="179"/>
      <c r="P697" s="365"/>
      <c r="Q697" s="86">
        <f t="shared" si="52"/>
        <v>0</v>
      </c>
      <c r="R697" s="284"/>
      <c r="S697" s="360"/>
      <c r="T697" s="179"/>
      <c r="U697" s="360"/>
      <c r="V697" s="179"/>
      <c r="W697" s="360"/>
      <c r="X697" s="179"/>
      <c r="Y697" s="360"/>
      <c r="Z697" s="353"/>
      <c r="AA697" s="89">
        <f t="shared" si="53"/>
        <v>0</v>
      </c>
      <c r="AB697" s="237">
        <v>77878170</v>
      </c>
      <c r="AC697" s="237"/>
      <c r="AD697" s="237"/>
      <c r="AE697" s="237"/>
      <c r="AF697" s="237"/>
      <c r="AG697" s="237"/>
      <c r="AH697" s="237"/>
      <c r="AI697" s="237"/>
      <c r="AJ697" s="237"/>
      <c r="AK697" s="237"/>
      <c r="AL697" s="237"/>
      <c r="AM697" s="237"/>
      <c r="AN697" s="237"/>
      <c r="AO697" s="237"/>
      <c r="AP697" s="237"/>
      <c r="AQ697" s="237"/>
      <c r="AR697" s="237"/>
      <c r="AS697" s="237"/>
      <c r="AT697" s="360">
        <v>43501</v>
      </c>
      <c r="AU697" s="91">
        <f t="shared" si="54"/>
        <v>77878170</v>
      </c>
    </row>
    <row r="698" spans="2:47" ht="33.75" hidden="1" x14ac:dyDescent="0.25">
      <c r="B698" s="2" t="str">
        <f>+'Base de Datos'!E698</f>
        <v>180348-0-2018</v>
      </c>
      <c r="C698" s="2" t="str">
        <f>+'Base de Datos'!F698</f>
        <v>FACTOR VISUAL EAT</v>
      </c>
      <c r="D698" s="2">
        <f>+'Base de Datos'!G698</f>
        <v>830112518</v>
      </c>
      <c r="E698" s="2" t="str">
        <f>+'Base de Datos'!H698</f>
        <v>Prestar los servicios de mantenimiento, actualización y soporte al sitio WEB e Intranet del Concejo de Bogotá, de conformidad con lo establecido en los estudios previos</v>
      </c>
      <c r="F698" s="221">
        <f>+'Base de Datos'!I698</f>
        <v>32011000</v>
      </c>
      <c r="G698" s="220">
        <f>+'Base de Datos'!M698</f>
        <v>43396</v>
      </c>
      <c r="H698" s="220">
        <f>+'Base de Datos'!N698</f>
        <v>43607</v>
      </c>
      <c r="I698" s="179"/>
      <c r="J698" s="360"/>
      <c r="K698" s="237"/>
      <c r="L698" s="363"/>
      <c r="M698" s="179"/>
      <c r="N698" s="360"/>
      <c r="O698" s="179"/>
      <c r="P698" s="365"/>
      <c r="Q698" s="86">
        <f t="shared" si="52"/>
        <v>0</v>
      </c>
      <c r="R698" s="284"/>
      <c r="S698" s="360"/>
      <c r="T698" s="179"/>
      <c r="U698" s="360"/>
      <c r="V698" s="179"/>
      <c r="W698" s="360"/>
      <c r="X698" s="179"/>
      <c r="Y698" s="360"/>
      <c r="Z698" s="353"/>
      <c r="AA698" s="89">
        <f t="shared" si="53"/>
        <v>0</v>
      </c>
      <c r="AB698" s="237">
        <v>2499000</v>
      </c>
      <c r="AC698" s="237">
        <v>3808000</v>
      </c>
      <c r="AD698" s="237">
        <v>3808000</v>
      </c>
      <c r="AE698" s="237">
        <v>3808000</v>
      </c>
      <c r="AF698" s="237">
        <v>3808000</v>
      </c>
      <c r="AG698" s="237">
        <v>2856000</v>
      </c>
      <c r="AH698" s="237">
        <v>3808000</v>
      </c>
      <c r="AI698" s="237">
        <v>3808000</v>
      </c>
      <c r="AJ698" s="237">
        <v>3808000</v>
      </c>
      <c r="AK698" s="237"/>
      <c r="AL698" s="237"/>
      <c r="AM698" s="237"/>
      <c r="AN698" s="237"/>
      <c r="AO698" s="237"/>
      <c r="AP698" s="237"/>
      <c r="AQ698" s="237"/>
      <c r="AR698" s="237"/>
      <c r="AS698" s="237"/>
      <c r="AT698" s="360">
        <v>43620</v>
      </c>
      <c r="AU698" s="91">
        <f t="shared" si="54"/>
        <v>32011000</v>
      </c>
    </row>
    <row r="699" spans="2:47" ht="45" hidden="1" x14ac:dyDescent="0.25">
      <c r="B699" s="2" t="str">
        <f>+'Base de Datos'!E699</f>
        <v>180352-0-2018</v>
      </c>
      <c r="C699" s="2" t="str">
        <f>+'Base de Datos'!F699</f>
        <v>MONRAK INGENIERIA LTDA</v>
      </c>
      <c r="D699" s="2" t="str">
        <f>+'Base de Datos'!G699</f>
        <v>800140671-4</v>
      </c>
      <c r="E699" s="2" t="str">
        <f>+'Base de Datos'!H699</f>
        <v>Prestar servicios de mantenimiento correctivo y preventivo para las  máquinas: Guillotina y cizalla manual, ubicada en la oficina de anales y publicaciones del Concejo de Bogotá D.C.</v>
      </c>
      <c r="F699" s="221">
        <f>+'Base de Datos'!I699</f>
        <v>1800000</v>
      </c>
      <c r="G699" s="220">
        <f>+'Base de Datos'!M699</f>
        <v>43397</v>
      </c>
      <c r="H699" s="220">
        <f>+'Base de Datos'!N699</f>
        <v>43761</v>
      </c>
      <c r="I699" s="179"/>
      <c r="J699" s="360"/>
      <c r="K699" s="237"/>
      <c r="L699" s="363"/>
      <c r="M699" s="179"/>
      <c r="N699" s="360"/>
      <c r="O699" s="179"/>
      <c r="P699" s="365"/>
      <c r="Q699" s="86">
        <f t="shared" si="52"/>
        <v>0</v>
      </c>
      <c r="R699" s="284"/>
      <c r="S699" s="360"/>
      <c r="T699" s="179"/>
      <c r="U699" s="360"/>
      <c r="V699" s="179"/>
      <c r="W699" s="360"/>
      <c r="X699" s="179"/>
      <c r="Y699" s="360"/>
      <c r="Z699" s="353"/>
      <c r="AA699" s="89">
        <f t="shared" si="53"/>
        <v>0</v>
      </c>
      <c r="AB699" s="237"/>
      <c r="AC699" s="237"/>
      <c r="AD699" s="237"/>
      <c r="AE699" s="237"/>
      <c r="AF699" s="237"/>
      <c r="AG699" s="237"/>
      <c r="AH699" s="237"/>
      <c r="AI699" s="237"/>
      <c r="AJ699" s="237"/>
      <c r="AK699" s="237"/>
      <c r="AL699" s="237"/>
      <c r="AM699" s="237"/>
      <c r="AN699" s="237"/>
      <c r="AO699" s="237"/>
      <c r="AP699" s="237"/>
      <c r="AQ699" s="237"/>
      <c r="AR699" s="237"/>
      <c r="AS699" s="237"/>
      <c r="AT699" s="360"/>
      <c r="AU699" s="91">
        <f t="shared" si="54"/>
        <v>0</v>
      </c>
    </row>
    <row r="700" spans="2:47" ht="33.75" hidden="1" x14ac:dyDescent="0.25">
      <c r="B700" s="2" t="str">
        <f>+'Base de Datos'!E700</f>
        <v>180350-0-2018</v>
      </c>
      <c r="C700" s="2" t="str">
        <f>+'Base de Datos'!F700</f>
        <v>INVERSION Y HOGAR SAS</v>
      </c>
      <c r="D700" s="2">
        <f>+'Base de Datos'!G700</f>
        <v>900349363</v>
      </c>
      <c r="E700" s="2" t="str">
        <f>+'Base de Datos'!H700</f>
        <v>Proveer los elementos e insumos necesarios para atender los primeros auxilios y dotar los botiquines de la Secretaria de Hacienda y  del Concejo de Bogotá, D.C.</v>
      </c>
      <c r="F700" s="221">
        <f>+'Base de Datos'!I700</f>
        <v>13629367</v>
      </c>
      <c r="G700" s="220">
        <f>+'Base de Datos'!M700</f>
        <v>43399</v>
      </c>
      <c r="H700" s="220">
        <f>+'Base de Datos'!N700</f>
        <v>43490</v>
      </c>
      <c r="I700" s="179"/>
      <c r="J700" s="360"/>
      <c r="K700" s="237"/>
      <c r="L700" s="363"/>
      <c r="M700" s="179"/>
      <c r="N700" s="360"/>
      <c r="O700" s="179"/>
      <c r="P700" s="365"/>
      <c r="Q700" s="86">
        <f t="shared" si="52"/>
        <v>0</v>
      </c>
      <c r="R700" s="284"/>
      <c r="S700" s="360"/>
      <c r="T700" s="179"/>
      <c r="U700" s="360"/>
      <c r="V700" s="179"/>
      <c r="W700" s="360"/>
      <c r="X700" s="179"/>
      <c r="Y700" s="360"/>
      <c r="Z700" s="353"/>
      <c r="AA700" s="89">
        <f t="shared" si="53"/>
        <v>0</v>
      </c>
      <c r="AB700" s="237">
        <v>10989707</v>
      </c>
      <c r="AC700" s="237"/>
      <c r="AD700" s="237"/>
      <c r="AE700" s="237"/>
      <c r="AF700" s="237"/>
      <c r="AG700" s="237"/>
      <c r="AH700" s="237"/>
      <c r="AI700" s="237"/>
      <c r="AJ700" s="237"/>
      <c r="AK700" s="237"/>
      <c r="AL700" s="237"/>
      <c r="AM700" s="237"/>
      <c r="AN700" s="237"/>
      <c r="AO700" s="237"/>
      <c r="AP700" s="237"/>
      <c r="AQ700" s="237"/>
      <c r="AR700" s="237"/>
      <c r="AS700" s="237"/>
      <c r="AT700" s="360">
        <v>43633</v>
      </c>
      <c r="AU700" s="91">
        <f t="shared" si="54"/>
        <v>10989707</v>
      </c>
    </row>
    <row r="701" spans="2:47" ht="22.5" hidden="1" x14ac:dyDescent="0.25">
      <c r="B701" s="2" t="str">
        <f>+'Base de Datos'!E701</f>
        <v>180361-0-2018</v>
      </c>
      <c r="C701" s="2" t="str">
        <f>+'Base de Datos'!F701</f>
        <v>FALABELLA DE COLOMBIA SA</v>
      </c>
      <c r="D701" s="2" t="str">
        <f>+'Base de Datos'!G701</f>
        <v>900017447-8</v>
      </c>
      <c r="E701" s="2" t="str">
        <f>+'Base de Datos'!H701</f>
        <v>Proveer computadores especializados para el Concejo de Bogotá y software correspondiente.</v>
      </c>
      <c r="F701" s="221">
        <f>+'Base de Datos'!I701</f>
        <v>14648124</v>
      </c>
      <c r="G701" s="220">
        <f>+'Base de Datos'!M701</f>
        <v>43397</v>
      </c>
      <c r="H701" s="220">
        <f>+'Base de Datos'!N701</f>
        <v>43404</v>
      </c>
      <c r="I701" s="179"/>
      <c r="J701" s="360"/>
      <c r="K701" s="237"/>
      <c r="L701" s="363"/>
      <c r="M701" s="179"/>
      <c r="N701" s="360"/>
      <c r="O701" s="179"/>
      <c r="P701" s="365"/>
      <c r="Q701" s="86">
        <f t="shared" si="52"/>
        <v>0</v>
      </c>
      <c r="R701" s="284"/>
      <c r="S701" s="360"/>
      <c r="T701" s="179"/>
      <c r="U701" s="360"/>
      <c r="V701" s="179"/>
      <c r="W701" s="360"/>
      <c r="X701" s="179"/>
      <c r="Y701" s="360"/>
      <c r="Z701" s="353"/>
      <c r="AA701" s="89">
        <f t="shared" si="53"/>
        <v>0</v>
      </c>
      <c r="AB701" s="237">
        <v>14648124</v>
      </c>
      <c r="AC701" s="237"/>
      <c r="AD701" s="237"/>
      <c r="AE701" s="237"/>
      <c r="AF701" s="237"/>
      <c r="AG701" s="237"/>
      <c r="AH701" s="237"/>
      <c r="AI701" s="237"/>
      <c r="AJ701" s="237"/>
      <c r="AK701" s="237"/>
      <c r="AL701" s="237"/>
      <c r="AM701" s="237"/>
      <c r="AN701" s="237"/>
      <c r="AO701" s="237"/>
      <c r="AP701" s="237"/>
      <c r="AQ701" s="237"/>
      <c r="AR701" s="237"/>
      <c r="AS701" s="237"/>
      <c r="AT701" s="360">
        <v>43420</v>
      </c>
      <c r="AU701" s="91">
        <f t="shared" si="54"/>
        <v>14648124</v>
      </c>
    </row>
    <row r="702" spans="2:47" ht="33.75" hidden="1" x14ac:dyDescent="0.25">
      <c r="B702" s="2" t="str">
        <f>+'Base de Datos'!E702</f>
        <v>180360-0-2018</v>
      </c>
      <c r="C702" s="2" t="str">
        <f>+'Base de Datos'!F702</f>
        <v xml:space="preserve">CENCOSUD COLOMBIA </v>
      </c>
      <c r="D702" s="2" t="str">
        <f>+'Base de Datos'!G702</f>
        <v>900155107-1</v>
      </c>
      <c r="E702" s="2" t="str">
        <f>+'Base de Datos'!H702</f>
        <v>Adquirir televisores para áreas sociales del Concejo de Bogotá y televisor de gran formato para el salón presidentes del Concejo de Bogotá</v>
      </c>
      <c r="F702" s="221">
        <f>+'Base de Datos'!I702</f>
        <v>16025870</v>
      </c>
      <c r="G702" s="220">
        <f>+'Base de Datos'!M702</f>
        <v>43397</v>
      </c>
      <c r="H702" s="220">
        <f>+'Base de Datos'!N702</f>
        <v>43404</v>
      </c>
      <c r="I702" s="179"/>
      <c r="J702" s="360"/>
      <c r="K702" s="237"/>
      <c r="L702" s="363"/>
      <c r="M702" s="179"/>
      <c r="N702" s="360"/>
      <c r="O702" s="179"/>
      <c r="P702" s="365"/>
      <c r="Q702" s="86">
        <f t="shared" si="52"/>
        <v>0</v>
      </c>
      <c r="R702" s="284"/>
      <c r="S702" s="360"/>
      <c r="T702" s="179"/>
      <c r="U702" s="360"/>
      <c r="V702" s="179"/>
      <c r="W702" s="360"/>
      <c r="X702" s="179"/>
      <c r="Y702" s="360"/>
      <c r="Z702" s="353"/>
      <c r="AA702" s="89">
        <f t="shared" si="53"/>
        <v>0</v>
      </c>
      <c r="AB702" s="237">
        <v>16025870</v>
      </c>
      <c r="AC702" s="237"/>
      <c r="AD702" s="237"/>
      <c r="AE702" s="237"/>
      <c r="AF702" s="237"/>
      <c r="AG702" s="237"/>
      <c r="AH702" s="237"/>
      <c r="AI702" s="237"/>
      <c r="AJ702" s="237"/>
      <c r="AK702" s="237"/>
      <c r="AL702" s="237"/>
      <c r="AM702" s="237"/>
      <c r="AN702" s="237"/>
      <c r="AO702" s="237"/>
      <c r="AP702" s="237"/>
      <c r="AQ702" s="237"/>
      <c r="AR702" s="237"/>
      <c r="AS702" s="237"/>
      <c r="AT702" s="360"/>
      <c r="AU702" s="91">
        <f t="shared" si="54"/>
        <v>16025870</v>
      </c>
    </row>
    <row r="703" spans="2:47" ht="45" hidden="1" x14ac:dyDescent="0.25">
      <c r="B703" s="2" t="str">
        <f>+'Base de Datos'!E703</f>
        <v>180346-0-2018</v>
      </c>
      <c r="C703" s="2" t="str">
        <f>+'Base de Datos'!F703</f>
        <v>A &amp; G INGENIERIA Y SOLUCIONES</v>
      </c>
      <c r="D703" s="2" t="str">
        <f>+'Base de Datos'!G703</f>
        <v>901020853-1</v>
      </c>
      <c r="E703" s="2" t="str">
        <f>+'Base de Datos'!H703</f>
        <v>Prestar servicios de revisión, mantenimiento y recarga de extintores y gabinetes contra incendio con suministro de repuestos y otros elementos de seguridad para el Concejo de Bogotá.</v>
      </c>
      <c r="F703" s="221">
        <f>+'Base de Datos'!I703</f>
        <v>8830300</v>
      </c>
      <c r="G703" s="220">
        <f>+'Base de Datos'!M703</f>
        <v>43402</v>
      </c>
      <c r="H703" s="220">
        <f>+'Base de Datos'!N703</f>
        <v>43524</v>
      </c>
      <c r="I703" s="179"/>
      <c r="J703" s="360"/>
      <c r="K703" s="237"/>
      <c r="L703" s="363"/>
      <c r="M703" s="179"/>
      <c r="N703" s="360"/>
      <c r="O703" s="179"/>
      <c r="P703" s="365"/>
      <c r="Q703" s="86">
        <f t="shared" si="52"/>
        <v>0</v>
      </c>
      <c r="R703" s="284" t="s">
        <v>962</v>
      </c>
      <c r="S703" s="360">
        <v>43539</v>
      </c>
      <c r="T703" s="179"/>
      <c r="U703" s="360"/>
      <c r="V703" s="179"/>
      <c r="W703" s="360"/>
      <c r="X703" s="179"/>
      <c r="Y703" s="360"/>
      <c r="Z703" s="284" t="s">
        <v>962</v>
      </c>
      <c r="AA703" s="89">
        <f t="shared" si="53"/>
        <v>43539</v>
      </c>
      <c r="AB703" s="237"/>
      <c r="AC703" s="237"/>
      <c r="AD703" s="237"/>
      <c r="AE703" s="237"/>
      <c r="AF703" s="237"/>
      <c r="AG703" s="237"/>
      <c r="AH703" s="237"/>
      <c r="AI703" s="237"/>
      <c r="AJ703" s="237"/>
      <c r="AK703" s="237"/>
      <c r="AL703" s="237"/>
      <c r="AM703" s="237"/>
      <c r="AN703" s="237"/>
      <c r="AO703" s="237"/>
      <c r="AP703" s="237"/>
      <c r="AQ703" s="237"/>
      <c r="AR703" s="237"/>
      <c r="AS703" s="237"/>
      <c r="AT703" s="360"/>
      <c r="AU703" s="91">
        <f t="shared" si="54"/>
        <v>0</v>
      </c>
    </row>
    <row r="704" spans="2:47" ht="146.25" hidden="1" x14ac:dyDescent="0.25">
      <c r="B704" s="2" t="str">
        <f>+'Base de Datos'!E704</f>
        <v>180369-0-2018</v>
      </c>
      <c r="C704" s="2" t="str">
        <f>+'Base de Datos'!F704</f>
        <v>UNIÓN TEMPORAL LA PREVISORA SA. COMPAÑÍA DE SEGUROS  - AXA COLPATRIA SEGUROS SA</v>
      </c>
      <c r="D704" s="2" t="str">
        <f>+'Base de Datos'!G704</f>
        <v>860002184-6</v>
      </c>
      <c r="E704" s="2" t="str">
        <f>+'Base de Datos'!H704</f>
        <v xml:space="preserve">Contratar los seguros que amparen los intereses patrimoniales actuales y futuros, así como los bienes de propiedad del Concjeo de Bogotá D.C., que esten bajo su responsabilidad y custodia y aquellos que sean adquiridos para desarrollar las funciones inherentes a su actividad, así como el segurod de vida para los Concejales de Bogotá, D.C. y cualquier otra póliza de seguros que requieran las entidades en el desarrollo de su actividad, de conformidad con lo establecido en el pliego de condiciones electrónico y el complemento de del Proceso de Selección Abreviada Menor Cuantía No. SDH - SAMC- 07-2018 y la propuesta presentada por el contratista.  </v>
      </c>
      <c r="F704" s="221">
        <f>+'Base de Datos'!I704</f>
        <v>424000000</v>
      </c>
      <c r="G704" s="220">
        <f>+'Base de Datos'!M704</f>
        <v>43403</v>
      </c>
      <c r="H704" s="220">
        <f>+'Base de Datos'!N704</f>
        <v>43857</v>
      </c>
      <c r="I704" s="179"/>
      <c r="J704" s="360"/>
      <c r="K704" s="237"/>
      <c r="L704" s="363"/>
      <c r="M704" s="179"/>
      <c r="N704" s="360"/>
      <c r="O704" s="179"/>
      <c r="P704" s="365"/>
      <c r="Q704" s="86">
        <f t="shared" si="52"/>
        <v>0</v>
      </c>
      <c r="R704" s="284"/>
      <c r="S704" s="360"/>
      <c r="T704" s="179"/>
      <c r="U704" s="360"/>
      <c r="V704" s="179"/>
      <c r="W704" s="360"/>
      <c r="X704" s="179"/>
      <c r="Y704" s="360"/>
      <c r="Z704" s="353"/>
      <c r="AA704" s="89">
        <f t="shared" si="53"/>
        <v>0</v>
      </c>
      <c r="AB704" s="237">
        <v>420033530</v>
      </c>
      <c r="AC704" s="237"/>
      <c r="AD704" s="237"/>
      <c r="AE704" s="237"/>
      <c r="AF704" s="237"/>
      <c r="AG704" s="237"/>
      <c r="AH704" s="237"/>
      <c r="AI704" s="237"/>
      <c r="AJ704" s="237"/>
      <c r="AK704" s="237"/>
      <c r="AL704" s="237"/>
      <c r="AM704" s="237"/>
      <c r="AN704" s="237"/>
      <c r="AO704" s="237"/>
      <c r="AP704" s="237"/>
      <c r="AQ704" s="237"/>
      <c r="AR704" s="237"/>
      <c r="AS704" s="237"/>
      <c r="AT704" s="360">
        <v>43473</v>
      </c>
      <c r="AU704" s="91">
        <f t="shared" si="54"/>
        <v>420033530</v>
      </c>
    </row>
    <row r="705" spans="2:47" ht="56.25" hidden="1" x14ac:dyDescent="0.25">
      <c r="B705" s="2" t="str">
        <f>+'Base de Datos'!E705</f>
        <v>180357-0-2018</v>
      </c>
      <c r="C705" s="2" t="str">
        <f>+'Base de Datos'!F705</f>
        <v>CAJA DE COMPENSACION FAMILIAR COMPENSAR</v>
      </c>
      <c r="D705" s="2">
        <f>+'Base de Datos'!G705</f>
        <v>8600669427</v>
      </c>
      <c r="E705" s="2" t="str">
        <f>+'Base de Datos'!H705</f>
        <v>Prestación de servicios de apoyo a la gestión para el desarrollo y apoyo logístico de las actividades contenidas dentro de los programas de bienestar, incentivos y mejoramiento del clima laboral para los servidores (as) del Concejo de Bogotá y sus familias.</v>
      </c>
      <c r="F705" s="221">
        <f>+'Base de Datos'!I705</f>
        <v>1283380716</v>
      </c>
      <c r="G705" s="220">
        <f>+'Base de Datos'!M705</f>
        <v>43404</v>
      </c>
      <c r="H705" s="220">
        <f>+'Base de Datos'!N705</f>
        <v>43768</v>
      </c>
      <c r="I705" s="179"/>
      <c r="J705" s="360"/>
      <c r="K705" s="237"/>
      <c r="L705" s="363"/>
      <c r="M705" s="179"/>
      <c r="N705" s="360"/>
      <c r="O705" s="179"/>
      <c r="P705" s="365"/>
      <c r="Q705" s="86">
        <f t="shared" si="52"/>
        <v>0</v>
      </c>
      <c r="R705" s="284"/>
      <c r="S705" s="360"/>
      <c r="T705" s="179"/>
      <c r="U705" s="360"/>
      <c r="V705" s="179"/>
      <c r="W705" s="360"/>
      <c r="X705" s="179"/>
      <c r="Y705" s="360"/>
      <c r="Z705" s="353"/>
      <c r="AA705" s="89">
        <f t="shared" si="53"/>
        <v>0</v>
      </c>
      <c r="AB705" s="237">
        <v>11894250</v>
      </c>
      <c r="AC705" s="237"/>
      <c r="AD705" s="237"/>
      <c r="AE705" s="237"/>
      <c r="AF705" s="237"/>
      <c r="AG705" s="237"/>
      <c r="AH705" s="237"/>
      <c r="AI705" s="237"/>
      <c r="AJ705" s="237"/>
      <c r="AK705" s="237"/>
      <c r="AL705" s="237"/>
      <c r="AM705" s="237"/>
      <c r="AN705" s="237"/>
      <c r="AO705" s="237"/>
      <c r="AP705" s="237"/>
      <c r="AQ705" s="237"/>
      <c r="AR705" s="237"/>
      <c r="AS705" s="237"/>
      <c r="AT705" s="360">
        <v>43489</v>
      </c>
      <c r="AU705" s="91">
        <f t="shared" si="54"/>
        <v>11894250</v>
      </c>
    </row>
    <row r="706" spans="2:47" ht="22.5" hidden="1" x14ac:dyDescent="0.25">
      <c r="B706" s="2" t="str">
        <f>+'Base de Datos'!E706</f>
        <v>180370-0-2018</v>
      </c>
      <c r="C706" s="2" t="str">
        <f>+'Base de Datos'!F706</f>
        <v>ALKOSTO SA</v>
      </c>
      <c r="D706" s="2" t="str">
        <f>+'Base de Datos'!G706</f>
        <v>890900943-1</v>
      </c>
      <c r="E706" s="2" t="str">
        <f>+'Base de Datos'!H706</f>
        <v>Proveer computadores especializados para el Concejo de Bogotá y software correspondiente.</v>
      </c>
      <c r="F706" s="221">
        <f>+'Base de Datos'!I706</f>
        <v>956795</v>
      </c>
      <c r="G706" s="220">
        <f>+'Base de Datos'!M706</f>
        <v>43403</v>
      </c>
      <c r="H706" s="220">
        <f>+'Base de Datos'!N706</f>
        <v>43411</v>
      </c>
      <c r="I706" s="179"/>
      <c r="J706" s="360"/>
      <c r="K706" s="237"/>
      <c r="L706" s="363"/>
      <c r="M706" s="179"/>
      <c r="N706" s="360"/>
      <c r="O706" s="179"/>
      <c r="P706" s="365"/>
      <c r="Q706" s="86">
        <f t="shared" si="52"/>
        <v>0</v>
      </c>
      <c r="R706" s="284"/>
      <c r="S706" s="360"/>
      <c r="T706" s="179"/>
      <c r="U706" s="360"/>
      <c r="V706" s="179"/>
      <c r="W706" s="360"/>
      <c r="X706" s="179"/>
      <c r="Y706" s="360"/>
      <c r="Z706" s="353"/>
      <c r="AA706" s="89">
        <f t="shared" si="53"/>
        <v>0</v>
      </c>
      <c r="AB706" s="237">
        <v>956795</v>
      </c>
      <c r="AC706" s="237"/>
      <c r="AD706" s="237"/>
      <c r="AE706" s="237"/>
      <c r="AF706" s="237"/>
      <c r="AG706" s="237"/>
      <c r="AH706" s="237"/>
      <c r="AI706" s="237"/>
      <c r="AJ706" s="237"/>
      <c r="AK706" s="237"/>
      <c r="AL706" s="237"/>
      <c r="AM706" s="237"/>
      <c r="AN706" s="237"/>
      <c r="AO706" s="237"/>
      <c r="AP706" s="237"/>
      <c r="AQ706" s="237"/>
      <c r="AR706" s="237"/>
      <c r="AS706" s="237"/>
      <c r="AT706" s="360">
        <v>43418</v>
      </c>
      <c r="AU706" s="91">
        <f t="shared" si="54"/>
        <v>956795</v>
      </c>
    </row>
    <row r="707" spans="2:47" ht="22.5" hidden="1" x14ac:dyDescent="0.25">
      <c r="B707" s="2" t="str">
        <f>+'Base de Datos'!E707</f>
        <v>180371-0-2018</v>
      </c>
      <c r="C707" s="2" t="str">
        <f>+'Base de Datos'!F707</f>
        <v>PANAMERICANA LIBRERÍA Y PAPELERIA SA</v>
      </c>
      <c r="D707" s="2" t="str">
        <f>+'Base de Datos'!G707</f>
        <v>830037946-3</v>
      </c>
      <c r="E707" s="2" t="str">
        <f>+'Base de Datos'!H707</f>
        <v>Proveer computadores especializados para el Concejo de Bogotá y software correspondiente.</v>
      </c>
      <c r="F707" s="221">
        <f>+'Base de Datos'!I707</f>
        <v>2890908</v>
      </c>
      <c r="G707" s="220">
        <f>+'Base de Datos'!M707</f>
        <v>43403</v>
      </c>
      <c r="H707" s="220">
        <f>+'Base de Datos'!N707</f>
        <v>43419</v>
      </c>
      <c r="I707" s="179"/>
      <c r="J707" s="360"/>
      <c r="K707" s="237"/>
      <c r="L707" s="363"/>
      <c r="M707" s="179"/>
      <c r="N707" s="360"/>
      <c r="O707" s="179"/>
      <c r="P707" s="365"/>
      <c r="Q707" s="86">
        <f t="shared" si="52"/>
        <v>0</v>
      </c>
      <c r="R707" s="284" t="s">
        <v>4440</v>
      </c>
      <c r="S707" s="360">
        <v>43427</v>
      </c>
      <c r="T707" s="179"/>
      <c r="U707" s="360"/>
      <c r="V707" s="179"/>
      <c r="W707" s="360"/>
      <c r="X707" s="179"/>
      <c r="Y707" s="360"/>
      <c r="Z707" s="353" t="s">
        <v>4440</v>
      </c>
      <c r="AA707" s="89">
        <f t="shared" si="53"/>
        <v>43427</v>
      </c>
      <c r="AB707" s="237">
        <v>2890908</v>
      </c>
      <c r="AC707" s="237"/>
      <c r="AD707" s="237"/>
      <c r="AE707" s="237"/>
      <c r="AF707" s="237"/>
      <c r="AG707" s="237"/>
      <c r="AH707" s="237"/>
      <c r="AI707" s="237"/>
      <c r="AJ707" s="237"/>
      <c r="AK707" s="237"/>
      <c r="AL707" s="237"/>
      <c r="AM707" s="237"/>
      <c r="AN707" s="237"/>
      <c r="AO707" s="237"/>
      <c r="AP707" s="237"/>
      <c r="AQ707" s="237"/>
      <c r="AR707" s="237"/>
      <c r="AS707" s="237"/>
      <c r="AT707" s="360">
        <v>43453</v>
      </c>
      <c r="AU707" s="91">
        <f t="shared" si="54"/>
        <v>2890908</v>
      </c>
    </row>
    <row r="708" spans="2:47" ht="22.5" hidden="1" x14ac:dyDescent="0.25">
      <c r="B708" s="2" t="str">
        <f>+'Base de Datos'!E708</f>
        <v>180368-0-2018</v>
      </c>
      <c r="C708" s="2" t="str">
        <f>+'Base de Datos'!F708</f>
        <v>INGEAL S.A.</v>
      </c>
      <c r="D708" s="2">
        <f>+'Base de Datos'!G708</f>
        <v>800039398</v>
      </c>
      <c r="E708" s="2" t="str">
        <f>+'Base de Datos'!H708</f>
        <v>Proveer aires acondicionados para el centro de datos y de cableado para el Concejo de Bogotá.</v>
      </c>
      <c r="F708" s="221">
        <f>+'Base de Datos'!I708</f>
        <v>170000000</v>
      </c>
      <c r="G708" s="220">
        <f>+'Base de Datos'!M708</f>
        <v>43411</v>
      </c>
      <c r="H708" s="220">
        <f>+'Base de Datos'!N708</f>
        <v>43530</v>
      </c>
      <c r="I708" s="179"/>
      <c r="J708" s="360"/>
      <c r="K708" s="237"/>
      <c r="L708" s="363"/>
      <c r="M708" s="179"/>
      <c r="N708" s="360"/>
      <c r="O708" s="179"/>
      <c r="P708" s="365"/>
      <c r="Q708" s="86">
        <f t="shared" si="52"/>
        <v>0</v>
      </c>
      <c r="R708" s="284"/>
      <c r="S708" s="360"/>
      <c r="T708" s="179"/>
      <c r="U708" s="360"/>
      <c r="V708" s="179"/>
      <c r="W708" s="360"/>
      <c r="X708" s="179"/>
      <c r="Y708" s="360"/>
      <c r="Z708" s="353"/>
      <c r="AA708" s="89">
        <f t="shared" si="53"/>
        <v>0</v>
      </c>
      <c r="AB708" s="237">
        <v>170000000</v>
      </c>
      <c r="AC708" s="237"/>
      <c r="AD708" s="237"/>
      <c r="AE708" s="237"/>
      <c r="AF708" s="237"/>
      <c r="AG708" s="237"/>
      <c r="AH708" s="237"/>
      <c r="AI708" s="237"/>
      <c r="AJ708" s="237"/>
      <c r="AK708" s="237"/>
      <c r="AL708" s="237"/>
      <c r="AM708" s="237"/>
      <c r="AN708" s="237"/>
      <c r="AO708" s="237"/>
      <c r="AP708" s="237"/>
      <c r="AQ708" s="237"/>
      <c r="AR708" s="237"/>
      <c r="AS708" s="237"/>
      <c r="AT708" s="360">
        <v>43577</v>
      </c>
      <c r="AU708" s="91">
        <f t="shared" si="54"/>
        <v>170000000</v>
      </c>
    </row>
    <row r="709" spans="2:47" ht="22.5" hidden="1" x14ac:dyDescent="0.25">
      <c r="B709" s="2" t="str">
        <f>+'Base de Datos'!E709</f>
        <v>180359-0-2018</v>
      </c>
      <c r="C709" s="2" t="str">
        <f>+'Base de Datos'!F709</f>
        <v>ENLACES INALAMBRICOS DIGITALES SAS</v>
      </c>
      <c r="D709" s="2" t="str">
        <f>+'Base de Datos'!G709</f>
        <v>900408815-3</v>
      </c>
      <c r="E709" s="2" t="str">
        <f>+'Base de Datos'!H709</f>
        <v>Proveer equipos portátiles de comunicación para la brigada de emergencias del Concejo de Bogotá</v>
      </c>
      <c r="F709" s="221">
        <f>+'Base de Datos'!I709</f>
        <v>4141200</v>
      </c>
      <c r="G709" s="220">
        <f>+'Base de Datos'!M709</f>
        <v>43413</v>
      </c>
      <c r="H709" s="220">
        <f>+'Base de Datos'!N709</f>
        <v>43473</v>
      </c>
      <c r="I709" s="179"/>
      <c r="J709" s="360"/>
      <c r="K709" s="237"/>
      <c r="L709" s="363"/>
      <c r="M709" s="179"/>
      <c r="N709" s="360"/>
      <c r="O709" s="179"/>
      <c r="P709" s="365"/>
      <c r="Q709" s="86">
        <f t="shared" si="52"/>
        <v>0</v>
      </c>
      <c r="R709" s="284"/>
      <c r="S709" s="360"/>
      <c r="T709" s="179"/>
      <c r="U709" s="360"/>
      <c r="V709" s="179"/>
      <c r="W709" s="360"/>
      <c r="X709" s="179"/>
      <c r="Y709" s="360"/>
      <c r="Z709" s="353"/>
      <c r="AA709" s="89">
        <f t="shared" si="53"/>
        <v>0</v>
      </c>
      <c r="AB709" s="237">
        <v>4141200</v>
      </c>
      <c r="AC709" s="237"/>
      <c r="AD709" s="237"/>
      <c r="AE709" s="237"/>
      <c r="AF709" s="237"/>
      <c r="AG709" s="237"/>
      <c r="AH709" s="237"/>
      <c r="AI709" s="237"/>
      <c r="AJ709" s="237"/>
      <c r="AK709" s="237"/>
      <c r="AL709" s="237"/>
      <c r="AM709" s="237"/>
      <c r="AN709" s="237"/>
      <c r="AO709" s="237"/>
      <c r="AP709" s="237"/>
      <c r="AQ709" s="237"/>
      <c r="AR709" s="237"/>
      <c r="AS709" s="237"/>
      <c r="AT709" s="360">
        <v>43636</v>
      </c>
      <c r="AU709" s="91">
        <f t="shared" si="54"/>
        <v>4141200</v>
      </c>
    </row>
    <row r="710" spans="2:47" ht="22.5" hidden="1" x14ac:dyDescent="0.25">
      <c r="B710" s="2" t="str">
        <f>+'Base de Datos'!E710</f>
        <v>180374-0-2018</v>
      </c>
      <c r="C710" s="2" t="str">
        <f>+'Base de Datos'!F710</f>
        <v>PANAMERICANA LIBRERÍA Y PAPELERIA SA</v>
      </c>
      <c r="D710" s="2" t="str">
        <f>+'Base de Datos'!G710</f>
        <v>830037946-3</v>
      </c>
      <c r="E710" s="2" t="str">
        <f>+'Base de Datos'!H710</f>
        <v>Adquirir cámara fotográfica y elementos para la oficina de prensa del Concejo de Bogotá</v>
      </c>
      <c r="F710" s="221">
        <f>+'Base de Datos'!I710</f>
        <v>9127570</v>
      </c>
      <c r="G710" s="220">
        <f>+'Base de Datos'!M710</f>
        <v>43406</v>
      </c>
      <c r="H710" s="220">
        <f>+'Base de Datos'!N710</f>
        <v>43417</v>
      </c>
      <c r="I710" s="179">
        <v>188804</v>
      </c>
      <c r="J710" s="360">
        <v>43420</v>
      </c>
      <c r="K710" s="237"/>
      <c r="L710" s="363"/>
      <c r="M710" s="179"/>
      <c r="N710" s="360"/>
      <c r="O710" s="179"/>
      <c r="P710" s="365"/>
      <c r="Q710" s="86">
        <f t="shared" si="52"/>
        <v>188804</v>
      </c>
      <c r="R710" s="284" t="s">
        <v>4440</v>
      </c>
      <c r="S710" s="360">
        <v>43427</v>
      </c>
      <c r="T710" s="179"/>
      <c r="U710" s="360"/>
      <c r="V710" s="179"/>
      <c r="W710" s="360"/>
      <c r="X710" s="179"/>
      <c r="Y710" s="360"/>
      <c r="Z710" s="353" t="s">
        <v>4440</v>
      </c>
      <c r="AA710" s="89">
        <f t="shared" si="53"/>
        <v>43427</v>
      </c>
      <c r="AB710" s="237">
        <v>9316374</v>
      </c>
      <c r="AC710" s="237"/>
      <c r="AD710" s="237"/>
      <c r="AE710" s="237"/>
      <c r="AF710" s="237"/>
      <c r="AG710" s="237"/>
      <c r="AH710" s="237"/>
      <c r="AI710" s="237"/>
      <c r="AJ710" s="237"/>
      <c r="AK710" s="237"/>
      <c r="AL710" s="237"/>
      <c r="AM710" s="237"/>
      <c r="AN710" s="237"/>
      <c r="AO710" s="237"/>
      <c r="AP710" s="237"/>
      <c r="AQ710" s="237"/>
      <c r="AR710" s="237"/>
      <c r="AS710" s="237"/>
      <c r="AT710" s="360">
        <v>43448</v>
      </c>
      <c r="AU710" s="91">
        <f t="shared" si="54"/>
        <v>9316374</v>
      </c>
    </row>
    <row r="711" spans="2:47" ht="22.5" hidden="1" x14ac:dyDescent="0.25">
      <c r="B711" s="2" t="str">
        <f>+'Base de Datos'!E711</f>
        <v>180321-0-2018</v>
      </c>
      <c r="C711" s="2" t="str">
        <f>+'Base de Datos'!F711</f>
        <v>DIRECTV COLOMBIA</v>
      </c>
      <c r="D711" s="2">
        <f>+'Base de Datos'!G711</f>
        <v>805006014</v>
      </c>
      <c r="E711" s="2" t="str">
        <f>+'Base de Datos'!H711</f>
        <v xml:space="preserve">Suscripción al sistema de televisión satelital para el Concejo de Bogotá. </v>
      </c>
      <c r="F711" s="221">
        <f>+'Base de Datos'!I711</f>
        <v>2166888</v>
      </c>
      <c r="G711" s="220">
        <f>+'Base de Datos'!M711</f>
        <v>43419</v>
      </c>
      <c r="H711" s="220">
        <f>+'Base de Datos'!N711</f>
        <v>43783</v>
      </c>
      <c r="I711" s="179"/>
      <c r="J711" s="360"/>
      <c r="K711" s="237"/>
      <c r="L711" s="363"/>
      <c r="M711" s="179"/>
      <c r="N711" s="360"/>
      <c r="O711" s="179"/>
      <c r="P711" s="365"/>
      <c r="Q711" s="86">
        <f t="shared" si="52"/>
        <v>0</v>
      </c>
      <c r="R711" s="284"/>
      <c r="S711" s="360"/>
      <c r="T711" s="179"/>
      <c r="U711" s="360"/>
      <c r="V711" s="179"/>
      <c r="W711" s="360"/>
      <c r="X711" s="179"/>
      <c r="Y711" s="360"/>
      <c r="Z711" s="353"/>
      <c r="AA711" s="89">
        <f t="shared" si="53"/>
        <v>0</v>
      </c>
      <c r="AB711" s="237">
        <v>2150577</v>
      </c>
      <c r="AC711" s="237"/>
      <c r="AD711" s="237"/>
      <c r="AE711" s="237"/>
      <c r="AF711" s="237"/>
      <c r="AG711" s="237"/>
      <c r="AH711" s="237"/>
      <c r="AI711" s="237"/>
      <c r="AJ711" s="237"/>
      <c r="AK711" s="237"/>
      <c r="AL711" s="237"/>
      <c r="AM711" s="237"/>
      <c r="AN711" s="237"/>
      <c r="AO711" s="237"/>
      <c r="AP711" s="237"/>
      <c r="AQ711" s="237"/>
      <c r="AR711" s="237"/>
      <c r="AS711" s="237"/>
      <c r="AT711" s="360">
        <v>43551</v>
      </c>
      <c r="AU711" s="91">
        <f t="shared" si="54"/>
        <v>2150577</v>
      </c>
    </row>
    <row r="712" spans="2:47" ht="33.75" hidden="1" x14ac:dyDescent="0.25">
      <c r="B712" s="2" t="str">
        <f>+'Base de Datos'!E712</f>
        <v>180380-0-2018</v>
      </c>
      <c r="C712" s="2" t="str">
        <f>+'Base de Datos'!F712</f>
        <v>LINDA ROSA CAMPO RODRIGUEZ</v>
      </c>
      <c r="D712" s="2">
        <f>+'Base de Datos'!G712</f>
        <v>36454156</v>
      </c>
      <c r="E712" s="2" t="str">
        <f>+'Base de Datos'!H712</f>
        <v>Prestar servicios profesionales para apoyar al proceso de nómina de Concejo de Bogotá, y a la Dirección Financiera en los asuntos propios de la dependencia.</v>
      </c>
      <c r="F712" s="221">
        <f>+'Base de Datos'!I712</f>
        <v>23436000</v>
      </c>
      <c r="G712" s="220">
        <f>+'Base de Datos'!M712</f>
        <v>43419</v>
      </c>
      <c r="H712" s="220">
        <f>+'Base de Datos'!N712</f>
        <v>43496</v>
      </c>
      <c r="I712" s="179">
        <v>11718000</v>
      </c>
      <c r="J712" s="360">
        <v>43493</v>
      </c>
      <c r="K712" s="237"/>
      <c r="L712" s="363"/>
      <c r="M712" s="179"/>
      <c r="N712" s="360"/>
      <c r="O712" s="179"/>
      <c r="P712" s="365"/>
      <c r="Q712" s="86">
        <f t="shared" si="52"/>
        <v>11718000</v>
      </c>
      <c r="R712" s="849" t="s">
        <v>2589</v>
      </c>
      <c r="S712" s="360">
        <v>43554</v>
      </c>
      <c r="T712" s="179"/>
      <c r="U712" s="360"/>
      <c r="V712" s="179"/>
      <c r="W712" s="360"/>
      <c r="X712" s="179"/>
      <c r="Y712" s="360"/>
      <c r="Z712" s="849" t="s">
        <v>2589</v>
      </c>
      <c r="AA712" s="89">
        <f t="shared" si="53"/>
        <v>43554</v>
      </c>
      <c r="AB712" s="237">
        <v>4166400</v>
      </c>
      <c r="AC712" s="237">
        <v>7812000</v>
      </c>
      <c r="AD712" s="237">
        <v>7812000</v>
      </c>
      <c r="AE712" s="237">
        <v>7812000</v>
      </c>
      <c r="AF712" s="237">
        <v>3645600</v>
      </c>
      <c r="AG712" s="237">
        <v>3906000</v>
      </c>
      <c r="AH712" s="237"/>
      <c r="AI712" s="237"/>
      <c r="AJ712" s="237"/>
      <c r="AK712" s="237"/>
      <c r="AL712" s="237"/>
      <c r="AM712" s="237"/>
      <c r="AN712" s="237"/>
      <c r="AO712" s="237"/>
      <c r="AP712" s="237"/>
      <c r="AQ712" s="237"/>
      <c r="AR712" s="237"/>
      <c r="AS712" s="237"/>
      <c r="AT712" s="360">
        <v>43555</v>
      </c>
      <c r="AU712" s="91">
        <f t="shared" si="54"/>
        <v>35154000</v>
      </c>
    </row>
    <row r="713" spans="2:47" ht="22.5" hidden="1" x14ac:dyDescent="0.25">
      <c r="B713" s="2" t="str">
        <f>+'Base de Datos'!E713</f>
        <v>180378-0-2018</v>
      </c>
      <c r="C713" s="2" t="str">
        <f>+'Base de Datos'!F713</f>
        <v>UNIVERSAL DE PRODUCTOS Y SERVICIOS LTDA. UNIPRODUCTOS</v>
      </c>
      <c r="D713" s="2">
        <f>+'Base de Datos'!G713</f>
        <v>800200439</v>
      </c>
      <c r="E713" s="2" t="str">
        <f>+'Base de Datos'!H713</f>
        <v>Proveer un sistema de detención de incendios para el centro de cableado del edificio del Concejo de Bogotá</v>
      </c>
      <c r="F713" s="221">
        <f>+'Base de Datos'!I713</f>
        <v>7176890</v>
      </c>
      <c r="G713" s="220">
        <f>+'Base de Datos'!M713</f>
        <v>43424</v>
      </c>
      <c r="H713" s="220">
        <f>+'Base de Datos'!N713</f>
        <v>43515</v>
      </c>
      <c r="I713" s="179"/>
      <c r="J713" s="360"/>
      <c r="K713" s="237"/>
      <c r="L713" s="363"/>
      <c r="M713" s="179"/>
      <c r="N713" s="360"/>
      <c r="O713" s="179"/>
      <c r="P713" s="365"/>
      <c r="Q713" s="86">
        <f t="shared" si="52"/>
        <v>0</v>
      </c>
      <c r="R713" s="284"/>
      <c r="S713" s="360"/>
      <c r="T713" s="179"/>
      <c r="U713" s="360"/>
      <c r="V713" s="179"/>
      <c r="W713" s="360"/>
      <c r="X713" s="179"/>
      <c r="Y713" s="360"/>
      <c r="Z713" s="353"/>
      <c r="AA713" s="89">
        <f t="shared" si="53"/>
        <v>0</v>
      </c>
      <c r="AB713" s="237"/>
      <c r="AC713" s="237"/>
      <c r="AD713" s="237"/>
      <c r="AE713" s="237"/>
      <c r="AF713" s="237"/>
      <c r="AG713" s="237"/>
      <c r="AH713" s="237"/>
      <c r="AI713" s="237"/>
      <c r="AJ713" s="237"/>
      <c r="AK713" s="237"/>
      <c r="AL713" s="237"/>
      <c r="AM713" s="237"/>
      <c r="AN713" s="237"/>
      <c r="AO713" s="237"/>
      <c r="AP713" s="237"/>
      <c r="AQ713" s="237"/>
      <c r="AR713" s="237"/>
      <c r="AS713" s="237"/>
      <c r="AT713" s="360"/>
      <c r="AU713" s="91">
        <f t="shared" si="54"/>
        <v>0</v>
      </c>
    </row>
    <row r="714" spans="2:47" ht="45" hidden="1" x14ac:dyDescent="0.25">
      <c r="B714" s="2" t="str">
        <f>+'Base de Datos'!E714</f>
        <v>180379-0-2018</v>
      </c>
      <c r="C714" s="2" t="str">
        <f>+'Base de Datos'!F714</f>
        <v>UNION TEMPORAL SICVEL VIDEO HACIENDA 2018</v>
      </c>
      <c r="D714" s="2">
        <f>+'Base de Datos'!G714</f>
        <v>901227876</v>
      </c>
      <c r="E714" s="2" t="str">
        <f>+'Base de Datos'!H714</f>
        <v>Proveer un sistema de audio y video para el Concejo de Bogotá, de conformidad con lo establecido en el pliego de condiciones de la subasta inversa electrónica No. SDH-SIE-16-2018</v>
      </c>
      <c r="F714" s="221">
        <f>+'Base de Datos'!I714</f>
        <v>375000000</v>
      </c>
      <c r="G714" s="220">
        <f>+'Base de Datos'!M714</f>
        <v>43425</v>
      </c>
      <c r="H714" s="220">
        <f>+'Base de Datos'!N714</f>
        <v>43516</v>
      </c>
      <c r="I714" s="179"/>
      <c r="J714" s="360"/>
      <c r="K714" s="237"/>
      <c r="L714" s="363"/>
      <c r="M714" s="179"/>
      <c r="N714" s="360"/>
      <c r="O714" s="179"/>
      <c r="P714" s="365"/>
      <c r="Q714" s="86">
        <f t="shared" si="52"/>
        <v>0</v>
      </c>
      <c r="R714" s="284"/>
      <c r="S714" s="360"/>
      <c r="T714" s="179"/>
      <c r="U714" s="360"/>
      <c r="V714" s="179"/>
      <c r="W714" s="360"/>
      <c r="X714" s="179"/>
      <c r="Y714" s="360"/>
      <c r="Z714" s="353"/>
      <c r="AA714" s="89">
        <f t="shared" si="53"/>
        <v>0</v>
      </c>
      <c r="AB714" s="237">
        <v>358800000</v>
      </c>
      <c r="AC714" s="237"/>
      <c r="AD714" s="237"/>
      <c r="AE714" s="237"/>
      <c r="AF714" s="237"/>
      <c r="AG714" s="237"/>
      <c r="AH714" s="237"/>
      <c r="AI714" s="237"/>
      <c r="AJ714" s="237"/>
      <c r="AK714" s="237"/>
      <c r="AL714" s="237"/>
      <c r="AM714" s="237"/>
      <c r="AN714" s="237"/>
      <c r="AO714" s="237"/>
      <c r="AP714" s="237"/>
      <c r="AQ714" s="237"/>
      <c r="AR714" s="237"/>
      <c r="AS714" s="237"/>
      <c r="AT714" s="360">
        <v>43629</v>
      </c>
      <c r="AU714" s="91">
        <f t="shared" si="54"/>
        <v>358800000</v>
      </c>
    </row>
    <row r="715" spans="2:47" ht="22.5" hidden="1" x14ac:dyDescent="0.25">
      <c r="B715" s="2" t="str">
        <f>+'Base de Datos'!E715</f>
        <v>180382-0-2018</v>
      </c>
      <c r="C715" s="2" t="str">
        <f>+'Base de Datos'!F715</f>
        <v>PANAMERICANA LIBRERÍA Y PAPELERIA SA</v>
      </c>
      <c r="D715" s="2" t="str">
        <f>+'Base de Datos'!G715</f>
        <v>830037946-3</v>
      </c>
      <c r="E715" s="2" t="str">
        <f>+'Base de Datos'!H715</f>
        <v>Adquisición de sillas para el salon presidentes del Concejo de Bogotá D.C.</v>
      </c>
      <c r="F715" s="221">
        <f>+'Base de Datos'!I715</f>
        <v>17713692</v>
      </c>
      <c r="G715" s="220">
        <f>+'Base de Datos'!M715</f>
        <v>43417</v>
      </c>
      <c r="H715" s="220">
        <f>+'Base de Datos'!N715</f>
        <v>43424</v>
      </c>
      <c r="I715" s="179"/>
      <c r="J715" s="360"/>
      <c r="K715" s="237"/>
      <c r="L715" s="363"/>
      <c r="M715" s="179"/>
      <c r="N715" s="360"/>
      <c r="O715" s="179"/>
      <c r="P715" s="365"/>
      <c r="Q715" s="86">
        <f t="shared" si="52"/>
        <v>0</v>
      </c>
      <c r="R715" s="284"/>
      <c r="S715" s="360"/>
      <c r="T715" s="179"/>
      <c r="U715" s="360"/>
      <c r="V715" s="179"/>
      <c r="W715" s="360"/>
      <c r="X715" s="179"/>
      <c r="Y715" s="360"/>
      <c r="Z715" s="353"/>
      <c r="AA715" s="89">
        <f t="shared" si="53"/>
        <v>0</v>
      </c>
      <c r="AB715" s="237">
        <v>17615413</v>
      </c>
      <c r="AC715" s="237"/>
      <c r="AD715" s="237"/>
      <c r="AE715" s="237"/>
      <c r="AF715" s="237"/>
      <c r="AG715" s="237"/>
      <c r="AH715" s="237"/>
      <c r="AI715" s="237"/>
      <c r="AJ715" s="237"/>
      <c r="AK715" s="237"/>
      <c r="AL715" s="237"/>
      <c r="AM715" s="237"/>
      <c r="AN715" s="237"/>
      <c r="AO715" s="237"/>
      <c r="AP715" s="237"/>
      <c r="AQ715" s="237"/>
      <c r="AR715" s="237"/>
      <c r="AS715" s="237"/>
      <c r="AT715" s="360">
        <v>43453</v>
      </c>
      <c r="AU715" s="91">
        <f t="shared" si="54"/>
        <v>17615413</v>
      </c>
    </row>
    <row r="716" spans="2:47" ht="33.75" hidden="1" x14ac:dyDescent="0.25">
      <c r="B716" s="2" t="str">
        <f>+'Base de Datos'!E716</f>
        <v>180375-0-2018</v>
      </c>
      <c r="C716" s="2" t="str">
        <f>+'Base de Datos'!F716</f>
        <v>COLOMBIANA DE SOFTWARE Y HARDWARE COLSOF S.A.</v>
      </c>
      <c r="D716" s="2">
        <f>+'Base de Datos'!G716</f>
        <v>800015583</v>
      </c>
      <c r="E716" s="2" t="str">
        <f>+'Base de Datos'!H716</f>
        <v>Prestar servicios de soporte técnico especializado y mantenimiento preventivo, correctivo para los servidores y sus dispositivos del Concejo de Bogotá.</v>
      </c>
      <c r="F716" s="221">
        <f>+'Base de Datos'!I716</f>
        <v>147499998</v>
      </c>
      <c r="G716" s="220">
        <f>+'Base de Datos'!M716</f>
        <v>43425</v>
      </c>
      <c r="H716" s="220">
        <f>+'Base de Datos'!N716</f>
        <v>43605</v>
      </c>
      <c r="I716" s="179">
        <v>49166666</v>
      </c>
      <c r="J716" s="360">
        <v>43602</v>
      </c>
      <c r="K716" s="237"/>
      <c r="L716" s="363"/>
      <c r="M716" s="179"/>
      <c r="N716" s="360"/>
      <c r="O716" s="179"/>
      <c r="P716" s="365"/>
      <c r="Q716" s="86">
        <f t="shared" si="52"/>
        <v>49166666</v>
      </c>
      <c r="R716" s="284" t="s">
        <v>378</v>
      </c>
      <c r="S716" s="360">
        <v>43666</v>
      </c>
      <c r="T716" s="179"/>
      <c r="U716" s="360"/>
      <c r="V716" s="179"/>
      <c r="W716" s="360"/>
      <c r="X716" s="179"/>
      <c r="Y716" s="360"/>
      <c r="Z716" s="353" t="s">
        <v>378</v>
      </c>
      <c r="AA716" s="89">
        <f t="shared" si="53"/>
        <v>43666</v>
      </c>
      <c r="AB716" s="237">
        <v>73749999</v>
      </c>
      <c r="AC716" s="237"/>
      <c r="AD716" s="237"/>
      <c r="AE716" s="237"/>
      <c r="AF716" s="237"/>
      <c r="AG716" s="237"/>
      <c r="AH716" s="237"/>
      <c r="AI716" s="237"/>
      <c r="AJ716" s="237"/>
      <c r="AK716" s="237"/>
      <c r="AL716" s="237"/>
      <c r="AM716" s="237"/>
      <c r="AN716" s="237"/>
      <c r="AO716" s="237"/>
      <c r="AP716" s="237"/>
      <c r="AQ716" s="237"/>
      <c r="AR716" s="237"/>
      <c r="AS716" s="237"/>
      <c r="AT716" s="360">
        <v>43556</v>
      </c>
      <c r="AU716" s="91">
        <f t="shared" si="54"/>
        <v>73749999</v>
      </c>
    </row>
    <row r="717" spans="2:47" ht="33.75" hidden="1" x14ac:dyDescent="0.25">
      <c r="B717" s="2" t="str">
        <f>+'Base de Datos'!E717</f>
        <v>180377-0-2018</v>
      </c>
      <c r="C717" s="2" t="str">
        <f>+'Base de Datos'!F717</f>
        <v>MAP INGENIEROS Y/O MARIA FERNANDA CORTES EU</v>
      </c>
      <c r="D717" s="2">
        <f>+'Base de Datos'!G717</f>
        <v>830135234</v>
      </c>
      <c r="E717" s="2" t="str">
        <f>+'Base de Datos'!H717</f>
        <v>Proveer elementos ergonómicos para los puestos de trabajo de los servidores públicos del Concejo de Bogotá, D.C.</v>
      </c>
      <c r="F717" s="221">
        <f>+'Base de Datos'!I717</f>
        <v>7000000</v>
      </c>
      <c r="G717" s="220">
        <f>+'Base de Datos'!M717</f>
        <v>43427</v>
      </c>
      <c r="H717" s="220">
        <f>+'Base de Datos'!N717</f>
        <v>43518</v>
      </c>
      <c r="I717" s="179"/>
      <c r="J717" s="360"/>
      <c r="K717" s="237"/>
      <c r="L717" s="363"/>
      <c r="M717" s="179"/>
      <c r="N717" s="360"/>
      <c r="O717" s="179"/>
      <c r="P717" s="365"/>
      <c r="Q717" s="86">
        <f t="shared" si="52"/>
        <v>0</v>
      </c>
      <c r="R717" s="284"/>
      <c r="S717" s="360"/>
      <c r="T717" s="179"/>
      <c r="U717" s="360"/>
      <c r="V717" s="179"/>
      <c r="W717" s="360"/>
      <c r="X717" s="179"/>
      <c r="Y717" s="360"/>
      <c r="Z717" s="353"/>
      <c r="AA717" s="89">
        <f t="shared" si="53"/>
        <v>0</v>
      </c>
      <c r="AB717" s="237">
        <v>6994400</v>
      </c>
      <c r="AC717" s="237"/>
      <c r="AD717" s="237"/>
      <c r="AE717" s="237"/>
      <c r="AF717" s="237"/>
      <c r="AG717" s="237"/>
      <c r="AH717" s="237"/>
      <c r="AI717" s="237"/>
      <c r="AJ717" s="237"/>
      <c r="AK717" s="237"/>
      <c r="AL717" s="237"/>
      <c r="AM717" s="237"/>
      <c r="AN717" s="237"/>
      <c r="AO717" s="237"/>
      <c r="AP717" s="237"/>
      <c r="AQ717" s="237"/>
      <c r="AR717" s="237"/>
      <c r="AS717" s="237"/>
      <c r="AT717" s="360">
        <v>43601</v>
      </c>
      <c r="AU717" s="91">
        <f t="shared" si="54"/>
        <v>6994400</v>
      </c>
    </row>
    <row r="718" spans="2:47" ht="33.75" hidden="1" x14ac:dyDescent="0.25">
      <c r="B718" s="2" t="str">
        <f>+'Base de Datos'!E718</f>
        <v>180383-0-2018</v>
      </c>
      <c r="C718" s="2" t="str">
        <f>+'Base de Datos'!F718</f>
        <v>AXEDE S.A.</v>
      </c>
      <c r="D718" s="2" t="str">
        <f>+'Base de Datos'!G718</f>
        <v>830077975-8</v>
      </c>
      <c r="E718" s="2" t="str">
        <f>+'Base de Datos'!H718</f>
        <v>Prestar los servicios de manteniemiento, suministro de partes, repuestos y soporte para la planta telefónica y terminlaes telefónicos del Concejo de Bogotá.</v>
      </c>
      <c r="F718" s="221">
        <f>+'Base de Datos'!I718</f>
        <v>112600000</v>
      </c>
      <c r="G718" s="220">
        <f>+'Base de Datos'!M718</f>
        <v>43430</v>
      </c>
      <c r="H718" s="220">
        <f>+'Base de Datos'!N718</f>
        <v>43794</v>
      </c>
      <c r="I718" s="179"/>
      <c r="J718" s="360"/>
      <c r="K718" s="237"/>
      <c r="L718" s="363"/>
      <c r="M718" s="179"/>
      <c r="N718" s="360"/>
      <c r="O718" s="179"/>
      <c r="P718" s="365"/>
      <c r="Q718" s="86">
        <f t="shared" si="52"/>
        <v>0</v>
      </c>
      <c r="R718" s="284"/>
      <c r="S718" s="360"/>
      <c r="T718" s="179"/>
      <c r="U718" s="360"/>
      <c r="V718" s="179"/>
      <c r="W718" s="360"/>
      <c r="X718" s="179"/>
      <c r="Y718" s="360"/>
      <c r="Z718" s="353"/>
      <c r="AA718" s="89">
        <f t="shared" si="53"/>
        <v>0</v>
      </c>
      <c r="AB718" s="237">
        <v>25828673</v>
      </c>
      <c r="AC718" s="237"/>
      <c r="AD718" s="237"/>
      <c r="AE718" s="237"/>
      <c r="AF718" s="237"/>
      <c r="AG718" s="237"/>
      <c r="AH718" s="237"/>
      <c r="AI718" s="237"/>
      <c r="AJ718" s="237"/>
      <c r="AK718" s="237"/>
      <c r="AL718" s="237"/>
      <c r="AM718" s="237"/>
      <c r="AN718" s="237"/>
      <c r="AO718" s="237"/>
      <c r="AP718" s="237"/>
      <c r="AQ718" s="237"/>
      <c r="AR718" s="237"/>
      <c r="AS718" s="237"/>
      <c r="AT718" s="360">
        <v>43556</v>
      </c>
      <c r="AU718" s="91">
        <f t="shared" si="54"/>
        <v>25828673</v>
      </c>
    </row>
    <row r="719" spans="2:47" ht="67.5" hidden="1" x14ac:dyDescent="0.25">
      <c r="B719" s="2" t="str">
        <f>+'Base de Datos'!E719</f>
        <v>180388-0-2018</v>
      </c>
      <c r="C719" s="2" t="str">
        <f>+'Base de Datos'!F719</f>
        <v>RONALD STIVE SANCHEZ POSADA</v>
      </c>
      <c r="D719" s="2">
        <f>+'Base de Datos'!G719</f>
        <v>79883661</v>
      </c>
      <c r="E719" s="2" t="str">
        <f>+'Base de Datos'!H719</f>
        <v>Prestar servicios profesionales para apoyar a la Secretaría General del Concejo de Bogotá, para realizar el seguimiento al cumplimiento del Plan de Acción anual, los programas, proyectos y estrategias de la Secretaria General, de acuerdo con las políticas y a la Misión de la Corporación.</v>
      </c>
      <c r="F719" s="221">
        <f>+'Base de Datos'!I719</f>
        <v>21093000</v>
      </c>
      <c r="G719" s="220">
        <f>+'Base de Datos'!M719</f>
        <v>43430</v>
      </c>
      <c r="H719" s="220">
        <f>+'Base de Datos'!N719</f>
        <v>43496</v>
      </c>
      <c r="I719" s="179"/>
      <c r="J719" s="360"/>
      <c r="K719" s="237"/>
      <c r="L719" s="363"/>
      <c r="M719" s="179"/>
      <c r="N719" s="360"/>
      <c r="O719" s="179"/>
      <c r="P719" s="365"/>
      <c r="Q719" s="86">
        <f t="shared" si="52"/>
        <v>0</v>
      </c>
      <c r="R719" s="284"/>
      <c r="S719" s="360"/>
      <c r="T719" s="179"/>
      <c r="U719" s="360"/>
      <c r="V719" s="179"/>
      <c r="W719" s="360"/>
      <c r="X719" s="179"/>
      <c r="Y719" s="360"/>
      <c r="Z719" s="353"/>
      <c r="AA719" s="89">
        <f t="shared" si="53"/>
        <v>0</v>
      </c>
      <c r="AB719" s="237">
        <v>1171833</v>
      </c>
      <c r="AC719" s="237">
        <v>7031000</v>
      </c>
      <c r="AD719" s="237">
        <v>7031000</v>
      </c>
      <c r="AE719" s="237"/>
      <c r="AF719" s="237"/>
      <c r="AG719" s="237"/>
      <c r="AH719" s="237"/>
      <c r="AI719" s="237"/>
      <c r="AJ719" s="237"/>
      <c r="AK719" s="237"/>
      <c r="AL719" s="237"/>
      <c r="AM719" s="237"/>
      <c r="AN719" s="237"/>
      <c r="AO719" s="237"/>
      <c r="AP719" s="237"/>
      <c r="AQ719" s="237"/>
      <c r="AR719" s="237"/>
      <c r="AS719" s="237"/>
      <c r="AT719" s="360">
        <v>43514</v>
      </c>
      <c r="AU719" s="91">
        <f t="shared" si="54"/>
        <v>15233833</v>
      </c>
    </row>
    <row r="720" spans="2:47" ht="22.5" hidden="1" x14ac:dyDescent="0.25">
      <c r="B720" s="2" t="str">
        <f>+'Base de Datos'!E720</f>
        <v>180393-0-2018</v>
      </c>
      <c r="C720" s="2" t="str">
        <f>+'Base de Datos'!F720</f>
        <v>SOLUCIONES H &amp; S SAS</v>
      </c>
      <c r="D720" s="2" t="str">
        <f>+'Base de Datos'!G720</f>
        <v>900699012-3</v>
      </c>
      <c r="E720" s="2" t="str">
        <f>+'Base de Datos'!H720</f>
        <v>Prestar el servicio de alquiler, instalación y desmonte de la decoración navideña para el Concejo de Bogotá D.C.</v>
      </c>
      <c r="F720" s="221">
        <f>+'Base de Datos'!I720</f>
        <v>17440000</v>
      </c>
      <c r="G720" s="220">
        <f>+'Base de Datos'!M720</f>
        <v>43441</v>
      </c>
      <c r="H720" s="220">
        <f>+'Base de Datos'!N720</f>
        <v>43502</v>
      </c>
      <c r="I720" s="179"/>
      <c r="J720" s="360"/>
      <c r="K720" s="237"/>
      <c r="L720" s="363"/>
      <c r="M720" s="179"/>
      <c r="N720" s="360"/>
      <c r="O720" s="179"/>
      <c r="P720" s="365"/>
      <c r="Q720" s="86">
        <f t="shared" si="52"/>
        <v>0</v>
      </c>
      <c r="R720" s="284"/>
      <c r="S720" s="360"/>
      <c r="T720" s="179"/>
      <c r="U720" s="360"/>
      <c r="V720" s="179"/>
      <c r="W720" s="360"/>
      <c r="X720" s="179"/>
      <c r="Y720" s="360"/>
      <c r="Z720" s="353"/>
      <c r="AA720" s="89">
        <f t="shared" si="53"/>
        <v>0</v>
      </c>
      <c r="AB720" s="237">
        <v>13952000</v>
      </c>
      <c r="AC720" s="237">
        <v>3488000</v>
      </c>
      <c r="AD720" s="237"/>
      <c r="AE720" s="237"/>
      <c r="AF720" s="237"/>
      <c r="AG720" s="237"/>
      <c r="AH720" s="237"/>
      <c r="AI720" s="237"/>
      <c r="AJ720" s="237"/>
      <c r="AK720" s="237"/>
      <c r="AL720" s="237"/>
      <c r="AM720" s="237"/>
      <c r="AN720" s="237"/>
      <c r="AO720" s="237"/>
      <c r="AP720" s="237"/>
      <c r="AQ720" s="237"/>
      <c r="AR720" s="237"/>
      <c r="AS720" s="237"/>
      <c r="AT720" s="360">
        <v>43566</v>
      </c>
      <c r="AU720" s="91">
        <f t="shared" si="54"/>
        <v>17440000</v>
      </c>
    </row>
    <row r="721" spans="2:47" ht="22.5" hidden="1" x14ac:dyDescent="0.25">
      <c r="B721" s="2" t="str">
        <f>+'Base de Datos'!E721</f>
        <v>180429-0-2018</v>
      </c>
      <c r="C721" s="2" t="str">
        <f>+'Base de Datos'!F721</f>
        <v>CAJA COLOMBIANA DE SUBSIDIO FAMILIAR COLSUBSIDIO</v>
      </c>
      <c r="D721" s="2" t="str">
        <f>+'Base de Datos'!G721</f>
        <v>860007336-1</v>
      </c>
      <c r="E721" s="2" t="str">
        <f>+'Base de Datos'!H721</f>
        <v>Proveer bonos navideños para los hujis de los funcionarios del Concejo de Bogotá.</v>
      </c>
      <c r="F721" s="221">
        <f>+'Base de Datos'!I721</f>
        <v>39062000</v>
      </c>
      <c r="G721" s="220">
        <f>+'Base de Datos'!M721</f>
        <v>43448</v>
      </c>
      <c r="H721" s="220">
        <f>+'Base de Datos'!N721</f>
        <v>43568</v>
      </c>
      <c r="I721" s="179"/>
      <c r="J721" s="360"/>
      <c r="K721" s="237"/>
      <c r="L721" s="363"/>
      <c r="M721" s="179"/>
      <c r="N721" s="360"/>
      <c r="O721" s="179"/>
      <c r="P721" s="365"/>
      <c r="Q721" s="86">
        <f t="shared" si="52"/>
        <v>0</v>
      </c>
      <c r="R721" s="284"/>
      <c r="S721" s="360"/>
      <c r="T721" s="179"/>
      <c r="U721" s="360"/>
      <c r="V721" s="179"/>
      <c r="W721" s="360"/>
      <c r="X721" s="179"/>
      <c r="Y721" s="360"/>
      <c r="Z721" s="353"/>
      <c r="AA721" s="89">
        <f t="shared" si="53"/>
        <v>0</v>
      </c>
      <c r="AB721" s="237">
        <v>27812144</v>
      </c>
      <c r="AC721" s="237">
        <v>2966050</v>
      </c>
      <c r="AD721" s="237"/>
      <c r="AE721" s="237"/>
      <c r="AF721" s="237"/>
      <c r="AG721" s="237"/>
      <c r="AH721" s="237"/>
      <c r="AI721" s="237"/>
      <c r="AJ721" s="237"/>
      <c r="AK721" s="237"/>
      <c r="AL721" s="237"/>
      <c r="AM721" s="237"/>
      <c r="AN721" s="237"/>
      <c r="AO721" s="237"/>
      <c r="AP721" s="237"/>
      <c r="AQ721" s="237"/>
      <c r="AR721" s="237"/>
      <c r="AS721" s="237"/>
      <c r="AT721" s="360">
        <v>43517</v>
      </c>
      <c r="AU721" s="91">
        <f t="shared" si="54"/>
        <v>30778194</v>
      </c>
    </row>
    <row r="722" spans="2:47" ht="22.5" hidden="1" x14ac:dyDescent="0.25">
      <c r="B722" s="2" t="str">
        <f>+'Base de Datos'!E722</f>
        <v>180435-0-2018</v>
      </c>
      <c r="C722" s="2" t="str">
        <f>+'Base de Datos'!F722</f>
        <v>COLOMBIANA DE COMERCIO S.A. Y/O ALKOSTO S.A.</v>
      </c>
      <c r="D722" s="2" t="str">
        <f>+'Base de Datos'!G722</f>
        <v>890900943-1</v>
      </c>
      <c r="E722" s="2" t="str">
        <f>+'Base de Datos'!H722</f>
        <v>Adquirir televisor de gran formato para el salon comuneros</v>
      </c>
      <c r="F722" s="221">
        <f>+'Base de Datos'!I722</f>
        <v>9323897</v>
      </c>
      <c r="G722" s="220">
        <f>+'Base de Datos'!M722</f>
        <v>43446</v>
      </c>
      <c r="H722" s="220">
        <f>+'Base de Datos'!N722</f>
        <v>43452</v>
      </c>
      <c r="I722" s="179"/>
      <c r="J722" s="360"/>
      <c r="K722" s="237"/>
      <c r="L722" s="363"/>
      <c r="M722" s="179"/>
      <c r="N722" s="360"/>
      <c r="O722" s="179"/>
      <c r="P722" s="365"/>
      <c r="Q722" s="86">
        <f t="shared" si="52"/>
        <v>0</v>
      </c>
      <c r="R722" s="284"/>
      <c r="S722" s="360"/>
      <c r="T722" s="179"/>
      <c r="U722" s="360"/>
      <c r="V722" s="179"/>
      <c r="W722" s="360"/>
      <c r="X722" s="179"/>
      <c r="Y722" s="360"/>
      <c r="Z722" s="353"/>
      <c r="AA722" s="89">
        <f t="shared" si="53"/>
        <v>0</v>
      </c>
      <c r="AB722" s="237">
        <v>9323897</v>
      </c>
      <c r="AC722" s="237"/>
      <c r="AD722" s="237"/>
      <c r="AE722" s="237"/>
      <c r="AF722" s="237"/>
      <c r="AG722" s="237"/>
      <c r="AH722" s="237"/>
      <c r="AI722" s="237"/>
      <c r="AJ722" s="237"/>
      <c r="AK722" s="237"/>
      <c r="AL722" s="237"/>
      <c r="AM722" s="237"/>
      <c r="AN722" s="237"/>
      <c r="AO722" s="237"/>
      <c r="AP722" s="237"/>
      <c r="AQ722" s="237"/>
      <c r="AR722" s="237"/>
      <c r="AS722" s="237"/>
      <c r="AT722" s="360">
        <v>43453</v>
      </c>
      <c r="AU722" s="91">
        <f t="shared" si="54"/>
        <v>9323897</v>
      </c>
    </row>
    <row r="723" spans="2:47" ht="33.75" hidden="1" x14ac:dyDescent="0.25">
      <c r="B723" s="2" t="str">
        <f>+'Base de Datos'!E723</f>
        <v>180437-0-2018</v>
      </c>
      <c r="C723" s="2" t="str">
        <f>+'Base de Datos'!F723</f>
        <v>PANAMERICANA LIBRERÍA Y PAPELERIA SA</v>
      </c>
      <c r="D723" s="2" t="str">
        <f>+'Base de Datos'!G723</f>
        <v>830037946-3</v>
      </c>
      <c r="E723" s="2" t="str">
        <f>+'Base de Datos'!H723</f>
        <v>Adquirir equipo de computo especializado para la Secretaría General del Concejo de Bogotá y software correspondiente.</v>
      </c>
      <c r="F723" s="221">
        <f>+'Base de Datos'!I723</f>
        <v>12599060</v>
      </c>
      <c r="G723" s="220">
        <f>+'Base de Datos'!M723</f>
        <v>43446</v>
      </c>
      <c r="H723" s="220">
        <f>+'Base de Datos'!N723</f>
        <v>43456</v>
      </c>
      <c r="I723" s="179"/>
      <c r="J723" s="360"/>
      <c r="K723" s="237"/>
      <c r="L723" s="363"/>
      <c r="M723" s="179"/>
      <c r="N723" s="360"/>
      <c r="O723" s="179"/>
      <c r="P723" s="365"/>
      <c r="Q723" s="86">
        <f t="shared" si="52"/>
        <v>0</v>
      </c>
      <c r="R723" s="284"/>
      <c r="S723" s="360"/>
      <c r="T723" s="179"/>
      <c r="U723" s="360"/>
      <c r="V723" s="179"/>
      <c r="W723" s="360"/>
      <c r="X723" s="179"/>
      <c r="Y723" s="360"/>
      <c r="Z723" s="353"/>
      <c r="AA723" s="89">
        <f t="shared" si="53"/>
        <v>0</v>
      </c>
      <c r="AB723" s="237">
        <v>12599060</v>
      </c>
      <c r="AC723" s="237"/>
      <c r="AD723" s="237"/>
      <c r="AE723" s="237"/>
      <c r="AF723" s="237"/>
      <c r="AG723" s="237"/>
      <c r="AH723" s="237"/>
      <c r="AI723" s="237"/>
      <c r="AJ723" s="237"/>
      <c r="AK723" s="237"/>
      <c r="AL723" s="237"/>
      <c r="AM723" s="237"/>
      <c r="AN723" s="237"/>
      <c r="AO723" s="237"/>
      <c r="AP723" s="237"/>
      <c r="AQ723" s="237"/>
      <c r="AR723" s="237"/>
      <c r="AS723" s="237"/>
      <c r="AT723" s="360">
        <v>43542</v>
      </c>
      <c r="AU723" s="91">
        <f t="shared" si="54"/>
        <v>12599060</v>
      </c>
    </row>
    <row r="724" spans="2:47" ht="22.5" hidden="1" x14ac:dyDescent="0.25">
      <c r="B724" s="2" t="str">
        <f>+'Base de Datos'!E724</f>
        <v>180438-0-2018</v>
      </c>
      <c r="C724" s="2" t="str">
        <f>+'Base de Datos'!F724</f>
        <v>SUMIMAS SAS</v>
      </c>
      <c r="D724" s="2" t="str">
        <f>+'Base de Datos'!G724</f>
        <v>830001338-1</v>
      </c>
      <c r="E724" s="2" t="str">
        <f>+'Base de Datos'!H724</f>
        <v>Adquirir impresoras y complementarios para el Concejo de Bogotá</v>
      </c>
      <c r="F724" s="221">
        <f>+'Base de Datos'!I724</f>
        <v>284999697</v>
      </c>
      <c r="G724" s="220">
        <f>+'Base de Datos'!M724</f>
        <v>43446</v>
      </c>
      <c r="H724" s="220">
        <f>+'Base de Datos'!N724</f>
        <v>43784</v>
      </c>
      <c r="I724" s="179"/>
      <c r="J724" s="360"/>
      <c r="K724" s="237"/>
      <c r="L724" s="363"/>
      <c r="M724" s="179"/>
      <c r="N724" s="360"/>
      <c r="O724" s="179"/>
      <c r="P724" s="365"/>
      <c r="Q724" s="86">
        <f t="shared" si="52"/>
        <v>0</v>
      </c>
      <c r="R724" s="284"/>
      <c r="S724" s="360"/>
      <c r="T724" s="179"/>
      <c r="U724" s="360"/>
      <c r="V724" s="179"/>
      <c r="W724" s="360"/>
      <c r="X724" s="179"/>
      <c r="Y724" s="360"/>
      <c r="Z724" s="353"/>
      <c r="AA724" s="89">
        <f t="shared" si="53"/>
        <v>0</v>
      </c>
      <c r="AB724" s="237"/>
      <c r="AC724" s="237"/>
      <c r="AD724" s="237"/>
      <c r="AE724" s="237"/>
      <c r="AF724" s="237"/>
      <c r="AG724" s="237"/>
      <c r="AH724" s="237"/>
      <c r="AI724" s="237"/>
      <c r="AJ724" s="237"/>
      <c r="AK724" s="237"/>
      <c r="AL724" s="237"/>
      <c r="AM724" s="237"/>
      <c r="AN724" s="237"/>
      <c r="AO724" s="237"/>
      <c r="AP724" s="237"/>
      <c r="AQ724" s="237"/>
      <c r="AR724" s="237"/>
      <c r="AS724" s="237"/>
      <c r="AT724" s="360"/>
      <c r="AU724" s="91">
        <f t="shared" si="54"/>
        <v>0</v>
      </c>
    </row>
    <row r="725" spans="2:47" ht="22.5" hidden="1" x14ac:dyDescent="0.25">
      <c r="B725" s="2" t="str">
        <f>+'Base de Datos'!E725</f>
        <v>180396-0-2018</v>
      </c>
      <c r="C725" s="2" t="str">
        <f>+'Base de Datos'!F725</f>
        <v>LEGARCHIVO SAS</v>
      </c>
      <c r="D725" s="2">
        <f>+'Base de Datos'!G725</f>
        <v>800216724</v>
      </c>
      <c r="E725" s="2" t="str">
        <f>+'Base de Datos'!H725</f>
        <v xml:space="preserve">Suministro de elementos de protección y embalaje de documentos para el Concejo de Bogotá </v>
      </c>
      <c r="F725" s="221">
        <f>+'Base de Datos'!I725</f>
        <v>8315000</v>
      </c>
      <c r="G725" s="220">
        <f>+'Base de Datos'!M725</f>
        <v>43455</v>
      </c>
      <c r="H725" s="220">
        <f>+'Base de Datos'!N725</f>
        <v>43636</v>
      </c>
      <c r="I725" s="179"/>
      <c r="J725" s="360"/>
      <c r="K725" s="237"/>
      <c r="L725" s="363"/>
      <c r="M725" s="179"/>
      <c r="N725" s="360"/>
      <c r="O725" s="179"/>
      <c r="P725" s="365"/>
      <c r="Q725" s="86">
        <f t="shared" si="52"/>
        <v>0</v>
      </c>
      <c r="R725" s="284"/>
      <c r="S725" s="360"/>
      <c r="T725" s="179"/>
      <c r="U725" s="360"/>
      <c r="V725" s="179"/>
      <c r="W725" s="360"/>
      <c r="X725" s="179"/>
      <c r="Y725" s="360"/>
      <c r="Z725" s="353"/>
      <c r="AA725" s="89">
        <f t="shared" si="53"/>
        <v>0</v>
      </c>
      <c r="AB725" s="237"/>
      <c r="AC725" s="237"/>
      <c r="AD725" s="237"/>
      <c r="AE725" s="237"/>
      <c r="AF725" s="237"/>
      <c r="AG725" s="237"/>
      <c r="AH725" s="237"/>
      <c r="AI725" s="237"/>
      <c r="AJ725" s="237"/>
      <c r="AK725" s="237"/>
      <c r="AL725" s="237"/>
      <c r="AM725" s="237"/>
      <c r="AN725" s="237"/>
      <c r="AO725" s="237"/>
      <c r="AP725" s="237"/>
      <c r="AQ725" s="237"/>
      <c r="AR725" s="237"/>
      <c r="AS725" s="237"/>
      <c r="AT725" s="360"/>
      <c r="AU725" s="91">
        <f t="shared" si="54"/>
        <v>0</v>
      </c>
    </row>
    <row r="726" spans="2:47" ht="22.5" hidden="1" x14ac:dyDescent="0.25">
      <c r="B726" s="2" t="str">
        <f>+'Base de Datos'!E726</f>
        <v>180439-0-2018</v>
      </c>
      <c r="C726" s="2" t="str">
        <f>+'Base de Datos'!F726</f>
        <v>COLOMBIANA DE COMERCIO S.A. Y/O ALKOSTO S.A.</v>
      </c>
      <c r="D726" s="2" t="str">
        <f>+'Base de Datos'!G726</f>
        <v>890900943-1</v>
      </c>
      <c r="E726" s="2" t="str">
        <f>+'Base de Datos'!H726</f>
        <v>Adquirir solución de video conferencia para el Concejo de Bogotá</v>
      </c>
      <c r="F726" s="221">
        <f>+'Base de Datos'!I726</f>
        <v>54468000</v>
      </c>
      <c r="G726" s="220">
        <f>+'Base de Datos'!M726</f>
        <v>43451</v>
      </c>
      <c r="H726" s="220">
        <f>+'Base de Datos'!N726</f>
        <v>43462</v>
      </c>
      <c r="I726" s="179"/>
      <c r="J726" s="360"/>
      <c r="K726" s="237"/>
      <c r="L726" s="363"/>
      <c r="M726" s="179"/>
      <c r="N726" s="360"/>
      <c r="O726" s="179"/>
      <c r="P726" s="365"/>
      <c r="Q726" s="86">
        <f t="shared" si="52"/>
        <v>0</v>
      </c>
      <c r="R726" s="284"/>
      <c r="S726" s="360"/>
      <c r="T726" s="179"/>
      <c r="U726" s="360"/>
      <c r="V726" s="179"/>
      <c r="W726" s="360"/>
      <c r="X726" s="179"/>
      <c r="Y726" s="360"/>
      <c r="Z726" s="353"/>
      <c r="AA726" s="89">
        <f t="shared" si="53"/>
        <v>0</v>
      </c>
      <c r="AB726" s="237">
        <v>54468000</v>
      </c>
      <c r="AC726" s="237"/>
      <c r="AD726" s="237"/>
      <c r="AE726" s="237"/>
      <c r="AF726" s="237"/>
      <c r="AG726" s="237"/>
      <c r="AH726" s="237"/>
      <c r="AI726" s="237"/>
      <c r="AJ726" s="237"/>
      <c r="AK726" s="237"/>
      <c r="AL726" s="237"/>
      <c r="AM726" s="237"/>
      <c r="AN726" s="237"/>
      <c r="AO726" s="237"/>
      <c r="AP726" s="237"/>
      <c r="AQ726" s="237"/>
      <c r="AR726" s="237"/>
      <c r="AS726" s="237"/>
      <c r="AT726" s="360">
        <v>43500</v>
      </c>
      <c r="AU726" s="91">
        <f t="shared" si="54"/>
        <v>54468000</v>
      </c>
    </row>
    <row r="727" spans="2:47" ht="33.75" hidden="1" x14ac:dyDescent="0.25">
      <c r="B727" s="2" t="str">
        <f>+'Base de Datos'!E727</f>
        <v>180431-0-2018</v>
      </c>
      <c r="C727" s="2" t="str">
        <f>+'Base de Datos'!F727</f>
        <v>GOLD SYS LTDA</v>
      </c>
      <c r="D727" s="2" t="str">
        <f>+'Base de Datos'!G727</f>
        <v>830038304-1</v>
      </c>
      <c r="E727" s="2" t="str">
        <f>+'Base de Datos'!H727</f>
        <v>Proveer servicios de soporte y actualización de licencias Corel Draw y suscripción de licencias adobe photoshop del Concejo de Bogotá.</v>
      </c>
      <c r="F727" s="221">
        <f>+'Base de Datos'!I727</f>
        <v>11942000</v>
      </c>
      <c r="G727" s="220">
        <f>+'Base de Datos'!M727</f>
        <v>43460</v>
      </c>
      <c r="H727" s="220">
        <f>+'Base de Datos'!N727</f>
        <v>43824</v>
      </c>
      <c r="I727" s="179"/>
      <c r="J727" s="360"/>
      <c r="K727" s="237"/>
      <c r="L727" s="363"/>
      <c r="M727" s="179"/>
      <c r="N727" s="360"/>
      <c r="O727" s="179"/>
      <c r="P727" s="365"/>
      <c r="Q727" s="86">
        <f t="shared" ref="Q727:Q764" si="55">SUM(I727,K727,M727,O727)</f>
        <v>0</v>
      </c>
      <c r="R727" s="284"/>
      <c r="S727" s="360"/>
      <c r="T727" s="179"/>
      <c r="U727" s="360"/>
      <c r="V727" s="179"/>
      <c r="W727" s="360"/>
      <c r="X727" s="179"/>
      <c r="Y727" s="360"/>
      <c r="Z727" s="353"/>
      <c r="AA727" s="89">
        <f t="shared" ref="AA727:AA764" si="56">MAX(S727,U727,W727,Y727)</f>
        <v>0</v>
      </c>
      <c r="AB727" s="237"/>
      <c r="AC727" s="237"/>
      <c r="AD727" s="237"/>
      <c r="AE727" s="237"/>
      <c r="AF727" s="237"/>
      <c r="AG727" s="237"/>
      <c r="AH727" s="237"/>
      <c r="AI727" s="237"/>
      <c r="AJ727" s="237"/>
      <c r="AK727" s="237"/>
      <c r="AL727" s="237"/>
      <c r="AM727" s="237"/>
      <c r="AN727" s="237"/>
      <c r="AO727" s="237"/>
      <c r="AP727" s="237"/>
      <c r="AQ727" s="237"/>
      <c r="AR727" s="237"/>
      <c r="AS727" s="237"/>
      <c r="AT727" s="360"/>
      <c r="AU727" s="91">
        <f t="shared" ref="AU727:AU764" si="57">SUM(AB727:AR727)</f>
        <v>0</v>
      </c>
    </row>
    <row r="728" spans="2:47" ht="22.5" hidden="1" x14ac:dyDescent="0.25">
      <c r="B728" s="2" t="str">
        <f>+'Base de Datos'!E728</f>
        <v>180436-0-2018</v>
      </c>
      <c r="C728" s="2" t="str">
        <f>+'Base de Datos'!F728</f>
        <v>TECHNOLOGY SERVICES LTDA</v>
      </c>
      <c r="D728" s="2">
        <f>+'Base de Datos'!G728</f>
        <v>830067814</v>
      </c>
      <c r="E728" s="2" t="str">
        <f>+'Base de Datos'!H728</f>
        <v xml:space="preserve">Prestar servicios de recuperación de información de cintas históricas del Concejo de Bogotá </v>
      </c>
      <c r="F728" s="221">
        <f>+'Base de Datos'!I728</f>
        <v>68580000</v>
      </c>
      <c r="G728" s="220">
        <f>+'Base de Datos'!M728</f>
        <v>43462</v>
      </c>
      <c r="H728" s="220">
        <f>+'Base de Datos'!N728</f>
        <v>43643</v>
      </c>
      <c r="I728" s="179"/>
      <c r="J728" s="360"/>
      <c r="K728" s="237"/>
      <c r="L728" s="363"/>
      <c r="M728" s="179"/>
      <c r="N728" s="360"/>
      <c r="O728" s="179"/>
      <c r="P728" s="365"/>
      <c r="Q728" s="86">
        <f t="shared" si="55"/>
        <v>0</v>
      </c>
      <c r="R728" s="284"/>
      <c r="S728" s="360"/>
      <c r="T728" s="179"/>
      <c r="U728" s="360"/>
      <c r="V728" s="179"/>
      <c r="W728" s="360"/>
      <c r="X728" s="179"/>
      <c r="Y728" s="360"/>
      <c r="Z728" s="353"/>
      <c r="AA728" s="89">
        <f t="shared" si="56"/>
        <v>0</v>
      </c>
      <c r="AB728" s="237">
        <v>22837140</v>
      </c>
      <c r="AC728" s="237">
        <v>22837140</v>
      </c>
      <c r="AD728" s="237"/>
      <c r="AE728" s="237"/>
      <c r="AF728" s="237"/>
      <c r="AG728" s="237"/>
      <c r="AH728" s="237"/>
      <c r="AI728" s="237"/>
      <c r="AJ728" s="237"/>
      <c r="AK728" s="237"/>
      <c r="AL728" s="237"/>
      <c r="AM728" s="237"/>
      <c r="AN728" s="237"/>
      <c r="AO728" s="237"/>
      <c r="AP728" s="237"/>
      <c r="AQ728" s="237"/>
      <c r="AR728" s="237"/>
      <c r="AS728" s="237"/>
      <c r="AT728" s="360">
        <v>43623</v>
      </c>
      <c r="AU728" s="91">
        <f t="shared" si="57"/>
        <v>45674280</v>
      </c>
    </row>
    <row r="729" spans="2:47" ht="90" hidden="1" x14ac:dyDescent="0.25">
      <c r="B729" s="2" t="str">
        <f>+'Base de Datos'!E729</f>
        <v>180451-0-2018</v>
      </c>
      <c r="C729" s="2" t="str">
        <f>+'Base de Datos'!F729</f>
        <v>JARDIN BOTÁNICO JOSE CELESTINO MUTIS</v>
      </c>
      <c r="D729" s="2" t="str">
        <f>+'Base de Datos'!G729</f>
        <v>860030197-0</v>
      </c>
      <c r="E729" s="2" t="str">
        <f>+'Base de Datos'!H729</f>
        <v>Aunar esfuerzos institucionales, técnicos y financieros para realizar actividades de jardinería integral en las instalaciones del Concejo de Bogotá y manejo integral del arbolado antiguo, de conformidad con lo establecido en los estudios previos y las especificaciones técnicas establecidas en la propuesta técnico - financiera del convenio interadministrativo presentada por el Jardín Botánico.</v>
      </c>
      <c r="F729" s="221">
        <f>+'Base de Datos'!I729</f>
        <v>45787937</v>
      </c>
      <c r="G729" s="220">
        <f>+'Base de Datos'!M729</f>
        <v>43507</v>
      </c>
      <c r="H729" s="220">
        <f>+'Base de Datos'!N729</f>
        <v>43871</v>
      </c>
      <c r="I729" s="179"/>
      <c r="J729" s="360"/>
      <c r="K729" s="237"/>
      <c r="L729" s="363"/>
      <c r="M729" s="179"/>
      <c r="N729" s="360"/>
      <c r="O729" s="179"/>
      <c r="P729" s="365"/>
      <c r="Q729" s="86">
        <f t="shared" si="55"/>
        <v>0</v>
      </c>
      <c r="R729" s="284"/>
      <c r="S729" s="360"/>
      <c r="T729" s="179"/>
      <c r="U729" s="360"/>
      <c r="V729" s="179"/>
      <c r="W729" s="360"/>
      <c r="X729" s="179"/>
      <c r="Y729" s="360"/>
      <c r="Z729" s="353"/>
      <c r="AA729" s="89">
        <f t="shared" si="56"/>
        <v>0</v>
      </c>
      <c r="AB729" s="237">
        <v>45787937</v>
      </c>
      <c r="AC729" s="237"/>
      <c r="AD729" s="237"/>
      <c r="AE729" s="237"/>
      <c r="AF729" s="237"/>
      <c r="AG729" s="237"/>
      <c r="AH729" s="237"/>
      <c r="AI729" s="237"/>
      <c r="AJ729" s="237"/>
      <c r="AK729" s="237"/>
      <c r="AL729" s="237"/>
      <c r="AM729" s="237"/>
      <c r="AN729" s="237"/>
      <c r="AO729" s="237"/>
      <c r="AP729" s="237"/>
      <c r="AQ729" s="237"/>
      <c r="AR729" s="237"/>
      <c r="AS729" s="237"/>
      <c r="AT729" s="360">
        <v>43599</v>
      </c>
      <c r="AU729" s="91">
        <f t="shared" si="57"/>
        <v>45787937</v>
      </c>
    </row>
    <row r="730" spans="2:47" ht="56.25" hidden="1" x14ac:dyDescent="0.25">
      <c r="B730" s="2" t="str">
        <f>+'Base de Datos'!E730</f>
        <v>180454-0-2018</v>
      </c>
      <c r="C730" s="2" t="str">
        <f>+'Base de Datos'!F730</f>
        <v xml:space="preserve">UT SDH COMUNEROS MATIZZO KEY MARKET </v>
      </c>
      <c r="D730" s="2">
        <f>+'Base de Datos'!G730</f>
        <v>90241452</v>
      </c>
      <c r="E730" s="2" t="str">
        <f>+'Base de Datos'!H730</f>
        <v>Adquisición de una solución integral de conferencia y debate para el Concejo de Boogtá, D.C., de conformidad con lo establecido en el pliego electrónico y su complemento de la licitación pública No. SDH-LP-04-2018_3 y la propuesta presentada por el contratista.</v>
      </c>
      <c r="F730" s="221">
        <f>+'Base de Datos'!I730</f>
        <v>2559764239</v>
      </c>
      <c r="G730" s="220">
        <f>+'Base de Datos'!M730</f>
        <v>43476</v>
      </c>
      <c r="H730" s="220">
        <f>+'Base de Datos'!N730</f>
        <v>43656</v>
      </c>
      <c r="I730" s="179">
        <v>343030709</v>
      </c>
      <c r="J730" s="360">
        <v>43609</v>
      </c>
      <c r="K730" s="237"/>
      <c r="L730" s="363"/>
      <c r="M730" s="179"/>
      <c r="N730" s="360"/>
      <c r="O730" s="179"/>
      <c r="P730" s="365"/>
      <c r="Q730" s="86">
        <f t="shared" si="55"/>
        <v>343030709</v>
      </c>
      <c r="R730" s="284"/>
      <c r="S730" s="360"/>
      <c r="T730" s="179"/>
      <c r="U730" s="360"/>
      <c r="V730" s="179"/>
      <c r="W730" s="360"/>
      <c r="X730" s="179"/>
      <c r="Y730" s="360"/>
      <c r="Z730" s="353"/>
      <c r="AA730" s="89">
        <f t="shared" si="56"/>
        <v>0</v>
      </c>
      <c r="AB730" s="237">
        <v>1257326460</v>
      </c>
      <c r="AC730" s="237"/>
      <c r="AD730" s="237"/>
      <c r="AE730" s="237"/>
      <c r="AF730" s="237"/>
      <c r="AG730" s="237"/>
      <c r="AH730" s="237"/>
      <c r="AI730" s="237"/>
      <c r="AJ730" s="237"/>
      <c r="AK730" s="237"/>
      <c r="AL730" s="237"/>
      <c r="AM730" s="237"/>
      <c r="AN730" s="237"/>
      <c r="AO730" s="237"/>
      <c r="AP730" s="237"/>
      <c r="AQ730" s="237"/>
      <c r="AR730" s="237"/>
      <c r="AS730" s="237"/>
      <c r="AT730" s="360">
        <v>43620</v>
      </c>
      <c r="AU730" s="91">
        <f t="shared" si="57"/>
        <v>1257326460</v>
      </c>
    </row>
    <row r="731" spans="2:47" ht="56.25" hidden="1" x14ac:dyDescent="0.25">
      <c r="B731" s="2" t="str">
        <f>+'Base de Datos'!E731</f>
        <v>180443-0-2018</v>
      </c>
      <c r="C731" s="2" t="str">
        <f>+'Base de Datos'!F731</f>
        <v>SPEED WIRELESS NETWORKS SAS</v>
      </c>
      <c r="D731" s="2">
        <f>+'Base de Datos'!G731</f>
        <v>900038614</v>
      </c>
      <c r="E731" s="2" t="str">
        <f>+'Base de Datos'!H731</f>
        <v>Proveer un sistema de wifi para el Concejo de Bogotá D.C., de conformidad con lo establecido en el pliego de condiciones del proceso de selección abreviada - Subasta inversa electrónica N. SDH-SIE-13-2018 y la oferta presentada por el contratista.</v>
      </c>
      <c r="F731" s="221">
        <f>+'Base de Datos'!I731</f>
        <v>201000000</v>
      </c>
      <c r="G731" s="220">
        <f>+'Base de Datos'!M731</f>
        <v>43476</v>
      </c>
      <c r="H731" s="220">
        <f>+'Base de Datos'!N731</f>
        <v>43565</v>
      </c>
      <c r="I731" s="179"/>
      <c r="J731" s="360"/>
      <c r="K731" s="237"/>
      <c r="L731" s="363"/>
      <c r="M731" s="179"/>
      <c r="N731" s="360"/>
      <c r="O731" s="179"/>
      <c r="P731" s="365"/>
      <c r="Q731" s="86">
        <f t="shared" si="55"/>
        <v>0</v>
      </c>
      <c r="R731" s="284"/>
      <c r="S731" s="360"/>
      <c r="T731" s="179"/>
      <c r="U731" s="360"/>
      <c r="V731" s="179"/>
      <c r="W731" s="360"/>
      <c r="X731" s="179"/>
      <c r="Y731" s="360"/>
      <c r="Z731" s="353"/>
      <c r="AA731" s="89">
        <f t="shared" si="56"/>
        <v>0</v>
      </c>
      <c r="AB731" s="237"/>
      <c r="AC731" s="237"/>
      <c r="AD731" s="237"/>
      <c r="AE731" s="237"/>
      <c r="AF731" s="237"/>
      <c r="AG731" s="237"/>
      <c r="AH731" s="237"/>
      <c r="AI731" s="237"/>
      <c r="AJ731" s="237"/>
      <c r="AK731" s="237"/>
      <c r="AL731" s="237"/>
      <c r="AM731" s="237"/>
      <c r="AN731" s="237"/>
      <c r="AO731" s="237"/>
      <c r="AP731" s="237"/>
      <c r="AQ731" s="237"/>
      <c r="AR731" s="237"/>
      <c r="AS731" s="237"/>
      <c r="AT731" s="360"/>
      <c r="AU731" s="91">
        <f t="shared" si="57"/>
        <v>0</v>
      </c>
    </row>
    <row r="732" spans="2:47" ht="45" hidden="1" x14ac:dyDescent="0.25">
      <c r="B732" s="2" t="str">
        <f>+'Base de Datos'!E732</f>
        <v>180450-0-2018</v>
      </c>
      <c r="C732" s="2" t="str">
        <f>+'Base de Datos'!F732</f>
        <v>AGENCIA NACIONAL INMOBILIARIA VIRGILIO BARCO</v>
      </c>
      <c r="D732" s="2" t="str">
        <f>+'Base de Datos'!G732</f>
        <v>900483991-0</v>
      </c>
      <c r="E732" s="2" t="str">
        <f>+'Base de Datos'!H732</f>
        <v>Aunar esfuerzos para formular, estructurar y ejecutar proyectos de infraestructura física y usos complementarios que requiera la Secretaría Distrital de Hacienda para el Concejo de Bogotá</v>
      </c>
      <c r="F732" s="221">
        <f>+'Base de Datos'!I732</f>
        <v>1235000000</v>
      </c>
      <c r="G732" s="220">
        <f>+'Base de Datos'!M732</f>
        <v>43462</v>
      </c>
      <c r="H732" s="220">
        <f>+'Base de Datos'!N732</f>
        <v>44557</v>
      </c>
      <c r="I732" s="179"/>
      <c r="J732" s="360"/>
      <c r="K732" s="237"/>
      <c r="L732" s="363"/>
      <c r="M732" s="179"/>
      <c r="N732" s="360"/>
      <c r="O732" s="179"/>
      <c r="P732" s="365"/>
      <c r="Q732" s="86">
        <f t="shared" si="55"/>
        <v>0</v>
      </c>
      <c r="R732" s="284"/>
      <c r="S732" s="360"/>
      <c r="T732" s="179"/>
      <c r="U732" s="360"/>
      <c r="V732" s="179"/>
      <c r="W732" s="360"/>
      <c r="X732" s="179"/>
      <c r="Y732" s="360"/>
      <c r="Z732" s="353"/>
      <c r="AA732" s="89">
        <f t="shared" si="56"/>
        <v>0</v>
      </c>
      <c r="AB732" s="237">
        <v>1235000000</v>
      </c>
      <c r="AC732" s="237"/>
      <c r="AD732" s="237"/>
      <c r="AE732" s="237"/>
      <c r="AF732" s="237"/>
      <c r="AG732" s="237"/>
      <c r="AH732" s="237"/>
      <c r="AI732" s="237"/>
      <c r="AJ732" s="237"/>
      <c r="AK732" s="237"/>
      <c r="AL732" s="237"/>
      <c r="AM732" s="237"/>
      <c r="AN732" s="237"/>
      <c r="AO732" s="237"/>
      <c r="AP732" s="237"/>
      <c r="AQ732" s="237"/>
      <c r="AR732" s="237"/>
      <c r="AS732" s="237"/>
      <c r="AT732" s="360">
        <v>43510</v>
      </c>
      <c r="AU732" s="91">
        <f t="shared" si="57"/>
        <v>1235000000</v>
      </c>
    </row>
    <row r="733" spans="2:47" ht="45" hidden="1" x14ac:dyDescent="0.25">
      <c r="B733" s="2" t="str">
        <f>+'Base de Datos'!E733</f>
        <v>180387-0-2018</v>
      </c>
      <c r="C733" s="2" t="str">
        <f>+'Base de Datos'!F733</f>
        <v>JOHN ALEJANDRO FRANCO OTERO</v>
      </c>
      <c r="D733" s="2">
        <f>+'Base de Datos'!G733</f>
        <v>79391917</v>
      </c>
      <c r="E733" s="2" t="str">
        <f>+'Base de Datos'!H733</f>
        <v>Proveer muebles archivadores para el almacenamiento de cintas Tape Backup para las cintotecas del Concejo de Bogotá de conformidad con lo establecido en la invitación pública electrónica y su complemento</v>
      </c>
      <c r="F733" s="221">
        <f>+'Base de Datos'!I733</f>
        <v>15767500</v>
      </c>
      <c r="G733" s="220">
        <f>+'Base de Datos'!M733</f>
        <v>43441</v>
      </c>
      <c r="H733" s="220">
        <f>+'Base de Datos'!N733</f>
        <v>43502</v>
      </c>
      <c r="I733" s="179"/>
      <c r="J733" s="360"/>
      <c r="K733" s="237"/>
      <c r="L733" s="363"/>
      <c r="M733" s="179"/>
      <c r="N733" s="360"/>
      <c r="O733" s="179"/>
      <c r="P733" s="365"/>
      <c r="Q733" s="86">
        <f t="shared" si="55"/>
        <v>0</v>
      </c>
      <c r="R733" s="284"/>
      <c r="S733" s="360"/>
      <c r="T733" s="179"/>
      <c r="U733" s="360"/>
      <c r="V733" s="179"/>
      <c r="W733" s="360"/>
      <c r="X733" s="179"/>
      <c r="Y733" s="360"/>
      <c r="Z733" s="353"/>
      <c r="AA733" s="89">
        <f t="shared" si="56"/>
        <v>0</v>
      </c>
      <c r="AB733" s="237">
        <v>15767500</v>
      </c>
      <c r="AC733" s="237"/>
      <c r="AD733" s="237"/>
      <c r="AE733" s="237"/>
      <c r="AF733" s="237"/>
      <c r="AG733" s="237"/>
      <c r="AH733" s="237"/>
      <c r="AI733" s="237"/>
      <c r="AJ733" s="237"/>
      <c r="AK733" s="237"/>
      <c r="AL733" s="237"/>
      <c r="AM733" s="237"/>
      <c r="AN733" s="237"/>
      <c r="AO733" s="237"/>
      <c r="AP733" s="237"/>
      <c r="AQ733" s="237"/>
      <c r="AR733" s="237"/>
      <c r="AS733" s="237"/>
      <c r="AT733" s="360">
        <v>43553</v>
      </c>
      <c r="AU733" s="91">
        <f t="shared" si="57"/>
        <v>15767500</v>
      </c>
    </row>
    <row r="734" spans="2:47" ht="22.5" hidden="1" x14ac:dyDescent="0.25">
      <c r="B734" s="2" t="str">
        <f>+'Base de Datos'!E734</f>
        <v>180441-0-2018</v>
      </c>
      <c r="C734" s="2" t="str">
        <f>+'Base de Datos'!F734</f>
        <v>GRUPO TITANIUM SAS</v>
      </c>
      <c r="D734" s="2">
        <f>+'Base de Datos'!G734</f>
        <v>900749719</v>
      </c>
      <c r="E734" s="2" t="str">
        <f>+'Base de Datos'!H734</f>
        <v>Realizar la adecuación de los baños 1, 2 y del salón comuneros del Claustro del Concejo de Bogotá</v>
      </c>
      <c r="F734" s="221">
        <f>+'Base de Datos'!I734</f>
        <v>165591151.30000001</v>
      </c>
      <c r="G734" s="220">
        <f>+'Base de Datos'!M734</f>
        <v>43474</v>
      </c>
      <c r="H734" s="220">
        <f>+'Base de Datos'!N734</f>
        <v>43593</v>
      </c>
      <c r="I734" s="179"/>
      <c r="J734" s="360"/>
      <c r="K734" s="237"/>
      <c r="L734" s="363"/>
      <c r="M734" s="179"/>
      <c r="N734" s="360"/>
      <c r="O734" s="179"/>
      <c r="P734" s="365"/>
      <c r="Q734" s="86">
        <f t="shared" si="55"/>
        <v>0</v>
      </c>
      <c r="R734" s="849" t="s">
        <v>4668</v>
      </c>
      <c r="S734" s="360">
        <v>43608</v>
      </c>
      <c r="T734" s="179"/>
      <c r="U734" s="360"/>
      <c r="V734" s="179"/>
      <c r="W734" s="360"/>
      <c r="X734" s="179"/>
      <c r="Y734" s="360"/>
      <c r="Z734" s="849" t="s">
        <v>4668</v>
      </c>
      <c r="AA734" s="89">
        <f t="shared" si="56"/>
        <v>43608</v>
      </c>
      <c r="AB734" s="237">
        <v>33118230</v>
      </c>
      <c r="AC734" s="237">
        <v>49677345</v>
      </c>
      <c r="AD734" s="237">
        <v>33118230</v>
      </c>
      <c r="AE734" s="237"/>
      <c r="AF734" s="237"/>
      <c r="AG734" s="237"/>
      <c r="AH734" s="237"/>
      <c r="AI734" s="237"/>
      <c r="AJ734" s="237"/>
      <c r="AK734" s="237"/>
      <c r="AL734" s="237"/>
      <c r="AM734" s="237"/>
      <c r="AN734" s="237"/>
      <c r="AO734" s="237"/>
      <c r="AP734" s="237"/>
      <c r="AQ734" s="237"/>
      <c r="AR734" s="237"/>
      <c r="AS734" s="237"/>
      <c r="AT734" s="360">
        <v>43609</v>
      </c>
      <c r="AU734" s="91">
        <f t="shared" si="57"/>
        <v>115913805</v>
      </c>
    </row>
    <row r="735" spans="2:47" ht="56.25" hidden="1" x14ac:dyDescent="0.25">
      <c r="B735" s="2" t="str">
        <f>+'Base de Datos'!E735</f>
        <v>180448-0-2018</v>
      </c>
      <c r="C735" s="2" t="str">
        <f>+'Base de Datos'!F735</f>
        <v>DOGER HERNAN DAZA MORENO</v>
      </c>
      <c r="D735" s="2">
        <f>+'Base de Datos'!G735</f>
        <v>80751229</v>
      </c>
      <c r="E735" s="2" t="str">
        <f>+'Base de Datos'!H735</f>
        <v>Prestar servicios profesionales para apoyar a la Dirección Financiera del Concejo de Bogotá D.C., en los asuntos propios de la dependencia y en el seguimiento al plan de acción y transparencia de acuerdo con la normatividad vigente.</v>
      </c>
      <c r="F735" s="221">
        <f>+'Base de Datos'!I735</f>
        <v>8203500</v>
      </c>
      <c r="G735" s="220">
        <f>+'Base de Datos'!M735</f>
        <v>43473</v>
      </c>
      <c r="H735" s="220">
        <f>+'Base de Datos'!N735</f>
        <v>43518</v>
      </c>
      <c r="I735" s="179"/>
      <c r="J735" s="360"/>
      <c r="K735" s="237"/>
      <c r="L735" s="363"/>
      <c r="M735" s="179"/>
      <c r="N735" s="360"/>
      <c r="O735" s="179"/>
      <c r="P735" s="365"/>
      <c r="Q735" s="86">
        <f t="shared" si="55"/>
        <v>0</v>
      </c>
      <c r="R735" s="284"/>
      <c r="S735" s="360"/>
      <c r="T735" s="179"/>
      <c r="U735" s="360"/>
      <c r="V735" s="179"/>
      <c r="W735" s="360"/>
      <c r="X735" s="179"/>
      <c r="Y735" s="360"/>
      <c r="Z735" s="353"/>
      <c r="AA735" s="89">
        <f t="shared" si="56"/>
        <v>0</v>
      </c>
      <c r="AB735" s="237">
        <v>4192900</v>
      </c>
      <c r="AC735" s="237">
        <v>4010600</v>
      </c>
      <c r="AD735" s="237"/>
      <c r="AE735" s="237"/>
      <c r="AF735" s="237"/>
      <c r="AG735" s="237"/>
      <c r="AH735" s="237"/>
      <c r="AI735" s="237"/>
      <c r="AJ735" s="237"/>
      <c r="AK735" s="237"/>
      <c r="AL735" s="237"/>
      <c r="AM735" s="237"/>
      <c r="AN735" s="237"/>
      <c r="AO735" s="237"/>
      <c r="AP735" s="237"/>
      <c r="AQ735" s="237"/>
      <c r="AR735" s="237"/>
      <c r="AS735" s="237"/>
      <c r="AT735" s="360">
        <v>43523</v>
      </c>
      <c r="AU735" s="91">
        <f t="shared" si="57"/>
        <v>8203500</v>
      </c>
    </row>
    <row r="736" spans="2:47" ht="90" hidden="1" x14ac:dyDescent="0.25">
      <c r="B736" s="2" t="str">
        <f>+'Base de Datos'!E736</f>
        <v>190018-0-2019</v>
      </c>
      <c r="C736" s="2" t="str">
        <f>+'Base de Datos'!F736</f>
        <v>GRUPO TITANIUM SAS</v>
      </c>
      <c r="D736" s="2">
        <f>+'Base de Datos'!G736</f>
        <v>900749719</v>
      </c>
      <c r="E736" s="2" t="str">
        <f>+'Base de Datos'!H736</f>
        <v xml:space="preserve">Realizar el mantenimiento integral, las adecuaciones locativas y las obras de mejora que se requieran, con el suministro del personal, equipo, materiales y repuestos, en las instalaciones físicas del Concejo de Bogotá, D.C., de conformidad con lo establecido en el pliego de condiciones del proceso de selección abreviada abreviada de menor cuantía No. SDH-SAMC-12-2018 y la propuesta presentada por el contratista. </v>
      </c>
      <c r="F736" s="221">
        <f>+'Base de Datos'!I736</f>
        <v>300000000</v>
      </c>
      <c r="G736" s="220">
        <f>+'Base de Datos'!M736</f>
        <v>43490</v>
      </c>
      <c r="H736" s="220">
        <f>+'Base de Datos'!N736</f>
        <v>43854</v>
      </c>
      <c r="I736" s="179"/>
      <c r="J736" s="360"/>
      <c r="K736" s="237"/>
      <c r="L736" s="363"/>
      <c r="M736" s="179"/>
      <c r="N736" s="360"/>
      <c r="O736" s="179"/>
      <c r="P736" s="365"/>
      <c r="Q736" s="86">
        <f t="shared" si="55"/>
        <v>0</v>
      </c>
      <c r="R736" s="284"/>
      <c r="S736" s="360"/>
      <c r="T736" s="179"/>
      <c r="U736" s="360"/>
      <c r="V736" s="179"/>
      <c r="W736" s="360"/>
      <c r="X736" s="179"/>
      <c r="Y736" s="360"/>
      <c r="Z736" s="353"/>
      <c r="AA736" s="89">
        <f t="shared" si="56"/>
        <v>0</v>
      </c>
      <c r="AB736" s="237">
        <v>7328595</v>
      </c>
      <c r="AC736" s="237">
        <v>40608560</v>
      </c>
      <c r="AD736" s="237">
        <v>32758372</v>
      </c>
      <c r="AE736" s="237">
        <v>31283726</v>
      </c>
      <c r="AF736" s="237"/>
      <c r="AG736" s="237"/>
      <c r="AH736" s="237"/>
      <c r="AI736" s="237"/>
      <c r="AJ736" s="237"/>
      <c r="AK736" s="237"/>
      <c r="AL736" s="237"/>
      <c r="AM736" s="237"/>
      <c r="AN736" s="237"/>
      <c r="AO736" s="237"/>
      <c r="AP736" s="237"/>
      <c r="AQ736" s="237"/>
      <c r="AR736" s="237"/>
      <c r="AS736" s="237"/>
      <c r="AT736" s="360">
        <v>43626</v>
      </c>
      <c r="AU736" s="91">
        <f t="shared" si="57"/>
        <v>111979253</v>
      </c>
    </row>
    <row r="737" spans="2:47" ht="56.25" hidden="1" x14ac:dyDescent="0.25">
      <c r="B737" s="2" t="str">
        <f>+'Base de Datos'!E737</f>
        <v>190020-0-2019</v>
      </c>
      <c r="C737" s="2" t="str">
        <f>+'Base de Datos'!F737</f>
        <v>UNIDAD NACIONAL DE PROTECCION - UNP</v>
      </c>
      <c r="D737" s="2">
        <f>+'Base de Datos'!G737</f>
        <v>900475780</v>
      </c>
      <c r="E737" s="2" t="str">
        <f>+'Base de Datos'!H737</f>
        <v>Aunar esfuerzos humanos, técnicos, logísticos y administrativos para garantizar el esquema de seguridad, en su componente vehículos, requerido por los Concejales del Distrito Capital, como consecuencia directa del ejercicio de sus funciones.</v>
      </c>
      <c r="F737" s="221">
        <f>+'Base de Datos'!I737</f>
        <v>5429000000</v>
      </c>
      <c r="G737" s="220">
        <f>+'Base de Datos'!M737</f>
        <v>43489</v>
      </c>
      <c r="H737" s="220">
        <f>+'Base de Datos'!N737</f>
        <v>43822</v>
      </c>
      <c r="I737" s="179"/>
      <c r="J737" s="360"/>
      <c r="K737" s="237"/>
      <c r="L737" s="363"/>
      <c r="M737" s="179"/>
      <c r="N737" s="360"/>
      <c r="O737" s="179"/>
      <c r="P737" s="365"/>
      <c r="Q737" s="86">
        <f t="shared" si="55"/>
        <v>0</v>
      </c>
      <c r="R737" s="284"/>
      <c r="S737" s="360"/>
      <c r="T737" s="179"/>
      <c r="U737" s="360"/>
      <c r="V737" s="179"/>
      <c r="W737" s="360"/>
      <c r="X737" s="179"/>
      <c r="Y737" s="360"/>
      <c r="Z737" s="353"/>
      <c r="AA737" s="89">
        <f t="shared" si="56"/>
        <v>0</v>
      </c>
      <c r="AB737" s="237"/>
      <c r="AC737" s="237"/>
      <c r="AD737" s="237"/>
      <c r="AE737" s="237"/>
      <c r="AF737" s="237"/>
      <c r="AG737" s="237"/>
      <c r="AH737" s="237"/>
      <c r="AI737" s="237"/>
      <c r="AJ737" s="237"/>
      <c r="AK737" s="237"/>
      <c r="AL737" s="237"/>
      <c r="AM737" s="237"/>
      <c r="AN737" s="237"/>
      <c r="AO737" s="237"/>
      <c r="AP737" s="237"/>
      <c r="AQ737" s="237"/>
      <c r="AR737" s="237"/>
      <c r="AS737" s="237"/>
      <c r="AT737" s="360"/>
      <c r="AU737" s="91">
        <f t="shared" si="57"/>
        <v>0</v>
      </c>
    </row>
    <row r="738" spans="2:47" ht="22.5" hidden="1" x14ac:dyDescent="0.25">
      <c r="B738" s="2" t="str">
        <f>+'Base de Datos'!E738</f>
        <v>190023-0-2019</v>
      </c>
      <c r="C738" s="2" t="str">
        <f>+'Base de Datos'!F738</f>
        <v>ORGANIZACIÓN TERPEL SA</v>
      </c>
      <c r="D738" s="2">
        <f>+'Base de Datos'!G738</f>
        <v>830095213</v>
      </c>
      <c r="E738" s="2" t="str">
        <f>+'Base de Datos'!H738</f>
        <v>Suministro de combustible para el parque automotor asignado al Concejo de Bogotá D.C.</v>
      </c>
      <c r="F738" s="221">
        <f>+'Base de Datos'!I738</f>
        <v>480000000</v>
      </c>
      <c r="G738" s="220">
        <f>+'Base de Datos'!M738</f>
        <v>43492</v>
      </c>
      <c r="H738" s="220">
        <f>+'Base de Datos'!N738</f>
        <v>43822</v>
      </c>
      <c r="I738" s="179"/>
      <c r="J738" s="360"/>
      <c r="K738" s="237"/>
      <c r="L738" s="363"/>
      <c r="M738" s="179"/>
      <c r="N738" s="360"/>
      <c r="O738" s="179"/>
      <c r="P738" s="365"/>
      <c r="Q738" s="86">
        <f t="shared" si="55"/>
        <v>0</v>
      </c>
      <c r="R738" s="284"/>
      <c r="S738" s="360"/>
      <c r="T738" s="179"/>
      <c r="U738" s="360"/>
      <c r="V738" s="179"/>
      <c r="W738" s="360"/>
      <c r="X738" s="179"/>
      <c r="Y738" s="360"/>
      <c r="Z738" s="353"/>
      <c r="AA738" s="89">
        <f t="shared" si="56"/>
        <v>0</v>
      </c>
      <c r="AB738" s="237">
        <v>7137373</v>
      </c>
      <c r="AC738" s="237">
        <v>21499001</v>
      </c>
      <c r="AD738" s="237">
        <v>17616482</v>
      </c>
      <c r="AE738" s="237">
        <v>23651727</v>
      </c>
      <c r="AF738" s="237"/>
      <c r="AG738" s="237">
        <v>17760543</v>
      </c>
      <c r="AH738" s="237">
        <v>24364853</v>
      </c>
      <c r="AI738" s="237"/>
      <c r="AJ738" s="237">
        <v>16128047</v>
      </c>
      <c r="AK738" s="237">
        <v>22107986</v>
      </c>
      <c r="AL738" s="237">
        <v>20041775</v>
      </c>
      <c r="AM738" s="237"/>
      <c r="AN738" s="237"/>
      <c r="AO738" s="237"/>
      <c r="AP738" s="237"/>
      <c r="AQ738" s="237"/>
      <c r="AR738" s="237"/>
      <c r="AS738" s="237"/>
      <c r="AT738" s="360">
        <v>43629</v>
      </c>
      <c r="AU738" s="91">
        <f t="shared" si="57"/>
        <v>170307787</v>
      </c>
    </row>
    <row r="739" spans="2:47" ht="67.5" hidden="1" x14ac:dyDescent="0.25">
      <c r="B739" s="2" t="str">
        <f>+'Base de Datos'!E739</f>
        <v>190078-0-2019</v>
      </c>
      <c r="C739" s="2" t="str">
        <f>+'Base de Datos'!F739</f>
        <v>BLANCA LISBETH CAMARGO BARRERA</v>
      </c>
      <c r="D739" s="2">
        <f>+'Base de Datos'!G739</f>
        <v>52196310</v>
      </c>
      <c r="E739" s="2" t="str">
        <f>+'Base de Datos'!H739</f>
        <v>Prestar servicios profesionales para apoyar al Proceso de Fondo Cuenta del Concejo de Bogotá  y a la Dirección Financiera en los asuntos propios de la dependencia para el manejo eficiente y eficaz de los recursos financieros conforme al plan estratégico de la entidad de acuerdo a la normatividad vigente.</v>
      </c>
      <c r="F739" s="221">
        <f>+'Base de Datos'!I739</f>
        <v>48180000</v>
      </c>
      <c r="G739" s="220">
        <f>+'Base de Datos'!M739</f>
        <v>43500</v>
      </c>
      <c r="H739" s="220">
        <f>+'Base de Datos'!N739</f>
        <v>43641</v>
      </c>
      <c r="I739" s="179"/>
      <c r="J739" s="360"/>
      <c r="K739" s="237"/>
      <c r="L739" s="363"/>
      <c r="M739" s="179"/>
      <c r="N739" s="360"/>
      <c r="O739" s="179"/>
      <c r="P739" s="365"/>
      <c r="Q739" s="86">
        <f t="shared" si="55"/>
        <v>0</v>
      </c>
      <c r="R739" s="284"/>
      <c r="S739" s="360"/>
      <c r="T739" s="179"/>
      <c r="U739" s="360"/>
      <c r="V739" s="179"/>
      <c r="W739" s="360"/>
      <c r="X739" s="179"/>
      <c r="Y739" s="360"/>
      <c r="Z739" s="353"/>
      <c r="AA739" s="89">
        <f t="shared" si="56"/>
        <v>0</v>
      </c>
      <c r="AB739" s="237">
        <v>7227000</v>
      </c>
      <c r="AC739" s="237">
        <v>8030000</v>
      </c>
      <c r="AD739" s="237">
        <v>8030000</v>
      </c>
      <c r="AE739" s="237">
        <v>8030000</v>
      </c>
      <c r="AF739" s="237"/>
      <c r="AG739" s="237"/>
      <c r="AH739" s="237"/>
      <c r="AI739" s="237"/>
      <c r="AJ739" s="237"/>
      <c r="AK739" s="237"/>
      <c r="AL739" s="237"/>
      <c r="AM739" s="237"/>
      <c r="AN739" s="237"/>
      <c r="AO739" s="237"/>
      <c r="AP739" s="237"/>
      <c r="AQ739" s="237"/>
      <c r="AR739" s="237"/>
      <c r="AS739" s="237"/>
      <c r="AT739" s="360">
        <v>43620</v>
      </c>
      <c r="AU739" s="91">
        <f t="shared" si="57"/>
        <v>31317000</v>
      </c>
    </row>
    <row r="740" spans="2:47" ht="45" hidden="1" x14ac:dyDescent="0.25">
      <c r="B740" s="2" t="str">
        <f>+'Base de Datos'!E740</f>
        <v>190082-0-2019</v>
      </c>
      <c r="C740" s="2" t="str">
        <f>+'Base de Datos'!F740</f>
        <v>JAMES RINCON CASTAÑO</v>
      </c>
      <c r="D740" s="2">
        <f>+'Base de Datos'!G740</f>
        <v>80830146</v>
      </c>
      <c r="E740" s="2" t="str">
        <f>+'Base de Datos'!H740</f>
        <v>Prestar servicios profesionales para apoyar al Director Jurídico del Concejo de Bogotá en el marco de los asuntos jurídicos y de la defensa judicial con el fin de desarrollar las actividades de acuerdo a la normatividad vigente.</v>
      </c>
      <c r="F740" s="221">
        <f>+'Base de Datos'!I740</f>
        <v>33622600</v>
      </c>
      <c r="G740" s="220">
        <f>+'Base de Datos'!M740</f>
        <v>43500</v>
      </c>
      <c r="H740" s="220">
        <f>+'Base de Datos'!N740</f>
        <v>43641</v>
      </c>
      <c r="I740" s="179"/>
      <c r="J740" s="360"/>
      <c r="K740" s="237"/>
      <c r="L740" s="363"/>
      <c r="M740" s="179"/>
      <c r="N740" s="360"/>
      <c r="O740" s="179"/>
      <c r="P740" s="365"/>
      <c r="Q740" s="86">
        <f t="shared" si="55"/>
        <v>0</v>
      </c>
      <c r="R740" s="284"/>
      <c r="S740" s="360"/>
      <c r="T740" s="179"/>
      <c r="U740" s="360"/>
      <c r="V740" s="179"/>
      <c r="W740" s="360"/>
      <c r="X740" s="179"/>
      <c r="Y740" s="360"/>
      <c r="Z740" s="353"/>
      <c r="AA740" s="89">
        <f t="shared" si="56"/>
        <v>0</v>
      </c>
      <c r="AB740" s="237">
        <v>5217300</v>
      </c>
      <c r="AC740" s="237">
        <v>5797000</v>
      </c>
      <c r="AD740" s="237">
        <v>5797000</v>
      </c>
      <c r="AE740" s="237">
        <v>5797000</v>
      </c>
      <c r="AF740" s="237"/>
      <c r="AG740" s="237"/>
      <c r="AH740" s="237"/>
      <c r="AI740" s="237"/>
      <c r="AJ740" s="237"/>
      <c r="AK740" s="237"/>
      <c r="AL740" s="237"/>
      <c r="AM740" s="237"/>
      <c r="AN740" s="237"/>
      <c r="AO740" s="237"/>
      <c r="AP740" s="237"/>
      <c r="AQ740" s="237"/>
      <c r="AR740" s="237"/>
      <c r="AS740" s="237"/>
      <c r="AT740" s="360">
        <v>43616</v>
      </c>
      <c r="AU740" s="91">
        <f t="shared" si="57"/>
        <v>22608300</v>
      </c>
    </row>
    <row r="741" spans="2:47" ht="33.75" hidden="1" x14ac:dyDescent="0.25">
      <c r="B741" s="2" t="str">
        <f>+'Base de Datos'!E741</f>
        <v>190083-0-2019</v>
      </c>
      <c r="C741" s="2" t="str">
        <f>+'Base de Datos'!F741</f>
        <v>LUIS FERNANDO MEZA DAZA</v>
      </c>
      <c r="D741" s="2">
        <f>+'Base de Datos'!G741</f>
        <v>1065587417</v>
      </c>
      <c r="E741" s="2" t="str">
        <f>+'Base de Datos'!H741</f>
        <v>Prestar servicios profesionales para apoyar la definición contratación y seguimiento a los temas de infraestructura física que requiera el Concejo de Bogotá</v>
      </c>
      <c r="F741" s="221">
        <f>+'Base de Datos'!I741</f>
        <v>35117800</v>
      </c>
      <c r="G741" s="220">
        <f>+'Base de Datos'!M741</f>
        <v>43502</v>
      </c>
      <c r="H741" s="220">
        <f>+'Base de Datos'!N741</f>
        <v>43823</v>
      </c>
      <c r="I741" s="179"/>
      <c r="J741" s="360"/>
      <c r="K741" s="237"/>
      <c r="L741" s="363"/>
      <c r="M741" s="179"/>
      <c r="N741" s="360"/>
      <c r="O741" s="179"/>
      <c r="P741" s="365"/>
      <c r="Q741" s="86">
        <f t="shared" si="55"/>
        <v>0</v>
      </c>
      <c r="R741" s="284"/>
      <c r="S741" s="360"/>
      <c r="T741" s="179"/>
      <c r="U741" s="360"/>
      <c r="V741" s="179"/>
      <c r="W741" s="360"/>
      <c r="X741" s="179"/>
      <c r="Y741" s="360"/>
      <c r="Z741" s="353"/>
      <c r="AA741" s="89">
        <f t="shared" si="56"/>
        <v>0</v>
      </c>
      <c r="AB741" s="237">
        <v>2760833</v>
      </c>
      <c r="AC741" s="237">
        <v>3313000</v>
      </c>
      <c r="AD741" s="237">
        <v>3313000</v>
      </c>
      <c r="AE741" s="237">
        <v>3313000</v>
      </c>
      <c r="AF741" s="237"/>
      <c r="AG741" s="237"/>
      <c r="AH741" s="237"/>
      <c r="AI741" s="237"/>
      <c r="AJ741" s="237"/>
      <c r="AK741" s="237"/>
      <c r="AL741" s="237"/>
      <c r="AM741" s="237"/>
      <c r="AN741" s="237"/>
      <c r="AO741" s="237"/>
      <c r="AP741" s="237"/>
      <c r="AQ741" s="237"/>
      <c r="AR741" s="237"/>
      <c r="AS741" s="237"/>
      <c r="AT741" s="360">
        <v>43620</v>
      </c>
      <c r="AU741" s="91">
        <f t="shared" si="57"/>
        <v>12699833</v>
      </c>
    </row>
    <row r="742" spans="2:47" ht="45" hidden="1" x14ac:dyDescent="0.25">
      <c r="B742" s="2" t="str">
        <f>+'Base de Datos'!E742</f>
        <v>190084-0-2019</v>
      </c>
      <c r="C742" s="2" t="str">
        <f>+'Base de Datos'!F742</f>
        <v>ANDRES FELIPE CORZO VILLAMIZAR</v>
      </c>
      <c r="D742" s="2">
        <f>+'Base de Datos'!G742</f>
        <v>1098792121</v>
      </c>
      <c r="E742" s="2" t="str">
        <f>+'Base de Datos'!H742</f>
        <v>Prestar los servicios profesionales para apoyar la Dirección Financiera en la gestión de las actividades relacionadas con el seguimiento a la ejecución contractual del Concejo de Bogotá D.C.</v>
      </c>
      <c r="F742" s="221">
        <f>+'Base de Datos'!I742</f>
        <v>35340000</v>
      </c>
      <c r="G742" s="220">
        <f>+'Base de Datos'!M742</f>
        <v>43502</v>
      </c>
      <c r="H742" s="220">
        <f>+'Base de Datos'!N742</f>
        <v>43825</v>
      </c>
      <c r="I742" s="179"/>
      <c r="J742" s="360"/>
      <c r="K742" s="237"/>
      <c r="L742" s="363"/>
      <c r="M742" s="179"/>
      <c r="N742" s="360"/>
      <c r="O742" s="179"/>
      <c r="P742" s="365"/>
      <c r="Q742" s="86">
        <f t="shared" si="55"/>
        <v>0</v>
      </c>
      <c r="R742" s="284"/>
      <c r="S742" s="360"/>
      <c r="T742" s="179"/>
      <c r="U742" s="360"/>
      <c r="V742" s="179"/>
      <c r="W742" s="360"/>
      <c r="X742" s="179"/>
      <c r="Y742" s="360"/>
      <c r="Z742" s="353"/>
      <c r="AA742" s="89">
        <f t="shared" si="56"/>
        <v>0</v>
      </c>
      <c r="AB742" s="237">
        <v>2760833</v>
      </c>
      <c r="AC742" s="237">
        <v>3313000</v>
      </c>
      <c r="AD742" s="237">
        <v>3313000</v>
      </c>
      <c r="AE742" s="237"/>
      <c r="AF742" s="237"/>
      <c r="AG742" s="237"/>
      <c r="AH742" s="237"/>
      <c r="AI742" s="237"/>
      <c r="AJ742" s="237"/>
      <c r="AK742" s="237"/>
      <c r="AL742" s="237"/>
      <c r="AM742" s="237"/>
      <c r="AN742" s="237"/>
      <c r="AO742" s="237"/>
      <c r="AP742" s="237"/>
      <c r="AQ742" s="237"/>
      <c r="AR742" s="237"/>
      <c r="AS742" s="237"/>
      <c r="AT742" s="360">
        <v>43585</v>
      </c>
      <c r="AU742" s="91">
        <f t="shared" si="57"/>
        <v>9386833</v>
      </c>
    </row>
    <row r="743" spans="2:47" ht="33.75" hidden="1" x14ac:dyDescent="0.25">
      <c r="B743" s="2" t="str">
        <f>+'Base de Datos'!E743</f>
        <v>190086-0-2019</v>
      </c>
      <c r="C743" s="2" t="str">
        <f>+'Base de Datos'!F743</f>
        <v xml:space="preserve">ANDREA PAOLA MELENDEZ PINEDA </v>
      </c>
      <c r="D743" s="2">
        <f>+'Base de Datos'!G743</f>
        <v>1102812271</v>
      </c>
      <c r="E743" s="2" t="str">
        <f>+'Base de Datos'!H743</f>
        <v>Prestar servicios profesionales en apoyo y acompañamiento en los asuntos inherentes al sistema de control interno del Concejo de Bogotá, D.C.</v>
      </c>
      <c r="F743" s="221">
        <f>+'Base de Datos'!I743</f>
        <v>38508000</v>
      </c>
      <c r="G743" s="220">
        <f>+'Base de Datos'!M743</f>
        <v>43504</v>
      </c>
      <c r="H743" s="220">
        <f>+'Base de Datos'!N743</f>
        <v>43641</v>
      </c>
      <c r="I743" s="179"/>
      <c r="J743" s="360"/>
      <c r="K743" s="237"/>
      <c r="L743" s="363"/>
      <c r="M743" s="179"/>
      <c r="N743" s="360"/>
      <c r="O743" s="179"/>
      <c r="P743" s="365"/>
      <c r="Q743" s="86">
        <f t="shared" si="55"/>
        <v>0</v>
      </c>
      <c r="R743" s="284"/>
      <c r="S743" s="360"/>
      <c r="T743" s="179"/>
      <c r="U743" s="360"/>
      <c r="V743" s="179"/>
      <c r="W743" s="360"/>
      <c r="X743" s="179"/>
      <c r="Y743" s="360"/>
      <c r="Z743" s="353"/>
      <c r="AA743" s="89">
        <f t="shared" si="56"/>
        <v>0</v>
      </c>
      <c r="AB743" s="237">
        <v>4920467</v>
      </c>
      <c r="AC743" s="237">
        <v>6418000</v>
      </c>
      <c r="AD743" s="237">
        <v>6418000</v>
      </c>
      <c r="AE743" s="237">
        <v>6418000</v>
      </c>
      <c r="AF743" s="237"/>
      <c r="AG743" s="237"/>
      <c r="AH743" s="237"/>
      <c r="AI743" s="237"/>
      <c r="AJ743" s="237"/>
      <c r="AK743" s="237"/>
      <c r="AL743" s="237"/>
      <c r="AM743" s="237"/>
      <c r="AN743" s="237"/>
      <c r="AO743" s="237"/>
      <c r="AP743" s="237"/>
      <c r="AQ743" s="237"/>
      <c r="AR743" s="237"/>
      <c r="AS743" s="237"/>
      <c r="AT743" s="360">
        <v>43621</v>
      </c>
      <c r="AU743" s="91">
        <f t="shared" si="57"/>
        <v>24174467</v>
      </c>
    </row>
    <row r="744" spans="2:47" ht="33.75" hidden="1" x14ac:dyDescent="0.25">
      <c r="B744" s="2" t="str">
        <f>+'Base de Datos'!E744</f>
        <v>190079-0-2019</v>
      </c>
      <c r="C744" s="2" t="str">
        <f>+'Base de Datos'!F744</f>
        <v>ANIBAL ROBERTO ENDARA RAMIREZ</v>
      </c>
      <c r="D744" s="2">
        <f>+'Base de Datos'!G744</f>
        <v>79328194</v>
      </c>
      <c r="E744" s="2" t="str">
        <f>+'Base de Datos'!H744</f>
        <v>Prestar servicios para la elaboración del retrato sobre lienzo al óleo del Presidente de la mesa directiva del Concejo de Bogotá.</v>
      </c>
      <c r="F744" s="221">
        <f>+'Base de Datos'!I744</f>
        <v>2833530</v>
      </c>
      <c r="G744" s="220">
        <f>+'Base de Datos'!M744</f>
        <v>43504</v>
      </c>
      <c r="H744" s="220">
        <f>+'Base de Datos'!N744</f>
        <v>43562</v>
      </c>
      <c r="I744" s="179"/>
      <c r="J744" s="360"/>
      <c r="K744" s="237"/>
      <c r="L744" s="363"/>
      <c r="M744" s="179"/>
      <c r="N744" s="360"/>
      <c r="O744" s="179"/>
      <c r="P744" s="365"/>
      <c r="Q744" s="86">
        <f t="shared" si="55"/>
        <v>0</v>
      </c>
      <c r="R744" s="284"/>
      <c r="S744" s="360"/>
      <c r="T744" s="179"/>
      <c r="U744" s="360"/>
      <c r="V744" s="179"/>
      <c r="W744" s="360"/>
      <c r="X744" s="179"/>
      <c r="Y744" s="360"/>
      <c r="Z744" s="353"/>
      <c r="AA744" s="89">
        <f t="shared" si="56"/>
        <v>0</v>
      </c>
      <c r="AB744" s="237">
        <v>2833530</v>
      </c>
      <c r="AC744" s="237"/>
      <c r="AD744" s="237"/>
      <c r="AE744" s="237"/>
      <c r="AF744" s="237"/>
      <c r="AG744" s="237"/>
      <c r="AH744" s="237"/>
      <c r="AI744" s="237"/>
      <c r="AJ744" s="237"/>
      <c r="AK744" s="237"/>
      <c r="AL744" s="237"/>
      <c r="AM744" s="237"/>
      <c r="AN744" s="237"/>
      <c r="AO744" s="237"/>
      <c r="AP744" s="237"/>
      <c r="AQ744" s="237"/>
      <c r="AR744" s="237"/>
      <c r="AS744" s="237"/>
      <c r="AT744" s="360">
        <v>43524</v>
      </c>
      <c r="AU744" s="91">
        <f t="shared" si="57"/>
        <v>2833530</v>
      </c>
    </row>
    <row r="745" spans="2:47" ht="45" hidden="1" x14ac:dyDescent="0.25">
      <c r="B745" s="2" t="str">
        <f>+'Base de Datos'!E745</f>
        <v>190087-0-2019</v>
      </c>
      <c r="C745" s="2" t="str">
        <f>+'Base de Datos'!F745</f>
        <v>MANUEL FELIPE VEGA NOVOA</v>
      </c>
      <c r="D745" s="2">
        <f>+'Base de Datos'!G745</f>
        <v>1014264880</v>
      </c>
      <c r="E745" s="2" t="str">
        <f>+'Base de Datos'!H745</f>
        <v>Prestar servicios para apoyar el procedimiento de bonos pensionales para coadyuvar con las actualización y administración de la información de los funcionarios y exfuncionarios en cuanto a los trámites pensionales.</v>
      </c>
      <c r="F745" s="221">
        <f>+'Base de Datos'!I745</f>
        <v>17007466</v>
      </c>
      <c r="G745" s="220">
        <f>+'Base de Datos'!M745</f>
        <v>43504</v>
      </c>
      <c r="H745" s="220">
        <f>+'Base de Datos'!N745</f>
        <v>43641</v>
      </c>
      <c r="I745" s="179"/>
      <c r="J745" s="360"/>
      <c r="K745" s="237"/>
      <c r="L745" s="363"/>
      <c r="M745" s="179"/>
      <c r="N745" s="360"/>
      <c r="O745" s="179"/>
      <c r="P745" s="365"/>
      <c r="Q745" s="86">
        <f t="shared" si="55"/>
        <v>0</v>
      </c>
      <c r="R745" s="284"/>
      <c r="S745" s="360"/>
      <c r="T745" s="179"/>
      <c r="U745" s="360"/>
      <c r="V745" s="179"/>
      <c r="W745" s="360"/>
      <c r="X745" s="179"/>
      <c r="Y745" s="360"/>
      <c r="Z745" s="353"/>
      <c r="AA745" s="89">
        <f t="shared" si="56"/>
        <v>0</v>
      </c>
      <c r="AB745" s="237">
        <v>2222567</v>
      </c>
      <c r="AC745" s="237">
        <v>2899000</v>
      </c>
      <c r="AD745" s="237">
        <v>2899000</v>
      </c>
      <c r="AE745" s="237">
        <v>2899000</v>
      </c>
      <c r="AF745" s="237"/>
      <c r="AG745" s="237"/>
      <c r="AH745" s="237"/>
      <c r="AI745" s="237"/>
      <c r="AJ745" s="237"/>
      <c r="AK745" s="237"/>
      <c r="AL745" s="237"/>
      <c r="AM745" s="237"/>
      <c r="AN745" s="237"/>
      <c r="AO745" s="237"/>
      <c r="AP745" s="237"/>
      <c r="AQ745" s="237"/>
      <c r="AR745" s="237"/>
      <c r="AS745" s="237"/>
      <c r="AT745" s="360">
        <v>43616</v>
      </c>
      <c r="AU745" s="91">
        <f t="shared" si="57"/>
        <v>10919567</v>
      </c>
    </row>
    <row r="746" spans="2:47" ht="45" hidden="1" x14ac:dyDescent="0.25">
      <c r="B746" s="2" t="str">
        <f>+'Base de Datos'!E746</f>
        <v>190119-0-2019</v>
      </c>
      <c r="C746" s="2" t="str">
        <f>+'Base de Datos'!F746</f>
        <v>JUAN DIEGO ESPITIA ROA</v>
      </c>
      <c r="D746" s="2">
        <f>+'Base de Datos'!G746</f>
        <v>79730476</v>
      </c>
      <c r="E746" s="2" t="str">
        <f>+'Base de Datos'!H746</f>
        <v>Prestar servicios profesionales como enlace con la Unidad Ejecutora 04 de la Secretaria Distrital de Hacienda para la liquidación y cierre de los expedientes contractuales.</v>
      </c>
      <c r="F746" s="221">
        <f>+'Base de Datos'!I746</f>
        <v>36438000</v>
      </c>
      <c r="G746" s="220">
        <f>+'Base de Datos'!M746</f>
        <v>43504</v>
      </c>
      <c r="H746" s="220">
        <f>+'Base de Datos'!N746</f>
        <v>43641</v>
      </c>
      <c r="I746" s="179"/>
      <c r="J746" s="360"/>
      <c r="K746" s="237"/>
      <c r="L746" s="363"/>
      <c r="M746" s="179"/>
      <c r="N746" s="360"/>
      <c r="O746" s="179"/>
      <c r="P746" s="365"/>
      <c r="Q746" s="86">
        <f t="shared" si="55"/>
        <v>0</v>
      </c>
      <c r="R746" s="284"/>
      <c r="S746" s="360"/>
      <c r="T746" s="179"/>
      <c r="U746" s="360"/>
      <c r="V746" s="179"/>
      <c r="W746" s="360"/>
      <c r="X746" s="179"/>
      <c r="Y746" s="360"/>
      <c r="Z746" s="353"/>
      <c r="AA746" s="89">
        <f t="shared" si="56"/>
        <v>0</v>
      </c>
      <c r="AB746" s="237">
        <v>4655967</v>
      </c>
      <c r="AC746" s="237">
        <v>6073000</v>
      </c>
      <c r="AD746" s="237">
        <v>6073000</v>
      </c>
      <c r="AE746" s="237">
        <v>6073000</v>
      </c>
      <c r="AF746" s="237"/>
      <c r="AG746" s="237"/>
      <c r="AH746" s="237"/>
      <c r="AI746" s="237"/>
      <c r="AJ746" s="237"/>
      <c r="AK746" s="237"/>
      <c r="AL746" s="237"/>
      <c r="AM746" s="237"/>
      <c r="AN746" s="237"/>
      <c r="AO746" s="237"/>
      <c r="AP746" s="237"/>
      <c r="AQ746" s="237"/>
      <c r="AR746" s="237"/>
      <c r="AS746" s="237"/>
      <c r="AT746" s="360">
        <v>43620</v>
      </c>
      <c r="AU746" s="91">
        <f t="shared" si="57"/>
        <v>22874967</v>
      </c>
    </row>
    <row r="747" spans="2:47" ht="45" hidden="1" x14ac:dyDescent="0.25">
      <c r="B747" s="2" t="str">
        <f>+'Base de Datos'!E747</f>
        <v>190120-0-2019</v>
      </c>
      <c r="C747" s="2" t="str">
        <f>+'Base de Datos'!F747</f>
        <v>DIEGO EDUARDO PABON BULLA</v>
      </c>
      <c r="D747" s="2">
        <f>+'Base de Datos'!G747</f>
        <v>1032424231</v>
      </c>
      <c r="E747" s="2" t="str">
        <f>+'Base de Datos'!H747</f>
        <v>Prestar los servicios Profesionales para apoyar al Concejo de Bogotá en la adopción y manejo de las estrategias y acciones de cooperación para posicionar a la Corporación en el ámbito Nacional e Internacional</v>
      </c>
      <c r="F747" s="221">
        <f>+'Base de Datos'!I747</f>
        <v>33702000</v>
      </c>
      <c r="G747" s="220">
        <f>+'Base de Datos'!M747</f>
        <v>43504</v>
      </c>
      <c r="H747" s="220">
        <f>+'Base de Datos'!N747</f>
        <v>43641</v>
      </c>
      <c r="I747" s="179"/>
      <c r="J747" s="360"/>
      <c r="K747" s="237"/>
      <c r="L747" s="363"/>
      <c r="M747" s="179"/>
      <c r="N747" s="360"/>
      <c r="O747" s="179"/>
      <c r="P747" s="365"/>
      <c r="Q747" s="86">
        <f t="shared" si="55"/>
        <v>0</v>
      </c>
      <c r="R747" s="284"/>
      <c r="S747" s="360"/>
      <c r="T747" s="179"/>
      <c r="U747" s="360"/>
      <c r="V747" s="179"/>
      <c r="W747" s="360"/>
      <c r="X747" s="179"/>
      <c r="Y747" s="360"/>
      <c r="Z747" s="353"/>
      <c r="AA747" s="89">
        <f t="shared" si="56"/>
        <v>0</v>
      </c>
      <c r="AB747" s="237">
        <v>4306367</v>
      </c>
      <c r="AC747" s="237">
        <v>5617000</v>
      </c>
      <c r="AD747" s="237">
        <v>5617000</v>
      </c>
      <c r="AE747" s="237">
        <v>5617000</v>
      </c>
      <c r="AF747" s="237"/>
      <c r="AG747" s="237"/>
      <c r="AH747" s="237"/>
      <c r="AI747" s="237"/>
      <c r="AJ747" s="237"/>
      <c r="AK747" s="237"/>
      <c r="AL747" s="237"/>
      <c r="AM747" s="237"/>
      <c r="AN747" s="237"/>
      <c r="AO747" s="237"/>
      <c r="AP747" s="237"/>
      <c r="AQ747" s="237"/>
      <c r="AR747" s="237"/>
      <c r="AS747" s="237"/>
      <c r="AT747" s="360">
        <v>43622</v>
      </c>
      <c r="AU747" s="91">
        <f t="shared" si="57"/>
        <v>21157367</v>
      </c>
    </row>
    <row r="748" spans="2:47" ht="45" hidden="1" x14ac:dyDescent="0.25">
      <c r="B748" s="2" t="str">
        <f>+'Base de Datos'!E748</f>
        <v>190118-0-2019</v>
      </c>
      <c r="C748" s="2" t="str">
        <f>+'Base de Datos'!F748</f>
        <v>LUZ ANGELA CARDENAS MORENO</v>
      </c>
      <c r="D748" s="2">
        <f>+'Base de Datos'!G748</f>
        <v>52911222</v>
      </c>
      <c r="E748" s="2" t="str">
        <f>+'Base de Datos'!H748</f>
        <v>Prestar servicios profesionales para apoyar a la oficina de comunicaciones del Concejo de Bogotá para el cumplimiento al plan de comunicaciones internas y externas de la entidad.</v>
      </c>
      <c r="F748" s="221">
        <f>+'Base de Datos'!I748</f>
        <v>36438000</v>
      </c>
      <c r="G748" s="220">
        <f>+'Base de Datos'!M748</f>
        <v>43504</v>
      </c>
      <c r="H748" s="220">
        <f>+'Base de Datos'!N748</f>
        <v>43641</v>
      </c>
      <c r="I748" s="179"/>
      <c r="J748" s="360"/>
      <c r="K748" s="237"/>
      <c r="L748" s="363"/>
      <c r="M748" s="179"/>
      <c r="N748" s="360"/>
      <c r="O748" s="179"/>
      <c r="P748" s="365"/>
      <c r="Q748" s="86">
        <f t="shared" si="55"/>
        <v>0</v>
      </c>
      <c r="R748" s="284"/>
      <c r="S748" s="360"/>
      <c r="T748" s="179"/>
      <c r="U748" s="360"/>
      <c r="V748" s="179"/>
      <c r="W748" s="360"/>
      <c r="X748" s="179"/>
      <c r="Y748" s="360"/>
      <c r="Z748" s="353"/>
      <c r="AA748" s="89">
        <f t="shared" si="56"/>
        <v>0</v>
      </c>
      <c r="AB748" s="237">
        <v>4655967</v>
      </c>
      <c r="AC748" s="237">
        <v>6073000</v>
      </c>
      <c r="AD748" s="237">
        <v>6073000</v>
      </c>
      <c r="AE748" s="237">
        <v>6073000</v>
      </c>
      <c r="AF748" s="237"/>
      <c r="AG748" s="237"/>
      <c r="AH748" s="237"/>
      <c r="AI748" s="237"/>
      <c r="AJ748" s="237"/>
      <c r="AK748" s="237"/>
      <c r="AL748" s="237"/>
      <c r="AM748" s="237"/>
      <c r="AN748" s="237"/>
      <c r="AO748" s="237"/>
      <c r="AP748" s="237"/>
      <c r="AQ748" s="237"/>
      <c r="AR748" s="237"/>
      <c r="AS748" s="237"/>
      <c r="AT748" s="360">
        <v>43620</v>
      </c>
      <c r="AU748" s="91">
        <f t="shared" si="57"/>
        <v>22874967</v>
      </c>
    </row>
    <row r="749" spans="2:47" ht="45" hidden="1" x14ac:dyDescent="0.25">
      <c r="B749" s="2" t="str">
        <f>+'Base de Datos'!E749</f>
        <v>190121-0-2019</v>
      </c>
      <c r="C749" s="2" t="str">
        <f>+'Base de Datos'!F749</f>
        <v xml:space="preserve">DIANA CAROLINA RIVEROS BEJARANO  (Cesionaria) / ANA MARIA MONROY MORA (Antes)
</v>
      </c>
      <c r="D749" s="2">
        <f>+'Base de Datos'!G749</f>
        <v>1023898067</v>
      </c>
      <c r="E749" s="2" t="str">
        <f>+'Base de Datos'!H749</f>
        <v>Prestar servicios profesionales para apoyar la ejecución de las actividades contenidas en el Plan de Bienestar Social del Concejo de Bogotá.</v>
      </c>
      <c r="F749" s="221">
        <f>+'Base de Datos'!I749</f>
        <v>33666233</v>
      </c>
      <c r="G749" s="220">
        <f>+'Base de Datos'!M749</f>
        <v>43504</v>
      </c>
      <c r="H749" s="220">
        <f>+'Base de Datos'!N749</f>
        <v>43641</v>
      </c>
      <c r="I749" s="179"/>
      <c r="J749" s="360"/>
      <c r="K749" s="237"/>
      <c r="L749" s="363"/>
      <c r="M749" s="179"/>
      <c r="N749" s="360"/>
      <c r="O749" s="179"/>
      <c r="P749" s="365"/>
      <c r="Q749" s="86">
        <f t="shared" si="55"/>
        <v>0</v>
      </c>
      <c r="R749" s="284"/>
      <c r="S749" s="360"/>
      <c r="T749" s="179"/>
      <c r="U749" s="360"/>
      <c r="V749" s="179"/>
      <c r="W749" s="360"/>
      <c r="X749" s="179"/>
      <c r="Y749" s="360"/>
      <c r="Z749" s="353"/>
      <c r="AA749" s="89">
        <f t="shared" si="56"/>
        <v>0</v>
      </c>
      <c r="AB749" s="237">
        <v>4140766</v>
      </c>
      <c r="AC749" s="237">
        <v>360067</v>
      </c>
      <c r="AD749" s="237">
        <v>5401000</v>
      </c>
      <c r="AE749" s="237">
        <v>4860900</v>
      </c>
      <c r="AF749" s="237">
        <v>5401000</v>
      </c>
      <c r="AG749" s="237"/>
      <c r="AH749" s="237"/>
      <c r="AI749" s="237"/>
      <c r="AJ749" s="237"/>
      <c r="AK749" s="237"/>
      <c r="AL749" s="237"/>
      <c r="AM749" s="237"/>
      <c r="AN749" s="237"/>
      <c r="AO749" s="237"/>
      <c r="AP749" s="237"/>
      <c r="AQ749" s="237"/>
      <c r="AR749" s="237"/>
      <c r="AS749" s="237"/>
      <c r="AT749" s="360">
        <v>43629</v>
      </c>
      <c r="AU749" s="91">
        <f t="shared" si="57"/>
        <v>20163733</v>
      </c>
    </row>
    <row r="750" spans="2:47" ht="56.25" hidden="1" x14ac:dyDescent="0.25">
      <c r="B750" s="2" t="str">
        <f>+'Base de Datos'!E750</f>
        <v>190122-0-2019</v>
      </c>
      <c r="C750" s="2" t="str">
        <f>+'Base de Datos'!F750</f>
        <v>ANGELA IBETH DÍAZ REY (Cesionaria) /MARICELA CASTRO DELGADO  (Antes)</v>
      </c>
      <c r="D750" s="2">
        <f>+'Base de Datos'!G750</f>
        <v>52379113</v>
      </c>
      <c r="E750" s="2" t="str">
        <f>+'Base de Datos'!H750</f>
        <v xml:space="preserve">Prestar servicios profesionales para apoyar la Dirección Administrativa en la gestión de las actividades relacionadas con el seguimiento a la ejecución contractual relacionada con técnología e informática del Concejo de Bogotá </v>
      </c>
      <c r="F750" s="221">
        <f>+'Base de Datos'!I750</f>
        <v>17394000</v>
      </c>
      <c r="G750" s="220">
        <f>+'Base de Datos'!M750</f>
        <v>43504</v>
      </c>
      <c r="H750" s="220">
        <f>+'Base de Datos'!N750</f>
        <v>43641</v>
      </c>
      <c r="I750" s="179"/>
      <c r="J750" s="360"/>
      <c r="K750" s="237"/>
      <c r="L750" s="363"/>
      <c r="M750" s="179"/>
      <c r="N750" s="360"/>
      <c r="O750" s="179"/>
      <c r="P750" s="365"/>
      <c r="Q750" s="86">
        <f t="shared" si="55"/>
        <v>0</v>
      </c>
      <c r="R750" s="284"/>
      <c r="S750" s="360"/>
      <c r="T750" s="179"/>
      <c r="U750" s="360"/>
      <c r="V750" s="179"/>
      <c r="W750" s="360"/>
      <c r="X750" s="179"/>
      <c r="Y750" s="360"/>
      <c r="Z750" s="353"/>
      <c r="AA750" s="89">
        <f t="shared" si="56"/>
        <v>0</v>
      </c>
      <c r="AB750" s="237">
        <v>2222567</v>
      </c>
      <c r="AC750" s="237">
        <v>2899000</v>
      </c>
      <c r="AD750" s="237">
        <v>2222567</v>
      </c>
      <c r="AE750" s="237">
        <v>2899000</v>
      </c>
      <c r="AF750" s="237">
        <v>193267</v>
      </c>
      <c r="AG750" s="237"/>
      <c r="AH750" s="237"/>
      <c r="AI750" s="237"/>
      <c r="AJ750" s="237"/>
      <c r="AK750" s="237"/>
      <c r="AL750" s="237"/>
      <c r="AM750" s="237"/>
      <c r="AN750" s="237"/>
      <c r="AO750" s="237"/>
      <c r="AP750" s="237"/>
      <c r="AQ750" s="237"/>
      <c r="AR750" s="237"/>
      <c r="AS750" s="237"/>
      <c r="AT750" s="360">
        <v>43627</v>
      </c>
      <c r="AU750" s="91">
        <f t="shared" si="57"/>
        <v>10436401</v>
      </c>
    </row>
    <row r="751" spans="2:47" ht="45" hidden="1" x14ac:dyDescent="0.25">
      <c r="B751" s="2" t="str">
        <f>+'Base de Datos'!E751</f>
        <v>190123-0-2019</v>
      </c>
      <c r="C751" s="2" t="str">
        <f>+'Base de Datos'!F751</f>
        <v>FELIPE RUEDA POSADA</v>
      </c>
      <c r="D751" s="2">
        <f>+'Base de Datos'!G751</f>
        <v>79569100</v>
      </c>
      <c r="E751" s="2" t="str">
        <f>+'Base de Datos'!H751</f>
        <v>Prestar servicios profesionales para apoyar la formulación, implementación y seguimiento al plan estratégico de tecnología, información y comunicaciones - PETIC del Concejo de Bogotá.</v>
      </c>
      <c r="F751" s="221">
        <f>+'Base de Datos'!I751</f>
        <v>74800000</v>
      </c>
      <c r="G751" s="220">
        <f>+'Base de Datos'!M751</f>
        <v>43504</v>
      </c>
      <c r="H751" s="220">
        <f>+'Base de Datos'!N751</f>
        <v>43830</v>
      </c>
      <c r="I751" s="179"/>
      <c r="J751" s="360"/>
      <c r="K751" s="237"/>
      <c r="L751" s="363"/>
      <c r="M751" s="179"/>
      <c r="N751" s="360"/>
      <c r="O751" s="179"/>
      <c r="P751" s="365"/>
      <c r="Q751" s="86">
        <f t="shared" si="55"/>
        <v>0</v>
      </c>
      <c r="R751" s="284"/>
      <c r="S751" s="360"/>
      <c r="T751" s="179"/>
      <c r="U751" s="360"/>
      <c r="V751" s="179"/>
      <c r="W751" s="360"/>
      <c r="X751" s="179"/>
      <c r="Y751" s="360"/>
      <c r="Z751" s="353"/>
      <c r="AA751" s="89">
        <f t="shared" si="56"/>
        <v>0</v>
      </c>
      <c r="AB751" s="237">
        <v>5213333</v>
      </c>
      <c r="AC751" s="237"/>
      <c r="AD751" s="237"/>
      <c r="AE751" s="237"/>
      <c r="AF751" s="237"/>
      <c r="AG751" s="237"/>
      <c r="AH751" s="237"/>
      <c r="AI751" s="237"/>
      <c r="AJ751" s="237"/>
      <c r="AK751" s="237"/>
      <c r="AL751" s="237"/>
      <c r="AM751" s="237"/>
      <c r="AN751" s="237"/>
      <c r="AO751" s="237"/>
      <c r="AP751" s="237"/>
      <c r="AQ751" s="237"/>
      <c r="AR751" s="237"/>
      <c r="AS751" s="237"/>
      <c r="AT751" s="360">
        <v>43556</v>
      </c>
      <c r="AU751" s="91">
        <f t="shared" si="57"/>
        <v>5213333</v>
      </c>
    </row>
    <row r="752" spans="2:47" ht="67.5" hidden="1" x14ac:dyDescent="0.25">
      <c r="B752" s="2" t="str">
        <f>+'Base de Datos'!E752</f>
        <v>190145-0-2019</v>
      </c>
      <c r="C752" s="2" t="str">
        <f>+'Base de Datos'!F752</f>
        <v>RONALD STIVE SANCHEZ POSADA</v>
      </c>
      <c r="D752" s="2">
        <f>+'Base de Datos'!G752</f>
        <v>79883661</v>
      </c>
      <c r="E752" s="2" t="str">
        <f>+'Base de Datos'!H752</f>
        <v>Prestar servicios profesionales para apoyar a la Secretaría General del Concejo de Bogotá, para realizar el seguimiento al cumplimiento del Plan de Acción anual, los programas, proyectos y estrategias de la Secretaria General, de acuerdo con las políticas y a la Misión de la Corporación.</v>
      </c>
      <c r="F752" s="221">
        <f>+'Base de Datos'!I752</f>
        <v>79618000</v>
      </c>
      <c r="G752" s="220">
        <f>+'Base de Datos'!M752</f>
        <v>43504</v>
      </c>
      <c r="H752" s="220">
        <f>+'Base de Datos'!N752</f>
        <v>43837</v>
      </c>
      <c r="I752" s="179"/>
      <c r="J752" s="360"/>
      <c r="K752" s="237"/>
      <c r="L752" s="363"/>
      <c r="M752" s="179"/>
      <c r="N752" s="360"/>
      <c r="O752" s="179"/>
      <c r="P752" s="365"/>
      <c r="Q752" s="86">
        <f t="shared" si="55"/>
        <v>0</v>
      </c>
      <c r="R752" s="284"/>
      <c r="S752" s="360"/>
      <c r="T752" s="179"/>
      <c r="U752" s="360"/>
      <c r="V752" s="179"/>
      <c r="W752" s="360"/>
      <c r="X752" s="179"/>
      <c r="Y752" s="360"/>
      <c r="Z752" s="353"/>
      <c r="AA752" s="89">
        <f t="shared" si="56"/>
        <v>0</v>
      </c>
      <c r="AB752" s="237">
        <v>5549133</v>
      </c>
      <c r="AC752" s="237">
        <v>7238000</v>
      </c>
      <c r="AD752" s="237">
        <v>7238000</v>
      </c>
      <c r="AE752" s="237">
        <v>7238000</v>
      </c>
      <c r="AF752" s="237"/>
      <c r="AG752" s="237"/>
      <c r="AH752" s="237"/>
      <c r="AI752" s="237"/>
      <c r="AJ752" s="237"/>
      <c r="AK752" s="237"/>
      <c r="AL752" s="237"/>
      <c r="AM752" s="237"/>
      <c r="AN752" s="237"/>
      <c r="AO752" s="237"/>
      <c r="AP752" s="237"/>
      <c r="AQ752" s="237"/>
      <c r="AR752" s="237"/>
      <c r="AS752" s="237"/>
      <c r="AT752" s="360">
        <v>43630</v>
      </c>
      <c r="AU752" s="91">
        <f t="shared" si="57"/>
        <v>27263133</v>
      </c>
    </row>
    <row r="753" spans="2:47" ht="33.75" hidden="1" x14ac:dyDescent="0.25">
      <c r="B753" s="2" t="str">
        <f>+'Base de Datos'!E753</f>
        <v>180452-0-2018</v>
      </c>
      <c r="C753" s="2" t="str">
        <f>+'Base de Datos'!F753</f>
        <v>PRACO DIDACOL SAS</v>
      </c>
      <c r="D753" s="2">
        <f>+'Base de Datos'!G753</f>
        <v>860047657</v>
      </c>
      <c r="E753" s="2" t="str">
        <f>+'Base de Datos'!H753</f>
        <v>Prestar el servicio de mantenimiento correctivo con suministro de repuestos para los vehículos marca SUBARU al servicio del Concejo de Bogotá</v>
      </c>
      <c r="F753" s="221">
        <f>+'Base de Datos'!I753</f>
        <v>4906000</v>
      </c>
      <c r="G753" s="220">
        <f>+'Base de Datos'!M753</f>
        <v>43508</v>
      </c>
      <c r="H753" s="220">
        <f>+'Base de Datos'!N753</f>
        <v>43596</v>
      </c>
      <c r="I753" s="179"/>
      <c r="J753" s="360"/>
      <c r="K753" s="237"/>
      <c r="L753" s="363"/>
      <c r="M753" s="179"/>
      <c r="N753" s="360"/>
      <c r="O753" s="179"/>
      <c r="P753" s="365"/>
      <c r="Q753" s="86">
        <f t="shared" si="55"/>
        <v>0</v>
      </c>
      <c r="R753" s="284" t="s">
        <v>978</v>
      </c>
      <c r="S753" s="360">
        <v>43642</v>
      </c>
      <c r="T753" s="179"/>
      <c r="U753" s="360"/>
      <c r="V753" s="179"/>
      <c r="W753" s="360"/>
      <c r="X753" s="179"/>
      <c r="Y753" s="360"/>
      <c r="Z753" s="284" t="s">
        <v>978</v>
      </c>
      <c r="AA753" s="89">
        <f t="shared" si="56"/>
        <v>43642</v>
      </c>
      <c r="AB753" s="237"/>
      <c r="AC753" s="237"/>
      <c r="AD753" s="237"/>
      <c r="AE753" s="237"/>
      <c r="AF753" s="237"/>
      <c r="AG753" s="237"/>
      <c r="AH753" s="237"/>
      <c r="AI753" s="237"/>
      <c r="AJ753" s="237"/>
      <c r="AK753" s="237"/>
      <c r="AL753" s="237"/>
      <c r="AM753" s="237"/>
      <c r="AN753" s="237"/>
      <c r="AO753" s="237"/>
      <c r="AP753" s="237"/>
      <c r="AQ753" s="237"/>
      <c r="AR753" s="237"/>
      <c r="AS753" s="237"/>
      <c r="AT753" s="360"/>
      <c r="AU753" s="91">
        <f t="shared" si="57"/>
        <v>0</v>
      </c>
    </row>
    <row r="754" spans="2:47" ht="22.5" hidden="1" x14ac:dyDescent="0.25">
      <c r="B754" s="2" t="str">
        <f>+'Base de Datos'!E754</f>
        <v>190163-0-2019</v>
      </c>
      <c r="C754" s="2" t="str">
        <f>+'Base de Datos'!F754</f>
        <v>ORACLE COLOMBIA LTDA</v>
      </c>
      <c r="D754" s="2" t="str">
        <f>+'Base de Datos'!G754</f>
        <v>800103052-8</v>
      </c>
      <c r="E754" s="2" t="str">
        <f>+'Base de Datos'!H754</f>
        <v>Prestar servicios de soporte y mantenimiento de todos los productos Oracle adquiridos por el Concejo de Bogotá.</v>
      </c>
      <c r="F754" s="221">
        <f>+'Base de Datos'!I754</f>
        <v>211862734</v>
      </c>
      <c r="G754" s="220">
        <f>+'Base de Datos'!M754</f>
        <v>43507</v>
      </c>
      <c r="H754" s="220">
        <f>+'Base de Datos'!N754</f>
        <v>43830</v>
      </c>
      <c r="I754" s="179"/>
      <c r="J754" s="360"/>
      <c r="K754" s="237"/>
      <c r="L754" s="363"/>
      <c r="M754" s="179"/>
      <c r="N754" s="360"/>
      <c r="O754" s="179"/>
      <c r="P754" s="365"/>
      <c r="Q754" s="86">
        <f t="shared" si="55"/>
        <v>0</v>
      </c>
      <c r="R754" s="284"/>
      <c r="S754" s="360"/>
      <c r="T754" s="179"/>
      <c r="U754" s="360"/>
      <c r="V754" s="179"/>
      <c r="W754" s="360"/>
      <c r="X754" s="179"/>
      <c r="Y754" s="360"/>
      <c r="Z754" s="353"/>
      <c r="AA754" s="89">
        <f t="shared" si="56"/>
        <v>0</v>
      </c>
      <c r="AB754" s="237"/>
      <c r="AC754" s="237"/>
      <c r="AD754" s="237"/>
      <c r="AE754" s="237"/>
      <c r="AF754" s="237"/>
      <c r="AG754" s="237"/>
      <c r="AH754" s="237"/>
      <c r="AI754" s="237"/>
      <c r="AJ754" s="237"/>
      <c r="AK754" s="237"/>
      <c r="AL754" s="237"/>
      <c r="AM754" s="237"/>
      <c r="AN754" s="237"/>
      <c r="AO754" s="237"/>
      <c r="AP754" s="237"/>
      <c r="AQ754" s="237"/>
      <c r="AR754" s="237"/>
      <c r="AS754" s="237"/>
      <c r="AT754" s="360"/>
      <c r="AU754" s="91">
        <f t="shared" si="57"/>
        <v>0</v>
      </c>
    </row>
    <row r="755" spans="2:47" ht="33.75" hidden="1" x14ac:dyDescent="0.25">
      <c r="B755" s="2" t="str">
        <f>+'Base de Datos'!E755</f>
        <v>190170-0-2019</v>
      </c>
      <c r="C755" s="2" t="str">
        <f>+'Base de Datos'!F755</f>
        <v>PABLO RAUL RODRIGUEZ MOJICA</v>
      </c>
      <c r="D755" s="2">
        <f>+'Base de Datos'!G755</f>
        <v>79411495</v>
      </c>
      <c r="E755" s="2" t="str">
        <f>+'Base de Datos'!H755</f>
        <v>Prestar servicios para apoyar el proceso de grabación y sonido en el recinto los comuneros del Concejo de Bogotá en los asuntos propios de la dependencia</v>
      </c>
      <c r="F755" s="221">
        <f>+'Base de Datos'!I755</f>
        <v>3934000</v>
      </c>
      <c r="G755" s="220">
        <f>+'Base de Datos'!M755</f>
        <v>43511</v>
      </c>
      <c r="H755" s="220">
        <f>+'Base de Datos'!N755</f>
        <v>43569</v>
      </c>
      <c r="I755" s="179"/>
      <c r="J755" s="360"/>
      <c r="K755" s="237"/>
      <c r="L755" s="363"/>
      <c r="M755" s="179"/>
      <c r="N755" s="360"/>
      <c r="O755" s="179"/>
      <c r="P755" s="365"/>
      <c r="Q755" s="86">
        <f t="shared" si="55"/>
        <v>0</v>
      </c>
      <c r="R755" s="284"/>
      <c r="S755" s="360"/>
      <c r="T755" s="179"/>
      <c r="U755" s="360"/>
      <c r="V755" s="179"/>
      <c r="W755" s="360"/>
      <c r="X755" s="179"/>
      <c r="Y755" s="360"/>
      <c r="Z755" s="353"/>
      <c r="AA755" s="89">
        <f t="shared" si="56"/>
        <v>0</v>
      </c>
      <c r="AB755" s="237">
        <v>1049066</v>
      </c>
      <c r="AC755" s="237">
        <v>1967000</v>
      </c>
      <c r="AD755" s="237">
        <v>917934</v>
      </c>
      <c r="AE755" s="237"/>
      <c r="AF755" s="237"/>
      <c r="AG755" s="237"/>
      <c r="AH755" s="237"/>
      <c r="AI755" s="237"/>
      <c r="AJ755" s="237"/>
      <c r="AK755" s="237"/>
      <c r="AL755" s="237"/>
      <c r="AM755" s="237"/>
      <c r="AN755" s="237"/>
      <c r="AO755" s="237"/>
      <c r="AP755" s="237"/>
      <c r="AQ755" s="237"/>
      <c r="AR755" s="237"/>
      <c r="AS755" s="237"/>
      <c r="AT755" s="360">
        <v>43608</v>
      </c>
      <c r="AU755" s="91">
        <f t="shared" si="57"/>
        <v>3934000</v>
      </c>
    </row>
    <row r="756" spans="2:47" ht="26.25" hidden="1" customHeight="1" x14ac:dyDescent="0.25">
      <c r="B756" s="2" t="str">
        <f>+'Base de Datos'!E756</f>
        <v>190193-0-2019</v>
      </c>
      <c r="C756" s="2" t="str">
        <f>+'Base de Datos'!F756</f>
        <v>SERVICIOS POSTALES NACIONALES S.A.</v>
      </c>
      <c r="D756" s="2" t="str">
        <f>+'Base de Datos'!G756</f>
        <v>900062917-9</v>
      </c>
      <c r="E756" s="2" t="str">
        <f>+'Base de Datos'!H756</f>
        <v>Prestar servicios para la gestión de correspondencia y mensajería expresa masiva para el Concejo de Bogotá</v>
      </c>
      <c r="F756" s="221">
        <f>+'Base de Datos'!I756</f>
        <v>108816948</v>
      </c>
      <c r="G756" s="220">
        <f>+'Base de Datos'!M756</f>
        <v>43524</v>
      </c>
      <c r="H756" s="220">
        <f>+'Base de Datos'!N756</f>
        <v>43888</v>
      </c>
      <c r="I756" s="179"/>
      <c r="J756" s="360"/>
      <c r="K756" s="237"/>
      <c r="L756" s="363"/>
      <c r="M756" s="179"/>
      <c r="N756" s="360"/>
      <c r="O756" s="179"/>
      <c r="P756" s="365"/>
      <c r="Q756" s="86">
        <f t="shared" si="55"/>
        <v>0</v>
      </c>
      <c r="R756" s="284"/>
      <c r="S756" s="360"/>
      <c r="T756" s="179"/>
      <c r="U756" s="360"/>
      <c r="V756" s="179"/>
      <c r="W756" s="360"/>
      <c r="X756" s="179"/>
      <c r="Y756" s="360"/>
      <c r="Z756" s="353"/>
      <c r="AA756" s="89">
        <f t="shared" si="56"/>
        <v>0</v>
      </c>
      <c r="AB756" s="237"/>
      <c r="AC756" s="237"/>
      <c r="AD756" s="237"/>
      <c r="AE756" s="237"/>
      <c r="AF756" s="237"/>
      <c r="AG756" s="237"/>
      <c r="AH756" s="237"/>
      <c r="AI756" s="237"/>
      <c r="AJ756" s="237"/>
      <c r="AK756" s="237"/>
      <c r="AL756" s="237"/>
      <c r="AM756" s="237"/>
      <c r="AN756" s="237"/>
      <c r="AO756" s="237"/>
      <c r="AP756" s="237"/>
      <c r="AQ756" s="237"/>
      <c r="AR756" s="237"/>
      <c r="AS756" s="237"/>
      <c r="AT756" s="360"/>
      <c r="AU756" s="91">
        <f t="shared" si="57"/>
        <v>0</v>
      </c>
    </row>
    <row r="757" spans="2:47" ht="92.25" hidden="1" customHeight="1" x14ac:dyDescent="0.25">
      <c r="B757" s="2" t="str">
        <f>+'Base de Datos'!E757</f>
        <v>190201-0-2019</v>
      </c>
      <c r="C757" s="2" t="str">
        <f>+'Base de Datos'!F757</f>
        <v>INGEAL SA</v>
      </c>
      <c r="D757" s="2">
        <f>+'Base de Datos'!G757</f>
        <v>800039398</v>
      </c>
      <c r="E757" s="2" t="str">
        <f>+'Base de Datos'!H757</f>
        <v>Prestar los servicios de mantenimiento preventivo y correctivo de elementos que soportan la infraestructura tecnológica del centro de cómputo y centros de cableado del Concjeo de Bogotá, de conformidad con lo establecido en el pliego de condiciones de la subasta inversa electrónica SDH-SIE-19-2018 y la propuesta presentada por el contratista.</v>
      </c>
      <c r="F757" s="221">
        <f>+'Base de Datos'!I757</f>
        <v>200000000</v>
      </c>
      <c r="G757" s="220">
        <f>+'Base de Datos'!M757</f>
        <v>43529</v>
      </c>
      <c r="H757" s="220">
        <f>+'Base de Datos'!N757</f>
        <v>43894</v>
      </c>
      <c r="I757" s="179"/>
      <c r="J757" s="360"/>
      <c r="K757" s="237"/>
      <c r="L757" s="363"/>
      <c r="M757" s="179"/>
      <c r="N757" s="360"/>
      <c r="O757" s="179"/>
      <c r="P757" s="365"/>
      <c r="Q757" s="86">
        <f t="shared" si="55"/>
        <v>0</v>
      </c>
      <c r="R757" s="284"/>
      <c r="S757" s="360"/>
      <c r="T757" s="179"/>
      <c r="U757" s="360"/>
      <c r="V757" s="179"/>
      <c r="W757" s="360"/>
      <c r="X757" s="179"/>
      <c r="Y757" s="360"/>
      <c r="Z757" s="353"/>
      <c r="AA757" s="89">
        <f t="shared" si="56"/>
        <v>0</v>
      </c>
      <c r="AB757" s="237">
        <v>5978560</v>
      </c>
      <c r="AC757" s="237"/>
      <c r="AD757" s="237"/>
      <c r="AE757" s="237"/>
      <c r="AF757" s="237"/>
      <c r="AG757" s="237"/>
      <c r="AH757" s="237"/>
      <c r="AI757" s="237"/>
      <c r="AJ757" s="237"/>
      <c r="AK757" s="237"/>
      <c r="AL757" s="237"/>
      <c r="AM757" s="237"/>
      <c r="AN757" s="237"/>
      <c r="AO757" s="237"/>
      <c r="AP757" s="237"/>
      <c r="AQ757" s="237"/>
      <c r="AR757" s="237"/>
      <c r="AS757" s="237"/>
      <c r="AT757" s="360">
        <v>43598</v>
      </c>
      <c r="AU757" s="91">
        <f t="shared" si="57"/>
        <v>5978560</v>
      </c>
    </row>
    <row r="758" spans="2:47" ht="56.25" hidden="1" x14ac:dyDescent="0.25">
      <c r="B758" s="2" t="str">
        <f>+'Base de Datos'!E758</f>
        <v>190214-0-2019</v>
      </c>
      <c r="C758" s="2" t="str">
        <f>+'Base de Datos'!F758</f>
        <v>UNIVERSIDAD DE ANTIOQUIA</v>
      </c>
      <c r="D758" s="2" t="str">
        <f>+'Base de Datos'!G758</f>
        <v>890980040-8</v>
      </c>
      <c r="E758" s="2" t="str">
        <f>+'Base de Datos'!H758</f>
        <v xml:space="preserve">Prestar de servicios para adelantar el proceso de convocatoria pública para la elección del Secretario General del Concejo y Subsecretarios de las comisiones del Concejo de Bogotá D.C., conforme al alcance y obligaciones determinados en los estudios previos.  </v>
      </c>
      <c r="F758" s="221">
        <f>+'Base de Datos'!I758</f>
        <v>144262517</v>
      </c>
      <c r="G758" s="220">
        <f>+'Base de Datos'!M758</f>
        <v>43535</v>
      </c>
      <c r="H758" s="220">
        <f>+'Base de Datos'!N758</f>
        <v>43595</v>
      </c>
      <c r="I758" s="179"/>
      <c r="J758" s="360"/>
      <c r="K758" s="237"/>
      <c r="L758" s="363"/>
      <c r="M758" s="179"/>
      <c r="N758" s="360"/>
      <c r="O758" s="179"/>
      <c r="P758" s="365"/>
      <c r="Q758" s="86">
        <f t="shared" si="55"/>
        <v>0</v>
      </c>
      <c r="R758" s="284" t="s">
        <v>381</v>
      </c>
      <c r="S758" s="360">
        <v>43626</v>
      </c>
      <c r="T758" s="179"/>
      <c r="U758" s="360"/>
      <c r="V758" s="179"/>
      <c r="W758" s="360"/>
      <c r="X758" s="179"/>
      <c r="Y758" s="360"/>
      <c r="Z758" s="353" t="s">
        <v>381</v>
      </c>
      <c r="AA758" s="89">
        <f t="shared" si="56"/>
        <v>43626</v>
      </c>
      <c r="AB758" s="237">
        <v>57705006</v>
      </c>
      <c r="AC758" s="237"/>
      <c r="AD758" s="237"/>
      <c r="AE758" s="237"/>
      <c r="AF758" s="237"/>
      <c r="AG758" s="237"/>
      <c r="AH758" s="237"/>
      <c r="AI758" s="237"/>
      <c r="AJ758" s="237"/>
      <c r="AK758" s="237"/>
      <c r="AL758" s="237"/>
      <c r="AM758" s="237"/>
      <c r="AN758" s="237"/>
      <c r="AO758" s="237"/>
      <c r="AP758" s="237"/>
      <c r="AQ758" s="237"/>
      <c r="AR758" s="237"/>
      <c r="AS758" s="237"/>
      <c r="AT758" s="360">
        <v>43626</v>
      </c>
      <c r="AU758" s="91">
        <f t="shared" si="57"/>
        <v>57705006</v>
      </c>
    </row>
    <row r="759" spans="2:47" ht="22.5" hidden="1" x14ac:dyDescent="0.25">
      <c r="B759" s="2" t="str">
        <f>+'Base de Datos'!E759</f>
        <v>190215-0-2019</v>
      </c>
      <c r="C759" s="2" t="str">
        <f>+'Base de Datos'!F759</f>
        <v>CASA EDITORIAL EL TIEMPO</v>
      </c>
      <c r="D759" s="2">
        <f>+'Base de Datos'!G759</f>
        <v>860001022</v>
      </c>
      <c r="E759" s="2" t="str">
        <f>+'Base de Datos'!H759</f>
        <v>Suscripción a los diarios el TIEMPO Y PORTAFOLIO para el Concejo de Bogotá D.C.</v>
      </c>
      <c r="F759" s="221">
        <f>+'Base de Datos'!I759</f>
        <v>1487700</v>
      </c>
      <c r="G759" s="220">
        <f>+'Base de Datos'!M759</f>
        <v>43550</v>
      </c>
      <c r="H759" s="220">
        <f>+'Base de Datos'!N759</f>
        <v>43915</v>
      </c>
      <c r="I759" s="179"/>
      <c r="J759" s="360"/>
      <c r="K759" s="237"/>
      <c r="L759" s="363"/>
      <c r="M759" s="179"/>
      <c r="N759" s="360"/>
      <c r="O759" s="179"/>
      <c r="P759" s="365"/>
      <c r="Q759" s="86">
        <f t="shared" si="55"/>
        <v>0</v>
      </c>
      <c r="R759" s="284"/>
      <c r="S759" s="360"/>
      <c r="T759" s="179"/>
      <c r="U759" s="360"/>
      <c r="V759" s="179"/>
      <c r="W759" s="360"/>
      <c r="X759" s="179"/>
      <c r="Y759" s="360"/>
      <c r="Z759" s="353"/>
      <c r="AA759" s="89">
        <f t="shared" si="56"/>
        <v>0</v>
      </c>
      <c r="AB759" s="237">
        <v>1487700</v>
      </c>
      <c r="AC759" s="237"/>
      <c r="AD759" s="237"/>
      <c r="AE759" s="237"/>
      <c r="AF759" s="237"/>
      <c r="AG759" s="237"/>
      <c r="AH759" s="237"/>
      <c r="AI759" s="237"/>
      <c r="AJ759" s="237"/>
      <c r="AK759" s="237"/>
      <c r="AL759" s="237"/>
      <c r="AM759" s="237"/>
      <c r="AN759" s="237"/>
      <c r="AO759" s="237"/>
      <c r="AP759" s="237"/>
      <c r="AQ759" s="237"/>
      <c r="AR759" s="237"/>
      <c r="AS759" s="237"/>
      <c r="AT759" s="360">
        <v>43620</v>
      </c>
      <c r="AU759" s="91">
        <f t="shared" si="57"/>
        <v>1487700</v>
      </c>
    </row>
    <row r="760" spans="2:47" ht="33.75" hidden="1" x14ac:dyDescent="0.25">
      <c r="B760" s="2" t="str">
        <f>+'Base de Datos'!E760</f>
        <v>190217-0-2019</v>
      </c>
      <c r="C760" s="2" t="str">
        <f>+'Base de Datos'!F760</f>
        <v xml:space="preserve">INFORMATICA DOCUMENTAL SAS </v>
      </c>
      <c r="D760" s="2">
        <f>+'Base de Datos'!G760</f>
        <v>830083523</v>
      </c>
      <c r="E760" s="2" t="str">
        <f>+'Base de Datos'!H760</f>
        <v>Prestar servicios de actualización y soporte para el software para el manejo documental Infodoc para el Concejo de Bogotá</v>
      </c>
      <c r="F760" s="221">
        <f>+'Base de Datos'!I760</f>
        <v>10921394</v>
      </c>
      <c r="G760" s="220">
        <f>+'Base de Datos'!M760</f>
        <v>43545</v>
      </c>
      <c r="H760" s="220">
        <f>+'Base de Datos'!N760</f>
        <v>43881</v>
      </c>
      <c r="I760" s="179"/>
      <c r="J760" s="360"/>
      <c r="K760" s="237"/>
      <c r="L760" s="363"/>
      <c r="M760" s="179"/>
      <c r="N760" s="360"/>
      <c r="O760" s="179"/>
      <c r="P760" s="365"/>
      <c r="Q760" s="86">
        <f t="shared" si="55"/>
        <v>0</v>
      </c>
      <c r="R760" s="284"/>
      <c r="S760" s="360"/>
      <c r="T760" s="179"/>
      <c r="U760" s="360"/>
      <c r="V760" s="179"/>
      <c r="W760" s="360"/>
      <c r="X760" s="179"/>
      <c r="Y760" s="360"/>
      <c r="Z760" s="353"/>
      <c r="AA760" s="89">
        <f t="shared" si="56"/>
        <v>0</v>
      </c>
      <c r="AB760" s="237"/>
      <c r="AC760" s="237"/>
      <c r="AD760" s="237"/>
      <c r="AE760" s="237"/>
      <c r="AF760" s="237"/>
      <c r="AG760" s="237"/>
      <c r="AH760" s="237"/>
      <c r="AI760" s="237"/>
      <c r="AJ760" s="237"/>
      <c r="AK760" s="237"/>
      <c r="AL760" s="237"/>
      <c r="AM760" s="237"/>
      <c r="AN760" s="237"/>
      <c r="AO760" s="237"/>
      <c r="AP760" s="237"/>
      <c r="AQ760" s="237"/>
      <c r="AR760" s="237"/>
      <c r="AS760" s="237"/>
      <c r="AT760" s="360"/>
      <c r="AU760" s="91">
        <f t="shared" si="57"/>
        <v>0</v>
      </c>
    </row>
    <row r="761" spans="2:47" ht="22.5" hidden="1" x14ac:dyDescent="0.25">
      <c r="B761" s="2" t="str">
        <f>+'Base de Datos'!E761</f>
        <v>190221-0-2019</v>
      </c>
      <c r="C761" s="2" t="str">
        <f>+'Base de Datos'!F761</f>
        <v>EMPRESA DE TELECOMUNICACIONES DE BOGOTÁ S.A.-ETB-ESP</v>
      </c>
      <c r="D761" s="2">
        <f>+'Base de Datos'!G761</f>
        <v>899999115</v>
      </c>
      <c r="E761" s="2" t="str">
        <f>+'Base de Datos'!H761</f>
        <v>Proveer servicios de canales dedicados e internet y servicios complementarios para el Concejo de Bogotá.</v>
      </c>
      <c r="F761" s="221">
        <f>+'Base de Datos'!I761</f>
        <v>136841527</v>
      </c>
      <c r="G761" s="220">
        <f>+'Base de Datos'!M761</f>
        <v>43546</v>
      </c>
      <c r="H761" s="220">
        <f>+'Base de Datos'!N761</f>
        <v>43911</v>
      </c>
      <c r="I761" s="179"/>
      <c r="J761" s="360"/>
      <c r="K761" s="237"/>
      <c r="L761" s="363"/>
      <c r="M761" s="179"/>
      <c r="N761" s="360"/>
      <c r="O761" s="179"/>
      <c r="P761" s="365"/>
      <c r="Q761" s="86">
        <f t="shared" si="55"/>
        <v>0</v>
      </c>
      <c r="R761" s="284"/>
      <c r="S761" s="360"/>
      <c r="T761" s="179"/>
      <c r="U761" s="360"/>
      <c r="V761" s="179"/>
      <c r="W761" s="360"/>
      <c r="X761" s="179"/>
      <c r="Y761" s="360"/>
      <c r="Z761" s="353"/>
      <c r="AA761" s="89">
        <f t="shared" si="56"/>
        <v>0</v>
      </c>
      <c r="AB761" s="237">
        <v>11403460</v>
      </c>
      <c r="AC761" s="237"/>
      <c r="AD761" s="237"/>
      <c r="AE761" s="237"/>
      <c r="AF761" s="237"/>
      <c r="AG761" s="237"/>
      <c r="AH761" s="237"/>
      <c r="AI761" s="237"/>
      <c r="AJ761" s="237"/>
      <c r="AK761" s="237"/>
      <c r="AL761" s="237"/>
      <c r="AM761" s="237"/>
      <c r="AN761" s="237"/>
      <c r="AO761" s="237"/>
      <c r="AP761" s="237"/>
      <c r="AQ761" s="237"/>
      <c r="AR761" s="237"/>
      <c r="AS761" s="237"/>
      <c r="AT761" s="360">
        <v>43614</v>
      </c>
      <c r="AU761" s="91">
        <f t="shared" si="57"/>
        <v>11403460</v>
      </c>
    </row>
    <row r="762" spans="2:47" ht="45" hidden="1" x14ac:dyDescent="0.25">
      <c r="B762" s="2" t="str">
        <f>+'Base de Datos'!E762</f>
        <v>190225-0-2019</v>
      </c>
      <c r="C762" s="2" t="str">
        <f>+'Base de Datos'!F762</f>
        <v>BUSINESS TECHNOLOGIES COMPANY</v>
      </c>
      <c r="D762" s="2" t="str">
        <f>+'Base de Datos'!G762</f>
        <v>830109807-8</v>
      </c>
      <c r="E762" s="2" t="str">
        <f>+'Base de Datos'!H762</f>
        <v>Suscripción al servicio de información jurídica a través de un boletín informativo por correo electrónico, consulta web y biblioteca digital de legislación colombiana actualizada.</v>
      </c>
      <c r="F762" s="221">
        <f>+'Base de Datos'!I762</f>
        <v>2088604</v>
      </c>
      <c r="G762" s="220">
        <f>+'Base de Datos'!M762</f>
        <v>43552</v>
      </c>
      <c r="H762" s="220">
        <f>+'Base de Datos'!N762</f>
        <v>43917</v>
      </c>
      <c r="I762" s="179"/>
      <c r="J762" s="360"/>
      <c r="K762" s="237"/>
      <c r="L762" s="363"/>
      <c r="M762" s="179"/>
      <c r="N762" s="360"/>
      <c r="O762" s="179"/>
      <c r="P762" s="365"/>
      <c r="Q762" s="86">
        <f t="shared" si="55"/>
        <v>0</v>
      </c>
      <c r="R762" s="284"/>
      <c r="S762" s="360"/>
      <c r="T762" s="179"/>
      <c r="U762" s="360"/>
      <c r="V762" s="179"/>
      <c r="W762" s="360"/>
      <c r="X762" s="179"/>
      <c r="Y762" s="360"/>
      <c r="Z762" s="353"/>
      <c r="AA762" s="89">
        <f t="shared" si="56"/>
        <v>0</v>
      </c>
      <c r="AB762" s="237"/>
      <c r="AC762" s="237"/>
      <c r="AD762" s="237"/>
      <c r="AE762" s="237"/>
      <c r="AF762" s="237"/>
      <c r="AG762" s="237"/>
      <c r="AH762" s="237"/>
      <c r="AI762" s="237"/>
      <c r="AJ762" s="237"/>
      <c r="AK762" s="237"/>
      <c r="AL762" s="237"/>
      <c r="AM762" s="237"/>
      <c r="AN762" s="237"/>
      <c r="AO762" s="237"/>
      <c r="AP762" s="237"/>
      <c r="AQ762" s="237"/>
      <c r="AR762" s="237"/>
      <c r="AS762" s="237"/>
      <c r="AT762" s="360"/>
      <c r="AU762" s="91">
        <f t="shared" si="57"/>
        <v>0</v>
      </c>
    </row>
    <row r="763" spans="2:47" ht="78.75" hidden="1" x14ac:dyDescent="0.25">
      <c r="B763" s="2" t="str">
        <f>+'Base de Datos'!E763</f>
        <v>190226-0-2019</v>
      </c>
      <c r="C763" s="2" t="str">
        <f>+'Base de Datos'!F763</f>
        <v>AURA ELISA GUERRERO MORENO</v>
      </c>
      <c r="D763" s="2">
        <f>+'Base de Datos'!G763</f>
        <v>35510194</v>
      </c>
      <c r="E763" s="2" t="str">
        <f>+'Base de Datos'!H763</f>
        <v>Prestar los servicios profesionales para la definición de especificaciones y condiciones técnicas para la adquisición de bienes y servicios relacionados con tecnología e informática, el seguimiento a la ejecución de los mismos y el acompañamiento en la formulación  de estrategias para la optimización del desarrollo tecnológico de la Corporación.</v>
      </c>
      <c r="F763" s="221">
        <f>+'Base de Datos'!I763</f>
        <v>44072000</v>
      </c>
      <c r="G763" s="220">
        <f>+'Base de Datos'!M763</f>
        <v>43556</v>
      </c>
      <c r="H763" s="220">
        <f>+'Base de Datos'!N763</f>
        <v>43799</v>
      </c>
      <c r="I763" s="179"/>
      <c r="J763" s="360"/>
      <c r="K763" s="237"/>
      <c r="L763" s="363"/>
      <c r="M763" s="179"/>
      <c r="N763" s="360"/>
      <c r="O763" s="179"/>
      <c r="P763" s="365"/>
      <c r="Q763" s="86">
        <f t="shared" si="55"/>
        <v>0</v>
      </c>
      <c r="R763" s="284"/>
      <c r="S763" s="360"/>
      <c r="T763" s="179"/>
      <c r="U763" s="360"/>
      <c r="V763" s="179"/>
      <c r="W763" s="360"/>
      <c r="X763" s="179"/>
      <c r="Y763" s="360"/>
      <c r="Z763" s="353"/>
      <c r="AA763" s="89">
        <f t="shared" si="56"/>
        <v>0</v>
      </c>
      <c r="AB763" s="237">
        <v>5509000</v>
      </c>
      <c r="AC763" s="237">
        <v>5509000</v>
      </c>
      <c r="AD763" s="237"/>
      <c r="AE763" s="237"/>
      <c r="AF763" s="237"/>
      <c r="AG763" s="237"/>
      <c r="AH763" s="237"/>
      <c r="AI763" s="237"/>
      <c r="AJ763" s="237"/>
      <c r="AK763" s="237"/>
      <c r="AL763" s="237"/>
      <c r="AM763" s="237"/>
      <c r="AN763" s="237"/>
      <c r="AO763" s="237"/>
      <c r="AP763" s="237"/>
      <c r="AQ763" s="237"/>
      <c r="AR763" s="237"/>
      <c r="AS763" s="237"/>
      <c r="AT763" s="360">
        <v>43627</v>
      </c>
      <c r="AU763" s="91">
        <f t="shared" si="57"/>
        <v>11018000</v>
      </c>
    </row>
    <row r="764" spans="2:47" ht="56.25" hidden="1" x14ac:dyDescent="0.25">
      <c r="B764" s="2" t="str">
        <f>+'Base de Datos'!E764</f>
        <v>190228-0-2019</v>
      </c>
      <c r="C764" s="2" t="str">
        <f>+'Base de Datos'!F764</f>
        <v>CONSTANZA BRIGITTE MAHECHA JIMENEZ</v>
      </c>
      <c r="D764" s="2">
        <f>+'Base de Datos'!G764</f>
        <v>1030532647</v>
      </c>
      <c r="E764" s="2" t="str">
        <f>+'Base de Datos'!H764</f>
        <v>Prestar los servicios de apoyo al proceso de recursos físicos de la Dirección Administrativa del Concejo de Bogotá, para coadyuvar con las actividades de actualización y administración de la información del área de mantenimiento.</v>
      </c>
      <c r="F764" s="221">
        <f>+'Base de Datos'!I764</f>
        <v>17672000</v>
      </c>
      <c r="G764" s="220">
        <f>+'Base de Datos'!M764</f>
        <v>43557</v>
      </c>
      <c r="H764" s="220">
        <f>+'Base de Datos'!N764</f>
        <v>43800</v>
      </c>
      <c r="I764" s="179"/>
      <c r="J764" s="360"/>
      <c r="K764" s="237"/>
      <c r="L764" s="363"/>
      <c r="M764" s="179"/>
      <c r="N764" s="360"/>
      <c r="O764" s="179"/>
      <c r="P764" s="365"/>
      <c r="Q764" s="86">
        <f t="shared" si="55"/>
        <v>0</v>
      </c>
      <c r="R764" s="284"/>
      <c r="S764" s="360"/>
      <c r="T764" s="179"/>
      <c r="U764" s="360"/>
      <c r="V764" s="179"/>
      <c r="W764" s="360"/>
      <c r="X764" s="179"/>
      <c r="Y764" s="360"/>
      <c r="Z764" s="353"/>
      <c r="AA764" s="89">
        <f t="shared" si="56"/>
        <v>0</v>
      </c>
      <c r="AB764" s="237">
        <v>2135367</v>
      </c>
      <c r="AC764" s="237"/>
      <c r="AD764" s="237"/>
      <c r="AE764" s="237"/>
      <c r="AF764" s="237"/>
      <c r="AG764" s="237"/>
      <c r="AH764" s="237"/>
      <c r="AI764" s="237"/>
      <c r="AJ764" s="237"/>
      <c r="AK764" s="237"/>
      <c r="AL764" s="237"/>
      <c r="AM764" s="237"/>
      <c r="AN764" s="237"/>
      <c r="AO764" s="237"/>
      <c r="AP764" s="237"/>
      <c r="AQ764" s="237"/>
      <c r="AR764" s="237"/>
      <c r="AS764" s="237"/>
      <c r="AT764" s="360">
        <v>43613</v>
      </c>
      <c r="AU764" s="91">
        <f t="shared" si="57"/>
        <v>2135367</v>
      </c>
    </row>
    <row r="765" spans="2:47" ht="56.25" hidden="1" x14ac:dyDescent="0.25">
      <c r="B765" s="2" t="str">
        <f>+'Base de Datos'!E765</f>
        <v>190231-0-2019</v>
      </c>
      <c r="C765" s="2" t="str">
        <f>+'Base de Datos'!F765</f>
        <v>DOGER HERNAN DAZA MORENO</v>
      </c>
      <c r="D765" s="2">
        <f>+'Base de Datos'!G765</f>
        <v>80751229</v>
      </c>
      <c r="E765" s="2" t="str">
        <f>+'Base de Datos'!H765</f>
        <v>Prestar servicios profesionales para apoyar a la Dirección Financiera del Concejo de Bogotá D.C., en los asuntos propios de la dependencia y en el seguimiento al plan de acción y transparencia de acuerdo con la normatividad vigente.</v>
      </c>
      <c r="F765" s="221">
        <f>+'Base de Datos'!I765</f>
        <v>52173000</v>
      </c>
      <c r="G765" s="220">
        <f>+'Base de Datos'!M765</f>
        <v>43557</v>
      </c>
      <c r="H765" s="220">
        <f>+'Base de Datos'!N765</f>
        <v>43831</v>
      </c>
      <c r="I765" s="179"/>
      <c r="J765" s="360"/>
      <c r="K765" s="237"/>
      <c r="L765" s="363"/>
      <c r="M765" s="179"/>
      <c r="N765" s="360"/>
      <c r="O765" s="179"/>
      <c r="P765" s="365"/>
      <c r="Q765" s="86">
        <f t="shared" ref="Q765:Q786" si="58">SUM(I765,K765,M765,O765)</f>
        <v>0</v>
      </c>
      <c r="R765" s="284"/>
      <c r="S765" s="360"/>
      <c r="T765" s="179"/>
      <c r="U765" s="360"/>
      <c r="V765" s="179"/>
      <c r="W765" s="360"/>
      <c r="X765" s="179"/>
      <c r="Y765" s="360"/>
      <c r="Z765" s="353"/>
      <c r="AA765" s="89">
        <f t="shared" ref="AA765:AA786" si="59">MAX(S765,U765,W765,Y765)</f>
        <v>0</v>
      </c>
      <c r="AB765" s="237">
        <v>5797000</v>
      </c>
      <c r="AC765" s="237">
        <v>5797000</v>
      </c>
      <c r="AD765" s="237"/>
      <c r="AE765" s="237"/>
      <c r="AF765" s="237"/>
      <c r="AG765" s="237"/>
      <c r="AH765" s="237"/>
      <c r="AI765" s="237"/>
      <c r="AJ765" s="237"/>
      <c r="AK765" s="237"/>
      <c r="AL765" s="237"/>
      <c r="AM765" s="237"/>
      <c r="AN765" s="237"/>
      <c r="AO765" s="237"/>
      <c r="AP765" s="237"/>
      <c r="AQ765" s="237"/>
      <c r="AR765" s="237"/>
      <c r="AS765" s="237"/>
      <c r="AT765" s="360">
        <v>43620</v>
      </c>
      <c r="AU765" s="91">
        <f t="shared" ref="AU765:AU786" si="60">SUM(AB765:AR765)</f>
        <v>11594000</v>
      </c>
    </row>
    <row r="766" spans="2:47" ht="33.75" hidden="1" x14ac:dyDescent="0.25">
      <c r="B766" s="2" t="str">
        <f>+'Base de Datos'!E766</f>
        <v>190233-0-2019</v>
      </c>
      <c r="C766" s="2" t="str">
        <f>+'Base de Datos'!F766</f>
        <v>LINDA ROSA CAMPO RODRIGUEZ</v>
      </c>
      <c r="D766" s="2">
        <f>+'Base de Datos'!G766</f>
        <v>36454156</v>
      </c>
      <c r="E766" s="2" t="str">
        <f>+'Base de Datos'!H766</f>
        <v>Prestar servicios profesionales para apoyar al proceso de nómina de Concejo de Bogotá, y a la Dirección Financiera en los asuntos propios de la dependencia.</v>
      </c>
      <c r="F766" s="221">
        <f>+'Base de Datos'!I766</f>
        <v>62800000</v>
      </c>
      <c r="G766" s="220">
        <f>+'Base de Datos'!M766</f>
        <v>43556</v>
      </c>
      <c r="H766" s="220">
        <f>+'Base de Datos'!N766</f>
        <v>43799</v>
      </c>
      <c r="I766" s="179"/>
      <c r="J766" s="360"/>
      <c r="K766" s="237"/>
      <c r="L766" s="363"/>
      <c r="M766" s="179"/>
      <c r="N766" s="360"/>
      <c r="O766" s="179"/>
      <c r="P766" s="365"/>
      <c r="Q766" s="86">
        <f t="shared" si="58"/>
        <v>0</v>
      </c>
      <c r="R766" s="284"/>
      <c r="S766" s="360"/>
      <c r="T766" s="179"/>
      <c r="U766" s="360"/>
      <c r="V766" s="179"/>
      <c r="W766" s="360"/>
      <c r="X766" s="179"/>
      <c r="Y766" s="360"/>
      <c r="Z766" s="353"/>
      <c r="AA766" s="89">
        <f t="shared" si="59"/>
        <v>0</v>
      </c>
      <c r="AB766" s="237">
        <v>7850000</v>
      </c>
      <c r="AC766" s="237">
        <v>7850000</v>
      </c>
      <c r="AD766" s="237"/>
      <c r="AE766" s="237"/>
      <c r="AF766" s="237"/>
      <c r="AG766" s="237"/>
      <c r="AH766" s="237"/>
      <c r="AI766" s="237"/>
      <c r="AJ766" s="237"/>
      <c r="AK766" s="237"/>
      <c r="AL766" s="237"/>
      <c r="AM766" s="237"/>
      <c r="AN766" s="237"/>
      <c r="AO766" s="237"/>
      <c r="AP766" s="237"/>
      <c r="AQ766" s="237"/>
      <c r="AR766" s="237"/>
      <c r="AS766" s="237"/>
      <c r="AT766" s="360">
        <v>43626</v>
      </c>
      <c r="AU766" s="91">
        <f t="shared" si="60"/>
        <v>15700000</v>
      </c>
    </row>
    <row r="767" spans="2:47" ht="78.75" hidden="1" x14ac:dyDescent="0.25">
      <c r="B767" s="2" t="str">
        <f>+'Base de Datos'!E767</f>
        <v>190237-0-2019</v>
      </c>
      <c r="C767" s="2" t="str">
        <f>+'Base de Datos'!F767</f>
        <v>JEAN CLAUDE WILLINGTON CORTES MANCERA</v>
      </c>
      <c r="D767" s="2">
        <f>+'Base de Datos'!G767</f>
        <v>79965574</v>
      </c>
      <c r="E767" s="2" t="str">
        <f>+'Base de Datos'!H767</f>
        <v>Prestar servicios profesionales para apoyar al Director Financiero en los asuntos propios de la dependencia en el marco del presupuesto anual de gastos de funcionamiento e inversión para el manejo eficiente y eficaz de los recursos financieros con forme al plan estratégico de la entidad de acuerdo a la normatividad vigente.</v>
      </c>
      <c r="F767" s="221">
        <f>+'Base de Datos'!I767</f>
        <v>39752000</v>
      </c>
      <c r="G767" s="220">
        <f>+'Base de Datos'!M767</f>
        <v>43563</v>
      </c>
      <c r="H767" s="220">
        <f>+'Base de Datos'!N767</f>
        <v>43806</v>
      </c>
      <c r="I767" s="179"/>
      <c r="J767" s="360"/>
      <c r="K767" s="237"/>
      <c r="L767" s="363"/>
      <c r="M767" s="179"/>
      <c r="N767" s="360"/>
      <c r="O767" s="179"/>
      <c r="P767" s="365"/>
      <c r="Q767" s="86">
        <f t="shared" si="58"/>
        <v>0</v>
      </c>
      <c r="R767" s="284"/>
      <c r="S767" s="360"/>
      <c r="T767" s="179"/>
      <c r="U767" s="360"/>
      <c r="V767" s="179"/>
      <c r="W767" s="360"/>
      <c r="X767" s="179"/>
      <c r="Y767" s="360"/>
      <c r="Z767" s="353"/>
      <c r="AA767" s="89">
        <f t="shared" si="59"/>
        <v>0</v>
      </c>
      <c r="AB767" s="237">
        <v>3809567</v>
      </c>
      <c r="AC767" s="237">
        <v>4969000</v>
      </c>
      <c r="AD767" s="237"/>
      <c r="AE767" s="237"/>
      <c r="AF767" s="237"/>
      <c r="AG767" s="237"/>
      <c r="AH767" s="237"/>
      <c r="AI767" s="237"/>
      <c r="AJ767" s="237"/>
      <c r="AK767" s="237"/>
      <c r="AL767" s="237"/>
      <c r="AM767" s="237"/>
      <c r="AN767" s="237"/>
      <c r="AO767" s="237"/>
      <c r="AP767" s="237"/>
      <c r="AQ767" s="237"/>
      <c r="AR767" s="237"/>
      <c r="AS767" s="237"/>
      <c r="AT767" s="360">
        <v>43621</v>
      </c>
      <c r="AU767" s="91">
        <f t="shared" si="60"/>
        <v>8778567</v>
      </c>
    </row>
    <row r="768" spans="2:47" ht="56.25" hidden="1" x14ac:dyDescent="0.25">
      <c r="B768" s="2" t="str">
        <f>+'Base de Datos'!E768</f>
        <v>190243-0-2019</v>
      </c>
      <c r="C768" s="2" t="str">
        <f>+'Base de Datos'!F768</f>
        <v>MARIA PAULA RODRIGUEZ HERNANDEZ</v>
      </c>
      <c r="D768" s="2">
        <f>+'Base de Datos'!G768</f>
        <v>1032474202</v>
      </c>
      <c r="E768" s="2" t="str">
        <f>+'Base de Datos'!H768</f>
        <v xml:space="preserve">Prestar los servicios profesionales para apoyar al Concejo de Bogotá D.C., en el desarrollo de las actividades protocolarias de los diferentes eventos que lleva a cabo la Corporación en  ejercicio de sus funciones. </v>
      </c>
      <c r="F768" s="221">
        <f>+'Base de Datos'!I768</f>
        <v>23192000</v>
      </c>
      <c r="G768" s="220">
        <f>+'Base de Datos'!M768</f>
        <v>43566</v>
      </c>
      <c r="H768" s="220">
        <f>+'Base de Datos'!N768</f>
        <v>43809</v>
      </c>
      <c r="I768" s="179"/>
      <c r="J768" s="360"/>
      <c r="K768" s="237"/>
      <c r="L768" s="363"/>
      <c r="M768" s="179"/>
      <c r="N768" s="360"/>
      <c r="O768" s="179"/>
      <c r="P768" s="365"/>
      <c r="Q768" s="86">
        <f t="shared" si="58"/>
        <v>0</v>
      </c>
      <c r="R768" s="284"/>
      <c r="S768" s="360"/>
      <c r="T768" s="179"/>
      <c r="U768" s="360"/>
      <c r="V768" s="179"/>
      <c r="W768" s="360"/>
      <c r="X768" s="179"/>
      <c r="Y768" s="360"/>
      <c r="Z768" s="353"/>
      <c r="AA768" s="89">
        <f t="shared" si="59"/>
        <v>0</v>
      </c>
      <c r="AB768" s="237">
        <v>1932667</v>
      </c>
      <c r="AC768" s="237">
        <v>2899000</v>
      </c>
      <c r="AD768" s="237"/>
      <c r="AE768" s="237"/>
      <c r="AF768" s="237"/>
      <c r="AG768" s="237"/>
      <c r="AH768" s="237"/>
      <c r="AI768" s="237"/>
      <c r="AJ768" s="237"/>
      <c r="AK768" s="237"/>
      <c r="AL768" s="237"/>
      <c r="AM768" s="237"/>
      <c r="AN768" s="237"/>
      <c r="AO768" s="237"/>
      <c r="AP768" s="237"/>
      <c r="AQ768" s="237"/>
      <c r="AR768" s="237"/>
      <c r="AS768" s="237"/>
      <c r="AT768" s="360">
        <v>43626</v>
      </c>
      <c r="AU768" s="91">
        <f t="shared" si="60"/>
        <v>4831667</v>
      </c>
    </row>
    <row r="769" spans="2:47" ht="22.5" hidden="1" x14ac:dyDescent="0.25">
      <c r="B769" s="2" t="str">
        <f>+'Base de Datos'!E769</f>
        <v>190227-0-2019</v>
      </c>
      <c r="C769" s="2" t="str">
        <f>+'Base de Datos'!F769</f>
        <v>GENEVA INGENIERIA SAS</v>
      </c>
      <c r="D769" s="2">
        <f>+'Base de Datos'!G769</f>
        <v>901193330</v>
      </c>
      <c r="E769" s="2" t="str">
        <f>+'Base de Datos'!H769</f>
        <v>adquirir monitores industriales para el salón Lara Bonilla para el Concejo de Bogotá.</v>
      </c>
      <c r="F769" s="221">
        <f>+'Base de Datos'!I769</f>
        <v>10792500</v>
      </c>
      <c r="G769" s="220">
        <f>+'Base de Datos'!M769</f>
        <v>43567</v>
      </c>
      <c r="H769" s="220">
        <f>+'Base de Datos'!N769</f>
        <v>43611</v>
      </c>
      <c r="I769" s="179"/>
      <c r="J769" s="360"/>
      <c r="K769" s="237"/>
      <c r="L769" s="363"/>
      <c r="M769" s="179"/>
      <c r="N769" s="360"/>
      <c r="O769" s="179"/>
      <c r="P769" s="365"/>
      <c r="Q769" s="86">
        <f t="shared" si="58"/>
        <v>0</v>
      </c>
      <c r="R769" s="284"/>
      <c r="S769" s="360"/>
      <c r="T769" s="179"/>
      <c r="U769" s="360"/>
      <c r="V769" s="179"/>
      <c r="W769" s="360"/>
      <c r="X769" s="179"/>
      <c r="Y769" s="360"/>
      <c r="Z769" s="353"/>
      <c r="AA769" s="89">
        <f t="shared" si="59"/>
        <v>0</v>
      </c>
      <c r="AB769" s="237"/>
      <c r="AC769" s="237"/>
      <c r="AD769" s="237"/>
      <c r="AE769" s="237"/>
      <c r="AF769" s="237"/>
      <c r="AG769" s="237"/>
      <c r="AH769" s="237"/>
      <c r="AI769" s="237"/>
      <c r="AJ769" s="237"/>
      <c r="AK769" s="237"/>
      <c r="AL769" s="237"/>
      <c r="AM769" s="237"/>
      <c r="AN769" s="237"/>
      <c r="AO769" s="237"/>
      <c r="AP769" s="237"/>
      <c r="AQ769" s="237"/>
      <c r="AR769" s="237"/>
      <c r="AS769" s="237"/>
      <c r="AT769" s="360"/>
      <c r="AU769" s="91">
        <f t="shared" si="60"/>
        <v>0</v>
      </c>
    </row>
    <row r="770" spans="2:47" ht="90" hidden="1" x14ac:dyDescent="0.25">
      <c r="B770" s="2" t="str">
        <f>+'Base de Datos'!E770</f>
        <v>190247-0-2019</v>
      </c>
      <c r="C770" s="2" t="str">
        <f>+'Base de Datos'!F770</f>
        <v>MARIA ALEJANDRA GAITAN NAVARRETE</v>
      </c>
      <c r="D770" s="2">
        <f>+'Base de Datos'!G770</f>
        <v>1125228618</v>
      </c>
      <c r="E770" s="2" t="str">
        <f>+'Base de Datos'!H770</f>
        <v>Prestar servicios profesionales para apoyar a la oficina de comunicaciones del Concejo de Bogotá D.C. en la generación de estrategias que permitan la socialización divulgación y comunicación de la Ley de Transparecia y demás políticas institucionales, así como prestar apoyo en el cubrimiento mediático de las diferentes sesiones de la coproración, de conformidad con lo establecido en los estuduios previos.</v>
      </c>
      <c r="F770" s="221">
        <f>+'Base de Datos'!I770</f>
        <v>25278000</v>
      </c>
      <c r="G770" s="220">
        <f>+'Base de Datos'!M770</f>
        <v>43571</v>
      </c>
      <c r="H770" s="220">
        <f>+'Base de Datos'!N770</f>
        <v>43753</v>
      </c>
      <c r="I770" s="179"/>
      <c r="J770" s="360"/>
      <c r="K770" s="237"/>
      <c r="L770" s="363"/>
      <c r="M770" s="179"/>
      <c r="N770" s="360"/>
      <c r="O770" s="179"/>
      <c r="P770" s="365"/>
      <c r="Q770" s="86">
        <f t="shared" si="58"/>
        <v>0</v>
      </c>
      <c r="R770" s="284"/>
      <c r="S770" s="360"/>
      <c r="T770" s="179"/>
      <c r="U770" s="360"/>
      <c r="V770" s="179"/>
      <c r="W770" s="360"/>
      <c r="X770" s="179"/>
      <c r="Y770" s="360"/>
      <c r="Z770" s="353"/>
      <c r="AA770" s="89">
        <f t="shared" si="59"/>
        <v>0</v>
      </c>
      <c r="AB770" s="237">
        <v>2106500</v>
      </c>
      <c r="AC770" s="237">
        <v>4213000</v>
      </c>
      <c r="AD770" s="237"/>
      <c r="AE770" s="237"/>
      <c r="AF770" s="237"/>
      <c r="AG770" s="237"/>
      <c r="AH770" s="237"/>
      <c r="AI770" s="237"/>
      <c r="AJ770" s="237"/>
      <c r="AK770" s="237"/>
      <c r="AL770" s="237"/>
      <c r="AM770" s="237"/>
      <c r="AN770" s="237"/>
      <c r="AO770" s="237"/>
      <c r="AP770" s="237"/>
      <c r="AQ770" s="237"/>
      <c r="AR770" s="237"/>
      <c r="AS770" s="237"/>
      <c r="AT770" s="360">
        <v>43629</v>
      </c>
      <c r="AU770" s="91">
        <f t="shared" si="60"/>
        <v>6319500</v>
      </c>
    </row>
    <row r="771" spans="2:47" ht="33.75" x14ac:dyDescent="0.25">
      <c r="B771" s="2" t="str">
        <f>+'Base de Datos'!E771</f>
        <v>190249-0-2019</v>
      </c>
      <c r="C771" s="2" t="str">
        <f>+'Base de Datos'!F771</f>
        <v>ANDRES FERNANDO ZUÑIGA FORERO</v>
      </c>
      <c r="D771" s="2">
        <f>+'Base de Datos'!G771</f>
        <v>1032397721</v>
      </c>
      <c r="E771" s="2" t="str">
        <f>+'Base de Datos'!H771</f>
        <v>Prestar los servicios como apoyo administrativo a la Comisión del Plan de desarrollo y ordenamiento Territorial del Concejo de Bogotá.</v>
      </c>
      <c r="F771" s="221">
        <f>+'Base de Datos'!I771</f>
        <v>12426000</v>
      </c>
      <c r="G771" s="220">
        <f>+'Base de Datos'!M771</f>
        <v>43577</v>
      </c>
      <c r="H771" s="220">
        <f>+'Base de Datos'!N771</f>
        <v>43759</v>
      </c>
      <c r="I771" s="179"/>
      <c r="J771" s="360"/>
      <c r="K771" s="237"/>
      <c r="L771" s="363"/>
      <c r="M771" s="179"/>
      <c r="N771" s="360"/>
      <c r="O771" s="179"/>
      <c r="P771" s="365"/>
      <c r="Q771" s="86">
        <f t="shared" si="58"/>
        <v>0</v>
      </c>
      <c r="R771" s="284"/>
      <c r="S771" s="360"/>
      <c r="T771" s="179"/>
      <c r="U771" s="360"/>
      <c r="V771" s="179"/>
      <c r="W771" s="360"/>
      <c r="X771" s="179"/>
      <c r="Y771" s="360"/>
      <c r="Z771" s="353"/>
      <c r="AA771" s="89">
        <f t="shared" si="59"/>
        <v>0</v>
      </c>
      <c r="AB771" s="237">
        <v>621300</v>
      </c>
      <c r="AC771" s="237">
        <v>2071000</v>
      </c>
      <c r="AD771" s="237"/>
      <c r="AE771" s="237"/>
      <c r="AF771" s="237"/>
      <c r="AG771" s="237"/>
      <c r="AH771" s="237"/>
      <c r="AI771" s="237"/>
      <c r="AJ771" s="237"/>
      <c r="AK771" s="237"/>
      <c r="AL771" s="237"/>
      <c r="AM771" s="237"/>
      <c r="AN771" s="237"/>
      <c r="AO771" s="237"/>
      <c r="AP771" s="237"/>
      <c r="AQ771" s="237"/>
      <c r="AR771" s="237"/>
      <c r="AS771" s="237"/>
      <c r="AT771" s="360">
        <v>43635</v>
      </c>
      <c r="AU771" s="91">
        <f t="shared" si="60"/>
        <v>2692300</v>
      </c>
    </row>
    <row r="772" spans="2:47" ht="45" hidden="1" x14ac:dyDescent="0.25">
      <c r="B772" s="2" t="str">
        <f>+'Base de Datos'!E772</f>
        <v>190246-0-2019</v>
      </c>
      <c r="C772" s="2" t="str">
        <f>+'Base de Datos'!F772</f>
        <v>GRAN IMAGEN SAS</v>
      </c>
      <c r="D772" s="2">
        <f>+'Base de Datos'!G772</f>
        <v>830023178</v>
      </c>
      <c r="E772" s="2" t="str">
        <f>+'Base de Datos'!H772</f>
        <v>Prestar servicios integrales de fofocopiado y servicios afines para el Concejo de Bogotá, D.C., de conformidad con lo establecido en la invitación pública del proceso de mínima cuantía No. SDH-SMINC-09-2019</v>
      </c>
      <c r="F772" s="221">
        <f>+'Base de Datos'!I772</f>
        <v>30000000</v>
      </c>
      <c r="G772" s="220">
        <f>+'Base de Datos'!M772</f>
        <v>43588</v>
      </c>
      <c r="H772" s="220">
        <f>+'Base de Datos'!N772</f>
        <v>43831</v>
      </c>
      <c r="I772" s="179"/>
      <c r="J772" s="360"/>
      <c r="K772" s="237"/>
      <c r="L772" s="363"/>
      <c r="M772" s="179"/>
      <c r="N772" s="360"/>
      <c r="O772" s="179"/>
      <c r="P772" s="365"/>
      <c r="Q772" s="86">
        <f t="shared" si="58"/>
        <v>0</v>
      </c>
      <c r="R772" s="284"/>
      <c r="S772" s="360"/>
      <c r="T772" s="179"/>
      <c r="U772" s="360"/>
      <c r="V772" s="179"/>
      <c r="W772" s="360"/>
      <c r="X772" s="179"/>
      <c r="Y772" s="360"/>
      <c r="Z772" s="353"/>
      <c r="AA772" s="89">
        <f t="shared" si="59"/>
        <v>0</v>
      </c>
      <c r="AB772" s="237"/>
      <c r="AC772" s="237"/>
      <c r="AD772" s="237"/>
      <c r="AE772" s="237"/>
      <c r="AF772" s="237"/>
      <c r="AG772" s="237"/>
      <c r="AH772" s="237"/>
      <c r="AI772" s="237"/>
      <c r="AJ772" s="237"/>
      <c r="AK772" s="237"/>
      <c r="AL772" s="237"/>
      <c r="AM772" s="237"/>
      <c r="AN772" s="237"/>
      <c r="AO772" s="237"/>
      <c r="AP772" s="237"/>
      <c r="AQ772" s="237"/>
      <c r="AR772" s="237"/>
      <c r="AS772" s="237"/>
      <c r="AT772" s="360"/>
      <c r="AU772" s="91">
        <f t="shared" si="60"/>
        <v>0</v>
      </c>
    </row>
    <row r="773" spans="2:47" ht="33.75" hidden="1" x14ac:dyDescent="0.25">
      <c r="B773" s="2" t="str">
        <f>+'Base de Datos'!E773</f>
        <v>190250-0-2019</v>
      </c>
      <c r="C773" s="2" t="str">
        <f>+'Base de Datos'!F773</f>
        <v>ANABIA JULIETH ANGARITA GALINDO</v>
      </c>
      <c r="D773" s="2">
        <f>+'Base de Datos'!G773</f>
        <v>1013625644</v>
      </c>
      <c r="E773" s="2" t="str">
        <f>+'Base de Datos'!H773</f>
        <v>Prestar servicios profesionales para apoyar la gestión Administrativa documental y contractual en los asuntos de competencia del Concejo de Bogotá D.C.</v>
      </c>
      <c r="F773" s="221">
        <f>+'Base de Datos'!I773</f>
        <v>19878000</v>
      </c>
      <c r="G773" s="220">
        <f>+'Base de Datos'!M773</f>
        <v>43587</v>
      </c>
      <c r="H773" s="220">
        <f>+'Base de Datos'!N773</f>
        <v>43770</v>
      </c>
      <c r="I773" s="179"/>
      <c r="J773" s="360"/>
      <c r="K773" s="237"/>
      <c r="L773" s="363"/>
      <c r="M773" s="179"/>
      <c r="N773" s="360"/>
      <c r="O773" s="179"/>
      <c r="P773" s="365"/>
      <c r="Q773" s="86">
        <f t="shared" si="58"/>
        <v>0</v>
      </c>
      <c r="R773" s="284"/>
      <c r="S773" s="360"/>
      <c r="T773" s="179"/>
      <c r="U773" s="360"/>
      <c r="V773" s="179"/>
      <c r="W773" s="360"/>
      <c r="X773" s="179"/>
      <c r="Y773" s="360"/>
      <c r="Z773" s="353"/>
      <c r="AA773" s="89">
        <f t="shared" si="59"/>
        <v>0</v>
      </c>
      <c r="AB773" s="237">
        <v>3202567</v>
      </c>
      <c r="AC773" s="237"/>
      <c r="AD773" s="237"/>
      <c r="AE773" s="237"/>
      <c r="AF773" s="237"/>
      <c r="AG773" s="237"/>
      <c r="AH773" s="237"/>
      <c r="AI773" s="237"/>
      <c r="AJ773" s="237"/>
      <c r="AK773" s="237"/>
      <c r="AL773" s="237"/>
      <c r="AM773" s="237"/>
      <c r="AN773" s="237"/>
      <c r="AO773" s="237"/>
      <c r="AP773" s="237"/>
      <c r="AQ773" s="237"/>
      <c r="AR773" s="237"/>
      <c r="AS773" s="237"/>
      <c r="AT773" s="360">
        <v>43626</v>
      </c>
      <c r="AU773" s="91">
        <f t="shared" si="60"/>
        <v>3202567</v>
      </c>
    </row>
    <row r="774" spans="2:47" ht="22.5" hidden="1" x14ac:dyDescent="0.25">
      <c r="B774" s="2" t="str">
        <f>+'Base de Datos'!E774</f>
        <v>190252-0-2019</v>
      </c>
      <c r="C774" s="2" t="str">
        <f>+'Base de Datos'!F774</f>
        <v>VIVIANA MARCELA RODRIGUEZ OTAVO</v>
      </c>
      <c r="D774" s="2">
        <f>+'Base de Datos'!G774</f>
        <v>1016064307</v>
      </c>
      <c r="E774" s="2" t="str">
        <f>+'Base de Datos'!H774</f>
        <v xml:space="preserve">Prestar servicios de apoyo administrativo a la Dirección Jurídica del Concejo de Bogotá </v>
      </c>
      <c r="F774" s="221">
        <f>+'Base de Datos'!I774</f>
        <v>14497000</v>
      </c>
      <c r="G774" s="220">
        <f>+'Base de Datos'!M774</f>
        <v>43587</v>
      </c>
      <c r="H774" s="220">
        <f>+'Base de Datos'!N774</f>
        <v>43800</v>
      </c>
      <c r="I774" s="179"/>
      <c r="J774" s="360"/>
      <c r="K774" s="237"/>
      <c r="L774" s="363"/>
      <c r="M774" s="179"/>
      <c r="N774" s="360"/>
      <c r="O774" s="179"/>
      <c r="P774" s="365"/>
      <c r="Q774" s="86">
        <f t="shared" si="58"/>
        <v>0</v>
      </c>
      <c r="R774" s="284"/>
      <c r="S774" s="360"/>
      <c r="T774" s="179"/>
      <c r="U774" s="360"/>
      <c r="V774" s="179"/>
      <c r="W774" s="360"/>
      <c r="X774" s="179"/>
      <c r="Y774" s="360"/>
      <c r="Z774" s="353"/>
      <c r="AA774" s="89">
        <f t="shared" si="59"/>
        <v>0</v>
      </c>
      <c r="AB774" s="237">
        <v>2001967</v>
      </c>
      <c r="AC774" s="237"/>
      <c r="AD774" s="237"/>
      <c r="AE774" s="237"/>
      <c r="AF774" s="237"/>
      <c r="AG774" s="237"/>
      <c r="AH774" s="237"/>
      <c r="AI774" s="237"/>
      <c r="AJ774" s="237"/>
      <c r="AK774" s="237"/>
      <c r="AL774" s="237"/>
      <c r="AM774" s="237"/>
      <c r="AN774" s="237"/>
      <c r="AO774" s="237"/>
      <c r="AP774" s="237"/>
      <c r="AQ774" s="237"/>
      <c r="AR774" s="237"/>
      <c r="AS774" s="237"/>
      <c r="AT774" s="360">
        <v>43626</v>
      </c>
      <c r="AU774" s="91">
        <f t="shared" si="60"/>
        <v>2001967</v>
      </c>
    </row>
    <row r="775" spans="2:47" ht="45" hidden="1" x14ac:dyDescent="0.25">
      <c r="B775" s="2" t="str">
        <f>+'Base de Datos'!E775</f>
        <v>190253-0-2019</v>
      </c>
      <c r="C775" s="2" t="str">
        <f>+'Base de Datos'!F775</f>
        <v>PATRICIA VILLEGAS RODRIGUEZ</v>
      </c>
      <c r="D775" s="2">
        <f>+'Base de Datos'!G775</f>
        <v>52095685</v>
      </c>
      <c r="E775" s="2" t="str">
        <f>+'Base de Datos'!H775</f>
        <v>Prestar servicios profesionales para apoyar en el desarrollo e implementación de los sistemas de información requeridos construidos bajo la plataforma Oracle en el Concejo de Bogotá D.C.</v>
      </c>
      <c r="F775" s="221">
        <f>+'Base de Datos'!I775</f>
        <v>37266000</v>
      </c>
      <c r="G775" s="220">
        <f>+'Base de Datos'!M775</f>
        <v>43620</v>
      </c>
      <c r="H775" s="220">
        <f>+'Base de Datos'!N775</f>
        <v>43802</v>
      </c>
      <c r="I775" s="179"/>
      <c r="J775" s="360"/>
      <c r="K775" s="237"/>
      <c r="L775" s="363"/>
      <c r="M775" s="179"/>
      <c r="N775" s="360"/>
      <c r="O775" s="179"/>
      <c r="P775" s="365"/>
      <c r="Q775" s="86">
        <f t="shared" si="58"/>
        <v>0</v>
      </c>
      <c r="R775" s="284"/>
      <c r="S775" s="360"/>
      <c r="T775" s="179"/>
      <c r="U775" s="360"/>
      <c r="V775" s="179"/>
      <c r="W775" s="360"/>
      <c r="X775" s="179"/>
      <c r="Y775" s="360"/>
      <c r="Z775" s="353"/>
      <c r="AA775" s="89">
        <f t="shared" si="59"/>
        <v>0</v>
      </c>
      <c r="AB775" s="237"/>
      <c r="AC775" s="237"/>
      <c r="AD775" s="237"/>
      <c r="AE775" s="237"/>
      <c r="AF775" s="237"/>
      <c r="AG775" s="237"/>
      <c r="AH775" s="237"/>
      <c r="AI775" s="237"/>
      <c r="AJ775" s="237"/>
      <c r="AK775" s="237"/>
      <c r="AL775" s="237"/>
      <c r="AM775" s="237"/>
      <c r="AN775" s="237"/>
      <c r="AO775" s="237"/>
      <c r="AP775" s="237"/>
      <c r="AQ775" s="237"/>
      <c r="AR775" s="237"/>
      <c r="AS775" s="237"/>
      <c r="AT775" s="360"/>
      <c r="AU775" s="91">
        <f t="shared" si="60"/>
        <v>0</v>
      </c>
    </row>
    <row r="776" spans="2:47" ht="45" hidden="1" x14ac:dyDescent="0.25">
      <c r="B776" s="2" t="str">
        <f>+'Base de Datos'!E776</f>
        <v>190259-0-2019</v>
      </c>
      <c r="C776" s="2" t="str">
        <f>+'Base de Datos'!F776</f>
        <v>INSTITUTO DISTRITAL DE LAS ARTES - IDARTES</v>
      </c>
      <c r="D776" s="2" t="str">
        <f>+'Base de Datos'!G776</f>
        <v>900413030-9</v>
      </c>
      <c r="E776" s="2" t="str">
        <f>+'Base de Datos'!H776</f>
        <v xml:space="preserve">Entregar en comodato el teatro Jorge Eliécer Gaítan al Concejo de Bogotá para realizar el evento "Premios de Periodismo Álvaro Gómez Hurtado", que se llevará acabo el día 8 de mayo de 2019 </v>
      </c>
      <c r="F776" s="221">
        <f>+'Base de Datos'!I776</f>
        <v>7649412</v>
      </c>
      <c r="G776" s="220">
        <f>+'Base de Datos'!M776</f>
        <v>43587</v>
      </c>
      <c r="H776" s="220">
        <f>+'Base de Datos'!N776</f>
        <v>43623</v>
      </c>
      <c r="I776" s="179"/>
      <c r="J776" s="360"/>
      <c r="K776" s="237"/>
      <c r="L776" s="363"/>
      <c r="M776" s="179"/>
      <c r="N776" s="360"/>
      <c r="O776" s="179"/>
      <c r="P776" s="365"/>
      <c r="Q776" s="86">
        <f t="shared" si="58"/>
        <v>0</v>
      </c>
      <c r="R776" s="284"/>
      <c r="S776" s="360"/>
      <c r="T776" s="179"/>
      <c r="U776" s="360"/>
      <c r="V776" s="179"/>
      <c r="W776" s="360"/>
      <c r="X776" s="179"/>
      <c r="Y776" s="360"/>
      <c r="Z776" s="353"/>
      <c r="AA776" s="89">
        <f t="shared" si="59"/>
        <v>0</v>
      </c>
      <c r="AB776" s="237">
        <v>764941</v>
      </c>
      <c r="AC776" s="237">
        <v>6884471</v>
      </c>
      <c r="AD776" s="237"/>
      <c r="AE776" s="237"/>
      <c r="AF776" s="237"/>
      <c r="AG776" s="237"/>
      <c r="AH776" s="237"/>
      <c r="AI776" s="237"/>
      <c r="AJ776" s="237"/>
      <c r="AK776" s="237"/>
      <c r="AL776" s="237"/>
      <c r="AM776" s="237"/>
      <c r="AN776" s="237"/>
      <c r="AO776" s="237"/>
      <c r="AP776" s="237"/>
      <c r="AQ776" s="237"/>
      <c r="AR776" s="237"/>
      <c r="AS776" s="237"/>
      <c r="AT776" s="360">
        <v>43593</v>
      </c>
      <c r="AU776" s="91">
        <f t="shared" si="60"/>
        <v>7649412</v>
      </c>
    </row>
    <row r="777" spans="2:47" ht="56.25" hidden="1" x14ac:dyDescent="0.25">
      <c r="B777" s="2" t="str">
        <f>+'Base de Datos'!E777</f>
        <v>190255-0-2019</v>
      </c>
      <c r="C777" s="2" t="str">
        <f>+'Base de Datos'!F777</f>
        <v>DANY ALEXANDER FONSECA SANABRIA</v>
      </c>
      <c r="D777" s="2">
        <f>+'Base de Datos'!G777</f>
        <v>79629653</v>
      </c>
      <c r="E777" s="2" t="str">
        <f>+'Base de Datos'!H777</f>
        <v>Prestar servicios profesionales para acompañar al Concejo de Bogotá D.C., en la revisión y estudio de las historias laborales de los funcionarios para la definición técnica y jurídica del cumplimiento de requisitos en los diferentes regímenes de pensión.</v>
      </c>
      <c r="F777" s="221">
        <f>+'Base de Datos'!I777</f>
        <v>49147000</v>
      </c>
      <c r="G777" s="220">
        <f>+'Base de Datos'!M777</f>
        <v>43587</v>
      </c>
      <c r="H777" s="220">
        <f>+'Base de Datos'!N777</f>
        <v>43800</v>
      </c>
      <c r="I777" s="179"/>
      <c r="J777" s="360"/>
      <c r="K777" s="237"/>
      <c r="L777" s="363"/>
      <c r="M777" s="179"/>
      <c r="N777" s="360"/>
      <c r="O777" s="179"/>
      <c r="P777" s="365"/>
      <c r="Q777" s="86">
        <f t="shared" si="58"/>
        <v>0</v>
      </c>
      <c r="R777" s="284"/>
      <c r="S777" s="360"/>
      <c r="T777" s="179"/>
      <c r="U777" s="360"/>
      <c r="V777" s="179"/>
      <c r="W777" s="360"/>
      <c r="X777" s="179"/>
      <c r="Y777" s="360"/>
      <c r="Z777" s="353"/>
      <c r="AA777" s="89">
        <f t="shared" si="59"/>
        <v>0</v>
      </c>
      <c r="AB777" s="237">
        <v>6786967</v>
      </c>
      <c r="AC777" s="237"/>
      <c r="AD777" s="237"/>
      <c r="AE777" s="237"/>
      <c r="AF777" s="237"/>
      <c r="AG777" s="237"/>
      <c r="AH777" s="237"/>
      <c r="AI777" s="237"/>
      <c r="AJ777" s="237"/>
      <c r="AK777" s="237"/>
      <c r="AL777" s="237"/>
      <c r="AM777" s="237"/>
      <c r="AN777" s="237"/>
      <c r="AO777" s="237"/>
      <c r="AP777" s="237"/>
      <c r="AQ777" s="237"/>
      <c r="AR777" s="237"/>
      <c r="AS777" s="237"/>
      <c r="AT777" s="360">
        <v>43623</v>
      </c>
      <c r="AU777" s="91">
        <f t="shared" si="60"/>
        <v>6786967</v>
      </c>
    </row>
    <row r="778" spans="2:47" ht="33.75" hidden="1" x14ac:dyDescent="0.25">
      <c r="B778" s="2" t="str">
        <f>+'Base de Datos'!E778</f>
        <v>190262-0-2019</v>
      </c>
      <c r="C778" s="2" t="str">
        <f>+'Base de Datos'!F778</f>
        <v>MIACOM SAS</v>
      </c>
      <c r="D778" s="2" t="str">
        <f>+'Base de Datos'!G778</f>
        <v>900677188-6</v>
      </c>
      <c r="E778" s="2" t="str">
        <f>+'Base de Datos'!H778</f>
        <v>Prestar servicios de diseño producción y ejecución de estrategias de divulgación en medios de comunicación de carácter masivo y alternativo para el Concejo de Bogotá.</v>
      </c>
      <c r="F778" s="221">
        <f>+'Base de Datos'!I778</f>
        <v>482700000</v>
      </c>
      <c r="G778" s="220">
        <f>+'Base de Datos'!M778</f>
        <v>43591</v>
      </c>
      <c r="H778" s="220">
        <f>+'Base de Datos'!N778</f>
        <v>43774</v>
      </c>
      <c r="I778" s="179"/>
      <c r="J778" s="360"/>
      <c r="K778" s="237"/>
      <c r="L778" s="363"/>
      <c r="M778" s="179"/>
      <c r="N778" s="360"/>
      <c r="O778" s="179"/>
      <c r="P778" s="365"/>
      <c r="Q778" s="86">
        <f t="shared" si="58"/>
        <v>0</v>
      </c>
      <c r="R778" s="284"/>
      <c r="S778" s="360"/>
      <c r="T778" s="179"/>
      <c r="U778" s="360"/>
      <c r="V778" s="179"/>
      <c r="W778" s="360"/>
      <c r="X778" s="179"/>
      <c r="Y778" s="360"/>
      <c r="Z778" s="353"/>
      <c r="AA778" s="89">
        <f t="shared" si="59"/>
        <v>0</v>
      </c>
      <c r="AB778" s="237"/>
      <c r="AC778" s="237"/>
      <c r="AD778" s="237"/>
      <c r="AE778" s="237"/>
      <c r="AF778" s="237"/>
      <c r="AG778" s="237"/>
      <c r="AH778" s="237"/>
      <c r="AI778" s="237"/>
      <c r="AJ778" s="237"/>
      <c r="AK778" s="237"/>
      <c r="AL778" s="237"/>
      <c r="AM778" s="237"/>
      <c r="AN778" s="237"/>
      <c r="AO778" s="237"/>
      <c r="AP778" s="237"/>
      <c r="AQ778" s="237"/>
      <c r="AR778" s="237"/>
      <c r="AS778" s="237"/>
      <c r="AT778" s="360"/>
      <c r="AU778" s="91">
        <f t="shared" si="60"/>
        <v>0</v>
      </c>
    </row>
    <row r="779" spans="2:47" ht="33.75" hidden="1" x14ac:dyDescent="0.25">
      <c r="B779" s="2" t="str">
        <f>+'Base de Datos'!E779</f>
        <v>190260-0-2019</v>
      </c>
      <c r="C779" s="2" t="str">
        <f>+'Base de Datos'!F779</f>
        <v xml:space="preserve">ARANDA SOFTWARE ANDINA SAS  </v>
      </c>
      <c r="D779" s="2">
        <f>+'Base de Datos'!G779</f>
        <v>830099766</v>
      </c>
      <c r="E779" s="2" t="str">
        <f>+'Base de Datos'!H779</f>
        <v>Prestar servicios de actualización y soporte para el software para la gestión de la mesa de servicios - Aranda para el Concejo de Bogotá</v>
      </c>
      <c r="F779" s="221">
        <f>+'Base de Datos'!I779</f>
        <v>70231374</v>
      </c>
      <c r="G779" s="220">
        <f>+'Base de Datos'!M779</f>
        <v>43598</v>
      </c>
      <c r="H779" s="220">
        <f>+'Base de Datos'!N779</f>
        <v>43933</v>
      </c>
      <c r="I779" s="179"/>
      <c r="J779" s="360"/>
      <c r="K779" s="237"/>
      <c r="L779" s="363"/>
      <c r="M779" s="179"/>
      <c r="N779" s="360"/>
      <c r="O779" s="179"/>
      <c r="P779" s="365"/>
      <c r="Q779" s="86">
        <f t="shared" si="58"/>
        <v>0</v>
      </c>
      <c r="R779" s="284"/>
      <c r="S779" s="360"/>
      <c r="T779" s="179"/>
      <c r="U779" s="360"/>
      <c r="V779" s="179"/>
      <c r="W779" s="360"/>
      <c r="X779" s="179"/>
      <c r="Y779" s="360"/>
      <c r="Z779" s="353"/>
      <c r="AA779" s="89">
        <f t="shared" si="59"/>
        <v>0</v>
      </c>
      <c r="AB779" s="237"/>
      <c r="AC779" s="237"/>
      <c r="AD779" s="237"/>
      <c r="AE779" s="237"/>
      <c r="AF779" s="237"/>
      <c r="AG779" s="237"/>
      <c r="AH779" s="237"/>
      <c r="AI779" s="237"/>
      <c r="AJ779" s="237"/>
      <c r="AK779" s="237"/>
      <c r="AL779" s="237"/>
      <c r="AM779" s="237"/>
      <c r="AN779" s="237"/>
      <c r="AO779" s="237"/>
      <c r="AP779" s="237"/>
      <c r="AQ779" s="237"/>
      <c r="AR779" s="237"/>
      <c r="AS779" s="237"/>
      <c r="AT779" s="360"/>
      <c r="AU779" s="91">
        <f t="shared" si="60"/>
        <v>0</v>
      </c>
    </row>
    <row r="780" spans="2:47" ht="45" hidden="1" x14ac:dyDescent="0.25">
      <c r="B780" s="2" t="str">
        <f>+'Base de Datos'!E780</f>
        <v>190263-0-2019</v>
      </c>
      <c r="C780" s="2" t="str">
        <f>+'Base de Datos'!F780</f>
        <v>MARTHA PATRICIA ORTIZ CASTAÑO</v>
      </c>
      <c r="D780" s="2">
        <f>+'Base de Datos'!G780</f>
        <v>41690000</v>
      </c>
      <c r="E780" s="2" t="str">
        <f>+'Base de Datos'!H780</f>
        <v>Prestar servicios profesionales para apoyar a la Secretaría General del Concejo de Bogotá en la respuesta a derechos de petición solicitudes quejas consultas  y reclamos que reciba la Corporación.</v>
      </c>
      <c r="F780" s="221">
        <f>+'Base de Datos'!I780</f>
        <v>27222000</v>
      </c>
      <c r="G780" s="220">
        <f>+'Base de Datos'!M780</f>
        <v>43594</v>
      </c>
      <c r="H780" s="220">
        <f>+'Base de Datos'!N780</f>
        <v>43777</v>
      </c>
      <c r="I780" s="179"/>
      <c r="J780" s="360"/>
      <c r="K780" s="237"/>
      <c r="L780" s="363"/>
      <c r="M780" s="179"/>
      <c r="N780" s="360"/>
      <c r="O780" s="179"/>
      <c r="P780" s="365"/>
      <c r="Q780" s="86">
        <f t="shared" si="58"/>
        <v>0</v>
      </c>
      <c r="R780" s="284"/>
      <c r="S780" s="360"/>
      <c r="T780" s="179"/>
      <c r="U780" s="360"/>
      <c r="V780" s="179"/>
      <c r="W780" s="360"/>
      <c r="X780" s="179"/>
      <c r="Y780" s="360"/>
      <c r="Z780" s="353"/>
      <c r="AA780" s="89">
        <f t="shared" si="59"/>
        <v>0</v>
      </c>
      <c r="AB780" s="237">
        <v>3175900</v>
      </c>
      <c r="AC780" s="237"/>
      <c r="AD780" s="237"/>
      <c r="AE780" s="237"/>
      <c r="AF780" s="237"/>
      <c r="AG780" s="237"/>
      <c r="AH780" s="237"/>
      <c r="AI780" s="237"/>
      <c r="AJ780" s="237"/>
      <c r="AK780" s="237"/>
      <c r="AL780" s="237"/>
      <c r="AM780" s="237"/>
      <c r="AN780" s="237"/>
      <c r="AO780" s="237"/>
      <c r="AP780" s="237"/>
      <c r="AQ780" s="237"/>
      <c r="AR780" s="237"/>
      <c r="AS780" s="237"/>
      <c r="AT780" s="360">
        <v>43630</v>
      </c>
      <c r="AU780" s="91">
        <f t="shared" si="60"/>
        <v>3175900</v>
      </c>
    </row>
    <row r="781" spans="2:47" ht="33.75" hidden="1" x14ac:dyDescent="0.25">
      <c r="B781" s="2" t="str">
        <f>+'Base de Datos'!E781</f>
        <v>190267-0-2019</v>
      </c>
      <c r="C781" s="2" t="str">
        <f>+'Base de Datos'!F781</f>
        <v>JEFFERSON FARUK CAMPOS RAMIREZ</v>
      </c>
      <c r="D781" s="2">
        <f>+'Base de Datos'!G781</f>
        <v>1013610856</v>
      </c>
      <c r="E781" s="2" t="str">
        <f>+'Base de Datos'!H781</f>
        <v>Presatar servicios profesionales para apoyar el proceso de sistemas y seguirdad de la información del Concejo de Bogotá en materia de seguridad informática.</v>
      </c>
      <c r="F781" s="221">
        <f>+'Base de Datos'!I781</f>
        <v>24846000</v>
      </c>
      <c r="G781" s="220">
        <f>+'Base de Datos'!M781</f>
        <v>43595</v>
      </c>
      <c r="H781" s="220">
        <f>+'Base de Datos'!N781</f>
        <v>43778</v>
      </c>
      <c r="I781" s="179"/>
      <c r="J781" s="360"/>
      <c r="K781" s="237"/>
      <c r="L781" s="363"/>
      <c r="M781" s="179"/>
      <c r="N781" s="360"/>
      <c r="O781" s="179"/>
      <c r="P781" s="365"/>
      <c r="Q781" s="86">
        <f t="shared" si="58"/>
        <v>0</v>
      </c>
      <c r="R781" s="284"/>
      <c r="S781" s="360"/>
      <c r="T781" s="179"/>
      <c r="U781" s="360"/>
      <c r="V781" s="179"/>
      <c r="W781" s="360"/>
      <c r="X781" s="179"/>
      <c r="Y781" s="360"/>
      <c r="Z781" s="353"/>
      <c r="AA781" s="89">
        <f t="shared" si="59"/>
        <v>0</v>
      </c>
      <c r="AB781" s="237">
        <v>2898700</v>
      </c>
      <c r="AC781" s="237"/>
      <c r="AD781" s="237"/>
      <c r="AE781" s="237"/>
      <c r="AF781" s="237"/>
      <c r="AG781" s="237"/>
      <c r="AH781" s="237"/>
      <c r="AI781" s="237"/>
      <c r="AJ781" s="237"/>
      <c r="AK781" s="237"/>
      <c r="AL781" s="237"/>
      <c r="AM781" s="237"/>
      <c r="AN781" s="237"/>
      <c r="AO781" s="237"/>
      <c r="AP781" s="237"/>
      <c r="AQ781" s="237"/>
      <c r="AR781" s="237"/>
      <c r="AS781" s="237"/>
      <c r="AT781" s="360">
        <v>43627</v>
      </c>
      <c r="AU781" s="91">
        <f t="shared" si="60"/>
        <v>2898700</v>
      </c>
    </row>
    <row r="782" spans="2:47" ht="33.75" hidden="1" x14ac:dyDescent="0.25">
      <c r="B782" s="2" t="str">
        <f>+'Base de Datos'!E782</f>
        <v>190269-0-2019</v>
      </c>
      <c r="C782" s="2" t="str">
        <f>+'Base de Datos'!F782</f>
        <v>FACTOR VISUAL EAT</v>
      </c>
      <c r="D782" s="2">
        <f>+'Base de Datos'!G782</f>
        <v>830112518</v>
      </c>
      <c r="E782" s="2" t="str">
        <f>+'Base de Datos'!H782</f>
        <v xml:space="preserve">Prestar servicios de actualización, mantenimiento y soporte para las licencias del sitio WEB e intraet y de streaming del Concejo de Bogotá. </v>
      </c>
      <c r="F782" s="221">
        <f>+'Base de Datos'!I782</f>
        <v>73645000</v>
      </c>
      <c r="G782" s="220">
        <f>+'Base de Datos'!M782</f>
        <v>43608</v>
      </c>
      <c r="H782" s="220">
        <f>+'Base de Datos'!N782</f>
        <v>43973</v>
      </c>
      <c r="I782" s="179"/>
      <c r="J782" s="360"/>
      <c r="K782" s="237"/>
      <c r="L782" s="363"/>
      <c r="M782" s="179"/>
      <c r="N782" s="360"/>
      <c r="O782" s="179"/>
      <c r="P782" s="365"/>
      <c r="Q782" s="86">
        <f t="shared" si="58"/>
        <v>0</v>
      </c>
      <c r="R782" s="284"/>
      <c r="S782" s="360"/>
      <c r="T782" s="179"/>
      <c r="U782" s="360"/>
      <c r="V782" s="179"/>
      <c r="W782" s="360"/>
      <c r="X782" s="179"/>
      <c r="Y782" s="360"/>
      <c r="Z782" s="353"/>
      <c r="AA782" s="89">
        <f t="shared" si="59"/>
        <v>0</v>
      </c>
      <c r="AB782" s="237"/>
      <c r="AC782" s="237"/>
      <c r="AD782" s="237"/>
      <c r="AE782" s="237"/>
      <c r="AF782" s="237"/>
      <c r="AG782" s="237"/>
      <c r="AH782" s="237"/>
      <c r="AI782" s="237"/>
      <c r="AJ782" s="237"/>
      <c r="AK782" s="237"/>
      <c r="AL782" s="237"/>
      <c r="AM782" s="237"/>
      <c r="AN782" s="237"/>
      <c r="AO782" s="237"/>
      <c r="AP782" s="237"/>
      <c r="AQ782" s="237"/>
      <c r="AR782" s="237"/>
      <c r="AS782" s="237"/>
      <c r="AT782" s="360"/>
      <c r="AU782" s="91">
        <f t="shared" si="60"/>
        <v>0</v>
      </c>
    </row>
    <row r="783" spans="2:47" ht="22.5" hidden="1" x14ac:dyDescent="0.25">
      <c r="B783" s="2" t="str">
        <f>+'Base de Datos'!E783</f>
        <v>190270-0-2019</v>
      </c>
      <c r="C783" s="2" t="str">
        <f>+'Base de Datos'!F783</f>
        <v>SOLUCIONES ICG SAS</v>
      </c>
      <c r="D783" s="2">
        <f>+'Base de Datos'!G783</f>
        <v>900891247</v>
      </c>
      <c r="E783" s="2" t="str">
        <f>+'Base de Datos'!H783</f>
        <v>Prestar servicios de soporte y actualización del software antivirus para el Concejo de Bogotá</v>
      </c>
      <c r="F783" s="221">
        <f>+'Base de Datos'!I783</f>
        <v>71639850</v>
      </c>
      <c r="G783" s="220">
        <f>+'Base de Datos'!M783</f>
        <v>43612</v>
      </c>
      <c r="H783" s="220">
        <f>+'Base de Datos'!N783</f>
        <v>43977</v>
      </c>
      <c r="I783" s="179"/>
      <c r="J783" s="360"/>
      <c r="K783" s="237"/>
      <c r="L783" s="363"/>
      <c r="M783" s="179"/>
      <c r="N783" s="360"/>
      <c r="O783" s="179"/>
      <c r="P783" s="365"/>
      <c r="Q783" s="86">
        <f t="shared" si="58"/>
        <v>0</v>
      </c>
      <c r="R783" s="284"/>
      <c r="S783" s="360"/>
      <c r="T783" s="179"/>
      <c r="U783" s="360"/>
      <c r="V783" s="179"/>
      <c r="W783" s="360"/>
      <c r="X783" s="179"/>
      <c r="Y783" s="360"/>
      <c r="Z783" s="353"/>
      <c r="AA783" s="89">
        <f t="shared" si="59"/>
        <v>0</v>
      </c>
      <c r="AB783" s="237"/>
      <c r="AC783" s="237"/>
      <c r="AD783" s="237"/>
      <c r="AE783" s="237"/>
      <c r="AF783" s="237"/>
      <c r="AG783" s="237"/>
      <c r="AH783" s="237"/>
      <c r="AI783" s="237"/>
      <c r="AJ783" s="237"/>
      <c r="AK783" s="237"/>
      <c r="AL783" s="237"/>
      <c r="AM783" s="237"/>
      <c r="AN783" s="237"/>
      <c r="AO783" s="237"/>
      <c r="AP783" s="237"/>
      <c r="AQ783" s="237"/>
      <c r="AR783" s="237"/>
      <c r="AS783" s="237"/>
      <c r="AT783" s="360"/>
      <c r="AU783" s="91">
        <f t="shared" si="60"/>
        <v>0</v>
      </c>
    </row>
    <row r="784" spans="2:47" ht="56.25" hidden="1" x14ac:dyDescent="0.25">
      <c r="B784" s="2" t="str">
        <f>+'Base de Datos'!E784</f>
        <v>190279-0-2019</v>
      </c>
      <c r="C784" s="2" t="str">
        <f>+'Base de Datos'!F784</f>
        <v>SEGURIDAD ATLAS LTDA</v>
      </c>
      <c r="D784" s="2">
        <f>+'Base de Datos'!G784</f>
        <v>890312749</v>
      </c>
      <c r="E784" s="2" t="str">
        <f>+'Base de Datos'!H784</f>
        <v xml:space="preserve">Prestar servicio de vigilancia y seguridad privada, para la permanente y adecuada protección de los funcionarios, contratistas y visitantes del Concejo de Bogotá, D.C., y de los bienes muebles e inmuebles objeto de esta contratación. </v>
      </c>
      <c r="F784" s="221">
        <f>+'Base de Datos'!I784</f>
        <v>1474500000</v>
      </c>
      <c r="G784" s="220">
        <f>+'Base de Datos'!M784</f>
        <v>43616</v>
      </c>
      <c r="H784" s="220">
        <f>+'Base de Datos'!N784</f>
        <v>43981</v>
      </c>
      <c r="I784" s="179"/>
      <c r="J784" s="360"/>
      <c r="K784" s="237"/>
      <c r="L784" s="363"/>
      <c r="M784" s="179"/>
      <c r="N784" s="360"/>
      <c r="O784" s="179"/>
      <c r="P784" s="365"/>
      <c r="Q784" s="86">
        <f t="shared" si="58"/>
        <v>0</v>
      </c>
      <c r="R784" s="284"/>
      <c r="S784" s="360"/>
      <c r="T784" s="179"/>
      <c r="U784" s="360"/>
      <c r="V784" s="179"/>
      <c r="W784" s="360"/>
      <c r="X784" s="179"/>
      <c r="Y784" s="360"/>
      <c r="Z784" s="353"/>
      <c r="AA784" s="89">
        <f t="shared" si="59"/>
        <v>0</v>
      </c>
      <c r="AB784" s="237"/>
      <c r="AC784" s="237"/>
      <c r="AD784" s="237"/>
      <c r="AE784" s="237"/>
      <c r="AF784" s="237"/>
      <c r="AG784" s="237"/>
      <c r="AH784" s="237"/>
      <c r="AI784" s="237"/>
      <c r="AJ784" s="237"/>
      <c r="AK784" s="237"/>
      <c r="AL784" s="237"/>
      <c r="AM784" s="237"/>
      <c r="AN784" s="237"/>
      <c r="AO784" s="237"/>
      <c r="AP784" s="237"/>
      <c r="AQ784" s="237"/>
      <c r="AR784" s="237"/>
      <c r="AS784" s="237"/>
      <c r="AT784" s="360"/>
      <c r="AU784" s="91">
        <f t="shared" si="60"/>
        <v>0</v>
      </c>
    </row>
    <row r="785" spans="2:49" ht="67.5" hidden="1" x14ac:dyDescent="0.25">
      <c r="B785" s="2" t="str">
        <f>+'Base de Datos'!E785</f>
        <v>190283-0-2019</v>
      </c>
      <c r="C785" s="2" t="str">
        <f>+'Base de Datos'!F785</f>
        <v>LILIANA BASTIDAS LINARES</v>
      </c>
      <c r="D785" s="2">
        <f>+'Base de Datos'!G785</f>
        <v>52514816</v>
      </c>
      <c r="E785" s="2" t="str">
        <f>+'Base de Datos'!H785</f>
        <v>Prestar servicios profesionales a la Dirección Jurídica del Concejo de Bogotá D.C., en el marco de los asuntos de su competencia y de acuerdo a la normatividad vigente con el fin de realizar las actividades necesarias para la depuración y actualización normativa del periodo 2015-2018.</v>
      </c>
      <c r="F785" s="221">
        <f>+'Base de Datos'!I785</f>
        <v>53864000</v>
      </c>
      <c r="G785" s="220">
        <f>+'Base de Datos'!M785</f>
        <v>43614</v>
      </c>
      <c r="H785" s="220">
        <f>+'Base de Datos'!N785</f>
        <v>43830</v>
      </c>
      <c r="I785" s="179"/>
      <c r="J785" s="360"/>
      <c r="K785" s="237"/>
      <c r="L785" s="363"/>
      <c r="M785" s="179"/>
      <c r="N785" s="360"/>
      <c r="O785" s="179"/>
      <c r="P785" s="365"/>
      <c r="Q785" s="86">
        <f t="shared" si="58"/>
        <v>0</v>
      </c>
      <c r="R785" s="284"/>
      <c r="S785" s="360"/>
      <c r="T785" s="179"/>
      <c r="U785" s="360"/>
      <c r="V785" s="179"/>
      <c r="W785" s="360"/>
      <c r="X785" s="179"/>
      <c r="Y785" s="360"/>
      <c r="Z785" s="353"/>
      <c r="AA785" s="89">
        <f t="shared" si="59"/>
        <v>0</v>
      </c>
      <c r="AB785" s="237"/>
      <c r="AC785" s="237"/>
      <c r="AD785" s="237"/>
      <c r="AE785" s="237"/>
      <c r="AF785" s="237"/>
      <c r="AG785" s="237"/>
      <c r="AH785" s="237"/>
      <c r="AI785" s="237"/>
      <c r="AJ785" s="237"/>
      <c r="AK785" s="237"/>
      <c r="AL785" s="237"/>
      <c r="AM785" s="237"/>
      <c r="AN785" s="237"/>
      <c r="AO785" s="237"/>
      <c r="AP785" s="237"/>
      <c r="AQ785" s="237"/>
      <c r="AR785" s="237"/>
      <c r="AS785" s="237"/>
      <c r="AT785" s="360"/>
      <c r="AU785" s="91">
        <f t="shared" si="60"/>
        <v>0</v>
      </c>
    </row>
    <row r="786" spans="2:49" ht="67.5" hidden="1" x14ac:dyDescent="0.25">
      <c r="B786" s="2" t="str">
        <f>+'Base de Datos'!E786</f>
        <v>190284-0-2019</v>
      </c>
      <c r="C786" s="2" t="str">
        <f>+'Base de Datos'!F786</f>
        <v>JOSE GABRIEL PARRA PIRAZAN</v>
      </c>
      <c r="D786" s="2">
        <f>+'Base de Datos'!G786</f>
        <v>79436393</v>
      </c>
      <c r="E786" s="2" t="str">
        <f>+'Base de Datos'!H786</f>
        <v>Prestar servicios profesionales a la Dirección Jurídica del Concejo de Bogotá D.C., en el marco de los asuntos de su competencia y de acuerdo a la normatividad vigente con el fin de realizar las actividades necesarias para la depuración y actualización normativa del periodo 2015-2018.</v>
      </c>
      <c r="F786" s="221">
        <f>+'Base de Datos'!I786</f>
        <v>53864000</v>
      </c>
      <c r="G786" s="220">
        <f>+'Base de Datos'!M786</f>
        <v>43614</v>
      </c>
      <c r="H786" s="220">
        <f>+'Base de Datos'!N786</f>
        <v>43830</v>
      </c>
      <c r="I786" s="179"/>
      <c r="J786" s="360"/>
      <c r="K786" s="237"/>
      <c r="L786" s="363"/>
      <c r="M786" s="179"/>
      <c r="N786" s="360"/>
      <c r="O786" s="179"/>
      <c r="P786" s="365"/>
      <c r="Q786" s="86">
        <f t="shared" si="58"/>
        <v>0</v>
      </c>
      <c r="R786" s="284"/>
      <c r="S786" s="360"/>
      <c r="T786" s="179"/>
      <c r="U786" s="360"/>
      <c r="V786" s="179"/>
      <c r="W786" s="360"/>
      <c r="X786" s="179"/>
      <c r="Y786" s="1043"/>
      <c r="Z786" s="1044"/>
      <c r="AA786" s="1045">
        <f t="shared" si="59"/>
        <v>0</v>
      </c>
      <c r="AB786" s="237"/>
      <c r="AC786" s="237"/>
      <c r="AD786" s="237"/>
      <c r="AE786" s="237"/>
      <c r="AF786" s="237"/>
      <c r="AG786" s="237"/>
      <c r="AH786" s="237"/>
      <c r="AI786" s="237"/>
      <c r="AJ786" s="237"/>
      <c r="AK786" s="237"/>
      <c r="AL786" s="237"/>
      <c r="AM786" s="237"/>
      <c r="AN786" s="237"/>
      <c r="AO786" s="237"/>
      <c r="AP786" s="237"/>
      <c r="AQ786" s="237"/>
      <c r="AR786" s="237"/>
      <c r="AS786" s="237"/>
      <c r="AT786" s="360"/>
      <c r="AU786" s="91">
        <f t="shared" si="60"/>
        <v>0</v>
      </c>
    </row>
    <row r="787" spans="2:49" hidden="1" x14ac:dyDescent="0.25">
      <c r="B787" s="2" t="str">
        <f>+'Base de Datos'!E787</f>
        <v>190287-0-2019</v>
      </c>
      <c r="C787" s="2" t="str">
        <f>+'Base de Datos'!F787</f>
        <v>JOSE VICENTE PEÑA PINZON</v>
      </c>
    </row>
    <row r="788" spans="2:49" ht="22.5" hidden="1" x14ac:dyDescent="0.25">
      <c r="B788" s="2" t="str">
        <f>+'Base de Datos'!E788</f>
        <v>190293-0-2019</v>
      </c>
      <c r="C788" s="2" t="str">
        <f>+'Base de Datos'!F788</f>
        <v>IVONNE ALEXANDRA RODRIGUEZ RUEDA</v>
      </c>
    </row>
    <row r="789" spans="2:49" ht="22.5" hidden="1" x14ac:dyDescent="0.25">
      <c r="B789" s="2" t="str">
        <f>+'Base de Datos'!E789</f>
        <v>190286-0-2019</v>
      </c>
      <c r="C789" s="2" t="str">
        <f>+'Base de Datos'!F789</f>
        <v>FELIX ENRIQUE GONZALEZ CALDERON</v>
      </c>
    </row>
    <row r="790" spans="2:49" hidden="1" x14ac:dyDescent="0.25">
      <c r="B790" s="2" t="str">
        <f>+'Base de Datos'!E790</f>
        <v>190294-0-2019</v>
      </c>
      <c r="C790" s="2" t="str">
        <f>+'Base de Datos'!F790</f>
        <v>NIDIA GOMEZ CORTES</v>
      </c>
    </row>
    <row r="791" spans="2:49" hidden="1" x14ac:dyDescent="0.25">
      <c r="B791" s="2" t="str">
        <f>+'Base de Datos'!E791</f>
        <v>190285-0-2019</v>
      </c>
      <c r="C791" s="2" t="str">
        <f>+'Base de Datos'!F791</f>
        <v>COMERCIALIZADORA BENDITO SAS</v>
      </c>
    </row>
    <row r="792" spans="2:49" hidden="1" x14ac:dyDescent="0.25">
      <c r="B792" s="2" t="str">
        <f>+'Base de Datos'!E792</f>
        <v>190296-0-2019</v>
      </c>
      <c r="C792" s="2" t="str">
        <f>+'Base de Datos'!F792</f>
        <v>ARIOS COLOMBIA SAS</v>
      </c>
    </row>
    <row r="793" spans="2:49" ht="22.5" hidden="1" x14ac:dyDescent="0.25">
      <c r="B793" s="2" t="str">
        <f>+'Base de Datos'!E793</f>
        <v>190298-0-2019</v>
      </c>
      <c r="C793" s="2" t="str">
        <f>+'Base de Datos'!F793</f>
        <v>CAJA DE COMPENSACION FAMILIAR COMPENSAR</v>
      </c>
    </row>
    <row r="794" spans="2:49" hidden="1" x14ac:dyDescent="0.25">
      <c r="B794" s="2" t="str">
        <f>+'Base de Datos'!E794</f>
        <v>190308-0-2019</v>
      </c>
      <c r="C794" s="2" t="str">
        <f>+'Base de Datos'!F794</f>
        <v>DORA QUIROGA MENDOZA</v>
      </c>
    </row>
    <row r="795" spans="2:49" hidden="1" x14ac:dyDescent="0.25">
      <c r="B795" s="2" t="str">
        <f>+'Base de Datos'!E795</f>
        <v>190309-0-2019</v>
      </c>
      <c r="C795" s="2" t="str">
        <f>+'Base de Datos'!F795</f>
        <v>CAROLINA ZARATE ARCOS</v>
      </c>
      <c r="AW795" s="1052"/>
    </row>
    <row r="796" spans="2:49" ht="22.5" hidden="1" x14ac:dyDescent="0.25">
      <c r="B796" s="2" t="str">
        <f>+'Base de Datos'!E796</f>
        <v>190306-0-2019</v>
      </c>
      <c r="C796" s="2" t="str">
        <f>+'Base de Datos'!F796</f>
        <v>CLAUDIA MARCELA HOLGUIN HERRERA</v>
      </c>
    </row>
    <row r="797" spans="2:49" hidden="1" x14ac:dyDescent="0.25">
      <c r="B797" s="2" t="str">
        <f>+'Base de Datos'!E797</f>
        <v>190305-0-2019</v>
      </c>
      <c r="C797" s="2" t="str">
        <f>+'Base de Datos'!F797</f>
        <v>HERNANDO REYES ARANGO</v>
      </c>
    </row>
    <row r="798" spans="2:49" hidden="1" x14ac:dyDescent="0.25">
      <c r="B798" s="2" t="str">
        <f>+'Base de Datos'!E798</f>
        <v>190300-0-2019</v>
      </c>
      <c r="C798" s="2" t="str">
        <f>+'Base de Datos'!F798</f>
        <v>INGELECTRO SAS</v>
      </c>
    </row>
    <row r="799" spans="2:49" hidden="1" x14ac:dyDescent="0.25">
      <c r="B799" s="2" t="str">
        <f>+'Base de Datos'!E799</f>
        <v>190312-0-2019</v>
      </c>
      <c r="C799" s="2" t="str">
        <f>+'Base de Datos'!F799</f>
        <v>JHON ELKIN GARIBELLO CORREA</v>
      </c>
    </row>
    <row r="800" spans="2:49" hidden="1" x14ac:dyDescent="0.25">
      <c r="B800" s="2" t="str">
        <f>+'Base de Datos'!E800</f>
        <v>190303-0-2019</v>
      </c>
      <c r="C800" s="2" t="str">
        <f>+'Base de Datos'!F800</f>
        <v>EVALUA SALUD IPS SAS</v>
      </c>
    </row>
    <row r="801" spans="2:3" hidden="1" x14ac:dyDescent="0.25">
      <c r="B801" s="2">
        <f>+'Base de Datos'!E801</f>
        <v>0</v>
      </c>
      <c r="C801" s="2">
        <f>+'Base de Datos'!F801</f>
        <v>0</v>
      </c>
    </row>
    <row r="802" spans="2:3" hidden="1" x14ac:dyDescent="0.25">
      <c r="B802" s="2">
        <f>+'Base de Datos'!E802</f>
        <v>0</v>
      </c>
      <c r="C802" s="2">
        <f>+'Base de Datos'!F802</f>
        <v>0</v>
      </c>
    </row>
    <row r="803" spans="2:3" hidden="1" x14ac:dyDescent="0.25">
      <c r="B803" s="2">
        <f>+'Base de Datos'!E803</f>
        <v>0</v>
      </c>
      <c r="C803" s="2">
        <f>+'Base de Datos'!F803</f>
        <v>0</v>
      </c>
    </row>
    <row r="804" spans="2:3" hidden="1" x14ac:dyDescent="0.25">
      <c r="B804" s="2">
        <f>+'Base de Datos'!E804</f>
        <v>0</v>
      </c>
      <c r="C804" s="2">
        <f>+'Base de Datos'!F804</f>
        <v>0</v>
      </c>
    </row>
    <row r="805" spans="2:3" hidden="1" x14ac:dyDescent="0.25">
      <c r="B805" s="2">
        <f>+'Base de Datos'!E805</f>
        <v>0</v>
      </c>
      <c r="C805" s="2">
        <f>+'Base de Datos'!F805</f>
        <v>0</v>
      </c>
    </row>
    <row r="806" spans="2:3" hidden="1" x14ac:dyDescent="0.25">
      <c r="B806" s="2">
        <f>+'Base de Datos'!E806</f>
        <v>0</v>
      </c>
      <c r="C806" s="2">
        <f>+'Base de Datos'!F806</f>
        <v>0</v>
      </c>
    </row>
    <row r="807" spans="2:3" hidden="1" x14ac:dyDescent="0.25">
      <c r="B807" s="2">
        <f>+'Base de Datos'!E807</f>
        <v>0</v>
      </c>
      <c r="C807" s="2">
        <f>+'Base de Datos'!F807</f>
        <v>0</v>
      </c>
    </row>
    <row r="808" spans="2:3" hidden="1" x14ac:dyDescent="0.25">
      <c r="B808" s="2">
        <f>+'Base de Datos'!E808</f>
        <v>0</v>
      </c>
      <c r="C808" s="2">
        <f>+'Base de Datos'!F808</f>
        <v>0</v>
      </c>
    </row>
    <row r="809" spans="2:3" hidden="1" x14ac:dyDescent="0.25">
      <c r="B809" s="2">
        <f>+'Base de Datos'!E809</f>
        <v>0</v>
      </c>
      <c r="C809" s="2">
        <f>+'Base de Datos'!F809</f>
        <v>0</v>
      </c>
    </row>
    <row r="810" spans="2:3" hidden="1" x14ac:dyDescent="0.25">
      <c r="B810" s="2">
        <f>+'Base de Datos'!E810</f>
        <v>0</v>
      </c>
      <c r="C810" s="2">
        <f>+'Base de Datos'!F810</f>
        <v>0</v>
      </c>
    </row>
    <row r="811" spans="2:3" hidden="1" x14ac:dyDescent="0.25">
      <c r="B811" s="2">
        <f>+'Base de Datos'!E811</f>
        <v>0</v>
      </c>
      <c r="C811" s="2">
        <f>+'Base de Datos'!F811</f>
        <v>0</v>
      </c>
    </row>
    <row r="812" spans="2:3" hidden="1" x14ac:dyDescent="0.25">
      <c r="B812" s="2">
        <f>+'Base de Datos'!E812</f>
        <v>0</v>
      </c>
      <c r="C812" s="2">
        <f>+'Base de Datos'!F812</f>
        <v>0</v>
      </c>
    </row>
    <row r="813" spans="2:3" hidden="1" x14ac:dyDescent="0.25">
      <c r="B813" s="2">
        <f>+'Base de Datos'!E813</f>
        <v>0</v>
      </c>
      <c r="C813" s="2">
        <f>+'Base de Datos'!F813</f>
        <v>0</v>
      </c>
    </row>
    <row r="814" spans="2:3" hidden="1" x14ac:dyDescent="0.25">
      <c r="B814" s="2">
        <f>+'Base de Datos'!E814</f>
        <v>0</v>
      </c>
      <c r="C814" s="2">
        <f>+'Base de Datos'!F814</f>
        <v>0</v>
      </c>
    </row>
    <row r="815" spans="2:3" hidden="1" x14ac:dyDescent="0.25">
      <c r="B815" s="2">
        <f>+'Base de Datos'!E815</f>
        <v>0</v>
      </c>
      <c r="C815" s="2">
        <f>+'Base de Datos'!F815</f>
        <v>0</v>
      </c>
    </row>
    <row r="816" spans="2:3" hidden="1" x14ac:dyDescent="0.25">
      <c r="B816" s="2">
        <f>+'Base de Datos'!E816</f>
        <v>0</v>
      </c>
      <c r="C816" s="2">
        <f>+'Base de Datos'!F816</f>
        <v>0</v>
      </c>
    </row>
    <row r="817" spans="2:3" hidden="1" x14ac:dyDescent="0.25">
      <c r="B817" s="2">
        <f>+'Base de Datos'!E817</f>
        <v>0</v>
      </c>
      <c r="C817" s="2">
        <f>+'Base de Datos'!F817</f>
        <v>0</v>
      </c>
    </row>
    <row r="818" spans="2:3" hidden="1" x14ac:dyDescent="0.25">
      <c r="B818" s="2">
        <f>+'Base de Datos'!E818</f>
        <v>0</v>
      </c>
      <c r="C818" s="2">
        <f>+'Base de Datos'!F818</f>
        <v>0</v>
      </c>
    </row>
    <row r="819" spans="2:3" hidden="1" x14ac:dyDescent="0.25">
      <c r="B819" s="2">
        <f>+'Base de Datos'!E819</f>
        <v>0</v>
      </c>
      <c r="C819" s="2">
        <f>+'Base de Datos'!F819</f>
        <v>0</v>
      </c>
    </row>
    <row r="820" spans="2:3" hidden="1" x14ac:dyDescent="0.25">
      <c r="B820" s="2">
        <f>+'Base de Datos'!E820</f>
        <v>0</v>
      </c>
      <c r="C820" s="2">
        <f>+'Base de Datos'!F820</f>
        <v>0</v>
      </c>
    </row>
    <row r="821" spans="2:3" hidden="1" x14ac:dyDescent="0.25">
      <c r="B821" s="2">
        <f>+'Base de Datos'!E821</f>
        <v>0</v>
      </c>
      <c r="C821" s="2">
        <f>+'Base de Datos'!F821</f>
        <v>0</v>
      </c>
    </row>
    <row r="822" spans="2:3" hidden="1" x14ac:dyDescent="0.25">
      <c r="B822" s="2">
        <f>+'Base de Datos'!E822</f>
        <v>0</v>
      </c>
      <c r="C822" s="2">
        <f>+'Base de Datos'!F822</f>
        <v>0</v>
      </c>
    </row>
    <row r="823" spans="2:3" hidden="1" x14ac:dyDescent="0.25">
      <c r="B823" s="2">
        <f>+'Base de Datos'!E823</f>
        <v>0</v>
      </c>
      <c r="C823" s="2">
        <f>+'Base de Datos'!F823</f>
        <v>0</v>
      </c>
    </row>
    <row r="824" spans="2:3" hidden="1" x14ac:dyDescent="0.25">
      <c r="B824" s="2">
        <f>+'Base de Datos'!E824</f>
        <v>0</v>
      </c>
      <c r="C824" s="2">
        <f>+'Base de Datos'!F824</f>
        <v>0</v>
      </c>
    </row>
    <row r="825" spans="2:3" hidden="1" x14ac:dyDescent="0.25">
      <c r="B825" s="2">
        <f>+'Base de Datos'!E825</f>
        <v>0</v>
      </c>
      <c r="C825" s="2">
        <f>+'Base de Datos'!F825</f>
        <v>0</v>
      </c>
    </row>
    <row r="826" spans="2:3" hidden="1" x14ac:dyDescent="0.25">
      <c r="B826" s="2">
        <f>+'Base de Datos'!E826</f>
        <v>0</v>
      </c>
      <c r="C826" s="2">
        <f>+'Base de Datos'!F826</f>
        <v>0</v>
      </c>
    </row>
    <row r="827" spans="2:3" hidden="1" x14ac:dyDescent="0.25">
      <c r="B827" s="2">
        <f>+'Base de Datos'!E827</f>
        <v>0</v>
      </c>
      <c r="C827" s="2">
        <f>+'Base de Datos'!F827</f>
        <v>0</v>
      </c>
    </row>
    <row r="828" spans="2:3" hidden="1" x14ac:dyDescent="0.25">
      <c r="B828" s="2">
        <f>+'Base de Datos'!E828</f>
        <v>0</v>
      </c>
      <c r="C828" s="2">
        <f>+'Base de Datos'!F828</f>
        <v>0</v>
      </c>
    </row>
    <row r="829" spans="2:3" hidden="1" x14ac:dyDescent="0.25">
      <c r="B829" s="2">
        <f>+'Base de Datos'!E829</f>
        <v>0</v>
      </c>
      <c r="C829" s="2">
        <f>+'Base de Datos'!F829</f>
        <v>0</v>
      </c>
    </row>
    <row r="830" spans="2:3" hidden="1" x14ac:dyDescent="0.25">
      <c r="B830" s="2">
        <f>+'Base de Datos'!E830</f>
        <v>0</v>
      </c>
      <c r="C830" s="2">
        <f>+'Base de Datos'!F830</f>
        <v>0</v>
      </c>
    </row>
    <row r="831" spans="2:3" hidden="1" x14ac:dyDescent="0.25">
      <c r="B831" s="2">
        <f>+'Base de Datos'!E831</f>
        <v>0</v>
      </c>
      <c r="C831" s="2">
        <f>+'Base de Datos'!F831</f>
        <v>0</v>
      </c>
    </row>
    <row r="832" spans="2:3" hidden="1" x14ac:dyDescent="0.25">
      <c r="B832" s="2">
        <f>+'Base de Datos'!E832</f>
        <v>0</v>
      </c>
      <c r="C832" s="2">
        <f>+'Base de Datos'!F832</f>
        <v>0</v>
      </c>
    </row>
    <row r="833" spans="2:3" hidden="1" x14ac:dyDescent="0.25">
      <c r="B833" s="2">
        <f>+'Base de Datos'!E833</f>
        <v>0</v>
      </c>
      <c r="C833" s="2">
        <f>+'Base de Datos'!F833</f>
        <v>0</v>
      </c>
    </row>
    <row r="834" spans="2:3" hidden="1" x14ac:dyDescent="0.25">
      <c r="B834" s="2">
        <f>+'Base de Datos'!E834</f>
        <v>0</v>
      </c>
      <c r="C834" s="2">
        <f>+'Base de Datos'!F834</f>
        <v>0</v>
      </c>
    </row>
    <row r="835" spans="2:3" hidden="1" x14ac:dyDescent="0.25">
      <c r="B835" s="2">
        <f>+'Base de Datos'!E835</f>
        <v>0</v>
      </c>
      <c r="C835" s="2">
        <f>+'Base de Datos'!F835</f>
        <v>0</v>
      </c>
    </row>
    <row r="836" spans="2:3" hidden="1" x14ac:dyDescent="0.25">
      <c r="B836" s="2">
        <f>+'Base de Datos'!E836</f>
        <v>0</v>
      </c>
      <c r="C836" s="2">
        <f>+'Base de Datos'!F836</f>
        <v>0</v>
      </c>
    </row>
    <row r="837" spans="2:3" hidden="1" x14ac:dyDescent="0.25">
      <c r="B837" s="2">
        <f>+'Base de Datos'!E837</f>
        <v>0</v>
      </c>
      <c r="C837" s="2">
        <f>+'Base de Datos'!F837</f>
        <v>0</v>
      </c>
    </row>
    <row r="838" spans="2:3" hidden="1" x14ac:dyDescent="0.25">
      <c r="B838" s="2">
        <f>+'Base de Datos'!E838</f>
        <v>0</v>
      </c>
      <c r="C838" s="2">
        <f>+'Base de Datos'!F838</f>
        <v>0</v>
      </c>
    </row>
    <row r="839" spans="2:3" hidden="1" x14ac:dyDescent="0.25">
      <c r="B839" s="2">
        <f>+'Base de Datos'!E839</f>
        <v>0</v>
      </c>
      <c r="C839" s="2">
        <f>+'Base de Datos'!F839</f>
        <v>0</v>
      </c>
    </row>
    <row r="840" spans="2:3" hidden="1" x14ac:dyDescent="0.25">
      <c r="B840" s="2">
        <f>+'Base de Datos'!E840</f>
        <v>0</v>
      </c>
      <c r="C840" s="2">
        <f>+'Base de Datos'!F840</f>
        <v>0</v>
      </c>
    </row>
    <row r="841" spans="2:3" hidden="1" x14ac:dyDescent="0.25">
      <c r="B841" s="2">
        <f>+'Base de Datos'!E841</f>
        <v>0</v>
      </c>
      <c r="C841" s="2">
        <f>+'Base de Datos'!F841</f>
        <v>0</v>
      </c>
    </row>
    <row r="842" spans="2:3" hidden="1" x14ac:dyDescent="0.25">
      <c r="B842" s="2">
        <f>+'Base de Datos'!E842</f>
        <v>0</v>
      </c>
      <c r="C842" s="2">
        <f>+'Base de Datos'!F842</f>
        <v>0</v>
      </c>
    </row>
    <row r="843" spans="2:3" hidden="1" x14ac:dyDescent="0.25">
      <c r="B843" s="2">
        <f>+'Base de Datos'!E843</f>
        <v>0</v>
      </c>
      <c r="C843" s="2">
        <f>+'Base de Datos'!F843</f>
        <v>0</v>
      </c>
    </row>
    <row r="844" spans="2:3" hidden="1" x14ac:dyDescent="0.25">
      <c r="B844" s="2">
        <f>+'Base de Datos'!E844</f>
        <v>0</v>
      </c>
      <c r="C844" s="2">
        <f>+'Base de Datos'!F844</f>
        <v>0</v>
      </c>
    </row>
    <row r="845" spans="2:3" hidden="1" x14ac:dyDescent="0.25">
      <c r="B845" s="2">
        <f>+'Base de Datos'!E845</f>
        <v>0</v>
      </c>
      <c r="C845" s="2">
        <f>+'Base de Datos'!F845</f>
        <v>0</v>
      </c>
    </row>
    <row r="846" spans="2:3" hidden="1" x14ac:dyDescent="0.25">
      <c r="B846" s="2">
        <f>+'Base de Datos'!E846</f>
        <v>0</v>
      </c>
      <c r="C846" s="2">
        <f>+'Base de Datos'!F846</f>
        <v>0</v>
      </c>
    </row>
    <row r="847" spans="2:3" hidden="1" x14ac:dyDescent="0.25">
      <c r="B847" s="2">
        <f>+'Base de Datos'!E847</f>
        <v>0</v>
      </c>
      <c r="C847" s="2">
        <f>+'Base de Datos'!F847</f>
        <v>0</v>
      </c>
    </row>
    <row r="848" spans="2:3" hidden="1" x14ac:dyDescent="0.25">
      <c r="B848" s="2">
        <f>+'Base de Datos'!E848</f>
        <v>0</v>
      </c>
      <c r="C848" s="2">
        <f>+'Base de Datos'!F848</f>
        <v>0</v>
      </c>
    </row>
    <row r="849" spans="2:3" hidden="1" x14ac:dyDescent="0.25">
      <c r="B849" s="2">
        <f>+'Base de Datos'!E849</f>
        <v>0</v>
      </c>
      <c r="C849" s="2">
        <f>+'Base de Datos'!F849</f>
        <v>0</v>
      </c>
    </row>
    <row r="850" spans="2:3" hidden="1" x14ac:dyDescent="0.25">
      <c r="B850" s="2">
        <f>+'Base de Datos'!E850</f>
        <v>0</v>
      </c>
      <c r="C850" s="2">
        <f>+'Base de Datos'!F850</f>
        <v>0</v>
      </c>
    </row>
    <row r="851" spans="2:3" hidden="1" x14ac:dyDescent="0.25">
      <c r="B851" s="2">
        <f>+'Base de Datos'!E851</f>
        <v>0</v>
      </c>
      <c r="C851" s="2">
        <f>+'Base de Datos'!F851</f>
        <v>0</v>
      </c>
    </row>
    <row r="852" spans="2:3" hidden="1" x14ac:dyDescent="0.25">
      <c r="B852" s="2">
        <f>+'Base de Datos'!E852</f>
        <v>0</v>
      </c>
      <c r="C852" s="2">
        <f>+'Base de Datos'!F852</f>
        <v>0</v>
      </c>
    </row>
    <row r="853" spans="2:3" hidden="1" x14ac:dyDescent="0.25">
      <c r="B853" s="2">
        <f>+'Base de Datos'!E853</f>
        <v>0</v>
      </c>
      <c r="C853" s="2">
        <f>+'Base de Datos'!F853</f>
        <v>0</v>
      </c>
    </row>
    <row r="854" spans="2:3" hidden="1" x14ac:dyDescent="0.25">
      <c r="B854" s="2">
        <f>+'Base de Datos'!E854</f>
        <v>0</v>
      </c>
      <c r="C854" s="2">
        <f>+'Base de Datos'!F854</f>
        <v>0</v>
      </c>
    </row>
    <row r="855" spans="2:3" hidden="1" x14ac:dyDescent="0.25">
      <c r="B855" s="2">
        <f>+'Base de Datos'!E855</f>
        <v>0</v>
      </c>
      <c r="C855" s="2">
        <f>+'Base de Datos'!F855</f>
        <v>0</v>
      </c>
    </row>
    <row r="856" spans="2:3" hidden="1" x14ac:dyDescent="0.25">
      <c r="B856" s="2">
        <f>+'Base de Datos'!E856</f>
        <v>0</v>
      </c>
      <c r="C856" s="2">
        <f>+'Base de Datos'!F856</f>
        <v>0</v>
      </c>
    </row>
    <row r="857" spans="2:3" hidden="1" x14ac:dyDescent="0.25">
      <c r="B857" s="2">
        <f>+'Base de Datos'!E857</f>
        <v>0</v>
      </c>
      <c r="C857" s="2">
        <f>+'Base de Datos'!F857</f>
        <v>0</v>
      </c>
    </row>
    <row r="858" spans="2:3" hidden="1" x14ac:dyDescent="0.25">
      <c r="B858" s="2">
        <f>+'Base de Datos'!E858</f>
        <v>0</v>
      </c>
      <c r="C858" s="2">
        <f>+'Base de Datos'!F858</f>
        <v>0</v>
      </c>
    </row>
    <row r="859" spans="2:3" hidden="1" x14ac:dyDescent="0.25">
      <c r="B859" s="2">
        <f>+'Base de Datos'!E859</f>
        <v>0</v>
      </c>
      <c r="C859" s="2">
        <f>+'Base de Datos'!F859</f>
        <v>0</v>
      </c>
    </row>
    <row r="860" spans="2:3" hidden="1" x14ac:dyDescent="0.25">
      <c r="B860" s="2">
        <f>+'Base de Datos'!E860</f>
        <v>0</v>
      </c>
      <c r="C860" s="2">
        <f>+'Base de Datos'!F860</f>
        <v>0</v>
      </c>
    </row>
    <row r="861" spans="2:3" hidden="1" x14ac:dyDescent="0.25">
      <c r="B861" s="2">
        <f>+'Base de Datos'!E861</f>
        <v>0</v>
      </c>
      <c r="C861" s="2">
        <f>+'Base de Datos'!F861</f>
        <v>0</v>
      </c>
    </row>
    <row r="862" spans="2:3" hidden="1" x14ac:dyDescent="0.25">
      <c r="B862" s="2">
        <f>+'Base de Datos'!E862</f>
        <v>0</v>
      </c>
      <c r="C862" s="2">
        <f>+'Base de Datos'!F862</f>
        <v>0</v>
      </c>
    </row>
    <row r="863" spans="2:3" hidden="1" x14ac:dyDescent="0.25">
      <c r="B863" s="2">
        <f>+'Base de Datos'!E863</f>
        <v>0</v>
      </c>
      <c r="C863" s="2">
        <f>+'Base de Datos'!F863</f>
        <v>0</v>
      </c>
    </row>
    <row r="864" spans="2:3" hidden="1" x14ac:dyDescent="0.25">
      <c r="B864" s="2">
        <f>+'Base de Datos'!E864</f>
        <v>0</v>
      </c>
      <c r="C864" s="2">
        <f>+'Base de Datos'!F864</f>
        <v>0</v>
      </c>
    </row>
    <row r="865" spans="2:3" hidden="1" x14ac:dyDescent="0.25">
      <c r="B865" s="2">
        <f>+'Base de Datos'!E865</f>
        <v>0</v>
      </c>
      <c r="C865" s="2">
        <f>+'Base de Datos'!F865</f>
        <v>0</v>
      </c>
    </row>
    <row r="866" spans="2:3" hidden="1" x14ac:dyDescent="0.25">
      <c r="B866" s="2">
        <f>+'Base de Datos'!E866</f>
        <v>0</v>
      </c>
      <c r="C866" s="2">
        <f>+'Base de Datos'!F866</f>
        <v>0</v>
      </c>
    </row>
    <row r="867" spans="2:3" hidden="1" x14ac:dyDescent="0.25">
      <c r="B867" s="2">
        <f>+'Base de Datos'!E867</f>
        <v>0</v>
      </c>
      <c r="C867" s="2">
        <f>+'Base de Datos'!F867</f>
        <v>0</v>
      </c>
    </row>
    <row r="868" spans="2:3" hidden="1" x14ac:dyDescent="0.25">
      <c r="B868" s="2">
        <f>+'Base de Datos'!E868</f>
        <v>0</v>
      </c>
      <c r="C868" s="2">
        <f>+'Base de Datos'!F868</f>
        <v>0</v>
      </c>
    </row>
    <row r="869" spans="2:3" hidden="1" x14ac:dyDescent="0.25">
      <c r="B869" s="2">
        <f>+'Base de Datos'!E869</f>
        <v>0</v>
      </c>
      <c r="C869" s="2">
        <f>+'Base de Datos'!F869</f>
        <v>0</v>
      </c>
    </row>
    <row r="870" spans="2:3" hidden="1" x14ac:dyDescent="0.25">
      <c r="B870" s="2">
        <f>+'Base de Datos'!E870</f>
        <v>0</v>
      </c>
      <c r="C870" s="2">
        <f>+'Base de Datos'!F870</f>
        <v>0</v>
      </c>
    </row>
    <row r="871" spans="2:3" hidden="1" x14ac:dyDescent="0.25">
      <c r="B871" s="2">
        <f>+'Base de Datos'!E871</f>
        <v>0</v>
      </c>
      <c r="C871" s="2">
        <f>+'Base de Datos'!F871</f>
        <v>0</v>
      </c>
    </row>
    <row r="872" spans="2:3" hidden="1" x14ac:dyDescent="0.25">
      <c r="B872" s="2">
        <f>+'Base de Datos'!E872</f>
        <v>0</v>
      </c>
      <c r="C872" s="2">
        <f>+'Base de Datos'!F872</f>
        <v>0</v>
      </c>
    </row>
    <row r="873" spans="2:3" hidden="1" x14ac:dyDescent="0.25">
      <c r="B873" s="2">
        <f>+'Base de Datos'!E873</f>
        <v>0</v>
      </c>
      <c r="C873" s="2">
        <f>+'Base de Datos'!F873</f>
        <v>0</v>
      </c>
    </row>
    <row r="874" spans="2:3" hidden="1" x14ac:dyDescent="0.25">
      <c r="B874" s="2">
        <f>+'Base de Datos'!E874</f>
        <v>0</v>
      </c>
      <c r="C874" s="2">
        <f>+'Base de Datos'!F874</f>
        <v>0</v>
      </c>
    </row>
    <row r="875" spans="2:3" hidden="1" x14ac:dyDescent="0.25">
      <c r="B875" s="2">
        <f>+'Base de Datos'!E875</f>
        <v>0</v>
      </c>
      <c r="C875" s="2">
        <f>+'Base de Datos'!F875</f>
        <v>0</v>
      </c>
    </row>
    <row r="876" spans="2:3" hidden="1" x14ac:dyDescent="0.25">
      <c r="B876" s="2">
        <f>+'Base de Datos'!E876</f>
        <v>0</v>
      </c>
      <c r="C876" s="2">
        <f>+'Base de Datos'!F876</f>
        <v>0</v>
      </c>
    </row>
    <row r="877" spans="2:3" hidden="1" x14ac:dyDescent="0.25">
      <c r="B877" s="2">
        <f>+'Base de Datos'!E877</f>
        <v>0</v>
      </c>
      <c r="C877" s="2">
        <f>+'Base de Datos'!F877</f>
        <v>0</v>
      </c>
    </row>
    <row r="878" spans="2:3" hidden="1" x14ac:dyDescent="0.25">
      <c r="B878" s="2">
        <f>+'Base de Datos'!E878</f>
        <v>0</v>
      </c>
      <c r="C878" s="2">
        <f>+'Base de Datos'!F878</f>
        <v>0</v>
      </c>
    </row>
    <row r="879" spans="2:3" hidden="1" x14ac:dyDescent="0.25">
      <c r="B879" s="2">
        <f>+'Base de Datos'!E879</f>
        <v>0</v>
      </c>
      <c r="C879" s="2">
        <f>+'Base de Datos'!F879</f>
        <v>0</v>
      </c>
    </row>
    <row r="880" spans="2:3" hidden="1" x14ac:dyDescent="0.25">
      <c r="B880" s="2">
        <f>+'Base de Datos'!E880</f>
        <v>0</v>
      </c>
      <c r="C880" s="2">
        <f>+'Base de Datos'!F880</f>
        <v>0</v>
      </c>
    </row>
    <row r="881" spans="2:3" hidden="1" x14ac:dyDescent="0.25">
      <c r="B881" s="2">
        <f>+'Base de Datos'!E881</f>
        <v>0</v>
      </c>
      <c r="C881" s="2">
        <f>+'Base de Datos'!F881</f>
        <v>0</v>
      </c>
    </row>
    <row r="882" spans="2:3" hidden="1" x14ac:dyDescent="0.25">
      <c r="B882" s="2">
        <f>+'Base de Datos'!E882</f>
        <v>0</v>
      </c>
      <c r="C882" s="2">
        <f>+'Base de Datos'!F882</f>
        <v>0</v>
      </c>
    </row>
    <row r="883" spans="2:3" hidden="1" x14ac:dyDescent="0.25">
      <c r="B883" s="2">
        <f>+'Base de Datos'!E883</f>
        <v>0</v>
      </c>
      <c r="C883" s="2">
        <f>+'Base de Datos'!F883</f>
        <v>0</v>
      </c>
    </row>
    <row r="884" spans="2:3" hidden="1" x14ac:dyDescent="0.25">
      <c r="B884" s="2">
        <f>+'Base de Datos'!E884</f>
        <v>0</v>
      </c>
      <c r="C884" s="2">
        <f>+'Base de Datos'!F884</f>
        <v>0</v>
      </c>
    </row>
    <row r="885" spans="2:3" hidden="1" x14ac:dyDescent="0.25">
      <c r="B885" s="2">
        <f>+'Base de Datos'!E885</f>
        <v>0</v>
      </c>
      <c r="C885" s="2">
        <f>+'Base de Datos'!F885</f>
        <v>0</v>
      </c>
    </row>
    <row r="886" spans="2:3" hidden="1" x14ac:dyDescent="0.25">
      <c r="B886" s="2">
        <f>+'Base de Datos'!E886</f>
        <v>0</v>
      </c>
      <c r="C886" s="2">
        <f>+'Base de Datos'!F886</f>
        <v>0</v>
      </c>
    </row>
    <row r="887" spans="2:3" hidden="1" x14ac:dyDescent="0.25">
      <c r="B887" s="2">
        <f>+'Base de Datos'!E887</f>
        <v>0</v>
      </c>
      <c r="C887" s="2">
        <f>+'Base de Datos'!F887</f>
        <v>0</v>
      </c>
    </row>
    <row r="888" spans="2:3" hidden="1" x14ac:dyDescent="0.25">
      <c r="B888" s="2">
        <f>+'Base de Datos'!E888</f>
        <v>0</v>
      </c>
      <c r="C888" s="2">
        <f>+'Base de Datos'!F888</f>
        <v>0</v>
      </c>
    </row>
    <row r="889" spans="2:3" hidden="1" x14ac:dyDescent="0.25">
      <c r="B889" s="2">
        <f>+'Base de Datos'!E889</f>
        <v>0</v>
      </c>
      <c r="C889" s="2">
        <f>+'Base de Datos'!F889</f>
        <v>0</v>
      </c>
    </row>
    <row r="890" spans="2:3" hidden="1" x14ac:dyDescent="0.25">
      <c r="B890" s="2">
        <f>+'Base de Datos'!E890</f>
        <v>0</v>
      </c>
      <c r="C890" s="2">
        <f>+'Base de Datos'!F890</f>
        <v>0</v>
      </c>
    </row>
    <row r="891" spans="2:3" hidden="1" x14ac:dyDescent="0.25">
      <c r="B891" s="2">
        <f>+'Base de Datos'!E891</f>
        <v>0</v>
      </c>
      <c r="C891" s="2">
        <f>+'Base de Datos'!F891</f>
        <v>0</v>
      </c>
    </row>
    <row r="892" spans="2:3" hidden="1" x14ac:dyDescent="0.25">
      <c r="B892" s="2">
        <f>+'Base de Datos'!E892</f>
        <v>0</v>
      </c>
      <c r="C892" s="2">
        <f>+'Base de Datos'!F892</f>
        <v>0</v>
      </c>
    </row>
    <row r="893" spans="2:3" hidden="1" x14ac:dyDescent="0.25">
      <c r="B893" s="2">
        <f>+'Base de Datos'!E893</f>
        <v>0</v>
      </c>
      <c r="C893" s="2">
        <f>+'Base de Datos'!F893</f>
        <v>0</v>
      </c>
    </row>
    <row r="894" spans="2:3" hidden="1" x14ac:dyDescent="0.25">
      <c r="B894" s="2">
        <f>+'Base de Datos'!E894</f>
        <v>0</v>
      </c>
      <c r="C894" s="2">
        <f>+'Base de Datos'!F894</f>
        <v>0</v>
      </c>
    </row>
    <row r="895" spans="2:3" hidden="1" x14ac:dyDescent="0.25">
      <c r="B895" s="2">
        <f>+'Base de Datos'!E895</f>
        <v>0</v>
      </c>
      <c r="C895" s="2">
        <f>+'Base de Datos'!F895</f>
        <v>0</v>
      </c>
    </row>
    <row r="896" spans="2:3" hidden="1" x14ac:dyDescent="0.25">
      <c r="B896" s="2">
        <f>+'Base de Datos'!E896</f>
        <v>0</v>
      </c>
      <c r="C896" s="2">
        <f>+'Base de Datos'!F896</f>
        <v>0</v>
      </c>
    </row>
    <row r="897" spans="2:3" hidden="1" x14ac:dyDescent="0.25">
      <c r="B897" s="2">
        <f>+'Base de Datos'!E897</f>
        <v>0</v>
      </c>
      <c r="C897" s="2">
        <f>+'Base de Datos'!F897</f>
        <v>0</v>
      </c>
    </row>
    <row r="898" spans="2:3" hidden="1" x14ac:dyDescent="0.25">
      <c r="B898" s="2">
        <f>+'Base de Datos'!E898</f>
        <v>0</v>
      </c>
      <c r="C898" s="2">
        <f>+'Base de Datos'!F898</f>
        <v>0</v>
      </c>
    </row>
    <row r="899" spans="2:3" hidden="1" x14ac:dyDescent="0.25">
      <c r="B899" s="2">
        <f>+'Base de Datos'!E899</f>
        <v>0</v>
      </c>
      <c r="C899" s="2">
        <f>+'Base de Datos'!F899</f>
        <v>0</v>
      </c>
    </row>
    <row r="900" spans="2:3" hidden="1" x14ac:dyDescent="0.25">
      <c r="B900" s="2">
        <f>+'Base de Datos'!E900</f>
        <v>0</v>
      </c>
      <c r="C900" s="2">
        <f>+'Base de Datos'!F900</f>
        <v>0</v>
      </c>
    </row>
    <row r="901" spans="2:3" hidden="1" x14ac:dyDescent="0.25">
      <c r="B901" s="2">
        <f>+'Base de Datos'!E901</f>
        <v>0</v>
      </c>
      <c r="C901" s="2">
        <f>+'Base de Datos'!F901</f>
        <v>0</v>
      </c>
    </row>
    <row r="902" spans="2:3" hidden="1" x14ac:dyDescent="0.25">
      <c r="B902" s="2">
        <f>+'Base de Datos'!E902</f>
        <v>0</v>
      </c>
      <c r="C902" s="2">
        <f>+'Base de Datos'!F902</f>
        <v>0</v>
      </c>
    </row>
    <row r="903" spans="2:3" hidden="1" x14ac:dyDescent="0.25">
      <c r="B903" s="2">
        <f>+'Base de Datos'!E903</f>
        <v>0</v>
      </c>
      <c r="C903" s="2">
        <f>+'Base de Datos'!F903</f>
        <v>0</v>
      </c>
    </row>
    <row r="904" spans="2:3" hidden="1" x14ac:dyDescent="0.25">
      <c r="B904" s="2">
        <f>+'Base de Datos'!E904</f>
        <v>0</v>
      </c>
      <c r="C904" s="2">
        <f>+'Base de Datos'!F904</f>
        <v>0</v>
      </c>
    </row>
    <row r="905" spans="2:3" hidden="1" x14ac:dyDescent="0.25">
      <c r="B905" s="2">
        <f>+'Base de Datos'!E905</f>
        <v>0</v>
      </c>
      <c r="C905" s="2">
        <f>+'Base de Datos'!F905</f>
        <v>0</v>
      </c>
    </row>
    <row r="906" spans="2:3" hidden="1" x14ac:dyDescent="0.25">
      <c r="B906" s="2">
        <f>+'Base de Datos'!E906</f>
        <v>0</v>
      </c>
      <c r="C906" s="2">
        <f>+'Base de Datos'!F906</f>
        <v>0</v>
      </c>
    </row>
    <row r="907" spans="2:3" hidden="1" x14ac:dyDescent="0.25">
      <c r="B907" s="2">
        <f>+'Base de Datos'!E907</f>
        <v>0</v>
      </c>
      <c r="C907" s="2">
        <f>+'Base de Datos'!F907</f>
        <v>0</v>
      </c>
    </row>
    <row r="908" spans="2:3" hidden="1" x14ac:dyDescent="0.25">
      <c r="B908" s="2">
        <f>+'Base de Datos'!E908</f>
        <v>0</v>
      </c>
      <c r="C908" s="2">
        <f>+'Base de Datos'!F908</f>
        <v>0</v>
      </c>
    </row>
    <row r="909" spans="2:3" hidden="1" x14ac:dyDescent="0.25">
      <c r="B909" s="2">
        <f>+'Base de Datos'!E909</f>
        <v>0</v>
      </c>
      <c r="C909" s="2">
        <f>+'Base de Datos'!F909</f>
        <v>0</v>
      </c>
    </row>
    <row r="910" spans="2:3" hidden="1" x14ac:dyDescent="0.25">
      <c r="B910" s="2">
        <f>+'Base de Datos'!E910</f>
        <v>0</v>
      </c>
      <c r="C910" s="2">
        <f>+'Base de Datos'!F910</f>
        <v>0</v>
      </c>
    </row>
    <row r="911" spans="2:3" hidden="1" x14ac:dyDescent="0.25">
      <c r="B911" s="2">
        <f>+'Base de Datos'!E911</f>
        <v>0</v>
      </c>
      <c r="C911" s="2">
        <f>+'Base de Datos'!F911</f>
        <v>0</v>
      </c>
    </row>
    <row r="912" spans="2:3" hidden="1" x14ac:dyDescent="0.25">
      <c r="B912" s="2">
        <f>+'Base de Datos'!E912</f>
        <v>0</v>
      </c>
      <c r="C912" s="2">
        <f>+'Base de Datos'!F912</f>
        <v>0</v>
      </c>
    </row>
    <row r="913" spans="2:3" hidden="1" x14ac:dyDescent="0.25">
      <c r="B913" s="2">
        <f>+'Base de Datos'!E913</f>
        <v>0</v>
      </c>
      <c r="C913" s="2">
        <f>+'Base de Datos'!F913</f>
        <v>0</v>
      </c>
    </row>
    <row r="914" spans="2:3" hidden="1" x14ac:dyDescent="0.25">
      <c r="B914" s="2">
        <f>+'Base de Datos'!E914</f>
        <v>0</v>
      </c>
      <c r="C914" s="2">
        <f>+'Base de Datos'!F914</f>
        <v>0</v>
      </c>
    </row>
    <row r="915" spans="2:3" hidden="1" x14ac:dyDescent="0.25">
      <c r="B915" s="2">
        <f>+'Base de Datos'!E915</f>
        <v>0</v>
      </c>
      <c r="C915" s="2">
        <f>+'Base de Datos'!F915</f>
        <v>0</v>
      </c>
    </row>
    <row r="916" spans="2:3" hidden="1" x14ac:dyDescent="0.25">
      <c r="B916" s="2">
        <f>+'Base de Datos'!E916</f>
        <v>0</v>
      </c>
      <c r="C916" s="2">
        <f>+'Base de Datos'!F916</f>
        <v>0</v>
      </c>
    </row>
    <row r="917" spans="2:3" hidden="1" x14ac:dyDescent="0.25">
      <c r="B917" s="2">
        <f>+'Base de Datos'!E917</f>
        <v>0</v>
      </c>
      <c r="C917" s="2">
        <f>+'Base de Datos'!F917</f>
        <v>0</v>
      </c>
    </row>
    <row r="918" spans="2:3" hidden="1" x14ac:dyDescent="0.25">
      <c r="B918" s="2">
        <f>+'Base de Datos'!E918</f>
        <v>0</v>
      </c>
      <c r="C918" s="2">
        <f>+'Base de Datos'!F918</f>
        <v>0</v>
      </c>
    </row>
    <row r="919" spans="2:3" hidden="1" x14ac:dyDescent="0.25">
      <c r="B919" s="2">
        <f>+'Base de Datos'!E919</f>
        <v>0</v>
      </c>
      <c r="C919" s="2">
        <f>+'Base de Datos'!F919</f>
        <v>0</v>
      </c>
    </row>
    <row r="920" spans="2:3" hidden="1" x14ac:dyDescent="0.25">
      <c r="B920" s="2">
        <f>+'Base de Datos'!E920</f>
        <v>0</v>
      </c>
      <c r="C920" s="2">
        <f>+'Base de Datos'!F920</f>
        <v>0</v>
      </c>
    </row>
  </sheetData>
  <sheetProtection autoFilter="0" pivotTables="0"/>
  <autoFilter ref="A6:AW920">
    <filterColumn colId="1">
      <filters>
        <filter val="190249-0-2019"/>
      </filters>
    </filterColumn>
  </autoFilter>
  <mergeCells count="13">
    <mergeCell ref="E2:AB2"/>
    <mergeCell ref="AO2:AU3"/>
    <mergeCell ref="E3:AB3"/>
    <mergeCell ref="Q5:Q6"/>
    <mergeCell ref="AU5:AU6"/>
    <mergeCell ref="R5:S5"/>
    <mergeCell ref="T5:U5"/>
    <mergeCell ref="V5:W5"/>
    <mergeCell ref="X5:Y5"/>
    <mergeCell ref="Z5:AA5"/>
    <mergeCell ref="AT5:AT6"/>
    <mergeCell ref="I5:P5"/>
    <mergeCell ref="AB5:AS5"/>
  </mergeCells>
  <pageMargins left="0.7" right="0.7" top="0.75" bottom="0.75" header="0.3" footer="0.3"/>
  <pageSetup orientation="portrait" horizontalDpi="4294967293" verticalDpi="4294967293" r:id="rId1"/>
  <drawing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C127"/>
  <sheetViews>
    <sheetView topLeftCell="A142" workbookViewId="0">
      <selection activeCell="AT677" sqref="AT677"/>
    </sheetView>
  </sheetViews>
  <sheetFormatPr baseColWidth="10" defaultColWidth="0" defaultRowHeight="15" x14ac:dyDescent="0.25"/>
  <cols>
    <col min="1" max="1" width="17.5703125" style="59" customWidth="1"/>
    <col min="2" max="2" width="19.140625" style="59" customWidth="1"/>
    <col min="3" max="3" width="7.7109375" style="59" customWidth="1"/>
    <col min="4" max="4" width="6.42578125" style="59" customWidth="1"/>
    <col min="5" max="5" width="5" style="59" customWidth="1"/>
    <col min="6" max="6" width="5.85546875" style="59" customWidth="1"/>
    <col min="7" max="7" width="5.5703125" style="59" customWidth="1"/>
    <col min="8" max="8" width="5" style="59" customWidth="1"/>
    <col min="9" max="9" width="6.85546875" style="59" customWidth="1"/>
    <col min="10" max="10" width="11.28515625" style="59" customWidth="1"/>
    <col min="11" max="11" width="7.85546875" style="59" customWidth="1"/>
    <col min="12" max="12" width="10.7109375" style="59" customWidth="1"/>
    <col min="13" max="13" width="10" style="59" customWidth="1"/>
    <col min="14" max="14" width="5.5703125" style="59" customWidth="1"/>
    <col min="15" max="15" width="12.5703125" style="59" customWidth="1"/>
    <col min="16" max="16" width="5.85546875" style="59" customWidth="1"/>
    <col min="17" max="22" width="5.85546875" style="59" hidden="1"/>
    <col min="23" max="23" width="3.85546875" style="59" hidden="1"/>
    <col min="24" max="31" width="5.85546875" style="59" hidden="1"/>
    <col min="32" max="32" width="3.85546875" style="59" hidden="1"/>
    <col min="33" max="39" width="5.85546875" style="59" hidden="1"/>
    <col min="40" max="40" width="3.85546875" style="59" hidden="1"/>
    <col min="41" max="46" width="5.85546875" style="59" hidden="1"/>
    <col min="47" max="47" width="3.85546875" style="59" hidden="1"/>
    <col min="48" max="52" width="5.85546875" style="59" hidden="1"/>
    <col min="53" max="53" width="3.85546875" style="59" hidden="1"/>
    <col min="54" max="57" width="5.85546875" style="59" hidden="1"/>
    <col min="58" max="58" width="3.85546875" style="59" hidden="1"/>
    <col min="59" max="61" width="5.85546875" style="59" hidden="1"/>
    <col min="62" max="62" width="3.85546875" style="59" hidden="1"/>
    <col min="63" max="64" width="5.85546875" style="59" hidden="1"/>
    <col min="65" max="65" width="3.85546875" style="59" hidden="1"/>
    <col min="66" max="66" width="5.85546875" style="59" hidden="1"/>
    <col min="67" max="67" width="3.85546875" style="59" hidden="1"/>
    <col min="68" max="68" width="2" style="59" hidden="1"/>
    <col min="69" max="79" width="6.85546875" style="59" hidden="1"/>
    <col min="80" max="80" width="12.5703125" style="59" hidden="1"/>
    <col min="81" max="91" width="10.42578125" style="59" hidden="1"/>
    <col min="92" max="92" width="12.5703125" style="59" hidden="1"/>
    <col min="93" max="99" width="6.85546875" style="59" hidden="1"/>
    <col min="100" max="100" width="5.85546875" style="59" hidden="1"/>
    <col min="101" max="101" width="3.85546875" style="59" hidden="1"/>
    <col min="102" max="109" width="5.85546875" style="59" hidden="1"/>
    <col min="110" max="110" width="3.85546875" style="59" hidden="1"/>
    <col min="111" max="117" width="5.85546875" style="59" hidden="1"/>
    <col min="118" max="118" width="3.85546875" style="59" hidden="1"/>
    <col min="119" max="124" width="5.85546875" style="59" hidden="1"/>
    <col min="125" max="125" width="3.85546875" style="59" hidden="1"/>
    <col min="126" max="130" width="5.85546875" style="59" hidden="1"/>
    <col min="131" max="131" width="3.85546875" style="59" hidden="1"/>
    <col min="132" max="141" width="6.85546875" style="59" hidden="1"/>
    <col min="142" max="142" width="5.85546875" style="59" hidden="1"/>
    <col min="143" max="143" width="3.85546875" style="59" hidden="1"/>
    <col min="144" max="153" width="5.85546875" style="59" hidden="1"/>
    <col min="154" max="154" width="3.85546875" style="59" hidden="1"/>
    <col min="155" max="163" width="5.85546875" style="59" hidden="1"/>
    <col min="164" max="164" width="3.85546875" style="59" hidden="1"/>
    <col min="165" max="172" width="5.85546875" style="59" hidden="1"/>
    <col min="173" max="173" width="3.85546875" style="59" hidden="1"/>
    <col min="174" max="180" width="5.85546875" style="59" hidden="1"/>
    <col min="181" max="181" width="3.85546875" style="59" hidden="1"/>
    <col min="182" max="187" width="5.85546875" style="59" hidden="1"/>
    <col min="188" max="188" width="3.85546875" style="59" hidden="1"/>
    <col min="189" max="193" width="5.85546875" style="59" hidden="1"/>
    <col min="194" max="194" width="3.85546875" style="59" hidden="1"/>
    <col min="195" max="198" width="5.85546875" style="59" hidden="1"/>
    <col min="199" max="199" width="3.85546875" style="59" hidden="1"/>
    <col min="200" max="202" width="5.85546875" style="59" hidden="1"/>
    <col min="203" max="203" width="3.85546875" style="59" hidden="1"/>
    <col min="204" max="205" width="5.85546875" style="59" hidden="1"/>
    <col min="206" max="206" width="3.85546875" style="59" hidden="1"/>
    <col min="207" max="207" width="5.85546875" style="59" hidden="1"/>
    <col min="208" max="208" width="3.85546875" style="59" hidden="1"/>
    <col min="209" max="209" width="2" style="59" hidden="1"/>
    <col min="210" max="220" width="6.85546875" style="59" hidden="1"/>
    <col min="221" max="221" width="7.42578125" style="59" hidden="1"/>
    <col min="222" max="232" width="10.42578125" style="59" hidden="1"/>
    <col min="233" max="235" width="12.5703125" style="59" hidden="1"/>
    <col min="236" max="236" width="10.42578125" style="59" hidden="1"/>
    <col min="237" max="237" width="12.5703125" style="59" hidden="1"/>
    <col min="238" max="238" width="13.42578125" style="59" hidden="1"/>
    <col min="239" max="239" width="12.5703125" style="59" hidden="1"/>
    <col min="240" max="16383" width="11.42578125" style="59" hidden="1"/>
    <col min="16384" max="16384" width="10.28515625" style="59" hidden="1"/>
  </cols>
  <sheetData>
    <row r="1" spans="1:16" s="57" customFormat="1" x14ac:dyDescent="0.25">
      <c r="A1" s="59"/>
      <c r="B1" s="59"/>
      <c r="C1" s="59"/>
      <c r="D1" s="59"/>
      <c r="E1" s="59"/>
      <c r="F1" s="59"/>
      <c r="G1" s="59"/>
      <c r="H1" s="59"/>
      <c r="I1" s="59"/>
      <c r="J1" s="59"/>
      <c r="K1" s="59"/>
      <c r="L1" s="59"/>
      <c r="M1" s="59"/>
      <c r="N1" s="59"/>
      <c r="O1" s="59"/>
      <c r="P1" s="59"/>
    </row>
    <row r="2" spans="1:16" s="57" customFormat="1" ht="18.75" x14ac:dyDescent="0.3">
      <c r="A2" s="1156" t="s">
        <v>1255</v>
      </c>
      <c r="B2" s="1156"/>
      <c r="C2" s="1156"/>
      <c r="D2" s="1156"/>
      <c r="E2" s="1156"/>
      <c r="F2" s="1156"/>
      <c r="G2" s="1156"/>
      <c r="H2" s="1156"/>
      <c r="I2" s="1156"/>
      <c r="J2" s="1156"/>
      <c r="K2" s="1156"/>
      <c r="L2" s="1156"/>
      <c r="M2" s="1156"/>
      <c r="N2" s="1156"/>
      <c r="O2" s="1156"/>
      <c r="P2" s="59"/>
    </row>
    <row r="3" spans="1:16" s="57" customFormat="1" x14ac:dyDescent="0.25">
      <c r="A3" s="59"/>
      <c r="B3" s="59"/>
      <c r="C3" s="59"/>
      <c r="D3" s="59"/>
      <c r="E3" s="59"/>
      <c r="F3" s="59"/>
      <c r="G3" s="59"/>
      <c r="H3" s="59"/>
      <c r="I3" s="59"/>
      <c r="J3" s="59"/>
      <c r="K3" s="59"/>
      <c r="L3" s="59"/>
      <c r="M3" s="59"/>
      <c r="N3" s="59"/>
      <c r="O3" s="59"/>
      <c r="P3" s="59"/>
    </row>
    <row r="4" spans="1:16" customFormat="1" x14ac:dyDescent="0.25">
      <c r="A4" s="17" t="s">
        <v>1240</v>
      </c>
      <c r="B4" s="57" t="s">
        <v>392</v>
      </c>
      <c r="C4" s="59"/>
      <c r="D4" s="59"/>
      <c r="E4" s="59"/>
      <c r="F4" s="59"/>
      <c r="G4" s="59"/>
      <c r="H4" s="59"/>
      <c r="I4" s="59"/>
      <c r="J4" s="59"/>
      <c r="K4" s="59"/>
      <c r="L4" s="59"/>
      <c r="M4" s="59"/>
      <c r="N4" s="59"/>
      <c r="O4" s="59"/>
      <c r="P4" s="59"/>
    </row>
    <row r="5" spans="1:16" customFormat="1" x14ac:dyDescent="0.25">
      <c r="A5" s="59"/>
      <c r="B5" s="59"/>
      <c r="C5" s="59"/>
      <c r="D5" s="59"/>
      <c r="E5" s="59"/>
      <c r="F5" s="59"/>
      <c r="G5" s="59"/>
      <c r="H5" s="59"/>
      <c r="I5" s="59"/>
      <c r="J5" s="59"/>
      <c r="K5" s="59"/>
      <c r="L5" s="59"/>
      <c r="M5" s="59"/>
      <c r="N5" s="59"/>
      <c r="O5" s="59"/>
      <c r="P5" s="59"/>
    </row>
    <row r="6" spans="1:16" customFormat="1" x14ac:dyDescent="0.25">
      <c r="A6" s="17" t="s">
        <v>1154</v>
      </c>
      <c r="B6" s="17" t="s">
        <v>1152</v>
      </c>
      <c r="P6" s="59"/>
    </row>
    <row r="7" spans="1:16" customFormat="1" x14ac:dyDescent="0.25">
      <c r="A7" s="17" t="s">
        <v>393</v>
      </c>
      <c r="B7" s="57" t="s">
        <v>1242</v>
      </c>
      <c r="C7" s="57" t="s">
        <v>1243</v>
      </c>
      <c r="D7" s="57" t="s">
        <v>1244</v>
      </c>
      <c r="E7" s="57" t="s">
        <v>1245</v>
      </c>
      <c r="F7" s="57" t="s">
        <v>1246</v>
      </c>
      <c r="G7" s="57" t="s">
        <v>1247</v>
      </c>
      <c r="H7" s="57" t="s">
        <v>1248</v>
      </c>
      <c r="I7" s="57" t="s">
        <v>1249</v>
      </c>
      <c r="J7" s="57" t="s">
        <v>1250</v>
      </c>
      <c r="K7" s="57" t="s">
        <v>1251</v>
      </c>
      <c r="L7" s="57" t="s">
        <v>1252</v>
      </c>
      <c r="M7" s="57" t="s">
        <v>1253</v>
      </c>
      <c r="N7" s="57" t="s">
        <v>1455</v>
      </c>
      <c r="O7" s="57" t="s">
        <v>1153</v>
      </c>
      <c r="P7" s="59"/>
    </row>
    <row r="8" spans="1:16" customFormat="1" x14ac:dyDescent="0.25">
      <c r="A8" s="18">
        <v>2012</v>
      </c>
      <c r="B8" s="213">
        <v>1</v>
      </c>
      <c r="C8" s="213"/>
      <c r="D8" s="213"/>
      <c r="E8" s="213"/>
      <c r="F8" s="213"/>
      <c r="G8" s="213"/>
      <c r="H8" s="213">
        <v>2</v>
      </c>
      <c r="I8" s="213"/>
      <c r="J8" s="213"/>
      <c r="K8" s="213">
        <v>1</v>
      </c>
      <c r="L8" s="213"/>
      <c r="M8" s="213">
        <v>3</v>
      </c>
      <c r="N8" s="213"/>
      <c r="O8" s="213">
        <v>7</v>
      </c>
      <c r="P8" s="59"/>
    </row>
    <row r="9" spans="1:16" customFormat="1" x14ac:dyDescent="0.25">
      <c r="A9" s="18">
        <v>2013</v>
      </c>
      <c r="B9" s="213">
        <v>1</v>
      </c>
      <c r="C9" s="213">
        <v>10</v>
      </c>
      <c r="D9" s="213">
        <v>9</v>
      </c>
      <c r="E9" s="213">
        <v>5</v>
      </c>
      <c r="F9" s="213">
        <v>8</v>
      </c>
      <c r="G9" s="213">
        <v>9</v>
      </c>
      <c r="H9" s="213">
        <v>7</v>
      </c>
      <c r="I9" s="213">
        <v>4</v>
      </c>
      <c r="J9" s="213">
        <v>8</v>
      </c>
      <c r="K9" s="213">
        <v>5</v>
      </c>
      <c r="L9" s="213">
        <v>4</v>
      </c>
      <c r="M9" s="213">
        <v>5</v>
      </c>
      <c r="N9" s="213"/>
      <c r="O9" s="213">
        <v>75</v>
      </c>
      <c r="P9" s="59"/>
    </row>
    <row r="10" spans="1:16" customFormat="1" x14ac:dyDescent="0.25">
      <c r="A10" s="18">
        <v>2014</v>
      </c>
      <c r="B10" s="213">
        <v>16</v>
      </c>
      <c r="C10" s="213">
        <v>10</v>
      </c>
      <c r="D10" s="213">
        <v>10</v>
      </c>
      <c r="E10" s="213">
        <v>9</v>
      </c>
      <c r="F10" s="213">
        <v>5</v>
      </c>
      <c r="G10" s="213">
        <v>9</v>
      </c>
      <c r="H10" s="213">
        <v>3</v>
      </c>
      <c r="I10" s="213">
        <v>7</v>
      </c>
      <c r="J10" s="213">
        <v>9</v>
      </c>
      <c r="K10" s="213">
        <v>5</v>
      </c>
      <c r="L10" s="213">
        <v>5</v>
      </c>
      <c r="M10" s="213">
        <v>8</v>
      </c>
      <c r="N10" s="213"/>
      <c r="O10" s="213">
        <v>96</v>
      </c>
      <c r="P10" s="59"/>
    </row>
    <row r="11" spans="1:16" customFormat="1" x14ac:dyDescent="0.25">
      <c r="A11" s="18">
        <v>2015</v>
      </c>
      <c r="B11" s="213">
        <v>22</v>
      </c>
      <c r="C11" s="213">
        <v>6</v>
      </c>
      <c r="D11" s="213">
        <v>5</v>
      </c>
      <c r="E11" s="213">
        <v>10</v>
      </c>
      <c r="F11" s="213">
        <v>2</v>
      </c>
      <c r="G11" s="213">
        <v>1</v>
      </c>
      <c r="H11" s="213">
        <v>3</v>
      </c>
      <c r="I11" s="213"/>
      <c r="J11" s="213">
        <v>3</v>
      </c>
      <c r="K11" s="213">
        <v>3</v>
      </c>
      <c r="L11" s="213"/>
      <c r="M11" s="213"/>
      <c r="N11" s="213"/>
      <c r="O11" s="213">
        <v>55</v>
      </c>
      <c r="P11" s="59"/>
    </row>
    <row r="12" spans="1:16" customFormat="1" x14ac:dyDescent="0.25">
      <c r="A12" s="18">
        <v>2016</v>
      </c>
      <c r="B12" s="213"/>
      <c r="C12" s="213">
        <v>1</v>
      </c>
      <c r="D12" s="213"/>
      <c r="E12" s="213"/>
      <c r="F12" s="213"/>
      <c r="G12" s="213"/>
      <c r="H12" s="213"/>
      <c r="I12" s="213"/>
      <c r="J12" s="213"/>
      <c r="K12" s="213"/>
      <c r="L12" s="213"/>
      <c r="M12" s="213"/>
      <c r="N12" s="213"/>
      <c r="O12" s="213">
        <v>1</v>
      </c>
      <c r="P12" s="59"/>
    </row>
    <row r="13" spans="1:16" customFormat="1" x14ac:dyDescent="0.25">
      <c r="A13" s="18" t="s">
        <v>1455</v>
      </c>
      <c r="B13" s="213"/>
      <c r="C13" s="213"/>
      <c r="D13" s="213"/>
      <c r="E13" s="213"/>
      <c r="F13" s="213"/>
      <c r="G13" s="213"/>
      <c r="H13" s="213"/>
      <c r="I13" s="213"/>
      <c r="J13" s="213"/>
      <c r="K13" s="213"/>
      <c r="L13" s="213"/>
      <c r="M13" s="213"/>
      <c r="N13" s="213">
        <v>2</v>
      </c>
      <c r="O13" s="213">
        <v>2</v>
      </c>
      <c r="P13" s="59"/>
    </row>
    <row r="14" spans="1:16" customFormat="1" x14ac:dyDescent="0.25">
      <c r="A14" s="18" t="s">
        <v>1153</v>
      </c>
      <c r="B14" s="213">
        <v>40</v>
      </c>
      <c r="C14" s="213">
        <v>27</v>
      </c>
      <c r="D14" s="213">
        <v>24</v>
      </c>
      <c r="E14" s="213">
        <v>24</v>
      </c>
      <c r="F14" s="213">
        <v>15</v>
      </c>
      <c r="G14" s="213">
        <v>19</v>
      </c>
      <c r="H14" s="213">
        <v>15</v>
      </c>
      <c r="I14" s="213">
        <v>11</v>
      </c>
      <c r="J14" s="213">
        <v>20</v>
      </c>
      <c r="K14" s="213">
        <v>14</v>
      </c>
      <c r="L14" s="213">
        <v>9</v>
      </c>
      <c r="M14" s="213">
        <v>16</v>
      </c>
      <c r="N14" s="213">
        <v>2</v>
      </c>
      <c r="O14" s="213">
        <v>236</v>
      </c>
      <c r="P14" s="59"/>
    </row>
    <row r="15" spans="1:16" customFormat="1" x14ac:dyDescent="0.25">
      <c r="A15" s="59"/>
      <c r="B15" s="59"/>
      <c r="C15" s="59"/>
      <c r="D15" s="59"/>
      <c r="E15" s="59"/>
      <c r="F15" s="59"/>
      <c r="G15" s="59"/>
      <c r="H15" s="59"/>
      <c r="I15" s="59"/>
      <c r="J15" s="59"/>
      <c r="K15" s="59"/>
      <c r="L15" s="59"/>
      <c r="M15" s="59"/>
      <c r="N15" s="59"/>
      <c r="O15" s="59"/>
      <c r="P15" s="59"/>
    </row>
    <row r="16" spans="1:16" customFormat="1" x14ac:dyDescent="0.25">
      <c r="A16" s="59"/>
      <c r="B16" s="59"/>
      <c r="C16" s="59"/>
      <c r="D16" s="59"/>
      <c r="E16" s="59"/>
      <c r="F16" s="59"/>
      <c r="G16" s="59"/>
      <c r="H16" s="59"/>
      <c r="I16" s="59"/>
      <c r="J16" s="59"/>
      <c r="K16" s="59"/>
      <c r="L16" s="59"/>
      <c r="M16" s="59"/>
      <c r="N16" s="59"/>
      <c r="O16" s="59"/>
      <c r="P16" s="59"/>
    </row>
    <row r="17" spans="1:16" customFormat="1" x14ac:dyDescent="0.25">
      <c r="A17" s="59"/>
      <c r="B17" s="59"/>
      <c r="C17" s="59"/>
      <c r="D17" s="59"/>
      <c r="E17" s="59"/>
      <c r="F17" s="59"/>
      <c r="G17" s="59"/>
      <c r="H17" s="59"/>
      <c r="I17" s="59"/>
      <c r="J17" s="59"/>
      <c r="K17" s="59"/>
      <c r="L17" s="59"/>
      <c r="M17" s="59"/>
      <c r="N17" s="59"/>
      <c r="O17" s="59"/>
      <c r="P17" s="59"/>
    </row>
    <row r="18" spans="1:16" customFormat="1" x14ac:dyDescent="0.25">
      <c r="A18" s="59"/>
      <c r="B18" s="59"/>
      <c r="C18" s="59"/>
      <c r="D18" s="59"/>
      <c r="E18" s="59"/>
      <c r="F18" s="59"/>
      <c r="G18" s="59"/>
      <c r="H18" s="59"/>
      <c r="I18" s="59"/>
      <c r="J18" s="59"/>
      <c r="K18" s="59"/>
      <c r="L18" s="59"/>
      <c r="M18" s="59"/>
      <c r="N18" s="59"/>
      <c r="O18" s="59"/>
      <c r="P18" s="59"/>
    </row>
    <row r="19" spans="1:16" customFormat="1" x14ac:dyDescent="0.25">
      <c r="A19" s="59"/>
      <c r="B19" s="59"/>
      <c r="C19" s="59"/>
      <c r="D19" s="59"/>
      <c r="E19" s="59"/>
      <c r="F19" s="59"/>
      <c r="G19" s="59"/>
      <c r="H19" s="59"/>
      <c r="I19" s="59"/>
      <c r="J19" s="59"/>
      <c r="K19" s="59"/>
      <c r="L19" s="59"/>
      <c r="M19" s="59"/>
      <c r="N19" s="59"/>
      <c r="O19" s="59"/>
      <c r="P19" s="59"/>
    </row>
    <row r="20" spans="1:16" customFormat="1" x14ac:dyDescent="0.25">
      <c r="A20" s="59"/>
      <c r="B20" s="59"/>
      <c r="C20" s="59"/>
      <c r="D20" s="59"/>
      <c r="E20" s="59"/>
      <c r="F20" s="59"/>
      <c r="G20" s="59"/>
      <c r="H20" s="59"/>
      <c r="I20" s="59"/>
      <c r="J20" s="59"/>
      <c r="K20" s="59"/>
      <c r="L20" s="59"/>
      <c r="M20" s="59"/>
      <c r="N20" s="59"/>
      <c r="O20" s="59"/>
      <c r="P20" s="59"/>
    </row>
    <row r="21" spans="1:16" customFormat="1" x14ac:dyDescent="0.25">
      <c r="A21" s="59"/>
      <c r="B21" s="59"/>
      <c r="C21" s="59"/>
      <c r="D21" s="59"/>
      <c r="E21" s="59"/>
      <c r="F21" s="59"/>
      <c r="G21" s="59"/>
      <c r="H21" s="59"/>
      <c r="I21" s="59"/>
      <c r="J21" s="59"/>
      <c r="K21" s="59"/>
      <c r="L21" s="59"/>
      <c r="M21" s="59"/>
      <c r="N21" s="59"/>
      <c r="O21" s="59"/>
      <c r="P21" s="59"/>
    </row>
    <row r="22" spans="1:16" customFormat="1" x14ac:dyDescent="0.25">
      <c r="A22" s="59"/>
      <c r="B22" s="59"/>
      <c r="C22" s="59"/>
      <c r="D22" s="59"/>
      <c r="E22" s="59"/>
      <c r="F22" s="59"/>
      <c r="G22" s="59"/>
      <c r="H22" s="59"/>
      <c r="I22" s="59"/>
      <c r="J22" s="59"/>
      <c r="K22" s="59"/>
      <c r="L22" s="59"/>
      <c r="M22" s="59"/>
      <c r="N22" s="59"/>
      <c r="O22" s="59"/>
      <c r="P22" s="59"/>
    </row>
    <row r="23" spans="1:16" customFormat="1" x14ac:dyDescent="0.25">
      <c r="A23" s="59"/>
      <c r="B23" s="59"/>
      <c r="C23" s="59"/>
      <c r="D23" s="59"/>
      <c r="E23" s="59"/>
      <c r="F23" s="59"/>
      <c r="G23" s="59"/>
      <c r="H23" s="59"/>
      <c r="I23" s="59"/>
      <c r="J23" s="59"/>
      <c r="K23" s="59"/>
      <c r="L23" s="59"/>
      <c r="M23" s="59"/>
      <c r="N23" s="59"/>
      <c r="O23" s="59"/>
      <c r="P23" s="59"/>
    </row>
    <row r="24" spans="1:16" customFormat="1" x14ac:dyDescent="0.25">
      <c r="A24" s="59"/>
      <c r="B24" s="59"/>
      <c r="C24" s="59"/>
      <c r="D24" s="59"/>
      <c r="E24" s="59"/>
      <c r="F24" s="59"/>
      <c r="G24" s="59"/>
      <c r="H24" s="59"/>
      <c r="I24" s="59"/>
      <c r="J24" s="59"/>
      <c r="K24" s="59"/>
      <c r="L24" s="59"/>
      <c r="M24" s="59"/>
      <c r="N24" s="59"/>
      <c r="O24" s="59"/>
      <c r="P24" s="59"/>
    </row>
    <row r="25" spans="1:16" customFormat="1" x14ac:dyDescent="0.25">
      <c r="A25" s="59"/>
      <c r="B25" s="59"/>
      <c r="C25" s="59"/>
      <c r="D25" s="59"/>
      <c r="E25" s="59"/>
      <c r="F25" s="59"/>
      <c r="G25" s="59"/>
      <c r="H25" s="59"/>
      <c r="I25" s="59"/>
      <c r="J25" s="59"/>
      <c r="K25" s="59"/>
      <c r="L25" s="59"/>
      <c r="M25" s="59"/>
      <c r="N25" s="59"/>
      <c r="O25" s="59"/>
      <c r="P25" s="59"/>
    </row>
    <row r="26" spans="1:16" customFormat="1" x14ac:dyDescent="0.25">
      <c r="A26" s="59"/>
      <c r="B26" s="59"/>
      <c r="C26" s="59"/>
      <c r="D26" s="59"/>
      <c r="E26" s="59"/>
      <c r="F26" s="59"/>
      <c r="G26" s="59"/>
      <c r="H26" s="59"/>
      <c r="I26" s="59"/>
      <c r="J26" s="59"/>
      <c r="K26" s="59"/>
      <c r="L26" s="59"/>
      <c r="M26" s="59"/>
      <c r="N26" s="59"/>
      <c r="O26" s="59"/>
      <c r="P26" s="59"/>
    </row>
    <row r="27" spans="1:16" customFormat="1" x14ac:dyDescent="0.25">
      <c r="A27" s="59"/>
      <c r="B27" s="59"/>
      <c r="C27" s="59"/>
      <c r="D27" s="59"/>
      <c r="E27" s="59"/>
      <c r="F27" s="59"/>
      <c r="G27" s="59"/>
      <c r="H27" s="59"/>
      <c r="I27" s="59"/>
      <c r="J27" s="59"/>
      <c r="K27" s="59"/>
      <c r="L27" s="59"/>
      <c r="M27" s="59"/>
      <c r="N27" s="59"/>
      <c r="O27" s="59"/>
      <c r="P27" s="59"/>
    </row>
    <row r="28" spans="1:16" customFormat="1" x14ac:dyDescent="0.25">
      <c r="A28" s="59"/>
      <c r="B28" s="59"/>
      <c r="C28" s="59"/>
      <c r="D28" s="59"/>
      <c r="E28" s="59"/>
      <c r="F28" s="59"/>
      <c r="G28" s="59"/>
      <c r="H28" s="59"/>
      <c r="I28" s="59"/>
      <c r="J28" s="59"/>
      <c r="K28" s="59"/>
      <c r="L28" s="59"/>
      <c r="M28" s="59"/>
      <c r="N28" s="59"/>
      <c r="O28" s="59"/>
      <c r="P28" s="59"/>
    </row>
    <row r="29" spans="1:16" customFormat="1" x14ac:dyDescent="0.25">
      <c r="A29" s="59"/>
      <c r="B29" s="59"/>
      <c r="C29" s="59"/>
      <c r="D29" s="59"/>
      <c r="E29" s="59"/>
      <c r="F29" s="59"/>
      <c r="G29" s="59"/>
      <c r="H29" s="59"/>
      <c r="I29" s="59"/>
      <c r="J29" s="59"/>
      <c r="K29" s="59"/>
      <c r="L29" s="59"/>
      <c r="M29" s="59"/>
      <c r="N29" s="59"/>
      <c r="O29" s="59"/>
      <c r="P29" s="59"/>
    </row>
    <row r="30" spans="1:16" customFormat="1" x14ac:dyDescent="0.25">
      <c r="A30" s="59"/>
      <c r="B30" s="59"/>
      <c r="C30" s="59"/>
      <c r="D30" s="59"/>
      <c r="E30" s="59"/>
      <c r="F30" s="59"/>
      <c r="G30" s="59"/>
      <c r="H30" s="59"/>
      <c r="I30" s="59"/>
      <c r="J30" s="59"/>
      <c r="K30" s="59"/>
      <c r="L30" s="59"/>
      <c r="M30" s="59"/>
      <c r="N30" s="59"/>
      <c r="O30" s="59"/>
      <c r="P30" s="59"/>
    </row>
    <row r="31" spans="1:16" customFormat="1" x14ac:dyDescent="0.25">
      <c r="A31" s="59"/>
      <c r="B31" s="59"/>
      <c r="C31" s="59"/>
      <c r="D31" s="59"/>
      <c r="E31" s="59"/>
      <c r="F31" s="59"/>
      <c r="G31" s="59"/>
      <c r="H31" s="59"/>
      <c r="I31" s="59"/>
      <c r="J31" s="59"/>
      <c r="K31" s="59"/>
      <c r="L31" s="59"/>
      <c r="M31" s="59"/>
      <c r="N31" s="59"/>
      <c r="O31" s="59"/>
      <c r="P31" s="59"/>
    </row>
    <row r="32" spans="1:16" customFormat="1" x14ac:dyDescent="0.25">
      <c r="A32" s="59"/>
      <c r="B32" s="59"/>
      <c r="C32" s="59"/>
      <c r="D32" s="59"/>
      <c r="E32" s="59"/>
      <c r="F32" s="59"/>
      <c r="G32" s="59"/>
      <c r="H32" s="59"/>
      <c r="I32" s="59"/>
      <c r="J32" s="59"/>
      <c r="K32" s="59"/>
      <c r="L32" s="59"/>
      <c r="M32" s="59"/>
      <c r="N32" s="59"/>
      <c r="O32" s="59"/>
      <c r="P32" s="59"/>
    </row>
    <row r="33" spans="1:16" customFormat="1" x14ac:dyDescent="0.25">
      <c r="A33" s="59"/>
      <c r="B33" s="59"/>
      <c r="C33" s="59"/>
      <c r="D33" s="59"/>
      <c r="E33" s="59"/>
      <c r="F33" s="59"/>
      <c r="G33" s="59"/>
      <c r="H33" s="59"/>
      <c r="I33" s="59"/>
      <c r="J33" s="59"/>
      <c r="K33" s="59"/>
      <c r="L33" s="59"/>
      <c r="M33" s="59"/>
      <c r="N33" s="59"/>
      <c r="O33" s="59"/>
      <c r="P33" s="59"/>
    </row>
    <row r="34" spans="1:16" customFormat="1" x14ac:dyDescent="0.25">
      <c r="A34" s="59"/>
      <c r="B34" s="59"/>
      <c r="C34" s="59"/>
      <c r="D34" s="59"/>
      <c r="E34" s="59"/>
      <c r="F34" s="59"/>
      <c r="G34" s="59"/>
      <c r="H34" s="59"/>
      <c r="I34" s="59"/>
      <c r="J34" s="59"/>
      <c r="K34" s="59"/>
      <c r="L34" s="59"/>
      <c r="M34" s="59"/>
      <c r="N34" s="59"/>
      <c r="O34" s="59"/>
      <c r="P34" s="59"/>
    </row>
    <row r="35" spans="1:16" customFormat="1" x14ac:dyDescent="0.25">
      <c r="A35" s="59"/>
      <c r="B35" s="59"/>
      <c r="C35" s="59"/>
      <c r="D35" s="59"/>
      <c r="E35" s="59"/>
      <c r="F35" s="59"/>
      <c r="G35" s="59"/>
      <c r="H35" s="59"/>
      <c r="I35" s="59"/>
      <c r="J35" s="59"/>
      <c r="K35" s="59"/>
      <c r="L35" s="59"/>
      <c r="M35" s="59"/>
      <c r="N35" s="59"/>
      <c r="O35" s="59"/>
      <c r="P35" s="59"/>
    </row>
    <row r="36" spans="1:16" customFormat="1" x14ac:dyDescent="0.25">
      <c r="A36" s="59"/>
      <c r="B36" s="59"/>
      <c r="C36" s="59"/>
      <c r="D36" s="59"/>
      <c r="E36" s="59"/>
      <c r="F36" s="59"/>
      <c r="G36" s="59"/>
      <c r="H36" s="59"/>
      <c r="I36" s="59"/>
      <c r="J36" s="59"/>
      <c r="K36" s="59"/>
      <c r="L36" s="59"/>
      <c r="M36" s="59"/>
      <c r="N36" s="59"/>
      <c r="O36" s="59"/>
      <c r="P36" s="59"/>
    </row>
    <row r="37" spans="1:16" customFormat="1" x14ac:dyDescent="0.25">
      <c r="A37" s="59"/>
      <c r="B37" s="59"/>
      <c r="C37" s="59"/>
      <c r="D37" s="59"/>
      <c r="E37" s="59"/>
      <c r="F37" s="59"/>
      <c r="G37" s="59"/>
      <c r="H37" s="59"/>
      <c r="I37" s="59"/>
      <c r="J37" s="59"/>
      <c r="K37" s="59"/>
      <c r="L37" s="59"/>
      <c r="M37" s="59"/>
      <c r="N37" s="59"/>
      <c r="O37" s="59"/>
      <c r="P37" s="59"/>
    </row>
    <row r="38" spans="1:16" customFormat="1" x14ac:dyDescent="0.25">
      <c r="A38" s="59"/>
      <c r="B38" s="59"/>
      <c r="C38" s="59"/>
      <c r="D38" s="59"/>
      <c r="E38" s="59"/>
      <c r="F38" s="59"/>
      <c r="G38" s="59"/>
      <c r="H38" s="59"/>
      <c r="I38" s="59"/>
      <c r="J38" s="59"/>
      <c r="K38" s="59"/>
      <c r="L38" s="59"/>
      <c r="M38" s="59"/>
      <c r="N38" s="59"/>
      <c r="O38" s="59"/>
      <c r="P38" s="59"/>
    </row>
    <row r="39" spans="1:16" customFormat="1" x14ac:dyDescent="0.25">
      <c r="A39" s="59"/>
      <c r="B39" s="59"/>
      <c r="C39" s="59"/>
      <c r="D39" s="59"/>
      <c r="E39" s="59"/>
      <c r="F39" s="59"/>
      <c r="G39" s="59"/>
      <c r="H39" s="59"/>
      <c r="I39" s="59"/>
      <c r="J39" s="59"/>
      <c r="K39" s="59"/>
      <c r="L39" s="59"/>
      <c r="M39" s="59"/>
      <c r="N39" s="59"/>
      <c r="O39" s="59"/>
      <c r="P39" s="59"/>
    </row>
    <row r="40" spans="1:16" customFormat="1" x14ac:dyDescent="0.25">
      <c r="A40" s="59"/>
      <c r="B40" s="59"/>
      <c r="C40" s="59"/>
      <c r="D40" s="59"/>
      <c r="E40" s="59"/>
      <c r="F40" s="59"/>
      <c r="G40" s="59"/>
      <c r="H40" s="59"/>
      <c r="I40" s="59"/>
      <c r="J40" s="59"/>
      <c r="K40" s="59"/>
      <c r="L40" s="59"/>
      <c r="M40" s="59"/>
      <c r="N40" s="59"/>
      <c r="O40" s="59"/>
      <c r="P40" s="59"/>
    </row>
    <row r="41" spans="1:16" customFormat="1" ht="6" customHeight="1" x14ac:dyDescent="0.25">
      <c r="A41" s="270"/>
      <c r="B41" s="270"/>
      <c r="C41" s="270"/>
      <c r="D41" s="270"/>
      <c r="E41" s="270"/>
      <c r="F41" s="270"/>
      <c r="G41" s="270"/>
      <c r="H41" s="270"/>
      <c r="I41" s="270"/>
      <c r="J41" s="270"/>
      <c r="K41" s="270"/>
      <c r="L41" s="270"/>
      <c r="M41" s="270"/>
      <c r="N41" s="270"/>
      <c r="O41" s="270"/>
      <c r="P41" s="59"/>
    </row>
    <row r="42" spans="1:16" customFormat="1" x14ac:dyDescent="0.25">
      <c r="A42" s="59"/>
      <c r="B42" s="59"/>
      <c r="C42" s="59"/>
      <c r="D42" s="59"/>
      <c r="E42" s="59"/>
      <c r="F42" s="59"/>
      <c r="G42" s="59"/>
      <c r="H42" s="59"/>
      <c r="I42" s="59"/>
      <c r="J42" s="59"/>
      <c r="K42" s="59"/>
      <c r="L42" s="59"/>
      <c r="M42" s="59"/>
      <c r="N42" s="59"/>
      <c r="O42" s="59"/>
      <c r="P42" s="59"/>
    </row>
    <row r="43" spans="1:16" customFormat="1" x14ac:dyDescent="0.25">
      <c r="A43" s="59"/>
      <c r="B43" s="59"/>
      <c r="C43" s="59"/>
      <c r="D43" s="59"/>
      <c r="E43" s="59"/>
      <c r="F43" s="59"/>
      <c r="G43" s="59"/>
      <c r="H43" s="59"/>
      <c r="I43" s="59"/>
      <c r="J43" s="59"/>
      <c r="K43" s="59"/>
      <c r="L43" s="59"/>
      <c r="M43" s="59"/>
      <c r="N43" s="59"/>
      <c r="O43" s="59"/>
      <c r="P43" s="59"/>
    </row>
    <row r="44" spans="1:16" customFormat="1" ht="18.75" x14ac:dyDescent="0.3">
      <c r="A44" s="1156" t="s">
        <v>1458</v>
      </c>
      <c r="B44" s="1156"/>
      <c r="C44" s="1156"/>
      <c r="D44" s="1156"/>
      <c r="E44" s="1156"/>
      <c r="F44" s="1156"/>
      <c r="G44" s="1156"/>
      <c r="H44" s="1156"/>
      <c r="I44" s="1156"/>
      <c r="J44" s="1156"/>
      <c r="K44" s="1156"/>
      <c r="L44" s="1156"/>
      <c r="M44" s="1156"/>
      <c r="N44" s="1156"/>
      <c r="O44" s="1156"/>
      <c r="P44" s="59"/>
    </row>
    <row r="45" spans="1:16" customFormat="1" x14ac:dyDescent="0.25">
      <c r="A45" s="59"/>
      <c r="B45" s="59"/>
      <c r="C45" s="59"/>
      <c r="D45" s="59"/>
      <c r="E45" s="59"/>
      <c r="F45" s="59"/>
      <c r="G45" s="59"/>
      <c r="H45" s="59"/>
      <c r="I45" s="59"/>
      <c r="J45" s="59"/>
      <c r="K45" s="59"/>
      <c r="L45" s="59"/>
      <c r="M45" s="59"/>
      <c r="N45" s="59"/>
      <c r="O45" s="59"/>
      <c r="P45" s="59"/>
    </row>
    <row r="46" spans="1:16" customFormat="1" x14ac:dyDescent="0.25">
      <c r="A46" s="59"/>
      <c r="B46" s="59"/>
      <c r="C46" s="59"/>
      <c r="D46" s="59"/>
      <c r="E46" s="59"/>
      <c r="F46" s="59"/>
      <c r="G46" s="59"/>
      <c r="H46" s="59"/>
      <c r="I46" s="59"/>
      <c r="J46" s="59"/>
      <c r="K46" s="59"/>
      <c r="L46" s="59"/>
      <c r="M46" s="59"/>
      <c r="N46" s="59"/>
      <c r="O46" s="59"/>
      <c r="P46" s="59"/>
    </row>
    <row r="47" spans="1:16" customFormat="1" x14ac:dyDescent="0.25">
      <c r="A47" s="17" t="s">
        <v>393</v>
      </c>
      <c r="B47" t="s">
        <v>1273</v>
      </c>
      <c r="C47" s="59"/>
      <c r="D47" s="59"/>
      <c r="E47" s="59"/>
      <c r="F47" s="59"/>
      <c r="G47" s="59"/>
      <c r="H47" s="59"/>
      <c r="I47" s="59"/>
      <c r="J47" s="59"/>
      <c r="K47" s="59"/>
      <c r="L47" s="59"/>
      <c r="M47" s="59"/>
      <c r="N47" s="59"/>
      <c r="O47" s="59"/>
      <c r="P47" s="59"/>
    </row>
    <row r="48" spans="1:16" customFormat="1" x14ac:dyDescent="0.25">
      <c r="A48" s="18" t="s">
        <v>1258</v>
      </c>
      <c r="B48" s="213">
        <v>161</v>
      </c>
      <c r="C48" s="59"/>
      <c r="D48" s="59"/>
      <c r="E48" s="59"/>
      <c r="F48" s="59"/>
      <c r="G48" s="59"/>
      <c r="H48" s="59"/>
      <c r="I48" s="59"/>
      <c r="J48" s="59"/>
      <c r="K48" s="59"/>
      <c r="L48" s="59"/>
      <c r="M48" s="59"/>
      <c r="N48" s="59"/>
      <c r="O48" s="59"/>
      <c r="P48" s="59"/>
    </row>
    <row r="49" spans="1:16" customFormat="1" x14ac:dyDescent="0.25">
      <c r="A49" s="18" t="s">
        <v>1259</v>
      </c>
      <c r="B49" s="213">
        <v>176</v>
      </c>
      <c r="C49" s="59"/>
      <c r="D49" s="59"/>
      <c r="E49" s="59"/>
      <c r="F49" s="59"/>
      <c r="G49" s="59"/>
      <c r="H49" s="59"/>
      <c r="I49" s="59"/>
      <c r="J49" s="59"/>
      <c r="K49" s="59"/>
      <c r="L49" s="59"/>
      <c r="M49" s="59"/>
      <c r="N49" s="59"/>
      <c r="O49" s="59"/>
      <c r="P49" s="59"/>
    </row>
    <row r="50" spans="1:16" customFormat="1" x14ac:dyDescent="0.25">
      <c r="A50" s="18" t="s">
        <v>1260</v>
      </c>
      <c r="B50" s="213">
        <v>183</v>
      </c>
      <c r="C50" s="59"/>
      <c r="D50" s="59"/>
      <c r="E50" s="59"/>
      <c r="F50" s="59"/>
      <c r="G50" s="59"/>
      <c r="H50" s="59"/>
      <c r="I50" s="59"/>
      <c r="J50" s="59"/>
      <c r="K50" s="59"/>
      <c r="L50" s="59"/>
      <c r="M50" s="59"/>
      <c r="N50" s="59"/>
      <c r="O50" s="59"/>
      <c r="P50" s="59"/>
    </row>
    <row r="51" spans="1:16" customFormat="1" x14ac:dyDescent="0.25">
      <c r="A51" s="18" t="s">
        <v>1261</v>
      </c>
      <c r="B51" s="213">
        <v>192</v>
      </c>
      <c r="C51" s="59"/>
      <c r="D51" s="59"/>
      <c r="E51" s="59"/>
      <c r="F51" s="59"/>
      <c r="G51" s="59"/>
      <c r="H51" s="59"/>
      <c r="I51" s="59"/>
      <c r="J51" s="59"/>
      <c r="K51" s="59"/>
      <c r="L51" s="59"/>
      <c r="M51" s="59"/>
      <c r="N51" s="59"/>
      <c r="O51" s="59"/>
      <c r="P51" s="59"/>
    </row>
    <row r="52" spans="1:16" customFormat="1" x14ac:dyDescent="0.25">
      <c r="A52" s="18" t="s">
        <v>1262</v>
      </c>
      <c r="B52" s="213">
        <v>194</v>
      </c>
      <c r="C52" s="59"/>
      <c r="D52" s="59"/>
      <c r="E52" s="59"/>
      <c r="F52" s="59"/>
      <c r="G52" s="59"/>
      <c r="H52" s="59"/>
      <c r="I52" s="59"/>
      <c r="J52" s="59"/>
      <c r="K52" s="59"/>
      <c r="L52" s="59"/>
      <c r="M52" s="59"/>
      <c r="N52" s="59"/>
      <c r="O52" s="59"/>
      <c r="P52" s="59"/>
    </row>
    <row r="53" spans="1:16" customFormat="1" x14ac:dyDescent="0.25">
      <c r="A53" s="18" t="s">
        <v>1263</v>
      </c>
      <c r="B53" s="213">
        <v>202</v>
      </c>
      <c r="C53" s="59"/>
      <c r="D53" s="59"/>
      <c r="E53" s="59"/>
      <c r="F53" s="59"/>
      <c r="G53" s="59"/>
      <c r="H53" s="59"/>
      <c r="I53" s="59"/>
      <c r="J53" s="59"/>
      <c r="K53" s="59"/>
      <c r="L53" s="59"/>
      <c r="M53" s="59"/>
      <c r="N53" s="59"/>
      <c r="O53" s="59"/>
      <c r="P53" s="59"/>
    </row>
    <row r="54" spans="1:16" customFormat="1" x14ac:dyDescent="0.25">
      <c r="A54" s="18" t="s">
        <v>1264</v>
      </c>
      <c r="B54" s="213">
        <v>213</v>
      </c>
      <c r="C54" s="59"/>
      <c r="D54" s="59"/>
      <c r="E54" s="59"/>
      <c r="F54" s="59"/>
      <c r="G54" s="59"/>
      <c r="H54" s="59"/>
      <c r="I54" s="59"/>
      <c r="J54" s="59"/>
      <c r="K54" s="59"/>
      <c r="L54" s="59"/>
      <c r="M54" s="59"/>
      <c r="N54" s="59"/>
      <c r="O54" s="59"/>
      <c r="P54" s="59"/>
    </row>
    <row r="55" spans="1:16" customFormat="1" x14ac:dyDescent="0.25">
      <c r="A55" s="18" t="s">
        <v>1265</v>
      </c>
      <c r="B55" s="213">
        <v>216</v>
      </c>
      <c r="C55" s="59"/>
      <c r="D55" s="59"/>
      <c r="E55" s="59"/>
      <c r="F55" s="59"/>
      <c r="G55" s="59"/>
      <c r="H55" s="59"/>
      <c r="I55" s="59"/>
      <c r="J55" s="59"/>
      <c r="K55" s="59"/>
      <c r="L55" s="59"/>
      <c r="M55" s="59"/>
      <c r="N55" s="59"/>
      <c r="O55" s="59"/>
      <c r="P55" s="59"/>
    </row>
    <row r="56" spans="1:16" customFormat="1" x14ac:dyDescent="0.25">
      <c r="A56" s="18" t="s">
        <v>1266</v>
      </c>
      <c r="B56" s="213">
        <v>225</v>
      </c>
      <c r="C56" s="59"/>
      <c r="D56" s="59"/>
      <c r="E56" s="59"/>
      <c r="F56" s="59"/>
      <c r="G56" s="59"/>
      <c r="H56" s="59"/>
      <c r="I56" s="59"/>
      <c r="J56" s="59"/>
      <c r="K56" s="59"/>
      <c r="L56" s="59"/>
      <c r="M56" s="59"/>
      <c r="N56" s="59"/>
      <c r="O56" s="59"/>
      <c r="P56" s="59"/>
    </row>
    <row r="57" spans="1:16" customFormat="1" x14ac:dyDescent="0.25">
      <c r="A57" s="18" t="s">
        <v>1267</v>
      </c>
      <c r="B57" s="213">
        <v>235</v>
      </c>
      <c r="C57" s="59"/>
      <c r="D57" s="59"/>
      <c r="E57" s="59"/>
      <c r="F57" s="59"/>
      <c r="G57" s="59"/>
      <c r="H57" s="59"/>
      <c r="I57" s="59"/>
      <c r="J57" s="59"/>
      <c r="K57" s="59"/>
      <c r="L57" s="59"/>
      <c r="M57" s="59"/>
      <c r="N57" s="59"/>
      <c r="O57" s="59"/>
      <c r="P57" s="59"/>
    </row>
    <row r="58" spans="1:16" customFormat="1" x14ac:dyDescent="0.25">
      <c r="A58" s="18" t="s">
        <v>1268</v>
      </c>
      <c r="B58" s="213">
        <v>244</v>
      </c>
      <c r="C58" s="59"/>
      <c r="D58" s="59"/>
      <c r="E58" s="59"/>
      <c r="F58" s="59"/>
      <c r="G58" s="59"/>
      <c r="H58" s="59"/>
      <c r="I58" s="59"/>
      <c r="J58" s="59"/>
      <c r="K58" s="59"/>
      <c r="L58" s="59"/>
      <c r="M58" s="59"/>
      <c r="N58" s="59"/>
      <c r="O58" s="59"/>
      <c r="P58" s="59"/>
    </row>
    <row r="59" spans="1:16" customFormat="1" x14ac:dyDescent="0.25">
      <c r="A59" s="18" t="s">
        <v>1269</v>
      </c>
      <c r="B59" s="213">
        <v>250</v>
      </c>
      <c r="C59" s="59"/>
      <c r="D59" s="59"/>
      <c r="E59" s="59"/>
      <c r="F59" s="59"/>
      <c r="G59" s="59"/>
      <c r="H59" s="59"/>
      <c r="I59" s="59"/>
      <c r="J59" s="59"/>
      <c r="K59" s="59"/>
      <c r="L59" s="59"/>
      <c r="M59" s="59"/>
      <c r="N59" s="59"/>
      <c r="O59" s="59"/>
      <c r="P59" s="59"/>
    </row>
    <row r="60" spans="1:16" customFormat="1" x14ac:dyDescent="0.25">
      <c r="A60" s="18" t="s">
        <v>1153</v>
      </c>
      <c r="B60" s="213">
        <v>2491</v>
      </c>
      <c r="C60" s="59"/>
      <c r="D60" s="59"/>
      <c r="E60" s="59"/>
      <c r="F60" s="59"/>
      <c r="G60" s="59"/>
      <c r="H60" s="59"/>
      <c r="I60" s="59"/>
      <c r="J60" s="59"/>
      <c r="K60" s="59"/>
      <c r="L60" s="59"/>
      <c r="M60" s="59"/>
      <c r="N60" s="59"/>
      <c r="O60" s="59"/>
      <c r="P60" s="59"/>
    </row>
    <row r="61" spans="1:16" customFormat="1" x14ac:dyDescent="0.25">
      <c r="A61" s="59"/>
      <c r="B61" s="59"/>
      <c r="C61" s="59"/>
      <c r="D61" s="59"/>
      <c r="E61" s="59"/>
      <c r="F61" s="59"/>
      <c r="G61" s="59"/>
      <c r="H61" s="59"/>
      <c r="I61" s="59"/>
      <c r="J61" s="59"/>
      <c r="K61" s="59"/>
      <c r="L61" s="59"/>
      <c r="M61" s="59"/>
      <c r="N61" s="59"/>
      <c r="O61" s="59"/>
      <c r="P61" s="59"/>
    </row>
    <row r="62" spans="1:16" customFormat="1" x14ac:dyDescent="0.25">
      <c r="A62" s="59"/>
      <c r="B62" s="59"/>
      <c r="C62" s="59"/>
      <c r="D62" s="59"/>
      <c r="E62" s="59"/>
      <c r="F62" s="59"/>
      <c r="G62" s="59"/>
      <c r="H62" s="59"/>
      <c r="I62" s="59"/>
      <c r="J62" s="59"/>
      <c r="K62" s="59"/>
      <c r="L62" s="59"/>
      <c r="M62" s="59"/>
      <c r="N62" s="59"/>
      <c r="O62" s="59"/>
      <c r="P62" s="59"/>
    </row>
    <row r="63" spans="1:16" customFormat="1" x14ac:dyDescent="0.25">
      <c r="A63" s="59"/>
      <c r="B63" s="59"/>
      <c r="C63" s="59"/>
      <c r="D63" s="59"/>
      <c r="E63" s="59"/>
      <c r="F63" s="59"/>
      <c r="G63" s="59"/>
      <c r="H63" s="59"/>
      <c r="I63" s="59"/>
      <c r="J63" s="59"/>
      <c r="K63" s="59"/>
      <c r="L63" s="59"/>
      <c r="M63" s="59"/>
      <c r="N63" s="59"/>
      <c r="O63" s="59"/>
      <c r="P63" s="59"/>
    </row>
    <row r="64" spans="1:16" customFormat="1" x14ac:dyDescent="0.25">
      <c r="A64" s="59"/>
      <c r="B64" s="59"/>
      <c r="C64" s="59"/>
      <c r="D64" s="59"/>
      <c r="E64" s="59"/>
      <c r="F64" s="59"/>
      <c r="G64" s="59"/>
      <c r="H64" s="59"/>
      <c r="I64" s="59"/>
      <c r="J64" s="59"/>
      <c r="K64" s="59"/>
      <c r="L64" s="59"/>
      <c r="M64" s="59"/>
      <c r="N64" s="59"/>
      <c r="O64" s="59"/>
      <c r="P64" s="59"/>
    </row>
    <row r="65" spans="1:16" customFormat="1" x14ac:dyDescent="0.25">
      <c r="A65" s="59"/>
      <c r="B65" s="59"/>
      <c r="C65" s="59"/>
      <c r="D65" s="59"/>
      <c r="E65" s="59"/>
      <c r="F65" s="59"/>
      <c r="G65" s="59"/>
      <c r="H65" s="59"/>
      <c r="I65" s="59"/>
      <c r="J65" s="59"/>
      <c r="K65" s="59"/>
      <c r="L65" s="59"/>
      <c r="M65" s="59"/>
      <c r="N65" s="59"/>
      <c r="O65" s="59"/>
      <c r="P65" s="59"/>
    </row>
    <row r="66" spans="1:16" customFormat="1" x14ac:dyDescent="0.25">
      <c r="A66" s="59"/>
      <c r="B66" s="59"/>
      <c r="C66" s="59"/>
      <c r="D66" s="59"/>
      <c r="E66" s="59"/>
      <c r="F66" s="59"/>
      <c r="G66" s="59"/>
      <c r="H66" s="59"/>
      <c r="I66" s="59"/>
      <c r="J66" s="59"/>
      <c r="K66" s="59"/>
      <c r="L66" s="59"/>
      <c r="M66" s="59"/>
      <c r="N66" s="59"/>
      <c r="O66" s="59"/>
      <c r="P66" s="59"/>
    </row>
    <row r="67" spans="1:16" customFormat="1" x14ac:dyDescent="0.25">
      <c r="A67" s="59"/>
      <c r="B67" s="59"/>
      <c r="C67" s="59"/>
      <c r="D67" s="59"/>
      <c r="E67" s="59"/>
      <c r="F67" s="59"/>
      <c r="G67" s="59"/>
      <c r="H67" s="59"/>
      <c r="I67" s="59"/>
      <c r="J67" s="59"/>
      <c r="K67" s="59"/>
      <c r="L67" s="59"/>
      <c r="M67" s="59"/>
      <c r="N67" s="59"/>
      <c r="O67" s="59"/>
      <c r="P67" s="59"/>
    </row>
    <row r="68" spans="1:16" customFormat="1" x14ac:dyDescent="0.25">
      <c r="A68" s="59"/>
      <c r="B68" s="59"/>
      <c r="C68" s="59"/>
      <c r="D68" s="59"/>
      <c r="E68" s="59"/>
      <c r="F68" s="59"/>
      <c r="G68" s="59"/>
      <c r="H68" s="59"/>
      <c r="I68" s="59"/>
      <c r="J68" s="59"/>
      <c r="K68" s="59"/>
      <c r="L68" s="59"/>
      <c r="M68" s="59"/>
      <c r="N68" s="59"/>
      <c r="O68" s="59"/>
      <c r="P68" s="59"/>
    </row>
    <row r="69" spans="1:16" customFormat="1" x14ac:dyDescent="0.25">
      <c r="A69" s="59"/>
      <c r="B69" s="59"/>
      <c r="C69" s="59"/>
      <c r="D69" s="59"/>
      <c r="E69" s="59"/>
      <c r="F69" s="59"/>
      <c r="G69" s="59"/>
      <c r="H69" s="59"/>
      <c r="I69" s="59"/>
      <c r="J69" s="59"/>
      <c r="K69" s="59"/>
      <c r="L69" s="59"/>
      <c r="M69" s="59"/>
      <c r="N69" s="59"/>
      <c r="O69" s="59"/>
      <c r="P69" s="59"/>
    </row>
    <row r="70" spans="1:16" customFormat="1" x14ac:dyDescent="0.25">
      <c r="A70" s="59"/>
      <c r="B70" s="59"/>
      <c r="C70" s="59"/>
      <c r="D70" s="59"/>
      <c r="E70" s="59"/>
      <c r="F70" s="59"/>
      <c r="G70" s="59"/>
      <c r="H70" s="59"/>
      <c r="I70" s="59"/>
      <c r="J70" s="59"/>
      <c r="K70" s="59"/>
      <c r="L70" s="59"/>
      <c r="M70" s="59"/>
      <c r="N70" s="59"/>
      <c r="O70" s="59"/>
      <c r="P70" s="59"/>
    </row>
    <row r="71" spans="1:16" customFormat="1" x14ac:dyDescent="0.25">
      <c r="A71" s="59"/>
      <c r="B71" s="59"/>
      <c r="C71" s="59"/>
      <c r="D71" s="59"/>
      <c r="E71" s="59"/>
      <c r="F71" s="59"/>
      <c r="G71" s="59"/>
      <c r="H71" s="59"/>
      <c r="I71" s="59"/>
      <c r="J71" s="59"/>
      <c r="K71" s="59"/>
      <c r="L71" s="59"/>
      <c r="M71" s="59"/>
      <c r="N71" s="59"/>
      <c r="O71" s="59"/>
      <c r="P71" s="59"/>
    </row>
    <row r="72" spans="1:16" customFormat="1" x14ac:dyDescent="0.25">
      <c r="A72" s="59"/>
      <c r="B72" s="59"/>
      <c r="C72" s="59"/>
      <c r="D72" s="59"/>
      <c r="E72" s="59"/>
      <c r="F72" s="59"/>
      <c r="G72" s="59"/>
      <c r="H72" s="59"/>
      <c r="I72" s="59"/>
      <c r="J72" s="59"/>
      <c r="K72" s="59"/>
      <c r="L72" s="59"/>
      <c r="M72" s="59"/>
      <c r="N72" s="59"/>
      <c r="O72" s="59"/>
      <c r="P72" s="59"/>
    </row>
    <row r="73" spans="1:16" customFormat="1" x14ac:dyDescent="0.25">
      <c r="A73" s="59"/>
      <c r="B73" s="59"/>
      <c r="C73" s="59"/>
      <c r="D73" s="59"/>
      <c r="E73" s="59"/>
      <c r="F73" s="59"/>
      <c r="G73" s="59"/>
      <c r="H73" s="59"/>
      <c r="I73" s="59"/>
      <c r="J73" s="59"/>
      <c r="K73" s="59"/>
      <c r="L73" s="59"/>
      <c r="M73" s="59"/>
      <c r="N73" s="59"/>
      <c r="O73" s="59"/>
      <c r="P73" s="59"/>
    </row>
    <row r="74" spans="1:16" customFormat="1" x14ac:dyDescent="0.25">
      <c r="A74" s="59"/>
      <c r="B74" s="59"/>
      <c r="C74" s="59"/>
      <c r="D74" s="59"/>
      <c r="E74" s="59"/>
      <c r="F74" s="59"/>
      <c r="G74" s="59"/>
      <c r="H74" s="59"/>
      <c r="I74" s="59"/>
      <c r="J74" s="59"/>
      <c r="K74" s="59"/>
      <c r="L74" s="59"/>
      <c r="M74" s="59"/>
      <c r="N74" s="59"/>
      <c r="O74" s="59"/>
      <c r="P74" s="59"/>
    </row>
    <row r="75" spans="1:16" customFormat="1" x14ac:dyDescent="0.25">
      <c r="A75" s="59"/>
      <c r="B75" s="59"/>
      <c r="C75" s="59"/>
      <c r="D75" s="59"/>
      <c r="E75" s="59"/>
      <c r="F75" s="59"/>
      <c r="G75" s="59"/>
      <c r="H75" s="59"/>
      <c r="I75" s="59"/>
      <c r="J75" s="59"/>
      <c r="K75" s="59"/>
      <c r="L75" s="59"/>
      <c r="M75" s="59"/>
      <c r="N75" s="59"/>
      <c r="O75" s="59"/>
      <c r="P75" s="59"/>
    </row>
    <row r="76" spans="1:16" customFormat="1" x14ac:dyDescent="0.25">
      <c r="A76" s="59"/>
      <c r="B76" s="59"/>
      <c r="C76" s="59"/>
      <c r="D76" s="59"/>
      <c r="E76" s="59"/>
      <c r="F76" s="59"/>
      <c r="G76" s="59"/>
      <c r="H76" s="59"/>
      <c r="I76" s="59"/>
      <c r="J76" s="59"/>
      <c r="K76" s="59"/>
      <c r="L76" s="59"/>
      <c r="M76" s="59"/>
      <c r="N76" s="59"/>
      <c r="O76" s="59"/>
      <c r="P76" s="59"/>
    </row>
    <row r="77" spans="1:16" customFormat="1" x14ac:dyDescent="0.25">
      <c r="A77" s="59"/>
      <c r="B77" s="59"/>
      <c r="C77" s="59"/>
      <c r="D77" s="59"/>
      <c r="E77" s="59"/>
      <c r="F77" s="59"/>
      <c r="G77" s="59"/>
      <c r="H77" s="59"/>
      <c r="I77" s="59"/>
      <c r="J77" s="59"/>
      <c r="K77" s="59"/>
      <c r="L77" s="59"/>
      <c r="M77" s="59"/>
      <c r="N77" s="59"/>
      <c r="O77" s="59"/>
      <c r="P77" s="59"/>
    </row>
    <row r="78" spans="1:16" customFormat="1" x14ac:dyDescent="0.25">
      <c r="A78" s="59"/>
      <c r="B78" s="59"/>
      <c r="C78" s="59"/>
      <c r="D78" s="59"/>
      <c r="E78" s="59"/>
      <c r="F78" s="59"/>
      <c r="G78" s="59"/>
      <c r="H78" s="59"/>
      <c r="I78" s="59"/>
      <c r="J78" s="59"/>
      <c r="K78" s="59"/>
      <c r="L78" s="59"/>
      <c r="M78" s="59"/>
      <c r="N78" s="59"/>
      <c r="O78" s="59"/>
      <c r="P78" s="59"/>
    </row>
    <row r="79" spans="1:16" customFormat="1" x14ac:dyDescent="0.25">
      <c r="A79" s="59"/>
      <c r="B79" s="59"/>
      <c r="C79" s="59"/>
      <c r="D79" s="59"/>
      <c r="E79" s="59"/>
      <c r="F79" s="59"/>
      <c r="G79" s="59"/>
      <c r="H79" s="59"/>
      <c r="I79" s="59"/>
      <c r="J79" s="59"/>
      <c r="K79" s="59"/>
      <c r="L79" s="59"/>
      <c r="M79" s="59"/>
      <c r="N79" s="59"/>
      <c r="O79" s="59"/>
      <c r="P79" s="59"/>
    </row>
    <row r="80" spans="1:16" customFormat="1" x14ac:dyDescent="0.25">
      <c r="A80" s="59"/>
      <c r="B80" s="59"/>
      <c r="C80" s="59"/>
      <c r="D80" s="59"/>
      <c r="E80" s="59"/>
      <c r="F80" s="59"/>
      <c r="G80" s="59"/>
      <c r="H80" s="59"/>
      <c r="I80" s="59"/>
      <c r="J80" s="59"/>
      <c r="K80" s="59"/>
      <c r="L80" s="59"/>
      <c r="M80" s="59"/>
      <c r="N80" s="59"/>
      <c r="O80" s="59"/>
      <c r="P80" s="59"/>
    </row>
    <row r="81" spans="1:16" customFormat="1" x14ac:dyDescent="0.25">
      <c r="A81" s="59"/>
      <c r="B81" s="59"/>
      <c r="C81" s="59"/>
      <c r="D81" s="59"/>
      <c r="E81" s="59"/>
      <c r="F81" s="59"/>
      <c r="G81" s="59"/>
      <c r="H81" s="59"/>
      <c r="I81" s="59"/>
      <c r="J81" s="59"/>
      <c r="K81" s="59"/>
      <c r="L81" s="59"/>
      <c r="M81" s="59"/>
      <c r="N81" s="59"/>
      <c r="O81" s="59"/>
      <c r="P81" s="59"/>
    </row>
    <row r="82" spans="1:16" customFormat="1" x14ac:dyDescent="0.25">
      <c r="A82" s="59"/>
      <c r="B82" s="59"/>
      <c r="C82" s="59"/>
      <c r="D82" s="59"/>
      <c r="E82" s="59"/>
      <c r="F82" s="59"/>
      <c r="G82" s="59"/>
      <c r="H82" s="59"/>
      <c r="I82" s="59"/>
      <c r="J82" s="59"/>
      <c r="K82" s="59"/>
      <c r="L82" s="59"/>
      <c r="M82" s="59"/>
      <c r="N82" s="59"/>
      <c r="O82" s="59"/>
      <c r="P82" s="59"/>
    </row>
    <row r="83" spans="1:16" ht="7.5" customHeight="1" x14ac:dyDescent="0.25">
      <c r="A83" s="270"/>
      <c r="B83" s="270"/>
      <c r="C83" s="270"/>
      <c r="D83" s="270"/>
      <c r="E83" s="270"/>
      <c r="F83" s="270"/>
      <c r="G83" s="270"/>
      <c r="H83" s="270"/>
      <c r="I83" s="270"/>
      <c r="J83" s="270"/>
      <c r="K83" s="270"/>
      <c r="L83" s="270"/>
      <c r="M83" s="270"/>
      <c r="N83" s="270"/>
      <c r="O83" s="270"/>
    </row>
    <row r="86" spans="1:16" ht="18.75" x14ac:dyDescent="0.3">
      <c r="A86" s="1156" t="s">
        <v>1459</v>
      </c>
      <c r="B86" s="1156"/>
      <c r="C86" s="1156"/>
      <c r="D86" s="1156"/>
      <c r="E86" s="1156"/>
      <c r="F86" s="1156"/>
      <c r="G86" s="1156"/>
      <c r="H86" s="1156"/>
      <c r="I86" s="1156"/>
      <c r="J86" s="1156"/>
      <c r="K86" s="1156"/>
      <c r="L86" s="1156"/>
      <c r="M86" s="1156"/>
      <c r="N86" s="1156"/>
      <c r="O86" s="1156"/>
    </row>
    <row r="88" spans="1:16" x14ac:dyDescent="0.25">
      <c r="A88"/>
      <c r="B88"/>
    </row>
    <row r="90" spans="1:16" x14ac:dyDescent="0.25">
      <c r="A90" s="17" t="s">
        <v>393</v>
      </c>
      <c r="B90" t="s">
        <v>1273</v>
      </c>
      <c r="G90"/>
      <c r="H90"/>
      <c r="I90"/>
      <c r="J90"/>
      <c r="K90"/>
      <c r="L90"/>
      <c r="M90"/>
      <c r="N90"/>
    </row>
    <row r="91" spans="1:16" x14ac:dyDescent="0.25">
      <c r="A91" s="18" t="s">
        <v>1258</v>
      </c>
      <c r="B91" s="213">
        <v>13</v>
      </c>
      <c r="G91"/>
      <c r="H91"/>
      <c r="I91"/>
      <c r="J91"/>
      <c r="K91"/>
      <c r="L91"/>
      <c r="M91"/>
      <c r="N91"/>
    </row>
    <row r="92" spans="1:16" x14ac:dyDescent="0.25">
      <c r="A92" s="18" t="s">
        <v>1259</v>
      </c>
      <c r="B92" s="213">
        <v>15</v>
      </c>
      <c r="G92"/>
      <c r="H92"/>
      <c r="I92"/>
      <c r="J92"/>
      <c r="K92"/>
      <c r="L92"/>
      <c r="M92"/>
      <c r="N92"/>
    </row>
    <row r="93" spans="1:16" x14ac:dyDescent="0.25">
      <c r="A93" s="18" t="s">
        <v>1260</v>
      </c>
      <c r="B93" s="213">
        <v>15</v>
      </c>
      <c r="G93"/>
      <c r="H93"/>
      <c r="I93"/>
      <c r="J93"/>
      <c r="K93"/>
      <c r="L93"/>
      <c r="M93"/>
      <c r="N93"/>
    </row>
    <row r="94" spans="1:16" x14ac:dyDescent="0.25">
      <c r="A94" s="18" t="s">
        <v>1261</v>
      </c>
      <c r="B94" s="213">
        <v>16</v>
      </c>
      <c r="G94"/>
      <c r="H94"/>
      <c r="I94"/>
      <c r="J94"/>
      <c r="K94"/>
      <c r="L94"/>
      <c r="M94"/>
      <c r="N94"/>
    </row>
    <row r="95" spans="1:16" x14ac:dyDescent="0.25">
      <c r="A95" s="18" t="s">
        <v>1262</v>
      </c>
      <c r="B95" s="213">
        <v>17</v>
      </c>
      <c r="G95"/>
      <c r="H95"/>
      <c r="I95"/>
      <c r="J95"/>
      <c r="K95"/>
      <c r="L95"/>
      <c r="M95"/>
      <c r="N95"/>
    </row>
    <row r="96" spans="1:16" x14ac:dyDescent="0.25">
      <c r="A96" s="18" t="s">
        <v>1263</v>
      </c>
      <c r="B96" s="213">
        <v>22</v>
      </c>
      <c r="G96"/>
      <c r="H96"/>
      <c r="I96"/>
      <c r="J96"/>
      <c r="K96"/>
      <c r="L96"/>
      <c r="M96"/>
      <c r="N96"/>
    </row>
    <row r="97" spans="1:15" x14ac:dyDescent="0.25">
      <c r="A97" s="18" t="s">
        <v>1264</v>
      </c>
      <c r="B97" s="213">
        <v>27</v>
      </c>
      <c r="G97"/>
      <c r="H97"/>
      <c r="I97"/>
      <c r="J97"/>
      <c r="K97"/>
      <c r="L97"/>
      <c r="M97"/>
      <c r="N97"/>
    </row>
    <row r="98" spans="1:15" x14ac:dyDescent="0.25">
      <c r="A98" s="18" t="s">
        <v>1265</v>
      </c>
      <c r="B98" s="213">
        <v>33</v>
      </c>
      <c r="G98"/>
      <c r="H98"/>
      <c r="I98"/>
      <c r="J98"/>
      <c r="K98"/>
      <c r="L98"/>
      <c r="M98"/>
      <c r="N98"/>
    </row>
    <row r="99" spans="1:15" x14ac:dyDescent="0.25">
      <c r="A99" s="18" t="s">
        <v>1266</v>
      </c>
      <c r="B99" s="213">
        <v>45</v>
      </c>
      <c r="G99"/>
      <c r="H99"/>
      <c r="I99"/>
      <c r="J99"/>
      <c r="K99"/>
      <c r="L99"/>
      <c r="M99"/>
      <c r="N99"/>
    </row>
    <row r="100" spans="1:15" x14ac:dyDescent="0.25">
      <c r="A100" s="18" t="s">
        <v>1267</v>
      </c>
      <c r="B100" s="213">
        <v>56</v>
      </c>
      <c r="G100"/>
      <c r="H100"/>
      <c r="I100"/>
      <c r="J100"/>
      <c r="K100"/>
      <c r="L100"/>
      <c r="M100"/>
      <c r="N100"/>
    </row>
    <row r="101" spans="1:15" x14ac:dyDescent="0.25">
      <c r="A101" s="18" t="s">
        <v>1268</v>
      </c>
      <c r="B101" s="213">
        <v>63</v>
      </c>
      <c r="G101"/>
      <c r="H101"/>
      <c r="I101"/>
      <c r="J101"/>
      <c r="K101"/>
      <c r="L101"/>
      <c r="M101"/>
      <c r="N101"/>
    </row>
    <row r="102" spans="1:15" x14ac:dyDescent="0.25">
      <c r="A102" s="18" t="s">
        <v>1269</v>
      </c>
      <c r="B102" s="213">
        <v>68</v>
      </c>
      <c r="G102"/>
      <c r="H102"/>
      <c r="I102"/>
      <c r="J102"/>
      <c r="K102"/>
      <c r="L102"/>
      <c r="M102"/>
      <c r="N102"/>
    </row>
    <row r="103" spans="1:15" x14ac:dyDescent="0.25">
      <c r="A103" s="18" t="s">
        <v>1153</v>
      </c>
      <c r="B103" s="213">
        <v>390</v>
      </c>
      <c r="G103"/>
      <c r="H103"/>
      <c r="I103"/>
      <c r="J103"/>
      <c r="K103"/>
      <c r="L103"/>
      <c r="M103"/>
      <c r="N103"/>
    </row>
    <row r="107" spans="1:15" ht="9.75" customHeight="1" x14ac:dyDescent="0.25">
      <c r="A107" s="270"/>
      <c r="B107" s="270"/>
      <c r="C107" s="270"/>
      <c r="D107" s="270"/>
      <c r="E107" s="270"/>
      <c r="F107" s="270"/>
      <c r="G107" s="270"/>
      <c r="H107" s="270"/>
      <c r="I107" s="270"/>
      <c r="J107" s="270"/>
      <c r="K107" s="270"/>
      <c r="L107" s="270"/>
      <c r="M107" s="270"/>
      <c r="N107" s="270"/>
      <c r="O107" s="270"/>
    </row>
    <row r="110" spans="1:15" ht="18.75" x14ac:dyDescent="0.3">
      <c r="A110" s="1156" t="s">
        <v>1460</v>
      </c>
      <c r="B110" s="1156"/>
      <c r="C110" s="1156"/>
      <c r="D110" s="1156"/>
      <c r="E110" s="1156"/>
      <c r="F110" s="1156"/>
      <c r="G110" s="1156"/>
      <c r="H110" s="1156"/>
      <c r="I110" s="1156"/>
      <c r="J110" s="1156"/>
      <c r="K110" s="1156"/>
      <c r="L110" s="1156"/>
      <c r="M110" s="1156"/>
      <c r="N110" s="1156"/>
      <c r="O110" s="1156"/>
    </row>
    <row r="114" spans="1:2" x14ac:dyDescent="0.25">
      <c r="A114" s="17" t="s">
        <v>393</v>
      </c>
      <c r="B114" t="s">
        <v>1273</v>
      </c>
    </row>
    <row r="115" spans="1:2" x14ac:dyDescent="0.25">
      <c r="A115" s="18" t="s">
        <v>1258</v>
      </c>
      <c r="B115" s="213">
        <v>74</v>
      </c>
    </row>
    <row r="116" spans="1:2" x14ac:dyDescent="0.25">
      <c r="A116" s="18" t="s">
        <v>1259</v>
      </c>
      <c r="B116" s="213">
        <v>79</v>
      </c>
    </row>
    <row r="117" spans="1:2" x14ac:dyDescent="0.25">
      <c r="A117" s="18" t="s">
        <v>1260</v>
      </c>
      <c r="B117" s="213">
        <v>82</v>
      </c>
    </row>
    <row r="118" spans="1:2" x14ac:dyDescent="0.25">
      <c r="A118" s="18" t="s">
        <v>1261</v>
      </c>
      <c r="B118" s="213">
        <v>85</v>
      </c>
    </row>
    <row r="119" spans="1:2" x14ac:dyDescent="0.25">
      <c r="A119" s="18" t="s">
        <v>1262</v>
      </c>
      <c r="B119" s="213">
        <v>100</v>
      </c>
    </row>
    <row r="120" spans="1:2" x14ac:dyDescent="0.25">
      <c r="A120" s="18" t="s">
        <v>1263</v>
      </c>
      <c r="B120" s="213">
        <v>105</v>
      </c>
    </row>
    <row r="121" spans="1:2" x14ac:dyDescent="0.25">
      <c r="A121" s="18" t="s">
        <v>1264</v>
      </c>
      <c r="B121" s="213">
        <v>117</v>
      </c>
    </row>
    <row r="122" spans="1:2" x14ac:dyDescent="0.25">
      <c r="A122" s="18" t="s">
        <v>1265</v>
      </c>
      <c r="B122" s="213">
        <v>121</v>
      </c>
    </row>
    <row r="123" spans="1:2" x14ac:dyDescent="0.25">
      <c r="A123" s="18" t="s">
        <v>1266</v>
      </c>
      <c r="B123" s="213">
        <v>126</v>
      </c>
    </row>
    <row r="124" spans="1:2" x14ac:dyDescent="0.25">
      <c r="A124" s="18" t="s">
        <v>1267</v>
      </c>
      <c r="B124" s="213">
        <v>138</v>
      </c>
    </row>
    <row r="125" spans="1:2" x14ac:dyDescent="0.25">
      <c r="A125" s="18" t="s">
        <v>1268</v>
      </c>
      <c r="B125" s="213">
        <v>141</v>
      </c>
    </row>
    <row r="126" spans="1:2" x14ac:dyDescent="0.25">
      <c r="A126" s="18" t="s">
        <v>1269</v>
      </c>
      <c r="B126" s="213">
        <v>152</v>
      </c>
    </row>
    <row r="127" spans="1:2" x14ac:dyDescent="0.25">
      <c r="A127" s="18" t="s">
        <v>1153</v>
      </c>
      <c r="B127" s="213">
        <v>1320</v>
      </c>
    </row>
  </sheetData>
  <mergeCells count="4">
    <mergeCell ref="A2:O2"/>
    <mergeCell ref="A44:O44"/>
    <mergeCell ref="A86:O86"/>
    <mergeCell ref="A110:O110"/>
  </mergeCells>
  <pageMargins left="0.7" right="0.7" top="0.75" bottom="0.75" header="0.3" footer="0.3"/>
  <pageSetup orientation="portrait" r:id="rId5"/>
  <drawing r:id="rId6"/>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20</vt:i4>
      </vt:variant>
      <vt:variant>
        <vt:lpstr>Rangos con nombre</vt:lpstr>
      </vt:variant>
      <vt:variant>
        <vt:i4>1</vt:i4>
      </vt:variant>
    </vt:vector>
  </HeadingPairs>
  <TitlesOfParts>
    <vt:vector size="21" baseType="lpstr">
      <vt:lpstr>Inicio</vt:lpstr>
      <vt:lpstr>Tiempo de ejecución</vt:lpstr>
      <vt:lpstr>Estado de Giros</vt:lpstr>
      <vt:lpstr>Giros Vs Tiempo</vt:lpstr>
      <vt:lpstr>Base de Datos</vt:lpstr>
      <vt:lpstr>Hoja1</vt:lpstr>
      <vt:lpstr>Instructivo</vt:lpstr>
      <vt:lpstr>Modificaciones</vt:lpstr>
      <vt:lpstr>Gráficos</vt:lpstr>
      <vt:lpstr>Hoja2</vt:lpstr>
      <vt:lpstr>Tablero de Control</vt:lpstr>
      <vt:lpstr>Actualizada - presupuesto</vt:lpstr>
      <vt:lpstr>Resumen_Seguimiento Presupuesto</vt:lpstr>
      <vt:lpstr>Presupuesto - PAA 2015</vt:lpstr>
      <vt:lpstr>Presupuesto Resúmen</vt:lpstr>
      <vt:lpstr>Presupuesto - PAA 2016</vt:lpstr>
      <vt:lpstr>Presupuesto - PAA 2017</vt:lpstr>
      <vt:lpstr>Presupuesto - PAA 2018</vt:lpstr>
      <vt:lpstr>liquidaciones </vt:lpstr>
      <vt:lpstr>Hoja3</vt:lpstr>
      <vt:lpstr>'Base de Datos'!Títulos_a_imprimir</vt:lpstr>
    </vt:vector>
  </TitlesOfParts>
  <Company>Toshiba</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LIZETH</dc:creator>
  <cp:lastModifiedBy>NESTOR ARLEY RAMÍREZ RAMÍREZ</cp:lastModifiedBy>
  <cp:lastPrinted>2019-02-11T19:10:52Z</cp:lastPrinted>
  <dcterms:created xsi:type="dcterms:W3CDTF">2014-09-03T04:02:05Z</dcterms:created>
  <dcterms:modified xsi:type="dcterms:W3CDTF">2019-06-27T11:58:46Z</dcterms:modified>
</cp:coreProperties>
</file>